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data\ged$\16_EAU_WATER\01_PLAN\PGE 2022-2027\03 Rédaction\Version finale FR\SEPTEMBRE2022_Envoi Cabinet\FR\"/>
    </mc:Choice>
  </mc:AlternateContent>
  <xr:revisionPtr revIDLastSave="0" documentId="13_ncr:1_{2ED8BDD4-0EE6-4ED1-94F4-BF66D685D360}" xr6:coauthVersionLast="47" xr6:coauthVersionMax="47" xr10:uidLastSave="{00000000-0000-0000-0000-000000000000}"/>
  <bookViews>
    <workbookView xWindow="-120" yWindow="-120" windowWidth="29040" windowHeight="15840" tabRatio="893" activeTab="1" xr2:uid="{00000000-000D-0000-FFFF-FFFF00000000}"/>
  </bookViews>
  <sheets>
    <sheet name="Index" sheetId="16" r:id="rId1"/>
    <sheet name="1. Mesures" sheetId="1" r:id="rId2"/>
    <sheet name="2. Mesures_Budget_Eff_tot" sheetId="27" r:id="rId3"/>
    <sheet name="3. Recherche Budget" sheetId="25" r:id="rId4"/>
    <sheet name="4. Mesures_ACE_Budget" sheetId="2" r:id="rId5"/>
    <sheet name="4.1 ACE EFF SEN" sheetId="7" r:id="rId6"/>
    <sheet name="4.2 ACE EFF WOL" sheetId="8" r:id="rId7"/>
    <sheet name="4.3 ACE EFF CAN" sheetId="9" r:id="rId8"/>
    <sheet name="4.4 ACE MAX SEN " sheetId="13" r:id="rId9"/>
    <sheet name="4.5 ACE MAX WOL " sheetId="14" r:id="rId10"/>
    <sheet name="4.6 ACE MAX CAN " sheetId="15" r:id="rId11"/>
    <sheet name="5. Consolidation" sheetId="17" r:id="rId12"/>
    <sheet name="5.1 Budget" sheetId="18" r:id="rId13"/>
    <sheet name="5.2 Actions" sheetId="19" r:id="rId14"/>
    <sheet name="6. Mesures_ Budget_ Maximaliste" sheetId="6" r:id="rId15"/>
    <sheet name="7. PGE_Efficacité" sheetId="12" r:id="rId16"/>
    <sheet name="8. Hiérarchie" sheetId="5" r:id="rId17"/>
    <sheet name="9.DSimply_parties_prenantes" sheetId="20" r:id="rId18"/>
    <sheet name="10,DSimply_mesures" sheetId="21" r:id="rId19"/>
    <sheet name="11.DSimply_actions" sheetId="22" r:id="rId20"/>
    <sheet name="12.Validation co" sheetId="23" r:id="rId21"/>
  </sheets>
  <externalReferences>
    <externalReference r:id="rId22"/>
    <externalReference r:id="rId23"/>
    <externalReference r:id="rId24"/>
    <externalReference r:id="rId25"/>
  </externalReferences>
  <definedNames>
    <definedName name="_xlnm._FilterDatabase" localSheetId="1" hidden="1">'1. Mesures'!$A$1:$BL$116</definedName>
    <definedName name="_xlnm._FilterDatabase" localSheetId="18" hidden="1">'10,DSimply_mesures'!$A$1:$M$191</definedName>
    <definedName name="_xlnm._FilterDatabase" localSheetId="19" hidden="1">'11.DSimply_actions'!$A$1:$V$712</definedName>
    <definedName name="_xlnm._FilterDatabase" localSheetId="2" hidden="1">'2. Mesures_Budget_Eff_tot'!$A$1:$I$1385</definedName>
    <definedName name="_xlnm._FilterDatabase" localSheetId="4" hidden="1">'4. Mesures_ACE_Budget'!$A$2:$AB$32</definedName>
    <definedName name="_xlnm._FilterDatabase" localSheetId="5" hidden="1">'4.1 ACE EFF SEN'!$A$5:$AK$210</definedName>
    <definedName name="_xlnm._FilterDatabase" localSheetId="6" hidden="1">'4.2 ACE EFF WOL'!$D$4:$AN$127</definedName>
    <definedName name="_xlnm._FilterDatabase" localSheetId="7" hidden="1">'4.3 ACE EFF CAN'!$D$5:$AN$162</definedName>
    <definedName name="_xlnm._FilterDatabase" localSheetId="8" hidden="1">'4.4 ACE MAX SEN '!$A$5:$AK$211</definedName>
    <definedName name="_xlnm._FilterDatabase" localSheetId="9" hidden="1">'4.5 ACE MAX WOL '!$D$5:$AN$153</definedName>
    <definedName name="_xlnm._FilterDatabase" localSheetId="10" hidden="1">'4.6 ACE MAX CAN '!$D$5:$AN$174</definedName>
    <definedName name="_xlnm._FilterDatabase" localSheetId="11" hidden="1">'5. Consolidation'!$A$2:$V$715</definedName>
    <definedName name="_xlnm._FilterDatabase" localSheetId="12" hidden="1">'5.1 Budget'!$A$3:$P$729</definedName>
    <definedName name="_xlnm._FilterDatabase" localSheetId="13" hidden="1">'5.2 Actions'!$A$2:$H$910</definedName>
    <definedName name="_xlnm._FilterDatabase" localSheetId="14" hidden="1">'6. Mesures_ Budget_ Maximaliste'!$A$3:$FU$34</definedName>
    <definedName name="_xlnm._FilterDatabase" localSheetId="15" hidden="1">'7. PGE_Efficacité'!$A$1:$CY$266</definedName>
    <definedName name="_xlnm._FilterDatabase" localSheetId="17" hidden="1">'9.DSimply_parties_prenantes'!$A$16:$E$68</definedName>
    <definedName name="_ftn1" localSheetId="13">'5.2 Actions'!$A$387</definedName>
    <definedName name="_ftnref1" localSheetId="13">'5.2 Actions'!#REF!</definedName>
    <definedName name="Flag_Axe">Tableau1[[Flag Axe ]]</definedName>
    <definedName name="_xlnm.Print_Titles" localSheetId="5">'4.1 ACE EFF SEN'!$A:$F</definedName>
    <definedName name="Z_05EA9C1E_0E60_441F_BECF_7BB2D28F9AB5_.wvu.FilterData" localSheetId="11" hidden="1">'5. Consolidation'!$A$2:$V$227</definedName>
    <definedName name="Z_05EA9C1E_0E60_441F_BECF_7BB2D28F9AB5_.wvu.FilterData" localSheetId="12" hidden="1">'5.1 Budget'!$A$3:$P$55</definedName>
    <definedName name="Z_05EA9C1E_0E60_441F_BECF_7BB2D28F9AB5_.wvu.FilterData" localSheetId="13" hidden="1">'5.2 Actions'!$A$2:$H$910</definedName>
    <definedName name="Z_05EA9C1E_0E60_441F_BECF_7BB2D28F9AB5_.wvu.FilterData" localSheetId="15" hidden="1">'7. PGE_Efficacité'!$A$1:$CY$259</definedName>
    <definedName name="Z_05EA9C1E_0E60_441F_BECF_7BB2D28F9AB5_.wvu.Rows" localSheetId="15" hidden="1">'7. PGE_Efficacité'!$7:$20,'7. PGE_Efficacité'!$22:$49,'7. PGE_Efficacité'!$51:$59,'7. PGE_Efficacité'!$61:$74,'7. PGE_Efficacité'!$76:$98,'7. PGE_Efficacité'!$100:$106,'7. PGE_Efficacité'!$108:$113,'7. PGE_Efficacité'!$125:$133,'7. PGE_Efficacité'!$135:$138,'7. PGE_Efficacité'!$140:$153,'7. PGE_Efficacité'!$164:$167,'7. PGE_Efficacité'!$170:$173,'7. PGE_Efficacité'!$175:$180,'7. PGE_Efficacité'!$182:$192,'7. PGE_Efficacité'!$196:$205,'7. PGE_Efficacité'!$207:$218,'7. PGE_Efficacité'!$221:$228,'7. PGE_Efficacité'!$230:$242,'7. PGE_Efficacité'!#REF!,'7. PGE_Efficacité'!#REF!</definedName>
    <definedName name="Z_14464947_A40D_4C3A_9B12_73E49ABD9687_.wvu.FilterData" localSheetId="18" hidden="1">'10,DSimply_mesures'!$A$1:$M$191</definedName>
    <definedName name="Z_2A208969_440E_4ADA_BF29_C2F98561BEEF_.wvu.FilterData" localSheetId="13" hidden="1">'5.2 Actions'!$A$2:$H$910</definedName>
    <definedName name="Z_2A208969_440E_4ADA_BF29_C2F98561BEEF_.wvu.FilterData" localSheetId="15" hidden="1">'7. PGE_Efficacité'!$A$1:$CY$259</definedName>
    <definedName name="Z_2B8870A6_A7C7_4DFE_ADB9_6798A2038C02_.wvu.FilterData" localSheetId="13" hidden="1">'5.2 Actions'!$A$2:$H$910</definedName>
    <definedName name="Z_2B8870A6_A7C7_4DFE_ADB9_6798A2038C02_.wvu.FilterData" localSheetId="15" hidden="1">'7. PGE_Efficacité'!$A$1:$CY$266</definedName>
    <definedName name="Z_329B1E26_C722_4539_8062_4A25B19454BF_.wvu.FilterData" localSheetId="13" hidden="1">'5.2 Actions'!$A$2:$H$910</definedName>
    <definedName name="Z_4606EC57_522C_44D5_8F77_9AC511772434_.wvu.FilterData" localSheetId="13" hidden="1">'5.2 Actions'!$A$2:$H$910</definedName>
    <definedName name="Z_509501E5_8BA5_4232_8DBE_DFCADFAE6D5B_.wvu.FilterData" localSheetId="15" hidden="1">'7. PGE_Efficacité'!$A$1:$CY$266</definedName>
    <definedName name="Z_645AE98C_6953_4449_B739_5BAF84A91631_.wvu.FilterData" localSheetId="18" hidden="1">'10,DSimply_mesures'!$A$1:$M$191</definedName>
    <definedName name="Z_69F66513_726A_4041_BBDD_E8311DF622A7_.wvu.FilterData" localSheetId="13" hidden="1">'5.2 Actions'!$A$2:$H$910</definedName>
    <definedName name="Z_6F4699E4_61E0_4F72_A87D_3552E39DD65C_.wvu.Cols" localSheetId="1" hidden="1">'1. Mesures'!$L:$AZ</definedName>
    <definedName name="Z_74DF84E9_F318_4200_B3C4_E6975FB620B1_.wvu.FilterData" localSheetId="18" hidden="1">'10,DSimply_mesures'!$A$1:$M$191</definedName>
    <definedName name="Z_86801B60_A639_48D4_A92A_EBDB9C16EB3F_.wvu.FilterData" localSheetId="12" hidden="1">'5.1 Budget'!$A$3:$P$309</definedName>
    <definedName name="Z_86801B60_A639_48D4_A92A_EBDB9C16EB3F_.wvu.FilterData" localSheetId="13" hidden="1">'5.2 Actions'!$A$2:$H$910</definedName>
    <definedName name="Z_86801B60_A639_48D4_A92A_EBDB9C16EB3F_.wvu.FilterData" localSheetId="15" hidden="1">'7. PGE_Efficacité'!$A$1:$CY$259</definedName>
    <definedName name="Z_8C939D42_BC43_4D4F_A707_0E533063D898_.wvu.Cols" localSheetId="15" hidden="1">'7. PGE_Efficacité'!$AQ:$BT</definedName>
    <definedName name="Z_8C939D42_BC43_4D4F_A707_0E533063D898_.wvu.FilterData" localSheetId="11" hidden="1">'5. Consolidation'!$A$2:$V$685</definedName>
    <definedName name="Z_8C939D42_BC43_4D4F_A707_0E533063D898_.wvu.FilterData" localSheetId="12" hidden="1">'5.1 Budget'!$A$3:$P$309</definedName>
    <definedName name="Z_8C939D42_BC43_4D4F_A707_0E533063D898_.wvu.FilterData" localSheetId="13" hidden="1">'5.2 Actions'!$A$2:$H$910</definedName>
    <definedName name="Z_8C939D42_BC43_4D4F_A707_0E533063D898_.wvu.FilterData" localSheetId="15" hidden="1">'7. PGE_Efficacité'!$A$1:$CY$266</definedName>
    <definedName name="Z_8FD43D6E_CE1E_40AC_89F7_769A76310E41_.wvu.FilterData" localSheetId="15" hidden="1">'7. PGE_Efficacité'!$A$1:$CY$259</definedName>
    <definedName name="Z_99E44F65_3438_49CB_A714_4E5F159D4A7B_.wvu.FilterData" localSheetId="15" hidden="1">'7. PGE_Efficacité'!$A$1:$CY$266</definedName>
    <definedName name="Z_9AD83D75_849F_4832_92F7_954A54D92D0A_.wvu.FilterData" localSheetId="18" hidden="1">'10,DSimply_mesures'!$A$1:$M$191</definedName>
    <definedName name="Z_9C71C84A_520B_4CB7_BFAE_0BCAC5011D9E_.wvu.Cols" localSheetId="15" hidden="1">'7. PGE_Efficacité'!$AQ:$BT</definedName>
    <definedName name="Z_9C71C84A_520B_4CB7_BFAE_0BCAC5011D9E_.wvu.FilterData" localSheetId="11" hidden="1">'5. Consolidation'!$A$2:$V$227</definedName>
    <definedName name="Z_9C71C84A_520B_4CB7_BFAE_0BCAC5011D9E_.wvu.FilterData" localSheetId="12" hidden="1">'5.1 Budget'!$A$3:$P$428</definedName>
    <definedName name="Z_9C71C84A_520B_4CB7_BFAE_0BCAC5011D9E_.wvu.FilterData" localSheetId="13" hidden="1">'5.2 Actions'!$A$2:$H$910</definedName>
    <definedName name="Z_9C71C84A_520B_4CB7_BFAE_0BCAC5011D9E_.wvu.FilterData" localSheetId="15" hidden="1">'7. PGE_Efficacité'!$A$1:$CY$266</definedName>
    <definedName name="Z_A3AD575D_69DF_4F9D_89EC_2ACEE2AD2DED_.wvu.FilterData" localSheetId="18" hidden="1">'10,DSimply_mesures'!$A$1:$M$191</definedName>
    <definedName name="Z_A4112122_6CAE_4B52_A22A_3943B7DBE2B7_.wvu.FilterData" localSheetId="18" hidden="1">'10,DSimply_mesures'!$A$1:$M$191</definedName>
    <definedName name="Z_BE3145AA_C0F2_4912_8FC9_60B0F0FD3CDE_.wvu.FilterData" localSheetId="11" hidden="1">'5. Consolidation'!$A$2:$V$227</definedName>
    <definedName name="Z_BE3145AA_C0F2_4912_8FC9_60B0F0FD3CDE_.wvu.FilterData" localSheetId="12" hidden="1">'5.1 Budget'!$A$3:$P$428</definedName>
    <definedName name="Z_BE3145AA_C0F2_4912_8FC9_60B0F0FD3CDE_.wvu.FilterData" localSheetId="13" hidden="1">'5.2 Actions'!$A$2:$H$910</definedName>
    <definedName name="Z_BE3145AA_C0F2_4912_8FC9_60B0F0FD3CDE_.wvu.FilterData" localSheetId="15" hidden="1">'7. PGE_Efficacité'!$A$1:$CY$266</definedName>
    <definedName name="Z_BE3EE00A_D71D_42E2_9B4E_9074C9F164D4_.wvu.Cols" localSheetId="1" hidden="1">'1. Mesures'!$L:$AZ</definedName>
    <definedName name="Z_BE6182CE_D319_4140_B118_CA6D2832699E_.wvu.FilterData" localSheetId="11" hidden="1">'5. Consolidation'!$A$2:$V$227</definedName>
    <definedName name="Z_BE6182CE_D319_4140_B118_CA6D2832699E_.wvu.FilterData" localSheetId="12" hidden="1">'5.1 Budget'!$A$3:$P$405</definedName>
    <definedName name="Z_BE6182CE_D319_4140_B118_CA6D2832699E_.wvu.FilterData" localSheetId="13" hidden="1">'5.2 Actions'!$A$2:$H$910</definedName>
    <definedName name="Z_BE6182CE_D319_4140_B118_CA6D2832699E_.wvu.FilterData" localSheetId="15" hidden="1">'7. PGE_Efficacité'!$A$1:$CY$259</definedName>
    <definedName name="Z_BE6182CE_D319_4140_B118_CA6D2832699E_.wvu.Rows" localSheetId="15" hidden="1">'7. PGE_Efficacité'!$7:$20,'7. PGE_Efficacité'!$22:$49,'7. PGE_Efficacité'!$51:$59,'7. PGE_Efficacité'!$61:$74,'7. PGE_Efficacité'!$76:$98,'7. PGE_Efficacité'!$100:$106,'7. PGE_Efficacité'!$108:$113,'7. PGE_Efficacité'!$115:$123,'7. PGE_Efficacité'!$125:$133,'7. PGE_Efficacité'!$135:$138,'7. PGE_Efficacité'!$140:$153,'7. PGE_Efficacité'!$155:$161,'7. PGE_Efficacité'!$164:$167,'7. PGE_Efficacité'!$170:$173,'7. PGE_Efficacité'!$175:$180,'7. PGE_Efficacité'!$182:$192,'7. PGE_Efficacité'!$196:$205,'7. PGE_Efficacité'!$207:$218,'7. PGE_Efficacité'!$221:$228,'7. PGE_Efficacité'!$230:$242,'7. PGE_Efficacité'!$244:$259,'7. PGE_Efficacité'!#REF!</definedName>
    <definedName name="Z_C6F22C94_DAA2_4B86_A706_3B56401871EA_.wvu.FilterData" localSheetId="11" hidden="1">'5. Consolidation'!$A$2:$V$227</definedName>
    <definedName name="Z_C6F22C94_DAA2_4B86_A706_3B56401871EA_.wvu.FilterData" localSheetId="12" hidden="1">'5.1 Budget'!$A$3:$P$309</definedName>
    <definedName name="Z_C6F22C94_DAA2_4B86_A706_3B56401871EA_.wvu.FilterData" localSheetId="13" hidden="1">'5.2 Actions'!$A$2:$H$910</definedName>
    <definedName name="Z_C6F22C94_DAA2_4B86_A706_3B56401871EA_.wvu.FilterData" localSheetId="15" hidden="1">'7. PGE_Efficacité'!$A$1:$CY$266</definedName>
    <definedName name="Z_E89FEA8E_AB8F_40BD_8274_BD56A0013097_.wvu.FilterData" localSheetId="18" hidden="1">'10,DSimply_mesures'!$A$1:$M$191</definedName>
    <definedName name="Z_EB9B55FA_74DB_4842_AB81_D8D74C8DFFB6_.wvu.FilterData" localSheetId="18" hidden="1">'10,DSimply_mesures'!$A$1:$M$191</definedName>
    <definedName name="Z_EDADD86A_3C68_4CC8_8D6C_DA8B027C4946_.wvu.FilterData" localSheetId="18" hidden="1">'10,DSimply_mesures'!$A$1:$M$191</definedName>
    <definedName name="Z_EEC9FC3E_95A6_4F65_8B4C_04653817FDB6_.wvu.FilterData" localSheetId="13" hidden="1">'5.2 Actions'!$A$2:$H$910</definedName>
    <definedName name="Z_EEC9FC3E_95A6_4F65_8B4C_04653817FDB6_.wvu.FilterData" localSheetId="15" hidden="1">'7. PGE_Efficacité'!$A$1:$CY$259</definedName>
    <definedName name="Z_EF54F107_4E56_41C4_B59A_31FB3D27216D_.wvu.Cols" localSheetId="1" hidden="1">'1. Mesures'!$L:$AZ</definedName>
    <definedName name="Z_F77512CF_B8F0_428C_B668_372B9839C30A_.wvu.FilterData" localSheetId="13" hidden="1">'5.2 Actions'!$A$2:$H$910</definedName>
    <definedName name="Z_FB4661B4_AD04_4A22_9D4E_D8882DC70A1B_.wvu.FilterData" localSheetId="13" hidden="1">'5.2 Actions'!$A$2:$H$910</definedName>
    <definedName name="Z_FB4661B4_AD04_4A22_9D4E_D8882DC70A1B_.wvu.FilterData" localSheetId="15" hidden="1">'7. PGE_Efficacité'!$A$1:$CY$266</definedName>
  </definedNames>
  <calcPr calcId="191029"/>
  <customWorkbookViews>
    <customWorkbookView name="FRAGAPANE Pietro - Affichage personnalisé" guid="{EF54F107-4E56-41C4-B59A-31FB3D27216D}" mergeInterval="0" personalView="1" maximized="1" xWindow="-9" yWindow="-9" windowWidth="2418" windowHeight="1318" activeSheetId="3"/>
    <customWorkbookView name="BINON Martin - Affichage personnalisé" guid="{BE3EE00A-D71D-42E2-9B4E-9074C9F164D4}" mergeInterval="0" personalView="1" maximized="1" xWindow="-8" yWindow="-8" windowWidth="1936" windowHeight="1056" activeSheetId="1"/>
    <customWorkbookView name="THIENPONT Alice - Affichage personnalisé" guid="{6F4699E4-61E0-4F72-A87D-3552E39DD65C}" mergeInterval="0" personalView="1" maximized="1" xWindow="-11" yWindow="-11" windowWidth="1942" windowHeight="1042" activeSheetId="1"/>
  </customWorkbookViews>
  <pivotCaches>
    <pivotCache cacheId="0"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 i="9" l="1"/>
  <c r="D30" i="2"/>
  <c r="F194" i="7"/>
  <c r="I144" i="9"/>
  <c r="I143" i="9"/>
  <c r="I142" i="9"/>
  <c r="I140" i="9"/>
  <c r="I115" i="8"/>
  <c r="I113" i="8"/>
  <c r="I111" i="8"/>
  <c r="I114" i="8"/>
  <c r="F186" i="7"/>
  <c r="F192" i="7"/>
  <c r="F190" i="7"/>
  <c r="F188" i="7"/>
  <c r="F191" i="7"/>
  <c r="E29" i="2"/>
  <c r="F29" i="2"/>
  <c r="G29" i="2"/>
  <c r="D29" i="2"/>
  <c r="G255" i="17"/>
  <c r="O135" i="15"/>
  <c r="O136" i="15"/>
  <c r="O137" i="15"/>
  <c r="O138" i="15"/>
  <c r="O139" i="15"/>
  <c r="O140" i="15"/>
  <c r="O141" i="15"/>
  <c r="O142" i="15"/>
  <c r="O143" i="15"/>
  <c r="O144" i="15"/>
  <c r="O145" i="15"/>
  <c r="O146" i="15"/>
  <c r="O134" i="15"/>
  <c r="J139" i="15"/>
  <c r="K139" i="15"/>
  <c r="L139" i="15"/>
  <c r="M139" i="15"/>
  <c r="N139" i="15"/>
  <c r="P139" i="15"/>
  <c r="Q139" i="15"/>
  <c r="R139" i="15"/>
  <c r="S139" i="15"/>
  <c r="T139" i="15"/>
  <c r="U139" i="15"/>
  <c r="V139" i="15"/>
  <c r="W139" i="15"/>
  <c r="X139" i="15"/>
  <c r="Y139" i="15"/>
  <c r="Z139" i="15"/>
  <c r="AA139" i="15"/>
  <c r="AB139" i="15"/>
  <c r="AC139" i="15"/>
  <c r="AD139" i="15"/>
  <c r="AE139" i="15"/>
  <c r="AF139" i="15"/>
  <c r="AG139" i="15"/>
  <c r="AH139" i="15"/>
  <c r="AI139" i="15"/>
  <c r="AJ139" i="15"/>
  <c r="AK139" i="15"/>
  <c r="AL139" i="15"/>
  <c r="AM139" i="15"/>
  <c r="AN139" i="15"/>
  <c r="J140" i="15"/>
  <c r="K140" i="15"/>
  <c r="L140" i="15"/>
  <c r="M140" i="15"/>
  <c r="N140" i="15"/>
  <c r="P140" i="15"/>
  <c r="Q140" i="15"/>
  <c r="R140" i="15"/>
  <c r="S140" i="15"/>
  <c r="T140" i="15"/>
  <c r="U140" i="15"/>
  <c r="V140" i="15"/>
  <c r="W140" i="15"/>
  <c r="X140" i="15"/>
  <c r="Y140" i="15"/>
  <c r="Z140" i="15"/>
  <c r="AA140" i="15"/>
  <c r="AB140" i="15"/>
  <c r="AC140" i="15"/>
  <c r="AD140" i="15"/>
  <c r="AE140" i="15"/>
  <c r="AF140" i="15"/>
  <c r="AG140" i="15"/>
  <c r="AH140" i="15"/>
  <c r="AI140" i="15"/>
  <c r="AJ140" i="15"/>
  <c r="AK140" i="15"/>
  <c r="AL140" i="15"/>
  <c r="AM140" i="15"/>
  <c r="AN140" i="15"/>
  <c r="J141" i="15"/>
  <c r="K141" i="15"/>
  <c r="L141" i="15"/>
  <c r="M141" i="15"/>
  <c r="N141" i="15"/>
  <c r="P141" i="15"/>
  <c r="Q141" i="15"/>
  <c r="R141" i="15"/>
  <c r="S141" i="15"/>
  <c r="T141" i="15"/>
  <c r="U141" i="15"/>
  <c r="V141" i="15"/>
  <c r="W141" i="15"/>
  <c r="X141" i="15"/>
  <c r="Y141" i="15"/>
  <c r="Z141" i="15"/>
  <c r="AA141" i="15"/>
  <c r="AB141" i="15"/>
  <c r="AC141" i="15"/>
  <c r="AD141" i="15"/>
  <c r="AE141" i="15"/>
  <c r="AF141" i="15"/>
  <c r="AG141" i="15"/>
  <c r="AH141" i="15"/>
  <c r="AI141" i="15"/>
  <c r="AJ141" i="15"/>
  <c r="AK141" i="15"/>
  <c r="AL141" i="15"/>
  <c r="AM141" i="15"/>
  <c r="AN141" i="15"/>
  <c r="J142" i="15"/>
  <c r="K142" i="15"/>
  <c r="L142" i="15"/>
  <c r="M142" i="15"/>
  <c r="N142" i="15"/>
  <c r="P142" i="15"/>
  <c r="Q142" i="15"/>
  <c r="R142" i="15"/>
  <c r="S142" i="15"/>
  <c r="T142" i="15"/>
  <c r="U142" i="15"/>
  <c r="V142" i="15"/>
  <c r="W142" i="15"/>
  <c r="X142" i="15"/>
  <c r="Y142" i="15"/>
  <c r="Z142" i="15"/>
  <c r="AA142" i="15"/>
  <c r="AB142" i="15"/>
  <c r="AC142" i="15"/>
  <c r="AD142" i="15"/>
  <c r="AE142" i="15"/>
  <c r="AF142" i="15"/>
  <c r="AG142" i="15"/>
  <c r="AH142" i="15"/>
  <c r="AI142" i="15"/>
  <c r="AJ142" i="15"/>
  <c r="AK142" i="15"/>
  <c r="AL142" i="15"/>
  <c r="AM142" i="15"/>
  <c r="AN142" i="15"/>
  <c r="J143" i="15"/>
  <c r="K143" i="15"/>
  <c r="L143" i="15"/>
  <c r="M143" i="15"/>
  <c r="N143" i="15"/>
  <c r="P143" i="15"/>
  <c r="Q143" i="15"/>
  <c r="R143" i="15"/>
  <c r="S143" i="15"/>
  <c r="T143" i="15"/>
  <c r="U143" i="15"/>
  <c r="V143" i="15"/>
  <c r="W143" i="15"/>
  <c r="X143" i="15"/>
  <c r="Y143" i="15"/>
  <c r="Z143" i="15"/>
  <c r="AA143" i="15"/>
  <c r="AB143" i="15"/>
  <c r="AC143" i="15"/>
  <c r="AD143" i="15"/>
  <c r="AE143" i="15"/>
  <c r="AF143" i="15"/>
  <c r="AG143" i="15"/>
  <c r="AH143" i="15"/>
  <c r="AI143" i="15"/>
  <c r="AJ143" i="15"/>
  <c r="AK143" i="15"/>
  <c r="AL143" i="15"/>
  <c r="AM143" i="15"/>
  <c r="AN143" i="15"/>
  <c r="J144" i="15"/>
  <c r="K144" i="15"/>
  <c r="L144" i="15"/>
  <c r="M144" i="15"/>
  <c r="N144" i="15"/>
  <c r="P144" i="15"/>
  <c r="Q144" i="15"/>
  <c r="R144" i="15"/>
  <c r="S144" i="15"/>
  <c r="T144" i="15"/>
  <c r="U144" i="15"/>
  <c r="V144" i="15"/>
  <c r="W144" i="15"/>
  <c r="X144" i="15"/>
  <c r="Y144" i="15"/>
  <c r="Z144" i="15"/>
  <c r="AA144" i="15"/>
  <c r="AB144" i="15"/>
  <c r="AC144" i="15"/>
  <c r="AD144" i="15"/>
  <c r="AE144" i="15"/>
  <c r="AF144" i="15"/>
  <c r="AG144" i="15"/>
  <c r="AH144" i="15"/>
  <c r="AI144" i="15"/>
  <c r="AJ144" i="15"/>
  <c r="AK144" i="15"/>
  <c r="AL144" i="15"/>
  <c r="AM144" i="15"/>
  <c r="AN144" i="15"/>
  <c r="J145" i="15"/>
  <c r="K145" i="15"/>
  <c r="L145" i="15"/>
  <c r="M145" i="15"/>
  <c r="N145" i="15"/>
  <c r="P145" i="15"/>
  <c r="Q145" i="15"/>
  <c r="R145" i="15"/>
  <c r="S145" i="15"/>
  <c r="T145" i="15"/>
  <c r="U145" i="15"/>
  <c r="V145" i="15"/>
  <c r="W145" i="15"/>
  <c r="X145" i="15"/>
  <c r="Y145" i="15"/>
  <c r="Z145" i="15"/>
  <c r="AA145" i="15"/>
  <c r="AB145" i="15"/>
  <c r="AC145" i="15"/>
  <c r="AD145" i="15"/>
  <c r="AE145" i="15"/>
  <c r="AF145" i="15"/>
  <c r="AG145" i="15"/>
  <c r="AH145" i="15"/>
  <c r="AI145" i="15"/>
  <c r="AJ145" i="15"/>
  <c r="AK145" i="15"/>
  <c r="AL145" i="15"/>
  <c r="AM145" i="15"/>
  <c r="AN145" i="15"/>
  <c r="J146" i="15"/>
  <c r="K146" i="15"/>
  <c r="L146" i="15"/>
  <c r="M146" i="15"/>
  <c r="N146" i="15"/>
  <c r="P146" i="15"/>
  <c r="Q146" i="15"/>
  <c r="R146" i="15"/>
  <c r="S146" i="15"/>
  <c r="T146" i="15"/>
  <c r="U146" i="15"/>
  <c r="V146" i="15"/>
  <c r="W146" i="15"/>
  <c r="X146" i="15"/>
  <c r="Y146" i="15"/>
  <c r="Z146" i="15"/>
  <c r="AA146" i="15"/>
  <c r="AB146" i="15"/>
  <c r="AC146" i="15"/>
  <c r="AD146" i="15"/>
  <c r="AE146" i="15"/>
  <c r="AF146" i="15"/>
  <c r="AG146" i="15"/>
  <c r="AH146" i="15"/>
  <c r="AI146" i="15"/>
  <c r="AJ146" i="15"/>
  <c r="AK146" i="15"/>
  <c r="AL146" i="15"/>
  <c r="AM146" i="15"/>
  <c r="AN146" i="15"/>
  <c r="F132" i="15"/>
  <c r="O163" i="15"/>
  <c r="K163" i="15"/>
  <c r="L163" i="15"/>
  <c r="M163" i="15"/>
  <c r="N163" i="15"/>
  <c r="P163" i="15"/>
  <c r="Q163" i="15"/>
  <c r="R163" i="15"/>
  <c r="S163" i="15"/>
  <c r="T163" i="15"/>
  <c r="U163" i="15"/>
  <c r="V163" i="15"/>
  <c r="W163" i="15"/>
  <c r="X163" i="15"/>
  <c r="Y163" i="15"/>
  <c r="Z163" i="15"/>
  <c r="AA163" i="15"/>
  <c r="AB163" i="15"/>
  <c r="AC163" i="15"/>
  <c r="AD163" i="15"/>
  <c r="AE163" i="15"/>
  <c r="AF163" i="15"/>
  <c r="AG163" i="15"/>
  <c r="AH163" i="15"/>
  <c r="AI163" i="15"/>
  <c r="AJ163" i="15"/>
  <c r="AK163" i="15"/>
  <c r="AL163" i="15"/>
  <c r="AM163" i="15"/>
  <c r="AN163" i="15"/>
  <c r="J163" i="15"/>
  <c r="O156" i="15"/>
  <c r="O155" i="15"/>
  <c r="O154" i="15"/>
  <c r="O153" i="15"/>
  <c r="O152" i="15"/>
  <c r="O151" i="15"/>
  <c r="O150" i="15"/>
  <c r="O149" i="15"/>
  <c r="O148" i="15"/>
  <c r="O147" i="15"/>
  <c r="O133" i="15"/>
  <c r="O132" i="15"/>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9" i="15"/>
  <c r="O8" i="15"/>
  <c r="O7" i="15"/>
  <c r="AK206" i="13"/>
  <c r="AJ206" i="13"/>
  <c r="AI206" i="13"/>
  <c r="AH206" i="13"/>
  <c r="AG206" i="13"/>
  <c r="AF206" i="13"/>
  <c r="AE206" i="13"/>
  <c r="AD206" i="13"/>
  <c r="AC206" i="13"/>
  <c r="AB206" i="13"/>
  <c r="AA206" i="13"/>
  <c r="Z206" i="13"/>
  <c r="Y206" i="13"/>
  <c r="X206" i="13"/>
  <c r="W206" i="13"/>
  <c r="V206" i="13"/>
  <c r="U206" i="13"/>
  <c r="T206" i="13"/>
  <c r="S206" i="13"/>
  <c r="R206" i="13"/>
  <c r="Q206" i="13"/>
  <c r="P206" i="13"/>
  <c r="O206" i="13"/>
  <c r="N206" i="13"/>
  <c r="M206" i="13"/>
  <c r="L206" i="13"/>
  <c r="K206" i="13"/>
  <c r="J206" i="13"/>
  <c r="I206" i="13"/>
  <c r="H206" i="13"/>
  <c r="G206" i="13"/>
  <c r="AK200" i="13"/>
  <c r="AJ200" i="13"/>
  <c r="AI200" i="13"/>
  <c r="AH200" i="13"/>
  <c r="AG200" i="13"/>
  <c r="AF200" i="13"/>
  <c r="AE200" i="13"/>
  <c r="AD200" i="13"/>
  <c r="AC200" i="13"/>
  <c r="AB200" i="13"/>
  <c r="AA200" i="13"/>
  <c r="Z200" i="13"/>
  <c r="Y200" i="13"/>
  <c r="X200" i="13"/>
  <c r="W200" i="13"/>
  <c r="V200" i="13"/>
  <c r="U200" i="13"/>
  <c r="T200" i="13"/>
  <c r="S200" i="13"/>
  <c r="R200" i="13"/>
  <c r="Q200" i="13"/>
  <c r="P200" i="13"/>
  <c r="O200" i="13"/>
  <c r="N200" i="13"/>
  <c r="M200" i="13"/>
  <c r="L200" i="13"/>
  <c r="K200" i="13"/>
  <c r="J200" i="13"/>
  <c r="I200" i="13"/>
  <c r="H200" i="13"/>
  <c r="G200" i="13"/>
  <c r="AK193" i="13"/>
  <c r="AJ193" i="13"/>
  <c r="AI193" i="13"/>
  <c r="AH193" i="13"/>
  <c r="AG193" i="13"/>
  <c r="AF193" i="13"/>
  <c r="AE193" i="13"/>
  <c r="AD193" i="13"/>
  <c r="AC193" i="13"/>
  <c r="AB193" i="13"/>
  <c r="AA193" i="13"/>
  <c r="Z193" i="13"/>
  <c r="Y193" i="13"/>
  <c r="X193" i="13"/>
  <c r="W193" i="13"/>
  <c r="V193" i="13"/>
  <c r="U193" i="13"/>
  <c r="T193" i="13"/>
  <c r="S193" i="13"/>
  <c r="R193" i="13"/>
  <c r="Q193" i="13"/>
  <c r="P193" i="13"/>
  <c r="O193" i="13"/>
  <c r="N193" i="13"/>
  <c r="M193" i="13"/>
  <c r="L193" i="13"/>
  <c r="K193" i="13"/>
  <c r="J193" i="13"/>
  <c r="I193" i="13"/>
  <c r="H193" i="13"/>
  <c r="G193" i="13"/>
  <c r="AK192" i="13"/>
  <c r="AJ192" i="13"/>
  <c r="AI192" i="13"/>
  <c r="AH192" i="13"/>
  <c r="AG192" i="13"/>
  <c r="AF192" i="13"/>
  <c r="AE192" i="13"/>
  <c r="AD192" i="13"/>
  <c r="AC192" i="13"/>
  <c r="AB192" i="13"/>
  <c r="AA192" i="13"/>
  <c r="Z192" i="13"/>
  <c r="Y192" i="13"/>
  <c r="X192" i="13"/>
  <c r="W192" i="13"/>
  <c r="V192" i="13"/>
  <c r="U192" i="13"/>
  <c r="T192" i="13"/>
  <c r="S192" i="13"/>
  <c r="R192" i="13"/>
  <c r="Q192" i="13"/>
  <c r="P192" i="13"/>
  <c r="O192" i="13"/>
  <c r="N192" i="13"/>
  <c r="M192" i="13"/>
  <c r="L192" i="13"/>
  <c r="K192" i="13"/>
  <c r="J192" i="13"/>
  <c r="I192" i="13"/>
  <c r="H192" i="13"/>
  <c r="G192" i="13"/>
  <c r="AK191" i="13"/>
  <c r="AJ191" i="13"/>
  <c r="AI191" i="13"/>
  <c r="AH191" i="13"/>
  <c r="AG191" i="13"/>
  <c r="AF191" i="13"/>
  <c r="AE191" i="13"/>
  <c r="AD191" i="13"/>
  <c r="AC191" i="13"/>
  <c r="AB191" i="13"/>
  <c r="AA191" i="13"/>
  <c r="Z191" i="13"/>
  <c r="Y191" i="13"/>
  <c r="X191" i="13"/>
  <c r="W191" i="13"/>
  <c r="V191" i="13"/>
  <c r="U191" i="13"/>
  <c r="T191" i="13"/>
  <c r="S191" i="13"/>
  <c r="R191" i="13"/>
  <c r="Q191" i="13"/>
  <c r="P191" i="13"/>
  <c r="O191" i="13"/>
  <c r="N191" i="13"/>
  <c r="M191" i="13"/>
  <c r="L191" i="13"/>
  <c r="K191" i="13"/>
  <c r="J191" i="13"/>
  <c r="I191" i="13"/>
  <c r="H191" i="13"/>
  <c r="G191" i="13"/>
  <c r="AK190" i="13"/>
  <c r="AJ190" i="13"/>
  <c r="AI190" i="13"/>
  <c r="AH190" i="13"/>
  <c r="AG190" i="13"/>
  <c r="AF190" i="13"/>
  <c r="AE190" i="13"/>
  <c r="AD190" i="13"/>
  <c r="AC190" i="13"/>
  <c r="AB190" i="13"/>
  <c r="AA190" i="13"/>
  <c r="Z190" i="13"/>
  <c r="Y190" i="13"/>
  <c r="X190" i="13"/>
  <c r="W190" i="13"/>
  <c r="V190" i="13"/>
  <c r="U190" i="13"/>
  <c r="T190" i="13"/>
  <c r="S190" i="13"/>
  <c r="R190" i="13"/>
  <c r="Q190" i="13"/>
  <c r="P190" i="13"/>
  <c r="O190" i="13"/>
  <c r="N190" i="13"/>
  <c r="M190" i="13"/>
  <c r="L190" i="13"/>
  <c r="K190" i="13"/>
  <c r="J190" i="13"/>
  <c r="I190" i="13"/>
  <c r="H190" i="13"/>
  <c r="G190" i="13"/>
  <c r="AK189" i="13"/>
  <c r="AJ189" i="13"/>
  <c r="AI189" i="13"/>
  <c r="AH189" i="13"/>
  <c r="AG189" i="13"/>
  <c r="AF189" i="13"/>
  <c r="AE189" i="13"/>
  <c r="AD189" i="13"/>
  <c r="AC189" i="13"/>
  <c r="AB189" i="13"/>
  <c r="AA189" i="13"/>
  <c r="Z189" i="13"/>
  <c r="Y189" i="13"/>
  <c r="X189" i="13"/>
  <c r="W189" i="13"/>
  <c r="V189" i="13"/>
  <c r="U189" i="13"/>
  <c r="T189" i="13"/>
  <c r="S189" i="13"/>
  <c r="R189" i="13"/>
  <c r="Q189" i="13"/>
  <c r="P189" i="13"/>
  <c r="O189" i="13"/>
  <c r="N189" i="13"/>
  <c r="M189" i="13"/>
  <c r="L189" i="13"/>
  <c r="K189" i="13"/>
  <c r="J189" i="13"/>
  <c r="I189" i="13"/>
  <c r="H189" i="13"/>
  <c r="G189" i="13"/>
  <c r="AK188" i="13"/>
  <c r="AJ188" i="13"/>
  <c r="AI188" i="13"/>
  <c r="AH188" i="13"/>
  <c r="AG188" i="13"/>
  <c r="AF188" i="13"/>
  <c r="AE188" i="13"/>
  <c r="AD188" i="13"/>
  <c r="AC188" i="13"/>
  <c r="AB188" i="13"/>
  <c r="AA188" i="13"/>
  <c r="Z188" i="13"/>
  <c r="Y188" i="13"/>
  <c r="X188" i="13"/>
  <c r="W188" i="13"/>
  <c r="V188" i="13"/>
  <c r="U188" i="13"/>
  <c r="T188" i="13"/>
  <c r="S188" i="13"/>
  <c r="R188" i="13"/>
  <c r="Q188" i="13"/>
  <c r="P188" i="13"/>
  <c r="O188" i="13"/>
  <c r="N188" i="13"/>
  <c r="M188" i="13"/>
  <c r="L188" i="13"/>
  <c r="K188" i="13"/>
  <c r="J188" i="13"/>
  <c r="I188" i="13"/>
  <c r="H188" i="13"/>
  <c r="G188" i="13"/>
  <c r="AK186" i="13"/>
  <c r="AJ186" i="13"/>
  <c r="AI186" i="13"/>
  <c r="AH186" i="13"/>
  <c r="AG186" i="13"/>
  <c r="AF186" i="13"/>
  <c r="AE186" i="13"/>
  <c r="AD186" i="13"/>
  <c r="AC186" i="13"/>
  <c r="AB186" i="13"/>
  <c r="AA186" i="13"/>
  <c r="Z186" i="13"/>
  <c r="Y186" i="13"/>
  <c r="X186" i="13"/>
  <c r="W186" i="13"/>
  <c r="V186" i="13"/>
  <c r="U186" i="13"/>
  <c r="T186" i="13"/>
  <c r="S186" i="13"/>
  <c r="R186" i="13"/>
  <c r="Q186" i="13"/>
  <c r="P186" i="13"/>
  <c r="O186" i="13"/>
  <c r="N186" i="13"/>
  <c r="M186" i="13"/>
  <c r="L186" i="13"/>
  <c r="K186" i="13"/>
  <c r="J186" i="13"/>
  <c r="I186" i="13"/>
  <c r="H186" i="13"/>
  <c r="G186"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AK183" i="13"/>
  <c r="AJ183" i="13"/>
  <c r="AI183" i="13"/>
  <c r="AH183" i="13"/>
  <c r="AG183" i="13"/>
  <c r="AF183" i="13"/>
  <c r="AE183" i="13"/>
  <c r="AD183" i="13"/>
  <c r="AC183" i="13"/>
  <c r="AB183" i="13"/>
  <c r="AA183" i="13"/>
  <c r="Z183" i="13"/>
  <c r="Y183" i="13"/>
  <c r="X183" i="13"/>
  <c r="W183" i="13"/>
  <c r="V183" i="13"/>
  <c r="U183" i="13"/>
  <c r="T183" i="13"/>
  <c r="S183" i="13"/>
  <c r="R183" i="13"/>
  <c r="Q183" i="13"/>
  <c r="P183" i="13"/>
  <c r="O183" i="13"/>
  <c r="N183" i="13"/>
  <c r="M183" i="13"/>
  <c r="L183" i="13"/>
  <c r="K183" i="13"/>
  <c r="J183" i="13"/>
  <c r="I183" i="13"/>
  <c r="H183" i="13"/>
  <c r="G183" i="13"/>
  <c r="AK182" i="13"/>
  <c r="AJ182" i="13"/>
  <c r="AI182" i="13"/>
  <c r="AH182" i="13"/>
  <c r="AG182" i="13"/>
  <c r="AF182" i="13"/>
  <c r="AE182" i="13"/>
  <c r="AD182" i="13"/>
  <c r="AC182" i="13"/>
  <c r="AB182" i="13"/>
  <c r="AA182" i="13"/>
  <c r="Z182" i="13"/>
  <c r="Y182" i="13"/>
  <c r="X182" i="13"/>
  <c r="W182" i="13"/>
  <c r="V182" i="13"/>
  <c r="U182" i="13"/>
  <c r="T182" i="13"/>
  <c r="S182" i="13"/>
  <c r="R182" i="13"/>
  <c r="Q182" i="13"/>
  <c r="P182" i="13"/>
  <c r="O182" i="13"/>
  <c r="N182" i="13"/>
  <c r="M182" i="13"/>
  <c r="L182" i="13"/>
  <c r="K182" i="13"/>
  <c r="J182" i="13"/>
  <c r="I182" i="13"/>
  <c r="H182" i="13"/>
  <c r="G182" i="13"/>
  <c r="AK181" i="13"/>
  <c r="AJ181" i="13"/>
  <c r="AI181" i="13"/>
  <c r="AH181" i="13"/>
  <c r="AG181" i="13"/>
  <c r="AF181" i="13"/>
  <c r="AE181" i="13"/>
  <c r="AD181" i="13"/>
  <c r="AC181" i="13"/>
  <c r="AB181" i="13"/>
  <c r="AA181" i="13"/>
  <c r="Z181" i="13"/>
  <c r="Y181" i="13"/>
  <c r="X181" i="13"/>
  <c r="W181" i="13"/>
  <c r="V181" i="13"/>
  <c r="U181" i="13"/>
  <c r="T181" i="13"/>
  <c r="S181" i="13"/>
  <c r="R181" i="13"/>
  <c r="Q181" i="13"/>
  <c r="P181" i="13"/>
  <c r="O181" i="13"/>
  <c r="N181" i="13"/>
  <c r="M181" i="13"/>
  <c r="L181" i="13"/>
  <c r="K181" i="13"/>
  <c r="J181" i="13"/>
  <c r="I181" i="13"/>
  <c r="H181" i="13"/>
  <c r="G181" i="13"/>
  <c r="AK180" i="13"/>
  <c r="AJ180" i="13"/>
  <c r="AI180" i="13"/>
  <c r="AH180" i="13"/>
  <c r="AG180" i="13"/>
  <c r="AF180" i="13"/>
  <c r="AE180" i="13"/>
  <c r="AD180" i="13"/>
  <c r="AC180" i="13"/>
  <c r="AB180" i="13"/>
  <c r="AA180" i="13"/>
  <c r="Z180" i="13"/>
  <c r="Y180" i="13"/>
  <c r="X180" i="13"/>
  <c r="W180" i="13"/>
  <c r="V180" i="13"/>
  <c r="U180" i="13"/>
  <c r="T180" i="13"/>
  <c r="S180" i="13"/>
  <c r="R180" i="13"/>
  <c r="Q180" i="13"/>
  <c r="P180" i="13"/>
  <c r="O180" i="13"/>
  <c r="N180" i="13"/>
  <c r="M180" i="13"/>
  <c r="L180" i="13"/>
  <c r="K180" i="13"/>
  <c r="J180" i="13"/>
  <c r="I180" i="13"/>
  <c r="H180" i="13"/>
  <c r="G180" i="13"/>
  <c r="AK179" i="13"/>
  <c r="AJ179" i="13"/>
  <c r="AI179" i="13"/>
  <c r="AH179" i="13"/>
  <c r="AG179" i="13"/>
  <c r="AF179" i="13"/>
  <c r="AE179" i="13"/>
  <c r="AD179" i="13"/>
  <c r="AC179" i="13"/>
  <c r="AB179" i="13"/>
  <c r="AA179" i="13"/>
  <c r="Z179" i="13"/>
  <c r="Y179" i="13"/>
  <c r="X179" i="13"/>
  <c r="W179" i="13"/>
  <c r="V179" i="13"/>
  <c r="U179" i="13"/>
  <c r="T179" i="13"/>
  <c r="S179" i="13"/>
  <c r="R179" i="13"/>
  <c r="Q179" i="13"/>
  <c r="P179" i="13"/>
  <c r="O179" i="13"/>
  <c r="N179" i="13"/>
  <c r="M179" i="13"/>
  <c r="L179" i="13"/>
  <c r="K179" i="13"/>
  <c r="J179" i="13"/>
  <c r="I179" i="13"/>
  <c r="H179" i="13"/>
  <c r="G179" i="13"/>
  <c r="AK178" i="13"/>
  <c r="AJ178" i="13"/>
  <c r="AI178" i="13"/>
  <c r="AH178" i="13"/>
  <c r="AG178" i="13"/>
  <c r="AF178" i="13"/>
  <c r="AE178" i="13"/>
  <c r="AD178" i="13"/>
  <c r="AC178" i="13"/>
  <c r="AB178" i="13"/>
  <c r="AA178" i="13"/>
  <c r="Z178" i="13"/>
  <c r="Y178" i="13"/>
  <c r="X178" i="13"/>
  <c r="W178" i="13"/>
  <c r="V178" i="13"/>
  <c r="U178" i="13"/>
  <c r="T178" i="13"/>
  <c r="S178" i="13"/>
  <c r="R178" i="13"/>
  <c r="Q178" i="13"/>
  <c r="P178" i="13"/>
  <c r="O178" i="13"/>
  <c r="N178" i="13"/>
  <c r="M178" i="13"/>
  <c r="L178" i="13"/>
  <c r="K178" i="13"/>
  <c r="J178" i="13"/>
  <c r="I178" i="13"/>
  <c r="H178" i="13"/>
  <c r="G178" i="13"/>
  <c r="AK176" i="13"/>
  <c r="AJ176" i="13"/>
  <c r="AI176" i="13"/>
  <c r="AH176" i="13"/>
  <c r="AG176" i="13"/>
  <c r="AF176" i="13"/>
  <c r="AE176" i="13"/>
  <c r="AD176" i="13"/>
  <c r="AC176" i="13"/>
  <c r="AB176" i="13"/>
  <c r="AA176" i="13"/>
  <c r="Z176" i="13"/>
  <c r="Y176" i="13"/>
  <c r="X176" i="13"/>
  <c r="W176" i="13"/>
  <c r="V176" i="13"/>
  <c r="U176" i="13"/>
  <c r="T176" i="13"/>
  <c r="S176" i="13"/>
  <c r="R176" i="13"/>
  <c r="Q176" i="13"/>
  <c r="P176" i="13"/>
  <c r="O176" i="13"/>
  <c r="N176" i="13"/>
  <c r="M176" i="13"/>
  <c r="L176" i="13"/>
  <c r="K176" i="13"/>
  <c r="J176" i="13"/>
  <c r="I176" i="13"/>
  <c r="H176" i="13"/>
  <c r="G176" i="13"/>
  <c r="AK175" i="13"/>
  <c r="AJ175" i="13"/>
  <c r="AI175" i="13"/>
  <c r="AH175" i="13"/>
  <c r="AG175" i="13"/>
  <c r="AF175" i="13"/>
  <c r="AE175" i="13"/>
  <c r="AD175" i="13"/>
  <c r="AC175" i="13"/>
  <c r="AB175" i="13"/>
  <c r="AA175" i="13"/>
  <c r="Z175" i="13"/>
  <c r="Y175" i="13"/>
  <c r="X175" i="13"/>
  <c r="W175" i="13"/>
  <c r="V175" i="13"/>
  <c r="U175" i="13"/>
  <c r="T175" i="13"/>
  <c r="S175" i="13"/>
  <c r="R175" i="13"/>
  <c r="Q175" i="13"/>
  <c r="P175" i="13"/>
  <c r="O175" i="13"/>
  <c r="N175" i="13"/>
  <c r="M175" i="13"/>
  <c r="L175" i="13"/>
  <c r="K175" i="13"/>
  <c r="J175" i="13"/>
  <c r="I175" i="13"/>
  <c r="H175" i="13"/>
  <c r="G175" i="13"/>
  <c r="AK174" i="13"/>
  <c r="AJ174" i="13"/>
  <c r="AI174" i="13"/>
  <c r="AH174" i="13"/>
  <c r="AG174" i="13"/>
  <c r="AF174" i="13"/>
  <c r="AE174" i="13"/>
  <c r="AD174" i="13"/>
  <c r="AC174" i="13"/>
  <c r="AB174" i="13"/>
  <c r="AA174" i="13"/>
  <c r="Z174" i="13"/>
  <c r="Y174" i="13"/>
  <c r="X174" i="13"/>
  <c r="W174" i="13"/>
  <c r="V174" i="13"/>
  <c r="U174" i="13"/>
  <c r="T174" i="13"/>
  <c r="S174" i="13"/>
  <c r="R174" i="13"/>
  <c r="Q174" i="13"/>
  <c r="P174" i="13"/>
  <c r="O174" i="13"/>
  <c r="N174" i="13"/>
  <c r="M174" i="13"/>
  <c r="L174" i="13"/>
  <c r="K174" i="13"/>
  <c r="J174" i="13"/>
  <c r="I174" i="13"/>
  <c r="H174" i="13"/>
  <c r="G174" i="13"/>
  <c r="AK172" i="13"/>
  <c r="AJ172" i="13"/>
  <c r="AI172" i="13"/>
  <c r="AH172" i="13"/>
  <c r="AG172" i="13"/>
  <c r="AF172" i="13"/>
  <c r="AE172" i="13"/>
  <c r="AD172" i="13"/>
  <c r="AC172" i="13"/>
  <c r="AB172" i="13"/>
  <c r="AA172" i="13"/>
  <c r="Z172" i="13"/>
  <c r="Y172" i="13"/>
  <c r="X172" i="13"/>
  <c r="W172" i="13"/>
  <c r="V172" i="13"/>
  <c r="U172" i="13"/>
  <c r="T172" i="13"/>
  <c r="S172" i="13"/>
  <c r="R172" i="13"/>
  <c r="Q172" i="13"/>
  <c r="P172" i="13"/>
  <c r="O172" i="13"/>
  <c r="N172" i="13"/>
  <c r="M172" i="13"/>
  <c r="L172" i="13"/>
  <c r="K172" i="13"/>
  <c r="J172" i="13"/>
  <c r="I172" i="13"/>
  <c r="H172" i="13"/>
  <c r="G172" i="13"/>
  <c r="AK171" i="13"/>
  <c r="AJ171" i="13"/>
  <c r="AI171" i="13"/>
  <c r="AH171" i="13"/>
  <c r="AG171" i="13"/>
  <c r="AF171" i="13"/>
  <c r="AE171" i="13"/>
  <c r="AD171" i="13"/>
  <c r="AC171" i="13"/>
  <c r="AB171" i="13"/>
  <c r="AA171" i="13"/>
  <c r="Z171" i="13"/>
  <c r="Y171" i="13"/>
  <c r="X171" i="13"/>
  <c r="W171" i="13"/>
  <c r="V171" i="13"/>
  <c r="U171" i="13"/>
  <c r="T171" i="13"/>
  <c r="S171" i="13"/>
  <c r="R171" i="13"/>
  <c r="Q171" i="13"/>
  <c r="P171" i="13"/>
  <c r="O171" i="13"/>
  <c r="N171" i="13"/>
  <c r="M171" i="13"/>
  <c r="L171" i="13"/>
  <c r="K171" i="13"/>
  <c r="J171" i="13"/>
  <c r="I171" i="13"/>
  <c r="H171" i="13"/>
  <c r="G171" i="13"/>
  <c r="AK170" i="13"/>
  <c r="AJ170" i="13"/>
  <c r="AI170" i="13"/>
  <c r="AH170" i="13"/>
  <c r="AG170" i="13"/>
  <c r="AF170" i="13"/>
  <c r="AE170" i="13"/>
  <c r="AD170" i="13"/>
  <c r="AC170" i="13"/>
  <c r="AB170" i="13"/>
  <c r="AA170" i="13"/>
  <c r="Z170" i="13"/>
  <c r="Y170" i="13"/>
  <c r="X170" i="13"/>
  <c r="W170" i="13"/>
  <c r="V170" i="13"/>
  <c r="U170" i="13"/>
  <c r="T170" i="13"/>
  <c r="S170" i="13"/>
  <c r="R170" i="13"/>
  <c r="Q170" i="13"/>
  <c r="P170" i="13"/>
  <c r="O170" i="13"/>
  <c r="N170" i="13"/>
  <c r="M170" i="13"/>
  <c r="L170" i="13"/>
  <c r="K170" i="13"/>
  <c r="J170" i="13"/>
  <c r="I170" i="13"/>
  <c r="H170" i="13"/>
  <c r="G170"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AK168" i="13"/>
  <c r="AJ168" i="13"/>
  <c r="AI168" i="13"/>
  <c r="AH168" i="13"/>
  <c r="AG168" i="13"/>
  <c r="AF168" i="13"/>
  <c r="AE168" i="13"/>
  <c r="AD168" i="13"/>
  <c r="AC168" i="13"/>
  <c r="AB168" i="13"/>
  <c r="AA168" i="13"/>
  <c r="Z168" i="13"/>
  <c r="Y168" i="13"/>
  <c r="X168" i="13"/>
  <c r="W168" i="13"/>
  <c r="V168" i="13"/>
  <c r="U168" i="13"/>
  <c r="T168" i="13"/>
  <c r="S168" i="13"/>
  <c r="R168" i="13"/>
  <c r="Q168" i="13"/>
  <c r="P168" i="13"/>
  <c r="O168" i="13"/>
  <c r="N168" i="13"/>
  <c r="M168" i="13"/>
  <c r="L168" i="13"/>
  <c r="K168" i="13"/>
  <c r="J168" i="13"/>
  <c r="I168" i="13"/>
  <c r="H168" i="13"/>
  <c r="G168" i="13"/>
  <c r="AK167" i="13"/>
  <c r="AJ167" i="13"/>
  <c r="AI167" i="13"/>
  <c r="AH167" i="13"/>
  <c r="AG167" i="13"/>
  <c r="AF167" i="13"/>
  <c r="AE167" i="13"/>
  <c r="AD167" i="13"/>
  <c r="AC167" i="13"/>
  <c r="AB167" i="13"/>
  <c r="AA167" i="13"/>
  <c r="Z167" i="13"/>
  <c r="Y167" i="13"/>
  <c r="X167" i="13"/>
  <c r="W167" i="13"/>
  <c r="V167" i="13"/>
  <c r="U167" i="13"/>
  <c r="T167" i="13"/>
  <c r="S167" i="13"/>
  <c r="R167" i="13"/>
  <c r="Q167" i="13"/>
  <c r="P167" i="13"/>
  <c r="O167" i="13"/>
  <c r="N167" i="13"/>
  <c r="M167" i="13"/>
  <c r="L167" i="13"/>
  <c r="K167" i="13"/>
  <c r="J167" i="13"/>
  <c r="I167" i="13"/>
  <c r="H167" i="13"/>
  <c r="G167" i="13"/>
  <c r="AK166" i="13"/>
  <c r="AJ166" i="13"/>
  <c r="AI166" i="13"/>
  <c r="AH166" i="13"/>
  <c r="AG166" i="13"/>
  <c r="AF166" i="13"/>
  <c r="AE166" i="13"/>
  <c r="AD166" i="13"/>
  <c r="AC166" i="13"/>
  <c r="AB166" i="13"/>
  <c r="AA166" i="13"/>
  <c r="Z166" i="13"/>
  <c r="Y166" i="13"/>
  <c r="X166" i="13"/>
  <c r="W166" i="13"/>
  <c r="V166" i="13"/>
  <c r="U166" i="13"/>
  <c r="T166" i="13"/>
  <c r="S166" i="13"/>
  <c r="R166" i="13"/>
  <c r="Q166" i="13"/>
  <c r="P166" i="13"/>
  <c r="O166" i="13"/>
  <c r="N166" i="13"/>
  <c r="M166" i="13"/>
  <c r="L166" i="13"/>
  <c r="K166" i="13"/>
  <c r="J166" i="13"/>
  <c r="I166" i="13"/>
  <c r="H166" i="13"/>
  <c r="G166" i="13"/>
  <c r="AK165" i="13"/>
  <c r="AJ165" i="13"/>
  <c r="AI165" i="13"/>
  <c r="AH165" i="13"/>
  <c r="AG165" i="13"/>
  <c r="AF165" i="13"/>
  <c r="AE165" i="13"/>
  <c r="AD165" i="13"/>
  <c r="AC165" i="13"/>
  <c r="AB165" i="13"/>
  <c r="AA165" i="13"/>
  <c r="Z165" i="13"/>
  <c r="Y165" i="13"/>
  <c r="X165" i="13"/>
  <c r="W165" i="13"/>
  <c r="V165" i="13"/>
  <c r="U165" i="13"/>
  <c r="T165" i="13"/>
  <c r="S165" i="13"/>
  <c r="R165" i="13"/>
  <c r="Q165" i="13"/>
  <c r="P165" i="13"/>
  <c r="O165" i="13"/>
  <c r="N165" i="13"/>
  <c r="M165" i="13"/>
  <c r="L165" i="13"/>
  <c r="K165" i="13"/>
  <c r="J165" i="13"/>
  <c r="I165" i="13"/>
  <c r="H165" i="13"/>
  <c r="G165" i="13"/>
  <c r="AK164" i="13"/>
  <c r="AJ164" i="13"/>
  <c r="AI164" i="13"/>
  <c r="AH164" i="13"/>
  <c r="AG164" i="13"/>
  <c r="AF164" i="13"/>
  <c r="AE164" i="13"/>
  <c r="AD164" i="13"/>
  <c r="AC164" i="13"/>
  <c r="AB164" i="13"/>
  <c r="AA164" i="13"/>
  <c r="Z164" i="13"/>
  <c r="Y164" i="13"/>
  <c r="X164" i="13"/>
  <c r="W164" i="13"/>
  <c r="V164" i="13"/>
  <c r="U164" i="13"/>
  <c r="T164" i="13"/>
  <c r="S164" i="13"/>
  <c r="R164" i="13"/>
  <c r="Q164" i="13"/>
  <c r="P164" i="13"/>
  <c r="O164" i="13"/>
  <c r="N164" i="13"/>
  <c r="M164" i="13"/>
  <c r="L164" i="13"/>
  <c r="K164" i="13"/>
  <c r="J164" i="13"/>
  <c r="I164" i="13"/>
  <c r="H164" i="13"/>
  <c r="G164" i="13"/>
  <c r="AK163" i="13"/>
  <c r="AJ163" i="13"/>
  <c r="AI163" i="13"/>
  <c r="AH163" i="13"/>
  <c r="AG163" i="13"/>
  <c r="AF163" i="13"/>
  <c r="AE163" i="13"/>
  <c r="AD163" i="13"/>
  <c r="AC163" i="13"/>
  <c r="AB163" i="13"/>
  <c r="AA163" i="13"/>
  <c r="Z163" i="13"/>
  <c r="Y163" i="13"/>
  <c r="X163" i="13"/>
  <c r="W163" i="13"/>
  <c r="V163" i="13"/>
  <c r="U163" i="13"/>
  <c r="T163" i="13"/>
  <c r="S163" i="13"/>
  <c r="R163" i="13"/>
  <c r="Q163" i="13"/>
  <c r="P163" i="13"/>
  <c r="O163" i="13"/>
  <c r="N163" i="13"/>
  <c r="M163" i="13"/>
  <c r="L163" i="13"/>
  <c r="K163" i="13"/>
  <c r="J163" i="13"/>
  <c r="I163" i="13"/>
  <c r="H163" i="13"/>
  <c r="G163" i="13"/>
  <c r="AK162" i="13"/>
  <c r="AJ162" i="13"/>
  <c r="AI162" i="13"/>
  <c r="AH162" i="13"/>
  <c r="AG162" i="13"/>
  <c r="AF162" i="13"/>
  <c r="AE162" i="13"/>
  <c r="AD162" i="13"/>
  <c r="AC162" i="13"/>
  <c r="AB162" i="13"/>
  <c r="AA162" i="13"/>
  <c r="Z162" i="13"/>
  <c r="Y162" i="13"/>
  <c r="X162" i="13"/>
  <c r="W162" i="13"/>
  <c r="V162" i="13"/>
  <c r="U162" i="13"/>
  <c r="T162" i="13"/>
  <c r="S162" i="13"/>
  <c r="R162" i="13"/>
  <c r="Q162" i="13"/>
  <c r="P162" i="13"/>
  <c r="O162" i="13"/>
  <c r="N162" i="13"/>
  <c r="M162" i="13"/>
  <c r="L162" i="13"/>
  <c r="K162" i="13"/>
  <c r="J162" i="13"/>
  <c r="I162" i="13"/>
  <c r="H162" i="13"/>
  <c r="G162" i="13"/>
  <c r="AK161" i="13"/>
  <c r="AJ161" i="13"/>
  <c r="AI161" i="13"/>
  <c r="AH161" i="13"/>
  <c r="AG161" i="13"/>
  <c r="AF161" i="13"/>
  <c r="AE161" i="13"/>
  <c r="AD161" i="13"/>
  <c r="AC161" i="13"/>
  <c r="AB161" i="13"/>
  <c r="AA161" i="13"/>
  <c r="Z161" i="13"/>
  <c r="Y161" i="13"/>
  <c r="X161" i="13"/>
  <c r="W161" i="13"/>
  <c r="V161" i="13"/>
  <c r="U161" i="13"/>
  <c r="T161" i="13"/>
  <c r="S161" i="13"/>
  <c r="R161" i="13"/>
  <c r="Q161" i="13"/>
  <c r="P161" i="13"/>
  <c r="O161" i="13"/>
  <c r="N161" i="13"/>
  <c r="M161" i="13"/>
  <c r="L161" i="13"/>
  <c r="K161" i="13"/>
  <c r="J161" i="13"/>
  <c r="I161" i="13"/>
  <c r="H161" i="13"/>
  <c r="G161" i="13"/>
  <c r="AK160" i="13"/>
  <c r="AJ160" i="13"/>
  <c r="AI160" i="13"/>
  <c r="AH160" i="13"/>
  <c r="AG160" i="13"/>
  <c r="AF160" i="13"/>
  <c r="AE160" i="13"/>
  <c r="AD160" i="13"/>
  <c r="AC160" i="13"/>
  <c r="AB160" i="13"/>
  <c r="AA160" i="13"/>
  <c r="Z160" i="13"/>
  <c r="Y160" i="13"/>
  <c r="X160" i="13"/>
  <c r="W160" i="13"/>
  <c r="V160" i="13"/>
  <c r="U160" i="13"/>
  <c r="T160" i="13"/>
  <c r="S160" i="13"/>
  <c r="R160" i="13"/>
  <c r="Q160" i="13"/>
  <c r="P160" i="13"/>
  <c r="O160" i="13"/>
  <c r="N160" i="13"/>
  <c r="M160" i="13"/>
  <c r="L160" i="13"/>
  <c r="K160" i="13"/>
  <c r="J160" i="13"/>
  <c r="I160" i="13"/>
  <c r="H160" i="13"/>
  <c r="G160" i="13"/>
  <c r="AK158" i="13"/>
  <c r="AJ158" i="13"/>
  <c r="AI158" i="13"/>
  <c r="AH158" i="13"/>
  <c r="AG158" i="13"/>
  <c r="AF158" i="13"/>
  <c r="AE158" i="13"/>
  <c r="AD158" i="13"/>
  <c r="AC158" i="13"/>
  <c r="AB158" i="13"/>
  <c r="AA158" i="13"/>
  <c r="Z158" i="13"/>
  <c r="Y158" i="13"/>
  <c r="X158" i="13"/>
  <c r="W158" i="13"/>
  <c r="V158" i="13"/>
  <c r="U158" i="13"/>
  <c r="T158" i="13"/>
  <c r="S158" i="13"/>
  <c r="R158" i="13"/>
  <c r="Q158" i="13"/>
  <c r="P158" i="13"/>
  <c r="O158" i="13"/>
  <c r="N158" i="13"/>
  <c r="M158" i="13"/>
  <c r="L158" i="13"/>
  <c r="K158" i="13"/>
  <c r="J158" i="13"/>
  <c r="I158" i="13"/>
  <c r="H158" i="13"/>
  <c r="G158" i="13"/>
  <c r="AK157" i="13"/>
  <c r="AJ157" i="13"/>
  <c r="AI157" i="13"/>
  <c r="AH157" i="13"/>
  <c r="AG157" i="13"/>
  <c r="AF157" i="13"/>
  <c r="AE157" i="13"/>
  <c r="AD157" i="13"/>
  <c r="AC157" i="13"/>
  <c r="AB157" i="13"/>
  <c r="AA157" i="13"/>
  <c r="Z157" i="13"/>
  <c r="Y157" i="13"/>
  <c r="X157" i="13"/>
  <c r="W157" i="13"/>
  <c r="V157" i="13"/>
  <c r="U157" i="13"/>
  <c r="T157" i="13"/>
  <c r="S157" i="13"/>
  <c r="R157" i="13"/>
  <c r="Q157" i="13"/>
  <c r="P157" i="13"/>
  <c r="O157" i="13"/>
  <c r="N157" i="13"/>
  <c r="M157" i="13"/>
  <c r="L157" i="13"/>
  <c r="K157" i="13"/>
  <c r="J157" i="13"/>
  <c r="I157" i="13"/>
  <c r="H157" i="13"/>
  <c r="G157" i="13"/>
  <c r="AK156" i="13"/>
  <c r="AJ156" i="13"/>
  <c r="AI156" i="13"/>
  <c r="AH156" i="13"/>
  <c r="AG156" i="13"/>
  <c r="AF156" i="13"/>
  <c r="AE156" i="13"/>
  <c r="AD156" i="13"/>
  <c r="AC156" i="13"/>
  <c r="AB156" i="13"/>
  <c r="AA156" i="13"/>
  <c r="Z156" i="13"/>
  <c r="Y156" i="13"/>
  <c r="X156" i="13"/>
  <c r="W156" i="13"/>
  <c r="V156" i="13"/>
  <c r="U156" i="13"/>
  <c r="T156" i="13"/>
  <c r="S156" i="13"/>
  <c r="R156" i="13"/>
  <c r="Q156" i="13"/>
  <c r="P156" i="13"/>
  <c r="O156" i="13"/>
  <c r="N156" i="13"/>
  <c r="M156" i="13"/>
  <c r="L156" i="13"/>
  <c r="K156" i="13"/>
  <c r="J156" i="13"/>
  <c r="I156" i="13"/>
  <c r="H156" i="13"/>
  <c r="G156" i="13"/>
  <c r="AK155" i="13"/>
  <c r="AJ155" i="13"/>
  <c r="AI155" i="13"/>
  <c r="AH155" i="13"/>
  <c r="AG155" i="13"/>
  <c r="AF155" i="13"/>
  <c r="AE155" i="13"/>
  <c r="AD155" i="13"/>
  <c r="AC155" i="13"/>
  <c r="AB155" i="13"/>
  <c r="AA155" i="13"/>
  <c r="Z155" i="13"/>
  <c r="Y155" i="13"/>
  <c r="X155" i="13"/>
  <c r="W155" i="13"/>
  <c r="V155" i="13"/>
  <c r="U155" i="13"/>
  <c r="T155" i="13"/>
  <c r="S155" i="13"/>
  <c r="R155" i="13"/>
  <c r="Q155" i="13"/>
  <c r="P155" i="13"/>
  <c r="O155" i="13"/>
  <c r="N155" i="13"/>
  <c r="M155" i="13"/>
  <c r="L155" i="13"/>
  <c r="K155" i="13"/>
  <c r="J155" i="13"/>
  <c r="I155" i="13"/>
  <c r="H155" i="13"/>
  <c r="G155" i="13"/>
  <c r="AK154" i="13"/>
  <c r="AJ154" i="13"/>
  <c r="AI154" i="13"/>
  <c r="AH154" i="13"/>
  <c r="AG154" i="13"/>
  <c r="AF154" i="13"/>
  <c r="AE154" i="13"/>
  <c r="AD154" i="13"/>
  <c r="AC154" i="13"/>
  <c r="AB154" i="13"/>
  <c r="AA154" i="13"/>
  <c r="Z154" i="13"/>
  <c r="Y154" i="13"/>
  <c r="X154" i="13"/>
  <c r="W154" i="13"/>
  <c r="V154" i="13"/>
  <c r="U154" i="13"/>
  <c r="T154" i="13"/>
  <c r="S154" i="13"/>
  <c r="R154" i="13"/>
  <c r="Q154" i="13"/>
  <c r="P154" i="13"/>
  <c r="O154" i="13"/>
  <c r="N154" i="13"/>
  <c r="M154" i="13"/>
  <c r="L154" i="13"/>
  <c r="K154" i="13"/>
  <c r="J154" i="13"/>
  <c r="I154" i="13"/>
  <c r="H154" i="13"/>
  <c r="G154" i="13"/>
  <c r="AK153" i="13"/>
  <c r="AJ153" i="13"/>
  <c r="AI153" i="13"/>
  <c r="AH153" i="13"/>
  <c r="AG153" i="13"/>
  <c r="AF153" i="13"/>
  <c r="AE153" i="13"/>
  <c r="AD153" i="13"/>
  <c r="AC153" i="13"/>
  <c r="AB153" i="13"/>
  <c r="AA153" i="13"/>
  <c r="Z153" i="13"/>
  <c r="Y153" i="13"/>
  <c r="X153" i="13"/>
  <c r="W153" i="13"/>
  <c r="V153" i="13"/>
  <c r="U153" i="13"/>
  <c r="T153" i="13"/>
  <c r="S153" i="13"/>
  <c r="R153" i="13"/>
  <c r="Q153" i="13"/>
  <c r="P153" i="13"/>
  <c r="O153" i="13"/>
  <c r="N153" i="13"/>
  <c r="M153" i="13"/>
  <c r="L153" i="13"/>
  <c r="K153" i="13"/>
  <c r="J153" i="13"/>
  <c r="I153" i="13"/>
  <c r="H153" i="13"/>
  <c r="G153" i="13"/>
  <c r="AK152" i="13"/>
  <c r="AJ152" i="13"/>
  <c r="AI152" i="13"/>
  <c r="AH152" i="13"/>
  <c r="AG152" i="13"/>
  <c r="AF152" i="13"/>
  <c r="AE152" i="13"/>
  <c r="AD152" i="13"/>
  <c r="AC152" i="13"/>
  <c r="AB152" i="13"/>
  <c r="AA152" i="13"/>
  <c r="Z152" i="13"/>
  <c r="Y152" i="13"/>
  <c r="X152" i="13"/>
  <c r="W152" i="13"/>
  <c r="V152" i="13"/>
  <c r="U152" i="13"/>
  <c r="T152" i="13"/>
  <c r="S152" i="13"/>
  <c r="R152" i="13"/>
  <c r="Q152" i="13"/>
  <c r="P152" i="13"/>
  <c r="O152" i="13"/>
  <c r="N152" i="13"/>
  <c r="M152" i="13"/>
  <c r="L152" i="13"/>
  <c r="K152" i="13"/>
  <c r="J152" i="13"/>
  <c r="I152" i="13"/>
  <c r="H152" i="13"/>
  <c r="G152" i="13"/>
  <c r="AK150" i="13"/>
  <c r="AJ150" i="13"/>
  <c r="AI150" i="13"/>
  <c r="AH150" i="13"/>
  <c r="AG150" i="13"/>
  <c r="AF150" i="13"/>
  <c r="AE150" i="13"/>
  <c r="AD150" i="13"/>
  <c r="AC150" i="13"/>
  <c r="AB150" i="13"/>
  <c r="AA150" i="13"/>
  <c r="Z150" i="13"/>
  <c r="Y150" i="13"/>
  <c r="X150" i="13"/>
  <c r="W150" i="13"/>
  <c r="V150" i="13"/>
  <c r="U150" i="13"/>
  <c r="T150" i="13"/>
  <c r="S150" i="13"/>
  <c r="R150" i="13"/>
  <c r="Q150" i="13"/>
  <c r="P150" i="13"/>
  <c r="O150" i="13"/>
  <c r="N150" i="13"/>
  <c r="M150" i="13"/>
  <c r="L150" i="13"/>
  <c r="K150" i="13"/>
  <c r="J150" i="13"/>
  <c r="I150" i="13"/>
  <c r="H150" i="13"/>
  <c r="G150" i="13"/>
  <c r="AK149" i="13"/>
  <c r="AJ149" i="13"/>
  <c r="AI149" i="13"/>
  <c r="AH149" i="13"/>
  <c r="AG149" i="13"/>
  <c r="AF149" i="13"/>
  <c r="AE149" i="13"/>
  <c r="AD149" i="13"/>
  <c r="AC149" i="13"/>
  <c r="AB149" i="13"/>
  <c r="AA149" i="13"/>
  <c r="Z149" i="13"/>
  <c r="Y149" i="13"/>
  <c r="X149" i="13"/>
  <c r="W149" i="13"/>
  <c r="V149" i="13"/>
  <c r="U149" i="13"/>
  <c r="T149" i="13"/>
  <c r="S149" i="13"/>
  <c r="R149" i="13"/>
  <c r="Q149" i="13"/>
  <c r="P149" i="13"/>
  <c r="O149" i="13"/>
  <c r="N149" i="13"/>
  <c r="M149" i="13"/>
  <c r="L149" i="13"/>
  <c r="K149" i="13"/>
  <c r="J149" i="13"/>
  <c r="I149" i="13"/>
  <c r="H149" i="13"/>
  <c r="G149" i="13"/>
  <c r="AK148" i="13"/>
  <c r="AJ148" i="13"/>
  <c r="AI148" i="13"/>
  <c r="AH148" i="13"/>
  <c r="AG148" i="13"/>
  <c r="AF148" i="13"/>
  <c r="AE148" i="13"/>
  <c r="AD148" i="13"/>
  <c r="AC148" i="13"/>
  <c r="AB148" i="13"/>
  <c r="AA148" i="13"/>
  <c r="Z148" i="13"/>
  <c r="Y148" i="13"/>
  <c r="X148" i="13"/>
  <c r="W148" i="13"/>
  <c r="V148" i="13"/>
  <c r="U148" i="13"/>
  <c r="T148" i="13"/>
  <c r="S148" i="13"/>
  <c r="R148" i="13"/>
  <c r="Q148" i="13"/>
  <c r="P148" i="13"/>
  <c r="O148" i="13"/>
  <c r="N148" i="13"/>
  <c r="M148" i="13"/>
  <c r="L148" i="13"/>
  <c r="K148" i="13"/>
  <c r="J148" i="13"/>
  <c r="I148" i="13"/>
  <c r="H148" i="13"/>
  <c r="G148" i="13"/>
  <c r="AK147" i="13"/>
  <c r="AJ147" i="13"/>
  <c r="AI147" i="13"/>
  <c r="AH147" i="13"/>
  <c r="AG147" i="13"/>
  <c r="AF147" i="13"/>
  <c r="AE147" i="13"/>
  <c r="AD147" i="13"/>
  <c r="AC147" i="13"/>
  <c r="AB147" i="13"/>
  <c r="AA147" i="13"/>
  <c r="Z147" i="13"/>
  <c r="Y147" i="13"/>
  <c r="X147" i="13"/>
  <c r="W147" i="13"/>
  <c r="V147" i="13"/>
  <c r="U147" i="13"/>
  <c r="T147" i="13"/>
  <c r="S147" i="13"/>
  <c r="R147" i="13"/>
  <c r="Q147" i="13"/>
  <c r="P147" i="13"/>
  <c r="O147" i="13"/>
  <c r="N147" i="13"/>
  <c r="M147" i="13"/>
  <c r="L147" i="13"/>
  <c r="K147" i="13"/>
  <c r="J147" i="13"/>
  <c r="I147" i="13"/>
  <c r="H147" i="13"/>
  <c r="G147" i="13"/>
  <c r="AK146" i="13"/>
  <c r="AJ146" i="13"/>
  <c r="AI146" i="13"/>
  <c r="AH146" i="13"/>
  <c r="AG146" i="13"/>
  <c r="AF146" i="13"/>
  <c r="AE146" i="13"/>
  <c r="AD146" i="13"/>
  <c r="AC146" i="13"/>
  <c r="AB146" i="13"/>
  <c r="AA146" i="13"/>
  <c r="Z146" i="13"/>
  <c r="Y146" i="13"/>
  <c r="X146" i="13"/>
  <c r="W146" i="13"/>
  <c r="V146" i="13"/>
  <c r="U146" i="13"/>
  <c r="T146" i="13"/>
  <c r="S146" i="13"/>
  <c r="R146" i="13"/>
  <c r="Q146" i="13"/>
  <c r="P146" i="13"/>
  <c r="O146" i="13"/>
  <c r="N146" i="13"/>
  <c r="M146" i="13"/>
  <c r="L146" i="13"/>
  <c r="K146" i="13"/>
  <c r="J146" i="13"/>
  <c r="I146" i="13"/>
  <c r="H146" i="13"/>
  <c r="G146" i="13"/>
  <c r="AK145" i="13"/>
  <c r="AJ145" i="13"/>
  <c r="AI145" i="13"/>
  <c r="AH145" i="13"/>
  <c r="AG145" i="13"/>
  <c r="AF145" i="13"/>
  <c r="AE145" i="13"/>
  <c r="AD145" i="13"/>
  <c r="AC145" i="13"/>
  <c r="AB145" i="13"/>
  <c r="AA145" i="13"/>
  <c r="Z145" i="13"/>
  <c r="Y145" i="13"/>
  <c r="X145" i="13"/>
  <c r="W145" i="13"/>
  <c r="V145" i="13"/>
  <c r="U145" i="13"/>
  <c r="T145" i="13"/>
  <c r="S145" i="13"/>
  <c r="R145" i="13"/>
  <c r="Q145" i="13"/>
  <c r="P145" i="13"/>
  <c r="O145" i="13"/>
  <c r="N145" i="13"/>
  <c r="M145" i="13"/>
  <c r="L145" i="13"/>
  <c r="K145" i="13"/>
  <c r="J145" i="13"/>
  <c r="I145" i="13"/>
  <c r="H145" i="13"/>
  <c r="G145" i="13"/>
  <c r="AK144" i="13"/>
  <c r="AJ144" i="13"/>
  <c r="AI144" i="13"/>
  <c r="AH144" i="13"/>
  <c r="AG144" i="13"/>
  <c r="AF144" i="13"/>
  <c r="AE144" i="13"/>
  <c r="AD144" i="13"/>
  <c r="AC144" i="13"/>
  <c r="AB144" i="13"/>
  <c r="AA144" i="13"/>
  <c r="Z144" i="13"/>
  <c r="Y144" i="13"/>
  <c r="X144" i="13"/>
  <c r="W144" i="13"/>
  <c r="V144" i="13"/>
  <c r="U144" i="13"/>
  <c r="T144" i="13"/>
  <c r="S144" i="13"/>
  <c r="R144" i="13"/>
  <c r="Q144" i="13"/>
  <c r="P144" i="13"/>
  <c r="O144" i="13"/>
  <c r="N144" i="13"/>
  <c r="M144" i="13"/>
  <c r="L144" i="13"/>
  <c r="K144" i="13"/>
  <c r="J144" i="13"/>
  <c r="I144" i="13"/>
  <c r="H144" i="13"/>
  <c r="G144" i="13"/>
  <c r="AK143" i="13"/>
  <c r="AJ143" i="13"/>
  <c r="AI143" i="13"/>
  <c r="AH143" i="13"/>
  <c r="AG143" i="13"/>
  <c r="AF143" i="13"/>
  <c r="AE143" i="13"/>
  <c r="AD143" i="13"/>
  <c r="AC143" i="13"/>
  <c r="AB143" i="13"/>
  <c r="AA143" i="13"/>
  <c r="Z143" i="13"/>
  <c r="Y143" i="13"/>
  <c r="X143" i="13"/>
  <c r="W143" i="13"/>
  <c r="V143" i="13"/>
  <c r="U143" i="13"/>
  <c r="T143" i="13"/>
  <c r="S143" i="13"/>
  <c r="R143" i="13"/>
  <c r="Q143" i="13"/>
  <c r="P143" i="13"/>
  <c r="O143" i="13"/>
  <c r="N143" i="13"/>
  <c r="M143" i="13"/>
  <c r="L143" i="13"/>
  <c r="K143" i="13"/>
  <c r="J143" i="13"/>
  <c r="I143" i="13"/>
  <c r="H143" i="13"/>
  <c r="G143" i="13"/>
  <c r="AK142" i="13"/>
  <c r="AJ142" i="13"/>
  <c r="AI142" i="13"/>
  <c r="AH142" i="13"/>
  <c r="AG142" i="13"/>
  <c r="AF142" i="13"/>
  <c r="AE142" i="13"/>
  <c r="AD142" i="13"/>
  <c r="AC142" i="13"/>
  <c r="AB142" i="13"/>
  <c r="AA142" i="13"/>
  <c r="Z142" i="13"/>
  <c r="Y142" i="13"/>
  <c r="X142" i="13"/>
  <c r="W142" i="13"/>
  <c r="V142" i="13"/>
  <c r="U142" i="13"/>
  <c r="T142" i="13"/>
  <c r="S142" i="13"/>
  <c r="R142" i="13"/>
  <c r="Q142" i="13"/>
  <c r="P142" i="13"/>
  <c r="O142" i="13"/>
  <c r="N142" i="13"/>
  <c r="M142" i="13"/>
  <c r="L142" i="13"/>
  <c r="K142" i="13"/>
  <c r="J142" i="13"/>
  <c r="I142" i="13"/>
  <c r="H142" i="13"/>
  <c r="G142" i="13"/>
  <c r="AK141" i="13"/>
  <c r="AJ141" i="13"/>
  <c r="AI141" i="13"/>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AK139" i="13"/>
  <c r="AJ139" i="13"/>
  <c r="AI139" i="13"/>
  <c r="AH139" i="13"/>
  <c r="AG139" i="13"/>
  <c r="AF139" i="13"/>
  <c r="AE139" i="13"/>
  <c r="AD139" i="13"/>
  <c r="AC139" i="13"/>
  <c r="AB139" i="13"/>
  <c r="AA139" i="13"/>
  <c r="Z139" i="13"/>
  <c r="Y139" i="13"/>
  <c r="X139" i="13"/>
  <c r="W139" i="13"/>
  <c r="V139" i="13"/>
  <c r="U139" i="13"/>
  <c r="T139" i="13"/>
  <c r="S139" i="13"/>
  <c r="R139" i="13"/>
  <c r="Q139" i="13"/>
  <c r="P139" i="13"/>
  <c r="O139" i="13"/>
  <c r="N139" i="13"/>
  <c r="M139" i="13"/>
  <c r="L139" i="13"/>
  <c r="K139" i="13"/>
  <c r="J139" i="13"/>
  <c r="I139" i="13"/>
  <c r="H139" i="13"/>
  <c r="G139" i="13"/>
  <c r="AK138" i="13"/>
  <c r="AJ138" i="13"/>
  <c r="AI138" i="13"/>
  <c r="AH138" i="13"/>
  <c r="AG138" i="13"/>
  <c r="AF138" i="13"/>
  <c r="AE138" i="13"/>
  <c r="AD138" i="13"/>
  <c r="AC138" i="13"/>
  <c r="AB138" i="13"/>
  <c r="AA138" i="13"/>
  <c r="Z138" i="13"/>
  <c r="Y138" i="13"/>
  <c r="X138" i="13"/>
  <c r="W138" i="13"/>
  <c r="V138" i="13"/>
  <c r="U138" i="13"/>
  <c r="T138" i="13"/>
  <c r="S138" i="13"/>
  <c r="R138" i="13"/>
  <c r="Q138" i="13"/>
  <c r="P138" i="13"/>
  <c r="O138" i="13"/>
  <c r="N138" i="13"/>
  <c r="M138" i="13"/>
  <c r="L138" i="13"/>
  <c r="K138" i="13"/>
  <c r="J138" i="13"/>
  <c r="I138" i="13"/>
  <c r="H138" i="13"/>
  <c r="G138" i="13"/>
  <c r="AK137" i="13"/>
  <c r="AJ137" i="13"/>
  <c r="AI137" i="13"/>
  <c r="AH137" i="13"/>
  <c r="AG137" i="13"/>
  <c r="AF137" i="13"/>
  <c r="AE137" i="13"/>
  <c r="AD137" i="13"/>
  <c r="AC137" i="13"/>
  <c r="AB137" i="13"/>
  <c r="AA137" i="13"/>
  <c r="Z137" i="13"/>
  <c r="Y137" i="13"/>
  <c r="X137" i="13"/>
  <c r="W137" i="13"/>
  <c r="V137" i="13"/>
  <c r="U137" i="13"/>
  <c r="T137" i="13"/>
  <c r="S137" i="13"/>
  <c r="R137" i="13"/>
  <c r="Q137" i="13"/>
  <c r="P137" i="13"/>
  <c r="O137" i="13"/>
  <c r="N137" i="13"/>
  <c r="M137" i="13"/>
  <c r="L137" i="13"/>
  <c r="K137" i="13"/>
  <c r="J137" i="13"/>
  <c r="I137" i="13"/>
  <c r="H137" i="13"/>
  <c r="G137" i="13"/>
  <c r="AK136" i="13"/>
  <c r="AJ136" i="13"/>
  <c r="AI136" i="13"/>
  <c r="AH136" i="13"/>
  <c r="AG136" i="13"/>
  <c r="AF136" i="13"/>
  <c r="AE136" i="13"/>
  <c r="AD136" i="13"/>
  <c r="AC136" i="13"/>
  <c r="AB136" i="13"/>
  <c r="AA136" i="13"/>
  <c r="Z136" i="13"/>
  <c r="Y136" i="13"/>
  <c r="X136" i="13"/>
  <c r="W136" i="13"/>
  <c r="V136" i="13"/>
  <c r="U136" i="13"/>
  <c r="T136" i="13"/>
  <c r="S136" i="13"/>
  <c r="R136" i="13"/>
  <c r="Q136" i="13"/>
  <c r="P136" i="13"/>
  <c r="O136" i="13"/>
  <c r="N136" i="13"/>
  <c r="M136" i="13"/>
  <c r="L136" i="13"/>
  <c r="K136" i="13"/>
  <c r="J136" i="13"/>
  <c r="I136" i="13"/>
  <c r="H136" i="13"/>
  <c r="G136" i="13"/>
  <c r="AK135" i="13"/>
  <c r="AJ135" i="13"/>
  <c r="AI135" i="13"/>
  <c r="AH135" i="13"/>
  <c r="AG135" i="13"/>
  <c r="AF135" i="13"/>
  <c r="AE135" i="13"/>
  <c r="AD135" i="13"/>
  <c r="AC135" i="13"/>
  <c r="AB135" i="13"/>
  <c r="AA135" i="13"/>
  <c r="Z135" i="13"/>
  <c r="Y135" i="13"/>
  <c r="X135" i="13"/>
  <c r="W135" i="13"/>
  <c r="V135" i="13"/>
  <c r="U135" i="13"/>
  <c r="T135" i="13"/>
  <c r="S135" i="13"/>
  <c r="R135" i="13"/>
  <c r="Q135" i="13"/>
  <c r="P135" i="13"/>
  <c r="O135" i="13"/>
  <c r="N135" i="13"/>
  <c r="M135" i="13"/>
  <c r="L135" i="13"/>
  <c r="K135" i="13"/>
  <c r="J135" i="13"/>
  <c r="I135" i="13"/>
  <c r="H135" i="13"/>
  <c r="G135" i="13"/>
  <c r="AK134" i="13"/>
  <c r="AJ134" i="13"/>
  <c r="AI134" i="13"/>
  <c r="AH134" i="13"/>
  <c r="AG134" i="13"/>
  <c r="AF134" i="13"/>
  <c r="AE134" i="13"/>
  <c r="AD134" i="13"/>
  <c r="AC134" i="13"/>
  <c r="AB134" i="13"/>
  <c r="AA134" i="13"/>
  <c r="Z134" i="13"/>
  <c r="Y134" i="13"/>
  <c r="X134" i="13"/>
  <c r="W134" i="13"/>
  <c r="V134" i="13"/>
  <c r="U134" i="13"/>
  <c r="T134" i="13"/>
  <c r="S134" i="13"/>
  <c r="R134" i="13"/>
  <c r="Q134" i="13"/>
  <c r="P134" i="13"/>
  <c r="O134" i="13"/>
  <c r="N134" i="13"/>
  <c r="M134" i="13"/>
  <c r="L134" i="13"/>
  <c r="K134" i="13"/>
  <c r="J134" i="13"/>
  <c r="I134" i="13"/>
  <c r="H134" i="13"/>
  <c r="G134" i="13"/>
  <c r="AK133" i="13"/>
  <c r="AJ133" i="13"/>
  <c r="AI133" i="13"/>
  <c r="AH133" i="13"/>
  <c r="AG133" i="13"/>
  <c r="AF133" i="13"/>
  <c r="AE133" i="13"/>
  <c r="AD133" i="13"/>
  <c r="AC133" i="13"/>
  <c r="AB133" i="13"/>
  <c r="AA133" i="13"/>
  <c r="Z133" i="13"/>
  <c r="Y133" i="13"/>
  <c r="X133" i="13"/>
  <c r="W133" i="13"/>
  <c r="V133" i="13"/>
  <c r="U133" i="13"/>
  <c r="T133" i="13"/>
  <c r="S133" i="13"/>
  <c r="R133" i="13"/>
  <c r="Q133" i="13"/>
  <c r="P133" i="13"/>
  <c r="O133" i="13"/>
  <c r="N133" i="13"/>
  <c r="M133" i="13"/>
  <c r="L133" i="13"/>
  <c r="K133" i="13"/>
  <c r="J133" i="13"/>
  <c r="I133" i="13"/>
  <c r="H133" i="13"/>
  <c r="G133" i="13"/>
  <c r="AK132" i="13"/>
  <c r="AJ132" i="13"/>
  <c r="AI132" i="13"/>
  <c r="AH132" i="13"/>
  <c r="AG132" i="13"/>
  <c r="AF132" i="13"/>
  <c r="AE132" i="13"/>
  <c r="AD132" i="13"/>
  <c r="AC132" i="13"/>
  <c r="AB132" i="13"/>
  <c r="AA132" i="13"/>
  <c r="Z132" i="13"/>
  <c r="Y132" i="13"/>
  <c r="X132" i="13"/>
  <c r="W132" i="13"/>
  <c r="V132" i="13"/>
  <c r="U132" i="13"/>
  <c r="T132" i="13"/>
  <c r="S132" i="13"/>
  <c r="R132" i="13"/>
  <c r="Q132" i="13"/>
  <c r="P132" i="13"/>
  <c r="O132" i="13"/>
  <c r="N132" i="13"/>
  <c r="M132" i="13"/>
  <c r="L132" i="13"/>
  <c r="K132" i="13"/>
  <c r="J132" i="13"/>
  <c r="I132" i="13"/>
  <c r="H132" i="13"/>
  <c r="G132" i="13"/>
  <c r="AK131" i="13"/>
  <c r="AJ131" i="13"/>
  <c r="AI131" i="13"/>
  <c r="AH131" i="13"/>
  <c r="AG131" i="13"/>
  <c r="AF131" i="13"/>
  <c r="AE131" i="13"/>
  <c r="AD131" i="13"/>
  <c r="AC131" i="13"/>
  <c r="AB131" i="13"/>
  <c r="AA131" i="13"/>
  <c r="Z131" i="13"/>
  <c r="Y131" i="13"/>
  <c r="X131" i="13"/>
  <c r="W131" i="13"/>
  <c r="V131" i="13"/>
  <c r="U131" i="13"/>
  <c r="T131" i="13"/>
  <c r="S131" i="13"/>
  <c r="R131" i="13"/>
  <c r="Q131" i="13"/>
  <c r="P131" i="13"/>
  <c r="O131" i="13"/>
  <c r="N131" i="13"/>
  <c r="M131" i="13"/>
  <c r="L131" i="13"/>
  <c r="K131" i="13"/>
  <c r="J131" i="13"/>
  <c r="I131" i="13"/>
  <c r="H131" i="13"/>
  <c r="G131" i="13"/>
  <c r="AK130" i="13"/>
  <c r="AJ130" i="13"/>
  <c r="AI130" i="13"/>
  <c r="AH130" i="13"/>
  <c r="AG130" i="13"/>
  <c r="AF130" i="13"/>
  <c r="AE130" i="13"/>
  <c r="AD130" i="13"/>
  <c r="AC130" i="13"/>
  <c r="AB130" i="13"/>
  <c r="AA130" i="13"/>
  <c r="Z130" i="13"/>
  <c r="Y130" i="13"/>
  <c r="X130" i="13"/>
  <c r="W130" i="13"/>
  <c r="V130" i="13"/>
  <c r="U130" i="13"/>
  <c r="T130" i="13"/>
  <c r="S130" i="13"/>
  <c r="R130" i="13"/>
  <c r="Q130" i="13"/>
  <c r="P130" i="13"/>
  <c r="O130" i="13"/>
  <c r="N130" i="13"/>
  <c r="M130" i="13"/>
  <c r="L130" i="13"/>
  <c r="K130" i="13"/>
  <c r="J130" i="13"/>
  <c r="I130" i="13"/>
  <c r="H130" i="13"/>
  <c r="G130" i="13"/>
  <c r="AK128" i="13"/>
  <c r="AJ128" i="13"/>
  <c r="AI128" i="13"/>
  <c r="AH128" i="13"/>
  <c r="AG128" i="13"/>
  <c r="AF128" i="13"/>
  <c r="AE128" i="13"/>
  <c r="AD128" i="13"/>
  <c r="AC128" i="13"/>
  <c r="AB128" i="13"/>
  <c r="AA128" i="13"/>
  <c r="Z128" i="13"/>
  <c r="Y128" i="13"/>
  <c r="X128" i="13"/>
  <c r="W128" i="13"/>
  <c r="V128" i="13"/>
  <c r="U128" i="13"/>
  <c r="T128" i="13"/>
  <c r="S128" i="13"/>
  <c r="R128" i="13"/>
  <c r="Q128" i="13"/>
  <c r="P128" i="13"/>
  <c r="O128" i="13"/>
  <c r="N128" i="13"/>
  <c r="M128" i="13"/>
  <c r="L128" i="13"/>
  <c r="K128" i="13"/>
  <c r="J128" i="13"/>
  <c r="I128" i="13"/>
  <c r="H128" i="13"/>
  <c r="G128" i="13"/>
  <c r="AK127" i="13"/>
  <c r="AJ127" i="13"/>
  <c r="AI127" i="13"/>
  <c r="AH127" i="13"/>
  <c r="AG127" i="13"/>
  <c r="AF127" i="13"/>
  <c r="AE127" i="13"/>
  <c r="AD127" i="13"/>
  <c r="AC127" i="13"/>
  <c r="AB127" i="13"/>
  <c r="AA127" i="13"/>
  <c r="Z127" i="13"/>
  <c r="Y127" i="13"/>
  <c r="X127" i="13"/>
  <c r="W127" i="13"/>
  <c r="V127" i="13"/>
  <c r="U127" i="13"/>
  <c r="T127" i="13"/>
  <c r="S127" i="13"/>
  <c r="R127" i="13"/>
  <c r="Q127" i="13"/>
  <c r="P127" i="13"/>
  <c r="O127" i="13"/>
  <c r="N127" i="13"/>
  <c r="M127" i="13"/>
  <c r="L127" i="13"/>
  <c r="K127" i="13"/>
  <c r="J127" i="13"/>
  <c r="I127" i="13"/>
  <c r="H127" i="13"/>
  <c r="G127"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L7" i="13"/>
  <c r="AK194" i="13"/>
  <c r="AJ194" i="13"/>
  <c r="AI194" i="13"/>
  <c r="AH194" i="13"/>
  <c r="AG194" i="13"/>
  <c r="AF194" i="13"/>
  <c r="AE194" i="13"/>
  <c r="AD194" i="13"/>
  <c r="AC194" i="13"/>
  <c r="AB194" i="13"/>
  <c r="AA194" i="13"/>
  <c r="Z194" i="13"/>
  <c r="Y194" i="13"/>
  <c r="X194" i="13"/>
  <c r="W194" i="13"/>
  <c r="V194" i="13"/>
  <c r="U194" i="13"/>
  <c r="T194" i="13"/>
  <c r="S194" i="13"/>
  <c r="R194" i="13"/>
  <c r="Q194" i="13"/>
  <c r="P194" i="13"/>
  <c r="O194" i="13"/>
  <c r="N194" i="13"/>
  <c r="M194" i="13"/>
  <c r="L194" i="13"/>
  <c r="K194" i="13"/>
  <c r="J194" i="13"/>
  <c r="I194" i="13"/>
  <c r="H194" i="13"/>
  <c r="G194" i="13"/>
  <c r="AK187" i="13"/>
  <c r="AJ187" i="13"/>
  <c r="AI187" i="13"/>
  <c r="AH187" i="13"/>
  <c r="AG187" i="13"/>
  <c r="AF187" i="13"/>
  <c r="AE187" i="13"/>
  <c r="AD187" i="13"/>
  <c r="AC187" i="13"/>
  <c r="AB187" i="13"/>
  <c r="AA187" i="13"/>
  <c r="Z187" i="13"/>
  <c r="Y187" i="13"/>
  <c r="X187" i="13"/>
  <c r="W187" i="13"/>
  <c r="V187" i="13"/>
  <c r="U187" i="13"/>
  <c r="T187" i="13"/>
  <c r="S187" i="13"/>
  <c r="R187" i="13"/>
  <c r="Q187" i="13"/>
  <c r="P187" i="13"/>
  <c r="O187" i="13"/>
  <c r="N187" i="13"/>
  <c r="M187" i="13"/>
  <c r="L187" i="13"/>
  <c r="K187" i="13"/>
  <c r="J187" i="13"/>
  <c r="I187" i="13"/>
  <c r="H187" i="13"/>
  <c r="G187" i="13"/>
  <c r="AK173" i="13"/>
  <c r="AJ173" i="13"/>
  <c r="AI173" i="13"/>
  <c r="AH173" i="13"/>
  <c r="AG173" i="13"/>
  <c r="AF173" i="13"/>
  <c r="AE173" i="13"/>
  <c r="AD173" i="13"/>
  <c r="AC173" i="13"/>
  <c r="AB173" i="13"/>
  <c r="AA173" i="13"/>
  <c r="Z173" i="13"/>
  <c r="Y173" i="13"/>
  <c r="X173" i="13"/>
  <c r="W173" i="13"/>
  <c r="V173" i="13"/>
  <c r="U173" i="13"/>
  <c r="T173" i="13"/>
  <c r="S173" i="13"/>
  <c r="R173" i="13"/>
  <c r="Q173" i="13"/>
  <c r="P173" i="13"/>
  <c r="O173" i="13"/>
  <c r="N173" i="13"/>
  <c r="M173" i="13"/>
  <c r="L173" i="13"/>
  <c r="K173" i="13"/>
  <c r="J173" i="13"/>
  <c r="I173" i="13"/>
  <c r="H173" i="13"/>
  <c r="G173" i="13"/>
  <c r="AK159" i="13"/>
  <c r="AJ159" i="13"/>
  <c r="AI159" i="13"/>
  <c r="AH159" i="13"/>
  <c r="AG159" i="13"/>
  <c r="AF159" i="13"/>
  <c r="AE159" i="13"/>
  <c r="AD159" i="13"/>
  <c r="AC159" i="13"/>
  <c r="AB159" i="13"/>
  <c r="AA159" i="13"/>
  <c r="Z159" i="13"/>
  <c r="Y159" i="13"/>
  <c r="X159" i="13"/>
  <c r="W159" i="13"/>
  <c r="V159" i="13"/>
  <c r="U159" i="13"/>
  <c r="T159" i="13"/>
  <c r="S159" i="13"/>
  <c r="R159" i="13"/>
  <c r="Q159" i="13"/>
  <c r="P159" i="13"/>
  <c r="O159" i="13"/>
  <c r="N159" i="13"/>
  <c r="M159" i="13"/>
  <c r="L159" i="13"/>
  <c r="K159" i="13"/>
  <c r="J159" i="13"/>
  <c r="I159" i="13"/>
  <c r="H159" i="13"/>
  <c r="G159" i="13"/>
  <c r="AK151" i="13"/>
  <c r="AJ151" i="13"/>
  <c r="AI151" i="13"/>
  <c r="AH151" i="13"/>
  <c r="AG151" i="13"/>
  <c r="AF151" i="13"/>
  <c r="AE151" i="13"/>
  <c r="AD151" i="13"/>
  <c r="AC151" i="13"/>
  <c r="AB151" i="13"/>
  <c r="AA151" i="13"/>
  <c r="Z151" i="13"/>
  <c r="Y151" i="13"/>
  <c r="X151" i="13"/>
  <c r="W151" i="13"/>
  <c r="V151" i="13"/>
  <c r="U151" i="13"/>
  <c r="T151" i="13"/>
  <c r="S151" i="13"/>
  <c r="R151" i="13"/>
  <c r="Q151" i="13"/>
  <c r="P151" i="13"/>
  <c r="O151" i="13"/>
  <c r="N151" i="13"/>
  <c r="M151" i="13"/>
  <c r="L151" i="13"/>
  <c r="K151" i="13"/>
  <c r="J151" i="13"/>
  <c r="I151" i="13"/>
  <c r="H151" i="13"/>
  <c r="G151" i="13"/>
  <c r="AK140" i="13"/>
  <c r="AJ140" i="13"/>
  <c r="AI140" i="13"/>
  <c r="AH140" i="13"/>
  <c r="AG140" i="13"/>
  <c r="AF140" i="13"/>
  <c r="AE140" i="13"/>
  <c r="AD140" i="13"/>
  <c r="AC140" i="13"/>
  <c r="AB140" i="13"/>
  <c r="AA140" i="13"/>
  <c r="Z140" i="13"/>
  <c r="Y140" i="13"/>
  <c r="X140" i="13"/>
  <c r="W140" i="13"/>
  <c r="V140" i="13"/>
  <c r="U140" i="13"/>
  <c r="T140" i="13"/>
  <c r="S140" i="13"/>
  <c r="R140" i="13"/>
  <c r="Q140" i="13"/>
  <c r="P140" i="13"/>
  <c r="O140" i="13"/>
  <c r="N140" i="13"/>
  <c r="M140" i="13"/>
  <c r="L140" i="13"/>
  <c r="K140" i="13"/>
  <c r="J140" i="13"/>
  <c r="I140" i="13"/>
  <c r="H140" i="13"/>
  <c r="G140" i="13"/>
  <c r="AK129" i="13"/>
  <c r="AJ129" i="13"/>
  <c r="AI129" i="13"/>
  <c r="AH129" i="13"/>
  <c r="AG129" i="13"/>
  <c r="AF129" i="13"/>
  <c r="AE129" i="13"/>
  <c r="AD129" i="13"/>
  <c r="AC129" i="13"/>
  <c r="AB129" i="13"/>
  <c r="AA129" i="13"/>
  <c r="Z129" i="13"/>
  <c r="Y129" i="13"/>
  <c r="X129" i="13"/>
  <c r="W129" i="13"/>
  <c r="V129" i="13"/>
  <c r="U129" i="13"/>
  <c r="T129" i="13"/>
  <c r="S129" i="13"/>
  <c r="R129" i="13"/>
  <c r="Q129" i="13"/>
  <c r="P129" i="13"/>
  <c r="O129" i="13"/>
  <c r="N129" i="13"/>
  <c r="M129" i="13"/>
  <c r="L129" i="13"/>
  <c r="K129" i="13"/>
  <c r="J129" i="13"/>
  <c r="I129" i="13"/>
  <c r="H129" i="13"/>
  <c r="G129"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K7" i="13"/>
  <c r="AJ7" i="13"/>
  <c r="AI7" i="13"/>
  <c r="AH7" i="13"/>
  <c r="AG7" i="13"/>
  <c r="AF7" i="13"/>
  <c r="AE7" i="13"/>
  <c r="AD7" i="13"/>
  <c r="AC7" i="13"/>
  <c r="AB7" i="13"/>
  <c r="AA7" i="13"/>
  <c r="Z7" i="13"/>
  <c r="Y7" i="13"/>
  <c r="X7" i="13"/>
  <c r="W7" i="13"/>
  <c r="V7" i="13"/>
  <c r="U7" i="13"/>
  <c r="T7" i="13"/>
  <c r="S7" i="13"/>
  <c r="R7" i="13"/>
  <c r="Q7" i="13"/>
  <c r="P7" i="13"/>
  <c r="O7" i="13"/>
  <c r="N7" i="13"/>
  <c r="M7" i="13"/>
  <c r="K7" i="13"/>
  <c r="J7" i="13"/>
  <c r="I7" i="13"/>
  <c r="H7" i="13"/>
  <c r="G7" i="13"/>
  <c r="I132" i="9"/>
  <c r="I135" i="9"/>
  <c r="I106" i="8"/>
  <c r="I104" i="8"/>
  <c r="F161" i="7"/>
  <c r="F157" i="7"/>
  <c r="A157" i="7"/>
  <c r="A156" i="7"/>
  <c r="A155" i="7"/>
  <c r="A154" i="7"/>
  <c r="A153" i="7"/>
  <c r="A152" i="7"/>
  <c r="A151" i="7"/>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F330" i="17"/>
  <c r="F331" i="17"/>
  <c r="F332" i="17"/>
  <c r="F333" i="17"/>
  <c r="F334" i="17"/>
  <c r="F335" i="17"/>
  <c r="F336" i="17"/>
  <c r="F337" i="17"/>
  <c r="F338" i="17"/>
  <c r="F339" i="17"/>
  <c r="F340" i="17"/>
  <c r="F341" i="17"/>
  <c r="F342" i="17"/>
  <c r="F343" i="17"/>
  <c r="F344" i="17"/>
  <c r="F345" i="17"/>
  <c r="F346" i="17"/>
  <c r="F347" i="17"/>
  <c r="F348" i="17"/>
  <c r="F349" i="17"/>
  <c r="F350" i="17"/>
  <c r="F351" i="17"/>
  <c r="F352" i="17"/>
  <c r="F353" i="17"/>
  <c r="F354" i="17"/>
  <c r="F355" i="17"/>
  <c r="F356" i="17"/>
  <c r="F357" i="17"/>
  <c r="F358" i="17"/>
  <c r="F359" i="17"/>
  <c r="F360" i="17"/>
  <c r="F361" i="17"/>
  <c r="F362" i="17"/>
  <c r="F363" i="17"/>
  <c r="F364" i="17"/>
  <c r="F365" i="17"/>
  <c r="F366" i="17"/>
  <c r="F367" i="17"/>
  <c r="F368" i="17"/>
  <c r="F369" i="17"/>
  <c r="F370" i="17"/>
  <c r="F371" i="17"/>
  <c r="F372" i="17"/>
  <c r="F373" i="17"/>
  <c r="F374" i="17"/>
  <c r="F375" i="17"/>
  <c r="F376" i="17"/>
  <c r="F377" i="17"/>
  <c r="F378" i="17"/>
  <c r="F379" i="17"/>
  <c r="F380" i="17"/>
  <c r="F381" i="17"/>
  <c r="F382" i="17"/>
  <c r="F383" i="17"/>
  <c r="F384" i="17"/>
  <c r="F385" i="17"/>
  <c r="F386" i="17"/>
  <c r="F387" i="17"/>
  <c r="F388" i="17"/>
  <c r="F389" i="17"/>
  <c r="F390" i="17"/>
  <c r="F391" i="17"/>
  <c r="F392" i="17"/>
  <c r="F393" i="17"/>
  <c r="F394" i="17"/>
  <c r="F395"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423" i="17"/>
  <c r="F424" i="17"/>
  <c r="F425" i="17"/>
  <c r="F426" i="17"/>
  <c r="F427" i="17"/>
  <c r="F428" i="17"/>
  <c r="F429" i="17"/>
  <c r="F430" i="17"/>
  <c r="F431" i="17"/>
  <c r="F432" i="17"/>
  <c r="F433" i="17"/>
  <c r="F434" i="17"/>
  <c r="F435" i="17"/>
  <c r="F436" i="17"/>
  <c r="F437" i="17"/>
  <c r="F438" i="17"/>
  <c r="F439" i="17"/>
  <c r="F440" i="17"/>
  <c r="F441" i="17"/>
  <c r="F442" i="17"/>
  <c r="F443" i="17"/>
  <c r="F444" i="17"/>
  <c r="F445" i="17"/>
  <c r="F446" i="17"/>
  <c r="F447" i="17"/>
  <c r="F448" i="17"/>
  <c r="F449" i="17"/>
  <c r="F450" i="17"/>
  <c r="F451" i="17"/>
  <c r="F452" i="17"/>
  <c r="F453" i="17"/>
  <c r="F454" i="17"/>
  <c r="F455" i="17"/>
  <c r="F456" i="17"/>
  <c r="F457" i="17"/>
  <c r="F458" i="17"/>
  <c r="F459" i="17"/>
  <c r="F460" i="17"/>
  <c r="F461" i="17"/>
  <c r="F462" i="17"/>
  <c r="F463" i="17"/>
  <c r="F464" i="17"/>
  <c r="F465" i="17"/>
  <c r="F466" i="17"/>
  <c r="F467" i="17"/>
  <c r="F468" i="17"/>
  <c r="F469" i="17"/>
  <c r="F470" i="17"/>
  <c r="F471" i="17"/>
  <c r="F472" i="17"/>
  <c r="F473" i="17"/>
  <c r="F474" i="17"/>
  <c r="F475" i="17"/>
  <c r="F476" i="17"/>
  <c r="F477" i="17"/>
  <c r="F478" i="17"/>
  <c r="F479" i="17"/>
  <c r="F480" i="17"/>
  <c r="F481" i="17"/>
  <c r="F482" i="17"/>
  <c r="F483" i="17"/>
  <c r="F484" i="17"/>
  <c r="F485" i="17"/>
  <c r="F486" i="17"/>
  <c r="F487" i="17"/>
  <c r="F488" i="17"/>
  <c r="F489" i="17"/>
  <c r="F490" i="17"/>
  <c r="F491" i="17"/>
  <c r="F492" i="17"/>
  <c r="F493" i="17"/>
  <c r="F494" i="17"/>
  <c r="F495" i="17"/>
  <c r="F496" i="17"/>
  <c r="F497" i="17"/>
  <c r="F498" i="17"/>
  <c r="F499" i="17"/>
  <c r="F500" i="17"/>
  <c r="F501" i="17"/>
  <c r="F502" i="17"/>
  <c r="F503" i="17"/>
  <c r="F504" i="17"/>
  <c r="F505" i="17"/>
  <c r="F506" i="17"/>
  <c r="F507" i="17"/>
  <c r="F508" i="17"/>
  <c r="F509" i="17"/>
  <c r="F510" i="17"/>
  <c r="F511" i="17"/>
  <c r="F512" i="17"/>
  <c r="F513" i="17"/>
  <c r="F514" i="17"/>
  <c r="F515" i="17"/>
  <c r="F516" i="17"/>
  <c r="F517" i="17"/>
  <c r="F518" i="17"/>
  <c r="F519" i="17"/>
  <c r="F520" i="17"/>
  <c r="F521" i="17"/>
  <c r="F522" i="17"/>
  <c r="F523" i="17"/>
  <c r="F524" i="17"/>
  <c r="F525" i="17"/>
  <c r="F526" i="17"/>
  <c r="F527" i="17"/>
  <c r="F528" i="17"/>
  <c r="F529" i="17"/>
  <c r="F530" i="17"/>
  <c r="F531" i="17"/>
  <c r="F532" i="17"/>
  <c r="F533" i="17"/>
  <c r="F534" i="17"/>
  <c r="F535" i="17"/>
  <c r="F536" i="17"/>
  <c r="F537" i="17"/>
  <c r="F538" i="17"/>
  <c r="F539" i="17"/>
  <c r="F540" i="17"/>
  <c r="F541" i="17"/>
  <c r="F542" i="17"/>
  <c r="F543" i="17"/>
  <c r="F544" i="17"/>
  <c r="F545" i="17"/>
  <c r="F546" i="17"/>
  <c r="F547" i="17"/>
  <c r="F548" i="17"/>
  <c r="F549" i="17"/>
  <c r="F550" i="17"/>
  <c r="F551" i="17"/>
  <c r="F552" i="17"/>
  <c r="F553" i="17"/>
  <c r="F554" i="17"/>
  <c r="F555" i="17"/>
  <c r="F556" i="17"/>
  <c r="F557" i="17"/>
  <c r="F558" i="17"/>
  <c r="F559" i="17"/>
  <c r="F560" i="17"/>
  <c r="F561" i="17"/>
  <c r="F562" i="17"/>
  <c r="F563" i="17"/>
  <c r="F564" i="17"/>
  <c r="F565" i="17"/>
  <c r="F566" i="17"/>
  <c r="F567" i="17"/>
  <c r="F568" i="17"/>
  <c r="F569" i="17"/>
  <c r="F570" i="17"/>
  <c r="F571" i="17"/>
  <c r="F572" i="17"/>
  <c r="F573" i="17"/>
  <c r="F574" i="17"/>
  <c r="F575" i="17"/>
  <c r="F576" i="17"/>
  <c r="F577" i="17"/>
  <c r="F578" i="17"/>
  <c r="F579" i="17"/>
  <c r="F580" i="17"/>
  <c r="F581" i="17"/>
  <c r="F582" i="17"/>
  <c r="F583" i="17"/>
  <c r="F584" i="17"/>
  <c r="F585" i="17"/>
  <c r="F586" i="17"/>
  <c r="F587" i="17"/>
  <c r="F588" i="17"/>
  <c r="F589" i="17"/>
  <c r="F590" i="17"/>
  <c r="F591" i="17"/>
  <c r="F592" i="17"/>
  <c r="F593" i="17"/>
  <c r="F594" i="17"/>
  <c r="F595" i="17"/>
  <c r="F596" i="17"/>
  <c r="F597" i="17"/>
  <c r="F598" i="17"/>
  <c r="F599" i="17"/>
  <c r="F600" i="17"/>
  <c r="F601" i="17"/>
  <c r="F602" i="17"/>
  <c r="F603" i="17"/>
  <c r="F604" i="17"/>
  <c r="F605" i="17"/>
  <c r="F606" i="17"/>
  <c r="F607" i="17"/>
  <c r="F608" i="17"/>
  <c r="F609" i="17"/>
  <c r="F610" i="17"/>
  <c r="F611" i="17"/>
  <c r="F612" i="17"/>
  <c r="F613" i="17"/>
  <c r="F614" i="17"/>
  <c r="F615" i="17"/>
  <c r="F616" i="17"/>
  <c r="F617" i="17"/>
  <c r="F618" i="17"/>
  <c r="F619" i="17"/>
  <c r="F620" i="17"/>
  <c r="F621" i="17"/>
  <c r="F622" i="17"/>
  <c r="F623" i="17"/>
  <c r="F624" i="17"/>
  <c r="F625" i="17"/>
  <c r="F626" i="17"/>
  <c r="F627" i="17"/>
  <c r="F628" i="17"/>
  <c r="F629" i="17"/>
  <c r="F630" i="17"/>
  <c r="F631" i="17"/>
  <c r="F632" i="17"/>
  <c r="F633" i="17"/>
  <c r="F634" i="17"/>
  <c r="F635" i="17"/>
  <c r="F636" i="17"/>
  <c r="F637" i="17"/>
  <c r="F638" i="17"/>
  <c r="F639" i="17"/>
  <c r="F640" i="17"/>
  <c r="F641" i="17"/>
  <c r="F642" i="17"/>
  <c r="F643" i="17"/>
  <c r="F644" i="17"/>
  <c r="F645" i="17"/>
  <c r="F646" i="17"/>
  <c r="F647" i="17"/>
  <c r="F648" i="17"/>
  <c r="F649" i="17"/>
  <c r="F650" i="17"/>
  <c r="F651" i="17"/>
  <c r="F652" i="17"/>
  <c r="F653" i="17"/>
  <c r="F654" i="17"/>
  <c r="F655" i="17"/>
  <c r="F656" i="17"/>
  <c r="F657" i="17"/>
  <c r="F658" i="17"/>
  <c r="F659" i="17"/>
  <c r="F660" i="17"/>
  <c r="F661" i="17"/>
  <c r="F662" i="17"/>
  <c r="F663" i="17"/>
  <c r="F664" i="17"/>
  <c r="F665" i="17"/>
  <c r="F666" i="17"/>
  <c r="F667" i="17"/>
  <c r="F668" i="17"/>
  <c r="F669" i="17"/>
  <c r="F670" i="17"/>
  <c r="F671" i="17"/>
  <c r="F672" i="17"/>
  <c r="F673" i="17"/>
  <c r="F674" i="17"/>
  <c r="F675" i="17"/>
  <c r="F676" i="17"/>
  <c r="F677" i="17"/>
  <c r="F678" i="17"/>
  <c r="F679" i="17"/>
  <c r="F680" i="17"/>
  <c r="F681" i="17"/>
  <c r="F682" i="17"/>
  <c r="F683" i="17"/>
  <c r="F684" i="17"/>
  <c r="F685" i="17"/>
  <c r="F686" i="17"/>
  <c r="F687" i="17"/>
  <c r="F688" i="17"/>
  <c r="F689" i="17"/>
  <c r="F690" i="17"/>
  <c r="F691" i="17"/>
  <c r="F692" i="17"/>
  <c r="F693" i="17"/>
  <c r="F694" i="17"/>
  <c r="F695" i="17"/>
  <c r="F696" i="17"/>
  <c r="F697" i="17"/>
  <c r="F698" i="17"/>
  <c r="F699" i="17"/>
  <c r="F700" i="17"/>
  <c r="F701" i="17"/>
  <c r="F702" i="17"/>
  <c r="F703" i="17"/>
  <c r="F704" i="17"/>
  <c r="F705" i="17"/>
  <c r="F706" i="17"/>
  <c r="F707" i="17"/>
  <c r="F708" i="17"/>
  <c r="F709" i="17"/>
  <c r="F710" i="17"/>
  <c r="F711" i="17"/>
  <c r="F712" i="17"/>
  <c r="F713" i="17"/>
  <c r="F714" i="17"/>
  <c r="F715" i="17"/>
  <c r="F3" i="17"/>
  <c r="AK205" i="7"/>
  <c r="AJ205" i="7"/>
  <c r="AI205" i="7"/>
  <c r="AH205" i="7"/>
  <c r="AG205" i="7"/>
  <c r="AF205" i="7"/>
  <c r="AE205" i="7"/>
  <c r="AD205" i="7"/>
  <c r="AC205" i="7"/>
  <c r="AB205" i="7"/>
  <c r="AA205" i="7"/>
  <c r="Z205" i="7"/>
  <c r="Y205" i="7"/>
  <c r="X205" i="7"/>
  <c r="W205" i="7"/>
  <c r="V205" i="7"/>
  <c r="U205" i="7"/>
  <c r="T205" i="7"/>
  <c r="S205" i="7"/>
  <c r="R205" i="7"/>
  <c r="Q205" i="7"/>
  <c r="P205" i="7"/>
  <c r="O205" i="7"/>
  <c r="N205" i="7"/>
  <c r="M205" i="7"/>
  <c r="L205" i="7"/>
  <c r="K205" i="7"/>
  <c r="J205" i="7"/>
  <c r="I205" i="7"/>
  <c r="H205" i="7"/>
  <c r="G205" i="7"/>
  <c r="AK192" i="7"/>
  <c r="AJ192" i="7"/>
  <c r="AI192" i="7"/>
  <c r="AH192" i="7"/>
  <c r="AG192" i="7"/>
  <c r="AF192" i="7"/>
  <c r="AE192" i="7"/>
  <c r="AD192" i="7"/>
  <c r="AC192" i="7"/>
  <c r="AB192" i="7"/>
  <c r="AA192" i="7"/>
  <c r="Z192" i="7"/>
  <c r="Y192" i="7"/>
  <c r="X192" i="7"/>
  <c r="W192" i="7"/>
  <c r="V192" i="7"/>
  <c r="U192" i="7"/>
  <c r="T192" i="7"/>
  <c r="S192" i="7"/>
  <c r="R192" i="7"/>
  <c r="Q192" i="7"/>
  <c r="P192" i="7"/>
  <c r="O192" i="7"/>
  <c r="N192" i="7"/>
  <c r="M192" i="7"/>
  <c r="L192" i="7"/>
  <c r="K192" i="7"/>
  <c r="J192" i="7"/>
  <c r="I192" i="7"/>
  <c r="H192" i="7"/>
  <c r="G192" i="7"/>
  <c r="AK191" i="7"/>
  <c r="AJ191" i="7"/>
  <c r="AI191" i="7"/>
  <c r="AH191" i="7"/>
  <c r="AG191" i="7"/>
  <c r="AF191" i="7"/>
  <c r="AE191" i="7"/>
  <c r="AD191" i="7"/>
  <c r="AC191" i="7"/>
  <c r="AB191" i="7"/>
  <c r="AA191" i="7"/>
  <c r="Z191" i="7"/>
  <c r="Y191" i="7"/>
  <c r="X191" i="7"/>
  <c r="W191" i="7"/>
  <c r="V191" i="7"/>
  <c r="U191" i="7"/>
  <c r="T191" i="7"/>
  <c r="S191" i="7"/>
  <c r="R191" i="7"/>
  <c r="Q191" i="7"/>
  <c r="P191" i="7"/>
  <c r="O191" i="7"/>
  <c r="N191" i="7"/>
  <c r="M191" i="7"/>
  <c r="L191" i="7"/>
  <c r="K191" i="7"/>
  <c r="J191" i="7"/>
  <c r="I191" i="7"/>
  <c r="H191" i="7"/>
  <c r="G191" i="7"/>
  <c r="AK190" i="7"/>
  <c r="AJ190" i="7"/>
  <c r="AI190" i="7"/>
  <c r="AH190" i="7"/>
  <c r="AG190" i="7"/>
  <c r="AF190" i="7"/>
  <c r="AE190" i="7"/>
  <c r="AD190" i="7"/>
  <c r="AC190" i="7"/>
  <c r="AB190" i="7"/>
  <c r="AA190" i="7"/>
  <c r="Z190" i="7"/>
  <c r="Y190" i="7"/>
  <c r="X190" i="7"/>
  <c r="W190" i="7"/>
  <c r="V190" i="7"/>
  <c r="U190" i="7"/>
  <c r="T190" i="7"/>
  <c r="S190" i="7"/>
  <c r="R190" i="7"/>
  <c r="Q190" i="7"/>
  <c r="P190" i="7"/>
  <c r="O190" i="7"/>
  <c r="N190" i="7"/>
  <c r="M190" i="7"/>
  <c r="L190" i="7"/>
  <c r="K190" i="7"/>
  <c r="J190" i="7"/>
  <c r="I190" i="7"/>
  <c r="H190" i="7"/>
  <c r="G190"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AK188" i="7"/>
  <c r="AJ188" i="7"/>
  <c r="AI188" i="7"/>
  <c r="AH188" i="7"/>
  <c r="AG188" i="7"/>
  <c r="AF188" i="7"/>
  <c r="AE188" i="7"/>
  <c r="AD188" i="7"/>
  <c r="AC188" i="7"/>
  <c r="AB188" i="7"/>
  <c r="AA188" i="7"/>
  <c r="Z188" i="7"/>
  <c r="Y188" i="7"/>
  <c r="X188" i="7"/>
  <c r="W188" i="7"/>
  <c r="V188" i="7"/>
  <c r="U188" i="7"/>
  <c r="T188" i="7"/>
  <c r="S188" i="7"/>
  <c r="R188" i="7"/>
  <c r="Q188" i="7"/>
  <c r="P188" i="7"/>
  <c r="O188" i="7"/>
  <c r="N188" i="7"/>
  <c r="M188" i="7"/>
  <c r="L188" i="7"/>
  <c r="K188" i="7"/>
  <c r="J188" i="7"/>
  <c r="I188" i="7"/>
  <c r="H188" i="7"/>
  <c r="G188" i="7"/>
  <c r="AK187" i="7"/>
  <c r="AJ187" i="7"/>
  <c r="AI187" i="7"/>
  <c r="AH187" i="7"/>
  <c r="AG187" i="7"/>
  <c r="AF187" i="7"/>
  <c r="AE187" i="7"/>
  <c r="AD187" i="7"/>
  <c r="AC187" i="7"/>
  <c r="AB187" i="7"/>
  <c r="AA187" i="7"/>
  <c r="Z187" i="7"/>
  <c r="Y187" i="7"/>
  <c r="X187" i="7"/>
  <c r="W187" i="7"/>
  <c r="V187" i="7"/>
  <c r="U187" i="7"/>
  <c r="T187" i="7"/>
  <c r="S187" i="7"/>
  <c r="R187" i="7"/>
  <c r="Q187" i="7"/>
  <c r="P187" i="7"/>
  <c r="O187" i="7"/>
  <c r="N187" i="7"/>
  <c r="M187" i="7"/>
  <c r="L187" i="7"/>
  <c r="K187" i="7"/>
  <c r="J187" i="7"/>
  <c r="I187" i="7"/>
  <c r="H187" i="7"/>
  <c r="G187" i="7"/>
  <c r="AK185" i="7"/>
  <c r="AJ185" i="7"/>
  <c r="AI185" i="7"/>
  <c r="AH185" i="7"/>
  <c r="AG185" i="7"/>
  <c r="AF185" i="7"/>
  <c r="AE185" i="7"/>
  <c r="AD185" i="7"/>
  <c r="AC185" i="7"/>
  <c r="AB185" i="7"/>
  <c r="AA185" i="7"/>
  <c r="Z185" i="7"/>
  <c r="Y185" i="7"/>
  <c r="X185" i="7"/>
  <c r="W185" i="7"/>
  <c r="V185" i="7"/>
  <c r="U185" i="7"/>
  <c r="T185" i="7"/>
  <c r="S185" i="7"/>
  <c r="R185" i="7"/>
  <c r="Q185" i="7"/>
  <c r="P185" i="7"/>
  <c r="O185" i="7"/>
  <c r="N185" i="7"/>
  <c r="M185" i="7"/>
  <c r="L185" i="7"/>
  <c r="K185" i="7"/>
  <c r="J185" i="7"/>
  <c r="I185" i="7"/>
  <c r="H185" i="7"/>
  <c r="G185" i="7"/>
  <c r="AK184" i="7"/>
  <c r="AJ184" i="7"/>
  <c r="AI184" i="7"/>
  <c r="AH184" i="7"/>
  <c r="AG184" i="7"/>
  <c r="AF184" i="7"/>
  <c r="AE184" i="7"/>
  <c r="AD184" i="7"/>
  <c r="AC184" i="7"/>
  <c r="AB184" i="7"/>
  <c r="AA184" i="7"/>
  <c r="Z184" i="7"/>
  <c r="Y184" i="7"/>
  <c r="X184" i="7"/>
  <c r="W184" i="7"/>
  <c r="V184" i="7"/>
  <c r="U184" i="7"/>
  <c r="T184" i="7"/>
  <c r="S184" i="7"/>
  <c r="R184" i="7"/>
  <c r="Q184" i="7"/>
  <c r="P184" i="7"/>
  <c r="O184" i="7"/>
  <c r="N184" i="7"/>
  <c r="M184" i="7"/>
  <c r="L184" i="7"/>
  <c r="K184" i="7"/>
  <c r="J184" i="7"/>
  <c r="I184" i="7"/>
  <c r="H184" i="7"/>
  <c r="G184" i="7"/>
  <c r="AK183" i="7"/>
  <c r="AJ183" i="7"/>
  <c r="AI183" i="7"/>
  <c r="AH183" i="7"/>
  <c r="AG183" i="7"/>
  <c r="AF183" i="7"/>
  <c r="AE183" i="7"/>
  <c r="AD183" i="7"/>
  <c r="AC183" i="7"/>
  <c r="AB183" i="7"/>
  <c r="AA183" i="7"/>
  <c r="Z183" i="7"/>
  <c r="Y183" i="7"/>
  <c r="X183" i="7"/>
  <c r="W183" i="7"/>
  <c r="V183" i="7"/>
  <c r="U183" i="7"/>
  <c r="T183" i="7"/>
  <c r="S183" i="7"/>
  <c r="R183" i="7"/>
  <c r="Q183" i="7"/>
  <c r="P183" i="7"/>
  <c r="O183" i="7"/>
  <c r="N183" i="7"/>
  <c r="M183" i="7"/>
  <c r="L183" i="7"/>
  <c r="K183" i="7"/>
  <c r="J183" i="7"/>
  <c r="I183" i="7"/>
  <c r="H183" i="7"/>
  <c r="G183" i="7"/>
  <c r="AK182" i="7"/>
  <c r="AJ182" i="7"/>
  <c r="AI182" i="7"/>
  <c r="AH182" i="7"/>
  <c r="AG182"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AK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L181" i="7"/>
  <c r="K181" i="7"/>
  <c r="J181" i="7"/>
  <c r="I181" i="7"/>
  <c r="H181" i="7"/>
  <c r="G181"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K180" i="7"/>
  <c r="J180" i="7"/>
  <c r="I180" i="7"/>
  <c r="H180" i="7"/>
  <c r="G180" i="7"/>
  <c r="AK179" i="7"/>
  <c r="AJ179" i="7"/>
  <c r="AI179" i="7"/>
  <c r="AH179" i="7"/>
  <c r="AG179" i="7"/>
  <c r="AF179" i="7"/>
  <c r="AE179" i="7"/>
  <c r="AD179" i="7"/>
  <c r="AC179" i="7"/>
  <c r="AB179" i="7"/>
  <c r="AA179" i="7"/>
  <c r="Z179" i="7"/>
  <c r="Y179" i="7"/>
  <c r="X179" i="7"/>
  <c r="W179" i="7"/>
  <c r="V179" i="7"/>
  <c r="U179" i="7"/>
  <c r="T179" i="7"/>
  <c r="S179" i="7"/>
  <c r="R179" i="7"/>
  <c r="Q179" i="7"/>
  <c r="P179" i="7"/>
  <c r="O179" i="7"/>
  <c r="N179" i="7"/>
  <c r="M179" i="7"/>
  <c r="L179" i="7"/>
  <c r="K179" i="7"/>
  <c r="J179" i="7"/>
  <c r="I179" i="7"/>
  <c r="H179" i="7"/>
  <c r="G179" i="7"/>
  <c r="AK178" i="7"/>
  <c r="AJ178" i="7"/>
  <c r="AI178" i="7"/>
  <c r="AH178" i="7"/>
  <c r="AG178" i="7"/>
  <c r="AF178" i="7"/>
  <c r="AE178" i="7"/>
  <c r="AD178" i="7"/>
  <c r="AC178" i="7"/>
  <c r="AB178" i="7"/>
  <c r="AA178" i="7"/>
  <c r="Z178" i="7"/>
  <c r="Y178" i="7"/>
  <c r="X178" i="7"/>
  <c r="W178" i="7"/>
  <c r="V178" i="7"/>
  <c r="U178" i="7"/>
  <c r="T178" i="7"/>
  <c r="S178" i="7"/>
  <c r="R178" i="7"/>
  <c r="Q178" i="7"/>
  <c r="P178" i="7"/>
  <c r="O178" i="7"/>
  <c r="N178" i="7"/>
  <c r="M178" i="7"/>
  <c r="L178" i="7"/>
  <c r="K178" i="7"/>
  <c r="J178" i="7"/>
  <c r="I178" i="7"/>
  <c r="H178" i="7"/>
  <c r="G178" i="7"/>
  <c r="AK177" i="7"/>
  <c r="AJ177" i="7"/>
  <c r="AI177" i="7"/>
  <c r="AH177" i="7"/>
  <c r="AG177" i="7"/>
  <c r="AF177" i="7"/>
  <c r="AE177" i="7"/>
  <c r="AD177" i="7"/>
  <c r="AC177" i="7"/>
  <c r="AB177" i="7"/>
  <c r="AA177" i="7"/>
  <c r="Z177" i="7"/>
  <c r="Y177" i="7"/>
  <c r="X177" i="7"/>
  <c r="W177" i="7"/>
  <c r="V177" i="7"/>
  <c r="U177" i="7"/>
  <c r="T177" i="7"/>
  <c r="S177" i="7"/>
  <c r="R177" i="7"/>
  <c r="Q177" i="7"/>
  <c r="P177" i="7"/>
  <c r="O177" i="7"/>
  <c r="N177" i="7"/>
  <c r="M177" i="7"/>
  <c r="L177" i="7"/>
  <c r="K177" i="7"/>
  <c r="J177" i="7"/>
  <c r="I177" i="7"/>
  <c r="H177" i="7"/>
  <c r="G177" i="7"/>
  <c r="AK176" i="7"/>
  <c r="AJ176" i="7"/>
  <c r="AI176" i="7"/>
  <c r="AH176" i="7"/>
  <c r="AG176" i="7"/>
  <c r="AF176" i="7"/>
  <c r="AE176" i="7"/>
  <c r="AD176" i="7"/>
  <c r="AC176" i="7"/>
  <c r="AB176" i="7"/>
  <c r="AA176" i="7"/>
  <c r="Z176" i="7"/>
  <c r="Y176" i="7"/>
  <c r="X176" i="7"/>
  <c r="W176" i="7"/>
  <c r="V176" i="7"/>
  <c r="U176" i="7"/>
  <c r="T176" i="7"/>
  <c r="S176" i="7"/>
  <c r="R176" i="7"/>
  <c r="Q176" i="7"/>
  <c r="P176" i="7"/>
  <c r="O176" i="7"/>
  <c r="N176" i="7"/>
  <c r="M176" i="7"/>
  <c r="L176" i="7"/>
  <c r="K176" i="7"/>
  <c r="J176" i="7"/>
  <c r="I176" i="7"/>
  <c r="H176" i="7"/>
  <c r="G176" i="7"/>
  <c r="AK175" i="7"/>
  <c r="AJ175" i="7"/>
  <c r="AI175" i="7"/>
  <c r="AH175" i="7"/>
  <c r="AG175" i="7"/>
  <c r="AF175" i="7"/>
  <c r="AE175" i="7"/>
  <c r="AD175" i="7"/>
  <c r="AC175" i="7"/>
  <c r="AB175" i="7"/>
  <c r="AA175" i="7"/>
  <c r="Z175" i="7"/>
  <c r="Y175" i="7"/>
  <c r="X175" i="7"/>
  <c r="W175" i="7"/>
  <c r="V175" i="7"/>
  <c r="U175" i="7"/>
  <c r="T175" i="7"/>
  <c r="S175" i="7"/>
  <c r="R175" i="7"/>
  <c r="Q175" i="7"/>
  <c r="P175" i="7"/>
  <c r="O175" i="7"/>
  <c r="N175" i="7"/>
  <c r="M175" i="7"/>
  <c r="L175" i="7"/>
  <c r="K175" i="7"/>
  <c r="J175" i="7"/>
  <c r="I175" i="7"/>
  <c r="H175" i="7"/>
  <c r="G175" i="7"/>
  <c r="AK174" i="7"/>
  <c r="AJ174" i="7"/>
  <c r="AI174" i="7"/>
  <c r="AH174" i="7"/>
  <c r="AG174" i="7"/>
  <c r="AF174" i="7"/>
  <c r="AE174" i="7"/>
  <c r="AD174" i="7"/>
  <c r="AC174" i="7"/>
  <c r="AB174" i="7"/>
  <c r="AA174" i="7"/>
  <c r="Z174" i="7"/>
  <c r="Y174" i="7"/>
  <c r="X174" i="7"/>
  <c r="W174" i="7"/>
  <c r="V174" i="7"/>
  <c r="U174" i="7"/>
  <c r="T174" i="7"/>
  <c r="S174" i="7"/>
  <c r="R174" i="7"/>
  <c r="Q174" i="7"/>
  <c r="P174" i="7"/>
  <c r="O174" i="7"/>
  <c r="N174" i="7"/>
  <c r="M174" i="7"/>
  <c r="L174" i="7"/>
  <c r="K174" i="7"/>
  <c r="J174" i="7"/>
  <c r="I174" i="7"/>
  <c r="H174" i="7"/>
  <c r="G174" i="7"/>
  <c r="AK173" i="7"/>
  <c r="AJ173" i="7"/>
  <c r="AI173" i="7"/>
  <c r="AH173" i="7"/>
  <c r="AG173" i="7"/>
  <c r="AF173" i="7"/>
  <c r="AE173" i="7"/>
  <c r="AD173" i="7"/>
  <c r="AC173" i="7"/>
  <c r="AB173" i="7"/>
  <c r="AA173" i="7"/>
  <c r="Z173" i="7"/>
  <c r="Y173" i="7"/>
  <c r="X173" i="7"/>
  <c r="W173" i="7"/>
  <c r="V173" i="7"/>
  <c r="U173" i="7"/>
  <c r="T173" i="7"/>
  <c r="S173" i="7"/>
  <c r="R173" i="7"/>
  <c r="Q173" i="7"/>
  <c r="P173" i="7"/>
  <c r="O173" i="7"/>
  <c r="N173" i="7"/>
  <c r="M173" i="7"/>
  <c r="L173" i="7"/>
  <c r="K173" i="7"/>
  <c r="J173" i="7"/>
  <c r="I173" i="7"/>
  <c r="H173" i="7"/>
  <c r="G173" i="7"/>
  <c r="AK170" i="7"/>
  <c r="AJ170" i="7"/>
  <c r="AI170" i="7"/>
  <c r="AH170" i="7"/>
  <c r="AG170" i="7"/>
  <c r="AF170" i="7"/>
  <c r="AE170" i="7"/>
  <c r="AD170" i="7"/>
  <c r="AC170" i="7"/>
  <c r="AB170" i="7"/>
  <c r="AA170" i="7"/>
  <c r="Z170" i="7"/>
  <c r="Y170" i="7"/>
  <c r="X170" i="7"/>
  <c r="W170" i="7"/>
  <c r="V170" i="7"/>
  <c r="U170" i="7"/>
  <c r="T170" i="7"/>
  <c r="S170" i="7"/>
  <c r="R170" i="7"/>
  <c r="Q170" i="7"/>
  <c r="P170" i="7"/>
  <c r="O170" i="7"/>
  <c r="N170" i="7"/>
  <c r="M170" i="7"/>
  <c r="L170" i="7"/>
  <c r="K170" i="7"/>
  <c r="J170" i="7"/>
  <c r="I170" i="7"/>
  <c r="H170" i="7"/>
  <c r="G170" i="7"/>
  <c r="AK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L169" i="7"/>
  <c r="K169" i="7"/>
  <c r="J169" i="7"/>
  <c r="I169" i="7"/>
  <c r="H169" i="7"/>
  <c r="G169" i="7"/>
  <c r="AK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L168" i="7"/>
  <c r="K168" i="7"/>
  <c r="J168" i="7"/>
  <c r="I168" i="7"/>
  <c r="H168" i="7"/>
  <c r="G168" i="7"/>
  <c r="AK167" i="7"/>
  <c r="AJ167" i="7"/>
  <c r="AI167" i="7"/>
  <c r="AH167" i="7"/>
  <c r="AG167" i="7"/>
  <c r="AF167" i="7"/>
  <c r="AE167" i="7"/>
  <c r="AD167" i="7"/>
  <c r="AC167" i="7"/>
  <c r="AB167" i="7"/>
  <c r="AA167" i="7"/>
  <c r="Z167" i="7"/>
  <c r="Y167" i="7"/>
  <c r="X167" i="7"/>
  <c r="W167" i="7"/>
  <c r="V167" i="7"/>
  <c r="U167" i="7"/>
  <c r="T167" i="7"/>
  <c r="S167" i="7"/>
  <c r="R167" i="7"/>
  <c r="Q167" i="7"/>
  <c r="P167" i="7"/>
  <c r="O167" i="7"/>
  <c r="N167" i="7"/>
  <c r="M167" i="7"/>
  <c r="L167" i="7"/>
  <c r="K167" i="7"/>
  <c r="J167" i="7"/>
  <c r="I167" i="7"/>
  <c r="H167" i="7"/>
  <c r="G167" i="7"/>
  <c r="AK166" i="7"/>
  <c r="AJ166" i="7"/>
  <c r="AI166" i="7"/>
  <c r="AH166" i="7"/>
  <c r="AG166" i="7"/>
  <c r="AF166" i="7"/>
  <c r="AE166" i="7"/>
  <c r="AD166" i="7"/>
  <c r="AC166" i="7"/>
  <c r="AB166" i="7"/>
  <c r="AA166" i="7"/>
  <c r="Z166" i="7"/>
  <c r="Y166" i="7"/>
  <c r="X166" i="7"/>
  <c r="W166" i="7"/>
  <c r="V166" i="7"/>
  <c r="U166" i="7"/>
  <c r="T166" i="7"/>
  <c r="S166" i="7"/>
  <c r="R166" i="7"/>
  <c r="Q166" i="7"/>
  <c r="P166" i="7"/>
  <c r="O166" i="7"/>
  <c r="N166" i="7"/>
  <c r="M166" i="7"/>
  <c r="L166" i="7"/>
  <c r="K166" i="7"/>
  <c r="J166" i="7"/>
  <c r="I166" i="7"/>
  <c r="H166" i="7"/>
  <c r="G166" i="7"/>
  <c r="AK165" i="7"/>
  <c r="AJ165" i="7"/>
  <c r="AI165" i="7"/>
  <c r="AH165" i="7"/>
  <c r="AG165" i="7"/>
  <c r="AF165" i="7"/>
  <c r="AE165" i="7"/>
  <c r="AD165" i="7"/>
  <c r="AC165" i="7"/>
  <c r="AB165" i="7"/>
  <c r="AA165" i="7"/>
  <c r="Z165" i="7"/>
  <c r="Y165" i="7"/>
  <c r="X165" i="7"/>
  <c r="W165" i="7"/>
  <c r="V165" i="7"/>
  <c r="U165" i="7"/>
  <c r="T165" i="7"/>
  <c r="S165" i="7"/>
  <c r="R165" i="7"/>
  <c r="Q165" i="7"/>
  <c r="P165" i="7"/>
  <c r="O165" i="7"/>
  <c r="N165" i="7"/>
  <c r="M165" i="7"/>
  <c r="L165" i="7"/>
  <c r="K165" i="7"/>
  <c r="J165" i="7"/>
  <c r="I165" i="7"/>
  <c r="H165" i="7"/>
  <c r="G165" i="7"/>
  <c r="AK164" i="7"/>
  <c r="AJ164" i="7"/>
  <c r="AI164" i="7"/>
  <c r="AH164" i="7"/>
  <c r="AG164"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AK163" i="7"/>
  <c r="AJ163" i="7"/>
  <c r="AI163" i="7"/>
  <c r="AH163" i="7"/>
  <c r="AG163" i="7"/>
  <c r="AF163" i="7"/>
  <c r="AE163" i="7"/>
  <c r="AD163" i="7"/>
  <c r="AC163" i="7"/>
  <c r="AB163" i="7"/>
  <c r="AA163" i="7"/>
  <c r="Z163" i="7"/>
  <c r="Y163" i="7"/>
  <c r="X163" i="7"/>
  <c r="W163" i="7"/>
  <c r="V163" i="7"/>
  <c r="U163" i="7"/>
  <c r="T163" i="7"/>
  <c r="S163" i="7"/>
  <c r="R163" i="7"/>
  <c r="Q163" i="7"/>
  <c r="P163" i="7"/>
  <c r="O163" i="7"/>
  <c r="N163" i="7"/>
  <c r="M163" i="7"/>
  <c r="L163" i="7"/>
  <c r="K163" i="7"/>
  <c r="J163" i="7"/>
  <c r="I163" i="7"/>
  <c r="H163" i="7"/>
  <c r="G163" i="7"/>
  <c r="AK162" i="7"/>
  <c r="AJ162" i="7"/>
  <c r="AI162" i="7"/>
  <c r="AH162" i="7"/>
  <c r="AG162" i="7"/>
  <c r="AF162" i="7"/>
  <c r="AE162" i="7"/>
  <c r="AD162" i="7"/>
  <c r="AC162" i="7"/>
  <c r="AB162" i="7"/>
  <c r="AA162" i="7"/>
  <c r="Z162" i="7"/>
  <c r="Y162" i="7"/>
  <c r="X162" i="7"/>
  <c r="W162" i="7"/>
  <c r="V162" i="7"/>
  <c r="U162" i="7"/>
  <c r="T162" i="7"/>
  <c r="S162" i="7"/>
  <c r="R162" i="7"/>
  <c r="Q162" i="7"/>
  <c r="P162" i="7"/>
  <c r="O162" i="7"/>
  <c r="N162" i="7"/>
  <c r="M162" i="7"/>
  <c r="L162" i="7"/>
  <c r="K162" i="7"/>
  <c r="J162" i="7"/>
  <c r="I162" i="7"/>
  <c r="H162" i="7"/>
  <c r="G162" i="7"/>
  <c r="AK161" i="7"/>
  <c r="AJ161" i="7"/>
  <c r="AI161" i="7"/>
  <c r="AH161" i="7"/>
  <c r="AG161" i="7"/>
  <c r="AF161" i="7"/>
  <c r="AE161" i="7"/>
  <c r="AD161" i="7"/>
  <c r="AC161" i="7"/>
  <c r="AB161" i="7"/>
  <c r="AA161" i="7"/>
  <c r="Z161" i="7"/>
  <c r="Y161" i="7"/>
  <c r="X161" i="7"/>
  <c r="W161" i="7"/>
  <c r="V161" i="7"/>
  <c r="U161" i="7"/>
  <c r="T161" i="7"/>
  <c r="S161" i="7"/>
  <c r="R161" i="7"/>
  <c r="Q161" i="7"/>
  <c r="P161" i="7"/>
  <c r="O161" i="7"/>
  <c r="N161" i="7"/>
  <c r="M161" i="7"/>
  <c r="L161" i="7"/>
  <c r="K161" i="7"/>
  <c r="J161" i="7"/>
  <c r="I161" i="7"/>
  <c r="H161" i="7"/>
  <c r="G161"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K160" i="7"/>
  <c r="J160" i="7"/>
  <c r="I160" i="7"/>
  <c r="H160" i="7"/>
  <c r="G160" i="7"/>
  <c r="AK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L159" i="7"/>
  <c r="K159" i="7"/>
  <c r="J159" i="7"/>
  <c r="I159" i="7"/>
  <c r="H159" i="7"/>
  <c r="G159" i="7"/>
  <c r="AK157" i="7"/>
  <c r="AJ157" i="7"/>
  <c r="AI157" i="7"/>
  <c r="AH157" i="7"/>
  <c r="AG157" i="7"/>
  <c r="AF157" i="7"/>
  <c r="AE157" i="7"/>
  <c r="AD157" i="7"/>
  <c r="AC157" i="7"/>
  <c r="AB157" i="7"/>
  <c r="AA157" i="7"/>
  <c r="Z157" i="7"/>
  <c r="Y157" i="7"/>
  <c r="X157" i="7"/>
  <c r="W157" i="7"/>
  <c r="V157" i="7"/>
  <c r="U157" i="7"/>
  <c r="T157" i="7"/>
  <c r="S157" i="7"/>
  <c r="R157" i="7"/>
  <c r="Q157" i="7"/>
  <c r="P157" i="7"/>
  <c r="O157" i="7"/>
  <c r="N157" i="7"/>
  <c r="M157" i="7"/>
  <c r="L157" i="7"/>
  <c r="K157" i="7"/>
  <c r="J157" i="7"/>
  <c r="I157" i="7"/>
  <c r="H157" i="7"/>
  <c r="G157" i="7"/>
  <c r="AK156" i="7"/>
  <c r="AJ156" i="7"/>
  <c r="AI156" i="7"/>
  <c r="AH156" i="7"/>
  <c r="AG156" i="7"/>
  <c r="AF156" i="7"/>
  <c r="AE156" i="7"/>
  <c r="AD156" i="7"/>
  <c r="AC156" i="7"/>
  <c r="AB156" i="7"/>
  <c r="AA156" i="7"/>
  <c r="Z156" i="7"/>
  <c r="Y156" i="7"/>
  <c r="X156" i="7"/>
  <c r="W156" i="7"/>
  <c r="V156" i="7"/>
  <c r="U156" i="7"/>
  <c r="T156" i="7"/>
  <c r="S156" i="7"/>
  <c r="R156" i="7"/>
  <c r="Q156" i="7"/>
  <c r="P156" i="7"/>
  <c r="O156" i="7"/>
  <c r="N156" i="7"/>
  <c r="M156" i="7"/>
  <c r="L156" i="7"/>
  <c r="K156" i="7"/>
  <c r="J156" i="7"/>
  <c r="I156" i="7"/>
  <c r="H156" i="7"/>
  <c r="G156" i="7"/>
  <c r="AK155" i="7"/>
  <c r="AJ155" i="7"/>
  <c r="AI155" i="7"/>
  <c r="AH155" i="7"/>
  <c r="AG155" i="7"/>
  <c r="AF155" i="7"/>
  <c r="AE155" i="7"/>
  <c r="AD155" i="7"/>
  <c r="AC155" i="7"/>
  <c r="AB155" i="7"/>
  <c r="AA155" i="7"/>
  <c r="Z155" i="7"/>
  <c r="Y155" i="7"/>
  <c r="X155" i="7"/>
  <c r="W155" i="7"/>
  <c r="V155" i="7"/>
  <c r="U155" i="7"/>
  <c r="T155" i="7"/>
  <c r="S155" i="7"/>
  <c r="R155" i="7"/>
  <c r="Q155" i="7"/>
  <c r="P155" i="7"/>
  <c r="O155" i="7"/>
  <c r="N155" i="7"/>
  <c r="M155" i="7"/>
  <c r="L155" i="7"/>
  <c r="K155" i="7"/>
  <c r="J155" i="7"/>
  <c r="I155" i="7"/>
  <c r="H155" i="7"/>
  <c r="G155" i="7"/>
  <c r="AK154" i="7"/>
  <c r="AJ154" i="7"/>
  <c r="AI154" i="7"/>
  <c r="AH154" i="7"/>
  <c r="AG154" i="7"/>
  <c r="AF154" i="7"/>
  <c r="AE154" i="7"/>
  <c r="AD154" i="7"/>
  <c r="AC154" i="7"/>
  <c r="AB154" i="7"/>
  <c r="AA154" i="7"/>
  <c r="Z154" i="7"/>
  <c r="Y154" i="7"/>
  <c r="X154" i="7"/>
  <c r="W154" i="7"/>
  <c r="V154" i="7"/>
  <c r="U154" i="7"/>
  <c r="T154" i="7"/>
  <c r="S154" i="7"/>
  <c r="R154" i="7"/>
  <c r="Q154" i="7"/>
  <c r="P154" i="7"/>
  <c r="O154" i="7"/>
  <c r="N154" i="7"/>
  <c r="M154" i="7"/>
  <c r="L154" i="7"/>
  <c r="K154" i="7"/>
  <c r="J154" i="7"/>
  <c r="I154" i="7"/>
  <c r="H154" i="7"/>
  <c r="G154" i="7"/>
  <c r="AK153" i="7"/>
  <c r="AJ153" i="7"/>
  <c r="AI153" i="7"/>
  <c r="AH153" i="7"/>
  <c r="AG153"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AK152" i="7"/>
  <c r="AJ152" i="7"/>
  <c r="AI152" i="7"/>
  <c r="AH152" i="7"/>
  <c r="AG152" i="7"/>
  <c r="AF152" i="7"/>
  <c r="AE152" i="7"/>
  <c r="AD152" i="7"/>
  <c r="AC152" i="7"/>
  <c r="AB152" i="7"/>
  <c r="AA152" i="7"/>
  <c r="Z152" i="7"/>
  <c r="Y152" i="7"/>
  <c r="X152" i="7"/>
  <c r="W152" i="7"/>
  <c r="V152" i="7"/>
  <c r="U152" i="7"/>
  <c r="T152" i="7"/>
  <c r="S152" i="7"/>
  <c r="R152" i="7"/>
  <c r="Q152" i="7"/>
  <c r="P152" i="7"/>
  <c r="O152" i="7"/>
  <c r="N152" i="7"/>
  <c r="M152" i="7"/>
  <c r="L152" i="7"/>
  <c r="K152" i="7"/>
  <c r="J152" i="7"/>
  <c r="I152" i="7"/>
  <c r="H152" i="7"/>
  <c r="G152" i="7"/>
  <c r="AK151" i="7"/>
  <c r="AJ151" i="7"/>
  <c r="AI151" i="7"/>
  <c r="AH151" i="7"/>
  <c r="AG151" i="7"/>
  <c r="AF151" i="7"/>
  <c r="AE151" i="7"/>
  <c r="AD151" i="7"/>
  <c r="AC151" i="7"/>
  <c r="AB151" i="7"/>
  <c r="AA151" i="7"/>
  <c r="Z151" i="7"/>
  <c r="Y151" i="7"/>
  <c r="X151" i="7"/>
  <c r="W151" i="7"/>
  <c r="V151" i="7"/>
  <c r="U151" i="7"/>
  <c r="T151" i="7"/>
  <c r="S151" i="7"/>
  <c r="R151" i="7"/>
  <c r="Q151" i="7"/>
  <c r="P151" i="7"/>
  <c r="O151" i="7"/>
  <c r="N151" i="7"/>
  <c r="M151" i="7"/>
  <c r="L151" i="7"/>
  <c r="K151" i="7"/>
  <c r="J151" i="7"/>
  <c r="I151" i="7"/>
  <c r="H151" i="7"/>
  <c r="G151" i="7"/>
  <c r="AK148" i="7"/>
  <c r="AJ148" i="7"/>
  <c r="AI148" i="7"/>
  <c r="AH148" i="7"/>
  <c r="AG148" i="7"/>
  <c r="AF148" i="7"/>
  <c r="AE148" i="7"/>
  <c r="AD148" i="7"/>
  <c r="AC148" i="7"/>
  <c r="AB148" i="7"/>
  <c r="AA148" i="7"/>
  <c r="Z148" i="7"/>
  <c r="Y148" i="7"/>
  <c r="X148" i="7"/>
  <c r="W148" i="7"/>
  <c r="V148" i="7"/>
  <c r="U148" i="7"/>
  <c r="T148" i="7"/>
  <c r="S148" i="7"/>
  <c r="R148" i="7"/>
  <c r="Q148" i="7"/>
  <c r="P148" i="7"/>
  <c r="O148" i="7"/>
  <c r="N148" i="7"/>
  <c r="M148" i="7"/>
  <c r="L148" i="7"/>
  <c r="K148" i="7"/>
  <c r="J148" i="7"/>
  <c r="I148" i="7"/>
  <c r="H148" i="7"/>
  <c r="G148" i="7"/>
  <c r="AK147" i="7"/>
  <c r="AJ147" i="7"/>
  <c r="AI147" i="7"/>
  <c r="AH147" i="7"/>
  <c r="AG147" i="7"/>
  <c r="AF147" i="7"/>
  <c r="AE147" i="7"/>
  <c r="AD147" i="7"/>
  <c r="AC147" i="7"/>
  <c r="AB147" i="7"/>
  <c r="AA147" i="7"/>
  <c r="Z147" i="7"/>
  <c r="Y147" i="7"/>
  <c r="X147" i="7"/>
  <c r="W147" i="7"/>
  <c r="V147" i="7"/>
  <c r="U147" i="7"/>
  <c r="T147" i="7"/>
  <c r="S147" i="7"/>
  <c r="R147" i="7"/>
  <c r="Q147" i="7"/>
  <c r="P147" i="7"/>
  <c r="O147" i="7"/>
  <c r="N147" i="7"/>
  <c r="M147" i="7"/>
  <c r="L147" i="7"/>
  <c r="K147" i="7"/>
  <c r="J147" i="7"/>
  <c r="I147" i="7"/>
  <c r="H147" i="7"/>
  <c r="G147" i="7"/>
  <c r="AK146" i="7"/>
  <c r="AJ146" i="7"/>
  <c r="AI146" i="7"/>
  <c r="AH146" i="7"/>
  <c r="AG146"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AK145" i="7"/>
  <c r="AJ145" i="7"/>
  <c r="AI145" i="7"/>
  <c r="AH145" i="7"/>
  <c r="AG145" i="7"/>
  <c r="AF145" i="7"/>
  <c r="AE145" i="7"/>
  <c r="AD145" i="7"/>
  <c r="AC145" i="7"/>
  <c r="AB145" i="7"/>
  <c r="AA145" i="7"/>
  <c r="Z145" i="7"/>
  <c r="Y145" i="7"/>
  <c r="X145" i="7"/>
  <c r="W145" i="7"/>
  <c r="V145" i="7"/>
  <c r="U145" i="7"/>
  <c r="T145" i="7"/>
  <c r="S145" i="7"/>
  <c r="R145" i="7"/>
  <c r="Q145" i="7"/>
  <c r="P145" i="7"/>
  <c r="O145" i="7"/>
  <c r="N145" i="7"/>
  <c r="M145" i="7"/>
  <c r="L145" i="7"/>
  <c r="K145" i="7"/>
  <c r="J145" i="7"/>
  <c r="I145" i="7"/>
  <c r="H145" i="7"/>
  <c r="G145" i="7"/>
  <c r="AK144" i="7"/>
  <c r="AJ144" i="7"/>
  <c r="AI144" i="7"/>
  <c r="AH144" i="7"/>
  <c r="AG144" i="7"/>
  <c r="AF144" i="7"/>
  <c r="AE144" i="7"/>
  <c r="AD144" i="7"/>
  <c r="AC144" i="7"/>
  <c r="AB144" i="7"/>
  <c r="AA144" i="7"/>
  <c r="Z144" i="7"/>
  <c r="Y144" i="7"/>
  <c r="X144" i="7"/>
  <c r="W144" i="7"/>
  <c r="V144" i="7"/>
  <c r="U144" i="7"/>
  <c r="T144" i="7"/>
  <c r="S144" i="7"/>
  <c r="R144" i="7"/>
  <c r="Q144" i="7"/>
  <c r="P144" i="7"/>
  <c r="O144" i="7"/>
  <c r="N144" i="7"/>
  <c r="M144" i="7"/>
  <c r="L144" i="7"/>
  <c r="K144" i="7"/>
  <c r="J144" i="7"/>
  <c r="I144" i="7"/>
  <c r="H144" i="7"/>
  <c r="G144" i="7"/>
  <c r="AK143" i="7"/>
  <c r="AJ143" i="7"/>
  <c r="AI143" i="7"/>
  <c r="AH143" i="7"/>
  <c r="AG143" i="7"/>
  <c r="AF143" i="7"/>
  <c r="AE143" i="7"/>
  <c r="AD143" i="7"/>
  <c r="AC143" i="7"/>
  <c r="AB143" i="7"/>
  <c r="AA143" i="7"/>
  <c r="Z143" i="7"/>
  <c r="Y143" i="7"/>
  <c r="X143" i="7"/>
  <c r="W143" i="7"/>
  <c r="V143" i="7"/>
  <c r="U143" i="7"/>
  <c r="T143" i="7"/>
  <c r="S143" i="7"/>
  <c r="R143" i="7"/>
  <c r="Q143" i="7"/>
  <c r="P143" i="7"/>
  <c r="O143" i="7"/>
  <c r="N143" i="7"/>
  <c r="M143" i="7"/>
  <c r="L143" i="7"/>
  <c r="K143" i="7"/>
  <c r="J143" i="7"/>
  <c r="I143" i="7"/>
  <c r="H143" i="7"/>
  <c r="G143"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K142" i="7"/>
  <c r="J142" i="7"/>
  <c r="I142" i="7"/>
  <c r="H142" i="7"/>
  <c r="G142"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K141" i="7"/>
  <c r="J141" i="7"/>
  <c r="I141" i="7"/>
  <c r="H141" i="7"/>
  <c r="G141" i="7"/>
  <c r="AK140" i="7"/>
  <c r="AJ140" i="7"/>
  <c r="AI140" i="7"/>
  <c r="AH140" i="7"/>
  <c r="AG140" i="7"/>
  <c r="AF140" i="7"/>
  <c r="AE140" i="7"/>
  <c r="AD140" i="7"/>
  <c r="AC140" i="7"/>
  <c r="AB140" i="7"/>
  <c r="AA140" i="7"/>
  <c r="Z140" i="7"/>
  <c r="Y140" i="7"/>
  <c r="X140" i="7"/>
  <c r="W140" i="7"/>
  <c r="V140" i="7"/>
  <c r="U140" i="7"/>
  <c r="T140" i="7"/>
  <c r="S140" i="7"/>
  <c r="R140" i="7"/>
  <c r="Q140" i="7"/>
  <c r="P140" i="7"/>
  <c r="O140" i="7"/>
  <c r="N140" i="7"/>
  <c r="M140" i="7"/>
  <c r="L140" i="7"/>
  <c r="K140" i="7"/>
  <c r="J140" i="7"/>
  <c r="I140" i="7"/>
  <c r="H140" i="7"/>
  <c r="G140" i="7"/>
  <c r="AK138" i="7"/>
  <c r="AJ138" i="7"/>
  <c r="AI138" i="7"/>
  <c r="AH138" i="7"/>
  <c r="AG138" i="7"/>
  <c r="AF138" i="7"/>
  <c r="AE138" i="7"/>
  <c r="AD138" i="7"/>
  <c r="AC138" i="7"/>
  <c r="AB138" i="7"/>
  <c r="AA138" i="7"/>
  <c r="Z138" i="7"/>
  <c r="Y138" i="7"/>
  <c r="X138" i="7"/>
  <c r="W138" i="7"/>
  <c r="V138" i="7"/>
  <c r="U138" i="7"/>
  <c r="T138" i="7"/>
  <c r="S138" i="7"/>
  <c r="R138" i="7"/>
  <c r="Q138" i="7"/>
  <c r="P138" i="7"/>
  <c r="O138" i="7"/>
  <c r="N138" i="7"/>
  <c r="M138" i="7"/>
  <c r="L138" i="7"/>
  <c r="K138" i="7"/>
  <c r="J138" i="7"/>
  <c r="I138" i="7"/>
  <c r="H138" i="7"/>
  <c r="G138" i="7"/>
  <c r="AK137" i="7"/>
  <c r="AJ137" i="7"/>
  <c r="AI137" i="7"/>
  <c r="AH137" i="7"/>
  <c r="AG137" i="7"/>
  <c r="AF137" i="7"/>
  <c r="AE137" i="7"/>
  <c r="AD137" i="7"/>
  <c r="AC137" i="7"/>
  <c r="AB137" i="7"/>
  <c r="AA137" i="7"/>
  <c r="Z137" i="7"/>
  <c r="Y137" i="7"/>
  <c r="X137" i="7"/>
  <c r="W137" i="7"/>
  <c r="V137" i="7"/>
  <c r="U137" i="7"/>
  <c r="T137" i="7"/>
  <c r="S137" i="7"/>
  <c r="R137" i="7"/>
  <c r="Q137" i="7"/>
  <c r="P137" i="7"/>
  <c r="O137" i="7"/>
  <c r="N137" i="7"/>
  <c r="M137" i="7"/>
  <c r="L137" i="7"/>
  <c r="K137" i="7"/>
  <c r="J137" i="7"/>
  <c r="I137" i="7"/>
  <c r="H137" i="7"/>
  <c r="G137" i="7"/>
  <c r="AK136" i="7"/>
  <c r="AJ136" i="7"/>
  <c r="AI136" i="7"/>
  <c r="AH136" i="7"/>
  <c r="AG136" i="7"/>
  <c r="AF136" i="7"/>
  <c r="AE136" i="7"/>
  <c r="AD136" i="7"/>
  <c r="AC136" i="7"/>
  <c r="AB136" i="7"/>
  <c r="AA136" i="7"/>
  <c r="Z136" i="7"/>
  <c r="Y136" i="7"/>
  <c r="X136" i="7"/>
  <c r="W136" i="7"/>
  <c r="V136" i="7"/>
  <c r="U136" i="7"/>
  <c r="T136" i="7"/>
  <c r="S136" i="7"/>
  <c r="R136" i="7"/>
  <c r="Q136" i="7"/>
  <c r="P136" i="7"/>
  <c r="O136" i="7"/>
  <c r="N136" i="7"/>
  <c r="M136" i="7"/>
  <c r="L136" i="7"/>
  <c r="K136" i="7"/>
  <c r="J136" i="7"/>
  <c r="I136" i="7"/>
  <c r="H136" i="7"/>
  <c r="G136" i="7"/>
  <c r="AK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AK134" i="7"/>
  <c r="AJ134" i="7"/>
  <c r="AI134" i="7"/>
  <c r="AH134" i="7"/>
  <c r="AG134" i="7"/>
  <c r="AF134" i="7"/>
  <c r="AE134" i="7"/>
  <c r="AD134" i="7"/>
  <c r="AC134" i="7"/>
  <c r="AB134" i="7"/>
  <c r="AA134" i="7"/>
  <c r="Z134" i="7"/>
  <c r="Y134" i="7"/>
  <c r="X134" i="7"/>
  <c r="W134" i="7"/>
  <c r="V134" i="7"/>
  <c r="U134" i="7"/>
  <c r="T134" i="7"/>
  <c r="S134" i="7"/>
  <c r="R134" i="7"/>
  <c r="Q134" i="7"/>
  <c r="P134" i="7"/>
  <c r="O134" i="7"/>
  <c r="N134" i="7"/>
  <c r="M134" i="7"/>
  <c r="L134" i="7"/>
  <c r="K134" i="7"/>
  <c r="J134" i="7"/>
  <c r="I134" i="7"/>
  <c r="H134" i="7"/>
  <c r="G134" i="7"/>
  <c r="AK133" i="7"/>
  <c r="AJ133" i="7"/>
  <c r="AI133" i="7"/>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AK132" i="7"/>
  <c r="AJ132" i="7"/>
  <c r="AI132" i="7"/>
  <c r="AH132" i="7"/>
  <c r="AG132" i="7"/>
  <c r="AF132" i="7"/>
  <c r="AE132" i="7"/>
  <c r="AD132" i="7"/>
  <c r="AC132" i="7"/>
  <c r="AB132" i="7"/>
  <c r="AA132" i="7"/>
  <c r="Z132" i="7"/>
  <c r="Y132" i="7"/>
  <c r="X132" i="7"/>
  <c r="W132" i="7"/>
  <c r="V132" i="7"/>
  <c r="U132" i="7"/>
  <c r="T132" i="7"/>
  <c r="S132" i="7"/>
  <c r="R132" i="7"/>
  <c r="Q132" i="7"/>
  <c r="P132" i="7"/>
  <c r="O132" i="7"/>
  <c r="N132" i="7"/>
  <c r="M132" i="7"/>
  <c r="L132" i="7"/>
  <c r="K132" i="7"/>
  <c r="J132" i="7"/>
  <c r="I132" i="7"/>
  <c r="H132" i="7"/>
  <c r="G132"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L130" i="7"/>
  <c r="K130" i="7"/>
  <c r="J130" i="7"/>
  <c r="I130" i="7"/>
  <c r="H130" i="7"/>
  <c r="G130" i="7"/>
  <c r="AK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L129" i="7"/>
  <c r="K129" i="7"/>
  <c r="J129" i="7"/>
  <c r="I129" i="7"/>
  <c r="H129" i="7"/>
  <c r="G129"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G126" i="7"/>
  <c r="AK124" i="7"/>
  <c r="AJ124" i="7"/>
  <c r="AI124" i="7"/>
  <c r="AH124" i="7"/>
  <c r="AG124" i="7"/>
  <c r="AF124" i="7"/>
  <c r="AE124" i="7"/>
  <c r="AD124" i="7"/>
  <c r="AC124" i="7"/>
  <c r="AB124" i="7"/>
  <c r="AA124" i="7"/>
  <c r="Z124" i="7"/>
  <c r="Y124" i="7"/>
  <c r="X124" i="7"/>
  <c r="W124" i="7"/>
  <c r="V124" i="7"/>
  <c r="U124" i="7"/>
  <c r="T124" i="7"/>
  <c r="S124" i="7"/>
  <c r="R124" i="7"/>
  <c r="Q124" i="7"/>
  <c r="P124" i="7"/>
  <c r="O124" i="7"/>
  <c r="N124" i="7"/>
  <c r="M124" i="7"/>
  <c r="L124" i="7"/>
  <c r="K124" i="7"/>
  <c r="J124" i="7"/>
  <c r="I124" i="7"/>
  <c r="H124" i="7"/>
  <c r="G124" i="7"/>
  <c r="AK123" i="7"/>
  <c r="AJ123" i="7"/>
  <c r="AI123" i="7"/>
  <c r="AH123" i="7"/>
  <c r="AG123" i="7"/>
  <c r="AF123" i="7"/>
  <c r="AE123" i="7"/>
  <c r="AD123" i="7"/>
  <c r="AC123" i="7"/>
  <c r="AB123" i="7"/>
  <c r="AA123" i="7"/>
  <c r="Z123" i="7"/>
  <c r="Y123" i="7"/>
  <c r="X123" i="7"/>
  <c r="W123" i="7"/>
  <c r="V123" i="7"/>
  <c r="U123" i="7"/>
  <c r="T123" i="7"/>
  <c r="S123" i="7"/>
  <c r="R123" i="7"/>
  <c r="Q123" i="7"/>
  <c r="P123" i="7"/>
  <c r="O123" i="7"/>
  <c r="N123" i="7"/>
  <c r="M123" i="7"/>
  <c r="L123" i="7"/>
  <c r="K123" i="7"/>
  <c r="J123" i="7"/>
  <c r="I123" i="7"/>
  <c r="H123" i="7"/>
  <c r="G123"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AK121" i="7"/>
  <c r="AJ121" i="7"/>
  <c r="AI121" i="7"/>
  <c r="AH121" i="7"/>
  <c r="AG121" i="7"/>
  <c r="AF121" i="7"/>
  <c r="AE121" i="7"/>
  <c r="AD121" i="7"/>
  <c r="AC121" i="7"/>
  <c r="AB121" i="7"/>
  <c r="AA121" i="7"/>
  <c r="Z121" i="7"/>
  <c r="Y121" i="7"/>
  <c r="X121" i="7"/>
  <c r="W121" i="7"/>
  <c r="V121" i="7"/>
  <c r="U121" i="7"/>
  <c r="T121" i="7"/>
  <c r="S121" i="7"/>
  <c r="R121" i="7"/>
  <c r="Q121" i="7"/>
  <c r="P121" i="7"/>
  <c r="O121" i="7"/>
  <c r="N121" i="7"/>
  <c r="M121" i="7"/>
  <c r="L121" i="7"/>
  <c r="K121" i="7"/>
  <c r="J121" i="7"/>
  <c r="I121" i="7"/>
  <c r="H121" i="7"/>
  <c r="G121" i="7"/>
  <c r="AK119" i="7"/>
  <c r="AJ119" i="7"/>
  <c r="AI119" i="7"/>
  <c r="AH119" i="7"/>
  <c r="AG119" i="7"/>
  <c r="AF119" i="7"/>
  <c r="AE119" i="7"/>
  <c r="AD119" i="7"/>
  <c r="AC119" i="7"/>
  <c r="AB119" i="7"/>
  <c r="AA119" i="7"/>
  <c r="Z119" i="7"/>
  <c r="Y119" i="7"/>
  <c r="X119" i="7"/>
  <c r="W119" i="7"/>
  <c r="V119" i="7"/>
  <c r="U119" i="7"/>
  <c r="T119" i="7"/>
  <c r="S119" i="7"/>
  <c r="R119" i="7"/>
  <c r="Q119" i="7"/>
  <c r="P119" i="7"/>
  <c r="O119" i="7"/>
  <c r="N119" i="7"/>
  <c r="M119" i="7"/>
  <c r="L119" i="7"/>
  <c r="K119" i="7"/>
  <c r="J119" i="7"/>
  <c r="I119" i="7"/>
  <c r="H119" i="7"/>
  <c r="G119"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G118"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AK116" i="7"/>
  <c r="AJ116" i="7"/>
  <c r="AI116" i="7"/>
  <c r="AH116" i="7"/>
  <c r="AG116" i="7"/>
  <c r="AF116" i="7"/>
  <c r="AE116" i="7"/>
  <c r="AD116" i="7"/>
  <c r="AC116" i="7"/>
  <c r="AB116" i="7"/>
  <c r="AA116" i="7"/>
  <c r="Z116" i="7"/>
  <c r="Y116" i="7"/>
  <c r="X116" i="7"/>
  <c r="W116" i="7"/>
  <c r="V116" i="7"/>
  <c r="U116" i="7"/>
  <c r="T116" i="7"/>
  <c r="S116" i="7"/>
  <c r="R116" i="7"/>
  <c r="Q116" i="7"/>
  <c r="P116" i="7"/>
  <c r="O116" i="7"/>
  <c r="N116" i="7"/>
  <c r="M116" i="7"/>
  <c r="L116" i="7"/>
  <c r="K116" i="7"/>
  <c r="J116" i="7"/>
  <c r="I116" i="7"/>
  <c r="H116" i="7"/>
  <c r="G116" i="7"/>
  <c r="AK114" i="7"/>
  <c r="AJ114" i="7"/>
  <c r="AI114" i="7"/>
  <c r="AH114" i="7"/>
  <c r="AG114" i="7"/>
  <c r="AF114" i="7"/>
  <c r="AE114" i="7"/>
  <c r="AD114" i="7"/>
  <c r="AC114" i="7"/>
  <c r="AB114" i="7"/>
  <c r="AA114" i="7"/>
  <c r="Z114" i="7"/>
  <c r="Y114" i="7"/>
  <c r="X114" i="7"/>
  <c r="W114" i="7"/>
  <c r="V114" i="7"/>
  <c r="U114" i="7"/>
  <c r="T114" i="7"/>
  <c r="S114" i="7"/>
  <c r="R114" i="7"/>
  <c r="Q114" i="7"/>
  <c r="P114" i="7"/>
  <c r="O114" i="7"/>
  <c r="N114" i="7"/>
  <c r="M114" i="7"/>
  <c r="L114" i="7"/>
  <c r="K114" i="7"/>
  <c r="J114" i="7"/>
  <c r="I114" i="7"/>
  <c r="H114" i="7"/>
  <c r="G114" i="7"/>
  <c r="AK113" i="7"/>
  <c r="AJ113" i="7"/>
  <c r="AI113" i="7"/>
  <c r="AH113" i="7"/>
  <c r="AG113" i="7"/>
  <c r="AF113" i="7"/>
  <c r="AE113" i="7"/>
  <c r="AD113" i="7"/>
  <c r="AC113" i="7"/>
  <c r="AB113" i="7"/>
  <c r="AA113" i="7"/>
  <c r="Z113" i="7"/>
  <c r="Y113" i="7"/>
  <c r="X113" i="7"/>
  <c r="W113" i="7"/>
  <c r="V113" i="7"/>
  <c r="U113" i="7"/>
  <c r="T113" i="7"/>
  <c r="S113" i="7"/>
  <c r="R113" i="7"/>
  <c r="Q113" i="7"/>
  <c r="P113" i="7"/>
  <c r="O113" i="7"/>
  <c r="N113" i="7"/>
  <c r="M113" i="7"/>
  <c r="L113" i="7"/>
  <c r="K113" i="7"/>
  <c r="J113" i="7"/>
  <c r="I113" i="7"/>
  <c r="H113" i="7"/>
  <c r="G113" i="7"/>
  <c r="AK112" i="7"/>
  <c r="AJ112" i="7"/>
  <c r="AI112" i="7"/>
  <c r="AH112" i="7"/>
  <c r="AG112" i="7"/>
  <c r="AF112" i="7"/>
  <c r="AE112" i="7"/>
  <c r="AD112" i="7"/>
  <c r="AC112" i="7"/>
  <c r="AB112" i="7"/>
  <c r="AA112" i="7"/>
  <c r="Z112" i="7"/>
  <c r="Y112" i="7"/>
  <c r="X112" i="7"/>
  <c r="W112" i="7"/>
  <c r="V112" i="7"/>
  <c r="U112" i="7"/>
  <c r="T112" i="7"/>
  <c r="S112" i="7"/>
  <c r="R112" i="7"/>
  <c r="Q112" i="7"/>
  <c r="P112" i="7"/>
  <c r="O112" i="7"/>
  <c r="N112" i="7"/>
  <c r="M112" i="7"/>
  <c r="L112" i="7"/>
  <c r="K112" i="7"/>
  <c r="J112" i="7"/>
  <c r="I112" i="7"/>
  <c r="H112" i="7"/>
  <c r="G112" i="7"/>
  <c r="AK111" i="7"/>
  <c r="AJ111" i="7"/>
  <c r="AI111" i="7"/>
  <c r="AH111" i="7"/>
  <c r="AG111" i="7"/>
  <c r="AF111" i="7"/>
  <c r="AE111" i="7"/>
  <c r="AD111" i="7"/>
  <c r="AC111" i="7"/>
  <c r="AB111" i="7"/>
  <c r="AA111" i="7"/>
  <c r="Z111" i="7"/>
  <c r="Y111" i="7"/>
  <c r="X111" i="7"/>
  <c r="W111" i="7"/>
  <c r="V111" i="7"/>
  <c r="U111" i="7"/>
  <c r="T111" i="7"/>
  <c r="S111" i="7"/>
  <c r="R111" i="7"/>
  <c r="Q111" i="7"/>
  <c r="P111" i="7"/>
  <c r="O111" i="7"/>
  <c r="N111" i="7"/>
  <c r="M111" i="7"/>
  <c r="L111" i="7"/>
  <c r="K111" i="7"/>
  <c r="J111" i="7"/>
  <c r="I111" i="7"/>
  <c r="H111" i="7"/>
  <c r="G111" i="7"/>
  <c r="AK110" i="7"/>
  <c r="AJ110" i="7"/>
  <c r="AI110" i="7"/>
  <c r="AH110" i="7"/>
  <c r="AG110"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AK109" i="7"/>
  <c r="AJ109" i="7"/>
  <c r="AI109" i="7"/>
  <c r="AH109" i="7"/>
  <c r="AG109" i="7"/>
  <c r="AF109" i="7"/>
  <c r="AE109" i="7"/>
  <c r="AD109" i="7"/>
  <c r="AC109" i="7"/>
  <c r="AB109" i="7"/>
  <c r="AA109" i="7"/>
  <c r="Z109" i="7"/>
  <c r="Y109" i="7"/>
  <c r="X109" i="7"/>
  <c r="W109" i="7"/>
  <c r="V109" i="7"/>
  <c r="U109" i="7"/>
  <c r="T109" i="7"/>
  <c r="S109" i="7"/>
  <c r="R109" i="7"/>
  <c r="Q109" i="7"/>
  <c r="P109" i="7"/>
  <c r="O109" i="7"/>
  <c r="N109" i="7"/>
  <c r="M109" i="7"/>
  <c r="L109" i="7"/>
  <c r="K109" i="7"/>
  <c r="J109" i="7"/>
  <c r="I109" i="7"/>
  <c r="H109" i="7"/>
  <c r="G109" i="7"/>
  <c r="AK108" i="7"/>
  <c r="AJ108" i="7"/>
  <c r="AI108" i="7"/>
  <c r="AH108" i="7"/>
  <c r="AG108" i="7"/>
  <c r="AF108" i="7"/>
  <c r="AE108" i="7"/>
  <c r="AD108" i="7"/>
  <c r="AC108" i="7"/>
  <c r="AB108" i="7"/>
  <c r="AA108" i="7"/>
  <c r="Z108" i="7"/>
  <c r="Y108" i="7"/>
  <c r="X108" i="7"/>
  <c r="W108" i="7"/>
  <c r="V108" i="7"/>
  <c r="U108" i="7"/>
  <c r="T108" i="7"/>
  <c r="S108" i="7"/>
  <c r="R108" i="7"/>
  <c r="Q108" i="7"/>
  <c r="P108" i="7"/>
  <c r="O108" i="7"/>
  <c r="N108" i="7"/>
  <c r="M108" i="7"/>
  <c r="L108" i="7"/>
  <c r="K108" i="7"/>
  <c r="J108" i="7"/>
  <c r="I108" i="7"/>
  <c r="H108" i="7"/>
  <c r="G108" i="7"/>
  <c r="AK106" i="7"/>
  <c r="AJ106" i="7"/>
  <c r="AI106" i="7"/>
  <c r="AH106" i="7"/>
  <c r="AG106" i="7"/>
  <c r="AF106" i="7"/>
  <c r="AE106" i="7"/>
  <c r="AD106" i="7"/>
  <c r="AC106" i="7"/>
  <c r="AB106" i="7"/>
  <c r="AA106" i="7"/>
  <c r="Z106" i="7"/>
  <c r="Y106" i="7"/>
  <c r="X106" i="7"/>
  <c r="W106" i="7"/>
  <c r="V106" i="7"/>
  <c r="U106" i="7"/>
  <c r="T106" i="7"/>
  <c r="S106" i="7"/>
  <c r="R106" i="7"/>
  <c r="Q106" i="7"/>
  <c r="P106" i="7"/>
  <c r="O106" i="7"/>
  <c r="N106" i="7"/>
  <c r="M106" i="7"/>
  <c r="L106" i="7"/>
  <c r="K106" i="7"/>
  <c r="J106" i="7"/>
  <c r="I106" i="7"/>
  <c r="H106" i="7"/>
  <c r="G106" i="7"/>
  <c r="AK105" i="7"/>
  <c r="AJ105" i="7"/>
  <c r="AI105" i="7"/>
  <c r="AH105" i="7"/>
  <c r="AG105" i="7"/>
  <c r="AF105" i="7"/>
  <c r="AE105" i="7"/>
  <c r="AD105" i="7"/>
  <c r="AC105" i="7"/>
  <c r="AB105" i="7"/>
  <c r="AA105" i="7"/>
  <c r="Z105" i="7"/>
  <c r="Y105" i="7"/>
  <c r="X105" i="7"/>
  <c r="W105" i="7"/>
  <c r="V105" i="7"/>
  <c r="U105" i="7"/>
  <c r="T105" i="7"/>
  <c r="S105" i="7"/>
  <c r="R105" i="7"/>
  <c r="Q105" i="7"/>
  <c r="P105" i="7"/>
  <c r="O105" i="7"/>
  <c r="N105" i="7"/>
  <c r="M105" i="7"/>
  <c r="L105" i="7"/>
  <c r="K105" i="7"/>
  <c r="J105" i="7"/>
  <c r="I105" i="7"/>
  <c r="H105" i="7"/>
  <c r="G105" i="7"/>
  <c r="AK104" i="7"/>
  <c r="AJ104" i="7"/>
  <c r="AI104" i="7"/>
  <c r="AH104" i="7"/>
  <c r="AG104" i="7"/>
  <c r="AF104" i="7"/>
  <c r="AE104" i="7"/>
  <c r="AD104" i="7"/>
  <c r="AC104" i="7"/>
  <c r="AB104" i="7"/>
  <c r="AA104" i="7"/>
  <c r="Z104" i="7"/>
  <c r="Y104" i="7"/>
  <c r="X104" i="7"/>
  <c r="W104" i="7"/>
  <c r="V104" i="7"/>
  <c r="U104" i="7"/>
  <c r="T104" i="7"/>
  <c r="S104" i="7"/>
  <c r="R104" i="7"/>
  <c r="Q104" i="7"/>
  <c r="P104" i="7"/>
  <c r="O104" i="7"/>
  <c r="N104" i="7"/>
  <c r="M104" i="7"/>
  <c r="L104" i="7"/>
  <c r="K104" i="7"/>
  <c r="J104" i="7"/>
  <c r="I104" i="7"/>
  <c r="H104" i="7"/>
  <c r="G104"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K103" i="7"/>
  <c r="J103" i="7"/>
  <c r="I103" i="7"/>
  <c r="H103" i="7"/>
  <c r="G103"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K102" i="7"/>
  <c r="J102" i="7"/>
  <c r="I102" i="7"/>
  <c r="H102" i="7"/>
  <c r="G102" i="7"/>
  <c r="AK101" i="7"/>
  <c r="AJ101" i="7"/>
  <c r="AI101" i="7"/>
  <c r="AH101" i="7"/>
  <c r="AG101" i="7"/>
  <c r="AF101"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AK81" i="7"/>
  <c r="AJ81" i="7"/>
  <c r="AI81" i="7"/>
  <c r="AH81" i="7"/>
  <c r="AG81" i="7"/>
  <c r="AF81" i="7"/>
  <c r="AE81" i="7"/>
  <c r="AD81" i="7"/>
  <c r="AC81" i="7"/>
  <c r="AB81" i="7"/>
  <c r="AA81" i="7"/>
  <c r="Z81" i="7"/>
  <c r="Y81" i="7"/>
  <c r="X81" i="7"/>
  <c r="W81" i="7"/>
  <c r="V81" i="7"/>
  <c r="U81" i="7"/>
  <c r="T81" i="7"/>
  <c r="S81" i="7"/>
  <c r="R81" i="7"/>
  <c r="Q81" i="7"/>
  <c r="P81" i="7"/>
  <c r="O81" i="7"/>
  <c r="N81" i="7"/>
  <c r="M81" i="7"/>
  <c r="L81" i="7"/>
  <c r="K81" i="7"/>
  <c r="J81" i="7"/>
  <c r="I81" i="7"/>
  <c r="H81" i="7"/>
  <c r="G81" i="7"/>
  <c r="AK80" i="7"/>
  <c r="AJ80" i="7"/>
  <c r="AI80" i="7"/>
  <c r="AH80" i="7"/>
  <c r="AG80" i="7"/>
  <c r="AF80" i="7"/>
  <c r="AE80" i="7"/>
  <c r="AD80" i="7"/>
  <c r="AC80" i="7"/>
  <c r="AB80" i="7"/>
  <c r="AA80" i="7"/>
  <c r="Z80" i="7"/>
  <c r="Y80" i="7"/>
  <c r="X80" i="7"/>
  <c r="W80" i="7"/>
  <c r="V80" i="7"/>
  <c r="U80" i="7"/>
  <c r="T80" i="7"/>
  <c r="S80" i="7"/>
  <c r="R80" i="7"/>
  <c r="Q80" i="7"/>
  <c r="P80" i="7"/>
  <c r="O80" i="7"/>
  <c r="N80" i="7"/>
  <c r="M80" i="7"/>
  <c r="L80" i="7"/>
  <c r="K80" i="7"/>
  <c r="J80" i="7"/>
  <c r="I80" i="7"/>
  <c r="H80" i="7"/>
  <c r="G80" i="7"/>
  <c r="AK79" i="7"/>
  <c r="AJ79" i="7"/>
  <c r="AI79" i="7"/>
  <c r="AH79" i="7"/>
  <c r="AG79" i="7"/>
  <c r="AF79" i="7"/>
  <c r="AE79" i="7"/>
  <c r="AD79" i="7"/>
  <c r="AC79" i="7"/>
  <c r="AB79" i="7"/>
  <c r="AA79" i="7"/>
  <c r="Z79" i="7"/>
  <c r="Y79" i="7"/>
  <c r="X79" i="7"/>
  <c r="W79" i="7"/>
  <c r="V79" i="7"/>
  <c r="U79" i="7"/>
  <c r="T79" i="7"/>
  <c r="S79" i="7"/>
  <c r="R79" i="7"/>
  <c r="Q79" i="7"/>
  <c r="P79" i="7"/>
  <c r="O79" i="7"/>
  <c r="N79" i="7"/>
  <c r="M79" i="7"/>
  <c r="L79" i="7"/>
  <c r="K79" i="7"/>
  <c r="J79" i="7"/>
  <c r="I79" i="7"/>
  <c r="H79" i="7"/>
  <c r="G79"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G78" i="7"/>
  <c r="AK77" i="7"/>
  <c r="AJ77" i="7"/>
  <c r="AI77" i="7"/>
  <c r="AH77" i="7"/>
  <c r="AG77" i="7"/>
  <c r="AF77" i="7"/>
  <c r="AE77" i="7"/>
  <c r="AD77" i="7"/>
  <c r="AC77" i="7"/>
  <c r="AB77" i="7"/>
  <c r="AA77" i="7"/>
  <c r="Z77" i="7"/>
  <c r="Y77" i="7"/>
  <c r="X77" i="7"/>
  <c r="W77" i="7"/>
  <c r="V77" i="7"/>
  <c r="U77" i="7"/>
  <c r="T77" i="7"/>
  <c r="S77" i="7"/>
  <c r="R77" i="7"/>
  <c r="Q77" i="7"/>
  <c r="P77" i="7"/>
  <c r="O77" i="7"/>
  <c r="N77" i="7"/>
  <c r="M77" i="7"/>
  <c r="L77" i="7"/>
  <c r="K77" i="7"/>
  <c r="J77" i="7"/>
  <c r="I77" i="7"/>
  <c r="H77" i="7"/>
  <c r="G77" i="7"/>
  <c r="AK76" i="7"/>
  <c r="AJ76" i="7"/>
  <c r="AI76" i="7"/>
  <c r="AH76" i="7"/>
  <c r="AG76" i="7"/>
  <c r="AF76" i="7"/>
  <c r="AE76" i="7"/>
  <c r="AD76" i="7"/>
  <c r="AC76" i="7"/>
  <c r="AB76" i="7"/>
  <c r="AA76" i="7"/>
  <c r="Z76" i="7"/>
  <c r="Y76" i="7"/>
  <c r="X76" i="7"/>
  <c r="W76" i="7"/>
  <c r="V76" i="7"/>
  <c r="U76" i="7"/>
  <c r="T76" i="7"/>
  <c r="S76" i="7"/>
  <c r="R76" i="7"/>
  <c r="Q76" i="7"/>
  <c r="P76" i="7"/>
  <c r="O76" i="7"/>
  <c r="N76" i="7"/>
  <c r="M76" i="7"/>
  <c r="L76" i="7"/>
  <c r="K76" i="7"/>
  <c r="J76" i="7"/>
  <c r="I76" i="7"/>
  <c r="H76" i="7"/>
  <c r="G76" i="7"/>
  <c r="AK75" i="7"/>
  <c r="AJ75" i="7"/>
  <c r="AI75" i="7"/>
  <c r="AH75" i="7"/>
  <c r="AG75" i="7"/>
  <c r="AF75" i="7"/>
  <c r="AE75" i="7"/>
  <c r="AD75" i="7"/>
  <c r="AC75" i="7"/>
  <c r="AB75" i="7"/>
  <c r="AA75" i="7"/>
  <c r="Z75" i="7"/>
  <c r="Y75" i="7"/>
  <c r="X75" i="7"/>
  <c r="W75" i="7"/>
  <c r="V75" i="7"/>
  <c r="U75" i="7"/>
  <c r="T75" i="7"/>
  <c r="S75" i="7"/>
  <c r="R75" i="7"/>
  <c r="Q75" i="7"/>
  <c r="P75" i="7"/>
  <c r="O75" i="7"/>
  <c r="N75" i="7"/>
  <c r="M75" i="7"/>
  <c r="L75" i="7"/>
  <c r="K75" i="7"/>
  <c r="J75" i="7"/>
  <c r="I75" i="7"/>
  <c r="H75" i="7"/>
  <c r="G75" i="7"/>
  <c r="AK73" i="7"/>
  <c r="AJ73" i="7"/>
  <c r="AI73" i="7"/>
  <c r="AH73" i="7"/>
  <c r="AG73" i="7"/>
  <c r="AF73" i="7"/>
  <c r="AE73" i="7"/>
  <c r="AD73" i="7"/>
  <c r="AC73" i="7"/>
  <c r="AB73" i="7"/>
  <c r="AA73" i="7"/>
  <c r="Z73" i="7"/>
  <c r="Y73" i="7"/>
  <c r="X73" i="7"/>
  <c r="W73" i="7"/>
  <c r="V73" i="7"/>
  <c r="U73" i="7"/>
  <c r="T73" i="7"/>
  <c r="S73" i="7"/>
  <c r="R73" i="7"/>
  <c r="Q73" i="7"/>
  <c r="P73" i="7"/>
  <c r="O73" i="7"/>
  <c r="N73" i="7"/>
  <c r="M73" i="7"/>
  <c r="L73" i="7"/>
  <c r="K73" i="7"/>
  <c r="J73" i="7"/>
  <c r="I73" i="7"/>
  <c r="H73" i="7"/>
  <c r="G73" i="7"/>
  <c r="AK72" i="7"/>
  <c r="AJ72" i="7"/>
  <c r="AI72" i="7"/>
  <c r="AH72" i="7"/>
  <c r="AG72" i="7"/>
  <c r="AF72" i="7"/>
  <c r="AE72" i="7"/>
  <c r="AD72" i="7"/>
  <c r="AC72" i="7"/>
  <c r="AB72" i="7"/>
  <c r="AA72" i="7"/>
  <c r="Z72" i="7"/>
  <c r="Y72" i="7"/>
  <c r="X72" i="7"/>
  <c r="W72" i="7"/>
  <c r="V72" i="7"/>
  <c r="U72" i="7"/>
  <c r="T72" i="7"/>
  <c r="S72" i="7"/>
  <c r="R72" i="7"/>
  <c r="Q72" i="7"/>
  <c r="P72" i="7"/>
  <c r="O72" i="7"/>
  <c r="N72" i="7"/>
  <c r="M72" i="7"/>
  <c r="L72" i="7"/>
  <c r="K72" i="7"/>
  <c r="J72" i="7"/>
  <c r="I72" i="7"/>
  <c r="H72" i="7"/>
  <c r="G72" i="7"/>
  <c r="AK71" i="7"/>
  <c r="AJ71" i="7"/>
  <c r="AI71" i="7"/>
  <c r="AH71" i="7"/>
  <c r="AG71" i="7"/>
  <c r="AF71" i="7"/>
  <c r="AE71" i="7"/>
  <c r="AD71" i="7"/>
  <c r="AC71" i="7"/>
  <c r="AB71" i="7"/>
  <c r="AA71" i="7"/>
  <c r="Z71" i="7"/>
  <c r="Y71" i="7"/>
  <c r="X71" i="7"/>
  <c r="W71" i="7"/>
  <c r="V71" i="7"/>
  <c r="U71" i="7"/>
  <c r="T71" i="7"/>
  <c r="S71" i="7"/>
  <c r="R71" i="7"/>
  <c r="Q71" i="7"/>
  <c r="P71" i="7"/>
  <c r="O71" i="7"/>
  <c r="N71" i="7"/>
  <c r="M71" i="7"/>
  <c r="L71" i="7"/>
  <c r="K71" i="7"/>
  <c r="J71" i="7"/>
  <c r="I71" i="7"/>
  <c r="H71" i="7"/>
  <c r="G71" i="7"/>
  <c r="AK70" i="7"/>
  <c r="AJ70" i="7"/>
  <c r="AI70" i="7"/>
  <c r="AH70" i="7"/>
  <c r="AG70" i="7"/>
  <c r="AF70" i="7"/>
  <c r="AE70" i="7"/>
  <c r="AD70" i="7"/>
  <c r="AC70" i="7"/>
  <c r="AB70" i="7"/>
  <c r="AA70" i="7"/>
  <c r="Z70" i="7"/>
  <c r="Y70" i="7"/>
  <c r="X70" i="7"/>
  <c r="W70" i="7"/>
  <c r="V70" i="7"/>
  <c r="U70" i="7"/>
  <c r="T70" i="7"/>
  <c r="S70" i="7"/>
  <c r="R70" i="7"/>
  <c r="Q70" i="7"/>
  <c r="P70" i="7"/>
  <c r="O70" i="7"/>
  <c r="N70" i="7"/>
  <c r="M70" i="7"/>
  <c r="L70" i="7"/>
  <c r="K70" i="7"/>
  <c r="J70" i="7"/>
  <c r="I70" i="7"/>
  <c r="H70" i="7"/>
  <c r="G70" i="7"/>
  <c r="AK69" i="7"/>
  <c r="AJ69" i="7"/>
  <c r="AI69" i="7"/>
  <c r="AH69" i="7"/>
  <c r="AG69" i="7"/>
  <c r="AF69" i="7"/>
  <c r="AE69" i="7"/>
  <c r="AD69" i="7"/>
  <c r="AC69" i="7"/>
  <c r="AB69" i="7"/>
  <c r="AA69" i="7"/>
  <c r="Z69" i="7"/>
  <c r="Y69" i="7"/>
  <c r="X69" i="7"/>
  <c r="W69" i="7"/>
  <c r="V69" i="7"/>
  <c r="U69" i="7"/>
  <c r="T69" i="7"/>
  <c r="S69" i="7"/>
  <c r="R69" i="7"/>
  <c r="Q69" i="7"/>
  <c r="P69" i="7"/>
  <c r="O69" i="7"/>
  <c r="N69" i="7"/>
  <c r="M69" i="7"/>
  <c r="L69" i="7"/>
  <c r="K69" i="7"/>
  <c r="J69" i="7"/>
  <c r="I69" i="7"/>
  <c r="H69" i="7"/>
  <c r="G69" i="7"/>
  <c r="AK68"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G67" i="7"/>
  <c r="AK66" i="7"/>
  <c r="AJ66"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AK64" i="7"/>
  <c r="AJ64" i="7"/>
  <c r="AI64" i="7"/>
  <c r="AH64" i="7"/>
  <c r="AG64" i="7"/>
  <c r="AF64" i="7"/>
  <c r="AE64" i="7"/>
  <c r="AD64" i="7"/>
  <c r="AC64" i="7"/>
  <c r="AB64" i="7"/>
  <c r="AA64" i="7"/>
  <c r="Z64" i="7"/>
  <c r="Y64" i="7"/>
  <c r="X64" i="7"/>
  <c r="W64" i="7"/>
  <c r="V64" i="7"/>
  <c r="U64" i="7"/>
  <c r="T64" i="7"/>
  <c r="S64" i="7"/>
  <c r="R64" i="7"/>
  <c r="Q64" i="7"/>
  <c r="P64" i="7"/>
  <c r="O64" i="7"/>
  <c r="N64" i="7"/>
  <c r="M64" i="7"/>
  <c r="L64" i="7"/>
  <c r="K64" i="7"/>
  <c r="J64" i="7"/>
  <c r="I64" i="7"/>
  <c r="H64" i="7"/>
  <c r="G64" i="7"/>
  <c r="AK63" i="7"/>
  <c r="AJ63" i="7"/>
  <c r="AI63" i="7"/>
  <c r="AH63" i="7"/>
  <c r="AG63" i="7"/>
  <c r="AF63" i="7"/>
  <c r="AE63" i="7"/>
  <c r="AD63" i="7"/>
  <c r="AC63" i="7"/>
  <c r="AB63" i="7"/>
  <c r="AA63" i="7"/>
  <c r="Z63" i="7"/>
  <c r="Y63" i="7"/>
  <c r="X63" i="7"/>
  <c r="W63" i="7"/>
  <c r="V63" i="7"/>
  <c r="U63" i="7"/>
  <c r="T63" i="7"/>
  <c r="S63" i="7"/>
  <c r="R63" i="7"/>
  <c r="Q63" i="7"/>
  <c r="P63" i="7"/>
  <c r="O63" i="7"/>
  <c r="N63" i="7"/>
  <c r="M63" i="7"/>
  <c r="L63" i="7"/>
  <c r="K63" i="7"/>
  <c r="J63" i="7"/>
  <c r="I63" i="7"/>
  <c r="H63" i="7"/>
  <c r="G63"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c r="I62" i="7"/>
  <c r="H62" i="7"/>
  <c r="G62" i="7"/>
  <c r="AK61" i="7"/>
  <c r="AJ61" i="7"/>
  <c r="AI61" i="7"/>
  <c r="AH61" i="7"/>
  <c r="AG61" i="7"/>
  <c r="AF61" i="7"/>
  <c r="AE61" i="7"/>
  <c r="AD61" i="7"/>
  <c r="AC61" i="7"/>
  <c r="AB61" i="7"/>
  <c r="AA61" i="7"/>
  <c r="Z61" i="7"/>
  <c r="Y61" i="7"/>
  <c r="X61" i="7"/>
  <c r="W61" i="7"/>
  <c r="V61" i="7"/>
  <c r="U61" i="7"/>
  <c r="T61" i="7"/>
  <c r="S61" i="7"/>
  <c r="R61" i="7"/>
  <c r="Q61" i="7"/>
  <c r="P61" i="7"/>
  <c r="O61" i="7"/>
  <c r="N61" i="7"/>
  <c r="M61" i="7"/>
  <c r="L61" i="7"/>
  <c r="K61" i="7"/>
  <c r="J61" i="7"/>
  <c r="I61" i="7"/>
  <c r="H61" i="7"/>
  <c r="G61"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AK59" i="7"/>
  <c r="AJ59" i="7"/>
  <c r="AI59" i="7"/>
  <c r="AH59" i="7"/>
  <c r="AG59" i="7"/>
  <c r="AF59" i="7"/>
  <c r="AE59" i="7"/>
  <c r="AD59" i="7"/>
  <c r="AC59" i="7"/>
  <c r="AB59" i="7"/>
  <c r="AA59" i="7"/>
  <c r="Z59" i="7"/>
  <c r="Y59" i="7"/>
  <c r="X59" i="7"/>
  <c r="W59" i="7"/>
  <c r="V59" i="7"/>
  <c r="U59" i="7"/>
  <c r="T59" i="7"/>
  <c r="S59" i="7"/>
  <c r="R59" i="7"/>
  <c r="Q59" i="7"/>
  <c r="P59" i="7"/>
  <c r="O59" i="7"/>
  <c r="N59" i="7"/>
  <c r="M59" i="7"/>
  <c r="L59" i="7"/>
  <c r="K59" i="7"/>
  <c r="J59" i="7"/>
  <c r="I59" i="7"/>
  <c r="H59" i="7"/>
  <c r="G59" i="7"/>
  <c r="AK58" i="7"/>
  <c r="AJ58" i="7"/>
  <c r="AI58" i="7"/>
  <c r="AH58" i="7"/>
  <c r="AG58" i="7"/>
  <c r="AF58" i="7"/>
  <c r="AE58" i="7"/>
  <c r="AD58" i="7"/>
  <c r="AC58" i="7"/>
  <c r="AB58" i="7"/>
  <c r="AA58" i="7"/>
  <c r="Z58" i="7"/>
  <c r="Y58" i="7"/>
  <c r="X58" i="7"/>
  <c r="W58" i="7"/>
  <c r="V58" i="7"/>
  <c r="U58" i="7"/>
  <c r="T58" i="7"/>
  <c r="S58" i="7"/>
  <c r="R58" i="7"/>
  <c r="Q58" i="7"/>
  <c r="P58" i="7"/>
  <c r="O58" i="7"/>
  <c r="N58" i="7"/>
  <c r="M58" i="7"/>
  <c r="L58" i="7"/>
  <c r="K58" i="7"/>
  <c r="J58" i="7"/>
  <c r="I58" i="7"/>
  <c r="H58" i="7"/>
  <c r="G58" i="7"/>
  <c r="AK57" i="7"/>
  <c r="AJ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G56" i="7"/>
  <c r="AK55" i="7"/>
  <c r="AJ55" i="7"/>
  <c r="AI55" i="7"/>
  <c r="AH55" i="7"/>
  <c r="AG55" i="7"/>
  <c r="AF55" i="7"/>
  <c r="AE55" i="7"/>
  <c r="AD55" i="7"/>
  <c r="AC55" i="7"/>
  <c r="AB55" i="7"/>
  <c r="AA55" i="7"/>
  <c r="Z55" i="7"/>
  <c r="Y55" i="7"/>
  <c r="X55" i="7"/>
  <c r="W55" i="7"/>
  <c r="V55" i="7"/>
  <c r="U55" i="7"/>
  <c r="T55" i="7"/>
  <c r="S55" i="7"/>
  <c r="R55" i="7"/>
  <c r="Q55" i="7"/>
  <c r="P55" i="7"/>
  <c r="O55" i="7"/>
  <c r="N55" i="7"/>
  <c r="M55" i="7"/>
  <c r="L55" i="7"/>
  <c r="K55" i="7"/>
  <c r="J55" i="7"/>
  <c r="I55" i="7"/>
  <c r="H55" i="7"/>
  <c r="G55" i="7"/>
  <c r="AK54" i="7"/>
  <c r="AJ54" i="7"/>
  <c r="AI54" i="7"/>
  <c r="AH54" i="7"/>
  <c r="AG54" i="7"/>
  <c r="AF54" i="7"/>
  <c r="AE54" i="7"/>
  <c r="AD54" i="7"/>
  <c r="AC54" i="7"/>
  <c r="AB54" i="7"/>
  <c r="AA54" i="7"/>
  <c r="Z54" i="7"/>
  <c r="Y54" i="7"/>
  <c r="X54" i="7"/>
  <c r="W54" i="7"/>
  <c r="V54" i="7"/>
  <c r="U54" i="7"/>
  <c r="T54" i="7"/>
  <c r="S54" i="7"/>
  <c r="R54" i="7"/>
  <c r="Q54" i="7"/>
  <c r="P54" i="7"/>
  <c r="O54" i="7"/>
  <c r="N54" i="7"/>
  <c r="M54" i="7"/>
  <c r="L54" i="7"/>
  <c r="K54" i="7"/>
  <c r="J54" i="7"/>
  <c r="I54" i="7"/>
  <c r="H54" i="7"/>
  <c r="G54" i="7"/>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AK52" i="7"/>
  <c r="AJ52" i="7"/>
  <c r="AI52" i="7"/>
  <c r="AH52" i="7"/>
  <c r="AG52" i="7"/>
  <c r="AF52" i="7"/>
  <c r="AE52" i="7"/>
  <c r="AD52" i="7"/>
  <c r="AC52" i="7"/>
  <c r="AB52" i="7"/>
  <c r="AA52" i="7"/>
  <c r="Z52" i="7"/>
  <c r="Y52" i="7"/>
  <c r="X52" i="7"/>
  <c r="W52" i="7"/>
  <c r="V52" i="7"/>
  <c r="U52" i="7"/>
  <c r="T52" i="7"/>
  <c r="S52" i="7"/>
  <c r="R52" i="7"/>
  <c r="Q52" i="7"/>
  <c r="P52" i="7"/>
  <c r="O52" i="7"/>
  <c r="N52" i="7"/>
  <c r="M52" i="7"/>
  <c r="L52" i="7"/>
  <c r="K52" i="7"/>
  <c r="J52" i="7"/>
  <c r="I52" i="7"/>
  <c r="H52" i="7"/>
  <c r="G52"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G51" i="7"/>
  <c r="AK49" i="7"/>
  <c r="AJ49" i="7"/>
  <c r="AI49" i="7"/>
  <c r="AH49" i="7"/>
  <c r="AG49" i="7"/>
  <c r="AF49" i="7"/>
  <c r="AE49" i="7"/>
  <c r="AD49" i="7"/>
  <c r="AC49" i="7"/>
  <c r="AB49" i="7"/>
  <c r="AA49" i="7"/>
  <c r="Z49" i="7"/>
  <c r="Y49" i="7"/>
  <c r="X49" i="7"/>
  <c r="W49" i="7"/>
  <c r="V49" i="7"/>
  <c r="U49" i="7"/>
  <c r="T49" i="7"/>
  <c r="S49" i="7"/>
  <c r="R49" i="7"/>
  <c r="Q49" i="7"/>
  <c r="P49" i="7"/>
  <c r="O49" i="7"/>
  <c r="N49" i="7"/>
  <c r="M49" i="7"/>
  <c r="L49" i="7"/>
  <c r="K49" i="7"/>
  <c r="J49" i="7"/>
  <c r="I49" i="7"/>
  <c r="H49" i="7"/>
  <c r="G49" i="7"/>
  <c r="AK48" i="7"/>
  <c r="AJ48" i="7"/>
  <c r="AI48" i="7"/>
  <c r="AH48" i="7"/>
  <c r="AG48" i="7"/>
  <c r="AF48" i="7"/>
  <c r="AE48" i="7"/>
  <c r="AD48" i="7"/>
  <c r="AC48" i="7"/>
  <c r="AB48" i="7"/>
  <c r="AA48" i="7"/>
  <c r="Z48" i="7"/>
  <c r="Y48" i="7"/>
  <c r="X48" i="7"/>
  <c r="W48" i="7"/>
  <c r="V48" i="7"/>
  <c r="U48" i="7"/>
  <c r="T48" i="7"/>
  <c r="S48" i="7"/>
  <c r="R48" i="7"/>
  <c r="Q48" i="7"/>
  <c r="P48" i="7"/>
  <c r="O48" i="7"/>
  <c r="N48" i="7"/>
  <c r="M48" i="7"/>
  <c r="L48" i="7"/>
  <c r="K48" i="7"/>
  <c r="J48" i="7"/>
  <c r="I48" i="7"/>
  <c r="H48" i="7"/>
  <c r="G48" i="7"/>
  <c r="AK47" i="7"/>
  <c r="AJ47" i="7"/>
  <c r="AI47" i="7"/>
  <c r="AH47" i="7"/>
  <c r="AG47" i="7"/>
  <c r="AF47" i="7"/>
  <c r="AE47" i="7"/>
  <c r="AD47" i="7"/>
  <c r="AC47" i="7"/>
  <c r="AB47" i="7"/>
  <c r="AA47" i="7"/>
  <c r="Z47" i="7"/>
  <c r="Y47" i="7"/>
  <c r="X47" i="7"/>
  <c r="W47" i="7"/>
  <c r="V47" i="7"/>
  <c r="U47" i="7"/>
  <c r="T47" i="7"/>
  <c r="S47" i="7"/>
  <c r="R47" i="7"/>
  <c r="Q47" i="7"/>
  <c r="P47" i="7"/>
  <c r="O47" i="7"/>
  <c r="N47" i="7"/>
  <c r="M47" i="7"/>
  <c r="L47" i="7"/>
  <c r="K47" i="7"/>
  <c r="J47" i="7"/>
  <c r="I47" i="7"/>
  <c r="H47" i="7"/>
  <c r="G47" i="7"/>
  <c r="AK46" i="7"/>
  <c r="AJ46" i="7"/>
  <c r="AI46" i="7"/>
  <c r="AH46" i="7"/>
  <c r="AG46" i="7"/>
  <c r="AF46" i="7"/>
  <c r="AE46" i="7"/>
  <c r="AD46" i="7"/>
  <c r="AC46" i="7"/>
  <c r="AB46" i="7"/>
  <c r="AA46" i="7"/>
  <c r="Z46" i="7"/>
  <c r="Y46" i="7"/>
  <c r="X46" i="7"/>
  <c r="W46" i="7"/>
  <c r="V46" i="7"/>
  <c r="U46" i="7"/>
  <c r="T46" i="7"/>
  <c r="S46" i="7"/>
  <c r="R46" i="7"/>
  <c r="Q46" i="7"/>
  <c r="P46" i="7"/>
  <c r="O46" i="7"/>
  <c r="N46" i="7"/>
  <c r="M46" i="7"/>
  <c r="L46" i="7"/>
  <c r="K46" i="7"/>
  <c r="J46" i="7"/>
  <c r="I46" i="7"/>
  <c r="H46" i="7"/>
  <c r="G46"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G45" i="7"/>
  <c r="AK44" i="7"/>
  <c r="AJ44" i="7"/>
  <c r="AI44" i="7"/>
  <c r="AH44" i="7"/>
  <c r="AG44" i="7"/>
  <c r="AF44" i="7"/>
  <c r="AE44" i="7"/>
  <c r="AD44" i="7"/>
  <c r="AC44" i="7"/>
  <c r="AB44" i="7"/>
  <c r="AA44" i="7"/>
  <c r="Z44" i="7"/>
  <c r="Y44" i="7"/>
  <c r="X44" i="7"/>
  <c r="W44" i="7"/>
  <c r="V44" i="7"/>
  <c r="U44" i="7"/>
  <c r="T44" i="7"/>
  <c r="S44" i="7"/>
  <c r="R44" i="7"/>
  <c r="Q44" i="7"/>
  <c r="P44" i="7"/>
  <c r="O44" i="7"/>
  <c r="N44" i="7"/>
  <c r="M44" i="7"/>
  <c r="L44" i="7"/>
  <c r="K44" i="7"/>
  <c r="J44" i="7"/>
  <c r="I44" i="7"/>
  <c r="H44" i="7"/>
  <c r="G44"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H43" i="7"/>
  <c r="G43"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G41"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H40" i="7"/>
  <c r="G40"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H39" i="7"/>
  <c r="G39"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7" i="7"/>
  <c r="AK36" i="7"/>
  <c r="AJ36"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H36" i="7"/>
  <c r="G36" i="7"/>
  <c r="AK34" i="7"/>
  <c r="AJ34" i="7"/>
  <c r="AI34" i="7"/>
  <c r="AH34" i="7"/>
  <c r="AG34" i="7"/>
  <c r="AF34" i="7"/>
  <c r="AE34" i="7"/>
  <c r="AD34" i="7"/>
  <c r="AC34" i="7"/>
  <c r="AB34" i="7"/>
  <c r="AA34" i="7"/>
  <c r="Z34" i="7"/>
  <c r="Y34" i="7"/>
  <c r="X34" i="7"/>
  <c r="W34" i="7"/>
  <c r="V34" i="7"/>
  <c r="U34" i="7"/>
  <c r="T34" i="7"/>
  <c r="S34" i="7"/>
  <c r="R34" i="7"/>
  <c r="Q34" i="7"/>
  <c r="P34" i="7"/>
  <c r="O34" i="7"/>
  <c r="N34" i="7"/>
  <c r="M34" i="7"/>
  <c r="L34" i="7"/>
  <c r="K34" i="7"/>
  <c r="J34" i="7"/>
  <c r="I34" i="7"/>
  <c r="H34" i="7"/>
  <c r="G34"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H32" i="7"/>
  <c r="G32"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AK30" i="7"/>
  <c r="AJ30" i="7"/>
  <c r="AI30" i="7"/>
  <c r="AH30" i="7"/>
  <c r="AG30" i="7"/>
  <c r="AF30" i="7"/>
  <c r="AE30" i="7"/>
  <c r="AD30" i="7"/>
  <c r="AC30" i="7"/>
  <c r="AB30" i="7"/>
  <c r="AA30" i="7"/>
  <c r="Z30" i="7"/>
  <c r="Y30" i="7"/>
  <c r="X30" i="7"/>
  <c r="W30" i="7"/>
  <c r="V30" i="7"/>
  <c r="U30" i="7"/>
  <c r="T30" i="7"/>
  <c r="S30" i="7"/>
  <c r="R30" i="7"/>
  <c r="Q30" i="7"/>
  <c r="P30" i="7"/>
  <c r="O30" i="7"/>
  <c r="N30" i="7"/>
  <c r="M30" i="7"/>
  <c r="L30" i="7"/>
  <c r="K30" i="7"/>
  <c r="J30" i="7"/>
  <c r="I30" i="7"/>
  <c r="H30" i="7"/>
  <c r="G30"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H28" i="7"/>
  <c r="G28" i="7"/>
  <c r="AK27" i="7"/>
  <c r="AJ27" i="7"/>
  <c r="AI27" i="7"/>
  <c r="AH27" i="7"/>
  <c r="AG27" i="7"/>
  <c r="AF27" i="7"/>
  <c r="AE27" i="7"/>
  <c r="AD27" i="7"/>
  <c r="AC27" i="7"/>
  <c r="AB27" i="7"/>
  <c r="AA27" i="7"/>
  <c r="Z27" i="7"/>
  <c r="Y27" i="7"/>
  <c r="X27" i="7"/>
  <c r="W27" i="7"/>
  <c r="V27" i="7"/>
  <c r="U27" i="7"/>
  <c r="T27" i="7"/>
  <c r="S27" i="7"/>
  <c r="R27" i="7"/>
  <c r="Q27" i="7"/>
  <c r="P27" i="7"/>
  <c r="O27" i="7"/>
  <c r="N27" i="7"/>
  <c r="M27" i="7"/>
  <c r="L27" i="7"/>
  <c r="K27" i="7"/>
  <c r="J27" i="7"/>
  <c r="I27" i="7"/>
  <c r="H27" i="7"/>
  <c r="G27" i="7"/>
  <c r="AK26" i="7"/>
  <c r="AJ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c r="I18" i="7"/>
  <c r="H18" i="7"/>
  <c r="G18"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G17" i="7"/>
  <c r="AK199" i="7"/>
  <c r="AJ199" i="7"/>
  <c r="AI199" i="7"/>
  <c r="AH199" i="7"/>
  <c r="AG199" i="7"/>
  <c r="AF199" i="7"/>
  <c r="AE199" i="7"/>
  <c r="AD199" i="7"/>
  <c r="AC199" i="7"/>
  <c r="AB199" i="7"/>
  <c r="AA199" i="7"/>
  <c r="Z199" i="7"/>
  <c r="Y199" i="7"/>
  <c r="X199" i="7"/>
  <c r="W199" i="7"/>
  <c r="V199" i="7"/>
  <c r="U199" i="7"/>
  <c r="T199" i="7"/>
  <c r="S199" i="7"/>
  <c r="R199" i="7"/>
  <c r="Q199" i="7"/>
  <c r="P199" i="7"/>
  <c r="O199" i="7"/>
  <c r="N199" i="7"/>
  <c r="M199" i="7"/>
  <c r="L199" i="7"/>
  <c r="K199" i="7"/>
  <c r="J199" i="7"/>
  <c r="I199" i="7"/>
  <c r="H199" i="7"/>
  <c r="G199" i="7"/>
  <c r="AK186" i="7"/>
  <c r="AJ186" i="7"/>
  <c r="AI186" i="7"/>
  <c r="AH186" i="7"/>
  <c r="AG186" i="7"/>
  <c r="AF186" i="7"/>
  <c r="AE186" i="7"/>
  <c r="AD186" i="7"/>
  <c r="AC186" i="7"/>
  <c r="AB186" i="7"/>
  <c r="AA186" i="7"/>
  <c r="Z186" i="7"/>
  <c r="Y186" i="7"/>
  <c r="X186" i="7"/>
  <c r="W186" i="7"/>
  <c r="V186" i="7"/>
  <c r="U186" i="7"/>
  <c r="T186" i="7"/>
  <c r="S186" i="7"/>
  <c r="R186" i="7"/>
  <c r="Q186" i="7"/>
  <c r="P186" i="7"/>
  <c r="O186" i="7"/>
  <c r="N186" i="7"/>
  <c r="M186" i="7"/>
  <c r="L186" i="7"/>
  <c r="K186" i="7"/>
  <c r="J186" i="7"/>
  <c r="I186" i="7"/>
  <c r="H186" i="7"/>
  <c r="G186" i="7"/>
  <c r="AK172" i="7"/>
  <c r="AJ172" i="7"/>
  <c r="AI172" i="7"/>
  <c r="AH172" i="7"/>
  <c r="AG172" i="7"/>
  <c r="AF172" i="7"/>
  <c r="AE172" i="7"/>
  <c r="AD172" i="7"/>
  <c r="AC172" i="7"/>
  <c r="AB172" i="7"/>
  <c r="AA172" i="7"/>
  <c r="Z172" i="7"/>
  <c r="Y172" i="7"/>
  <c r="X172" i="7"/>
  <c r="W172" i="7"/>
  <c r="V172" i="7"/>
  <c r="U172" i="7"/>
  <c r="T172" i="7"/>
  <c r="S172" i="7"/>
  <c r="R172" i="7"/>
  <c r="Q172" i="7"/>
  <c r="P172" i="7"/>
  <c r="O172" i="7"/>
  <c r="N172" i="7"/>
  <c r="M172" i="7"/>
  <c r="L172" i="7"/>
  <c r="K172" i="7"/>
  <c r="J172" i="7"/>
  <c r="I172" i="7"/>
  <c r="H172" i="7"/>
  <c r="G172"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K150" i="7"/>
  <c r="J150" i="7"/>
  <c r="I150" i="7"/>
  <c r="H150" i="7"/>
  <c r="G150" i="7"/>
  <c r="AK139" i="7"/>
  <c r="AJ139" i="7"/>
  <c r="AI139" i="7"/>
  <c r="AH139" i="7"/>
  <c r="AG139" i="7"/>
  <c r="AF139" i="7"/>
  <c r="AE139" i="7"/>
  <c r="AD139" i="7"/>
  <c r="AC139" i="7"/>
  <c r="AB139" i="7"/>
  <c r="AA139" i="7"/>
  <c r="Z139" i="7"/>
  <c r="Y139" i="7"/>
  <c r="X139" i="7"/>
  <c r="W139" i="7"/>
  <c r="V139" i="7"/>
  <c r="U139" i="7"/>
  <c r="T139" i="7"/>
  <c r="S139" i="7"/>
  <c r="R139" i="7"/>
  <c r="Q139" i="7"/>
  <c r="P139" i="7"/>
  <c r="O139" i="7"/>
  <c r="N139" i="7"/>
  <c r="M139" i="7"/>
  <c r="L139" i="7"/>
  <c r="K139" i="7"/>
  <c r="J139" i="7"/>
  <c r="I139" i="7"/>
  <c r="H139" i="7"/>
  <c r="G139" i="7"/>
  <c r="AK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L125" i="7"/>
  <c r="K125" i="7"/>
  <c r="J125" i="7"/>
  <c r="I125" i="7"/>
  <c r="H125" i="7"/>
  <c r="G125" i="7"/>
  <c r="AK120" i="7"/>
  <c r="AJ120" i="7"/>
  <c r="AI120" i="7"/>
  <c r="AH120" i="7"/>
  <c r="AG120" i="7"/>
  <c r="AF120" i="7"/>
  <c r="AE120" i="7"/>
  <c r="AD120" i="7"/>
  <c r="AC120" i="7"/>
  <c r="AB120" i="7"/>
  <c r="AA120" i="7"/>
  <c r="Z120" i="7"/>
  <c r="Y120" i="7"/>
  <c r="X120" i="7"/>
  <c r="W120" i="7"/>
  <c r="V120" i="7"/>
  <c r="U120" i="7"/>
  <c r="T120" i="7"/>
  <c r="S120" i="7"/>
  <c r="R120" i="7"/>
  <c r="Q120" i="7"/>
  <c r="P120" i="7"/>
  <c r="O120" i="7"/>
  <c r="N120" i="7"/>
  <c r="M120" i="7"/>
  <c r="L120" i="7"/>
  <c r="K120" i="7"/>
  <c r="J120" i="7"/>
  <c r="I120" i="7"/>
  <c r="H120" i="7"/>
  <c r="G120" i="7"/>
  <c r="AK115" i="7"/>
  <c r="AJ115" i="7"/>
  <c r="AI115" i="7"/>
  <c r="AH115" i="7"/>
  <c r="AG115" i="7"/>
  <c r="AF115" i="7"/>
  <c r="AE115" i="7"/>
  <c r="AD115" i="7"/>
  <c r="AC115" i="7"/>
  <c r="AB115" i="7"/>
  <c r="AA115" i="7"/>
  <c r="Z115" i="7"/>
  <c r="Y115" i="7"/>
  <c r="X115" i="7"/>
  <c r="W115" i="7"/>
  <c r="V115" i="7"/>
  <c r="U115" i="7"/>
  <c r="T115" i="7"/>
  <c r="S115" i="7"/>
  <c r="R115" i="7"/>
  <c r="Q115" i="7"/>
  <c r="P115" i="7"/>
  <c r="O115" i="7"/>
  <c r="N115" i="7"/>
  <c r="M115" i="7"/>
  <c r="L115" i="7"/>
  <c r="K115" i="7"/>
  <c r="J115" i="7"/>
  <c r="I115" i="7"/>
  <c r="H115" i="7"/>
  <c r="G115" i="7"/>
  <c r="AK107" i="7"/>
  <c r="AJ107" i="7"/>
  <c r="AI107" i="7"/>
  <c r="AH107" i="7"/>
  <c r="AG107" i="7"/>
  <c r="AF107" i="7"/>
  <c r="AE107" i="7"/>
  <c r="AD107" i="7"/>
  <c r="AC107" i="7"/>
  <c r="AB107" i="7"/>
  <c r="AA107" i="7"/>
  <c r="Z107" i="7"/>
  <c r="Y107" i="7"/>
  <c r="X107" i="7"/>
  <c r="W107" i="7"/>
  <c r="V107" i="7"/>
  <c r="U107" i="7"/>
  <c r="T107" i="7"/>
  <c r="S107" i="7"/>
  <c r="R107" i="7"/>
  <c r="Q107" i="7"/>
  <c r="P107" i="7"/>
  <c r="O107" i="7"/>
  <c r="N107" i="7"/>
  <c r="M107" i="7"/>
  <c r="L107" i="7"/>
  <c r="K107" i="7"/>
  <c r="J107" i="7"/>
  <c r="I107" i="7"/>
  <c r="H107" i="7"/>
  <c r="G107" i="7"/>
  <c r="AK99" i="7"/>
  <c r="AJ99" i="7"/>
  <c r="AI99" i="7"/>
  <c r="AH99" i="7"/>
  <c r="AG99" i="7"/>
  <c r="AF99" i="7"/>
  <c r="AE99" i="7"/>
  <c r="AD99" i="7"/>
  <c r="AC99" i="7"/>
  <c r="AB99" i="7"/>
  <c r="AA99" i="7"/>
  <c r="Z99" i="7"/>
  <c r="Y99" i="7"/>
  <c r="X99" i="7"/>
  <c r="W99" i="7"/>
  <c r="V99" i="7"/>
  <c r="U99" i="7"/>
  <c r="T99" i="7"/>
  <c r="S99" i="7"/>
  <c r="R99" i="7"/>
  <c r="Q99" i="7"/>
  <c r="P99" i="7"/>
  <c r="O99" i="7"/>
  <c r="N99" i="7"/>
  <c r="M99" i="7"/>
  <c r="L99" i="7"/>
  <c r="K99" i="7"/>
  <c r="J99" i="7"/>
  <c r="I99" i="7"/>
  <c r="H99" i="7"/>
  <c r="G99"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AK74" i="7"/>
  <c r="AJ74" i="7"/>
  <c r="AI74" i="7"/>
  <c r="AH74" i="7"/>
  <c r="AG74" i="7"/>
  <c r="AF74" i="7"/>
  <c r="AE74" i="7"/>
  <c r="AD74" i="7"/>
  <c r="AC74" i="7"/>
  <c r="AB74" i="7"/>
  <c r="AA74" i="7"/>
  <c r="Z74" i="7"/>
  <c r="Y74" i="7"/>
  <c r="X74" i="7"/>
  <c r="W74" i="7"/>
  <c r="V74" i="7"/>
  <c r="U74" i="7"/>
  <c r="T74" i="7"/>
  <c r="S74" i="7"/>
  <c r="R74" i="7"/>
  <c r="Q74" i="7"/>
  <c r="P74" i="7"/>
  <c r="O74" i="7"/>
  <c r="N74" i="7"/>
  <c r="M74" i="7"/>
  <c r="L74" i="7"/>
  <c r="K74" i="7"/>
  <c r="J74" i="7"/>
  <c r="I74" i="7"/>
  <c r="H74" i="7"/>
  <c r="G74"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AK35" i="7"/>
  <c r="AJ35" i="7"/>
  <c r="AI35" i="7"/>
  <c r="AH35" i="7"/>
  <c r="AG35" i="7"/>
  <c r="AF35" i="7"/>
  <c r="AE35" i="7"/>
  <c r="AD35" i="7"/>
  <c r="AC35" i="7"/>
  <c r="AB35" i="7"/>
  <c r="AA35" i="7"/>
  <c r="Z35" i="7"/>
  <c r="Y35" i="7"/>
  <c r="X35" i="7"/>
  <c r="W35" i="7"/>
  <c r="V35" i="7"/>
  <c r="U35" i="7"/>
  <c r="T35" i="7"/>
  <c r="S35" i="7"/>
  <c r="R35" i="7"/>
  <c r="Q35" i="7"/>
  <c r="P35" i="7"/>
  <c r="O35" i="7"/>
  <c r="N35" i="7"/>
  <c r="M35" i="7"/>
  <c r="L35" i="7"/>
  <c r="K35" i="7"/>
  <c r="J35" i="7"/>
  <c r="I35" i="7"/>
  <c r="H35" i="7"/>
  <c r="G35"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G33"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G15"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G14"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AK12" i="7"/>
  <c r="AJ12" i="7"/>
  <c r="AI12" i="7"/>
  <c r="AH12" i="7"/>
  <c r="AG12" i="7"/>
  <c r="AF12" i="7"/>
  <c r="AE12" i="7"/>
  <c r="AD12" i="7"/>
  <c r="AC12" i="7"/>
  <c r="AB12" i="7"/>
  <c r="AA12" i="7"/>
  <c r="Z12" i="7"/>
  <c r="Y12" i="7"/>
  <c r="X12" i="7"/>
  <c r="W12" i="7"/>
  <c r="V12" i="7"/>
  <c r="U12" i="7"/>
  <c r="T12" i="7"/>
  <c r="S12" i="7"/>
  <c r="R12" i="7"/>
  <c r="Q12" i="7"/>
  <c r="P12" i="7"/>
  <c r="O12" i="7"/>
  <c r="N12" i="7"/>
  <c r="M12" i="7"/>
  <c r="L12" i="7"/>
  <c r="K12" i="7"/>
  <c r="J12" i="7"/>
  <c r="I12" i="7"/>
  <c r="H12" i="7"/>
  <c r="G12"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G11"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AK9" i="7"/>
  <c r="AJ9" i="7"/>
  <c r="AI9" i="7"/>
  <c r="AH9" i="7"/>
  <c r="AG9" i="7"/>
  <c r="AF9" i="7"/>
  <c r="AE9" i="7"/>
  <c r="AD9" i="7"/>
  <c r="AC9" i="7"/>
  <c r="AB9" i="7"/>
  <c r="AA9" i="7"/>
  <c r="Z9" i="7"/>
  <c r="Y9" i="7"/>
  <c r="X9" i="7"/>
  <c r="W9" i="7"/>
  <c r="V9" i="7"/>
  <c r="U9" i="7"/>
  <c r="T9" i="7"/>
  <c r="S9" i="7"/>
  <c r="R9" i="7"/>
  <c r="Q9" i="7"/>
  <c r="P9" i="7"/>
  <c r="O9" i="7"/>
  <c r="N9" i="7"/>
  <c r="M9" i="7"/>
  <c r="L9" i="7"/>
  <c r="K9" i="7"/>
  <c r="J9" i="7"/>
  <c r="I9" i="7"/>
  <c r="H9"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AK7" i="7"/>
  <c r="AJ7" i="7"/>
  <c r="AI7" i="7"/>
  <c r="AH7" i="7"/>
  <c r="AG7" i="7"/>
  <c r="AF7" i="7"/>
  <c r="AE7" i="7"/>
  <c r="AD7" i="7"/>
  <c r="AC7" i="7"/>
  <c r="AB7" i="7"/>
  <c r="AA7" i="7"/>
  <c r="Z7" i="7"/>
  <c r="Y7" i="7"/>
  <c r="X7" i="7"/>
  <c r="W7" i="7"/>
  <c r="V7" i="7"/>
  <c r="U7" i="7"/>
  <c r="T7" i="7"/>
  <c r="S7" i="7"/>
  <c r="R7" i="7"/>
  <c r="Q7" i="7"/>
  <c r="P7" i="7"/>
  <c r="O7" i="7"/>
  <c r="N7" i="7"/>
  <c r="M7" i="7"/>
  <c r="L7" i="7"/>
  <c r="K7" i="7"/>
  <c r="J7" i="7"/>
  <c r="I7" i="7"/>
  <c r="H7" i="7"/>
  <c r="G7" i="7"/>
  <c r="G6" i="7"/>
  <c r="AK6" i="7"/>
  <c r="AJ6" i="7"/>
  <c r="AI6" i="7"/>
  <c r="AH6" i="7"/>
  <c r="AG6" i="7"/>
  <c r="AF6" i="7"/>
  <c r="AE6" i="7"/>
  <c r="AD6" i="7"/>
  <c r="AC6" i="7"/>
  <c r="AB6" i="7"/>
  <c r="AA6" i="7"/>
  <c r="Z6" i="7"/>
  <c r="Y6" i="7"/>
  <c r="X6" i="7"/>
  <c r="W6" i="7"/>
  <c r="V6" i="7"/>
  <c r="U6" i="7"/>
  <c r="T6" i="7"/>
  <c r="S6" i="7"/>
  <c r="R6" i="7"/>
  <c r="Q6" i="7"/>
  <c r="P6" i="7"/>
  <c r="O6" i="7"/>
  <c r="N6" i="7"/>
  <c r="M6" i="7"/>
  <c r="L6" i="7"/>
  <c r="K6" i="7"/>
  <c r="J6" i="7"/>
  <c r="I6" i="7"/>
  <c r="H6" i="7"/>
  <c r="F22" i="2"/>
  <c r="E22" i="2"/>
  <c r="D22" i="2"/>
  <c r="F21" i="2"/>
  <c r="E21" i="2"/>
  <c r="D21" i="2"/>
  <c r="H23" i="2"/>
  <c r="G250" i="27"/>
  <c r="G251" i="27"/>
  <c r="G252" i="27"/>
  <c r="H252" i="27"/>
  <c r="H251" i="27"/>
  <c r="F813" i="27"/>
  <c r="F812" i="27"/>
  <c r="F811" i="27"/>
  <c r="F810" i="27"/>
  <c r="F809" i="27"/>
  <c r="F808" i="27"/>
  <c r="F807" i="27"/>
  <c r="F806" i="27"/>
  <c r="F805" i="27"/>
  <c r="F804" i="27"/>
  <c r="F803" i="27"/>
  <c r="F801" i="27"/>
  <c r="F800" i="27"/>
  <c r="F799" i="27"/>
  <c r="F797" i="27"/>
  <c r="F796" i="27"/>
  <c r="F795" i="27"/>
  <c r="F794" i="27"/>
  <c r="F793" i="27"/>
  <c r="F792" i="27"/>
  <c r="F791" i="27"/>
  <c r="F789" i="27"/>
  <c r="F788" i="27"/>
  <c r="F787" i="27"/>
  <c r="F786" i="27"/>
  <c r="F785" i="27"/>
  <c r="F783" i="27"/>
  <c r="F782" i="27"/>
  <c r="F780" i="27"/>
  <c r="F779" i="27"/>
  <c r="F778" i="27"/>
  <c r="F776" i="27"/>
  <c r="F775" i="27"/>
  <c r="F774" i="27"/>
  <c r="F772" i="27"/>
  <c r="F771" i="27"/>
  <c r="F770" i="27"/>
  <c r="F768" i="27"/>
  <c r="F767" i="27"/>
  <c r="F766" i="27"/>
  <c r="F764" i="27"/>
  <c r="F763" i="27"/>
  <c r="F761" i="27"/>
  <c r="F760" i="27"/>
  <c r="F759" i="27"/>
  <c r="F757" i="27"/>
  <c r="F756" i="27"/>
  <c r="F755" i="27"/>
  <c r="F754" i="27"/>
  <c r="F753" i="27"/>
  <c r="F752" i="27"/>
  <c r="F750" i="27"/>
  <c r="F749" i="27"/>
  <c r="F748" i="27"/>
  <c r="F747" i="27"/>
  <c r="F746" i="27"/>
  <c r="F745" i="27"/>
  <c r="F744" i="27"/>
  <c r="F743" i="27"/>
  <c r="F741" i="27"/>
  <c r="F740" i="27"/>
  <c r="F739" i="27"/>
  <c r="F738" i="27"/>
  <c r="F736" i="27"/>
  <c r="F735" i="27"/>
  <c r="F734" i="27"/>
  <c r="F733" i="27"/>
  <c r="F732" i="27"/>
  <c r="F730" i="27"/>
  <c r="F729" i="27"/>
  <c r="F728" i="27"/>
  <c r="F727" i="27"/>
  <c r="F726" i="27"/>
  <c r="F725" i="27"/>
  <c r="F724" i="27"/>
  <c r="F722" i="27"/>
  <c r="F721" i="27"/>
  <c r="F720" i="27"/>
  <c r="F719" i="27"/>
  <c r="F718" i="27"/>
  <c r="F717" i="27"/>
  <c r="F716" i="27"/>
  <c r="F714" i="27"/>
  <c r="F713" i="27"/>
  <c r="F712" i="27"/>
  <c r="F711" i="27"/>
  <c r="F710" i="27"/>
  <c r="F709" i="27"/>
  <c r="F708" i="27"/>
  <c r="F706" i="27"/>
  <c r="F705" i="27"/>
  <c r="F704" i="27"/>
  <c r="F703" i="27"/>
  <c r="F701" i="27"/>
  <c r="F700" i="27"/>
  <c r="F698" i="27"/>
  <c r="F697" i="27"/>
  <c r="F696" i="27"/>
  <c r="F695" i="27"/>
  <c r="F693" i="27"/>
  <c r="F692" i="27"/>
  <c r="F691" i="27"/>
  <c r="F690" i="27"/>
  <c r="F688" i="27"/>
  <c r="F687" i="27"/>
  <c r="F686" i="27"/>
  <c r="F685" i="27"/>
  <c r="F683" i="27"/>
  <c r="F681" i="27"/>
  <c r="F680" i="27"/>
  <c r="F679" i="27"/>
  <c r="F678" i="27"/>
  <c r="F676" i="27"/>
  <c r="F675" i="27"/>
  <c r="F674" i="27"/>
  <c r="F673" i="27"/>
  <c r="F672" i="27"/>
  <c r="F671" i="27"/>
  <c r="F670" i="27"/>
  <c r="F669" i="27"/>
  <c r="F667" i="27"/>
  <c r="F666" i="27"/>
  <c r="F665" i="27"/>
  <c r="F664" i="27"/>
  <c r="F662" i="27"/>
  <c r="F661" i="27"/>
  <c r="F659" i="27"/>
  <c r="F658" i="27"/>
  <c r="F657" i="27"/>
  <c r="F656" i="27"/>
  <c r="F655" i="27"/>
  <c r="F654" i="27"/>
  <c r="F653" i="27"/>
  <c r="F652" i="27"/>
  <c r="F650" i="27"/>
  <c r="F649" i="27"/>
  <c r="F648" i="27"/>
  <c r="F647" i="27"/>
  <c r="F646" i="27"/>
  <c r="F645" i="27"/>
  <c r="F644" i="27"/>
  <c r="F643" i="27"/>
  <c r="F642" i="27"/>
  <c r="F640" i="27"/>
  <c r="F639" i="27"/>
  <c r="F637" i="27"/>
  <c r="F636" i="27"/>
  <c r="F635" i="27"/>
  <c r="F634" i="27"/>
  <c r="F633" i="27"/>
  <c r="F632" i="27"/>
  <c r="F630" i="27"/>
  <c r="F629" i="27"/>
  <c r="F628" i="27"/>
  <c r="F627" i="27"/>
  <c r="F626" i="27"/>
  <c r="F625" i="27"/>
  <c r="F624" i="27"/>
  <c r="F622" i="27"/>
  <c r="F621" i="27"/>
  <c r="F620" i="27"/>
  <c r="F619" i="27"/>
  <c r="F618" i="27"/>
  <c r="F616" i="27"/>
  <c r="F615" i="27"/>
  <c r="F614" i="27"/>
  <c r="F613" i="27"/>
  <c r="F612" i="27"/>
  <c r="F610" i="27"/>
  <c r="F609" i="27"/>
  <c r="F607" i="27"/>
  <c r="F606" i="27"/>
  <c r="F605" i="27"/>
  <c r="F604" i="27"/>
  <c r="F603" i="27"/>
  <c r="F602" i="27"/>
  <c r="F601" i="27"/>
  <c r="F599" i="27"/>
  <c r="F598" i="27"/>
  <c r="F597" i="27"/>
  <c r="F596" i="27"/>
  <c r="F594" i="27"/>
  <c r="F593" i="27"/>
  <c r="F592" i="27"/>
  <c r="F591" i="27"/>
  <c r="F590" i="27"/>
  <c r="F588" i="27"/>
  <c r="F587" i="27"/>
  <c r="F586" i="27"/>
  <c r="F585" i="27"/>
  <c r="F584" i="27"/>
  <c r="F582" i="27"/>
  <c r="F581" i="27"/>
  <c r="F580" i="27"/>
  <c r="F579" i="27"/>
  <c r="F577" i="27"/>
  <c r="F576" i="27"/>
  <c r="F575" i="27"/>
  <c r="F574" i="27"/>
  <c r="F573" i="27"/>
  <c r="F572" i="27"/>
  <c r="F570" i="27"/>
  <c r="F569" i="27"/>
  <c r="F568" i="27"/>
  <c r="F567" i="27"/>
  <c r="F566" i="27"/>
  <c r="F565" i="27"/>
  <c r="F563" i="27"/>
  <c r="F562" i="27"/>
  <c r="F561" i="27"/>
  <c r="F559" i="27"/>
  <c r="F558" i="27"/>
  <c r="F556" i="27"/>
  <c r="F555" i="27"/>
  <c r="F554" i="27"/>
  <c r="F553" i="27"/>
  <c r="F551" i="27"/>
  <c r="F550" i="27"/>
  <c r="F549" i="27"/>
  <c r="F547" i="27"/>
  <c r="F546" i="27"/>
  <c r="F545" i="27"/>
  <c r="F544" i="27"/>
  <c r="F543" i="27"/>
  <c r="F542" i="27"/>
  <c r="F541" i="27"/>
  <c r="F539" i="27"/>
  <c r="F538" i="27"/>
  <c r="F537" i="27"/>
  <c r="F536" i="27"/>
  <c r="F534" i="27"/>
  <c r="F533" i="27"/>
  <c r="F532" i="27"/>
  <c r="F531" i="27"/>
  <c r="F530" i="27"/>
  <c r="F528" i="27"/>
  <c r="F527" i="27"/>
  <c r="F525" i="27"/>
  <c r="F524" i="27"/>
  <c r="F523" i="27"/>
  <c r="F522" i="27"/>
  <c r="F521" i="27"/>
  <c r="F520" i="27"/>
  <c r="F519" i="27"/>
  <c r="F517" i="27"/>
  <c r="F516" i="27"/>
  <c r="F515" i="27"/>
  <c r="F514" i="27"/>
  <c r="F513" i="27"/>
  <c r="F512" i="27"/>
  <c r="F511" i="27"/>
  <c r="F510" i="27"/>
  <c r="F508" i="27"/>
  <c r="F507" i="27"/>
  <c r="F506" i="27"/>
  <c r="F505" i="27"/>
  <c r="F503" i="27"/>
  <c r="F502" i="27"/>
  <c r="F501" i="27"/>
  <c r="F500" i="27"/>
  <c r="F499" i="27"/>
  <c r="F498" i="27"/>
  <c r="F497" i="27"/>
  <c r="F496" i="27"/>
  <c r="F495" i="27"/>
  <c r="F494" i="27"/>
  <c r="F493" i="27"/>
  <c r="F491" i="27"/>
  <c r="F490" i="27"/>
  <c r="F489" i="27"/>
  <c r="F488" i="27"/>
  <c r="F487" i="27"/>
  <c r="F486" i="27"/>
  <c r="F485" i="27"/>
  <c r="F484" i="27"/>
  <c r="F483" i="27"/>
  <c r="F482" i="27"/>
  <c r="F481" i="27"/>
  <c r="F479" i="27"/>
  <c r="F478" i="27"/>
  <c r="F477" i="27"/>
  <c r="F475" i="27"/>
  <c r="F474" i="27"/>
  <c r="F473" i="27"/>
  <c r="F472" i="27"/>
  <c r="F471" i="27"/>
  <c r="F470" i="27"/>
  <c r="F469" i="27"/>
  <c r="F468" i="27"/>
  <c r="F467" i="27"/>
  <c r="F466" i="27"/>
  <c r="F465" i="27"/>
  <c r="F464" i="27"/>
  <c r="F462" i="27"/>
  <c r="F461" i="27"/>
  <c r="F460" i="27"/>
  <c r="F459" i="27"/>
  <c r="F457" i="27"/>
  <c r="F456" i="27"/>
  <c r="F455" i="27"/>
  <c r="F454" i="27"/>
  <c r="F452" i="27"/>
  <c r="F451" i="27"/>
  <c r="F450" i="27"/>
  <c r="F448" i="27"/>
  <c r="F447" i="27"/>
  <c r="F445" i="27"/>
  <c r="F444" i="27"/>
  <c r="F443" i="27"/>
  <c r="F442" i="27"/>
  <c r="F440" i="27"/>
  <c r="F439" i="27"/>
  <c r="F438" i="27"/>
  <c r="F437" i="27"/>
  <c r="F435" i="27"/>
  <c r="F434" i="27"/>
  <c r="F433" i="27"/>
  <c r="F432" i="27"/>
  <c r="F430" i="27"/>
  <c r="F429" i="27"/>
  <c r="F428" i="27"/>
  <c r="F427" i="27"/>
  <c r="F426" i="27"/>
  <c r="F425" i="27"/>
  <c r="F424" i="27"/>
  <c r="F423" i="27"/>
  <c r="F422" i="27"/>
  <c r="F421" i="27"/>
  <c r="F420" i="27"/>
  <c r="F419" i="27"/>
  <c r="F418" i="27"/>
  <c r="F417" i="27"/>
  <c r="F416" i="27"/>
  <c r="F415" i="27"/>
  <c r="F414" i="27"/>
  <c r="F413" i="27"/>
  <c r="F412" i="27"/>
  <c r="F411" i="27"/>
  <c r="F410" i="27"/>
  <c r="F408" i="27"/>
  <c r="F407" i="27"/>
  <c r="F405" i="27"/>
  <c r="F404" i="27"/>
  <c r="F403" i="27"/>
  <c r="F402" i="27"/>
  <c r="F401" i="27"/>
  <c r="F399" i="27"/>
  <c r="F398" i="27"/>
  <c r="F397" i="27"/>
  <c r="F396" i="27"/>
  <c r="F395" i="27"/>
  <c r="F394" i="27"/>
  <c r="F393" i="27"/>
  <c r="F392" i="27"/>
  <c r="F391" i="27"/>
  <c r="F390" i="27"/>
  <c r="F388" i="27"/>
  <c r="F387" i="27"/>
  <c r="F386" i="27"/>
  <c r="F384" i="27"/>
  <c r="F383" i="27"/>
  <c r="F382" i="27"/>
  <c r="F381" i="27"/>
  <c r="F380" i="27"/>
  <c r="F379" i="27"/>
  <c r="F377" i="27"/>
  <c r="F376" i="27"/>
  <c r="F375" i="27"/>
  <c r="F374" i="27"/>
  <c r="F373" i="27"/>
  <c r="F371" i="27"/>
  <c r="F370" i="27"/>
  <c r="F368" i="27"/>
  <c r="F367" i="27"/>
  <c r="F365" i="27"/>
  <c r="F364" i="27"/>
  <c r="F363" i="27"/>
  <c r="F362" i="27"/>
  <c r="F360" i="27"/>
  <c r="F359" i="27"/>
  <c r="F357" i="27"/>
  <c r="F356" i="27"/>
  <c r="F355" i="27"/>
  <c r="F354" i="27"/>
  <c r="F353" i="27"/>
  <c r="F351" i="27"/>
  <c r="F350" i="27"/>
  <c r="F349" i="27"/>
  <c r="F347" i="27"/>
  <c r="F346" i="27"/>
  <c r="F345" i="27"/>
  <c r="F344" i="27"/>
  <c r="F343" i="27"/>
  <c r="F341" i="27"/>
  <c r="F340" i="27"/>
  <c r="F339" i="27"/>
  <c r="F337" i="27"/>
  <c r="F336" i="27"/>
  <c r="F335" i="27"/>
  <c r="F334" i="27"/>
  <c r="F333" i="27"/>
  <c r="F332" i="27"/>
  <c r="F331" i="27"/>
  <c r="F329" i="27"/>
  <c r="F328" i="27"/>
  <c r="F327" i="27"/>
  <c r="F326" i="27"/>
  <c r="F325" i="27"/>
  <c r="F323" i="27"/>
  <c r="F322" i="27"/>
  <c r="F321" i="27"/>
  <c r="F320" i="27"/>
  <c r="F318" i="27"/>
  <c r="F317" i="27"/>
  <c r="F316" i="27"/>
  <c r="F315" i="27"/>
  <c r="F314" i="27"/>
  <c r="F313" i="27"/>
  <c r="F311" i="27"/>
  <c r="F310" i="27"/>
  <c r="F309" i="27"/>
  <c r="F308" i="27"/>
  <c r="F307" i="27"/>
  <c r="F306" i="27"/>
  <c r="F304" i="27"/>
  <c r="F303" i="27"/>
  <c r="F302" i="27"/>
  <c r="F301" i="27"/>
  <c r="F300" i="27"/>
  <c r="F299" i="27"/>
  <c r="F297" i="27"/>
  <c r="F296" i="27"/>
  <c r="F295" i="27"/>
  <c r="F294" i="27"/>
  <c r="F293" i="27"/>
  <c r="F292" i="27"/>
  <c r="F291" i="27"/>
  <c r="F290" i="27"/>
  <c r="F289" i="27"/>
  <c r="F288" i="27"/>
  <c r="F287" i="27"/>
  <c r="F286" i="27"/>
  <c r="F285" i="27"/>
  <c r="F284" i="27"/>
  <c r="F283" i="27"/>
  <c r="F282" i="27"/>
  <c r="F280" i="27"/>
  <c r="F279" i="27"/>
  <c r="F278" i="27"/>
  <c r="F277" i="27"/>
  <c r="F276" i="27"/>
  <c r="F275" i="27"/>
  <c r="F274" i="27"/>
  <c r="F273" i="27"/>
  <c r="F272" i="27"/>
  <c r="F271" i="27"/>
  <c r="F270" i="27"/>
  <c r="F269" i="27"/>
  <c r="F268" i="27"/>
  <c r="F266" i="27"/>
  <c r="F265" i="27"/>
  <c r="F264" i="27"/>
  <c r="F263" i="27"/>
  <c r="F262" i="27"/>
  <c r="F261" i="27"/>
  <c r="F260" i="27"/>
  <c r="F259" i="27"/>
  <c r="F258" i="27"/>
  <c r="F257" i="27"/>
  <c r="F256" i="27"/>
  <c r="F255" i="27"/>
  <c r="F254" i="27"/>
  <c r="F252" i="27"/>
  <c r="F251" i="27"/>
  <c r="F250" i="27"/>
  <c r="F249" i="27"/>
  <c r="F248" i="27"/>
  <c r="F247" i="27"/>
  <c r="F246" i="27"/>
  <c r="F244" i="27"/>
  <c r="F243" i="27"/>
  <c r="F242" i="27"/>
  <c r="F240" i="27"/>
  <c r="F239" i="27"/>
  <c r="F238" i="27"/>
  <c r="F237" i="27"/>
  <c r="F236" i="27"/>
  <c r="F235" i="27"/>
  <c r="F234" i="27"/>
  <c r="F233" i="27"/>
  <c r="F232" i="27"/>
  <c r="F231" i="27"/>
  <c r="F230" i="27"/>
  <c r="F229" i="27"/>
  <c r="F227" i="27"/>
  <c r="F226" i="27"/>
  <c r="F225" i="27"/>
  <c r="F224" i="27"/>
  <c r="F223" i="27"/>
  <c r="F222" i="27"/>
  <c r="F221" i="27"/>
  <c r="F220" i="27"/>
  <c r="F219" i="27"/>
  <c r="F218" i="27"/>
  <c r="F216" i="27"/>
  <c r="F215" i="27"/>
  <c r="F214" i="27"/>
  <c r="F213" i="27"/>
  <c r="F212" i="27"/>
  <c r="F211" i="27"/>
  <c r="F210" i="27"/>
  <c r="F209" i="27"/>
  <c r="F208" i="27"/>
  <c r="F206" i="27"/>
  <c r="F205" i="27"/>
  <c r="F204" i="27"/>
  <c r="F203" i="27"/>
  <c r="F201" i="27"/>
  <c r="F200" i="27"/>
  <c r="F199" i="27"/>
  <c r="F198" i="27"/>
  <c r="F197" i="27"/>
  <c r="F196" i="27"/>
  <c r="F195" i="27"/>
  <c r="F194" i="27"/>
  <c r="F193" i="27"/>
  <c r="F192" i="27"/>
  <c r="F191" i="27"/>
  <c r="F189" i="27"/>
  <c r="F188" i="27"/>
  <c r="F187" i="27"/>
  <c r="F186" i="27"/>
  <c r="F185" i="27"/>
  <c r="F184" i="27"/>
  <c r="F182" i="27"/>
  <c r="F181" i="27"/>
  <c r="F180" i="27"/>
  <c r="F179" i="27"/>
  <c r="F177" i="27"/>
  <c r="F176" i="27"/>
  <c r="F175" i="27"/>
  <c r="F174" i="27"/>
  <c r="F173" i="27"/>
  <c r="F172" i="27"/>
  <c r="F171" i="27"/>
  <c r="F170" i="27"/>
  <c r="F169" i="27"/>
  <c r="F167" i="27"/>
  <c r="F166" i="27"/>
  <c r="F165" i="27"/>
  <c r="F164" i="27"/>
  <c r="F162" i="27"/>
  <c r="F161" i="27"/>
  <c r="F160" i="27"/>
  <c r="F159" i="27"/>
  <c r="F158" i="27"/>
  <c r="F156" i="27"/>
  <c r="F155" i="27"/>
  <c r="F154" i="27"/>
  <c r="F153" i="27"/>
  <c r="F152" i="27"/>
  <c r="F151" i="27"/>
  <c r="F150" i="27"/>
  <c r="F148" i="27"/>
  <c r="F147" i="27"/>
  <c r="F146" i="27"/>
  <c r="F145" i="27"/>
  <c r="F144" i="27"/>
  <c r="F143" i="27"/>
  <c r="F142" i="27"/>
  <c r="F141" i="27"/>
  <c r="F140" i="27"/>
  <c r="F139" i="27"/>
  <c r="F138" i="27"/>
  <c r="F137" i="27"/>
  <c r="F136" i="27"/>
  <c r="F135" i="27"/>
  <c r="F133" i="27"/>
  <c r="F132" i="27"/>
  <c r="F131" i="27"/>
  <c r="F130" i="27"/>
  <c r="F128" i="27"/>
  <c r="F127" i="27"/>
  <c r="F126" i="27"/>
  <c r="F125" i="27"/>
  <c r="F124" i="27"/>
  <c r="F123" i="27"/>
  <c r="F122" i="27"/>
  <c r="F121" i="27"/>
  <c r="F120" i="27"/>
  <c r="F118" i="27"/>
  <c r="F117" i="27"/>
  <c r="F116" i="27"/>
  <c r="F115" i="27"/>
  <c r="F114" i="27"/>
  <c r="F113" i="27"/>
  <c r="F112" i="27"/>
  <c r="F111" i="27"/>
  <c r="F110" i="27"/>
  <c r="F108" i="27"/>
  <c r="F107" i="27"/>
  <c r="F106" i="27"/>
  <c r="F105" i="27"/>
  <c r="F104" i="27"/>
  <c r="F103" i="27"/>
  <c r="F101" i="27"/>
  <c r="F100" i="27"/>
  <c r="F99" i="27"/>
  <c r="F98" i="27"/>
  <c r="F97" i="27"/>
  <c r="F96" i="27"/>
  <c r="F95" i="27"/>
  <c r="F93" i="27"/>
  <c r="F92" i="27"/>
  <c r="F91" i="27"/>
  <c r="F90" i="27"/>
  <c r="F89" i="27"/>
  <c r="F88" i="27"/>
  <c r="F87" i="27"/>
  <c r="F86" i="27"/>
  <c r="F85" i="27"/>
  <c r="F84" i="27"/>
  <c r="F83" i="27"/>
  <c r="F82" i="27"/>
  <c r="F81" i="27"/>
  <c r="F80" i="27"/>
  <c r="F79" i="27"/>
  <c r="F78" i="27"/>
  <c r="F77" i="27"/>
  <c r="F76" i="27"/>
  <c r="F75" i="27"/>
  <c r="F74" i="27"/>
  <c r="F73" i="27"/>
  <c r="F72" i="27"/>
  <c r="F71" i="27"/>
  <c r="F69" i="27"/>
  <c r="F68" i="27"/>
  <c r="F67" i="27"/>
  <c r="F66" i="27"/>
  <c r="F65" i="27"/>
  <c r="F64" i="27"/>
  <c r="F63" i="27"/>
  <c r="F62" i="27"/>
  <c r="F61" i="27"/>
  <c r="F60" i="27"/>
  <c r="F59" i="27"/>
  <c r="F58" i="27"/>
  <c r="F57" i="27"/>
  <c r="F56" i="27"/>
  <c r="F54" i="27"/>
  <c r="F53" i="27"/>
  <c r="F52" i="27"/>
  <c r="F51" i="27"/>
  <c r="F50" i="27"/>
  <c r="F49" i="27"/>
  <c r="F48" i="27"/>
  <c r="F47" i="27"/>
  <c r="F46"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5" i="27"/>
  <c r="F14" i="27"/>
  <c r="F13" i="27"/>
  <c r="F12" i="27"/>
  <c r="F11" i="27"/>
  <c r="F10" i="27"/>
  <c r="F9" i="27"/>
  <c r="F8" i="27"/>
  <c r="F7" i="27"/>
  <c r="F6" i="27"/>
  <c r="F5" i="27"/>
  <c r="F4" i="27"/>
  <c r="I3" i="27"/>
  <c r="I16" i="27"/>
  <c r="I45" i="27"/>
  <c r="I55" i="27"/>
  <c r="I70" i="27"/>
  <c r="I94" i="27"/>
  <c r="I102" i="27"/>
  <c r="I109" i="27"/>
  <c r="I119" i="27"/>
  <c r="I129" i="27"/>
  <c r="I134" i="27"/>
  <c r="I149" i="27"/>
  <c r="I157" i="27"/>
  <c r="I163" i="27"/>
  <c r="I168" i="27"/>
  <c r="I178" i="27"/>
  <c r="I183" i="27"/>
  <c r="I190" i="27"/>
  <c r="I202" i="27"/>
  <c r="I207" i="27"/>
  <c r="I217" i="27"/>
  <c r="I228" i="27"/>
  <c r="I241" i="27"/>
  <c r="I245" i="27"/>
  <c r="I253" i="27"/>
  <c r="I267" i="27"/>
  <c r="I281" i="27"/>
  <c r="I298" i="27"/>
  <c r="I305" i="27"/>
  <c r="I312" i="27"/>
  <c r="I319" i="27"/>
  <c r="I324" i="27"/>
  <c r="I330" i="27"/>
  <c r="I338" i="27"/>
  <c r="I342" i="27"/>
  <c r="I348" i="27"/>
  <c r="I352" i="27"/>
  <c r="I358" i="27"/>
  <c r="I361" i="27"/>
  <c r="I366" i="27"/>
  <c r="I369" i="27"/>
  <c r="I372" i="27"/>
  <c r="I378" i="27"/>
  <c r="I385" i="27"/>
  <c r="I389" i="27"/>
  <c r="I400" i="27"/>
  <c r="I406" i="27"/>
  <c r="I409" i="27"/>
  <c r="I431" i="27"/>
  <c r="I436" i="27"/>
  <c r="I441" i="27"/>
  <c r="I446" i="27"/>
  <c r="I449" i="27"/>
  <c r="I453" i="27"/>
  <c r="I458" i="27"/>
  <c r="I463" i="27"/>
  <c r="I476" i="27"/>
  <c r="I480" i="27"/>
  <c r="I492" i="27"/>
  <c r="I504" i="27"/>
  <c r="I509" i="27"/>
  <c r="I518" i="27"/>
  <c r="I526" i="27"/>
  <c r="I529" i="27"/>
  <c r="I535" i="27"/>
  <c r="I540" i="27"/>
  <c r="I548" i="27"/>
  <c r="I552" i="27"/>
  <c r="I557" i="27"/>
  <c r="I560" i="27"/>
  <c r="I564" i="27"/>
  <c r="I571" i="27"/>
  <c r="I578" i="27"/>
  <c r="I583" i="27"/>
  <c r="I589" i="27"/>
  <c r="I595" i="27"/>
  <c r="I600" i="27"/>
  <c r="I608" i="27"/>
  <c r="I611" i="27"/>
  <c r="I617" i="27"/>
  <c r="I623" i="27"/>
  <c r="I631" i="27"/>
  <c r="I638" i="27"/>
  <c r="I641" i="27"/>
  <c r="I651" i="27"/>
  <c r="I660" i="27"/>
  <c r="I663" i="27"/>
  <c r="I668" i="27"/>
  <c r="I677" i="27"/>
  <c r="I682" i="27"/>
  <c r="I684" i="27"/>
  <c r="I689" i="27"/>
  <c r="I694" i="27"/>
  <c r="I699" i="27"/>
  <c r="I702" i="27"/>
  <c r="I707" i="27"/>
  <c r="I715" i="27"/>
  <c r="I723" i="27"/>
  <c r="I731" i="27"/>
  <c r="I737" i="27"/>
  <c r="I742" i="27"/>
  <c r="I751" i="27"/>
  <c r="I758" i="27"/>
  <c r="I762" i="27"/>
  <c r="I765" i="27"/>
  <c r="I769" i="27"/>
  <c r="I773" i="27"/>
  <c r="I777" i="27"/>
  <c r="I781" i="27"/>
  <c r="I784" i="27"/>
  <c r="I790" i="27"/>
  <c r="I798" i="27"/>
  <c r="I802" i="27"/>
  <c r="C813" i="27"/>
  <c r="B813" i="27"/>
  <c r="C812" i="27"/>
  <c r="B812" i="27"/>
  <c r="C811" i="27"/>
  <c r="B811" i="27"/>
  <c r="C810" i="27"/>
  <c r="B810" i="27"/>
  <c r="C809" i="27"/>
  <c r="B809" i="27"/>
  <c r="C808" i="27"/>
  <c r="B808" i="27"/>
  <c r="C807" i="27"/>
  <c r="B807" i="27"/>
  <c r="C806" i="27"/>
  <c r="B806" i="27"/>
  <c r="C805" i="27"/>
  <c r="B805" i="27"/>
  <c r="C804" i="27"/>
  <c r="B804" i="27"/>
  <c r="C803" i="27"/>
  <c r="B803" i="27"/>
  <c r="C801" i="27"/>
  <c r="B801" i="27"/>
  <c r="C800" i="27"/>
  <c r="B800" i="27"/>
  <c r="C799" i="27"/>
  <c r="B799" i="27"/>
  <c r="C797" i="27"/>
  <c r="B797" i="27"/>
  <c r="C796" i="27"/>
  <c r="B796" i="27"/>
  <c r="C795" i="27"/>
  <c r="B795" i="27"/>
  <c r="C794" i="27"/>
  <c r="B794" i="27"/>
  <c r="C793" i="27"/>
  <c r="B793" i="27"/>
  <c r="C792" i="27"/>
  <c r="B792" i="27"/>
  <c r="C791" i="27"/>
  <c r="B791" i="27"/>
  <c r="C789" i="27"/>
  <c r="B789" i="27"/>
  <c r="C788" i="27"/>
  <c r="B788" i="27"/>
  <c r="C787" i="27"/>
  <c r="B787" i="27"/>
  <c r="C786" i="27"/>
  <c r="B786" i="27"/>
  <c r="C785" i="27"/>
  <c r="B785" i="27"/>
  <c r="C783" i="27"/>
  <c r="B783" i="27"/>
  <c r="C782" i="27"/>
  <c r="B782" i="27"/>
  <c r="C780" i="27"/>
  <c r="B780" i="27"/>
  <c r="C779" i="27"/>
  <c r="B779" i="27"/>
  <c r="C778" i="27"/>
  <c r="B778" i="27"/>
  <c r="C776" i="27"/>
  <c r="B776" i="27"/>
  <c r="C775" i="27"/>
  <c r="B775" i="27"/>
  <c r="C774" i="27"/>
  <c r="B774" i="27"/>
  <c r="C772" i="27"/>
  <c r="B772" i="27"/>
  <c r="C771" i="27"/>
  <c r="B771" i="27"/>
  <c r="C770" i="27"/>
  <c r="B770" i="27"/>
  <c r="C768" i="27"/>
  <c r="B768" i="27"/>
  <c r="C767" i="27"/>
  <c r="B767" i="27"/>
  <c r="C766" i="27"/>
  <c r="B766" i="27"/>
  <c r="C764" i="27"/>
  <c r="B764" i="27"/>
  <c r="C763" i="27"/>
  <c r="B763" i="27"/>
  <c r="C761" i="27"/>
  <c r="B761" i="27"/>
  <c r="C760" i="27"/>
  <c r="B760" i="27"/>
  <c r="C759" i="27"/>
  <c r="B759" i="27"/>
  <c r="C757" i="27"/>
  <c r="B757" i="27"/>
  <c r="C756" i="27"/>
  <c r="B756" i="27"/>
  <c r="C755" i="27"/>
  <c r="B755" i="27"/>
  <c r="C754" i="27"/>
  <c r="B754" i="27"/>
  <c r="C753" i="27"/>
  <c r="B753" i="27"/>
  <c r="C752" i="27"/>
  <c r="B752" i="27"/>
  <c r="C750" i="27"/>
  <c r="B750" i="27"/>
  <c r="C749" i="27"/>
  <c r="B749" i="27"/>
  <c r="C748" i="27"/>
  <c r="B748" i="27"/>
  <c r="C747" i="27"/>
  <c r="B747" i="27"/>
  <c r="C746" i="27"/>
  <c r="B746" i="27"/>
  <c r="C745" i="27"/>
  <c r="B745" i="27"/>
  <c r="C744" i="27"/>
  <c r="B744" i="27"/>
  <c r="C743" i="27"/>
  <c r="B743" i="27"/>
  <c r="C741" i="27"/>
  <c r="B741" i="27"/>
  <c r="C740" i="27"/>
  <c r="B740" i="27"/>
  <c r="C739" i="27"/>
  <c r="B739" i="27"/>
  <c r="C738" i="27"/>
  <c r="B738" i="27"/>
  <c r="C736" i="27"/>
  <c r="B736" i="27"/>
  <c r="C735" i="27"/>
  <c r="B735" i="27"/>
  <c r="C734" i="27"/>
  <c r="B734" i="27"/>
  <c r="C733" i="27"/>
  <c r="B733" i="27"/>
  <c r="C732" i="27"/>
  <c r="B732" i="27"/>
  <c r="C730" i="27"/>
  <c r="B730" i="27"/>
  <c r="C729" i="27"/>
  <c r="B729" i="27"/>
  <c r="C728" i="27"/>
  <c r="B728" i="27"/>
  <c r="C727" i="27"/>
  <c r="B727" i="27"/>
  <c r="C726" i="27"/>
  <c r="B726" i="27"/>
  <c r="C725" i="27"/>
  <c r="B725" i="27"/>
  <c r="C724" i="27"/>
  <c r="B724" i="27"/>
  <c r="C722" i="27"/>
  <c r="B722" i="27"/>
  <c r="C721" i="27"/>
  <c r="B721" i="27"/>
  <c r="C720" i="27"/>
  <c r="B720" i="27"/>
  <c r="C719" i="27"/>
  <c r="B719" i="27"/>
  <c r="C718" i="27"/>
  <c r="B718" i="27"/>
  <c r="C717" i="27"/>
  <c r="B717" i="27"/>
  <c r="C716" i="27"/>
  <c r="B716" i="27"/>
  <c r="C714" i="27"/>
  <c r="B714" i="27"/>
  <c r="C713" i="27"/>
  <c r="B713" i="27"/>
  <c r="C712" i="27"/>
  <c r="B712" i="27"/>
  <c r="C711" i="27"/>
  <c r="B711" i="27"/>
  <c r="C710" i="27"/>
  <c r="B710" i="27"/>
  <c r="C709" i="27"/>
  <c r="B709" i="27"/>
  <c r="C708" i="27"/>
  <c r="B708" i="27"/>
  <c r="C706" i="27"/>
  <c r="B706" i="27"/>
  <c r="C705" i="27"/>
  <c r="B705" i="27"/>
  <c r="C704" i="27"/>
  <c r="B704" i="27"/>
  <c r="C703" i="27"/>
  <c r="B703" i="27"/>
  <c r="C701" i="27"/>
  <c r="B701" i="27"/>
  <c r="C700" i="27"/>
  <c r="B700" i="27"/>
  <c r="C698" i="27"/>
  <c r="B698" i="27"/>
  <c r="C697" i="27"/>
  <c r="B697" i="27"/>
  <c r="C696" i="27"/>
  <c r="B696" i="27"/>
  <c r="C695" i="27"/>
  <c r="B695" i="27"/>
  <c r="C693" i="27"/>
  <c r="B693" i="27"/>
  <c r="C692" i="27"/>
  <c r="B692" i="27"/>
  <c r="C691" i="27"/>
  <c r="B691" i="27"/>
  <c r="C690" i="27"/>
  <c r="B690" i="27"/>
  <c r="C688" i="27"/>
  <c r="B688" i="27"/>
  <c r="C687" i="27"/>
  <c r="B687" i="27"/>
  <c r="C686" i="27"/>
  <c r="B686" i="27"/>
  <c r="C685" i="27"/>
  <c r="B685" i="27"/>
  <c r="C683" i="27"/>
  <c r="B683" i="27"/>
  <c r="C681" i="27"/>
  <c r="B681" i="27"/>
  <c r="C680" i="27"/>
  <c r="B680" i="27"/>
  <c r="C679" i="27"/>
  <c r="B679" i="27"/>
  <c r="C678" i="27"/>
  <c r="B678" i="27"/>
  <c r="C676" i="27"/>
  <c r="B676" i="27"/>
  <c r="C675" i="27"/>
  <c r="B675" i="27"/>
  <c r="C674" i="27"/>
  <c r="B674" i="27"/>
  <c r="C673" i="27"/>
  <c r="B673" i="27"/>
  <c r="C672" i="27"/>
  <c r="B672" i="27"/>
  <c r="C671" i="27"/>
  <c r="B671" i="27"/>
  <c r="C670" i="27"/>
  <c r="B670" i="27"/>
  <c r="C669" i="27"/>
  <c r="B669" i="27"/>
  <c r="C667" i="27"/>
  <c r="B667" i="27"/>
  <c r="C666" i="27"/>
  <c r="B666" i="27"/>
  <c r="C665" i="27"/>
  <c r="B665" i="27"/>
  <c r="C664" i="27"/>
  <c r="B664" i="27"/>
  <c r="C662" i="27"/>
  <c r="B662" i="27"/>
  <c r="C661" i="27"/>
  <c r="B661" i="27"/>
  <c r="C659" i="27"/>
  <c r="B659" i="27"/>
  <c r="C658" i="27"/>
  <c r="B658" i="27"/>
  <c r="C657" i="27"/>
  <c r="B657" i="27"/>
  <c r="C656" i="27"/>
  <c r="B656" i="27"/>
  <c r="C655" i="27"/>
  <c r="B655" i="27"/>
  <c r="C654" i="27"/>
  <c r="B654" i="27"/>
  <c r="C653" i="27"/>
  <c r="B653" i="27"/>
  <c r="C652" i="27"/>
  <c r="B652" i="27"/>
  <c r="C650" i="27"/>
  <c r="B650" i="27"/>
  <c r="C649" i="27"/>
  <c r="B649" i="27"/>
  <c r="C648" i="27"/>
  <c r="B648" i="27"/>
  <c r="C647" i="27"/>
  <c r="B647" i="27"/>
  <c r="C646" i="27"/>
  <c r="B646" i="27"/>
  <c r="C645" i="27"/>
  <c r="B645" i="27"/>
  <c r="C644" i="27"/>
  <c r="B644" i="27"/>
  <c r="C643" i="27"/>
  <c r="B643" i="27"/>
  <c r="C642" i="27"/>
  <c r="B642" i="27"/>
  <c r="C640" i="27"/>
  <c r="B640" i="27"/>
  <c r="C639" i="27"/>
  <c r="B639" i="27"/>
  <c r="C637" i="27"/>
  <c r="B637" i="27"/>
  <c r="C636" i="27"/>
  <c r="B636" i="27"/>
  <c r="C635" i="27"/>
  <c r="B635" i="27"/>
  <c r="C634" i="27"/>
  <c r="B634" i="27"/>
  <c r="C633" i="27"/>
  <c r="B633" i="27"/>
  <c r="C632" i="27"/>
  <c r="B632" i="27"/>
  <c r="C630" i="27"/>
  <c r="B630" i="27"/>
  <c r="C629" i="27"/>
  <c r="B629" i="27"/>
  <c r="C628" i="27"/>
  <c r="B628" i="27"/>
  <c r="C627" i="27"/>
  <c r="B627" i="27"/>
  <c r="C626" i="27"/>
  <c r="B626" i="27"/>
  <c r="C625" i="27"/>
  <c r="B625" i="27"/>
  <c r="C624" i="27"/>
  <c r="B624" i="27"/>
  <c r="C622" i="27"/>
  <c r="B622" i="27"/>
  <c r="C621" i="27"/>
  <c r="B621" i="27"/>
  <c r="C620" i="27"/>
  <c r="B620" i="27"/>
  <c r="C619" i="27"/>
  <c r="B619" i="27"/>
  <c r="C618" i="27"/>
  <c r="B618" i="27"/>
  <c r="C616" i="27"/>
  <c r="B616" i="27"/>
  <c r="C615" i="27"/>
  <c r="B615" i="27"/>
  <c r="C614" i="27"/>
  <c r="B614" i="27"/>
  <c r="C613" i="27"/>
  <c r="B613" i="27"/>
  <c r="C612" i="27"/>
  <c r="B612" i="27"/>
  <c r="C610" i="27"/>
  <c r="B610" i="27"/>
  <c r="C609" i="27"/>
  <c r="B609" i="27"/>
  <c r="C607" i="27"/>
  <c r="B607" i="27"/>
  <c r="C606" i="27"/>
  <c r="B606" i="27"/>
  <c r="C605" i="27"/>
  <c r="B605" i="27"/>
  <c r="C604" i="27"/>
  <c r="B604" i="27"/>
  <c r="C603" i="27"/>
  <c r="B603" i="27"/>
  <c r="C602" i="27"/>
  <c r="B602" i="27"/>
  <c r="C601" i="27"/>
  <c r="B601" i="27"/>
  <c r="C599" i="27"/>
  <c r="B599" i="27"/>
  <c r="C598" i="27"/>
  <c r="B598" i="27"/>
  <c r="C597" i="27"/>
  <c r="B597" i="27"/>
  <c r="C596" i="27"/>
  <c r="B596" i="27"/>
  <c r="C594" i="27"/>
  <c r="B594" i="27"/>
  <c r="C593" i="27"/>
  <c r="B593" i="27"/>
  <c r="C592" i="27"/>
  <c r="B592" i="27"/>
  <c r="C591" i="27"/>
  <c r="B591" i="27"/>
  <c r="C590" i="27"/>
  <c r="B590" i="27"/>
  <c r="C588" i="27"/>
  <c r="B588" i="27"/>
  <c r="C587" i="27"/>
  <c r="B587" i="27"/>
  <c r="C586" i="27"/>
  <c r="B586" i="27"/>
  <c r="C585" i="27"/>
  <c r="B585" i="27"/>
  <c r="C584" i="27"/>
  <c r="B584" i="27"/>
  <c r="C582" i="27"/>
  <c r="B582" i="27"/>
  <c r="C581" i="27"/>
  <c r="B581" i="27"/>
  <c r="C580" i="27"/>
  <c r="B580" i="27"/>
  <c r="C579" i="27"/>
  <c r="B579" i="27"/>
  <c r="C577" i="27"/>
  <c r="B577" i="27"/>
  <c r="C576" i="27"/>
  <c r="B576" i="27"/>
  <c r="C575" i="27"/>
  <c r="B575" i="27"/>
  <c r="C574" i="27"/>
  <c r="B574" i="27"/>
  <c r="C573" i="27"/>
  <c r="B573" i="27"/>
  <c r="C572" i="27"/>
  <c r="B572" i="27"/>
  <c r="C570" i="27"/>
  <c r="B570" i="27"/>
  <c r="C569" i="27"/>
  <c r="B569" i="27"/>
  <c r="C568" i="27"/>
  <c r="B568" i="27"/>
  <c r="C567" i="27"/>
  <c r="B567" i="27"/>
  <c r="C566" i="27"/>
  <c r="B566" i="27"/>
  <c r="C565" i="27"/>
  <c r="B565" i="27"/>
  <c r="C563" i="27"/>
  <c r="B563" i="27"/>
  <c r="C562" i="27"/>
  <c r="B562" i="27"/>
  <c r="C561" i="27"/>
  <c r="B561" i="27"/>
  <c r="C559" i="27"/>
  <c r="B559" i="27"/>
  <c r="C558" i="27"/>
  <c r="B558" i="27"/>
  <c r="C556" i="27"/>
  <c r="B556" i="27"/>
  <c r="C555" i="27"/>
  <c r="B555" i="27"/>
  <c r="C554" i="27"/>
  <c r="B554" i="27"/>
  <c r="C553" i="27"/>
  <c r="B553" i="27"/>
  <c r="C551" i="27"/>
  <c r="B551" i="27"/>
  <c r="C550" i="27"/>
  <c r="B550" i="27"/>
  <c r="C549" i="27"/>
  <c r="B549" i="27"/>
  <c r="C547" i="27"/>
  <c r="B547" i="27"/>
  <c r="C546" i="27"/>
  <c r="B546" i="27"/>
  <c r="C545" i="27"/>
  <c r="B545" i="27"/>
  <c r="C544" i="27"/>
  <c r="B544" i="27"/>
  <c r="C543" i="27"/>
  <c r="B543" i="27"/>
  <c r="C542" i="27"/>
  <c r="B542" i="27"/>
  <c r="C541" i="27"/>
  <c r="B541" i="27"/>
  <c r="C539" i="27"/>
  <c r="B539" i="27"/>
  <c r="C538" i="27"/>
  <c r="B538" i="27"/>
  <c r="C537" i="27"/>
  <c r="B537" i="27"/>
  <c r="C536" i="27"/>
  <c r="B536" i="27"/>
  <c r="C534" i="27"/>
  <c r="B534" i="27"/>
  <c r="C533" i="27"/>
  <c r="B533" i="27"/>
  <c r="C532" i="27"/>
  <c r="B532" i="27"/>
  <c r="C531" i="27"/>
  <c r="B531" i="27"/>
  <c r="C530" i="27"/>
  <c r="B530" i="27"/>
  <c r="C528" i="27"/>
  <c r="B528" i="27"/>
  <c r="C527" i="27"/>
  <c r="B527" i="27"/>
  <c r="C525" i="27"/>
  <c r="B525" i="27"/>
  <c r="C524" i="27"/>
  <c r="B524" i="27"/>
  <c r="C523" i="27"/>
  <c r="B523" i="27"/>
  <c r="C522" i="27"/>
  <c r="B522" i="27"/>
  <c r="C521" i="27"/>
  <c r="B521" i="27"/>
  <c r="C520" i="27"/>
  <c r="B520" i="27"/>
  <c r="C519" i="27"/>
  <c r="B519" i="27"/>
  <c r="C517" i="27"/>
  <c r="B517" i="27"/>
  <c r="C516" i="27"/>
  <c r="B516" i="27"/>
  <c r="C515" i="27"/>
  <c r="B515" i="27"/>
  <c r="C514" i="27"/>
  <c r="B514" i="27"/>
  <c r="C513" i="27"/>
  <c r="B513" i="27"/>
  <c r="C512" i="27"/>
  <c r="B512" i="27"/>
  <c r="C511" i="27"/>
  <c r="B511" i="27"/>
  <c r="C510" i="27"/>
  <c r="B510" i="27"/>
  <c r="C508" i="27"/>
  <c r="B508" i="27"/>
  <c r="C507" i="27"/>
  <c r="B507" i="27"/>
  <c r="C506" i="27"/>
  <c r="B506" i="27"/>
  <c r="C505" i="27"/>
  <c r="B505" i="27"/>
  <c r="C503" i="27"/>
  <c r="B503" i="27"/>
  <c r="C502" i="27"/>
  <c r="B502" i="27"/>
  <c r="C501" i="27"/>
  <c r="B501" i="27"/>
  <c r="C500" i="27"/>
  <c r="B500" i="27"/>
  <c r="C499" i="27"/>
  <c r="B499" i="27"/>
  <c r="C498" i="27"/>
  <c r="B498" i="27"/>
  <c r="C497" i="27"/>
  <c r="B497" i="27"/>
  <c r="C496" i="27"/>
  <c r="B496" i="27"/>
  <c r="C495" i="27"/>
  <c r="B495" i="27"/>
  <c r="C494" i="27"/>
  <c r="B494" i="27"/>
  <c r="C493" i="27"/>
  <c r="B493" i="27"/>
  <c r="C491" i="27"/>
  <c r="B491" i="27"/>
  <c r="C490" i="27"/>
  <c r="B490" i="27"/>
  <c r="C489" i="27"/>
  <c r="B489" i="27"/>
  <c r="C488" i="27"/>
  <c r="B488" i="27"/>
  <c r="C487" i="27"/>
  <c r="B487" i="27"/>
  <c r="C486" i="27"/>
  <c r="B486" i="27"/>
  <c r="C485" i="27"/>
  <c r="B485" i="27"/>
  <c r="C484" i="27"/>
  <c r="B484" i="27"/>
  <c r="C483" i="27"/>
  <c r="B483" i="27"/>
  <c r="C482" i="27"/>
  <c r="B482" i="27"/>
  <c r="C481" i="27"/>
  <c r="B481" i="27"/>
  <c r="C479" i="27"/>
  <c r="B479" i="27"/>
  <c r="C478" i="27"/>
  <c r="B478" i="27"/>
  <c r="C477" i="27"/>
  <c r="B477" i="27"/>
  <c r="C475" i="27"/>
  <c r="B475" i="27"/>
  <c r="C474" i="27"/>
  <c r="B474" i="27"/>
  <c r="C473" i="27"/>
  <c r="B473" i="27"/>
  <c r="C472" i="27"/>
  <c r="B472" i="27"/>
  <c r="C471" i="27"/>
  <c r="B471" i="27"/>
  <c r="C470" i="27"/>
  <c r="B470" i="27"/>
  <c r="C469" i="27"/>
  <c r="B469" i="27"/>
  <c r="C468" i="27"/>
  <c r="B468" i="27"/>
  <c r="C467" i="27"/>
  <c r="B467" i="27"/>
  <c r="C466" i="27"/>
  <c r="B466" i="27"/>
  <c r="C465" i="27"/>
  <c r="B465" i="27"/>
  <c r="C464" i="27"/>
  <c r="B464" i="27"/>
  <c r="C462" i="27"/>
  <c r="B462" i="27"/>
  <c r="C461" i="27"/>
  <c r="B461" i="27"/>
  <c r="C460" i="27"/>
  <c r="B460" i="27"/>
  <c r="C459" i="27"/>
  <c r="B459" i="27"/>
  <c r="C457" i="27"/>
  <c r="B457" i="27"/>
  <c r="C456" i="27"/>
  <c r="B456" i="27"/>
  <c r="C455" i="27"/>
  <c r="B455" i="27"/>
  <c r="C454" i="27"/>
  <c r="B454" i="27"/>
  <c r="C452" i="27"/>
  <c r="B452" i="27"/>
  <c r="C451" i="27"/>
  <c r="B451" i="27"/>
  <c r="C450" i="27"/>
  <c r="B450" i="27"/>
  <c r="C448" i="27"/>
  <c r="B448" i="27"/>
  <c r="C447" i="27"/>
  <c r="B447" i="27"/>
  <c r="C445" i="27"/>
  <c r="B445" i="27"/>
  <c r="C444" i="27"/>
  <c r="B444" i="27"/>
  <c r="C443" i="27"/>
  <c r="B443" i="27"/>
  <c r="C442" i="27"/>
  <c r="B442" i="27"/>
  <c r="C440" i="27"/>
  <c r="B440" i="27"/>
  <c r="C439" i="27"/>
  <c r="B439" i="27"/>
  <c r="C438" i="27"/>
  <c r="B438" i="27"/>
  <c r="C437" i="27"/>
  <c r="B437" i="27"/>
  <c r="C435" i="27"/>
  <c r="B435" i="27"/>
  <c r="C434" i="27"/>
  <c r="B434" i="27"/>
  <c r="C433" i="27"/>
  <c r="B433" i="27"/>
  <c r="C432" i="27"/>
  <c r="B432" i="27"/>
  <c r="C430" i="27"/>
  <c r="B430" i="27"/>
  <c r="C429" i="27"/>
  <c r="B429" i="27"/>
  <c r="C428" i="27"/>
  <c r="B428" i="27"/>
  <c r="C427" i="27"/>
  <c r="B427" i="27"/>
  <c r="C426" i="27"/>
  <c r="B426" i="27"/>
  <c r="C425" i="27"/>
  <c r="B425" i="27"/>
  <c r="C424" i="27"/>
  <c r="B424" i="27"/>
  <c r="C423" i="27"/>
  <c r="B423" i="27"/>
  <c r="C422" i="27"/>
  <c r="B422" i="27"/>
  <c r="C421" i="27"/>
  <c r="B421" i="27"/>
  <c r="C420" i="27"/>
  <c r="B420" i="27"/>
  <c r="C419" i="27"/>
  <c r="B419" i="27"/>
  <c r="C418" i="27"/>
  <c r="B418" i="27"/>
  <c r="C417" i="27"/>
  <c r="B417" i="27"/>
  <c r="C416" i="27"/>
  <c r="B416" i="27"/>
  <c r="C415" i="27"/>
  <c r="B415" i="27"/>
  <c r="C414" i="27"/>
  <c r="B414" i="27"/>
  <c r="C413" i="27"/>
  <c r="B413" i="27"/>
  <c r="C412" i="27"/>
  <c r="B412" i="27"/>
  <c r="C411" i="27"/>
  <c r="B411" i="27"/>
  <c r="C410" i="27"/>
  <c r="B410" i="27"/>
  <c r="C408" i="27"/>
  <c r="B408" i="27"/>
  <c r="C407" i="27"/>
  <c r="B407" i="27"/>
  <c r="C405" i="27"/>
  <c r="B405" i="27"/>
  <c r="C404" i="27"/>
  <c r="B404" i="27"/>
  <c r="C403" i="27"/>
  <c r="B403" i="27"/>
  <c r="C402" i="27"/>
  <c r="B402" i="27"/>
  <c r="C401" i="27"/>
  <c r="B401" i="27"/>
  <c r="C399" i="27"/>
  <c r="B399" i="27"/>
  <c r="C398" i="27"/>
  <c r="B398" i="27"/>
  <c r="C397" i="27"/>
  <c r="B397" i="27"/>
  <c r="C396" i="27"/>
  <c r="B396" i="27"/>
  <c r="C395" i="27"/>
  <c r="B395" i="27"/>
  <c r="C394" i="27"/>
  <c r="B394" i="27"/>
  <c r="C393" i="27"/>
  <c r="B393" i="27"/>
  <c r="C392" i="27"/>
  <c r="B392" i="27"/>
  <c r="C391" i="27"/>
  <c r="B391" i="27"/>
  <c r="C390" i="27"/>
  <c r="B390" i="27"/>
  <c r="C388" i="27"/>
  <c r="B388" i="27"/>
  <c r="C387" i="27"/>
  <c r="B387" i="27"/>
  <c r="C386" i="27"/>
  <c r="B386" i="27"/>
  <c r="C384" i="27"/>
  <c r="B384" i="27"/>
  <c r="C383" i="27"/>
  <c r="B383" i="27"/>
  <c r="C382" i="27"/>
  <c r="B382" i="27"/>
  <c r="C381" i="27"/>
  <c r="B381" i="27"/>
  <c r="C380" i="27"/>
  <c r="B380" i="27"/>
  <c r="C379" i="27"/>
  <c r="B379" i="27"/>
  <c r="C377" i="27"/>
  <c r="B377" i="27"/>
  <c r="C376" i="27"/>
  <c r="B376" i="27"/>
  <c r="C375" i="27"/>
  <c r="B375" i="27"/>
  <c r="C374" i="27"/>
  <c r="B374" i="27"/>
  <c r="C373" i="27"/>
  <c r="B373" i="27"/>
  <c r="B350" i="27"/>
  <c r="C350" i="27"/>
  <c r="B351" i="27"/>
  <c r="C351" i="27"/>
  <c r="B353" i="27"/>
  <c r="C353" i="27"/>
  <c r="B354" i="27"/>
  <c r="C354" i="27"/>
  <c r="B355" i="27"/>
  <c r="C355" i="27"/>
  <c r="B356" i="27"/>
  <c r="C356" i="27"/>
  <c r="B357" i="27"/>
  <c r="C357" i="27"/>
  <c r="B359" i="27"/>
  <c r="C359" i="27"/>
  <c r="B360" i="27"/>
  <c r="C360" i="27"/>
  <c r="B362" i="27"/>
  <c r="C362" i="27"/>
  <c r="B363" i="27"/>
  <c r="C363" i="27"/>
  <c r="B364" i="27"/>
  <c r="C364" i="27"/>
  <c r="B365" i="27"/>
  <c r="C365" i="27"/>
  <c r="B367" i="27"/>
  <c r="C367" i="27"/>
  <c r="B368" i="27"/>
  <c r="C368" i="27"/>
  <c r="B370" i="27"/>
  <c r="C370" i="27"/>
  <c r="B371" i="27"/>
  <c r="C371" i="27"/>
  <c r="C349" i="27"/>
  <c r="B349" i="27"/>
  <c r="B283" i="27"/>
  <c r="C283" i="27"/>
  <c r="B284" i="27"/>
  <c r="C284" i="27"/>
  <c r="B285" i="27"/>
  <c r="C285" i="27"/>
  <c r="B286" i="27"/>
  <c r="C286" i="27"/>
  <c r="B287" i="27"/>
  <c r="C287" i="27"/>
  <c r="B288" i="27"/>
  <c r="C288" i="27"/>
  <c r="B289" i="27"/>
  <c r="C289" i="27"/>
  <c r="B290" i="27"/>
  <c r="C290" i="27"/>
  <c r="B291" i="27"/>
  <c r="C291" i="27"/>
  <c r="B292" i="27"/>
  <c r="C292" i="27"/>
  <c r="B293" i="27"/>
  <c r="C293" i="27"/>
  <c r="B294" i="27"/>
  <c r="C294" i="27"/>
  <c r="B295" i="27"/>
  <c r="C295" i="27"/>
  <c r="B296" i="27"/>
  <c r="C296" i="27"/>
  <c r="B297" i="27"/>
  <c r="C297" i="27"/>
  <c r="B299" i="27"/>
  <c r="C299" i="27"/>
  <c r="B300" i="27"/>
  <c r="C300" i="27"/>
  <c r="B301" i="27"/>
  <c r="C301" i="27"/>
  <c r="B302" i="27"/>
  <c r="C302" i="27"/>
  <c r="B303" i="27"/>
  <c r="C303" i="27"/>
  <c r="B304" i="27"/>
  <c r="C304" i="27"/>
  <c r="B306" i="27"/>
  <c r="C306" i="27"/>
  <c r="B307" i="27"/>
  <c r="C307" i="27"/>
  <c r="B308" i="27"/>
  <c r="C308" i="27"/>
  <c r="B309" i="27"/>
  <c r="C309" i="27"/>
  <c r="B310" i="27"/>
  <c r="C310" i="27"/>
  <c r="B311" i="27"/>
  <c r="C311" i="27"/>
  <c r="B313" i="27"/>
  <c r="C313" i="27"/>
  <c r="B314" i="27"/>
  <c r="C314" i="27"/>
  <c r="B315" i="27"/>
  <c r="C315" i="27"/>
  <c r="B316" i="27"/>
  <c r="C316" i="27"/>
  <c r="B317" i="27"/>
  <c r="C317" i="27"/>
  <c r="B318" i="27"/>
  <c r="C318" i="27"/>
  <c r="B320" i="27"/>
  <c r="C320" i="27"/>
  <c r="B321" i="27"/>
  <c r="C321" i="27"/>
  <c r="B322" i="27"/>
  <c r="C322" i="27"/>
  <c r="B323" i="27"/>
  <c r="C323" i="27"/>
  <c r="B325" i="27"/>
  <c r="C325" i="27"/>
  <c r="B326" i="27"/>
  <c r="C326" i="27"/>
  <c r="B327" i="27"/>
  <c r="C327" i="27"/>
  <c r="B328" i="27"/>
  <c r="C328" i="27"/>
  <c r="B329" i="27"/>
  <c r="C329" i="27"/>
  <c r="B331" i="27"/>
  <c r="C331" i="27"/>
  <c r="B332" i="27"/>
  <c r="C332" i="27"/>
  <c r="B333" i="27"/>
  <c r="C333" i="27"/>
  <c r="B334" i="27"/>
  <c r="C334" i="27"/>
  <c r="B335" i="27"/>
  <c r="C335" i="27"/>
  <c r="B336" i="27"/>
  <c r="C336" i="27"/>
  <c r="B337" i="27"/>
  <c r="C337" i="27"/>
  <c r="B339" i="27"/>
  <c r="C339" i="27"/>
  <c r="B340" i="27"/>
  <c r="C340" i="27"/>
  <c r="B341" i="27"/>
  <c r="C341" i="27"/>
  <c r="B343" i="27"/>
  <c r="C343" i="27"/>
  <c r="B344" i="27"/>
  <c r="C344" i="27"/>
  <c r="B345" i="27"/>
  <c r="C345" i="27"/>
  <c r="B346" i="27"/>
  <c r="C346" i="27"/>
  <c r="B347" i="27"/>
  <c r="C347" i="27"/>
  <c r="C282" i="27"/>
  <c r="B282" i="27"/>
  <c r="B131" i="27"/>
  <c r="C131" i="27"/>
  <c r="B132" i="27"/>
  <c r="C132" i="27"/>
  <c r="B133" i="27"/>
  <c r="C133" i="27"/>
  <c r="B135" i="27"/>
  <c r="C135" i="27"/>
  <c r="B136" i="27"/>
  <c r="C136" i="27"/>
  <c r="B137" i="27"/>
  <c r="C137" i="27"/>
  <c r="B138" i="27"/>
  <c r="C138" i="27"/>
  <c r="B139" i="27"/>
  <c r="C139" i="27"/>
  <c r="B140" i="27"/>
  <c r="C140" i="27"/>
  <c r="B141" i="27"/>
  <c r="C141" i="27"/>
  <c r="B142" i="27"/>
  <c r="C142" i="27"/>
  <c r="B143" i="27"/>
  <c r="C143" i="27"/>
  <c r="B144" i="27"/>
  <c r="C144" i="27"/>
  <c r="B145" i="27"/>
  <c r="C145" i="27"/>
  <c r="B146" i="27"/>
  <c r="C146" i="27"/>
  <c r="B147" i="27"/>
  <c r="C147" i="27"/>
  <c r="B148" i="27"/>
  <c r="C148" i="27"/>
  <c r="B150" i="27"/>
  <c r="C150" i="27"/>
  <c r="B151" i="27"/>
  <c r="C151" i="27"/>
  <c r="B152" i="27"/>
  <c r="C152" i="27"/>
  <c r="B153" i="27"/>
  <c r="C153" i="27"/>
  <c r="B154" i="27"/>
  <c r="C154" i="27"/>
  <c r="B155" i="27"/>
  <c r="C155" i="27"/>
  <c r="B156" i="27"/>
  <c r="C156" i="27"/>
  <c r="B158" i="27"/>
  <c r="C158" i="27"/>
  <c r="B159" i="27"/>
  <c r="C159" i="27"/>
  <c r="B160" i="27"/>
  <c r="C160" i="27"/>
  <c r="B161" i="27"/>
  <c r="C161" i="27"/>
  <c r="B162" i="27"/>
  <c r="C162" i="27"/>
  <c r="B164" i="27"/>
  <c r="C164" i="27"/>
  <c r="B165" i="27"/>
  <c r="C165" i="27"/>
  <c r="B166" i="27"/>
  <c r="C166" i="27"/>
  <c r="B167" i="27"/>
  <c r="C167" i="27"/>
  <c r="B169" i="27"/>
  <c r="C169" i="27"/>
  <c r="B170" i="27"/>
  <c r="C170" i="27"/>
  <c r="B171" i="27"/>
  <c r="C171" i="27"/>
  <c r="B172" i="27"/>
  <c r="C172" i="27"/>
  <c r="B173" i="27"/>
  <c r="C173" i="27"/>
  <c r="B174" i="27"/>
  <c r="C174" i="27"/>
  <c r="B175" i="27"/>
  <c r="C175" i="27"/>
  <c r="B176" i="27"/>
  <c r="C176" i="27"/>
  <c r="B177" i="27"/>
  <c r="C177" i="27"/>
  <c r="B179" i="27"/>
  <c r="C179" i="27"/>
  <c r="B180" i="27"/>
  <c r="C180" i="27"/>
  <c r="B181" i="27"/>
  <c r="C181" i="27"/>
  <c r="B182" i="27"/>
  <c r="C182" i="27"/>
  <c r="B184" i="27"/>
  <c r="C184" i="27"/>
  <c r="B185" i="27"/>
  <c r="C185" i="27"/>
  <c r="B186" i="27"/>
  <c r="C186" i="27"/>
  <c r="B187" i="27"/>
  <c r="C187" i="27"/>
  <c r="B188" i="27"/>
  <c r="C188" i="27"/>
  <c r="B189" i="27"/>
  <c r="C189" i="27"/>
  <c r="B191" i="27"/>
  <c r="C191" i="27"/>
  <c r="B192" i="27"/>
  <c r="C192" i="27"/>
  <c r="B193" i="27"/>
  <c r="C193" i="27"/>
  <c r="B194" i="27"/>
  <c r="C194" i="27"/>
  <c r="B195" i="27"/>
  <c r="C195" i="27"/>
  <c r="B196" i="27"/>
  <c r="C196" i="27"/>
  <c r="B197" i="27"/>
  <c r="C197" i="27"/>
  <c r="B198" i="27"/>
  <c r="C198" i="27"/>
  <c r="B199" i="27"/>
  <c r="C199" i="27"/>
  <c r="B200" i="27"/>
  <c r="C200" i="27"/>
  <c r="B201" i="27"/>
  <c r="C201" i="27"/>
  <c r="B203" i="27"/>
  <c r="C203" i="27"/>
  <c r="B204" i="27"/>
  <c r="C204" i="27"/>
  <c r="B205" i="27"/>
  <c r="C205" i="27"/>
  <c r="B206" i="27"/>
  <c r="C206" i="27"/>
  <c r="C130" i="27"/>
  <c r="B130" i="27"/>
  <c r="B47" i="27"/>
  <c r="B48" i="27"/>
  <c r="B49" i="27"/>
  <c r="B50" i="27"/>
  <c r="B51" i="27"/>
  <c r="B52" i="27"/>
  <c r="B53" i="27"/>
  <c r="B54" i="27"/>
  <c r="B56" i="27"/>
  <c r="B57" i="27"/>
  <c r="B58" i="27"/>
  <c r="B59" i="27"/>
  <c r="B60" i="27"/>
  <c r="B61" i="27"/>
  <c r="B62" i="27"/>
  <c r="B63" i="27"/>
  <c r="B64" i="27"/>
  <c r="B65" i="27"/>
  <c r="B66" i="27"/>
  <c r="B67" i="27"/>
  <c r="B68" i="27"/>
  <c r="B69" i="27"/>
  <c r="B71" i="27"/>
  <c r="B72" i="27"/>
  <c r="B73" i="27"/>
  <c r="B74" i="27"/>
  <c r="B75" i="27"/>
  <c r="B76" i="27"/>
  <c r="B77" i="27"/>
  <c r="B78" i="27"/>
  <c r="B79" i="27"/>
  <c r="B80" i="27"/>
  <c r="B81" i="27"/>
  <c r="B82" i="27"/>
  <c r="B83" i="27"/>
  <c r="B84" i="27"/>
  <c r="B85" i="27"/>
  <c r="B86" i="27"/>
  <c r="B87" i="27"/>
  <c r="B88" i="27"/>
  <c r="B89" i="27"/>
  <c r="B90" i="27"/>
  <c r="B91" i="27"/>
  <c r="B92" i="27"/>
  <c r="B93" i="27"/>
  <c r="B95" i="27"/>
  <c r="B96" i="27"/>
  <c r="B97" i="27"/>
  <c r="B98" i="27"/>
  <c r="B99" i="27"/>
  <c r="B100" i="27"/>
  <c r="B101" i="27"/>
  <c r="B103" i="27"/>
  <c r="B104" i="27"/>
  <c r="B105" i="27"/>
  <c r="B106" i="27"/>
  <c r="B107" i="27"/>
  <c r="B108" i="27"/>
  <c r="B110" i="27"/>
  <c r="B111" i="27"/>
  <c r="B112" i="27"/>
  <c r="B113" i="27"/>
  <c r="B114" i="27"/>
  <c r="B115" i="27"/>
  <c r="B116" i="27"/>
  <c r="B117" i="27"/>
  <c r="B118" i="27"/>
  <c r="B120" i="27"/>
  <c r="B121" i="27"/>
  <c r="B122" i="27"/>
  <c r="B123" i="27"/>
  <c r="B124" i="27"/>
  <c r="B125" i="27"/>
  <c r="B126" i="27"/>
  <c r="B127" i="27"/>
  <c r="B128" i="27"/>
  <c r="B46" i="27"/>
  <c r="A5" i="27"/>
  <c r="A6" i="27"/>
  <c r="A7" i="27"/>
  <c r="A8" i="27"/>
  <c r="A9" i="27"/>
  <c r="A10" i="27"/>
  <c r="A11" i="27"/>
  <c r="A12" i="27"/>
  <c r="A13" i="27"/>
  <c r="A14" i="27"/>
  <c r="A15"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208" i="27"/>
  <c r="A218" i="27"/>
  <c r="A227" i="27"/>
  <c r="A229" i="27"/>
  <c r="A238" i="27"/>
  <c r="A239" i="27"/>
  <c r="A240" i="27"/>
  <c r="A242" i="27"/>
  <c r="A246" i="27"/>
  <c r="A254" i="27"/>
  <c r="A263" i="27"/>
  <c r="A264" i="27"/>
  <c r="A265" i="27"/>
  <c r="A268" i="27"/>
  <c r="A277" i="27"/>
  <c r="A278" i="27"/>
  <c r="A279" i="27"/>
  <c r="A280" i="27"/>
  <c r="A209" i="27"/>
  <c r="A219" i="27"/>
  <c r="A230" i="27"/>
  <c r="A243" i="27"/>
  <c r="A247" i="27"/>
  <c r="A255" i="27"/>
  <c r="A269" i="27"/>
  <c r="A210" i="27"/>
  <c r="A220" i="27"/>
  <c r="A231" i="27"/>
  <c r="A244" i="27"/>
  <c r="A248" i="27"/>
  <c r="A256" i="27"/>
  <c r="A270" i="27"/>
  <c r="A211" i="27"/>
  <c r="A221" i="27"/>
  <c r="A232" i="27"/>
  <c r="A249" i="27"/>
  <c r="A257" i="27"/>
  <c r="A271" i="27"/>
  <c r="A212" i="27"/>
  <c r="A222" i="27"/>
  <c r="A233" i="27"/>
  <c r="A250" i="27"/>
  <c r="A258" i="27"/>
  <c r="A272" i="27"/>
  <c r="A213" i="27"/>
  <c r="A223" i="27"/>
  <c r="A234" i="27"/>
  <c r="A251" i="27"/>
  <c r="A259" i="27"/>
  <c r="A273" i="27"/>
  <c r="A214" i="27"/>
  <c r="A224" i="27"/>
  <c r="A235" i="27"/>
  <c r="A252" i="27"/>
  <c r="A260" i="27"/>
  <c r="A274" i="27"/>
  <c r="A215" i="27"/>
  <c r="A225" i="27"/>
  <c r="A236" i="27"/>
  <c r="A261" i="27"/>
  <c r="A275" i="27"/>
  <c r="A216" i="27"/>
  <c r="A226" i="27"/>
  <c r="A237" i="27"/>
  <c r="A262" i="27"/>
  <c r="A276" i="27"/>
  <c r="A266" i="27"/>
  <c r="A46" i="27"/>
  <c r="A47" i="27"/>
  <c r="A48" i="27"/>
  <c r="A49" i="27"/>
  <c r="A50" i="27"/>
  <c r="A51" i="27"/>
  <c r="A52" i="27"/>
  <c r="A53" i="27"/>
  <c r="A54" i="27"/>
  <c r="A56" i="27"/>
  <c r="A57" i="27"/>
  <c r="A58" i="27"/>
  <c r="A59" i="27"/>
  <c r="A60" i="27"/>
  <c r="A61" i="27"/>
  <c r="A62" i="27"/>
  <c r="A63" i="27"/>
  <c r="A64" i="27"/>
  <c r="A65" i="27"/>
  <c r="A66" i="27"/>
  <c r="A67" i="27"/>
  <c r="A68" i="27"/>
  <c r="A69" i="27"/>
  <c r="A71" i="27"/>
  <c r="A72" i="27"/>
  <c r="A73" i="27"/>
  <c r="A74" i="27"/>
  <c r="A75" i="27"/>
  <c r="A76" i="27"/>
  <c r="A77" i="27"/>
  <c r="A78" i="27"/>
  <c r="A79" i="27"/>
  <c r="A80" i="27"/>
  <c r="A81" i="27"/>
  <c r="A82" i="27"/>
  <c r="A83" i="27"/>
  <c r="A84" i="27"/>
  <c r="A85" i="27"/>
  <c r="A86" i="27"/>
  <c r="A87" i="27"/>
  <c r="A88" i="27"/>
  <c r="A89" i="27"/>
  <c r="A90" i="27"/>
  <c r="A91" i="27"/>
  <c r="A92" i="27"/>
  <c r="A93" i="27"/>
  <c r="A95" i="27"/>
  <c r="A96" i="27"/>
  <c r="A97" i="27"/>
  <c r="A98" i="27"/>
  <c r="A99" i="27"/>
  <c r="A100" i="27"/>
  <c r="A101" i="27"/>
  <c r="A103" i="27"/>
  <c r="A104" i="27"/>
  <c r="A105" i="27"/>
  <c r="A106" i="27"/>
  <c r="A107" i="27"/>
  <c r="A108" i="27"/>
  <c r="A110" i="27"/>
  <c r="A111" i="27"/>
  <c r="A112" i="27"/>
  <c r="A113" i="27"/>
  <c r="A114" i="27"/>
  <c r="A115" i="27"/>
  <c r="A116" i="27"/>
  <c r="A117" i="27"/>
  <c r="A118" i="27"/>
  <c r="A120" i="27"/>
  <c r="A121" i="27"/>
  <c r="A122" i="27"/>
  <c r="A123" i="27"/>
  <c r="A124" i="27"/>
  <c r="A125" i="27"/>
  <c r="A126" i="27"/>
  <c r="A127" i="27"/>
  <c r="A128" i="27"/>
  <c r="A130" i="27"/>
  <c r="A131" i="27"/>
  <c r="A132" i="27"/>
  <c r="A133" i="27"/>
  <c r="A135" i="27"/>
  <c r="A136" i="27"/>
  <c r="A137" i="27"/>
  <c r="A138" i="27"/>
  <c r="A139" i="27"/>
  <c r="A140" i="27"/>
  <c r="A141" i="27"/>
  <c r="A142" i="27"/>
  <c r="A143" i="27"/>
  <c r="A144" i="27"/>
  <c r="A145" i="27"/>
  <c r="A146" i="27"/>
  <c r="A147" i="27"/>
  <c r="A148" i="27"/>
  <c r="A150" i="27"/>
  <c r="A151" i="27"/>
  <c r="A152" i="27"/>
  <c r="A153" i="27"/>
  <c r="A154" i="27"/>
  <c r="A155" i="27"/>
  <c r="A156" i="27"/>
  <c r="A158" i="27"/>
  <c r="A159" i="27"/>
  <c r="A160" i="27"/>
  <c r="A161" i="27"/>
  <c r="A162" i="27"/>
  <c r="A164" i="27"/>
  <c r="A165" i="27"/>
  <c r="A166" i="27"/>
  <c r="A167" i="27"/>
  <c r="A169" i="27"/>
  <c r="A170" i="27"/>
  <c r="A171" i="27"/>
  <c r="A172" i="27"/>
  <c r="A173" i="27"/>
  <c r="A174" i="27"/>
  <c r="A175" i="27"/>
  <c r="A176" i="27"/>
  <c r="A177" i="27"/>
  <c r="A179" i="27"/>
  <c r="A180" i="27"/>
  <c r="A181" i="27"/>
  <c r="A182" i="27"/>
  <c r="A184" i="27"/>
  <c r="A185" i="27"/>
  <c r="A186" i="27"/>
  <c r="A187" i="27"/>
  <c r="A188" i="27"/>
  <c r="A189" i="27"/>
  <c r="A191" i="27"/>
  <c r="A192" i="27"/>
  <c r="A193" i="27"/>
  <c r="A194" i="27"/>
  <c r="A195" i="27"/>
  <c r="A196" i="27"/>
  <c r="A197" i="27"/>
  <c r="A198" i="27"/>
  <c r="A199" i="27"/>
  <c r="A200" i="27"/>
  <c r="A201" i="27"/>
  <c r="A203" i="27"/>
  <c r="A204" i="27"/>
  <c r="A205" i="27"/>
  <c r="A206" i="27"/>
  <c r="A282" i="27"/>
  <c r="A283" i="27"/>
  <c r="A284" i="27"/>
  <c r="A285" i="27"/>
  <c r="A286" i="27"/>
  <c r="A287" i="27"/>
  <c r="A288" i="27"/>
  <c r="A289" i="27"/>
  <c r="A290" i="27"/>
  <c r="A291" i="27"/>
  <c r="A292" i="27"/>
  <c r="A293" i="27"/>
  <c r="A294" i="27"/>
  <c r="A295" i="27"/>
  <c r="A296" i="27"/>
  <c r="A297" i="27"/>
  <c r="A299" i="27"/>
  <c r="A300" i="27"/>
  <c r="A301" i="27"/>
  <c r="A302" i="27"/>
  <c r="A303" i="27"/>
  <c r="A304" i="27"/>
  <c r="A306" i="27"/>
  <c r="A307" i="27"/>
  <c r="A308" i="27"/>
  <c r="A309" i="27"/>
  <c r="A310" i="27"/>
  <c r="A311" i="27"/>
  <c r="A313" i="27"/>
  <c r="A314" i="27"/>
  <c r="A315" i="27"/>
  <c r="A316" i="27"/>
  <c r="A317" i="27"/>
  <c r="A318" i="27"/>
  <c r="A320" i="27"/>
  <c r="A321" i="27"/>
  <c r="A322" i="27"/>
  <c r="A323" i="27"/>
  <c r="A325" i="27"/>
  <c r="A326" i="27"/>
  <c r="A327" i="27"/>
  <c r="A328" i="27"/>
  <c r="A329" i="27"/>
  <c r="A331" i="27"/>
  <c r="A332" i="27"/>
  <c r="A333" i="27"/>
  <c r="A334" i="27"/>
  <c r="A335" i="27"/>
  <c r="A336" i="27"/>
  <c r="A337" i="27"/>
  <c r="A339" i="27"/>
  <c r="A340" i="27"/>
  <c r="A341" i="27"/>
  <c r="A343" i="27"/>
  <c r="A344" i="27"/>
  <c r="A345" i="27"/>
  <c r="A346" i="27"/>
  <c r="A347" i="27"/>
  <c r="A349" i="27"/>
  <c r="A350" i="27"/>
  <c r="A351" i="27"/>
  <c r="A353" i="27"/>
  <c r="A354" i="27"/>
  <c r="A355" i="27"/>
  <c r="A356" i="27"/>
  <c r="A357" i="27"/>
  <c r="A359" i="27"/>
  <c r="A360" i="27"/>
  <c r="A362" i="27"/>
  <c r="A363" i="27"/>
  <c r="A364" i="27"/>
  <c r="A365" i="27"/>
  <c r="A367" i="27"/>
  <c r="A368" i="27"/>
  <c r="A370" i="27"/>
  <c r="A371" i="27"/>
  <c r="A373" i="27"/>
  <c r="A374" i="27"/>
  <c r="A375" i="27"/>
  <c r="A376" i="27"/>
  <c r="A377" i="27"/>
  <c r="A379" i="27"/>
  <c r="A380" i="27"/>
  <c r="A381" i="27"/>
  <c r="A382" i="27"/>
  <c r="A383" i="27"/>
  <c r="A384" i="27"/>
  <c r="A386" i="27"/>
  <c r="A387" i="27"/>
  <c r="A388" i="27"/>
  <c r="A390" i="27"/>
  <c r="A391" i="27"/>
  <c r="A392" i="27"/>
  <c r="A393" i="27"/>
  <c r="A394" i="27"/>
  <c r="A395" i="27"/>
  <c r="A396" i="27"/>
  <c r="A397" i="27"/>
  <c r="A398" i="27"/>
  <c r="A399" i="27"/>
  <c r="A401" i="27"/>
  <c r="A402" i="27"/>
  <c r="A403" i="27"/>
  <c r="A404" i="27"/>
  <c r="A405" i="27"/>
  <c r="A407" i="27"/>
  <c r="A408" i="27"/>
  <c r="A410" i="27"/>
  <c r="A411" i="27"/>
  <c r="A412" i="27"/>
  <c r="A413" i="27"/>
  <c r="A414" i="27"/>
  <c r="A415" i="27"/>
  <c r="A416" i="27"/>
  <c r="A417" i="27"/>
  <c r="A418" i="27"/>
  <c r="A419" i="27"/>
  <c r="A420" i="27"/>
  <c r="A421" i="27"/>
  <c r="A422" i="27"/>
  <c r="A423" i="27"/>
  <c r="A424" i="27"/>
  <c r="A425" i="27"/>
  <c r="A426" i="27"/>
  <c r="A427" i="27"/>
  <c r="A428" i="27"/>
  <c r="A429" i="27"/>
  <c r="A430" i="27"/>
  <c r="A432" i="27"/>
  <c r="A433" i="27"/>
  <c r="A434" i="27"/>
  <c r="A435" i="27"/>
  <c r="A437" i="27"/>
  <c r="A438" i="27"/>
  <c r="A439" i="27"/>
  <c r="A440" i="27"/>
  <c r="A442" i="27"/>
  <c r="A443" i="27"/>
  <c r="A444" i="27"/>
  <c r="A445" i="27"/>
  <c r="A447" i="27"/>
  <c r="A448" i="27"/>
  <c r="A450" i="27"/>
  <c r="A451" i="27"/>
  <c r="A452" i="27"/>
  <c r="A454" i="27"/>
  <c r="A455" i="27"/>
  <c r="A456" i="27"/>
  <c r="A457" i="27"/>
  <c r="A459" i="27"/>
  <c r="A460" i="27"/>
  <c r="A461" i="27"/>
  <c r="A462" i="27"/>
  <c r="A464" i="27"/>
  <c r="A465" i="27"/>
  <c r="A466" i="27"/>
  <c r="A467" i="27"/>
  <c r="A468" i="27"/>
  <c r="A469" i="27"/>
  <c r="A470" i="27"/>
  <c r="A471" i="27"/>
  <c r="A472" i="27"/>
  <c r="A473" i="27"/>
  <c r="A474" i="27"/>
  <c r="A475" i="27"/>
  <c r="A477" i="27"/>
  <c r="A478" i="27"/>
  <c r="A479" i="27"/>
  <c r="A481" i="27"/>
  <c r="A482" i="27"/>
  <c r="A483" i="27"/>
  <c r="A484" i="27"/>
  <c r="A485" i="27"/>
  <c r="A486" i="27"/>
  <c r="A487" i="27"/>
  <c r="A488" i="27"/>
  <c r="A489" i="27"/>
  <c r="A490" i="27"/>
  <c r="A491" i="27"/>
  <c r="A493" i="27"/>
  <c r="A494" i="27"/>
  <c r="A495" i="27"/>
  <c r="A496" i="27"/>
  <c r="A497" i="27"/>
  <c r="A498" i="27"/>
  <c r="A499" i="27"/>
  <c r="A500" i="27"/>
  <c r="A501" i="27"/>
  <c r="A502" i="27"/>
  <c r="A503" i="27"/>
  <c r="A505" i="27"/>
  <c r="A506" i="27"/>
  <c r="A507" i="27"/>
  <c r="A508" i="27"/>
  <c r="A510" i="27"/>
  <c r="A511" i="27"/>
  <c r="A512" i="27"/>
  <c r="A513" i="27"/>
  <c r="A514" i="27"/>
  <c r="A515" i="27"/>
  <c r="A516" i="27"/>
  <c r="A517" i="27"/>
  <c r="A519" i="27"/>
  <c r="A520" i="27"/>
  <c r="A521" i="27"/>
  <c r="A522" i="27"/>
  <c r="A523" i="27"/>
  <c r="A524" i="27"/>
  <c r="A525" i="27"/>
  <c r="A527" i="27"/>
  <c r="A528" i="27"/>
  <c r="A530" i="27"/>
  <c r="A531" i="27"/>
  <c r="A532" i="27"/>
  <c r="A533" i="27"/>
  <c r="A534" i="27"/>
  <c r="A536" i="27"/>
  <c r="A537" i="27"/>
  <c r="A538" i="27"/>
  <c r="A539" i="27"/>
  <c r="A541" i="27"/>
  <c r="A542" i="27"/>
  <c r="A543" i="27"/>
  <c r="A544" i="27"/>
  <c r="A545" i="27"/>
  <c r="A546" i="27"/>
  <c r="A547" i="27"/>
  <c r="A549" i="27"/>
  <c r="A550" i="27"/>
  <c r="A551" i="27"/>
  <c r="A553" i="27"/>
  <c r="A554" i="27"/>
  <c r="A555" i="27"/>
  <c r="A556" i="27"/>
  <c r="A558" i="27"/>
  <c r="A559" i="27"/>
  <c r="A561" i="27"/>
  <c r="A562" i="27"/>
  <c r="A563" i="27"/>
  <c r="A565" i="27"/>
  <c r="A566" i="27"/>
  <c r="A567" i="27"/>
  <c r="A568" i="27"/>
  <c r="A569" i="27"/>
  <c r="A570" i="27"/>
  <c r="A572" i="27"/>
  <c r="A573" i="27"/>
  <c r="A574" i="27"/>
  <c r="A575" i="27"/>
  <c r="A576" i="27"/>
  <c r="A577" i="27"/>
  <c r="A579" i="27"/>
  <c r="A580" i="27"/>
  <c r="A581" i="27"/>
  <c r="A582" i="27"/>
  <c r="A584" i="27"/>
  <c r="A585" i="27"/>
  <c r="A586" i="27"/>
  <c r="A587" i="27"/>
  <c r="A588" i="27"/>
  <c r="A590" i="27"/>
  <c r="A591" i="27"/>
  <c r="A592" i="27"/>
  <c r="A593" i="27"/>
  <c r="A594" i="27"/>
  <c r="A596" i="27"/>
  <c r="A597" i="27"/>
  <c r="A598" i="27"/>
  <c r="A599" i="27"/>
  <c r="A601" i="27"/>
  <c r="A602" i="27"/>
  <c r="A603" i="27"/>
  <c r="A604" i="27"/>
  <c r="A605" i="27"/>
  <c r="A606" i="27"/>
  <c r="A607" i="27"/>
  <c r="A609" i="27"/>
  <c r="A610" i="27"/>
  <c r="A612" i="27"/>
  <c r="A613" i="27"/>
  <c r="A614" i="27"/>
  <c r="A615" i="27"/>
  <c r="A616" i="27"/>
  <c r="A618" i="27"/>
  <c r="A619" i="27"/>
  <c r="A620" i="27"/>
  <c r="A621" i="27"/>
  <c r="A622" i="27"/>
  <c r="A624" i="27"/>
  <c r="A625" i="27"/>
  <c r="A626" i="27"/>
  <c r="A627" i="27"/>
  <c r="A628" i="27"/>
  <c r="A629" i="27"/>
  <c r="A630" i="27"/>
  <c r="A632" i="27"/>
  <c r="A633" i="27"/>
  <c r="A634" i="27"/>
  <c r="A635" i="27"/>
  <c r="A636" i="27"/>
  <c r="A637" i="27"/>
  <c r="A639" i="27"/>
  <c r="A640" i="27"/>
  <c r="A642" i="27"/>
  <c r="A643" i="27"/>
  <c r="A644" i="27"/>
  <c r="A645" i="27"/>
  <c r="A646" i="27"/>
  <c r="A647" i="27"/>
  <c r="A648" i="27"/>
  <c r="A649" i="27"/>
  <c r="A650" i="27"/>
  <c r="A652" i="27"/>
  <c r="A653" i="27"/>
  <c r="A654" i="27"/>
  <c r="A655" i="27"/>
  <c r="A656" i="27"/>
  <c r="A657" i="27"/>
  <c r="A658" i="27"/>
  <c r="A659" i="27"/>
  <c r="A661" i="27"/>
  <c r="A662" i="27"/>
  <c r="A664" i="27"/>
  <c r="A665" i="27"/>
  <c r="A666" i="27"/>
  <c r="A667" i="27"/>
  <c r="A669" i="27"/>
  <c r="A670" i="27"/>
  <c r="A671" i="27"/>
  <c r="A672" i="27"/>
  <c r="A673" i="27"/>
  <c r="A674" i="27"/>
  <c r="A675" i="27"/>
  <c r="A676" i="27"/>
  <c r="A678" i="27"/>
  <c r="A679" i="27"/>
  <c r="A680" i="27"/>
  <c r="A681" i="27"/>
  <c r="A683" i="27"/>
  <c r="A685" i="27"/>
  <c r="A686" i="27"/>
  <c r="A687" i="27"/>
  <c r="A688" i="27"/>
  <c r="A690" i="27"/>
  <c r="A691" i="27"/>
  <c r="A692" i="27"/>
  <c r="A693" i="27"/>
  <c r="A695" i="27"/>
  <c r="A696" i="27"/>
  <c r="A697" i="27"/>
  <c r="A698" i="27"/>
  <c r="A700" i="27"/>
  <c r="A701" i="27"/>
  <c r="A703" i="27"/>
  <c r="A704" i="27"/>
  <c r="A705" i="27"/>
  <c r="A706" i="27"/>
  <c r="A708" i="27"/>
  <c r="A709" i="27"/>
  <c r="A710" i="27"/>
  <c r="A711" i="27"/>
  <c r="A712" i="27"/>
  <c r="A713" i="27"/>
  <c r="A714" i="27"/>
  <c r="A716" i="27"/>
  <c r="A717" i="27"/>
  <c r="A718" i="27"/>
  <c r="A719" i="27"/>
  <c r="A720" i="27"/>
  <c r="A721" i="27"/>
  <c r="A722" i="27"/>
  <c r="A724" i="27"/>
  <c r="A725" i="27"/>
  <c r="A726" i="27"/>
  <c r="A727" i="27"/>
  <c r="A728" i="27"/>
  <c r="A729" i="27"/>
  <c r="A730" i="27"/>
  <c r="A732" i="27"/>
  <c r="A733" i="27"/>
  <c r="A734" i="27"/>
  <c r="A735" i="27"/>
  <c r="A736" i="27"/>
  <c r="A738" i="27"/>
  <c r="A739" i="27"/>
  <c r="A740" i="27"/>
  <c r="A741" i="27"/>
  <c r="A743" i="27"/>
  <c r="A744" i="27"/>
  <c r="A745" i="27"/>
  <c r="A746" i="27"/>
  <c r="A747" i="27"/>
  <c r="A748" i="27"/>
  <c r="A749" i="27"/>
  <c r="A750" i="27"/>
  <c r="A752" i="27"/>
  <c r="A753" i="27"/>
  <c r="A754" i="27"/>
  <c r="A755" i="27"/>
  <c r="A756" i="27"/>
  <c r="A757" i="27"/>
  <c r="A759" i="27"/>
  <c r="A760" i="27"/>
  <c r="A761" i="27"/>
  <c r="A763" i="27"/>
  <c r="A764" i="27"/>
  <c r="A766" i="27"/>
  <c r="A767" i="27"/>
  <c r="A768" i="27"/>
  <c r="A770" i="27"/>
  <c r="A771" i="27"/>
  <c r="A772" i="27"/>
  <c r="A774" i="27"/>
  <c r="A775" i="27"/>
  <c r="A776" i="27"/>
  <c r="A778" i="27"/>
  <c r="A779" i="27"/>
  <c r="A780" i="27"/>
  <c r="A782" i="27"/>
  <c r="A783" i="27"/>
  <c r="A785" i="27"/>
  <c r="A786" i="27"/>
  <c r="A787" i="27"/>
  <c r="A788" i="27"/>
  <c r="A789" i="27"/>
  <c r="A791" i="27"/>
  <c r="A792" i="27"/>
  <c r="A793" i="27"/>
  <c r="A794" i="27"/>
  <c r="A795" i="27"/>
  <c r="A796" i="27"/>
  <c r="A797" i="27"/>
  <c r="A799" i="27"/>
  <c r="A800" i="27"/>
  <c r="A801" i="27"/>
  <c r="A803" i="27"/>
  <c r="A804" i="27"/>
  <c r="A805" i="27"/>
  <c r="A806" i="27"/>
  <c r="A807" i="27"/>
  <c r="A808" i="27"/>
  <c r="A809" i="27"/>
  <c r="A810" i="27"/>
  <c r="A811" i="27"/>
  <c r="A812" i="27"/>
  <c r="A813" i="27"/>
  <c r="B219" i="27"/>
  <c r="C219" i="27"/>
  <c r="B230" i="27"/>
  <c r="C230" i="27"/>
  <c r="B243" i="27"/>
  <c r="C243" i="27"/>
  <c r="B247" i="27"/>
  <c r="C247" i="27"/>
  <c r="B255" i="27"/>
  <c r="C255" i="27"/>
  <c r="B269" i="27"/>
  <c r="C269" i="27"/>
  <c r="B210" i="27"/>
  <c r="C210" i="27"/>
  <c r="B220" i="27"/>
  <c r="C220" i="27"/>
  <c r="B231" i="27"/>
  <c r="C231" i="27"/>
  <c r="B244" i="27"/>
  <c r="C244" i="27"/>
  <c r="B248" i="27"/>
  <c r="C248" i="27"/>
  <c r="B256" i="27"/>
  <c r="C256" i="27"/>
  <c r="B270" i="27"/>
  <c r="C270" i="27"/>
  <c r="B211" i="27"/>
  <c r="C211" i="27"/>
  <c r="B221" i="27"/>
  <c r="C221" i="27"/>
  <c r="B232" i="27"/>
  <c r="C232" i="27"/>
  <c r="B249" i="27"/>
  <c r="C249" i="27"/>
  <c r="B257" i="27"/>
  <c r="C257" i="27"/>
  <c r="B271" i="27"/>
  <c r="C271" i="27"/>
  <c r="B212" i="27"/>
  <c r="C212" i="27"/>
  <c r="B222" i="27"/>
  <c r="C222" i="27"/>
  <c r="B233" i="27"/>
  <c r="C233" i="27"/>
  <c r="B250" i="27"/>
  <c r="C250" i="27"/>
  <c r="B258" i="27"/>
  <c r="C258" i="27"/>
  <c r="B272" i="27"/>
  <c r="C272" i="27"/>
  <c r="B213" i="27"/>
  <c r="C213" i="27"/>
  <c r="B223" i="27"/>
  <c r="C223" i="27"/>
  <c r="B234" i="27"/>
  <c r="C234" i="27"/>
  <c r="B251" i="27"/>
  <c r="C251" i="27"/>
  <c r="B259" i="27"/>
  <c r="C259" i="27"/>
  <c r="B273" i="27"/>
  <c r="C273" i="27"/>
  <c r="B214" i="27"/>
  <c r="C214" i="27"/>
  <c r="B224" i="27"/>
  <c r="C224" i="27"/>
  <c r="B235" i="27"/>
  <c r="C235" i="27"/>
  <c r="B252" i="27"/>
  <c r="C252" i="27"/>
  <c r="B260" i="27"/>
  <c r="C260" i="27"/>
  <c r="B274" i="27"/>
  <c r="C274" i="27"/>
  <c r="B215" i="27"/>
  <c r="C215" i="27"/>
  <c r="B225" i="27"/>
  <c r="C225" i="27"/>
  <c r="B236" i="27"/>
  <c r="C236" i="27"/>
  <c r="B261" i="27"/>
  <c r="C261" i="27"/>
  <c r="B275" i="27"/>
  <c r="C275" i="27"/>
  <c r="B216" i="27"/>
  <c r="C216" i="27"/>
  <c r="B226" i="27"/>
  <c r="C226" i="27"/>
  <c r="B237" i="27"/>
  <c r="C237" i="27"/>
  <c r="B262" i="27"/>
  <c r="C262" i="27"/>
  <c r="B276" i="27"/>
  <c r="C276" i="27"/>
  <c r="B266" i="27"/>
  <c r="C266" i="27"/>
  <c r="B218" i="27"/>
  <c r="C218" i="27"/>
  <c r="B227" i="27"/>
  <c r="C227" i="27"/>
  <c r="B229" i="27"/>
  <c r="C229" i="27"/>
  <c r="B238" i="27"/>
  <c r="C238" i="27"/>
  <c r="B239" i="27"/>
  <c r="C239" i="27"/>
  <c r="B240" i="27"/>
  <c r="C240" i="27"/>
  <c r="B242" i="27"/>
  <c r="C242" i="27"/>
  <c r="B246" i="27"/>
  <c r="C246" i="27"/>
  <c r="B254" i="27"/>
  <c r="C254" i="27"/>
  <c r="B263" i="27"/>
  <c r="C263" i="27"/>
  <c r="B264" i="27"/>
  <c r="C264" i="27"/>
  <c r="B265" i="27"/>
  <c r="C265" i="27"/>
  <c r="B268" i="27"/>
  <c r="C268" i="27"/>
  <c r="B277" i="27"/>
  <c r="C277" i="27"/>
  <c r="B278" i="27"/>
  <c r="C278" i="27"/>
  <c r="B279" i="27"/>
  <c r="C279" i="27"/>
  <c r="B280" i="27"/>
  <c r="C280" i="27"/>
  <c r="B209" i="27"/>
  <c r="C209" i="27"/>
  <c r="C208" i="27"/>
  <c r="B208" i="27"/>
  <c r="B13" i="27"/>
  <c r="B14" i="27"/>
  <c r="B15"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5" i="27"/>
  <c r="B6" i="27"/>
  <c r="B7" i="27"/>
  <c r="B8" i="27"/>
  <c r="B9" i="27"/>
  <c r="B10" i="27"/>
  <c r="B11" i="27"/>
  <c r="B12" i="27"/>
  <c r="C5" i="27"/>
  <c r="C6" i="27"/>
  <c r="C7" i="27"/>
  <c r="C8" i="27"/>
  <c r="C9" i="27"/>
  <c r="C10" i="27"/>
  <c r="C11" i="27"/>
  <c r="C12" i="27"/>
  <c r="C13" i="27"/>
  <c r="C14" i="27"/>
  <c r="C15"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6" i="27"/>
  <c r="C47" i="27"/>
  <c r="C48" i="27"/>
  <c r="C49" i="27"/>
  <c r="C50" i="27"/>
  <c r="C51" i="27"/>
  <c r="C52" i="27"/>
  <c r="C53" i="27"/>
  <c r="C54" i="27"/>
  <c r="C56" i="27"/>
  <c r="C57" i="27"/>
  <c r="C58" i="27"/>
  <c r="C59" i="27"/>
  <c r="C60" i="27"/>
  <c r="C61" i="27"/>
  <c r="C62" i="27"/>
  <c r="C63" i="27"/>
  <c r="C64" i="27"/>
  <c r="C65" i="27"/>
  <c r="C66" i="27"/>
  <c r="C67" i="27"/>
  <c r="C68" i="27"/>
  <c r="C69" i="27"/>
  <c r="C71" i="27"/>
  <c r="C72" i="27"/>
  <c r="C73" i="27"/>
  <c r="C74" i="27"/>
  <c r="C75" i="27"/>
  <c r="C76" i="27"/>
  <c r="C77" i="27"/>
  <c r="C78" i="27"/>
  <c r="C79" i="27"/>
  <c r="C80" i="27"/>
  <c r="C81" i="27"/>
  <c r="C82" i="27"/>
  <c r="C83" i="27"/>
  <c r="C84" i="27"/>
  <c r="C85" i="27"/>
  <c r="C86" i="27"/>
  <c r="C87" i="27"/>
  <c r="C88" i="27"/>
  <c r="C89" i="27"/>
  <c r="C90" i="27"/>
  <c r="C91" i="27"/>
  <c r="C92" i="27"/>
  <c r="C93" i="27"/>
  <c r="C95" i="27"/>
  <c r="C96" i="27"/>
  <c r="C97" i="27"/>
  <c r="C98" i="27"/>
  <c r="C99" i="27"/>
  <c r="C100" i="27"/>
  <c r="C101" i="27"/>
  <c r="C103" i="27"/>
  <c r="C104" i="27"/>
  <c r="C105" i="27"/>
  <c r="C106" i="27"/>
  <c r="C107" i="27"/>
  <c r="C108" i="27"/>
  <c r="C110" i="27"/>
  <c r="C111" i="27"/>
  <c r="C112" i="27"/>
  <c r="C113" i="27"/>
  <c r="C114" i="27"/>
  <c r="C115" i="27"/>
  <c r="C116" i="27"/>
  <c r="C117" i="27"/>
  <c r="C118" i="27"/>
  <c r="C120" i="27"/>
  <c r="C121" i="27"/>
  <c r="C122" i="27"/>
  <c r="C123" i="27"/>
  <c r="C124" i="27"/>
  <c r="C125" i="27"/>
  <c r="C126" i="27"/>
  <c r="C127" i="27"/>
  <c r="C128" i="27"/>
  <c r="C4" i="27"/>
  <c r="B4" i="27"/>
  <c r="A4" i="27"/>
  <c r="H228" i="17"/>
  <c r="I228" i="17"/>
  <c r="J228" i="17"/>
  <c r="K228" i="17"/>
  <c r="L228" i="17"/>
  <c r="M228" i="17"/>
  <c r="H229" i="17"/>
  <c r="I229" i="17"/>
  <c r="J229" i="17"/>
  <c r="K229" i="17"/>
  <c r="L229" i="17"/>
  <c r="M229" i="17"/>
  <c r="G229" i="17"/>
  <c r="G228" i="17"/>
  <c r="D229" i="17"/>
  <c r="B229" i="17" s="1"/>
  <c r="D228" i="17"/>
  <c r="B228" i="17" s="1"/>
  <c r="A228" i="17"/>
  <c r="A229" i="17"/>
  <c r="H811" i="27"/>
  <c r="H810" i="27"/>
  <c r="H809" i="27"/>
  <c r="H808" i="27"/>
  <c r="H807" i="27"/>
  <c r="H806" i="27"/>
  <c r="H805" i="27"/>
  <c r="H804" i="27"/>
  <c r="H813" i="27"/>
  <c r="H812" i="27"/>
  <c r="H803" i="27"/>
  <c r="H801" i="27"/>
  <c r="H800" i="27"/>
  <c r="H799" i="27"/>
  <c r="H797" i="27"/>
  <c r="H796" i="27"/>
  <c r="H795" i="27"/>
  <c r="H794" i="27"/>
  <c r="H793" i="27"/>
  <c r="H792" i="27"/>
  <c r="H791" i="27"/>
  <c r="H789" i="27"/>
  <c r="H788" i="27"/>
  <c r="H787" i="27"/>
  <c r="H786" i="27"/>
  <c r="H785" i="27"/>
  <c r="H783" i="27"/>
  <c r="H782" i="27"/>
  <c r="H768" i="27"/>
  <c r="H767" i="27"/>
  <c r="H766" i="27"/>
  <c r="H764" i="27"/>
  <c r="H763" i="27"/>
  <c r="H761" i="27"/>
  <c r="H760" i="27"/>
  <c r="H759" i="27"/>
  <c r="H757" i="27"/>
  <c r="H756" i="27"/>
  <c r="H755" i="27"/>
  <c r="H754" i="27"/>
  <c r="H753" i="27"/>
  <c r="H752" i="27"/>
  <c r="H750" i="27"/>
  <c r="H749" i="27"/>
  <c r="H748" i="27"/>
  <c r="H747" i="27"/>
  <c r="H746" i="27"/>
  <c r="H745" i="27"/>
  <c r="H744" i="27"/>
  <c r="H743" i="27"/>
  <c r="H741" i="27"/>
  <c r="H740" i="27"/>
  <c r="H739" i="27"/>
  <c r="H738" i="27"/>
  <c r="H736" i="27"/>
  <c r="H735" i="27"/>
  <c r="H734" i="27"/>
  <c r="H733" i="27"/>
  <c r="H732" i="27"/>
  <c r="H730" i="27"/>
  <c r="H729" i="27"/>
  <c r="H728" i="27"/>
  <c r="H727" i="27"/>
  <c r="H726" i="27"/>
  <c r="H725" i="27"/>
  <c r="H724" i="27"/>
  <c r="H780" i="27"/>
  <c r="H779" i="27"/>
  <c r="H778" i="27"/>
  <c r="H776" i="27"/>
  <c r="H775" i="27"/>
  <c r="H774" i="27"/>
  <c r="H772" i="27"/>
  <c r="H771" i="27"/>
  <c r="H770" i="27"/>
  <c r="H722" i="27"/>
  <c r="H721" i="27"/>
  <c r="H720" i="27"/>
  <c r="H719" i="27"/>
  <c r="H718" i="27"/>
  <c r="H717" i="27"/>
  <c r="H716" i="27"/>
  <c r="H698" i="27"/>
  <c r="H697" i="27"/>
  <c r="H696" i="27"/>
  <c r="H695" i="27"/>
  <c r="H693" i="27"/>
  <c r="H692" i="27"/>
  <c r="H691" i="27"/>
  <c r="H690" i="27"/>
  <c r="H688" i="27"/>
  <c r="H687" i="27"/>
  <c r="H686" i="27"/>
  <c r="H685" i="27"/>
  <c r="H683" i="27"/>
  <c r="H681" i="27"/>
  <c r="H680" i="27"/>
  <c r="H679" i="27"/>
  <c r="H678" i="27"/>
  <c r="H676" i="27"/>
  <c r="H675" i="27"/>
  <c r="H674" i="27"/>
  <c r="H673" i="27"/>
  <c r="H672" i="27"/>
  <c r="H671" i="27"/>
  <c r="H670" i="27"/>
  <c r="H669" i="27"/>
  <c r="H667" i="27"/>
  <c r="H666" i="27"/>
  <c r="H665" i="27"/>
  <c r="H664" i="27"/>
  <c r="H714" i="27"/>
  <c r="H713" i="27"/>
  <c r="H712" i="27"/>
  <c r="H711" i="27"/>
  <c r="H710" i="27"/>
  <c r="H709" i="27"/>
  <c r="H708" i="27"/>
  <c r="H706" i="27"/>
  <c r="H705" i="27"/>
  <c r="H704" i="27"/>
  <c r="H703" i="27"/>
  <c r="H701" i="27"/>
  <c r="H700" i="27"/>
  <c r="H662" i="27"/>
  <c r="H661" i="27"/>
  <c r="H534" i="27"/>
  <c r="H533" i="27"/>
  <c r="H532" i="27"/>
  <c r="H531" i="27"/>
  <c r="H530" i="27"/>
  <c r="H528" i="27"/>
  <c r="H527" i="27"/>
  <c r="H525" i="27"/>
  <c r="H524" i="27"/>
  <c r="H523" i="27"/>
  <c r="H522" i="27"/>
  <c r="H521" i="27"/>
  <c r="H520" i="27"/>
  <c r="H519" i="27"/>
  <c r="H517" i="27"/>
  <c r="H516" i="27"/>
  <c r="H515" i="27"/>
  <c r="H514" i="27"/>
  <c r="H513" i="27"/>
  <c r="H512" i="27"/>
  <c r="H511" i="27"/>
  <c r="H510" i="27"/>
  <c r="H508" i="27"/>
  <c r="H507" i="27"/>
  <c r="H506" i="27"/>
  <c r="H505" i="27"/>
  <c r="H503" i="27"/>
  <c r="H502" i="27"/>
  <c r="H501" i="27"/>
  <c r="H500" i="27"/>
  <c r="H499" i="27"/>
  <c r="H498" i="27"/>
  <c r="H497" i="27"/>
  <c r="H496" i="27"/>
  <c r="H495" i="27"/>
  <c r="H494" i="27"/>
  <c r="H493" i="27"/>
  <c r="H659" i="27"/>
  <c r="H658" i="27"/>
  <c r="H657" i="27"/>
  <c r="H656" i="27"/>
  <c r="H655" i="27"/>
  <c r="H654" i="27"/>
  <c r="H653" i="27"/>
  <c r="H652" i="27"/>
  <c r="H489" i="27"/>
  <c r="H488" i="27"/>
  <c r="H487" i="27"/>
  <c r="H486" i="27"/>
  <c r="H485" i="27"/>
  <c r="H484" i="27"/>
  <c r="H483" i="27"/>
  <c r="H482" i="27"/>
  <c r="H491" i="27"/>
  <c r="H490" i="27"/>
  <c r="H481" i="27"/>
  <c r="H650" i="27"/>
  <c r="H649" i="27"/>
  <c r="H648" i="27"/>
  <c r="H647" i="27"/>
  <c r="H646" i="27"/>
  <c r="H645" i="27"/>
  <c r="H644" i="27"/>
  <c r="H643" i="27"/>
  <c r="H642" i="27"/>
  <c r="H640" i="27"/>
  <c r="H639" i="27"/>
  <c r="H637" i="27"/>
  <c r="H636" i="27"/>
  <c r="H635" i="27"/>
  <c r="H634" i="27"/>
  <c r="H633" i="27"/>
  <c r="H632" i="27"/>
  <c r="H630" i="27"/>
  <c r="H629" i="27"/>
  <c r="H628" i="27"/>
  <c r="H627" i="27"/>
  <c r="H626" i="27"/>
  <c r="H625" i="27"/>
  <c r="H624" i="27"/>
  <c r="H622" i="27"/>
  <c r="H621" i="27"/>
  <c r="H620" i="27"/>
  <c r="H619" i="27"/>
  <c r="H618" i="27"/>
  <c r="H616" i="27"/>
  <c r="H615" i="27"/>
  <c r="H614" i="27"/>
  <c r="H613" i="27"/>
  <c r="H612" i="27"/>
  <c r="H610" i="27"/>
  <c r="H609" i="27"/>
  <c r="H607" i="27"/>
  <c r="H606" i="27"/>
  <c r="H605" i="27"/>
  <c r="H604" i="27"/>
  <c r="H603" i="27"/>
  <c r="H602" i="27"/>
  <c r="H601" i="27"/>
  <c r="H599" i="27"/>
  <c r="H598" i="27"/>
  <c r="H597" i="27"/>
  <c r="H596" i="27"/>
  <c r="H594" i="27"/>
  <c r="H593" i="27"/>
  <c r="H592" i="27"/>
  <c r="H591" i="27"/>
  <c r="H590" i="27"/>
  <c r="H479" i="27"/>
  <c r="H478" i="27"/>
  <c r="H477" i="27"/>
  <c r="H588" i="27"/>
  <c r="H587" i="27"/>
  <c r="H586" i="27"/>
  <c r="H585" i="27"/>
  <c r="H584" i="27"/>
  <c r="H582" i="27"/>
  <c r="H581" i="27"/>
  <c r="H580" i="27"/>
  <c r="H579" i="27"/>
  <c r="H577" i="27"/>
  <c r="H576" i="27"/>
  <c r="H575" i="27"/>
  <c r="H574" i="27"/>
  <c r="H573" i="27"/>
  <c r="H572" i="27"/>
  <c r="H570" i="27"/>
  <c r="H569" i="27"/>
  <c r="H568" i="27"/>
  <c r="H567" i="27"/>
  <c r="H566" i="27"/>
  <c r="H565" i="27"/>
  <c r="H563" i="27"/>
  <c r="H562" i="27"/>
  <c r="H561" i="27"/>
  <c r="H559" i="27"/>
  <c r="H558" i="27"/>
  <c r="H556" i="27"/>
  <c r="H555" i="27"/>
  <c r="H554" i="27"/>
  <c r="H553" i="27"/>
  <c r="H551" i="27"/>
  <c r="H550" i="27"/>
  <c r="H549" i="27"/>
  <c r="H547" i="27"/>
  <c r="H546" i="27"/>
  <c r="H545" i="27"/>
  <c r="H544" i="27"/>
  <c r="H543" i="27"/>
  <c r="H542" i="27"/>
  <c r="H541" i="27"/>
  <c r="H539" i="27"/>
  <c r="H538" i="27"/>
  <c r="H537" i="27"/>
  <c r="H536" i="27"/>
  <c r="H472" i="27"/>
  <c r="H471" i="27"/>
  <c r="H470" i="27"/>
  <c r="H469" i="27"/>
  <c r="H468" i="27"/>
  <c r="H467" i="27"/>
  <c r="H466" i="27"/>
  <c r="H465" i="27"/>
  <c r="H475" i="27"/>
  <c r="H474" i="27"/>
  <c r="H473" i="27"/>
  <c r="H464" i="27"/>
  <c r="H462" i="27"/>
  <c r="H461" i="27"/>
  <c r="H460" i="27"/>
  <c r="H459" i="27"/>
  <c r="H457" i="27"/>
  <c r="H456" i="27"/>
  <c r="H455" i="27"/>
  <c r="H454" i="27"/>
  <c r="H452" i="27"/>
  <c r="H451" i="27"/>
  <c r="H450" i="27"/>
  <c r="H448" i="27"/>
  <c r="H447" i="27"/>
  <c r="H445" i="27"/>
  <c r="H444" i="27"/>
  <c r="H443" i="27"/>
  <c r="H442" i="27"/>
  <c r="H440" i="27"/>
  <c r="H439" i="27"/>
  <c r="H438" i="27"/>
  <c r="H437" i="27"/>
  <c r="H435" i="27"/>
  <c r="H434" i="27"/>
  <c r="H433" i="27"/>
  <c r="H432" i="27"/>
  <c r="H430" i="27"/>
  <c r="H418" i="27"/>
  <c r="H417" i="27"/>
  <c r="H416" i="27"/>
  <c r="H415" i="27"/>
  <c r="H414" i="27"/>
  <c r="H413" i="27"/>
  <c r="H412" i="27"/>
  <c r="H429" i="27"/>
  <c r="H411" i="27"/>
  <c r="H428" i="27"/>
  <c r="H427" i="27"/>
  <c r="H426" i="27"/>
  <c r="H425" i="27"/>
  <c r="H424" i="27"/>
  <c r="H423" i="27"/>
  <c r="H422" i="27"/>
  <c r="H421" i="27"/>
  <c r="H420" i="27"/>
  <c r="H419" i="27"/>
  <c r="H410" i="27"/>
  <c r="H408" i="27"/>
  <c r="H407" i="27"/>
  <c r="H405" i="27"/>
  <c r="H404" i="27"/>
  <c r="H403" i="27"/>
  <c r="H402" i="27"/>
  <c r="H401" i="27"/>
  <c r="H399" i="27"/>
  <c r="H398" i="27"/>
  <c r="H397" i="27"/>
  <c r="H396" i="27"/>
  <c r="H395" i="27"/>
  <c r="H394" i="27"/>
  <c r="H393" i="27"/>
  <c r="H392" i="27"/>
  <c r="H391" i="27"/>
  <c r="H390" i="27"/>
  <c r="H388" i="27"/>
  <c r="H387" i="27"/>
  <c r="H386" i="27"/>
  <c r="H384" i="27"/>
  <c r="H383" i="27"/>
  <c r="H382" i="27"/>
  <c r="H381" i="27"/>
  <c r="H380" i="27"/>
  <c r="H379" i="27"/>
  <c r="H377" i="27"/>
  <c r="H376" i="27"/>
  <c r="H375" i="27"/>
  <c r="H374" i="27"/>
  <c r="H373" i="27"/>
  <c r="H347" i="27"/>
  <c r="H346" i="27"/>
  <c r="H345" i="27"/>
  <c r="H344" i="27"/>
  <c r="H343" i="27"/>
  <c r="H341" i="27"/>
  <c r="H340" i="27"/>
  <c r="H339" i="27"/>
  <c r="H337" i="27"/>
  <c r="H336" i="27"/>
  <c r="H335" i="27"/>
  <c r="H334" i="27"/>
  <c r="H333" i="27"/>
  <c r="H332" i="27"/>
  <c r="H331" i="27"/>
  <c r="H329" i="27"/>
  <c r="H328" i="27"/>
  <c r="H327" i="27"/>
  <c r="H326" i="27"/>
  <c r="H325" i="27"/>
  <c r="H323" i="27"/>
  <c r="H322" i="27"/>
  <c r="H321" i="27"/>
  <c r="H320" i="27"/>
  <c r="H318" i="27"/>
  <c r="H317" i="27"/>
  <c r="H316" i="27"/>
  <c r="H315" i="27"/>
  <c r="H314" i="27"/>
  <c r="H313" i="27"/>
  <c r="H311" i="27"/>
  <c r="H310" i="27"/>
  <c r="H309" i="27"/>
  <c r="H308" i="27"/>
  <c r="H307" i="27"/>
  <c r="H306" i="27"/>
  <c r="H304" i="27"/>
  <c r="H303" i="27"/>
  <c r="H302" i="27"/>
  <c r="H301" i="27"/>
  <c r="H300" i="27"/>
  <c r="H299" i="27"/>
  <c r="H371" i="27"/>
  <c r="H370" i="27"/>
  <c r="H368" i="27"/>
  <c r="H367" i="27"/>
  <c r="H365" i="27"/>
  <c r="H364" i="27"/>
  <c r="H363" i="27"/>
  <c r="H362" i="27"/>
  <c r="H360" i="27"/>
  <c r="H359" i="27"/>
  <c r="H357" i="27"/>
  <c r="H356" i="27"/>
  <c r="H355" i="27"/>
  <c r="H354" i="27"/>
  <c r="H353" i="27"/>
  <c r="H351" i="27"/>
  <c r="H350" i="27"/>
  <c r="H349" i="27"/>
  <c r="H289" i="27"/>
  <c r="H297" i="27"/>
  <c r="H288" i="27"/>
  <c r="H287" i="27"/>
  <c r="H286" i="27"/>
  <c r="H285" i="27"/>
  <c r="H284" i="27"/>
  <c r="H283" i="27"/>
  <c r="H296" i="27"/>
  <c r="H295" i="27"/>
  <c r="H294" i="27"/>
  <c r="H293" i="27"/>
  <c r="H292" i="27"/>
  <c r="H291" i="27"/>
  <c r="H290" i="27"/>
  <c r="H282" i="27"/>
  <c r="H128" i="27"/>
  <c r="H127" i="27"/>
  <c r="H126" i="27"/>
  <c r="H125" i="27"/>
  <c r="H124" i="27"/>
  <c r="H123" i="27"/>
  <c r="H122" i="27"/>
  <c r="H121" i="27"/>
  <c r="H120" i="27"/>
  <c r="H118" i="27"/>
  <c r="H117" i="27"/>
  <c r="H116" i="27"/>
  <c r="H115" i="27"/>
  <c r="H114" i="27"/>
  <c r="H113" i="27"/>
  <c r="H112" i="27"/>
  <c r="H111" i="27"/>
  <c r="H110" i="27"/>
  <c r="H108" i="27"/>
  <c r="H107" i="27"/>
  <c r="H106" i="27"/>
  <c r="H105" i="27"/>
  <c r="H104" i="27"/>
  <c r="H103" i="27"/>
  <c r="H101" i="27"/>
  <c r="H100" i="27"/>
  <c r="H99" i="27"/>
  <c r="H98" i="27"/>
  <c r="H97" i="27"/>
  <c r="H96" i="27"/>
  <c r="H95" i="27"/>
  <c r="H79" i="27"/>
  <c r="H78" i="27"/>
  <c r="H77" i="27"/>
  <c r="H76" i="27"/>
  <c r="H75" i="27"/>
  <c r="H74" i="27"/>
  <c r="H73" i="27"/>
  <c r="H93" i="27"/>
  <c r="H92" i="27"/>
  <c r="H91" i="27"/>
  <c r="H90" i="27"/>
  <c r="H72" i="27"/>
  <c r="H89" i="27"/>
  <c r="H88" i="27"/>
  <c r="H87" i="27"/>
  <c r="H86" i="27"/>
  <c r="H85" i="27"/>
  <c r="H84" i="27"/>
  <c r="H83" i="27"/>
  <c r="H82" i="27"/>
  <c r="H81" i="27"/>
  <c r="H80" i="27"/>
  <c r="H71" i="27"/>
  <c r="H69" i="27"/>
  <c r="H64" i="27"/>
  <c r="H63" i="27"/>
  <c r="H62" i="27"/>
  <c r="H61" i="27"/>
  <c r="H60" i="27"/>
  <c r="H59" i="27"/>
  <c r="H58" i="27"/>
  <c r="H57" i="27"/>
  <c r="H68" i="27"/>
  <c r="H67" i="27"/>
  <c r="H66" i="27"/>
  <c r="H65" i="27"/>
  <c r="H56" i="27"/>
  <c r="H54" i="27"/>
  <c r="H53" i="27"/>
  <c r="H52" i="27"/>
  <c r="H51" i="27"/>
  <c r="H50" i="27"/>
  <c r="H49" i="27"/>
  <c r="H48" i="27"/>
  <c r="H47" i="27"/>
  <c r="H46" i="27"/>
  <c r="H276" i="27"/>
  <c r="H275" i="27"/>
  <c r="H274" i="27"/>
  <c r="H273" i="27"/>
  <c r="H272" i="27"/>
  <c r="H271" i="27"/>
  <c r="H270" i="27"/>
  <c r="H269" i="27"/>
  <c r="H280" i="27"/>
  <c r="H279" i="27"/>
  <c r="H278" i="27"/>
  <c r="H277" i="27"/>
  <c r="H268" i="27"/>
  <c r="H266" i="27"/>
  <c r="H262" i="27"/>
  <c r="H261" i="27"/>
  <c r="H260" i="27"/>
  <c r="H259" i="27"/>
  <c r="H258" i="27"/>
  <c r="H257" i="27"/>
  <c r="H256" i="27"/>
  <c r="H255" i="27"/>
  <c r="H265" i="27"/>
  <c r="H264" i="27"/>
  <c r="H263" i="27"/>
  <c r="H254" i="27"/>
  <c r="H250" i="27"/>
  <c r="H249" i="27"/>
  <c r="H248" i="27"/>
  <c r="H247" i="27"/>
  <c r="H246" i="27"/>
  <c r="H244" i="27"/>
  <c r="H243" i="27"/>
  <c r="H242" i="27"/>
  <c r="H237" i="27"/>
  <c r="H236" i="27"/>
  <c r="H235" i="27"/>
  <c r="H234" i="27"/>
  <c r="H233" i="27"/>
  <c r="H232" i="27"/>
  <c r="H231" i="27"/>
  <c r="H230" i="27"/>
  <c r="H240" i="27"/>
  <c r="H239" i="27"/>
  <c r="H238" i="27"/>
  <c r="H229" i="27"/>
  <c r="H226" i="27"/>
  <c r="H225" i="27"/>
  <c r="H224" i="27"/>
  <c r="H223" i="27"/>
  <c r="H222" i="27"/>
  <c r="H221" i="27"/>
  <c r="H220" i="27"/>
  <c r="H219" i="27"/>
  <c r="H227" i="27"/>
  <c r="H218" i="27"/>
  <c r="H216" i="27"/>
  <c r="H215" i="27"/>
  <c r="H214" i="27"/>
  <c r="H213" i="27"/>
  <c r="H212" i="27"/>
  <c r="H211" i="27"/>
  <c r="H210" i="27"/>
  <c r="H209" i="27"/>
  <c r="H208" i="27"/>
  <c r="H25" i="27"/>
  <c r="H24" i="27"/>
  <c r="H23" i="27"/>
  <c r="H22" i="27"/>
  <c r="H21" i="27"/>
  <c r="H20" i="27"/>
  <c r="H19" i="27"/>
  <c r="H44" i="27"/>
  <c r="H43" i="27"/>
  <c r="H42" i="27"/>
  <c r="H41" i="27"/>
  <c r="H40" i="27"/>
  <c r="H39" i="27"/>
  <c r="H38" i="27"/>
  <c r="H37" i="27"/>
  <c r="H36" i="27"/>
  <c r="H18" i="27"/>
  <c r="H35" i="27"/>
  <c r="H34" i="27"/>
  <c r="H33" i="27"/>
  <c r="H32" i="27"/>
  <c r="H31" i="27"/>
  <c r="H30" i="27"/>
  <c r="H29" i="27"/>
  <c r="H28" i="27"/>
  <c r="H27" i="27"/>
  <c r="H26" i="27"/>
  <c r="H17" i="27"/>
  <c r="H206" i="27"/>
  <c r="H205" i="27"/>
  <c r="H204" i="27"/>
  <c r="H203" i="27"/>
  <c r="H201" i="27"/>
  <c r="H199" i="27"/>
  <c r="H198" i="27"/>
  <c r="H197" i="27"/>
  <c r="H196" i="27"/>
  <c r="H195" i="27"/>
  <c r="H194" i="27"/>
  <c r="H193" i="27"/>
  <c r="H192" i="27"/>
  <c r="H200" i="27"/>
  <c r="H191" i="27"/>
  <c r="H189" i="27"/>
  <c r="H188" i="27"/>
  <c r="H187" i="27"/>
  <c r="H186" i="27"/>
  <c r="H185" i="27"/>
  <c r="H184" i="27"/>
  <c r="H182" i="27"/>
  <c r="H181" i="27"/>
  <c r="H180" i="27"/>
  <c r="H179" i="27"/>
  <c r="H177" i="27"/>
  <c r="H176" i="27"/>
  <c r="H175" i="27"/>
  <c r="H174" i="27"/>
  <c r="H173" i="27"/>
  <c r="H172" i="27"/>
  <c r="H171" i="27"/>
  <c r="H170" i="27"/>
  <c r="H169" i="27"/>
  <c r="H167" i="27"/>
  <c r="H166" i="27"/>
  <c r="H165" i="27"/>
  <c r="H164" i="27"/>
  <c r="H162" i="27"/>
  <c r="H161" i="27"/>
  <c r="H160" i="27"/>
  <c r="H159" i="27"/>
  <c r="H158" i="27"/>
  <c r="H156" i="27"/>
  <c r="H155" i="27"/>
  <c r="H154" i="27"/>
  <c r="H153" i="27"/>
  <c r="H152" i="27"/>
  <c r="H151" i="27"/>
  <c r="H150" i="27"/>
  <c r="H148" i="27"/>
  <c r="H147" i="27"/>
  <c r="H146" i="27"/>
  <c r="H143" i="27"/>
  <c r="H142" i="27"/>
  <c r="H141" i="27"/>
  <c r="H140" i="27"/>
  <c r="H139" i="27"/>
  <c r="H138" i="27"/>
  <c r="H137" i="27"/>
  <c r="H136" i="27"/>
  <c r="H145" i="27"/>
  <c r="H144" i="27"/>
  <c r="H135" i="27"/>
  <c r="H133" i="27"/>
  <c r="H132" i="27"/>
  <c r="H131" i="27"/>
  <c r="H130" i="27"/>
  <c r="H12" i="27"/>
  <c r="H11" i="27"/>
  <c r="H10" i="27"/>
  <c r="H9" i="27"/>
  <c r="H8" i="27"/>
  <c r="H7" i="27"/>
  <c r="H6" i="27"/>
  <c r="H5" i="27"/>
  <c r="H15" i="27"/>
  <c r="H14" i="27"/>
  <c r="H13" i="27"/>
  <c r="H4" i="27"/>
  <c r="G503" i="27"/>
  <c r="G502" i="27"/>
  <c r="G501" i="27"/>
  <c r="G500" i="27"/>
  <c r="G499" i="27"/>
  <c r="G498" i="27"/>
  <c r="G497" i="27"/>
  <c r="G496" i="27"/>
  <c r="G495" i="27"/>
  <c r="G494" i="27"/>
  <c r="G493" i="27"/>
  <c r="G405" i="27"/>
  <c r="G404" i="27"/>
  <c r="G403" i="27"/>
  <c r="G402" i="27"/>
  <c r="G401" i="27"/>
  <c r="G311" i="27"/>
  <c r="G310" i="27"/>
  <c r="G309" i="27"/>
  <c r="G308" i="27"/>
  <c r="G307" i="27"/>
  <c r="G306" i="27"/>
  <c r="G128" i="27"/>
  <c r="G127" i="27"/>
  <c r="G126" i="27"/>
  <c r="G125" i="27"/>
  <c r="G124" i="27"/>
  <c r="G123" i="27"/>
  <c r="G122" i="27"/>
  <c r="G121" i="27"/>
  <c r="G120" i="27"/>
  <c r="G118" i="27"/>
  <c r="G117" i="27"/>
  <c r="G116" i="27"/>
  <c r="G115" i="27"/>
  <c r="G114" i="27"/>
  <c r="G113" i="27"/>
  <c r="G112" i="27"/>
  <c r="G111" i="27"/>
  <c r="G110" i="27"/>
  <c r="G108" i="27"/>
  <c r="G107" i="27"/>
  <c r="G106" i="27"/>
  <c r="G105" i="27"/>
  <c r="G104" i="27"/>
  <c r="G103" i="27"/>
  <c r="G101" i="27"/>
  <c r="G100" i="27"/>
  <c r="G99" i="27"/>
  <c r="G98" i="27"/>
  <c r="G97" i="27"/>
  <c r="G96" i="27"/>
  <c r="G95" i="27"/>
  <c r="G79" i="27"/>
  <c r="G78" i="27"/>
  <c r="G77" i="27"/>
  <c r="G76" i="27"/>
  <c r="G75" i="27"/>
  <c r="G74" i="27"/>
  <c r="G73" i="27"/>
  <c r="G93" i="27"/>
  <c r="G92" i="27"/>
  <c r="G91" i="27"/>
  <c r="G90" i="27"/>
  <c r="G72" i="27"/>
  <c r="G89" i="27"/>
  <c r="G88" i="27"/>
  <c r="G87" i="27"/>
  <c r="G86" i="27"/>
  <c r="G85" i="27"/>
  <c r="G84" i="27"/>
  <c r="G83" i="27"/>
  <c r="G82" i="27"/>
  <c r="G81" i="27"/>
  <c r="G80" i="27"/>
  <c r="G71" i="27"/>
  <c r="G69" i="27"/>
  <c r="G64" i="27"/>
  <c r="G63" i="27"/>
  <c r="G62" i="27"/>
  <c r="G61" i="27"/>
  <c r="G60" i="27"/>
  <c r="G59" i="27"/>
  <c r="G58" i="27"/>
  <c r="G57" i="27"/>
  <c r="G68" i="27"/>
  <c r="G67" i="27"/>
  <c r="G66" i="27"/>
  <c r="G65" i="27"/>
  <c r="G56" i="27"/>
  <c r="G54" i="27"/>
  <c r="G53" i="27"/>
  <c r="G52" i="27"/>
  <c r="G51" i="27"/>
  <c r="G50" i="27"/>
  <c r="G49" i="27"/>
  <c r="G48" i="27"/>
  <c r="G47" i="27"/>
  <c r="G46" i="27"/>
  <c r="G276" i="27"/>
  <c r="G275" i="27"/>
  <c r="G274" i="27"/>
  <c r="G273" i="27"/>
  <c r="G272" i="27"/>
  <c r="G271" i="27"/>
  <c r="G270" i="27"/>
  <c r="G269" i="27"/>
  <c r="G280" i="27"/>
  <c r="G279" i="27"/>
  <c r="G278" i="27"/>
  <c r="G277" i="27"/>
  <c r="G268" i="27"/>
  <c r="G266" i="27"/>
  <c r="G262" i="27"/>
  <c r="G261" i="27"/>
  <c r="G260" i="27"/>
  <c r="G259" i="27"/>
  <c r="G258" i="27"/>
  <c r="G257" i="27"/>
  <c r="G256" i="27"/>
  <c r="G255" i="27"/>
  <c r="G265" i="27"/>
  <c r="G264" i="27"/>
  <c r="G263" i="27"/>
  <c r="G254" i="27"/>
  <c r="G249" i="27"/>
  <c r="G248" i="27"/>
  <c r="G247" i="27"/>
  <c r="G246" i="27"/>
  <c r="G244" i="27"/>
  <c r="G243" i="27"/>
  <c r="G242" i="27"/>
  <c r="G237" i="27"/>
  <c r="G236" i="27"/>
  <c r="G235" i="27"/>
  <c r="G234" i="27"/>
  <c r="G233" i="27"/>
  <c r="G232" i="27"/>
  <c r="G231" i="27"/>
  <c r="G230" i="27"/>
  <c r="G240" i="27"/>
  <c r="G239" i="27"/>
  <c r="G238" i="27"/>
  <c r="G229" i="27"/>
  <c r="G226" i="27"/>
  <c r="G225" i="27"/>
  <c r="G224" i="27"/>
  <c r="G223" i="27"/>
  <c r="G222" i="27"/>
  <c r="G221" i="27"/>
  <c r="G220" i="27"/>
  <c r="G219" i="27"/>
  <c r="G227" i="27"/>
  <c r="G218" i="27"/>
  <c r="G216" i="27"/>
  <c r="G215" i="27"/>
  <c r="G214" i="27"/>
  <c r="G213" i="27"/>
  <c r="G212" i="27"/>
  <c r="G211" i="27"/>
  <c r="G210" i="27"/>
  <c r="G209" i="27"/>
  <c r="G208" i="27"/>
  <c r="G25" i="27"/>
  <c r="G24" i="27"/>
  <c r="G23" i="27"/>
  <c r="G22" i="27"/>
  <c r="G21" i="27"/>
  <c r="G20" i="27"/>
  <c r="G19" i="27"/>
  <c r="G44" i="27"/>
  <c r="G43" i="27"/>
  <c r="G42" i="27"/>
  <c r="G41" i="27"/>
  <c r="G40" i="27"/>
  <c r="G39" i="27"/>
  <c r="G38" i="27"/>
  <c r="G37" i="27"/>
  <c r="G36" i="27"/>
  <c r="G18" i="27"/>
  <c r="G35" i="27"/>
  <c r="G34" i="27"/>
  <c r="G33" i="27"/>
  <c r="G32" i="27"/>
  <c r="G31" i="27"/>
  <c r="G30" i="27"/>
  <c r="G29" i="27"/>
  <c r="G28" i="27"/>
  <c r="G27" i="27"/>
  <c r="G26" i="27"/>
  <c r="G17" i="27"/>
  <c r="G206" i="27"/>
  <c r="G205" i="27"/>
  <c r="G204" i="27"/>
  <c r="G203" i="27"/>
  <c r="G201" i="27"/>
  <c r="G199" i="27"/>
  <c r="G198" i="27"/>
  <c r="G197" i="27"/>
  <c r="G196" i="27"/>
  <c r="G195" i="27"/>
  <c r="G194" i="27"/>
  <c r="G193" i="27"/>
  <c r="G192" i="27"/>
  <c r="G200" i="27"/>
  <c r="G191" i="27"/>
  <c r="G189" i="27"/>
  <c r="G188" i="27"/>
  <c r="G187" i="27"/>
  <c r="G186" i="27"/>
  <c r="G185" i="27"/>
  <c r="G184" i="27"/>
  <c r="G182" i="27"/>
  <c r="G181" i="27"/>
  <c r="G180" i="27"/>
  <c r="G179" i="27"/>
  <c r="G177" i="27"/>
  <c r="G176" i="27"/>
  <c r="G175" i="27"/>
  <c r="G174" i="27"/>
  <c r="G173" i="27"/>
  <c r="G172" i="27"/>
  <c r="G171" i="27"/>
  <c r="G170" i="27"/>
  <c r="G169" i="27"/>
  <c r="G167" i="27"/>
  <c r="G166" i="27"/>
  <c r="G165" i="27"/>
  <c r="G164" i="27"/>
  <c r="G162" i="27"/>
  <c r="G161" i="27"/>
  <c r="G160" i="27"/>
  <c r="G159" i="27"/>
  <c r="G158" i="27"/>
  <c r="G156" i="27"/>
  <c r="G155" i="27"/>
  <c r="G154" i="27"/>
  <c r="G153" i="27"/>
  <c r="G152" i="27"/>
  <c r="G151" i="27"/>
  <c r="G150" i="27"/>
  <c r="G148" i="27"/>
  <c r="G147" i="27"/>
  <c r="G146" i="27"/>
  <c r="G143" i="27"/>
  <c r="G142" i="27"/>
  <c r="G141" i="27"/>
  <c r="G140" i="27"/>
  <c r="G139" i="27"/>
  <c r="G138" i="27"/>
  <c r="G137" i="27"/>
  <c r="G136" i="27"/>
  <c r="G145" i="27"/>
  <c r="G144" i="27"/>
  <c r="G135" i="27"/>
  <c r="G133" i="27"/>
  <c r="G132" i="27"/>
  <c r="G131" i="27"/>
  <c r="G130" i="27"/>
  <c r="G12" i="27"/>
  <c r="G11" i="27"/>
  <c r="G10" i="27"/>
  <c r="G9" i="27"/>
  <c r="G8" i="27"/>
  <c r="G7" i="27"/>
  <c r="G6" i="27"/>
  <c r="G5" i="27"/>
  <c r="G15" i="27"/>
  <c r="G14" i="27"/>
  <c r="G13" i="27"/>
  <c r="G4" i="27"/>
  <c r="B245" i="12"/>
  <c r="B246" i="12"/>
  <c r="B247" i="12"/>
  <c r="B248" i="12"/>
  <c r="B249" i="12"/>
  <c r="B250" i="12"/>
  <c r="B251" i="12"/>
  <c r="B252" i="12"/>
  <c r="B253" i="12"/>
  <c r="B254" i="12"/>
  <c r="B255" i="12"/>
  <c r="B256" i="12"/>
  <c r="B257" i="12"/>
  <c r="B258" i="12"/>
  <c r="B259" i="12"/>
  <c r="B244" i="12"/>
  <c r="B238" i="12"/>
  <c r="B240" i="12"/>
  <c r="B241" i="12"/>
  <c r="B242" i="12"/>
  <c r="B231" i="12"/>
  <c r="B232" i="12"/>
  <c r="B233" i="12"/>
  <c r="B234" i="12"/>
  <c r="B235" i="12"/>
  <c r="B236" i="12"/>
  <c r="B237" i="12"/>
  <c r="B230" i="12"/>
  <c r="B226" i="12"/>
  <c r="B227" i="12"/>
  <c r="B228" i="12"/>
  <c r="B223" i="12"/>
  <c r="B224" i="12"/>
  <c r="B225" i="12"/>
  <c r="B222" i="12"/>
  <c r="B221" i="12"/>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187" i="18"/>
  <c r="H188" i="18"/>
  <c r="H189" i="18"/>
  <c r="H190" i="18"/>
  <c r="H191" i="18"/>
  <c r="H192" i="18"/>
  <c r="H193" i="18"/>
  <c r="H194" i="18"/>
  <c r="H195" i="18"/>
  <c r="H196" i="18"/>
  <c r="H197" i="18"/>
  <c r="H198" i="18"/>
  <c r="H199" i="18"/>
  <c r="H200" i="18"/>
  <c r="H201" i="18"/>
  <c r="H202" i="18"/>
  <c r="H203" i="18"/>
  <c r="H204" i="18"/>
  <c r="H205" i="18"/>
  <c r="H206" i="18"/>
  <c r="H207" i="18"/>
  <c r="H208" i="18"/>
  <c r="H209" i="18"/>
  <c r="H210" i="18"/>
  <c r="H211" i="18"/>
  <c r="H212" i="18"/>
  <c r="H213" i="18"/>
  <c r="H214" i="18"/>
  <c r="H215" i="18"/>
  <c r="H216" i="18"/>
  <c r="H217" i="18"/>
  <c r="H218" i="18"/>
  <c r="H219" i="18"/>
  <c r="H220" i="18"/>
  <c r="H221" i="18"/>
  <c r="H222" i="18"/>
  <c r="H223" i="18"/>
  <c r="H224" i="18"/>
  <c r="H225" i="18"/>
  <c r="H226" i="18"/>
  <c r="H227" i="18"/>
  <c r="H228" i="18"/>
  <c r="H229" i="18"/>
  <c r="H230" i="18"/>
  <c r="H231" i="18"/>
  <c r="H232" i="18"/>
  <c r="H233" i="18"/>
  <c r="H234" i="18"/>
  <c r="N228" i="17" s="1"/>
  <c r="H235" i="18"/>
  <c r="N229" i="17" s="1"/>
  <c r="H236" i="18"/>
  <c r="H237" i="18"/>
  <c r="H238" i="18"/>
  <c r="H239" i="18"/>
  <c r="H240" i="18"/>
  <c r="H241" i="18"/>
  <c r="H242" i="18"/>
  <c r="H243" i="18"/>
  <c r="H244" i="18"/>
  <c r="H245" i="18"/>
  <c r="H246" i="18"/>
  <c r="H247" i="18"/>
  <c r="H248" i="18"/>
  <c r="H249" i="18"/>
  <c r="H250" i="18"/>
  <c r="H251" i="18"/>
  <c r="H252" i="18"/>
  <c r="H253" i="18"/>
  <c r="H254" i="18"/>
  <c r="H255" i="18"/>
  <c r="H256" i="18"/>
  <c r="H257" i="18"/>
  <c r="H258" i="18"/>
  <c r="H259" i="18"/>
  <c r="H260" i="18"/>
  <c r="H261" i="18"/>
  <c r="H262" i="18"/>
  <c r="H263" i="18"/>
  <c r="H264" i="18"/>
  <c r="H265" i="18"/>
  <c r="H266" i="18"/>
  <c r="H267" i="18"/>
  <c r="H268" i="18"/>
  <c r="H269" i="18"/>
  <c r="H270" i="18"/>
  <c r="H271" i="18"/>
  <c r="H272" i="18"/>
  <c r="H273" i="18"/>
  <c r="H274" i="18"/>
  <c r="H275" i="18"/>
  <c r="H276" i="18"/>
  <c r="H277" i="18"/>
  <c r="H278" i="18"/>
  <c r="H279" i="18"/>
  <c r="H280" i="18"/>
  <c r="H281" i="18"/>
  <c r="H282" i="18"/>
  <c r="H283" i="18"/>
  <c r="H284" i="18"/>
  <c r="H285" i="18"/>
  <c r="H286" i="18"/>
  <c r="H287" i="18"/>
  <c r="H288" i="18"/>
  <c r="H289" i="18"/>
  <c r="H290" i="18"/>
  <c r="H291" i="18"/>
  <c r="H292" i="18"/>
  <c r="H293" i="18"/>
  <c r="H294" i="18"/>
  <c r="H295" i="18"/>
  <c r="H296" i="18"/>
  <c r="H297" i="18"/>
  <c r="H298" i="18"/>
  <c r="H299" i="18"/>
  <c r="H300" i="18"/>
  <c r="H301" i="18"/>
  <c r="H302" i="18"/>
  <c r="H303" i="18"/>
  <c r="H304" i="18"/>
  <c r="H305" i="18"/>
  <c r="H306" i="18"/>
  <c r="H307" i="18"/>
  <c r="H308" i="18"/>
  <c r="H309" i="18"/>
  <c r="H310" i="18"/>
  <c r="H311" i="18"/>
  <c r="H312" i="18"/>
  <c r="H313" i="18"/>
  <c r="H314" i="18"/>
  <c r="H315" i="18"/>
  <c r="H316" i="18"/>
  <c r="H317" i="18"/>
  <c r="H318" i="18"/>
  <c r="H319" i="18"/>
  <c r="H320" i="18"/>
  <c r="H321" i="18"/>
  <c r="H322" i="18"/>
  <c r="H323" i="18"/>
  <c r="H324" i="18"/>
  <c r="H325" i="18"/>
  <c r="H326" i="18"/>
  <c r="H327" i="18"/>
  <c r="H328" i="18"/>
  <c r="H329" i="18"/>
  <c r="H330" i="18"/>
  <c r="H331" i="18"/>
  <c r="H332" i="18"/>
  <c r="H333" i="18"/>
  <c r="H334" i="18"/>
  <c r="H335" i="18"/>
  <c r="H336" i="18"/>
  <c r="H337" i="18"/>
  <c r="H338" i="18"/>
  <c r="H339" i="18"/>
  <c r="H340" i="18"/>
  <c r="H341" i="18"/>
  <c r="H342" i="18"/>
  <c r="H343" i="18"/>
  <c r="H344" i="18"/>
  <c r="H345" i="18"/>
  <c r="H346" i="18"/>
  <c r="H347" i="18"/>
  <c r="H348" i="18"/>
  <c r="H349" i="18"/>
  <c r="H350" i="18"/>
  <c r="H351" i="18"/>
  <c r="H352" i="18"/>
  <c r="H353" i="18"/>
  <c r="H354" i="18"/>
  <c r="H355" i="18"/>
  <c r="H356" i="18"/>
  <c r="H357" i="18"/>
  <c r="H358" i="18"/>
  <c r="H359" i="18"/>
  <c r="H360" i="18"/>
  <c r="H361" i="18"/>
  <c r="H362" i="18"/>
  <c r="H363" i="18"/>
  <c r="H364" i="18"/>
  <c r="H365" i="18"/>
  <c r="H366" i="18"/>
  <c r="H367" i="18"/>
  <c r="H368" i="18"/>
  <c r="H369" i="18"/>
  <c r="H370" i="18"/>
  <c r="H371" i="18"/>
  <c r="H372" i="18"/>
  <c r="H373" i="18"/>
  <c r="H374" i="18"/>
  <c r="H375" i="18"/>
  <c r="H376" i="18"/>
  <c r="H377" i="18"/>
  <c r="H378" i="18"/>
  <c r="H379" i="18"/>
  <c r="H380" i="18"/>
  <c r="H381" i="18"/>
  <c r="H382" i="18"/>
  <c r="H383" i="18"/>
  <c r="H384" i="18"/>
  <c r="H385" i="18"/>
  <c r="H386" i="18"/>
  <c r="H387" i="18"/>
  <c r="H388" i="18"/>
  <c r="H389" i="18"/>
  <c r="H390" i="18"/>
  <c r="H391" i="18"/>
  <c r="H392" i="18"/>
  <c r="H393" i="18"/>
  <c r="H394" i="18"/>
  <c r="H395" i="18"/>
  <c r="H396" i="18"/>
  <c r="H397" i="18"/>
  <c r="H398" i="18"/>
  <c r="H399" i="18"/>
  <c r="H400" i="18"/>
  <c r="H401" i="18"/>
  <c r="H402" i="18"/>
  <c r="H403" i="18"/>
  <c r="H404" i="18"/>
  <c r="H405" i="18"/>
  <c r="H406" i="18"/>
  <c r="H407" i="18"/>
  <c r="H408" i="18"/>
  <c r="H409" i="18"/>
  <c r="H410" i="18"/>
  <c r="H411" i="18"/>
  <c r="H412" i="18"/>
  <c r="H413" i="18"/>
  <c r="H414" i="18"/>
  <c r="H415" i="18"/>
  <c r="H416" i="18"/>
  <c r="H417" i="18"/>
  <c r="H418" i="18"/>
  <c r="H419" i="18"/>
  <c r="H420" i="18"/>
  <c r="H421" i="18"/>
  <c r="H422" i="18"/>
  <c r="H423" i="18"/>
  <c r="H424" i="18"/>
  <c r="H425" i="18"/>
  <c r="H426" i="18"/>
  <c r="H427" i="18"/>
  <c r="H428" i="18"/>
  <c r="H429" i="18"/>
  <c r="H430" i="18"/>
  <c r="H431" i="18"/>
  <c r="H432" i="18"/>
  <c r="H433" i="18"/>
  <c r="H434" i="18"/>
  <c r="H435" i="18"/>
  <c r="H436" i="18"/>
  <c r="H437" i="18"/>
  <c r="H438" i="18"/>
  <c r="H439" i="18"/>
  <c r="H440" i="18"/>
  <c r="H441" i="18"/>
  <c r="H442" i="18"/>
  <c r="H443" i="18"/>
  <c r="H444" i="18"/>
  <c r="H445" i="18"/>
  <c r="H446" i="18"/>
  <c r="H447" i="18"/>
  <c r="H448" i="18"/>
  <c r="H449" i="18"/>
  <c r="H450" i="18"/>
  <c r="H451" i="18"/>
  <c r="H452" i="18"/>
  <c r="H453" i="18"/>
  <c r="H454" i="18"/>
  <c r="H455" i="18"/>
  <c r="H456" i="18"/>
  <c r="H457" i="18"/>
  <c r="H458" i="18"/>
  <c r="H459" i="18"/>
  <c r="H460" i="18"/>
  <c r="H461" i="18"/>
  <c r="H462" i="18"/>
  <c r="H463" i="18"/>
  <c r="H464" i="18"/>
  <c r="H465" i="18"/>
  <c r="H466" i="18"/>
  <c r="H467" i="18"/>
  <c r="H468" i="18"/>
  <c r="H469" i="18"/>
  <c r="H470" i="18"/>
  <c r="H471" i="18"/>
  <c r="H472" i="18"/>
  <c r="H473" i="18"/>
  <c r="H474" i="18"/>
  <c r="H475" i="18"/>
  <c r="H476" i="18"/>
  <c r="H477" i="18"/>
  <c r="H478" i="18"/>
  <c r="H479" i="18"/>
  <c r="H480" i="18"/>
  <c r="H481" i="18"/>
  <c r="H482" i="18"/>
  <c r="H483" i="18"/>
  <c r="H484" i="18"/>
  <c r="H485" i="18"/>
  <c r="H486" i="18"/>
  <c r="H487" i="18"/>
  <c r="H488" i="18"/>
  <c r="H489" i="18"/>
  <c r="H490" i="18"/>
  <c r="H491" i="18"/>
  <c r="H492" i="18"/>
  <c r="H493" i="18"/>
  <c r="H494" i="18"/>
  <c r="H495" i="18"/>
  <c r="H496" i="18"/>
  <c r="H497" i="18"/>
  <c r="H498" i="18"/>
  <c r="H499" i="18"/>
  <c r="H500" i="18"/>
  <c r="H501" i="18"/>
  <c r="H502" i="18"/>
  <c r="H503" i="18"/>
  <c r="H504" i="18"/>
  <c r="H505" i="18"/>
  <c r="H506" i="18"/>
  <c r="H507" i="18"/>
  <c r="H508" i="18"/>
  <c r="H509" i="18"/>
  <c r="H510" i="18"/>
  <c r="H511" i="18"/>
  <c r="H512" i="18"/>
  <c r="H513" i="18"/>
  <c r="H514" i="18"/>
  <c r="H515" i="18"/>
  <c r="H516" i="18"/>
  <c r="H517" i="18"/>
  <c r="H518" i="18"/>
  <c r="H519" i="18"/>
  <c r="H520" i="18"/>
  <c r="H521" i="18"/>
  <c r="H522" i="18"/>
  <c r="H523" i="18"/>
  <c r="H524" i="18"/>
  <c r="H525" i="18"/>
  <c r="H526" i="18"/>
  <c r="H527" i="18"/>
  <c r="H528" i="18"/>
  <c r="H529" i="18"/>
  <c r="H530" i="18"/>
  <c r="H531" i="18"/>
  <c r="H532" i="18"/>
  <c r="H533" i="18"/>
  <c r="H534" i="18"/>
  <c r="H535" i="18"/>
  <c r="H536" i="18"/>
  <c r="H537" i="18"/>
  <c r="H538" i="18"/>
  <c r="H539" i="18"/>
  <c r="H540" i="18"/>
  <c r="H541" i="18"/>
  <c r="H542" i="18"/>
  <c r="H543" i="18"/>
  <c r="H544" i="18"/>
  <c r="H545" i="18"/>
  <c r="H546" i="18"/>
  <c r="H547" i="18"/>
  <c r="H548" i="18"/>
  <c r="H549" i="18"/>
  <c r="H550" i="18"/>
  <c r="H551" i="18"/>
  <c r="H552" i="18"/>
  <c r="H553" i="18"/>
  <c r="H554" i="18"/>
  <c r="H555" i="18"/>
  <c r="H556" i="18"/>
  <c r="H557" i="18"/>
  <c r="H558" i="18"/>
  <c r="H559" i="18"/>
  <c r="H560" i="18"/>
  <c r="H561" i="18"/>
  <c r="H562" i="18"/>
  <c r="H563" i="18"/>
  <c r="H564" i="18"/>
  <c r="H565" i="18"/>
  <c r="H566" i="18"/>
  <c r="H567" i="18"/>
  <c r="H568" i="18"/>
  <c r="H569" i="18"/>
  <c r="H570" i="18"/>
  <c r="H571" i="18"/>
  <c r="H572" i="18"/>
  <c r="H573" i="18"/>
  <c r="H574" i="18"/>
  <c r="H575" i="18"/>
  <c r="H576" i="18"/>
  <c r="H577" i="18"/>
  <c r="H578" i="18"/>
  <c r="H579" i="18"/>
  <c r="H580" i="18"/>
  <c r="H581" i="18"/>
  <c r="H582" i="18"/>
  <c r="H583" i="18"/>
  <c r="H584" i="18"/>
  <c r="H585" i="18"/>
  <c r="H586" i="18"/>
  <c r="H587" i="18"/>
  <c r="H588" i="18"/>
  <c r="H589" i="18"/>
  <c r="H590" i="18"/>
  <c r="H591" i="18"/>
  <c r="H592" i="18"/>
  <c r="H593" i="18"/>
  <c r="H594" i="18"/>
  <c r="H595" i="18"/>
  <c r="H596" i="18"/>
  <c r="H597" i="18"/>
  <c r="H598" i="18"/>
  <c r="H599" i="18"/>
  <c r="H600" i="18"/>
  <c r="H601" i="18"/>
  <c r="H602" i="18"/>
  <c r="H603" i="18"/>
  <c r="H604" i="18"/>
  <c r="H605" i="18"/>
  <c r="H606" i="18"/>
  <c r="H607" i="18"/>
  <c r="H608" i="18"/>
  <c r="H609" i="18"/>
  <c r="H610" i="18"/>
  <c r="H611" i="18"/>
  <c r="H612" i="18"/>
  <c r="H613" i="18"/>
  <c r="H614" i="18"/>
  <c r="H615" i="18"/>
  <c r="H616" i="18"/>
  <c r="H617" i="18"/>
  <c r="H618" i="18"/>
  <c r="H619" i="18"/>
  <c r="H620" i="18"/>
  <c r="H621" i="18"/>
  <c r="H622" i="18"/>
  <c r="H623" i="18"/>
  <c r="H624" i="18"/>
  <c r="H625" i="18"/>
  <c r="H626" i="18"/>
  <c r="H627" i="18"/>
  <c r="H628" i="18"/>
  <c r="H629" i="18"/>
  <c r="H630" i="18"/>
  <c r="H631" i="18"/>
  <c r="H632" i="18"/>
  <c r="H633" i="18"/>
  <c r="H634" i="18"/>
  <c r="H635" i="18"/>
  <c r="H636" i="18"/>
  <c r="H637" i="18"/>
  <c r="H638" i="18"/>
  <c r="H639" i="18"/>
  <c r="H640" i="18"/>
  <c r="H641" i="18"/>
  <c r="H642" i="18"/>
  <c r="H643" i="18"/>
  <c r="H644" i="18"/>
  <c r="H645" i="18"/>
  <c r="H646" i="18"/>
  <c r="H647" i="18"/>
  <c r="H648" i="18"/>
  <c r="H649" i="18"/>
  <c r="H650" i="18"/>
  <c r="H651" i="18"/>
  <c r="H652" i="18"/>
  <c r="H653" i="18"/>
  <c r="H654" i="18"/>
  <c r="H655" i="18"/>
  <c r="H656" i="18"/>
  <c r="H657" i="18"/>
  <c r="H658" i="18"/>
  <c r="H659" i="18"/>
  <c r="H660" i="18"/>
  <c r="H661" i="18"/>
  <c r="H662" i="18"/>
  <c r="H663" i="18"/>
  <c r="H664" i="18"/>
  <c r="H665" i="18"/>
  <c r="H666" i="18"/>
  <c r="H667" i="18"/>
  <c r="H668" i="18"/>
  <c r="H669" i="18"/>
  <c r="H670" i="18"/>
  <c r="H671" i="18"/>
  <c r="H672" i="18"/>
  <c r="H673" i="18"/>
  <c r="H674" i="18"/>
  <c r="H675" i="18"/>
  <c r="H676" i="18"/>
  <c r="H677" i="18"/>
  <c r="H678" i="18"/>
  <c r="H679" i="18"/>
  <c r="H680" i="18"/>
  <c r="H681" i="18"/>
  <c r="H682" i="18"/>
  <c r="H683" i="18"/>
  <c r="H684" i="18"/>
  <c r="H685" i="18"/>
  <c r="H686" i="18"/>
  <c r="H687" i="18"/>
  <c r="H688" i="18"/>
  <c r="H689" i="18"/>
  <c r="H690" i="18"/>
  <c r="H691" i="18"/>
  <c r="H692" i="18"/>
  <c r="H693" i="18"/>
  <c r="H694" i="18"/>
  <c r="H695" i="18"/>
  <c r="H696" i="18"/>
  <c r="H697" i="18"/>
  <c r="H698" i="18"/>
  <c r="H699" i="18"/>
  <c r="H700" i="18"/>
  <c r="H701" i="18"/>
  <c r="H702" i="18"/>
  <c r="H703" i="18"/>
  <c r="H704" i="18"/>
  <c r="H705" i="18"/>
  <c r="H706" i="18"/>
  <c r="H707" i="18"/>
  <c r="H708" i="18"/>
  <c r="H709" i="18"/>
  <c r="H710" i="18"/>
  <c r="H711" i="18"/>
  <c r="H712" i="18"/>
  <c r="H713" i="18"/>
  <c r="H714" i="18"/>
  <c r="H715" i="18"/>
  <c r="H716" i="18"/>
  <c r="H717" i="18"/>
  <c r="H718" i="18"/>
  <c r="H719" i="18"/>
  <c r="H720" i="18"/>
  <c r="H721" i="18"/>
  <c r="H722" i="18"/>
  <c r="H723" i="18"/>
  <c r="H724" i="18"/>
  <c r="H725" i="18"/>
  <c r="H726" i="18"/>
  <c r="H727" i="18"/>
  <c r="H728" i="18"/>
  <c r="H729" i="18"/>
  <c r="A598" i="17"/>
  <c r="A599" i="17"/>
  <c r="A600" i="17"/>
  <c r="A601" i="17"/>
  <c r="A602" i="17"/>
  <c r="A603" i="17"/>
  <c r="A604" i="17"/>
  <c r="A605" i="17"/>
  <c r="A606" i="17"/>
  <c r="A607" i="17"/>
  <c r="A608" i="17"/>
  <c r="D598" i="17"/>
  <c r="C598" i="17" s="1"/>
  <c r="D599" i="17"/>
  <c r="B599" i="17" s="1"/>
  <c r="D600" i="17"/>
  <c r="C600" i="17" s="1"/>
  <c r="D601" i="17"/>
  <c r="B601" i="17" s="1"/>
  <c r="D602" i="17"/>
  <c r="B602" i="17" s="1"/>
  <c r="D603" i="17"/>
  <c r="B603" i="17" s="1"/>
  <c r="D604" i="17"/>
  <c r="C604" i="17" s="1"/>
  <c r="D605" i="17"/>
  <c r="B605" i="17" s="1"/>
  <c r="D606" i="17"/>
  <c r="B606" i="17" s="1"/>
  <c r="D607" i="17"/>
  <c r="B607" i="17" s="1"/>
  <c r="D608" i="17"/>
  <c r="C608" i="17" s="1"/>
  <c r="A597" i="17"/>
  <c r="D597" i="17"/>
  <c r="C597" i="17" s="1"/>
  <c r="G244" i="17"/>
  <c r="G245" i="17"/>
  <c r="G246" i="17"/>
  <c r="G247" i="17"/>
  <c r="G248" i="17"/>
  <c r="G249" i="17"/>
  <c r="G250" i="17"/>
  <c r="G251" i="17"/>
  <c r="G252" i="17"/>
  <c r="G253" i="17"/>
  <c r="G254" i="17"/>
  <c r="G243" i="17"/>
  <c r="C55" i="20"/>
  <c r="C71" i="20"/>
  <c r="C54" i="20"/>
  <c r="E53" i="20"/>
  <c r="C53" i="20"/>
  <c r="C73" i="20"/>
  <c r="E61" i="20"/>
  <c r="C61" i="20"/>
  <c r="E52" i="20"/>
  <c r="C52" i="20"/>
  <c r="C229" i="17" l="1"/>
  <c r="C228" i="17"/>
  <c r="I2" i="27"/>
  <c r="C607" i="17"/>
  <c r="B604" i="17"/>
  <c r="C603" i="17"/>
  <c r="B608" i="17"/>
  <c r="C599" i="17"/>
  <c r="B600" i="17"/>
  <c r="C606" i="17"/>
  <c r="C605" i="17"/>
  <c r="B598" i="17"/>
  <c r="B597" i="17"/>
  <c r="C602" i="17"/>
  <c r="C601" i="17"/>
  <c r="E22" i="20"/>
  <c r="C22" i="20"/>
  <c r="E32" i="20"/>
  <c r="C32" i="20"/>
  <c r="E21" i="20" l="1"/>
  <c r="C72" i="20" l="1"/>
  <c r="E20" i="20"/>
  <c r="C20" i="20"/>
  <c r="E34" i="20" l="1"/>
  <c r="C34" i="20"/>
  <c r="E47" i="20"/>
  <c r="E48" i="20"/>
  <c r="C48" i="20"/>
  <c r="V149" i="22" l="1"/>
  <c r="V148" i="22"/>
  <c r="P3" i="22"/>
  <c r="Q3" i="22"/>
  <c r="R3" i="22"/>
  <c r="S3" i="22"/>
  <c r="T3" i="22"/>
  <c r="U3" i="22"/>
  <c r="P4" i="22"/>
  <c r="Q4" i="22"/>
  <c r="R4" i="22"/>
  <c r="S4" i="22"/>
  <c r="T4" i="22"/>
  <c r="U4" i="22"/>
  <c r="P5" i="22"/>
  <c r="Q5" i="22"/>
  <c r="R5" i="22"/>
  <c r="S5" i="22"/>
  <c r="T5" i="22"/>
  <c r="U5" i="22"/>
  <c r="P6" i="22"/>
  <c r="Q6" i="22"/>
  <c r="R6" i="22"/>
  <c r="S6" i="22"/>
  <c r="T6" i="22"/>
  <c r="U6" i="22"/>
  <c r="P7" i="22"/>
  <c r="Q7" i="22"/>
  <c r="R7" i="22"/>
  <c r="S7" i="22"/>
  <c r="T7" i="22"/>
  <c r="U7" i="22"/>
  <c r="P8" i="22"/>
  <c r="Q8" i="22"/>
  <c r="R8" i="22"/>
  <c r="S8" i="22"/>
  <c r="T8" i="22"/>
  <c r="U8" i="22"/>
  <c r="P9" i="22"/>
  <c r="Q9" i="22"/>
  <c r="R9" i="22"/>
  <c r="S9" i="22"/>
  <c r="T9" i="22"/>
  <c r="U9" i="22"/>
  <c r="P10" i="22"/>
  <c r="Q10" i="22"/>
  <c r="R10" i="22"/>
  <c r="S10" i="22"/>
  <c r="T10" i="22"/>
  <c r="U10" i="22"/>
  <c r="P11" i="22"/>
  <c r="Q11" i="22"/>
  <c r="R11" i="22"/>
  <c r="S11" i="22"/>
  <c r="T11" i="22"/>
  <c r="U11" i="22"/>
  <c r="P12" i="22"/>
  <c r="Q12" i="22"/>
  <c r="R12" i="22"/>
  <c r="S12" i="22"/>
  <c r="T12" i="22"/>
  <c r="U12" i="22"/>
  <c r="P13" i="22"/>
  <c r="Q13" i="22"/>
  <c r="R13" i="22"/>
  <c r="S13" i="22"/>
  <c r="T13" i="22"/>
  <c r="U13" i="22"/>
  <c r="P14" i="22"/>
  <c r="Q14" i="22"/>
  <c r="R14" i="22"/>
  <c r="S14" i="22"/>
  <c r="T14" i="22"/>
  <c r="U14" i="22"/>
  <c r="P15" i="22"/>
  <c r="Q15" i="22"/>
  <c r="R15" i="22"/>
  <c r="S15" i="22"/>
  <c r="T15" i="22"/>
  <c r="U15" i="22"/>
  <c r="P16" i="22"/>
  <c r="Q16" i="22"/>
  <c r="R16" i="22"/>
  <c r="S16" i="22"/>
  <c r="T16" i="22"/>
  <c r="U16" i="22"/>
  <c r="P17" i="22"/>
  <c r="Q17" i="22"/>
  <c r="R17" i="22"/>
  <c r="S17" i="22"/>
  <c r="T17" i="22"/>
  <c r="U17" i="22"/>
  <c r="P18" i="22"/>
  <c r="Q18" i="22"/>
  <c r="R18" i="22"/>
  <c r="S18" i="22"/>
  <c r="T18" i="22"/>
  <c r="U18" i="22"/>
  <c r="P19" i="22"/>
  <c r="Q19" i="22"/>
  <c r="R19" i="22"/>
  <c r="S19" i="22"/>
  <c r="T19" i="22"/>
  <c r="U19" i="22"/>
  <c r="P20" i="22"/>
  <c r="Q20" i="22"/>
  <c r="R20" i="22"/>
  <c r="S20" i="22"/>
  <c r="T20" i="22"/>
  <c r="U20" i="22"/>
  <c r="P21" i="22"/>
  <c r="Q21" i="22"/>
  <c r="R21" i="22"/>
  <c r="S21" i="22"/>
  <c r="T21" i="22"/>
  <c r="U21" i="22"/>
  <c r="P22" i="22"/>
  <c r="Q22" i="22"/>
  <c r="R22" i="22"/>
  <c r="S22" i="22"/>
  <c r="T22" i="22"/>
  <c r="U22" i="22"/>
  <c r="P23" i="22"/>
  <c r="Q23" i="22"/>
  <c r="R23" i="22"/>
  <c r="S23" i="22"/>
  <c r="T23" i="22"/>
  <c r="U23" i="22"/>
  <c r="P24" i="22"/>
  <c r="Q24" i="22"/>
  <c r="R24" i="22"/>
  <c r="S24" i="22"/>
  <c r="T24" i="22"/>
  <c r="U24" i="22"/>
  <c r="P25" i="22"/>
  <c r="Q25" i="22"/>
  <c r="R25" i="22"/>
  <c r="S25" i="22"/>
  <c r="T25" i="22"/>
  <c r="U25" i="22"/>
  <c r="P26" i="22"/>
  <c r="Q26" i="22"/>
  <c r="R26" i="22"/>
  <c r="S26" i="22"/>
  <c r="T26" i="22"/>
  <c r="U26" i="22"/>
  <c r="P27" i="22"/>
  <c r="Q27" i="22"/>
  <c r="R27" i="22"/>
  <c r="S27" i="22"/>
  <c r="T27" i="22"/>
  <c r="U27" i="22"/>
  <c r="P28" i="22"/>
  <c r="Q28" i="22"/>
  <c r="R28" i="22"/>
  <c r="S28" i="22"/>
  <c r="T28" i="22"/>
  <c r="U28" i="22"/>
  <c r="P29" i="22"/>
  <c r="Q29" i="22"/>
  <c r="R29" i="22"/>
  <c r="S29" i="22"/>
  <c r="T29" i="22"/>
  <c r="U29" i="22"/>
  <c r="P30" i="22"/>
  <c r="Q30" i="22"/>
  <c r="R30" i="22"/>
  <c r="S30" i="22"/>
  <c r="T30" i="22"/>
  <c r="U30" i="22"/>
  <c r="P31" i="22"/>
  <c r="Q31" i="22"/>
  <c r="R31" i="22"/>
  <c r="S31" i="22"/>
  <c r="T31" i="22"/>
  <c r="U31" i="22"/>
  <c r="P32" i="22"/>
  <c r="Q32" i="22"/>
  <c r="R32" i="22"/>
  <c r="S32" i="22"/>
  <c r="T32" i="22"/>
  <c r="U32" i="22"/>
  <c r="P33" i="22"/>
  <c r="Q33" i="22"/>
  <c r="R33" i="22"/>
  <c r="S33" i="22"/>
  <c r="T33" i="22"/>
  <c r="U33" i="22"/>
  <c r="P34" i="22"/>
  <c r="Q34" i="22"/>
  <c r="R34" i="22"/>
  <c r="S34" i="22"/>
  <c r="T34" i="22"/>
  <c r="U34" i="22"/>
  <c r="P35" i="22"/>
  <c r="Q35" i="22"/>
  <c r="R35" i="22"/>
  <c r="S35" i="22"/>
  <c r="T35" i="22"/>
  <c r="U35" i="22"/>
  <c r="P36" i="22"/>
  <c r="Q36" i="22"/>
  <c r="R36" i="22"/>
  <c r="S36" i="22"/>
  <c r="T36" i="22"/>
  <c r="U36" i="22"/>
  <c r="P37" i="22"/>
  <c r="Q37" i="22"/>
  <c r="R37" i="22"/>
  <c r="S37" i="22"/>
  <c r="T37" i="22"/>
  <c r="U37" i="22"/>
  <c r="P38" i="22"/>
  <c r="Q38" i="22"/>
  <c r="R38" i="22"/>
  <c r="S38" i="22"/>
  <c r="T38" i="22"/>
  <c r="U38" i="22"/>
  <c r="P39" i="22"/>
  <c r="Q39" i="22"/>
  <c r="R39" i="22"/>
  <c r="S39" i="22"/>
  <c r="T39" i="22"/>
  <c r="U39" i="22"/>
  <c r="P40" i="22"/>
  <c r="Q40" i="22"/>
  <c r="R40" i="22"/>
  <c r="S40" i="22"/>
  <c r="T40" i="22"/>
  <c r="U40" i="22"/>
  <c r="P41" i="22"/>
  <c r="Q41" i="22"/>
  <c r="R41" i="22"/>
  <c r="S41" i="22"/>
  <c r="T41" i="22"/>
  <c r="U41" i="22"/>
  <c r="P42" i="22"/>
  <c r="Q42" i="22"/>
  <c r="R42" i="22"/>
  <c r="S42" i="22"/>
  <c r="T42" i="22"/>
  <c r="U42" i="22"/>
  <c r="P43" i="22"/>
  <c r="Q43" i="22"/>
  <c r="R43" i="22"/>
  <c r="S43" i="22"/>
  <c r="T43" i="22"/>
  <c r="U43" i="22"/>
  <c r="P44" i="22"/>
  <c r="Q44" i="22"/>
  <c r="R44" i="22"/>
  <c r="S44" i="22"/>
  <c r="T44" i="22"/>
  <c r="U44" i="22"/>
  <c r="P45" i="22"/>
  <c r="Q45" i="22"/>
  <c r="R45" i="22"/>
  <c r="S45" i="22"/>
  <c r="T45" i="22"/>
  <c r="U45" i="22"/>
  <c r="P46" i="22"/>
  <c r="Q46" i="22"/>
  <c r="R46" i="22"/>
  <c r="S46" i="22"/>
  <c r="T46" i="22"/>
  <c r="U46" i="22"/>
  <c r="P47" i="22"/>
  <c r="Q47" i="22"/>
  <c r="R47" i="22"/>
  <c r="S47" i="22"/>
  <c r="T47" i="22"/>
  <c r="U47" i="22"/>
  <c r="P48" i="22"/>
  <c r="Q48" i="22"/>
  <c r="R48" i="22"/>
  <c r="S48" i="22"/>
  <c r="T48" i="22"/>
  <c r="U48" i="22"/>
  <c r="P49" i="22"/>
  <c r="Q49" i="22"/>
  <c r="R49" i="22"/>
  <c r="S49" i="22"/>
  <c r="T49" i="22"/>
  <c r="U49" i="22"/>
  <c r="P50" i="22"/>
  <c r="Q50" i="22"/>
  <c r="R50" i="22"/>
  <c r="S50" i="22"/>
  <c r="T50" i="22"/>
  <c r="U50" i="22"/>
  <c r="P51" i="22"/>
  <c r="Q51" i="22"/>
  <c r="R51" i="22"/>
  <c r="S51" i="22"/>
  <c r="T51" i="22"/>
  <c r="U51" i="22"/>
  <c r="P52" i="22"/>
  <c r="Q52" i="22"/>
  <c r="R52" i="22"/>
  <c r="S52" i="22"/>
  <c r="T52" i="22"/>
  <c r="U52" i="22"/>
  <c r="P53" i="22"/>
  <c r="Q53" i="22"/>
  <c r="R53" i="22"/>
  <c r="S53" i="22"/>
  <c r="T53" i="22"/>
  <c r="U53" i="22"/>
  <c r="P54" i="22"/>
  <c r="Q54" i="22"/>
  <c r="R54" i="22"/>
  <c r="S54" i="22"/>
  <c r="T54" i="22"/>
  <c r="U54" i="22"/>
  <c r="P55" i="22"/>
  <c r="Q55" i="22"/>
  <c r="R55" i="22"/>
  <c r="S55" i="22"/>
  <c r="T55" i="22"/>
  <c r="U55" i="22"/>
  <c r="P56" i="22"/>
  <c r="Q56" i="22"/>
  <c r="R56" i="22"/>
  <c r="S56" i="22"/>
  <c r="T56" i="22"/>
  <c r="U56" i="22"/>
  <c r="P57" i="22"/>
  <c r="Q57" i="22"/>
  <c r="R57" i="22"/>
  <c r="S57" i="22"/>
  <c r="T57" i="22"/>
  <c r="U57" i="22"/>
  <c r="P58" i="22"/>
  <c r="Q58" i="22"/>
  <c r="R58" i="22"/>
  <c r="S58" i="22"/>
  <c r="T58" i="22"/>
  <c r="U58" i="22"/>
  <c r="P59" i="22"/>
  <c r="Q59" i="22"/>
  <c r="R59" i="22"/>
  <c r="S59" i="22"/>
  <c r="T59" i="22"/>
  <c r="U59" i="22"/>
  <c r="P60" i="22"/>
  <c r="Q60" i="22"/>
  <c r="R60" i="22"/>
  <c r="S60" i="22"/>
  <c r="T60" i="22"/>
  <c r="U60" i="22"/>
  <c r="P61" i="22"/>
  <c r="Q61" i="22"/>
  <c r="R61" i="22"/>
  <c r="S61" i="22"/>
  <c r="T61" i="22"/>
  <c r="U61" i="22"/>
  <c r="P62" i="22"/>
  <c r="Q62" i="22"/>
  <c r="R62" i="22"/>
  <c r="S62" i="22"/>
  <c r="T62" i="22"/>
  <c r="U62" i="22"/>
  <c r="P63" i="22"/>
  <c r="Q63" i="22"/>
  <c r="R63" i="22"/>
  <c r="S63" i="22"/>
  <c r="T63" i="22"/>
  <c r="U63" i="22"/>
  <c r="P64" i="22"/>
  <c r="Q64" i="22"/>
  <c r="R64" i="22"/>
  <c r="S64" i="22"/>
  <c r="T64" i="22"/>
  <c r="U64" i="22"/>
  <c r="P65" i="22"/>
  <c r="Q65" i="22"/>
  <c r="R65" i="22"/>
  <c r="S65" i="22"/>
  <c r="T65" i="22"/>
  <c r="U65" i="22"/>
  <c r="P66" i="22"/>
  <c r="Q66" i="22"/>
  <c r="R66" i="22"/>
  <c r="S66" i="22"/>
  <c r="T66" i="22"/>
  <c r="U66" i="22"/>
  <c r="P67" i="22"/>
  <c r="Q67" i="22"/>
  <c r="R67" i="22"/>
  <c r="S67" i="22"/>
  <c r="T67" i="22"/>
  <c r="U67" i="22"/>
  <c r="P68" i="22"/>
  <c r="Q68" i="22"/>
  <c r="R68" i="22"/>
  <c r="S68" i="22"/>
  <c r="T68" i="22"/>
  <c r="U68" i="22"/>
  <c r="P69" i="22"/>
  <c r="Q69" i="22"/>
  <c r="R69" i="22"/>
  <c r="S69" i="22"/>
  <c r="T69" i="22"/>
  <c r="U69" i="22"/>
  <c r="P70" i="22"/>
  <c r="Q70" i="22"/>
  <c r="R70" i="22"/>
  <c r="S70" i="22"/>
  <c r="T70" i="22"/>
  <c r="U70" i="22"/>
  <c r="P71" i="22"/>
  <c r="Q71" i="22"/>
  <c r="R71" i="22"/>
  <c r="S71" i="22"/>
  <c r="T71" i="22"/>
  <c r="U71" i="22"/>
  <c r="P72" i="22"/>
  <c r="Q72" i="22"/>
  <c r="R72" i="22"/>
  <c r="S72" i="22"/>
  <c r="T72" i="22"/>
  <c r="U72" i="22"/>
  <c r="P73" i="22"/>
  <c r="Q73" i="22"/>
  <c r="R73" i="22"/>
  <c r="S73" i="22"/>
  <c r="T73" i="22"/>
  <c r="U73" i="22"/>
  <c r="P74" i="22"/>
  <c r="Q74" i="22"/>
  <c r="R74" i="22"/>
  <c r="S74" i="22"/>
  <c r="T74" i="22"/>
  <c r="U74" i="22"/>
  <c r="P75" i="22"/>
  <c r="Q75" i="22"/>
  <c r="R75" i="22"/>
  <c r="S75" i="22"/>
  <c r="T75" i="22"/>
  <c r="U75" i="22"/>
  <c r="P76" i="22"/>
  <c r="Q76" i="22"/>
  <c r="R76" i="22"/>
  <c r="S76" i="22"/>
  <c r="T76" i="22"/>
  <c r="U76" i="22"/>
  <c r="P77" i="22"/>
  <c r="Q77" i="22"/>
  <c r="R77" i="22"/>
  <c r="S77" i="22"/>
  <c r="T77" i="22"/>
  <c r="U77" i="22"/>
  <c r="P78" i="22"/>
  <c r="Q78" i="22"/>
  <c r="R78" i="22"/>
  <c r="S78" i="22"/>
  <c r="T78" i="22"/>
  <c r="U78" i="22"/>
  <c r="P79" i="22"/>
  <c r="Q79" i="22"/>
  <c r="R79" i="22"/>
  <c r="S79" i="22"/>
  <c r="T79" i="22"/>
  <c r="U79" i="22"/>
  <c r="P80" i="22"/>
  <c r="Q80" i="22"/>
  <c r="R80" i="22"/>
  <c r="S80" i="22"/>
  <c r="T80" i="22"/>
  <c r="U80" i="22"/>
  <c r="P81" i="22"/>
  <c r="Q81" i="22"/>
  <c r="R81" i="22"/>
  <c r="S81" i="22"/>
  <c r="T81" i="22"/>
  <c r="U81" i="22"/>
  <c r="P82" i="22"/>
  <c r="Q82" i="22"/>
  <c r="R82" i="22"/>
  <c r="S82" i="22"/>
  <c r="T82" i="22"/>
  <c r="U82" i="22"/>
  <c r="P83" i="22"/>
  <c r="Q83" i="22"/>
  <c r="R83" i="22"/>
  <c r="S83" i="22"/>
  <c r="T83" i="22"/>
  <c r="U83" i="22"/>
  <c r="P84" i="22"/>
  <c r="Q84" i="22"/>
  <c r="R84" i="22"/>
  <c r="S84" i="22"/>
  <c r="T84" i="22"/>
  <c r="U84" i="22"/>
  <c r="P85" i="22"/>
  <c r="Q85" i="22"/>
  <c r="R85" i="22"/>
  <c r="S85" i="22"/>
  <c r="T85" i="22"/>
  <c r="U85" i="22"/>
  <c r="P86" i="22"/>
  <c r="Q86" i="22"/>
  <c r="R86" i="22"/>
  <c r="S86" i="22"/>
  <c r="T86" i="22"/>
  <c r="U86" i="22"/>
  <c r="P87" i="22"/>
  <c r="Q87" i="22"/>
  <c r="R87" i="22"/>
  <c r="S87" i="22"/>
  <c r="T87" i="22"/>
  <c r="U87" i="22"/>
  <c r="P88" i="22"/>
  <c r="Q88" i="22"/>
  <c r="R88" i="22"/>
  <c r="S88" i="22"/>
  <c r="T88" i="22"/>
  <c r="U88" i="22"/>
  <c r="P89" i="22"/>
  <c r="Q89" i="22"/>
  <c r="R89" i="22"/>
  <c r="S89" i="22"/>
  <c r="T89" i="22"/>
  <c r="U89" i="22"/>
  <c r="P90" i="22"/>
  <c r="Q90" i="22"/>
  <c r="R90" i="22"/>
  <c r="S90" i="22"/>
  <c r="T90" i="22"/>
  <c r="U90" i="22"/>
  <c r="P91" i="22"/>
  <c r="Q91" i="22"/>
  <c r="R91" i="22"/>
  <c r="S91" i="22"/>
  <c r="T91" i="22"/>
  <c r="U91" i="22"/>
  <c r="P92" i="22"/>
  <c r="Q92" i="22"/>
  <c r="R92" i="22"/>
  <c r="S92" i="22"/>
  <c r="T92" i="22"/>
  <c r="U92" i="22"/>
  <c r="P93" i="22"/>
  <c r="Q93" i="22"/>
  <c r="R93" i="22"/>
  <c r="S93" i="22"/>
  <c r="T93" i="22"/>
  <c r="U93" i="22"/>
  <c r="P94" i="22"/>
  <c r="Q94" i="22"/>
  <c r="R94" i="22"/>
  <c r="S94" i="22"/>
  <c r="T94" i="22"/>
  <c r="U94" i="22"/>
  <c r="P95" i="22"/>
  <c r="Q95" i="22"/>
  <c r="R95" i="22"/>
  <c r="S95" i="22"/>
  <c r="T95" i="22"/>
  <c r="U95" i="22"/>
  <c r="P96" i="22"/>
  <c r="Q96" i="22"/>
  <c r="R96" i="22"/>
  <c r="S96" i="22"/>
  <c r="T96" i="22"/>
  <c r="U96" i="22"/>
  <c r="P97" i="22"/>
  <c r="Q97" i="22"/>
  <c r="R97" i="22"/>
  <c r="S97" i="22"/>
  <c r="T97" i="22"/>
  <c r="U97" i="22"/>
  <c r="P98" i="22"/>
  <c r="Q98" i="22"/>
  <c r="R98" i="22"/>
  <c r="S98" i="22"/>
  <c r="T98" i="22"/>
  <c r="U98" i="22"/>
  <c r="P99" i="22"/>
  <c r="Q99" i="22"/>
  <c r="R99" i="22"/>
  <c r="S99" i="22"/>
  <c r="T99" i="22"/>
  <c r="U99" i="22"/>
  <c r="P100" i="22"/>
  <c r="Q100" i="22"/>
  <c r="R100" i="22"/>
  <c r="S100" i="22"/>
  <c r="T100" i="22"/>
  <c r="U100" i="22"/>
  <c r="P101" i="22"/>
  <c r="Q101" i="22"/>
  <c r="R101" i="22"/>
  <c r="S101" i="22"/>
  <c r="T101" i="22"/>
  <c r="U101" i="22"/>
  <c r="P102" i="22"/>
  <c r="Q102" i="22"/>
  <c r="R102" i="22"/>
  <c r="S102" i="22"/>
  <c r="T102" i="22"/>
  <c r="U102" i="22"/>
  <c r="P103" i="22"/>
  <c r="Q103" i="22"/>
  <c r="R103" i="22"/>
  <c r="S103" i="22"/>
  <c r="T103" i="22"/>
  <c r="U103" i="22"/>
  <c r="P104" i="22"/>
  <c r="Q104" i="22"/>
  <c r="R104" i="22"/>
  <c r="S104" i="22"/>
  <c r="T104" i="22"/>
  <c r="U104" i="22"/>
  <c r="P105" i="22"/>
  <c r="Q105" i="22"/>
  <c r="R105" i="22"/>
  <c r="S105" i="22"/>
  <c r="T105" i="22"/>
  <c r="U105" i="22"/>
  <c r="P106" i="22"/>
  <c r="Q106" i="22"/>
  <c r="R106" i="22"/>
  <c r="S106" i="22"/>
  <c r="T106" i="22"/>
  <c r="U106" i="22"/>
  <c r="P107" i="22"/>
  <c r="Q107" i="22"/>
  <c r="R107" i="22"/>
  <c r="S107" i="22"/>
  <c r="T107" i="22"/>
  <c r="U107" i="22"/>
  <c r="P108" i="22"/>
  <c r="Q108" i="22"/>
  <c r="R108" i="22"/>
  <c r="S108" i="22"/>
  <c r="T108" i="22"/>
  <c r="U108" i="22"/>
  <c r="P109" i="22"/>
  <c r="Q109" i="22"/>
  <c r="R109" i="22"/>
  <c r="S109" i="22"/>
  <c r="T109" i="22"/>
  <c r="U109" i="22"/>
  <c r="P110" i="22"/>
  <c r="Q110" i="22"/>
  <c r="R110" i="22"/>
  <c r="S110" i="22"/>
  <c r="T110" i="22"/>
  <c r="U110" i="22"/>
  <c r="P111" i="22"/>
  <c r="Q111" i="22"/>
  <c r="R111" i="22"/>
  <c r="S111" i="22"/>
  <c r="T111" i="22"/>
  <c r="U111" i="22"/>
  <c r="P112" i="22"/>
  <c r="Q112" i="22"/>
  <c r="R112" i="22"/>
  <c r="S112" i="22"/>
  <c r="T112" i="22"/>
  <c r="U112" i="22"/>
  <c r="P113" i="22"/>
  <c r="Q113" i="22"/>
  <c r="R113" i="22"/>
  <c r="S113" i="22"/>
  <c r="T113" i="22"/>
  <c r="U113" i="22"/>
  <c r="P114" i="22"/>
  <c r="Q114" i="22"/>
  <c r="R114" i="22"/>
  <c r="S114" i="22"/>
  <c r="T114" i="22"/>
  <c r="U114" i="22"/>
  <c r="P115" i="22"/>
  <c r="Q115" i="22"/>
  <c r="R115" i="22"/>
  <c r="S115" i="22"/>
  <c r="T115" i="22"/>
  <c r="U115" i="22"/>
  <c r="P116" i="22"/>
  <c r="Q116" i="22"/>
  <c r="R116" i="22"/>
  <c r="S116" i="22"/>
  <c r="T116" i="22"/>
  <c r="U116" i="22"/>
  <c r="P117" i="22"/>
  <c r="Q117" i="22"/>
  <c r="P118" i="22"/>
  <c r="Q118" i="22"/>
  <c r="R118" i="22"/>
  <c r="S118" i="22"/>
  <c r="T118" i="22"/>
  <c r="U118" i="22"/>
  <c r="P119" i="22"/>
  <c r="Q119" i="22"/>
  <c r="R119" i="22"/>
  <c r="S119" i="22"/>
  <c r="T119" i="22"/>
  <c r="U119" i="22"/>
  <c r="P120" i="22"/>
  <c r="Q120" i="22"/>
  <c r="R120" i="22"/>
  <c r="S120" i="22"/>
  <c r="T120" i="22"/>
  <c r="U120" i="22"/>
  <c r="P121" i="22"/>
  <c r="Q121" i="22"/>
  <c r="R121" i="22"/>
  <c r="S121" i="22"/>
  <c r="T121" i="22"/>
  <c r="U121" i="22"/>
  <c r="P122" i="22"/>
  <c r="Q122" i="22"/>
  <c r="R122" i="22"/>
  <c r="S122" i="22"/>
  <c r="T122" i="22"/>
  <c r="U122" i="22"/>
  <c r="P123" i="22"/>
  <c r="Q123" i="22"/>
  <c r="R123" i="22"/>
  <c r="S123" i="22"/>
  <c r="T123" i="22"/>
  <c r="U123" i="22"/>
  <c r="P124" i="22"/>
  <c r="Q124" i="22"/>
  <c r="R124" i="22"/>
  <c r="S124" i="22"/>
  <c r="T124" i="22"/>
  <c r="U124" i="22"/>
  <c r="P125" i="22"/>
  <c r="Q125" i="22"/>
  <c r="R125" i="22"/>
  <c r="S125" i="22"/>
  <c r="T125" i="22"/>
  <c r="U125" i="22"/>
  <c r="P126" i="22"/>
  <c r="Q126" i="22"/>
  <c r="R126" i="22"/>
  <c r="S126" i="22"/>
  <c r="T126" i="22"/>
  <c r="U126" i="22"/>
  <c r="P127" i="22"/>
  <c r="Q127" i="22"/>
  <c r="R127" i="22"/>
  <c r="S127" i="22"/>
  <c r="T127" i="22"/>
  <c r="U127" i="22"/>
  <c r="P128" i="22"/>
  <c r="Q128" i="22"/>
  <c r="R128" i="22"/>
  <c r="S128" i="22"/>
  <c r="T128" i="22"/>
  <c r="U128" i="22"/>
  <c r="P129" i="22"/>
  <c r="Q129" i="22"/>
  <c r="R129" i="22"/>
  <c r="S129" i="22"/>
  <c r="T129" i="22"/>
  <c r="U129" i="22"/>
  <c r="P130" i="22"/>
  <c r="Q130" i="22"/>
  <c r="R130" i="22"/>
  <c r="S130" i="22"/>
  <c r="T130" i="22"/>
  <c r="U130" i="22"/>
  <c r="P131" i="22"/>
  <c r="Q131" i="22"/>
  <c r="R131" i="22"/>
  <c r="S131" i="22"/>
  <c r="T131" i="22"/>
  <c r="U131" i="22"/>
  <c r="P132" i="22"/>
  <c r="Q132" i="22"/>
  <c r="R132" i="22"/>
  <c r="S132" i="22"/>
  <c r="T132" i="22"/>
  <c r="U132" i="22"/>
  <c r="P133" i="22"/>
  <c r="Q133" i="22"/>
  <c r="R133" i="22"/>
  <c r="S133" i="22"/>
  <c r="T133" i="22"/>
  <c r="U133" i="22"/>
  <c r="P134" i="22"/>
  <c r="Q134" i="22"/>
  <c r="R134" i="22"/>
  <c r="S134" i="22"/>
  <c r="T134" i="22"/>
  <c r="U134" i="22"/>
  <c r="P135" i="22"/>
  <c r="Q135" i="22"/>
  <c r="R135" i="22"/>
  <c r="S135" i="22"/>
  <c r="T135" i="22"/>
  <c r="U135" i="22"/>
  <c r="P136" i="22"/>
  <c r="Q136" i="22"/>
  <c r="R136" i="22"/>
  <c r="S136" i="22"/>
  <c r="T136" i="22"/>
  <c r="U136" i="22"/>
  <c r="P137" i="22"/>
  <c r="Q137" i="22"/>
  <c r="R137" i="22"/>
  <c r="S137" i="22"/>
  <c r="T137" i="22"/>
  <c r="U137" i="22"/>
  <c r="P138" i="22"/>
  <c r="Q138" i="22"/>
  <c r="R138" i="22"/>
  <c r="S138" i="22"/>
  <c r="T138" i="22"/>
  <c r="U138" i="22"/>
  <c r="P139" i="22"/>
  <c r="Q139" i="22"/>
  <c r="R139" i="22"/>
  <c r="S139" i="22"/>
  <c r="T139" i="22"/>
  <c r="U139" i="22"/>
  <c r="P140" i="22"/>
  <c r="Q140" i="22"/>
  <c r="R140" i="22"/>
  <c r="S140" i="22"/>
  <c r="T140" i="22"/>
  <c r="U140" i="22"/>
  <c r="P141" i="22"/>
  <c r="Q141" i="22"/>
  <c r="R141" i="22"/>
  <c r="S141" i="22"/>
  <c r="T141" i="22"/>
  <c r="U141" i="22"/>
  <c r="P142" i="22"/>
  <c r="Q142" i="22"/>
  <c r="R142" i="22"/>
  <c r="S142" i="22"/>
  <c r="T142" i="22"/>
  <c r="U142" i="22"/>
  <c r="P143" i="22"/>
  <c r="Q143" i="22"/>
  <c r="R143" i="22"/>
  <c r="S143" i="22"/>
  <c r="T143" i="22"/>
  <c r="U143" i="22"/>
  <c r="P144" i="22"/>
  <c r="Q144" i="22"/>
  <c r="R144" i="22"/>
  <c r="S144" i="22"/>
  <c r="T144" i="22"/>
  <c r="U144" i="22"/>
  <c r="V145" i="22"/>
  <c r="P146" i="22"/>
  <c r="Q146" i="22"/>
  <c r="R146" i="22"/>
  <c r="S146" i="22"/>
  <c r="T146" i="22"/>
  <c r="U146" i="22"/>
  <c r="P147" i="22"/>
  <c r="Q147" i="22"/>
  <c r="R147" i="22"/>
  <c r="S147" i="22"/>
  <c r="T147" i="22"/>
  <c r="U147" i="22"/>
  <c r="P150" i="22"/>
  <c r="Q150" i="22"/>
  <c r="R150" i="22"/>
  <c r="S150" i="22"/>
  <c r="T150" i="22"/>
  <c r="U150" i="22"/>
  <c r="P151" i="22"/>
  <c r="Q151" i="22"/>
  <c r="R151" i="22"/>
  <c r="S151" i="22"/>
  <c r="T151" i="22"/>
  <c r="U151" i="22"/>
  <c r="P152" i="22"/>
  <c r="Q152" i="22"/>
  <c r="R152" i="22"/>
  <c r="S152" i="22"/>
  <c r="T152" i="22"/>
  <c r="U152" i="22"/>
  <c r="P153" i="22"/>
  <c r="Q153" i="22"/>
  <c r="R153" i="22"/>
  <c r="S153" i="22"/>
  <c r="T153" i="22"/>
  <c r="U153" i="22"/>
  <c r="P154" i="22"/>
  <c r="Q154" i="22"/>
  <c r="R154" i="22"/>
  <c r="S154" i="22"/>
  <c r="T154" i="22"/>
  <c r="U154" i="22"/>
  <c r="P155" i="22"/>
  <c r="Q155" i="22"/>
  <c r="R155" i="22"/>
  <c r="S155" i="22"/>
  <c r="T155" i="22"/>
  <c r="U155" i="22"/>
  <c r="P156" i="22"/>
  <c r="Q156" i="22"/>
  <c r="R156" i="22"/>
  <c r="S156" i="22"/>
  <c r="T156" i="22"/>
  <c r="U156" i="22"/>
  <c r="P157" i="22"/>
  <c r="Q157" i="22"/>
  <c r="R157" i="22"/>
  <c r="S157" i="22"/>
  <c r="T157" i="22"/>
  <c r="U157" i="22"/>
  <c r="P158" i="22"/>
  <c r="Q158" i="22"/>
  <c r="R158" i="22"/>
  <c r="S158" i="22"/>
  <c r="T158" i="22"/>
  <c r="U158" i="22"/>
  <c r="P159" i="22"/>
  <c r="Q159" i="22"/>
  <c r="R159" i="22"/>
  <c r="S159" i="22"/>
  <c r="T159" i="22"/>
  <c r="U159" i="22"/>
  <c r="P160" i="22"/>
  <c r="Q160" i="22"/>
  <c r="R160" i="22"/>
  <c r="S160" i="22"/>
  <c r="T160" i="22"/>
  <c r="U160" i="22"/>
  <c r="P161" i="22"/>
  <c r="Q161" i="22"/>
  <c r="R161" i="22"/>
  <c r="S161" i="22"/>
  <c r="T161" i="22"/>
  <c r="U161" i="22"/>
  <c r="P162" i="22"/>
  <c r="Q162" i="22"/>
  <c r="R162" i="22"/>
  <c r="S162" i="22"/>
  <c r="T162" i="22"/>
  <c r="U162" i="22"/>
  <c r="P163" i="22"/>
  <c r="Q163" i="22"/>
  <c r="R163" i="22"/>
  <c r="S163" i="22"/>
  <c r="T163" i="22"/>
  <c r="U163" i="22"/>
  <c r="P164" i="22"/>
  <c r="Q164" i="22"/>
  <c r="R164" i="22"/>
  <c r="S164" i="22"/>
  <c r="T164" i="22"/>
  <c r="U164" i="22"/>
  <c r="P165" i="22"/>
  <c r="Q165" i="22"/>
  <c r="R165" i="22"/>
  <c r="S165" i="22"/>
  <c r="T165" i="22"/>
  <c r="U165" i="22"/>
  <c r="P166" i="22"/>
  <c r="Q166" i="22"/>
  <c r="R166" i="22"/>
  <c r="S166" i="22"/>
  <c r="T166" i="22"/>
  <c r="U166" i="22"/>
  <c r="P167" i="22"/>
  <c r="Q167" i="22"/>
  <c r="R167" i="22"/>
  <c r="S167" i="22"/>
  <c r="T167" i="22"/>
  <c r="U167" i="22"/>
  <c r="P168" i="22"/>
  <c r="Q168" i="22"/>
  <c r="R168" i="22"/>
  <c r="S168" i="22"/>
  <c r="T168" i="22"/>
  <c r="U168" i="22"/>
  <c r="P169" i="22"/>
  <c r="Q169" i="22"/>
  <c r="R169" i="22"/>
  <c r="S169" i="22"/>
  <c r="T169" i="22"/>
  <c r="U169" i="22"/>
  <c r="P170" i="22"/>
  <c r="Q170" i="22"/>
  <c r="R170" i="22"/>
  <c r="S170" i="22"/>
  <c r="T170" i="22"/>
  <c r="U170" i="22"/>
  <c r="P171" i="22"/>
  <c r="Q171" i="22"/>
  <c r="R171" i="22"/>
  <c r="S171" i="22"/>
  <c r="T171" i="22"/>
  <c r="U171" i="22"/>
  <c r="P172" i="22"/>
  <c r="Q172" i="22"/>
  <c r="R172" i="22"/>
  <c r="S172" i="22"/>
  <c r="T172" i="22"/>
  <c r="U172" i="22"/>
  <c r="P173" i="22"/>
  <c r="Q173" i="22"/>
  <c r="R173" i="22"/>
  <c r="S173" i="22"/>
  <c r="T173" i="22"/>
  <c r="U173" i="22"/>
  <c r="P174" i="22"/>
  <c r="Q174" i="22"/>
  <c r="R174" i="22"/>
  <c r="S174" i="22"/>
  <c r="T174" i="22"/>
  <c r="U174" i="22"/>
  <c r="P175" i="22"/>
  <c r="Q175" i="22"/>
  <c r="R175" i="22"/>
  <c r="S175" i="22"/>
  <c r="T175" i="22"/>
  <c r="U175" i="22"/>
  <c r="P176" i="22"/>
  <c r="Q176" i="22"/>
  <c r="R176" i="22"/>
  <c r="S176" i="22"/>
  <c r="T176" i="22"/>
  <c r="U176" i="22"/>
  <c r="P177" i="22"/>
  <c r="Q177" i="22"/>
  <c r="R177" i="22"/>
  <c r="S177" i="22"/>
  <c r="T177" i="22"/>
  <c r="U177" i="22"/>
  <c r="P178" i="22"/>
  <c r="Q178" i="22"/>
  <c r="R178" i="22"/>
  <c r="S178" i="22"/>
  <c r="T178" i="22"/>
  <c r="U178" i="22"/>
  <c r="P179" i="22"/>
  <c r="Q179" i="22"/>
  <c r="R179" i="22"/>
  <c r="S179" i="22"/>
  <c r="T179" i="22"/>
  <c r="U179" i="22"/>
  <c r="P180" i="22"/>
  <c r="Q180" i="22"/>
  <c r="R180" i="22"/>
  <c r="S180" i="22"/>
  <c r="T180" i="22"/>
  <c r="U180" i="22"/>
  <c r="P181" i="22"/>
  <c r="Q181" i="22"/>
  <c r="R181" i="22"/>
  <c r="S181" i="22"/>
  <c r="T181" i="22"/>
  <c r="U181" i="22"/>
  <c r="P182" i="22"/>
  <c r="Q182" i="22"/>
  <c r="R182" i="22"/>
  <c r="S182" i="22"/>
  <c r="T182" i="22"/>
  <c r="U182" i="22"/>
  <c r="P183" i="22"/>
  <c r="Q183" i="22"/>
  <c r="R183" i="22"/>
  <c r="S183" i="22"/>
  <c r="T183" i="22"/>
  <c r="U183" i="22"/>
  <c r="P184" i="22"/>
  <c r="Q184" i="22"/>
  <c r="R184" i="22"/>
  <c r="S184" i="22"/>
  <c r="T184" i="22"/>
  <c r="U184" i="22"/>
  <c r="P185" i="22"/>
  <c r="Q185" i="22"/>
  <c r="R185" i="22"/>
  <c r="S185" i="22"/>
  <c r="T185" i="22"/>
  <c r="U185" i="22"/>
  <c r="P186" i="22"/>
  <c r="Q186" i="22"/>
  <c r="R186" i="22"/>
  <c r="S186" i="22"/>
  <c r="T186" i="22"/>
  <c r="U186" i="22"/>
  <c r="P187" i="22"/>
  <c r="Q187" i="22"/>
  <c r="R187" i="22"/>
  <c r="S187" i="22"/>
  <c r="T187" i="22"/>
  <c r="U187" i="22"/>
  <c r="P188" i="22"/>
  <c r="Q188" i="22"/>
  <c r="R188" i="22"/>
  <c r="S188" i="22"/>
  <c r="T188" i="22"/>
  <c r="U188" i="22"/>
  <c r="P189" i="22"/>
  <c r="Q189" i="22"/>
  <c r="R189" i="22"/>
  <c r="S189" i="22"/>
  <c r="T189" i="22"/>
  <c r="U189" i="22"/>
  <c r="P190" i="22"/>
  <c r="Q190" i="22"/>
  <c r="R190" i="22"/>
  <c r="S190" i="22"/>
  <c r="T190" i="22"/>
  <c r="U190" i="22"/>
  <c r="P191" i="22"/>
  <c r="Q191" i="22"/>
  <c r="R191" i="22"/>
  <c r="S191" i="22"/>
  <c r="T191" i="22"/>
  <c r="U191" i="22"/>
  <c r="P192" i="22"/>
  <c r="Q192" i="22"/>
  <c r="R192" i="22"/>
  <c r="S192" i="22"/>
  <c r="T192" i="22"/>
  <c r="U192" i="22"/>
  <c r="P193" i="22"/>
  <c r="Q193" i="22"/>
  <c r="R193" i="22"/>
  <c r="S193" i="22"/>
  <c r="T193" i="22"/>
  <c r="U193" i="22"/>
  <c r="P194" i="22"/>
  <c r="Q194" i="22"/>
  <c r="R194" i="22"/>
  <c r="S194" i="22"/>
  <c r="T194" i="22"/>
  <c r="U194" i="22"/>
  <c r="P195" i="22"/>
  <c r="Q195" i="22"/>
  <c r="R195" i="22"/>
  <c r="S195" i="22"/>
  <c r="T195" i="22"/>
  <c r="U195" i="22"/>
  <c r="P196" i="22"/>
  <c r="Q196" i="22"/>
  <c r="R196" i="22"/>
  <c r="S196" i="22"/>
  <c r="T196" i="22"/>
  <c r="U196" i="22"/>
  <c r="P197" i="22"/>
  <c r="Q197" i="22"/>
  <c r="R197" i="22"/>
  <c r="S197" i="22"/>
  <c r="T197" i="22"/>
  <c r="U197" i="22"/>
  <c r="P198" i="22"/>
  <c r="Q198" i="22"/>
  <c r="R198" i="22"/>
  <c r="S198" i="22"/>
  <c r="T198" i="22"/>
  <c r="U198" i="22"/>
  <c r="P199" i="22"/>
  <c r="Q199" i="22"/>
  <c r="R199" i="22"/>
  <c r="S199" i="22"/>
  <c r="T199" i="22"/>
  <c r="U199" i="22"/>
  <c r="P200" i="22"/>
  <c r="Q200" i="22"/>
  <c r="R200" i="22"/>
  <c r="S200" i="22"/>
  <c r="T200" i="22"/>
  <c r="U200" i="22"/>
  <c r="P201" i="22"/>
  <c r="Q201" i="22"/>
  <c r="R201" i="22"/>
  <c r="S201" i="22"/>
  <c r="T201" i="22"/>
  <c r="U201" i="22"/>
  <c r="P202" i="22"/>
  <c r="Q202" i="22"/>
  <c r="R202" i="22"/>
  <c r="S202" i="22"/>
  <c r="T202" i="22"/>
  <c r="U202" i="22"/>
  <c r="P203" i="22"/>
  <c r="Q203" i="22"/>
  <c r="R203" i="22"/>
  <c r="S203" i="22"/>
  <c r="T203" i="22"/>
  <c r="U203" i="22"/>
  <c r="P204" i="22"/>
  <c r="Q204" i="22"/>
  <c r="R204" i="22"/>
  <c r="S204" i="22"/>
  <c r="T204" i="22"/>
  <c r="U204" i="22"/>
  <c r="P205" i="22"/>
  <c r="Q205" i="22"/>
  <c r="R205" i="22"/>
  <c r="S205" i="22"/>
  <c r="T205" i="22"/>
  <c r="U205" i="22"/>
  <c r="P206" i="22"/>
  <c r="Q206" i="22"/>
  <c r="R206" i="22"/>
  <c r="S206" i="22"/>
  <c r="T206" i="22"/>
  <c r="U206" i="22"/>
  <c r="P207" i="22"/>
  <c r="Q207" i="22"/>
  <c r="R207" i="22"/>
  <c r="S207" i="22"/>
  <c r="T207" i="22"/>
  <c r="U207" i="22"/>
  <c r="P208" i="22"/>
  <c r="Q208" i="22"/>
  <c r="R208" i="22"/>
  <c r="S208" i="22"/>
  <c r="T208" i="22"/>
  <c r="U208" i="22"/>
  <c r="P209" i="22"/>
  <c r="Q209" i="22"/>
  <c r="R209" i="22"/>
  <c r="S209" i="22"/>
  <c r="T209" i="22"/>
  <c r="U209" i="22"/>
  <c r="P210" i="22"/>
  <c r="Q210" i="22"/>
  <c r="R210" i="22"/>
  <c r="S210" i="22"/>
  <c r="T210" i="22"/>
  <c r="U210" i="22"/>
  <c r="P211" i="22"/>
  <c r="Q211" i="22"/>
  <c r="R211" i="22"/>
  <c r="S211" i="22"/>
  <c r="T211" i="22"/>
  <c r="U211" i="22"/>
  <c r="P212" i="22"/>
  <c r="Q212" i="22"/>
  <c r="R212" i="22"/>
  <c r="S212" i="22"/>
  <c r="T212" i="22"/>
  <c r="U212" i="22"/>
  <c r="P213" i="22"/>
  <c r="Q213" i="22"/>
  <c r="R213" i="22"/>
  <c r="S213" i="22"/>
  <c r="T213" i="22"/>
  <c r="U213" i="22"/>
  <c r="P214" i="22"/>
  <c r="Q214" i="22"/>
  <c r="R214" i="22"/>
  <c r="S214" i="22"/>
  <c r="T214" i="22"/>
  <c r="U214" i="22"/>
  <c r="P215" i="22"/>
  <c r="Q215" i="22"/>
  <c r="R215" i="22"/>
  <c r="S215" i="22"/>
  <c r="T215" i="22"/>
  <c r="U215" i="22"/>
  <c r="P216" i="22"/>
  <c r="Q216" i="22"/>
  <c r="R216" i="22"/>
  <c r="S216" i="22"/>
  <c r="T216" i="22"/>
  <c r="U216" i="22"/>
  <c r="P217" i="22"/>
  <c r="Q217" i="22"/>
  <c r="R217" i="22"/>
  <c r="S217" i="22"/>
  <c r="T217" i="22"/>
  <c r="U217" i="22"/>
  <c r="V218" i="22"/>
  <c r="P219" i="22"/>
  <c r="Q219" i="22"/>
  <c r="R219" i="22"/>
  <c r="S219" i="22"/>
  <c r="T219" i="22"/>
  <c r="U219" i="22"/>
  <c r="P220" i="22"/>
  <c r="Q220" i="22"/>
  <c r="R220" i="22"/>
  <c r="S220" i="22"/>
  <c r="T220" i="22"/>
  <c r="U220" i="22"/>
  <c r="P221" i="22"/>
  <c r="Q221" i="22"/>
  <c r="R221" i="22"/>
  <c r="S221" i="22"/>
  <c r="T221" i="22"/>
  <c r="U221" i="22"/>
  <c r="P222" i="22"/>
  <c r="Q222" i="22"/>
  <c r="R222" i="22"/>
  <c r="S222" i="22"/>
  <c r="T222" i="22"/>
  <c r="U222" i="22"/>
  <c r="P223" i="22"/>
  <c r="Q223" i="22"/>
  <c r="R223" i="22"/>
  <c r="S223" i="22"/>
  <c r="T223" i="22"/>
  <c r="U223" i="22"/>
  <c r="P224" i="22"/>
  <c r="Q224" i="22"/>
  <c r="R224" i="22"/>
  <c r="S224" i="22"/>
  <c r="T224" i="22"/>
  <c r="U224" i="22"/>
  <c r="P225" i="22"/>
  <c r="Q225" i="22"/>
  <c r="R225" i="22"/>
  <c r="S225" i="22"/>
  <c r="T225" i="22"/>
  <c r="U225" i="22"/>
  <c r="P226" i="22"/>
  <c r="Q226" i="22"/>
  <c r="R226" i="22"/>
  <c r="S226" i="22"/>
  <c r="T226" i="22"/>
  <c r="U226" i="22"/>
  <c r="P227" i="22"/>
  <c r="Q227" i="22"/>
  <c r="R227" i="22"/>
  <c r="S227" i="22"/>
  <c r="T227" i="22"/>
  <c r="U227" i="22"/>
  <c r="P228" i="22"/>
  <c r="Q228" i="22"/>
  <c r="R228" i="22"/>
  <c r="S228" i="22"/>
  <c r="T228" i="22"/>
  <c r="U228" i="22"/>
  <c r="P229" i="22"/>
  <c r="Q229" i="22"/>
  <c r="R229" i="22"/>
  <c r="S229" i="22"/>
  <c r="T229" i="22"/>
  <c r="U229" i="22"/>
  <c r="P230" i="22"/>
  <c r="Q230" i="22"/>
  <c r="R230" i="22"/>
  <c r="S230" i="22"/>
  <c r="T230" i="22"/>
  <c r="U230" i="22"/>
  <c r="P231" i="22"/>
  <c r="Q231" i="22"/>
  <c r="R231" i="22"/>
  <c r="S231" i="22"/>
  <c r="T231" i="22"/>
  <c r="U231" i="22"/>
  <c r="P232" i="22"/>
  <c r="Q232" i="22"/>
  <c r="R232" i="22"/>
  <c r="S232" i="22"/>
  <c r="T232" i="22"/>
  <c r="U232" i="22"/>
  <c r="P233" i="22"/>
  <c r="Q233" i="22"/>
  <c r="R233" i="22"/>
  <c r="S233" i="22"/>
  <c r="T233" i="22"/>
  <c r="U233" i="22"/>
  <c r="P234" i="22"/>
  <c r="Q234" i="22"/>
  <c r="R234" i="22"/>
  <c r="S234" i="22"/>
  <c r="T234" i="22"/>
  <c r="U234" i="22"/>
  <c r="P235" i="22"/>
  <c r="Q235" i="22"/>
  <c r="R235" i="22"/>
  <c r="S235" i="22"/>
  <c r="T235" i="22"/>
  <c r="U235" i="22"/>
  <c r="P236" i="22"/>
  <c r="Q236" i="22"/>
  <c r="R236" i="22"/>
  <c r="S236" i="22"/>
  <c r="T236" i="22"/>
  <c r="U236" i="22"/>
  <c r="P237" i="22"/>
  <c r="Q237" i="22"/>
  <c r="R237" i="22"/>
  <c r="S237" i="22"/>
  <c r="T237" i="22"/>
  <c r="U237" i="22"/>
  <c r="P238" i="22"/>
  <c r="Q238" i="22"/>
  <c r="R238" i="22"/>
  <c r="S238" i="22"/>
  <c r="T238" i="22"/>
  <c r="U238" i="22"/>
  <c r="P239" i="22"/>
  <c r="Q239" i="22"/>
  <c r="R239" i="22"/>
  <c r="S239" i="22"/>
  <c r="T239" i="22"/>
  <c r="U239" i="22"/>
  <c r="P240" i="22"/>
  <c r="Q240" i="22"/>
  <c r="R240" i="22"/>
  <c r="S240" i="22"/>
  <c r="T240" i="22"/>
  <c r="U240" i="22"/>
  <c r="P241" i="22"/>
  <c r="Q241" i="22"/>
  <c r="R241" i="22"/>
  <c r="S241" i="22"/>
  <c r="T241" i="22"/>
  <c r="U241" i="22"/>
  <c r="P242" i="22"/>
  <c r="Q242" i="22"/>
  <c r="R242" i="22"/>
  <c r="S242" i="22"/>
  <c r="T242" i="22"/>
  <c r="U242" i="22"/>
  <c r="P243" i="22"/>
  <c r="Q243" i="22"/>
  <c r="R243" i="22"/>
  <c r="S243" i="22"/>
  <c r="T243" i="22"/>
  <c r="U243" i="22"/>
  <c r="V244" i="22"/>
  <c r="P245" i="22"/>
  <c r="Q245" i="22"/>
  <c r="R245" i="22"/>
  <c r="S245" i="22"/>
  <c r="T245" i="22"/>
  <c r="U245" i="22"/>
  <c r="P246" i="22"/>
  <c r="Q246" i="22"/>
  <c r="R246" i="22"/>
  <c r="S246" i="22"/>
  <c r="T246" i="22"/>
  <c r="U246" i="22"/>
  <c r="P247" i="22"/>
  <c r="Q247" i="22"/>
  <c r="R247" i="22"/>
  <c r="S247" i="22"/>
  <c r="T247" i="22"/>
  <c r="U247" i="22"/>
  <c r="P248" i="22"/>
  <c r="Q248" i="22"/>
  <c r="R248" i="22"/>
  <c r="S248" i="22"/>
  <c r="T248" i="22"/>
  <c r="U248" i="22"/>
  <c r="P249" i="22"/>
  <c r="Q249" i="22"/>
  <c r="R249" i="22"/>
  <c r="S249" i="22"/>
  <c r="T249" i="22"/>
  <c r="U249" i="22"/>
  <c r="P250" i="22"/>
  <c r="Q250" i="22"/>
  <c r="R250" i="22"/>
  <c r="S250" i="22"/>
  <c r="T250" i="22"/>
  <c r="U250" i="22"/>
  <c r="P251" i="22"/>
  <c r="Q251" i="22"/>
  <c r="R251" i="22"/>
  <c r="S251" i="22"/>
  <c r="T251" i="22"/>
  <c r="U251" i="22"/>
  <c r="P252" i="22"/>
  <c r="Q252" i="22"/>
  <c r="R252" i="22"/>
  <c r="S252" i="22"/>
  <c r="T252" i="22"/>
  <c r="U252" i="22"/>
  <c r="P253" i="22"/>
  <c r="Q253" i="22"/>
  <c r="R253" i="22"/>
  <c r="S253" i="22"/>
  <c r="T253" i="22"/>
  <c r="U253" i="22"/>
  <c r="P254" i="22"/>
  <c r="Q254" i="22"/>
  <c r="R254" i="22"/>
  <c r="S254" i="22"/>
  <c r="T254" i="22"/>
  <c r="U254" i="22"/>
  <c r="P255" i="22"/>
  <c r="Q255" i="22"/>
  <c r="R255" i="22"/>
  <c r="S255" i="22"/>
  <c r="T255" i="22"/>
  <c r="U255" i="22"/>
  <c r="P256" i="22"/>
  <c r="Q256" i="22"/>
  <c r="R256" i="22"/>
  <c r="S256" i="22"/>
  <c r="T256" i="22"/>
  <c r="U256" i="22"/>
  <c r="P257" i="22"/>
  <c r="Q257" i="22"/>
  <c r="R257" i="22"/>
  <c r="S257" i="22"/>
  <c r="T257" i="22"/>
  <c r="U257" i="22"/>
  <c r="P258" i="22"/>
  <c r="Q258" i="22"/>
  <c r="R258" i="22"/>
  <c r="S258" i="22"/>
  <c r="T258" i="22"/>
  <c r="U258" i="22"/>
  <c r="P259" i="22"/>
  <c r="Q259" i="22"/>
  <c r="R259" i="22"/>
  <c r="S259" i="22"/>
  <c r="T259" i="22"/>
  <c r="U259" i="22"/>
  <c r="P260" i="22"/>
  <c r="Q260" i="22"/>
  <c r="R260" i="22"/>
  <c r="S260" i="22"/>
  <c r="T260" i="22"/>
  <c r="U260" i="22"/>
  <c r="P261" i="22"/>
  <c r="Q261" i="22"/>
  <c r="R261" i="22"/>
  <c r="S261" i="22"/>
  <c r="T261" i="22"/>
  <c r="U261" i="22"/>
  <c r="P262" i="22"/>
  <c r="Q262" i="22"/>
  <c r="R262" i="22"/>
  <c r="S262" i="22"/>
  <c r="T262" i="22"/>
  <c r="U262" i="22"/>
  <c r="P263" i="22"/>
  <c r="Q263" i="22"/>
  <c r="R263" i="22"/>
  <c r="S263" i="22"/>
  <c r="T263" i="22"/>
  <c r="U263" i="22"/>
  <c r="P264" i="22"/>
  <c r="Q264" i="22"/>
  <c r="R264" i="22"/>
  <c r="S264" i="22"/>
  <c r="T264" i="22"/>
  <c r="U264" i="22"/>
  <c r="P265" i="22"/>
  <c r="Q265" i="22"/>
  <c r="R265" i="22"/>
  <c r="S265" i="22"/>
  <c r="T265" i="22"/>
  <c r="U265" i="22"/>
  <c r="P266" i="22"/>
  <c r="Q266" i="22"/>
  <c r="R266" i="22"/>
  <c r="S266" i="22"/>
  <c r="T266" i="22"/>
  <c r="U266" i="22"/>
  <c r="P267" i="22"/>
  <c r="Q267" i="22"/>
  <c r="R267" i="22"/>
  <c r="S267" i="22"/>
  <c r="T267" i="22"/>
  <c r="U267" i="22"/>
  <c r="P268" i="22"/>
  <c r="Q268" i="22"/>
  <c r="R268" i="22"/>
  <c r="S268" i="22"/>
  <c r="T268" i="22"/>
  <c r="U268" i="22"/>
  <c r="P269" i="22"/>
  <c r="Q269" i="22"/>
  <c r="R269" i="22"/>
  <c r="S269" i="22"/>
  <c r="T269" i="22"/>
  <c r="U269" i="22"/>
  <c r="P270" i="22"/>
  <c r="Q270" i="22"/>
  <c r="R270" i="22"/>
  <c r="S270" i="22"/>
  <c r="T270" i="22"/>
  <c r="U270" i="22"/>
  <c r="P271" i="22"/>
  <c r="Q271" i="22"/>
  <c r="R271" i="22"/>
  <c r="S271" i="22"/>
  <c r="T271" i="22"/>
  <c r="U271" i="22"/>
  <c r="P272" i="22"/>
  <c r="Q272" i="22"/>
  <c r="R272" i="22"/>
  <c r="S272" i="22"/>
  <c r="T272" i="22"/>
  <c r="U272" i="22"/>
  <c r="P273" i="22"/>
  <c r="Q273" i="22"/>
  <c r="R273" i="22"/>
  <c r="S273" i="22"/>
  <c r="T273" i="22"/>
  <c r="U273" i="22"/>
  <c r="P274" i="22"/>
  <c r="Q274" i="22"/>
  <c r="R274" i="22"/>
  <c r="S274" i="22"/>
  <c r="T274" i="22"/>
  <c r="U274" i="22"/>
  <c r="P275" i="22"/>
  <c r="Q275" i="22"/>
  <c r="R275" i="22"/>
  <c r="S275" i="22"/>
  <c r="T275" i="22"/>
  <c r="U275" i="22"/>
  <c r="P276" i="22"/>
  <c r="Q276" i="22"/>
  <c r="R276" i="22"/>
  <c r="S276" i="22"/>
  <c r="T276" i="22"/>
  <c r="U276" i="22"/>
  <c r="P277" i="22"/>
  <c r="Q277" i="22"/>
  <c r="R277" i="22"/>
  <c r="S277" i="22"/>
  <c r="T277" i="22"/>
  <c r="U277" i="22"/>
  <c r="P278" i="22"/>
  <c r="Q278" i="22"/>
  <c r="R278" i="22"/>
  <c r="S278" i="22"/>
  <c r="T278" i="22"/>
  <c r="U278" i="22"/>
  <c r="P279" i="22"/>
  <c r="Q279" i="22"/>
  <c r="R279" i="22"/>
  <c r="S279" i="22"/>
  <c r="T279" i="22"/>
  <c r="U279" i="22"/>
  <c r="P280" i="22"/>
  <c r="Q280" i="22"/>
  <c r="R280" i="22"/>
  <c r="S280" i="22"/>
  <c r="T280" i="22"/>
  <c r="U280" i="22"/>
  <c r="P281" i="22"/>
  <c r="Q281" i="22"/>
  <c r="R281" i="22"/>
  <c r="S281" i="22"/>
  <c r="T281" i="22"/>
  <c r="U281" i="22"/>
  <c r="P282" i="22"/>
  <c r="Q282" i="22"/>
  <c r="R282" i="22"/>
  <c r="S282" i="22"/>
  <c r="T282" i="22"/>
  <c r="U282" i="22"/>
  <c r="P283" i="22"/>
  <c r="Q283" i="22"/>
  <c r="R283" i="22"/>
  <c r="S283" i="22"/>
  <c r="T283" i="22"/>
  <c r="U283" i="22"/>
  <c r="P284" i="22"/>
  <c r="Q284" i="22"/>
  <c r="R284" i="22"/>
  <c r="S284" i="22"/>
  <c r="T284" i="22"/>
  <c r="U284" i="22"/>
  <c r="P285" i="22"/>
  <c r="Q285" i="22"/>
  <c r="R285" i="22"/>
  <c r="S285" i="22"/>
  <c r="T285" i="22"/>
  <c r="U285" i="22"/>
  <c r="P286" i="22"/>
  <c r="Q286" i="22"/>
  <c r="R286" i="22"/>
  <c r="S286" i="22"/>
  <c r="T286" i="22"/>
  <c r="U286" i="22"/>
  <c r="P287" i="22"/>
  <c r="Q287" i="22"/>
  <c r="R287" i="22"/>
  <c r="S287" i="22"/>
  <c r="T287" i="22"/>
  <c r="U287" i="22"/>
  <c r="P288" i="22"/>
  <c r="Q288" i="22"/>
  <c r="R288" i="22"/>
  <c r="S288" i="22"/>
  <c r="T288" i="22"/>
  <c r="U288" i="22"/>
  <c r="P289" i="22"/>
  <c r="Q289" i="22"/>
  <c r="R289" i="22"/>
  <c r="S289" i="22"/>
  <c r="T289" i="22"/>
  <c r="U289" i="22"/>
  <c r="P290" i="22"/>
  <c r="Q290" i="22"/>
  <c r="R290" i="22"/>
  <c r="S290" i="22"/>
  <c r="T290" i="22"/>
  <c r="U290" i="22"/>
  <c r="P291" i="22"/>
  <c r="Q291" i="22"/>
  <c r="R291" i="22"/>
  <c r="S291" i="22"/>
  <c r="T291" i="22"/>
  <c r="U291" i="22"/>
  <c r="P292" i="22"/>
  <c r="Q292" i="22"/>
  <c r="R292" i="22"/>
  <c r="S292" i="22"/>
  <c r="T292" i="22"/>
  <c r="U292" i="22"/>
  <c r="P293" i="22"/>
  <c r="Q293" i="22"/>
  <c r="R293" i="22"/>
  <c r="S293" i="22"/>
  <c r="T293" i="22"/>
  <c r="U293" i="22"/>
  <c r="P294" i="22"/>
  <c r="Q294" i="22"/>
  <c r="R294" i="22"/>
  <c r="S294" i="22"/>
  <c r="T294" i="22"/>
  <c r="U294" i="22"/>
  <c r="P295" i="22"/>
  <c r="Q295" i="22"/>
  <c r="R295" i="22"/>
  <c r="S295" i="22"/>
  <c r="T295" i="22"/>
  <c r="U295" i="22"/>
  <c r="P296" i="22"/>
  <c r="Q296" i="22"/>
  <c r="R296" i="22"/>
  <c r="S296" i="22"/>
  <c r="T296" i="22"/>
  <c r="U296" i="22"/>
  <c r="P297" i="22"/>
  <c r="Q297" i="22"/>
  <c r="R297" i="22"/>
  <c r="S297" i="22"/>
  <c r="T297" i="22"/>
  <c r="U297" i="22"/>
  <c r="P298" i="22"/>
  <c r="Q298" i="22"/>
  <c r="R298" i="22"/>
  <c r="S298" i="22"/>
  <c r="T298" i="22"/>
  <c r="U298" i="22"/>
  <c r="P299" i="22"/>
  <c r="Q299" i="22"/>
  <c r="R299" i="22"/>
  <c r="S299" i="22"/>
  <c r="T299" i="22"/>
  <c r="U299" i="22"/>
  <c r="P300" i="22"/>
  <c r="Q300" i="22"/>
  <c r="R300" i="22"/>
  <c r="S300" i="22"/>
  <c r="T300" i="22"/>
  <c r="U300" i="22"/>
  <c r="P301" i="22"/>
  <c r="Q301" i="22"/>
  <c r="R301" i="22"/>
  <c r="S301" i="22"/>
  <c r="T301" i="22"/>
  <c r="U301" i="22"/>
  <c r="P302" i="22"/>
  <c r="Q302" i="22"/>
  <c r="R302" i="22"/>
  <c r="S302" i="22"/>
  <c r="T302" i="22"/>
  <c r="U302" i="22"/>
  <c r="P303" i="22"/>
  <c r="Q303" i="22"/>
  <c r="R303" i="22"/>
  <c r="S303" i="22"/>
  <c r="T303" i="22"/>
  <c r="U303" i="22"/>
  <c r="P304" i="22"/>
  <c r="Q304" i="22"/>
  <c r="R304" i="22"/>
  <c r="S304" i="22"/>
  <c r="T304" i="22"/>
  <c r="U304" i="22"/>
  <c r="P305" i="22"/>
  <c r="Q305" i="22"/>
  <c r="R305" i="22"/>
  <c r="S305" i="22"/>
  <c r="T305" i="22"/>
  <c r="U305" i="22"/>
  <c r="P306" i="22"/>
  <c r="Q306" i="22"/>
  <c r="R306" i="22"/>
  <c r="S306" i="22"/>
  <c r="T306" i="22"/>
  <c r="U306" i="22"/>
  <c r="P307" i="22"/>
  <c r="Q307" i="22"/>
  <c r="R307" i="22"/>
  <c r="S307" i="22"/>
  <c r="T307" i="22"/>
  <c r="U307" i="22"/>
  <c r="P308" i="22"/>
  <c r="Q308" i="22"/>
  <c r="R308" i="22"/>
  <c r="S308" i="22"/>
  <c r="T308" i="22"/>
  <c r="U308" i="22"/>
  <c r="P309" i="22"/>
  <c r="Q309" i="22"/>
  <c r="R309" i="22"/>
  <c r="S309" i="22"/>
  <c r="T309" i="22"/>
  <c r="U309" i="22"/>
  <c r="P310" i="22"/>
  <c r="Q310" i="22"/>
  <c r="R310" i="22"/>
  <c r="S310" i="22"/>
  <c r="T310" i="22"/>
  <c r="U310" i="22"/>
  <c r="P311" i="22"/>
  <c r="Q311" i="22"/>
  <c r="R311" i="22"/>
  <c r="S311" i="22"/>
  <c r="T311" i="22"/>
  <c r="U311" i="22"/>
  <c r="P312" i="22"/>
  <c r="Q312" i="22"/>
  <c r="R312" i="22"/>
  <c r="S312" i="22"/>
  <c r="T312" i="22"/>
  <c r="U312" i="22"/>
  <c r="P313" i="22"/>
  <c r="Q313" i="22"/>
  <c r="R313" i="22"/>
  <c r="S313" i="22"/>
  <c r="T313" i="22"/>
  <c r="U313" i="22"/>
  <c r="P314" i="22"/>
  <c r="Q314" i="22"/>
  <c r="R314" i="22"/>
  <c r="S314" i="22"/>
  <c r="T314" i="22"/>
  <c r="U314" i="22"/>
  <c r="P315" i="22"/>
  <c r="Q315" i="22"/>
  <c r="R315" i="22"/>
  <c r="S315" i="22"/>
  <c r="T315" i="22"/>
  <c r="U315" i="22"/>
  <c r="P316" i="22"/>
  <c r="Q316" i="22"/>
  <c r="R316" i="22"/>
  <c r="S316" i="22"/>
  <c r="T316" i="22"/>
  <c r="U316" i="22"/>
  <c r="P317" i="22"/>
  <c r="Q317" i="22"/>
  <c r="R317" i="22"/>
  <c r="S317" i="22"/>
  <c r="T317" i="22"/>
  <c r="U317" i="22"/>
  <c r="P318" i="22"/>
  <c r="Q318" i="22"/>
  <c r="R318" i="22"/>
  <c r="S318" i="22"/>
  <c r="T318" i="22"/>
  <c r="U318" i="22"/>
  <c r="P319" i="22"/>
  <c r="Q319" i="22"/>
  <c r="R319" i="22"/>
  <c r="S319" i="22"/>
  <c r="T319" i="22"/>
  <c r="U319" i="22"/>
  <c r="P320" i="22"/>
  <c r="Q320" i="22"/>
  <c r="R320" i="22"/>
  <c r="S320" i="22"/>
  <c r="T320" i="22"/>
  <c r="U320" i="22"/>
  <c r="P321" i="22"/>
  <c r="Q321" i="22"/>
  <c r="R321" i="22"/>
  <c r="S321" i="22"/>
  <c r="T321" i="22"/>
  <c r="U321" i="22"/>
  <c r="P322" i="22"/>
  <c r="Q322" i="22"/>
  <c r="R322" i="22"/>
  <c r="S322" i="22"/>
  <c r="T322" i="22"/>
  <c r="U322" i="22"/>
  <c r="P323" i="22"/>
  <c r="Q323" i="22"/>
  <c r="R323" i="22"/>
  <c r="S323" i="22"/>
  <c r="T323" i="22"/>
  <c r="U323" i="22"/>
  <c r="P324" i="22"/>
  <c r="Q324" i="22"/>
  <c r="R324" i="22"/>
  <c r="S324" i="22"/>
  <c r="T324" i="22"/>
  <c r="U324" i="22"/>
  <c r="P325" i="22"/>
  <c r="Q325" i="22"/>
  <c r="R325" i="22"/>
  <c r="S325" i="22"/>
  <c r="T325" i="22"/>
  <c r="U325" i="22"/>
  <c r="P326" i="22"/>
  <c r="Q326" i="22"/>
  <c r="R326" i="22"/>
  <c r="S326" i="22"/>
  <c r="T326" i="22"/>
  <c r="U326" i="22"/>
  <c r="P327" i="22"/>
  <c r="Q327" i="22"/>
  <c r="R327" i="22"/>
  <c r="S327" i="22"/>
  <c r="T327" i="22"/>
  <c r="U327" i="22"/>
  <c r="P328" i="22"/>
  <c r="Q328" i="22"/>
  <c r="R328" i="22"/>
  <c r="S328" i="22"/>
  <c r="T328" i="22"/>
  <c r="U328" i="22"/>
  <c r="P329" i="22"/>
  <c r="Q329" i="22"/>
  <c r="R329" i="22"/>
  <c r="S329" i="22"/>
  <c r="T329" i="22"/>
  <c r="U329" i="22"/>
  <c r="P330" i="22"/>
  <c r="Q330" i="22"/>
  <c r="R330" i="22"/>
  <c r="S330" i="22"/>
  <c r="T330" i="22"/>
  <c r="U330" i="22"/>
  <c r="P331" i="22"/>
  <c r="Q331" i="22"/>
  <c r="R331" i="22"/>
  <c r="S331" i="22"/>
  <c r="T331" i="22"/>
  <c r="U331" i="22"/>
  <c r="P332" i="22"/>
  <c r="Q332" i="22"/>
  <c r="R332" i="22"/>
  <c r="S332" i="22"/>
  <c r="T332" i="22"/>
  <c r="U332" i="22"/>
  <c r="P333" i="22"/>
  <c r="Q333" i="22"/>
  <c r="R333" i="22"/>
  <c r="S333" i="22"/>
  <c r="T333" i="22"/>
  <c r="U333" i="22"/>
  <c r="P334" i="22"/>
  <c r="Q334" i="22"/>
  <c r="R334" i="22"/>
  <c r="S334" i="22"/>
  <c r="T334" i="22"/>
  <c r="U334" i="22"/>
  <c r="P335" i="22"/>
  <c r="Q335" i="22"/>
  <c r="R335" i="22"/>
  <c r="S335" i="22"/>
  <c r="T335" i="22"/>
  <c r="U335" i="22"/>
  <c r="P336" i="22"/>
  <c r="Q336" i="22"/>
  <c r="R336" i="22"/>
  <c r="S336" i="22"/>
  <c r="T336" i="22"/>
  <c r="U336" i="22"/>
  <c r="P337" i="22"/>
  <c r="Q337" i="22"/>
  <c r="R337" i="22"/>
  <c r="S337" i="22"/>
  <c r="T337" i="22"/>
  <c r="U337" i="22"/>
  <c r="P338" i="22"/>
  <c r="Q338" i="22"/>
  <c r="R338" i="22"/>
  <c r="S338" i="22"/>
  <c r="T338" i="22"/>
  <c r="U338" i="22"/>
  <c r="P339" i="22"/>
  <c r="Q339" i="22"/>
  <c r="R339" i="22"/>
  <c r="S339" i="22"/>
  <c r="T339" i="22"/>
  <c r="U339" i="22"/>
  <c r="P340" i="22"/>
  <c r="Q340" i="22"/>
  <c r="R340" i="22"/>
  <c r="S340" i="22"/>
  <c r="T340" i="22"/>
  <c r="U340" i="22"/>
  <c r="P341" i="22"/>
  <c r="Q341" i="22"/>
  <c r="R341" i="22"/>
  <c r="S341" i="22"/>
  <c r="T341" i="22"/>
  <c r="U341" i="22"/>
  <c r="P342" i="22"/>
  <c r="Q342" i="22"/>
  <c r="R342" i="22"/>
  <c r="S342" i="22"/>
  <c r="T342" i="22"/>
  <c r="U342" i="22"/>
  <c r="P343" i="22"/>
  <c r="Q343" i="22"/>
  <c r="R343" i="22"/>
  <c r="S343" i="22"/>
  <c r="T343" i="22"/>
  <c r="U343" i="22"/>
  <c r="P344" i="22"/>
  <c r="Q344" i="22"/>
  <c r="R344" i="22"/>
  <c r="S344" i="22"/>
  <c r="T344" i="22"/>
  <c r="U344" i="22"/>
  <c r="P345" i="22"/>
  <c r="Q345" i="22"/>
  <c r="R345" i="22"/>
  <c r="S345" i="22"/>
  <c r="T345" i="22"/>
  <c r="U345" i="22"/>
  <c r="P346" i="22"/>
  <c r="Q346" i="22"/>
  <c r="R346" i="22"/>
  <c r="S346" i="22"/>
  <c r="T346" i="22"/>
  <c r="U346" i="22"/>
  <c r="P347" i="22"/>
  <c r="Q347" i="22"/>
  <c r="R347" i="22"/>
  <c r="S347" i="22"/>
  <c r="T347" i="22"/>
  <c r="U347" i="22"/>
  <c r="P348" i="22"/>
  <c r="Q348" i="22"/>
  <c r="R348" i="22"/>
  <c r="S348" i="22"/>
  <c r="T348" i="22"/>
  <c r="U348" i="22"/>
  <c r="P349" i="22"/>
  <c r="Q349" i="22"/>
  <c r="R349" i="22"/>
  <c r="S349" i="22"/>
  <c r="T349" i="22"/>
  <c r="U349" i="22"/>
  <c r="P350" i="22"/>
  <c r="Q350" i="22"/>
  <c r="R350" i="22"/>
  <c r="S350" i="22"/>
  <c r="T350" i="22"/>
  <c r="U350" i="22"/>
  <c r="P351" i="22"/>
  <c r="Q351" i="22"/>
  <c r="R351" i="22"/>
  <c r="S351" i="22"/>
  <c r="T351" i="22"/>
  <c r="U351" i="22"/>
  <c r="P352" i="22"/>
  <c r="Q352" i="22"/>
  <c r="R352" i="22"/>
  <c r="S352" i="22"/>
  <c r="T352" i="22"/>
  <c r="U352" i="22"/>
  <c r="P353" i="22"/>
  <c r="Q353" i="22"/>
  <c r="R353" i="22"/>
  <c r="S353" i="22"/>
  <c r="T353" i="22"/>
  <c r="U353" i="22"/>
  <c r="P354" i="22"/>
  <c r="Q354" i="22"/>
  <c r="R354" i="22"/>
  <c r="S354" i="22"/>
  <c r="T354" i="22"/>
  <c r="U354" i="22"/>
  <c r="P355" i="22"/>
  <c r="Q355" i="22"/>
  <c r="R355" i="22"/>
  <c r="S355" i="22"/>
  <c r="T355" i="22"/>
  <c r="U355" i="22"/>
  <c r="P356" i="22"/>
  <c r="Q356" i="22"/>
  <c r="R356" i="22"/>
  <c r="S356" i="22"/>
  <c r="T356" i="22"/>
  <c r="U356" i="22"/>
  <c r="P357" i="22"/>
  <c r="Q357" i="22"/>
  <c r="R357" i="22"/>
  <c r="S357" i="22"/>
  <c r="T357" i="22"/>
  <c r="U357" i="22"/>
  <c r="P358" i="22"/>
  <c r="Q358" i="22"/>
  <c r="R358" i="22"/>
  <c r="S358" i="22"/>
  <c r="T358" i="22"/>
  <c r="U358" i="22"/>
  <c r="P359" i="22"/>
  <c r="Q359" i="22"/>
  <c r="R359" i="22"/>
  <c r="S359" i="22"/>
  <c r="T359" i="22"/>
  <c r="U359" i="22"/>
  <c r="P360" i="22"/>
  <c r="Q360" i="22"/>
  <c r="R360" i="22"/>
  <c r="S360" i="22"/>
  <c r="T360" i="22"/>
  <c r="U360" i="22"/>
  <c r="P361" i="22"/>
  <c r="Q361" i="22"/>
  <c r="R361" i="22"/>
  <c r="S361" i="22"/>
  <c r="T361" i="22"/>
  <c r="U361" i="22"/>
  <c r="P362" i="22"/>
  <c r="Q362" i="22"/>
  <c r="R362" i="22"/>
  <c r="S362" i="22"/>
  <c r="T362" i="22"/>
  <c r="U362" i="22"/>
  <c r="P363" i="22"/>
  <c r="Q363" i="22"/>
  <c r="R363" i="22"/>
  <c r="S363" i="22"/>
  <c r="T363" i="22"/>
  <c r="U363" i="22"/>
  <c r="P364" i="22"/>
  <c r="Q364" i="22"/>
  <c r="R364" i="22"/>
  <c r="S364" i="22"/>
  <c r="T364" i="22"/>
  <c r="U364" i="22"/>
  <c r="P365" i="22"/>
  <c r="Q365" i="22"/>
  <c r="R365" i="22"/>
  <c r="S365" i="22"/>
  <c r="T365" i="22"/>
  <c r="U365" i="22"/>
  <c r="P366" i="22"/>
  <c r="Q366" i="22"/>
  <c r="R366" i="22"/>
  <c r="S366" i="22"/>
  <c r="T366" i="22"/>
  <c r="U366" i="22"/>
  <c r="P367" i="22"/>
  <c r="Q367" i="22"/>
  <c r="R367" i="22"/>
  <c r="S367" i="22"/>
  <c r="T367" i="22"/>
  <c r="U367" i="22"/>
  <c r="P368" i="22"/>
  <c r="Q368" i="22"/>
  <c r="R368" i="22"/>
  <c r="S368" i="22"/>
  <c r="T368" i="22"/>
  <c r="U368" i="22"/>
  <c r="P369" i="22"/>
  <c r="Q369" i="22"/>
  <c r="R369" i="22"/>
  <c r="S369" i="22"/>
  <c r="T369" i="22"/>
  <c r="U369" i="22"/>
  <c r="P370" i="22"/>
  <c r="Q370" i="22"/>
  <c r="R370" i="22"/>
  <c r="S370" i="22"/>
  <c r="T370" i="22"/>
  <c r="U370" i="22"/>
  <c r="P371" i="22"/>
  <c r="Q371" i="22"/>
  <c r="R371" i="22"/>
  <c r="S371" i="22"/>
  <c r="T371" i="22"/>
  <c r="U371" i="22"/>
  <c r="P372" i="22"/>
  <c r="Q372" i="22"/>
  <c r="R372" i="22"/>
  <c r="S372" i="22"/>
  <c r="T372" i="22"/>
  <c r="U372" i="22"/>
  <c r="P373" i="22"/>
  <c r="Q373" i="22"/>
  <c r="R373" i="22"/>
  <c r="S373" i="22"/>
  <c r="T373" i="22"/>
  <c r="U373" i="22"/>
  <c r="P374" i="22"/>
  <c r="Q374" i="22"/>
  <c r="R374" i="22"/>
  <c r="S374" i="22"/>
  <c r="T374" i="22"/>
  <c r="U374" i="22"/>
  <c r="P375" i="22"/>
  <c r="Q375" i="22"/>
  <c r="R375" i="22"/>
  <c r="S375" i="22"/>
  <c r="T375" i="22"/>
  <c r="U375" i="22"/>
  <c r="P376" i="22"/>
  <c r="Q376" i="22"/>
  <c r="R376" i="22"/>
  <c r="S376" i="22"/>
  <c r="T376" i="22"/>
  <c r="U376" i="22"/>
  <c r="P377" i="22"/>
  <c r="Q377" i="22"/>
  <c r="R377" i="22"/>
  <c r="S377" i="22"/>
  <c r="T377" i="22"/>
  <c r="U377" i="22"/>
  <c r="P378" i="22"/>
  <c r="Q378" i="22"/>
  <c r="R378" i="22"/>
  <c r="S378" i="22"/>
  <c r="T378" i="22"/>
  <c r="U378" i="22"/>
  <c r="P379" i="22"/>
  <c r="Q379" i="22"/>
  <c r="R379" i="22"/>
  <c r="S379" i="22"/>
  <c r="T379" i="22"/>
  <c r="U379" i="22"/>
  <c r="P380" i="22"/>
  <c r="Q380" i="22"/>
  <c r="R380" i="22"/>
  <c r="S380" i="22"/>
  <c r="T380" i="22"/>
  <c r="U380" i="22"/>
  <c r="P381" i="22"/>
  <c r="Q381" i="22"/>
  <c r="R381" i="22"/>
  <c r="S381" i="22"/>
  <c r="T381" i="22"/>
  <c r="U381" i="22"/>
  <c r="P382" i="22"/>
  <c r="Q382" i="22"/>
  <c r="R382" i="22"/>
  <c r="S382" i="22"/>
  <c r="T382" i="22"/>
  <c r="U382" i="22"/>
  <c r="P383" i="22"/>
  <c r="Q383" i="22"/>
  <c r="R383" i="22"/>
  <c r="S383" i="22"/>
  <c r="T383" i="22"/>
  <c r="U383" i="22"/>
  <c r="P384" i="22"/>
  <c r="Q384" i="22"/>
  <c r="R384" i="22"/>
  <c r="S384" i="22"/>
  <c r="T384" i="22"/>
  <c r="U384" i="22"/>
  <c r="V385" i="22"/>
  <c r="P386" i="22"/>
  <c r="Q386" i="22"/>
  <c r="R386" i="22"/>
  <c r="S386" i="22"/>
  <c r="T386" i="22"/>
  <c r="U386" i="22"/>
  <c r="P387" i="22"/>
  <c r="Q387" i="22"/>
  <c r="R387" i="22"/>
  <c r="S387" i="22"/>
  <c r="T387" i="22"/>
  <c r="U387" i="22"/>
  <c r="P388" i="22"/>
  <c r="Q388" i="22"/>
  <c r="R388" i="22"/>
  <c r="S388" i="22"/>
  <c r="T388" i="22"/>
  <c r="U388" i="22"/>
  <c r="P389" i="22"/>
  <c r="Q389" i="22"/>
  <c r="R389" i="22"/>
  <c r="S389" i="22"/>
  <c r="T389" i="22"/>
  <c r="U389" i="22"/>
  <c r="P390" i="22"/>
  <c r="Q390" i="22"/>
  <c r="R390" i="22"/>
  <c r="S390" i="22"/>
  <c r="T390" i="22"/>
  <c r="U390" i="22"/>
  <c r="P391" i="22"/>
  <c r="Q391" i="22"/>
  <c r="R391" i="22"/>
  <c r="S391" i="22"/>
  <c r="T391" i="22"/>
  <c r="U391" i="22"/>
  <c r="P392" i="22"/>
  <c r="Q392" i="22"/>
  <c r="R392" i="22"/>
  <c r="S392" i="22"/>
  <c r="T392" i="22"/>
  <c r="U392" i="22"/>
  <c r="P393" i="22"/>
  <c r="Q393" i="22"/>
  <c r="R393" i="22"/>
  <c r="S393" i="22"/>
  <c r="T393" i="22"/>
  <c r="U393" i="22"/>
  <c r="P394" i="22"/>
  <c r="Q394" i="22"/>
  <c r="R394" i="22"/>
  <c r="S394" i="22"/>
  <c r="T394" i="22"/>
  <c r="U394" i="22"/>
  <c r="P395" i="22"/>
  <c r="Q395" i="22"/>
  <c r="R395" i="22"/>
  <c r="S395" i="22"/>
  <c r="T395" i="22"/>
  <c r="U395" i="22"/>
  <c r="P396" i="22"/>
  <c r="Q396" i="22"/>
  <c r="R396" i="22"/>
  <c r="S396" i="22"/>
  <c r="T396" i="22"/>
  <c r="U396" i="22"/>
  <c r="P397" i="22"/>
  <c r="Q397" i="22"/>
  <c r="R397" i="22"/>
  <c r="S397" i="22"/>
  <c r="T397" i="22"/>
  <c r="U397" i="22"/>
  <c r="P398" i="22"/>
  <c r="Q398" i="22"/>
  <c r="R398" i="22"/>
  <c r="S398" i="22"/>
  <c r="T398" i="22"/>
  <c r="U398" i="22"/>
  <c r="P399" i="22"/>
  <c r="Q399" i="22"/>
  <c r="R399" i="22"/>
  <c r="S399" i="22"/>
  <c r="T399" i="22"/>
  <c r="U399" i="22"/>
  <c r="P400" i="22"/>
  <c r="Q400" i="22"/>
  <c r="R400" i="22"/>
  <c r="S400" i="22"/>
  <c r="T400" i="22"/>
  <c r="U400" i="22"/>
  <c r="P401" i="22"/>
  <c r="Q401" i="22"/>
  <c r="R401" i="22"/>
  <c r="S401" i="22"/>
  <c r="T401" i="22"/>
  <c r="U401" i="22"/>
  <c r="P402" i="22"/>
  <c r="Q402" i="22"/>
  <c r="R402" i="22"/>
  <c r="S402" i="22"/>
  <c r="T402" i="22"/>
  <c r="U402" i="22"/>
  <c r="P403" i="22"/>
  <c r="Q403" i="22"/>
  <c r="R403" i="22"/>
  <c r="S403" i="22"/>
  <c r="T403" i="22"/>
  <c r="U403" i="22"/>
  <c r="P404" i="22"/>
  <c r="Q404" i="22"/>
  <c r="R404" i="22"/>
  <c r="S404" i="22"/>
  <c r="T404" i="22"/>
  <c r="U404" i="22"/>
  <c r="P405" i="22"/>
  <c r="Q405" i="22"/>
  <c r="R405" i="22"/>
  <c r="S405" i="22"/>
  <c r="T405" i="22"/>
  <c r="U405" i="22"/>
  <c r="P406" i="22"/>
  <c r="Q406" i="22"/>
  <c r="R406" i="22"/>
  <c r="S406" i="22"/>
  <c r="T406" i="22"/>
  <c r="U406" i="22"/>
  <c r="P407" i="22"/>
  <c r="Q407" i="22"/>
  <c r="R407" i="22"/>
  <c r="S407" i="22"/>
  <c r="T407" i="22"/>
  <c r="U407" i="22"/>
  <c r="P408" i="22"/>
  <c r="Q408" i="22"/>
  <c r="R408" i="22"/>
  <c r="S408" i="22"/>
  <c r="T408" i="22"/>
  <c r="U408" i="22"/>
  <c r="P409" i="22"/>
  <c r="Q409" i="22"/>
  <c r="R409" i="22"/>
  <c r="S409" i="22"/>
  <c r="T409" i="22"/>
  <c r="U409" i="22"/>
  <c r="P410" i="22"/>
  <c r="Q410" i="22"/>
  <c r="R410" i="22"/>
  <c r="S410" i="22"/>
  <c r="T410" i="22"/>
  <c r="U410" i="22"/>
  <c r="P411" i="22"/>
  <c r="Q411" i="22"/>
  <c r="R411" i="22"/>
  <c r="S411" i="22"/>
  <c r="T411" i="22"/>
  <c r="U411" i="22"/>
  <c r="P412" i="22"/>
  <c r="Q412" i="22"/>
  <c r="R412" i="22"/>
  <c r="S412" i="22"/>
  <c r="T412" i="22"/>
  <c r="U412" i="22"/>
  <c r="P413" i="22"/>
  <c r="Q413" i="22"/>
  <c r="R413" i="22"/>
  <c r="S413" i="22"/>
  <c r="T413" i="22"/>
  <c r="U413" i="22"/>
  <c r="P414" i="22"/>
  <c r="Q414" i="22"/>
  <c r="R414" i="22"/>
  <c r="S414" i="22"/>
  <c r="T414" i="22"/>
  <c r="U414" i="22"/>
  <c r="P415" i="22"/>
  <c r="Q415" i="22"/>
  <c r="R415" i="22"/>
  <c r="S415" i="22"/>
  <c r="T415" i="22"/>
  <c r="U415" i="22"/>
  <c r="P416" i="22"/>
  <c r="Q416" i="22"/>
  <c r="R416" i="22"/>
  <c r="S416" i="22"/>
  <c r="T416" i="22"/>
  <c r="U416" i="22"/>
  <c r="P417" i="22"/>
  <c r="Q417" i="22"/>
  <c r="R417" i="22"/>
  <c r="S417" i="22"/>
  <c r="T417" i="22"/>
  <c r="U417" i="22"/>
  <c r="P418" i="22"/>
  <c r="Q418" i="22"/>
  <c r="R418" i="22"/>
  <c r="S418" i="22"/>
  <c r="T418" i="22"/>
  <c r="U418" i="22"/>
  <c r="P419" i="22"/>
  <c r="Q419" i="22"/>
  <c r="R419" i="22"/>
  <c r="S419" i="22"/>
  <c r="T419" i="22"/>
  <c r="U419" i="22"/>
  <c r="P420" i="22"/>
  <c r="Q420" i="22"/>
  <c r="R420" i="22"/>
  <c r="S420" i="22"/>
  <c r="T420" i="22"/>
  <c r="U420" i="22"/>
  <c r="P421" i="22"/>
  <c r="Q421" i="22"/>
  <c r="R421" i="22"/>
  <c r="S421" i="22"/>
  <c r="T421" i="22"/>
  <c r="U421" i="22"/>
  <c r="P422" i="22"/>
  <c r="Q422" i="22"/>
  <c r="R422" i="22"/>
  <c r="S422" i="22"/>
  <c r="T422" i="22"/>
  <c r="U422" i="22"/>
  <c r="P423" i="22"/>
  <c r="Q423" i="22"/>
  <c r="R423" i="22"/>
  <c r="S423" i="22"/>
  <c r="T423" i="22"/>
  <c r="U423" i="22"/>
  <c r="P424" i="22"/>
  <c r="Q424" i="22"/>
  <c r="R424" i="22"/>
  <c r="S424" i="22"/>
  <c r="T424" i="22"/>
  <c r="U424" i="22"/>
  <c r="P425" i="22"/>
  <c r="Q425" i="22"/>
  <c r="R425" i="22"/>
  <c r="S425" i="22"/>
  <c r="T425" i="22"/>
  <c r="U425" i="22"/>
  <c r="P426" i="22"/>
  <c r="Q426" i="22"/>
  <c r="R426" i="22"/>
  <c r="S426" i="22"/>
  <c r="T426" i="22"/>
  <c r="U426" i="22"/>
  <c r="P427" i="22"/>
  <c r="Q427" i="22"/>
  <c r="R427" i="22"/>
  <c r="S427" i="22"/>
  <c r="T427" i="22"/>
  <c r="U427" i="22"/>
  <c r="P428" i="22"/>
  <c r="Q428" i="22"/>
  <c r="R428" i="22"/>
  <c r="S428" i="22"/>
  <c r="T428" i="22"/>
  <c r="U428" i="22"/>
  <c r="P429" i="22"/>
  <c r="Q429" i="22"/>
  <c r="R429" i="22"/>
  <c r="S429" i="22"/>
  <c r="T429" i="22"/>
  <c r="U429" i="22"/>
  <c r="P430" i="22"/>
  <c r="Q430" i="22"/>
  <c r="R430" i="22"/>
  <c r="S430" i="22"/>
  <c r="T430" i="22"/>
  <c r="U430" i="22"/>
  <c r="P431" i="22"/>
  <c r="Q431" i="22"/>
  <c r="R431" i="22"/>
  <c r="S431" i="22"/>
  <c r="T431" i="22"/>
  <c r="U431" i="22"/>
  <c r="P432" i="22"/>
  <c r="Q432" i="22"/>
  <c r="R432" i="22"/>
  <c r="S432" i="22"/>
  <c r="T432" i="22"/>
  <c r="U432" i="22"/>
  <c r="P433" i="22"/>
  <c r="Q433" i="22"/>
  <c r="R433" i="22"/>
  <c r="S433" i="22"/>
  <c r="T433" i="22"/>
  <c r="U433" i="22"/>
  <c r="P434" i="22"/>
  <c r="Q434" i="22"/>
  <c r="R434" i="22"/>
  <c r="S434" i="22"/>
  <c r="T434" i="22"/>
  <c r="U434" i="22"/>
  <c r="P435" i="22"/>
  <c r="Q435" i="22"/>
  <c r="R435" i="22"/>
  <c r="S435" i="22"/>
  <c r="T435" i="22"/>
  <c r="U435" i="22"/>
  <c r="P436" i="22"/>
  <c r="Q436" i="22"/>
  <c r="R436" i="22"/>
  <c r="S436" i="22"/>
  <c r="T436" i="22"/>
  <c r="U436" i="22"/>
  <c r="P437" i="22"/>
  <c r="Q437" i="22"/>
  <c r="R437" i="22"/>
  <c r="S437" i="22"/>
  <c r="T437" i="22"/>
  <c r="U437" i="22"/>
  <c r="P438" i="22"/>
  <c r="Q438" i="22"/>
  <c r="R438" i="22"/>
  <c r="S438" i="22"/>
  <c r="T438" i="22"/>
  <c r="U438" i="22"/>
  <c r="P439" i="22"/>
  <c r="Q439" i="22"/>
  <c r="R439" i="22"/>
  <c r="S439" i="22"/>
  <c r="T439" i="22"/>
  <c r="U439" i="22"/>
  <c r="P440" i="22"/>
  <c r="Q440" i="22"/>
  <c r="R440" i="22"/>
  <c r="S440" i="22"/>
  <c r="T440" i="22"/>
  <c r="U440" i="22"/>
  <c r="P441" i="22"/>
  <c r="Q441" i="22"/>
  <c r="R441" i="22"/>
  <c r="S441" i="22"/>
  <c r="T441" i="22"/>
  <c r="U441" i="22"/>
  <c r="P442" i="22"/>
  <c r="Q442" i="22"/>
  <c r="R442" i="22"/>
  <c r="S442" i="22"/>
  <c r="T442" i="22"/>
  <c r="U442" i="22"/>
  <c r="P443" i="22"/>
  <c r="Q443" i="22"/>
  <c r="R443" i="22"/>
  <c r="S443" i="22"/>
  <c r="T443" i="22"/>
  <c r="U443" i="22"/>
  <c r="P444" i="22"/>
  <c r="Q444" i="22"/>
  <c r="R444" i="22"/>
  <c r="S444" i="22"/>
  <c r="T444" i="22"/>
  <c r="U444" i="22"/>
  <c r="P445" i="22"/>
  <c r="Q445" i="22"/>
  <c r="R445" i="22"/>
  <c r="S445" i="22"/>
  <c r="T445" i="22"/>
  <c r="U445" i="22"/>
  <c r="P446" i="22"/>
  <c r="Q446" i="22"/>
  <c r="R446" i="22"/>
  <c r="S446" i="22"/>
  <c r="T446" i="22"/>
  <c r="U446" i="22"/>
  <c r="P447" i="22"/>
  <c r="Q447" i="22"/>
  <c r="R447" i="22"/>
  <c r="S447" i="22"/>
  <c r="T447" i="22"/>
  <c r="U447" i="22"/>
  <c r="P448" i="22"/>
  <c r="Q448" i="22"/>
  <c r="R448" i="22"/>
  <c r="S448" i="22"/>
  <c r="T448" i="22"/>
  <c r="U448" i="22"/>
  <c r="P449" i="22"/>
  <c r="Q449" i="22"/>
  <c r="R449" i="22"/>
  <c r="S449" i="22"/>
  <c r="T449" i="22"/>
  <c r="U449" i="22"/>
  <c r="P450" i="22"/>
  <c r="Q450" i="22"/>
  <c r="R450" i="22"/>
  <c r="S450" i="22"/>
  <c r="T450" i="22"/>
  <c r="U450" i="22"/>
  <c r="P451" i="22"/>
  <c r="Q451" i="22"/>
  <c r="R451" i="22"/>
  <c r="S451" i="22"/>
  <c r="T451" i="22"/>
  <c r="U451" i="22"/>
  <c r="P452" i="22"/>
  <c r="Q452" i="22"/>
  <c r="R452" i="22"/>
  <c r="S452" i="22"/>
  <c r="T452" i="22"/>
  <c r="U452" i="22"/>
  <c r="P453" i="22"/>
  <c r="Q453" i="22"/>
  <c r="R453" i="22"/>
  <c r="S453" i="22"/>
  <c r="T453" i="22"/>
  <c r="U453" i="22"/>
  <c r="P454" i="22"/>
  <c r="Q454" i="22"/>
  <c r="R454" i="22"/>
  <c r="S454" i="22"/>
  <c r="T454" i="22"/>
  <c r="U454" i="22"/>
  <c r="P455" i="22"/>
  <c r="Q455" i="22"/>
  <c r="R455" i="22"/>
  <c r="S455" i="22"/>
  <c r="T455" i="22"/>
  <c r="U455" i="22"/>
  <c r="P456" i="22"/>
  <c r="Q456" i="22"/>
  <c r="R456" i="22"/>
  <c r="S456" i="22"/>
  <c r="T456" i="22"/>
  <c r="U456" i="22"/>
  <c r="P457" i="22"/>
  <c r="Q457" i="22"/>
  <c r="R457" i="22"/>
  <c r="S457" i="22"/>
  <c r="T457" i="22"/>
  <c r="U457" i="22"/>
  <c r="P458" i="22"/>
  <c r="Q458" i="22"/>
  <c r="R458" i="22"/>
  <c r="S458" i="22"/>
  <c r="T458" i="22"/>
  <c r="U458" i="22"/>
  <c r="P459" i="22"/>
  <c r="Q459" i="22"/>
  <c r="R459" i="22"/>
  <c r="S459" i="22"/>
  <c r="T459" i="22"/>
  <c r="U459" i="22"/>
  <c r="P460" i="22"/>
  <c r="Q460" i="22"/>
  <c r="R460" i="22"/>
  <c r="S460" i="22"/>
  <c r="T460" i="22"/>
  <c r="U460" i="22"/>
  <c r="P461" i="22"/>
  <c r="Q461" i="22"/>
  <c r="R461" i="22"/>
  <c r="S461" i="22"/>
  <c r="T461" i="22"/>
  <c r="U461" i="22"/>
  <c r="P462" i="22"/>
  <c r="Q462" i="22"/>
  <c r="R462" i="22"/>
  <c r="S462" i="22"/>
  <c r="T462" i="22"/>
  <c r="U462" i="22"/>
  <c r="P463" i="22"/>
  <c r="Q463" i="22"/>
  <c r="R463" i="22"/>
  <c r="S463" i="22"/>
  <c r="T463" i="22"/>
  <c r="U463" i="22"/>
  <c r="P464" i="22"/>
  <c r="Q464" i="22"/>
  <c r="R464" i="22"/>
  <c r="S464" i="22"/>
  <c r="T464" i="22"/>
  <c r="U464" i="22"/>
  <c r="P465" i="22"/>
  <c r="Q465" i="22"/>
  <c r="R465" i="22"/>
  <c r="S465" i="22"/>
  <c r="T465" i="22"/>
  <c r="U465" i="22"/>
  <c r="P466" i="22"/>
  <c r="Q466" i="22"/>
  <c r="R466" i="22"/>
  <c r="S466" i="22"/>
  <c r="T466" i="22"/>
  <c r="U466" i="22"/>
  <c r="P467" i="22"/>
  <c r="Q467" i="22"/>
  <c r="R467" i="22"/>
  <c r="S467" i="22"/>
  <c r="T467" i="22"/>
  <c r="U467" i="22"/>
  <c r="P468" i="22"/>
  <c r="Q468" i="22"/>
  <c r="R468" i="22"/>
  <c r="S468" i="22"/>
  <c r="T468" i="22"/>
  <c r="U468" i="22"/>
  <c r="P469" i="22"/>
  <c r="Q469" i="22"/>
  <c r="R469" i="22"/>
  <c r="S469" i="22"/>
  <c r="T469" i="22"/>
  <c r="U469" i="22"/>
  <c r="P470" i="22"/>
  <c r="Q470" i="22"/>
  <c r="R470" i="22"/>
  <c r="S470" i="22"/>
  <c r="T470" i="22"/>
  <c r="U470" i="22"/>
  <c r="P471" i="22"/>
  <c r="Q471" i="22"/>
  <c r="R471" i="22"/>
  <c r="S471" i="22"/>
  <c r="T471" i="22"/>
  <c r="U471" i="22"/>
  <c r="P472" i="22"/>
  <c r="Q472" i="22"/>
  <c r="R472" i="22"/>
  <c r="S472" i="22"/>
  <c r="T472" i="22"/>
  <c r="U472" i="22"/>
  <c r="P473" i="22"/>
  <c r="Q473" i="22"/>
  <c r="R473" i="22"/>
  <c r="S473" i="22"/>
  <c r="T473" i="22"/>
  <c r="U473" i="22"/>
  <c r="P474" i="22"/>
  <c r="Q474" i="22"/>
  <c r="R474" i="22"/>
  <c r="S474" i="22"/>
  <c r="T474" i="22"/>
  <c r="U474" i="22"/>
  <c r="P475" i="22"/>
  <c r="Q475" i="22"/>
  <c r="R475" i="22"/>
  <c r="S475" i="22"/>
  <c r="T475" i="22"/>
  <c r="U475" i="22"/>
  <c r="P476" i="22"/>
  <c r="Q476" i="22"/>
  <c r="R476" i="22"/>
  <c r="S476" i="22"/>
  <c r="T476" i="22"/>
  <c r="U476" i="22"/>
  <c r="P477" i="22"/>
  <c r="Q477" i="22"/>
  <c r="R477" i="22"/>
  <c r="S477" i="22"/>
  <c r="T477" i="22"/>
  <c r="U477" i="22"/>
  <c r="P478" i="22"/>
  <c r="Q478" i="22"/>
  <c r="R478" i="22"/>
  <c r="S478" i="22"/>
  <c r="T478" i="22"/>
  <c r="U478" i="22"/>
  <c r="P479" i="22"/>
  <c r="Q479" i="22"/>
  <c r="R479" i="22"/>
  <c r="S479" i="22"/>
  <c r="T479" i="22"/>
  <c r="U479" i="22"/>
  <c r="P480" i="22"/>
  <c r="Q480" i="22"/>
  <c r="R480" i="22"/>
  <c r="S480" i="22"/>
  <c r="T480" i="22"/>
  <c r="U480" i="22"/>
  <c r="P481" i="22"/>
  <c r="Q481" i="22"/>
  <c r="R481" i="22"/>
  <c r="S481" i="22"/>
  <c r="T481" i="22"/>
  <c r="U481" i="22"/>
  <c r="P482" i="22"/>
  <c r="Q482" i="22"/>
  <c r="R482" i="22"/>
  <c r="S482" i="22"/>
  <c r="T482" i="22"/>
  <c r="U482" i="22"/>
  <c r="P483" i="22"/>
  <c r="Q483" i="22"/>
  <c r="R483" i="22"/>
  <c r="S483" i="22"/>
  <c r="T483" i="22"/>
  <c r="U483" i="22"/>
  <c r="P484" i="22"/>
  <c r="Q484" i="22"/>
  <c r="R484" i="22"/>
  <c r="S484" i="22"/>
  <c r="T484" i="22"/>
  <c r="U484" i="22"/>
  <c r="P485" i="22"/>
  <c r="Q485" i="22"/>
  <c r="R485" i="22"/>
  <c r="S485" i="22"/>
  <c r="T485" i="22"/>
  <c r="U485" i="22"/>
  <c r="P486" i="22"/>
  <c r="Q486" i="22"/>
  <c r="R486" i="22"/>
  <c r="S486" i="22"/>
  <c r="T486" i="22"/>
  <c r="U486" i="22"/>
  <c r="P487" i="22"/>
  <c r="Q487" i="22"/>
  <c r="R487" i="22"/>
  <c r="S487" i="22"/>
  <c r="T487" i="22"/>
  <c r="U487" i="22"/>
  <c r="P488" i="22"/>
  <c r="Q488" i="22"/>
  <c r="R488" i="22"/>
  <c r="S488" i="22"/>
  <c r="T488" i="22"/>
  <c r="U488" i="22"/>
  <c r="P489" i="22"/>
  <c r="Q489" i="22"/>
  <c r="R489" i="22"/>
  <c r="S489" i="22"/>
  <c r="T489" i="22"/>
  <c r="U489" i="22"/>
  <c r="P490" i="22"/>
  <c r="Q490" i="22"/>
  <c r="R490" i="22"/>
  <c r="S490" i="22"/>
  <c r="T490" i="22"/>
  <c r="U490" i="22"/>
  <c r="P491" i="22"/>
  <c r="Q491" i="22"/>
  <c r="R491" i="22"/>
  <c r="S491" i="22"/>
  <c r="T491" i="22"/>
  <c r="U491" i="22"/>
  <c r="P492" i="22"/>
  <c r="Q492" i="22"/>
  <c r="R492" i="22"/>
  <c r="S492" i="22"/>
  <c r="T492" i="22"/>
  <c r="U492" i="22"/>
  <c r="P493" i="22"/>
  <c r="Q493" i="22"/>
  <c r="R493" i="22"/>
  <c r="S493" i="22"/>
  <c r="T493" i="22"/>
  <c r="U493" i="22"/>
  <c r="P494" i="22"/>
  <c r="Q494" i="22"/>
  <c r="R494" i="22"/>
  <c r="S494" i="22"/>
  <c r="T494" i="22"/>
  <c r="U494" i="22"/>
  <c r="P495" i="22"/>
  <c r="Q495" i="22"/>
  <c r="R495" i="22"/>
  <c r="S495" i="22"/>
  <c r="T495" i="22"/>
  <c r="U495" i="22"/>
  <c r="P496" i="22"/>
  <c r="Q496" i="22"/>
  <c r="R496" i="22"/>
  <c r="S496" i="22"/>
  <c r="T496" i="22"/>
  <c r="U496" i="22"/>
  <c r="P497" i="22"/>
  <c r="Q497" i="22"/>
  <c r="R497" i="22"/>
  <c r="S497" i="22"/>
  <c r="T497" i="22"/>
  <c r="U497" i="22"/>
  <c r="P498" i="22"/>
  <c r="Q498" i="22"/>
  <c r="R498" i="22"/>
  <c r="S498" i="22"/>
  <c r="T498" i="22"/>
  <c r="U498" i="22"/>
  <c r="P499" i="22"/>
  <c r="Q499" i="22"/>
  <c r="R499" i="22"/>
  <c r="S499" i="22"/>
  <c r="T499" i="22"/>
  <c r="U499" i="22"/>
  <c r="P500" i="22"/>
  <c r="Q500" i="22"/>
  <c r="R500" i="22"/>
  <c r="S500" i="22"/>
  <c r="T500" i="22"/>
  <c r="U500" i="22"/>
  <c r="P501" i="22"/>
  <c r="Q501" i="22"/>
  <c r="R501" i="22"/>
  <c r="S501" i="22"/>
  <c r="T501" i="22"/>
  <c r="U501" i="22"/>
  <c r="P502" i="22"/>
  <c r="Q502" i="22"/>
  <c r="R502" i="22"/>
  <c r="S502" i="22"/>
  <c r="T502" i="22"/>
  <c r="U502" i="22"/>
  <c r="P503" i="22"/>
  <c r="Q503" i="22"/>
  <c r="R503" i="22"/>
  <c r="S503" i="22"/>
  <c r="T503" i="22"/>
  <c r="U503" i="22"/>
  <c r="P504" i="22"/>
  <c r="Q504" i="22"/>
  <c r="R504" i="22"/>
  <c r="S504" i="22"/>
  <c r="T504" i="22"/>
  <c r="U504" i="22"/>
  <c r="P505" i="22"/>
  <c r="Q505" i="22"/>
  <c r="R505" i="22"/>
  <c r="S505" i="22"/>
  <c r="T505" i="22"/>
  <c r="U505" i="22"/>
  <c r="P506" i="22"/>
  <c r="Q506" i="22"/>
  <c r="R506" i="22"/>
  <c r="S506" i="22"/>
  <c r="T506" i="22"/>
  <c r="U506" i="22"/>
  <c r="P507" i="22"/>
  <c r="Q507" i="22"/>
  <c r="R507" i="22"/>
  <c r="S507" i="22"/>
  <c r="T507" i="22"/>
  <c r="U507" i="22"/>
  <c r="P508" i="22"/>
  <c r="Q508" i="22"/>
  <c r="R508" i="22"/>
  <c r="S508" i="22"/>
  <c r="T508" i="22"/>
  <c r="U508" i="22"/>
  <c r="P509" i="22"/>
  <c r="Q509" i="22"/>
  <c r="R509" i="22"/>
  <c r="S509" i="22"/>
  <c r="T509" i="22"/>
  <c r="U509" i="22"/>
  <c r="P510" i="22"/>
  <c r="Q510" i="22"/>
  <c r="R510" i="22"/>
  <c r="S510" i="22"/>
  <c r="T510" i="22"/>
  <c r="U510" i="22"/>
  <c r="P511" i="22"/>
  <c r="Q511" i="22"/>
  <c r="R511" i="22"/>
  <c r="S511" i="22"/>
  <c r="T511" i="22"/>
  <c r="U511" i="22"/>
  <c r="P512" i="22"/>
  <c r="Q512" i="22"/>
  <c r="R512" i="22"/>
  <c r="S512" i="22"/>
  <c r="T512" i="22"/>
  <c r="U512" i="22"/>
  <c r="P513" i="22"/>
  <c r="Q513" i="22"/>
  <c r="R513" i="22"/>
  <c r="S513" i="22"/>
  <c r="T513" i="22"/>
  <c r="U513" i="22"/>
  <c r="P514" i="22"/>
  <c r="Q514" i="22"/>
  <c r="R514" i="22"/>
  <c r="S514" i="22"/>
  <c r="T514" i="22"/>
  <c r="U514" i="22"/>
  <c r="P515" i="22"/>
  <c r="Q515" i="22"/>
  <c r="R515" i="22"/>
  <c r="S515" i="22"/>
  <c r="T515" i="22"/>
  <c r="U515" i="22"/>
  <c r="P516" i="22"/>
  <c r="Q516" i="22"/>
  <c r="R516" i="22"/>
  <c r="S516" i="22"/>
  <c r="T516" i="22"/>
  <c r="U516" i="22"/>
  <c r="P517" i="22"/>
  <c r="Q517" i="22"/>
  <c r="R517" i="22"/>
  <c r="S517" i="22"/>
  <c r="T517" i="22"/>
  <c r="U517" i="22"/>
  <c r="P518" i="22"/>
  <c r="Q518" i="22"/>
  <c r="R518" i="22"/>
  <c r="S518" i="22"/>
  <c r="T518" i="22"/>
  <c r="U518" i="22"/>
  <c r="P519" i="22"/>
  <c r="Q519" i="22"/>
  <c r="R519" i="22"/>
  <c r="S519" i="22"/>
  <c r="T519" i="22"/>
  <c r="U519" i="22"/>
  <c r="P520" i="22"/>
  <c r="Q520" i="22"/>
  <c r="R520" i="22"/>
  <c r="S520" i="22"/>
  <c r="T520" i="22"/>
  <c r="U520" i="22"/>
  <c r="P521" i="22"/>
  <c r="Q521" i="22"/>
  <c r="R521" i="22"/>
  <c r="S521" i="22"/>
  <c r="T521" i="22"/>
  <c r="U521" i="22"/>
  <c r="P522" i="22"/>
  <c r="Q522" i="22"/>
  <c r="R522" i="22"/>
  <c r="S522" i="22"/>
  <c r="T522" i="22"/>
  <c r="U522" i="22"/>
  <c r="P523" i="22"/>
  <c r="Q523" i="22"/>
  <c r="R523" i="22"/>
  <c r="S523" i="22"/>
  <c r="T523" i="22"/>
  <c r="U523" i="22"/>
  <c r="P524" i="22"/>
  <c r="Q524" i="22"/>
  <c r="R524" i="22"/>
  <c r="S524" i="22"/>
  <c r="T524" i="22"/>
  <c r="U524" i="22"/>
  <c r="P525" i="22"/>
  <c r="Q525" i="22"/>
  <c r="R525" i="22"/>
  <c r="S525" i="22"/>
  <c r="T525" i="22"/>
  <c r="U525" i="22"/>
  <c r="P526" i="22"/>
  <c r="Q526" i="22"/>
  <c r="R526" i="22"/>
  <c r="S526" i="22"/>
  <c r="T526" i="22"/>
  <c r="U526" i="22"/>
  <c r="P527" i="22"/>
  <c r="Q527" i="22"/>
  <c r="R527" i="22"/>
  <c r="S527" i="22"/>
  <c r="T527" i="22"/>
  <c r="U527" i="22"/>
  <c r="P528" i="22"/>
  <c r="Q528" i="22"/>
  <c r="R528" i="22"/>
  <c r="S528" i="22"/>
  <c r="T528" i="22"/>
  <c r="U528" i="22"/>
  <c r="P529" i="22"/>
  <c r="Q529" i="22"/>
  <c r="R529" i="22"/>
  <c r="S529" i="22"/>
  <c r="T529" i="22"/>
  <c r="U529" i="22"/>
  <c r="P530" i="22"/>
  <c r="Q530" i="22"/>
  <c r="R530" i="22"/>
  <c r="S530" i="22"/>
  <c r="T530" i="22"/>
  <c r="U530" i="22"/>
  <c r="P531" i="22"/>
  <c r="Q531" i="22"/>
  <c r="R531" i="22"/>
  <c r="S531" i="22"/>
  <c r="T531" i="22"/>
  <c r="U531" i="22"/>
  <c r="P532" i="22"/>
  <c r="Q532" i="22"/>
  <c r="R532" i="22"/>
  <c r="S532" i="22"/>
  <c r="T532" i="22"/>
  <c r="U532" i="22"/>
  <c r="P533" i="22"/>
  <c r="Q533" i="22"/>
  <c r="R533" i="22"/>
  <c r="S533" i="22"/>
  <c r="T533" i="22"/>
  <c r="U533" i="22"/>
  <c r="P534" i="22"/>
  <c r="Q534" i="22"/>
  <c r="R534" i="22"/>
  <c r="S534" i="22"/>
  <c r="T534" i="22"/>
  <c r="U534" i="22"/>
  <c r="P535" i="22"/>
  <c r="Q535" i="22"/>
  <c r="R535" i="22"/>
  <c r="S535" i="22"/>
  <c r="T535" i="22"/>
  <c r="U535" i="22"/>
  <c r="P536" i="22"/>
  <c r="Q536" i="22"/>
  <c r="R536" i="22"/>
  <c r="S536" i="22"/>
  <c r="T536" i="22"/>
  <c r="U536" i="22"/>
  <c r="P537" i="22"/>
  <c r="Q537" i="22"/>
  <c r="R537" i="22"/>
  <c r="S537" i="22"/>
  <c r="T537" i="22"/>
  <c r="U537" i="22"/>
  <c r="P538" i="22"/>
  <c r="Q538" i="22"/>
  <c r="R538" i="22"/>
  <c r="S538" i="22"/>
  <c r="T538" i="22"/>
  <c r="U538" i="22"/>
  <c r="P539" i="22"/>
  <c r="Q539" i="22"/>
  <c r="R539" i="22"/>
  <c r="S539" i="22"/>
  <c r="T539" i="22"/>
  <c r="U539" i="22"/>
  <c r="P540" i="22"/>
  <c r="Q540" i="22"/>
  <c r="R540" i="22"/>
  <c r="S540" i="22"/>
  <c r="T540" i="22"/>
  <c r="U540" i="22"/>
  <c r="P541" i="22"/>
  <c r="Q541" i="22"/>
  <c r="R541" i="22"/>
  <c r="S541" i="22"/>
  <c r="T541" i="22"/>
  <c r="U541" i="22"/>
  <c r="P542" i="22"/>
  <c r="Q542" i="22"/>
  <c r="R542" i="22"/>
  <c r="S542" i="22"/>
  <c r="T542" i="22"/>
  <c r="U542" i="22"/>
  <c r="P543" i="22"/>
  <c r="Q543" i="22"/>
  <c r="R543" i="22"/>
  <c r="S543" i="22"/>
  <c r="T543" i="22"/>
  <c r="U543" i="22"/>
  <c r="P544" i="22"/>
  <c r="Q544" i="22"/>
  <c r="R544" i="22"/>
  <c r="S544" i="22"/>
  <c r="T544" i="22"/>
  <c r="U544" i="22"/>
  <c r="P545" i="22"/>
  <c r="Q545" i="22"/>
  <c r="R545" i="22"/>
  <c r="S545" i="22"/>
  <c r="T545" i="22"/>
  <c r="U545" i="22"/>
  <c r="P546" i="22"/>
  <c r="Q546" i="22"/>
  <c r="R546" i="22"/>
  <c r="S546" i="22"/>
  <c r="T546" i="22"/>
  <c r="U546" i="22"/>
  <c r="P547" i="22"/>
  <c r="Q547" i="22"/>
  <c r="R547" i="22"/>
  <c r="S547" i="22"/>
  <c r="T547" i="22"/>
  <c r="U547" i="22"/>
  <c r="P548" i="22"/>
  <c r="Q548" i="22"/>
  <c r="R548" i="22"/>
  <c r="S548" i="22"/>
  <c r="T548" i="22"/>
  <c r="U548" i="22"/>
  <c r="P549" i="22"/>
  <c r="Q549" i="22"/>
  <c r="R549" i="22"/>
  <c r="S549" i="22"/>
  <c r="T549" i="22"/>
  <c r="U549" i="22"/>
  <c r="P550" i="22"/>
  <c r="Q550" i="22"/>
  <c r="R550" i="22"/>
  <c r="S550" i="22"/>
  <c r="T550" i="22"/>
  <c r="U550" i="22"/>
  <c r="P551" i="22"/>
  <c r="Q551" i="22"/>
  <c r="R551" i="22"/>
  <c r="S551" i="22"/>
  <c r="T551" i="22"/>
  <c r="U551" i="22"/>
  <c r="P552" i="22"/>
  <c r="Q552" i="22"/>
  <c r="R552" i="22"/>
  <c r="S552" i="22"/>
  <c r="T552" i="22"/>
  <c r="U552" i="22"/>
  <c r="P553" i="22"/>
  <c r="Q553" i="22"/>
  <c r="R553" i="22"/>
  <c r="S553" i="22"/>
  <c r="T553" i="22"/>
  <c r="U553" i="22"/>
  <c r="P554" i="22"/>
  <c r="Q554" i="22"/>
  <c r="R554" i="22"/>
  <c r="S554" i="22"/>
  <c r="T554" i="22"/>
  <c r="U554" i="22"/>
  <c r="P555" i="22"/>
  <c r="Q555" i="22"/>
  <c r="R555" i="22"/>
  <c r="S555" i="22"/>
  <c r="T555" i="22"/>
  <c r="U555" i="22"/>
  <c r="P556" i="22"/>
  <c r="Q556" i="22"/>
  <c r="R556" i="22"/>
  <c r="S556" i="22"/>
  <c r="T556" i="22"/>
  <c r="U556" i="22"/>
  <c r="P557" i="22"/>
  <c r="Q557" i="22"/>
  <c r="R557" i="22"/>
  <c r="S557" i="22"/>
  <c r="T557" i="22"/>
  <c r="U557" i="22"/>
  <c r="P558" i="22"/>
  <c r="Q558" i="22"/>
  <c r="R558" i="22"/>
  <c r="S558" i="22"/>
  <c r="T558" i="22"/>
  <c r="U558" i="22"/>
  <c r="P559" i="22"/>
  <c r="Q559" i="22"/>
  <c r="R559" i="22"/>
  <c r="S559" i="22"/>
  <c r="T559" i="22"/>
  <c r="U559" i="22"/>
  <c r="P560" i="22"/>
  <c r="Q560" i="22"/>
  <c r="R560" i="22"/>
  <c r="S560" i="22"/>
  <c r="T560" i="22"/>
  <c r="U560" i="22"/>
  <c r="P561" i="22"/>
  <c r="Q561" i="22"/>
  <c r="R561" i="22"/>
  <c r="S561" i="22"/>
  <c r="T561" i="22"/>
  <c r="U561" i="22"/>
  <c r="P562" i="22"/>
  <c r="Q562" i="22"/>
  <c r="R562" i="22"/>
  <c r="S562" i="22"/>
  <c r="T562" i="22"/>
  <c r="U562" i="22"/>
  <c r="P563" i="22"/>
  <c r="Q563" i="22"/>
  <c r="R563" i="22"/>
  <c r="S563" i="22"/>
  <c r="T563" i="22"/>
  <c r="U563" i="22"/>
  <c r="P564" i="22"/>
  <c r="Q564" i="22"/>
  <c r="R564" i="22"/>
  <c r="S564" i="22"/>
  <c r="T564" i="22"/>
  <c r="U564" i="22"/>
  <c r="P565" i="22"/>
  <c r="Q565" i="22"/>
  <c r="R565" i="22"/>
  <c r="S565" i="22"/>
  <c r="T565" i="22"/>
  <c r="U565" i="22"/>
  <c r="P566" i="22"/>
  <c r="Q566" i="22"/>
  <c r="R566" i="22"/>
  <c r="S566" i="22"/>
  <c r="T566" i="22"/>
  <c r="U566" i="22"/>
  <c r="P567" i="22"/>
  <c r="Q567" i="22"/>
  <c r="R567" i="22"/>
  <c r="S567" i="22"/>
  <c r="T567" i="22"/>
  <c r="U567" i="22"/>
  <c r="P568" i="22"/>
  <c r="Q568" i="22"/>
  <c r="R568" i="22"/>
  <c r="S568" i="22"/>
  <c r="T568" i="22"/>
  <c r="U568" i="22"/>
  <c r="P569" i="22"/>
  <c r="Q569" i="22"/>
  <c r="R569" i="22"/>
  <c r="S569" i="22"/>
  <c r="T569" i="22"/>
  <c r="U569" i="22"/>
  <c r="P570" i="22"/>
  <c r="Q570" i="22"/>
  <c r="R570" i="22"/>
  <c r="S570" i="22"/>
  <c r="T570" i="22"/>
  <c r="U570" i="22"/>
  <c r="P571" i="22"/>
  <c r="Q571" i="22"/>
  <c r="R571" i="22"/>
  <c r="S571" i="22"/>
  <c r="T571" i="22"/>
  <c r="U571" i="22"/>
  <c r="P572" i="22"/>
  <c r="Q572" i="22"/>
  <c r="R572" i="22"/>
  <c r="S572" i="22"/>
  <c r="T572" i="22"/>
  <c r="U572" i="22"/>
  <c r="P573" i="22"/>
  <c r="Q573" i="22"/>
  <c r="R573" i="22"/>
  <c r="S573" i="22"/>
  <c r="T573" i="22"/>
  <c r="U573" i="22"/>
  <c r="P574" i="22"/>
  <c r="Q574" i="22"/>
  <c r="R574" i="22"/>
  <c r="S574" i="22"/>
  <c r="T574" i="22"/>
  <c r="U574" i="22"/>
  <c r="P575" i="22"/>
  <c r="Q575" i="22"/>
  <c r="R575" i="22"/>
  <c r="S575" i="22"/>
  <c r="T575" i="22"/>
  <c r="U575" i="22"/>
  <c r="P576" i="22"/>
  <c r="Q576" i="22"/>
  <c r="R576" i="22"/>
  <c r="S576" i="22"/>
  <c r="T576" i="22"/>
  <c r="U576" i="22"/>
  <c r="P577" i="22"/>
  <c r="Q577" i="22"/>
  <c r="R577" i="22"/>
  <c r="S577" i="22"/>
  <c r="T577" i="22"/>
  <c r="U577" i="22"/>
  <c r="P578" i="22"/>
  <c r="Q578" i="22"/>
  <c r="R578" i="22"/>
  <c r="S578" i="22"/>
  <c r="T578" i="22"/>
  <c r="U578" i="22"/>
  <c r="P579" i="22"/>
  <c r="Q579" i="22"/>
  <c r="R579" i="22"/>
  <c r="S579" i="22"/>
  <c r="T579" i="22"/>
  <c r="U579" i="22"/>
  <c r="P580" i="22"/>
  <c r="Q580" i="22"/>
  <c r="R580" i="22"/>
  <c r="S580" i="22"/>
  <c r="T580" i="22"/>
  <c r="U580" i="22"/>
  <c r="P581" i="22"/>
  <c r="Q581" i="22"/>
  <c r="R581" i="22"/>
  <c r="S581" i="22"/>
  <c r="T581" i="22"/>
  <c r="U581" i="22"/>
  <c r="P582" i="22"/>
  <c r="Q582" i="22"/>
  <c r="R582" i="22"/>
  <c r="S582" i="22"/>
  <c r="T582" i="22"/>
  <c r="U582" i="22"/>
  <c r="P583" i="22"/>
  <c r="Q583" i="22"/>
  <c r="R583" i="22"/>
  <c r="S583" i="22"/>
  <c r="T583" i="22"/>
  <c r="U583" i="22"/>
  <c r="P584" i="22"/>
  <c r="Q584" i="22"/>
  <c r="R584" i="22"/>
  <c r="S584" i="22"/>
  <c r="T584" i="22"/>
  <c r="U584" i="22"/>
  <c r="P585" i="22"/>
  <c r="Q585" i="22"/>
  <c r="R585" i="22"/>
  <c r="S585" i="22"/>
  <c r="T585" i="22"/>
  <c r="U585" i="22"/>
  <c r="P586" i="22"/>
  <c r="Q586" i="22"/>
  <c r="R586" i="22"/>
  <c r="S586" i="22"/>
  <c r="T586" i="22"/>
  <c r="U586" i="22"/>
  <c r="P587" i="22"/>
  <c r="Q587" i="22"/>
  <c r="R587" i="22"/>
  <c r="S587" i="22"/>
  <c r="T587" i="22"/>
  <c r="U587" i="22"/>
  <c r="P588" i="22"/>
  <c r="Q588" i="22"/>
  <c r="R588" i="22"/>
  <c r="S588" i="22"/>
  <c r="T588" i="22"/>
  <c r="U588" i="22"/>
  <c r="P589" i="22"/>
  <c r="Q589" i="22"/>
  <c r="R589" i="22"/>
  <c r="S589" i="22"/>
  <c r="T589" i="22"/>
  <c r="U589" i="22"/>
  <c r="P590" i="22"/>
  <c r="Q590" i="22"/>
  <c r="R590" i="22"/>
  <c r="S590" i="22"/>
  <c r="T590" i="22"/>
  <c r="U590" i="22"/>
  <c r="P591" i="22"/>
  <c r="Q591" i="22"/>
  <c r="R591" i="22"/>
  <c r="S591" i="22"/>
  <c r="T591" i="22"/>
  <c r="U591" i="22"/>
  <c r="P592" i="22"/>
  <c r="Q592" i="22"/>
  <c r="R592" i="22"/>
  <c r="S592" i="22"/>
  <c r="T592" i="22"/>
  <c r="U592" i="22"/>
  <c r="P593" i="22"/>
  <c r="Q593" i="22"/>
  <c r="R593" i="22"/>
  <c r="S593" i="22"/>
  <c r="T593" i="22"/>
  <c r="U593" i="22"/>
  <c r="P594" i="22"/>
  <c r="Q594" i="22"/>
  <c r="R594" i="22"/>
  <c r="S594" i="22"/>
  <c r="T594" i="22"/>
  <c r="U594" i="22"/>
  <c r="P595" i="22"/>
  <c r="Q595" i="22"/>
  <c r="R595" i="22"/>
  <c r="S595" i="22"/>
  <c r="T595" i="22"/>
  <c r="U595" i="22"/>
  <c r="P596" i="22"/>
  <c r="Q596" i="22"/>
  <c r="R596" i="22"/>
  <c r="S596" i="22"/>
  <c r="T596" i="22"/>
  <c r="U596" i="22"/>
  <c r="P597" i="22"/>
  <c r="Q597" i="22"/>
  <c r="R597" i="22"/>
  <c r="S597" i="22"/>
  <c r="T597" i="22"/>
  <c r="U597" i="22"/>
  <c r="P598" i="22"/>
  <c r="Q598" i="22"/>
  <c r="R598" i="22"/>
  <c r="S598" i="22"/>
  <c r="T598" i="22"/>
  <c r="U598" i="22"/>
  <c r="P599" i="22"/>
  <c r="Q599" i="22"/>
  <c r="R599" i="22"/>
  <c r="S599" i="22"/>
  <c r="T599" i="22"/>
  <c r="U599" i="22"/>
  <c r="P600" i="22"/>
  <c r="Q600" i="22"/>
  <c r="R600" i="22"/>
  <c r="S600" i="22"/>
  <c r="T600" i="22"/>
  <c r="U600" i="22"/>
  <c r="P601" i="22"/>
  <c r="Q601" i="22"/>
  <c r="R601" i="22"/>
  <c r="S601" i="22"/>
  <c r="T601" i="22"/>
  <c r="U601" i="22"/>
  <c r="P602" i="22"/>
  <c r="Q602" i="22"/>
  <c r="R602" i="22"/>
  <c r="S602" i="22"/>
  <c r="T602" i="22"/>
  <c r="U602" i="22"/>
  <c r="P603" i="22"/>
  <c r="Q603" i="22"/>
  <c r="R603" i="22"/>
  <c r="S603" i="22"/>
  <c r="T603" i="22"/>
  <c r="U603" i="22"/>
  <c r="P604" i="22"/>
  <c r="Q604" i="22"/>
  <c r="R604" i="22"/>
  <c r="S604" i="22"/>
  <c r="T604" i="22"/>
  <c r="U604" i="22"/>
  <c r="P605" i="22"/>
  <c r="Q605" i="22"/>
  <c r="R605" i="22"/>
  <c r="S605" i="22"/>
  <c r="T605" i="22"/>
  <c r="U605" i="22"/>
  <c r="P606" i="22"/>
  <c r="Q606" i="22"/>
  <c r="R606" i="22"/>
  <c r="S606" i="22"/>
  <c r="T606" i="22"/>
  <c r="U606" i="22"/>
  <c r="P607" i="22"/>
  <c r="Q607" i="22"/>
  <c r="R607" i="22"/>
  <c r="S607" i="22"/>
  <c r="T607" i="22"/>
  <c r="U607" i="22"/>
  <c r="P608" i="22"/>
  <c r="Q608" i="22"/>
  <c r="R608" i="22"/>
  <c r="S608" i="22"/>
  <c r="T608" i="22"/>
  <c r="U608" i="22"/>
  <c r="P609" i="22"/>
  <c r="Q609" i="22"/>
  <c r="R609" i="22"/>
  <c r="S609" i="22"/>
  <c r="T609" i="22"/>
  <c r="U609" i="22"/>
  <c r="P610" i="22"/>
  <c r="Q610" i="22"/>
  <c r="R610" i="22"/>
  <c r="S610" i="22"/>
  <c r="T610" i="22"/>
  <c r="U610" i="22"/>
  <c r="P611" i="22"/>
  <c r="Q611" i="22"/>
  <c r="R611" i="22"/>
  <c r="S611" i="22"/>
  <c r="T611" i="22"/>
  <c r="U611" i="22"/>
  <c r="P612" i="22"/>
  <c r="Q612" i="22"/>
  <c r="R612" i="22"/>
  <c r="S612" i="22"/>
  <c r="T612" i="22"/>
  <c r="U612" i="22"/>
  <c r="P613" i="22"/>
  <c r="Q613" i="22"/>
  <c r="R613" i="22"/>
  <c r="S613" i="22"/>
  <c r="T613" i="22"/>
  <c r="U613" i="22"/>
  <c r="P614" i="22"/>
  <c r="Q614" i="22"/>
  <c r="R614" i="22"/>
  <c r="S614" i="22"/>
  <c r="T614" i="22"/>
  <c r="U614" i="22"/>
  <c r="P615" i="22"/>
  <c r="Q615" i="22"/>
  <c r="R615" i="22"/>
  <c r="S615" i="22"/>
  <c r="T615" i="22"/>
  <c r="U615" i="22"/>
  <c r="P616" i="22"/>
  <c r="Q616" i="22"/>
  <c r="R616" i="22"/>
  <c r="S616" i="22"/>
  <c r="T616" i="22"/>
  <c r="U616" i="22"/>
  <c r="P617" i="22"/>
  <c r="Q617" i="22"/>
  <c r="R617" i="22"/>
  <c r="S617" i="22"/>
  <c r="T617" i="22"/>
  <c r="U617" i="22"/>
  <c r="P618" i="22"/>
  <c r="Q618" i="22"/>
  <c r="R618" i="22"/>
  <c r="S618" i="22"/>
  <c r="T618" i="22"/>
  <c r="U618" i="22"/>
  <c r="P619" i="22"/>
  <c r="Q619" i="22"/>
  <c r="R619" i="22"/>
  <c r="S619" i="22"/>
  <c r="T619" i="22"/>
  <c r="U619" i="22"/>
  <c r="P620" i="22"/>
  <c r="Q620" i="22"/>
  <c r="R620" i="22"/>
  <c r="S620" i="22"/>
  <c r="T620" i="22"/>
  <c r="U620" i="22"/>
  <c r="P621" i="22"/>
  <c r="Q621" i="22"/>
  <c r="R621" i="22"/>
  <c r="S621" i="22"/>
  <c r="T621" i="22"/>
  <c r="U621" i="22"/>
  <c r="P622" i="22"/>
  <c r="Q622" i="22"/>
  <c r="R622" i="22"/>
  <c r="S622" i="22"/>
  <c r="T622" i="22"/>
  <c r="U622" i="22"/>
  <c r="P623" i="22"/>
  <c r="Q623" i="22"/>
  <c r="R623" i="22"/>
  <c r="S623" i="22"/>
  <c r="T623" i="22"/>
  <c r="U623" i="22"/>
  <c r="P624" i="22"/>
  <c r="Q624" i="22"/>
  <c r="R624" i="22"/>
  <c r="S624" i="22"/>
  <c r="T624" i="22"/>
  <c r="U624" i="22"/>
  <c r="P625" i="22"/>
  <c r="Q625" i="22"/>
  <c r="R625" i="22"/>
  <c r="S625" i="22"/>
  <c r="T625" i="22"/>
  <c r="U625" i="22"/>
  <c r="P626" i="22"/>
  <c r="Q626" i="22"/>
  <c r="R626" i="22"/>
  <c r="S626" i="22"/>
  <c r="T626" i="22"/>
  <c r="U626" i="22"/>
  <c r="P627" i="22"/>
  <c r="Q627" i="22"/>
  <c r="R627" i="22"/>
  <c r="S627" i="22"/>
  <c r="T627" i="22"/>
  <c r="U627" i="22"/>
  <c r="P628" i="22"/>
  <c r="Q628" i="22"/>
  <c r="R628" i="22"/>
  <c r="S628" i="22"/>
  <c r="T628" i="22"/>
  <c r="U628" i="22"/>
  <c r="P629" i="22"/>
  <c r="Q629" i="22"/>
  <c r="R629" i="22"/>
  <c r="S629" i="22"/>
  <c r="T629" i="22"/>
  <c r="U629" i="22"/>
  <c r="P630" i="22"/>
  <c r="Q630" i="22"/>
  <c r="R630" i="22"/>
  <c r="S630" i="22"/>
  <c r="T630" i="22"/>
  <c r="U630" i="22"/>
  <c r="P631" i="22"/>
  <c r="Q631" i="22"/>
  <c r="R631" i="22"/>
  <c r="S631" i="22"/>
  <c r="T631" i="22"/>
  <c r="U631" i="22"/>
  <c r="P632" i="22"/>
  <c r="Q632" i="22"/>
  <c r="R632" i="22"/>
  <c r="S632" i="22"/>
  <c r="T632" i="22"/>
  <c r="U632" i="22"/>
  <c r="P633" i="22"/>
  <c r="Q633" i="22"/>
  <c r="R633" i="22"/>
  <c r="S633" i="22"/>
  <c r="T633" i="22"/>
  <c r="U633" i="22"/>
  <c r="P634" i="22"/>
  <c r="Q634" i="22"/>
  <c r="R634" i="22"/>
  <c r="S634" i="22"/>
  <c r="T634" i="22"/>
  <c r="U634" i="22"/>
  <c r="P635" i="22"/>
  <c r="Q635" i="22"/>
  <c r="R635" i="22"/>
  <c r="S635" i="22"/>
  <c r="T635" i="22"/>
  <c r="U635" i="22"/>
  <c r="P636" i="22"/>
  <c r="Q636" i="22"/>
  <c r="R636" i="22"/>
  <c r="S636" i="22"/>
  <c r="T636" i="22"/>
  <c r="U636" i="22"/>
  <c r="P637" i="22"/>
  <c r="Q637" i="22"/>
  <c r="R637" i="22"/>
  <c r="S637" i="22"/>
  <c r="T637" i="22"/>
  <c r="U637" i="22"/>
  <c r="P638" i="22"/>
  <c r="Q638" i="22"/>
  <c r="R638" i="22"/>
  <c r="S638" i="22"/>
  <c r="T638" i="22"/>
  <c r="U638" i="22"/>
  <c r="P639" i="22"/>
  <c r="Q639" i="22"/>
  <c r="R639" i="22"/>
  <c r="S639" i="22"/>
  <c r="T639" i="22"/>
  <c r="U639" i="22"/>
  <c r="P640" i="22"/>
  <c r="Q640" i="22"/>
  <c r="R640" i="22"/>
  <c r="S640" i="22"/>
  <c r="T640" i="22"/>
  <c r="U640" i="22"/>
  <c r="P641" i="22"/>
  <c r="Q641" i="22"/>
  <c r="R641" i="22"/>
  <c r="S641" i="22"/>
  <c r="T641" i="22"/>
  <c r="U641" i="22"/>
  <c r="P642" i="22"/>
  <c r="Q642" i="22"/>
  <c r="R642" i="22"/>
  <c r="S642" i="22"/>
  <c r="T642" i="22"/>
  <c r="U642" i="22"/>
  <c r="P643" i="22"/>
  <c r="Q643" i="22"/>
  <c r="R643" i="22"/>
  <c r="S643" i="22"/>
  <c r="T643" i="22"/>
  <c r="U643" i="22"/>
  <c r="P644" i="22"/>
  <c r="Q644" i="22"/>
  <c r="R644" i="22"/>
  <c r="S644" i="22"/>
  <c r="T644" i="22"/>
  <c r="U644" i="22"/>
  <c r="P645" i="22"/>
  <c r="Q645" i="22"/>
  <c r="R645" i="22"/>
  <c r="S645" i="22"/>
  <c r="T645" i="22"/>
  <c r="U645" i="22"/>
  <c r="P646" i="22"/>
  <c r="Q646" i="22"/>
  <c r="R646" i="22"/>
  <c r="S646" i="22"/>
  <c r="T646" i="22"/>
  <c r="U646" i="22"/>
  <c r="P647" i="22"/>
  <c r="Q647" i="22"/>
  <c r="R647" i="22"/>
  <c r="S647" i="22"/>
  <c r="T647" i="22"/>
  <c r="U647" i="22"/>
  <c r="P648" i="22"/>
  <c r="Q648" i="22"/>
  <c r="R648" i="22"/>
  <c r="S648" i="22"/>
  <c r="T648" i="22"/>
  <c r="U648" i="22"/>
  <c r="P649" i="22"/>
  <c r="Q649" i="22"/>
  <c r="R649" i="22"/>
  <c r="S649" i="22"/>
  <c r="T649" i="22"/>
  <c r="U649" i="22"/>
  <c r="P650" i="22"/>
  <c r="Q650" i="22"/>
  <c r="R650" i="22"/>
  <c r="S650" i="22"/>
  <c r="T650" i="22"/>
  <c r="U650" i="22"/>
  <c r="P651" i="22"/>
  <c r="Q651" i="22"/>
  <c r="R651" i="22"/>
  <c r="S651" i="22"/>
  <c r="T651" i="22"/>
  <c r="U651" i="22"/>
  <c r="P652" i="22"/>
  <c r="Q652" i="22"/>
  <c r="R652" i="22"/>
  <c r="S652" i="22"/>
  <c r="T652" i="22"/>
  <c r="U652" i="22"/>
  <c r="P653" i="22"/>
  <c r="Q653" i="22"/>
  <c r="R653" i="22"/>
  <c r="S653" i="22"/>
  <c r="T653" i="22"/>
  <c r="U653" i="22"/>
  <c r="P654" i="22"/>
  <c r="Q654" i="22"/>
  <c r="R654" i="22"/>
  <c r="S654" i="22"/>
  <c r="T654" i="22"/>
  <c r="U654" i="22"/>
  <c r="P655" i="22"/>
  <c r="Q655" i="22"/>
  <c r="R655" i="22"/>
  <c r="S655" i="22"/>
  <c r="T655" i="22"/>
  <c r="U655" i="22"/>
  <c r="P656" i="22"/>
  <c r="Q656" i="22"/>
  <c r="R656" i="22"/>
  <c r="S656" i="22"/>
  <c r="T656" i="22"/>
  <c r="U656" i="22"/>
  <c r="P657" i="22"/>
  <c r="Q657" i="22"/>
  <c r="R657" i="22"/>
  <c r="S657" i="22"/>
  <c r="T657" i="22"/>
  <c r="U657" i="22"/>
  <c r="P658" i="22"/>
  <c r="Q658" i="22"/>
  <c r="R658" i="22"/>
  <c r="S658" i="22"/>
  <c r="T658" i="22"/>
  <c r="U658" i="22"/>
  <c r="P659" i="22"/>
  <c r="Q659" i="22"/>
  <c r="R659" i="22"/>
  <c r="S659" i="22"/>
  <c r="T659" i="22"/>
  <c r="U659" i="22"/>
  <c r="P660" i="22"/>
  <c r="Q660" i="22"/>
  <c r="R660" i="22"/>
  <c r="S660" i="22"/>
  <c r="T660" i="22"/>
  <c r="U660" i="22"/>
  <c r="P661" i="22"/>
  <c r="Q661" i="22"/>
  <c r="R661" i="22"/>
  <c r="S661" i="22"/>
  <c r="T661" i="22"/>
  <c r="U661" i="22"/>
  <c r="P662" i="22"/>
  <c r="Q662" i="22"/>
  <c r="R662" i="22"/>
  <c r="S662" i="22"/>
  <c r="T662" i="22"/>
  <c r="U662" i="22"/>
  <c r="P663" i="22"/>
  <c r="Q663" i="22"/>
  <c r="R663" i="22"/>
  <c r="S663" i="22"/>
  <c r="T663" i="22"/>
  <c r="U663" i="22"/>
  <c r="P664" i="22"/>
  <c r="Q664" i="22"/>
  <c r="R664" i="22"/>
  <c r="S664" i="22"/>
  <c r="T664" i="22"/>
  <c r="U664" i="22"/>
  <c r="P665" i="22"/>
  <c r="Q665" i="22"/>
  <c r="R665" i="22"/>
  <c r="S665" i="22"/>
  <c r="T665" i="22"/>
  <c r="U665" i="22"/>
  <c r="P666" i="22"/>
  <c r="Q666" i="22"/>
  <c r="R666" i="22"/>
  <c r="S666" i="22"/>
  <c r="T666" i="22"/>
  <c r="U666" i="22"/>
  <c r="P667" i="22"/>
  <c r="Q667" i="22"/>
  <c r="R667" i="22"/>
  <c r="S667" i="22"/>
  <c r="T667" i="22"/>
  <c r="U667" i="22"/>
  <c r="P668" i="22"/>
  <c r="Q668" i="22"/>
  <c r="R668" i="22"/>
  <c r="S668" i="22"/>
  <c r="T668" i="22"/>
  <c r="U668" i="22"/>
  <c r="P669" i="22"/>
  <c r="Q669" i="22"/>
  <c r="R669" i="22"/>
  <c r="S669" i="22"/>
  <c r="T669" i="22"/>
  <c r="U669" i="22"/>
  <c r="P670" i="22"/>
  <c r="Q670" i="22"/>
  <c r="R670" i="22"/>
  <c r="S670" i="22"/>
  <c r="T670" i="22"/>
  <c r="U670" i="22"/>
  <c r="P671" i="22"/>
  <c r="Q671" i="22"/>
  <c r="R671" i="22"/>
  <c r="S671" i="22"/>
  <c r="T671" i="22"/>
  <c r="U671" i="22"/>
  <c r="P672" i="22"/>
  <c r="Q672" i="22"/>
  <c r="R672" i="22"/>
  <c r="S672" i="22"/>
  <c r="T672" i="22"/>
  <c r="U672" i="22"/>
  <c r="P673" i="22"/>
  <c r="Q673" i="22"/>
  <c r="R673" i="22"/>
  <c r="S673" i="22"/>
  <c r="T673" i="22"/>
  <c r="U673" i="22"/>
  <c r="P674" i="22"/>
  <c r="Q674" i="22"/>
  <c r="R674" i="22"/>
  <c r="S674" i="22"/>
  <c r="T674" i="22"/>
  <c r="U674" i="22"/>
  <c r="P675" i="22"/>
  <c r="Q675" i="22"/>
  <c r="R675" i="22"/>
  <c r="S675" i="22"/>
  <c r="T675" i="22"/>
  <c r="U675" i="22"/>
  <c r="P676" i="22"/>
  <c r="Q676" i="22"/>
  <c r="R676" i="22"/>
  <c r="S676" i="22"/>
  <c r="T676" i="22"/>
  <c r="U676" i="22"/>
  <c r="P677" i="22"/>
  <c r="Q677" i="22"/>
  <c r="R677" i="22"/>
  <c r="S677" i="22"/>
  <c r="T677" i="22"/>
  <c r="U677" i="22"/>
  <c r="P678" i="22"/>
  <c r="Q678" i="22"/>
  <c r="R678" i="22"/>
  <c r="S678" i="22"/>
  <c r="T678" i="22"/>
  <c r="U678" i="22"/>
  <c r="P679" i="22"/>
  <c r="Q679" i="22"/>
  <c r="R679" i="22"/>
  <c r="S679" i="22"/>
  <c r="T679" i="22"/>
  <c r="U679" i="22"/>
  <c r="P680" i="22"/>
  <c r="Q680" i="22"/>
  <c r="R680" i="22"/>
  <c r="S680" i="22"/>
  <c r="T680" i="22"/>
  <c r="U680" i="22"/>
  <c r="P681" i="22"/>
  <c r="Q681" i="22"/>
  <c r="R681" i="22"/>
  <c r="S681" i="22"/>
  <c r="T681" i="22"/>
  <c r="U681" i="22"/>
  <c r="P682" i="22"/>
  <c r="Q682" i="22"/>
  <c r="R682" i="22"/>
  <c r="S682" i="22"/>
  <c r="T682" i="22"/>
  <c r="U682" i="22"/>
  <c r="P683" i="22"/>
  <c r="Q683" i="22"/>
  <c r="R683" i="22"/>
  <c r="S683" i="22"/>
  <c r="T683" i="22"/>
  <c r="U683" i="22"/>
  <c r="P684" i="22"/>
  <c r="Q684" i="22"/>
  <c r="R684" i="22"/>
  <c r="S684" i="22"/>
  <c r="T684" i="22"/>
  <c r="U684" i="22"/>
  <c r="P685" i="22"/>
  <c r="Q685" i="22"/>
  <c r="R685" i="22"/>
  <c r="S685" i="22"/>
  <c r="T685" i="22"/>
  <c r="U685" i="22"/>
  <c r="P686" i="22"/>
  <c r="Q686" i="22"/>
  <c r="R686" i="22"/>
  <c r="S686" i="22"/>
  <c r="T686" i="22"/>
  <c r="U686" i="22"/>
  <c r="P687" i="22"/>
  <c r="Q687" i="22"/>
  <c r="R687" i="22"/>
  <c r="S687" i="22"/>
  <c r="T687" i="22"/>
  <c r="U687" i="22"/>
  <c r="P688" i="22"/>
  <c r="Q688" i="22"/>
  <c r="R688" i="22"/>
  <c r="S688" i="22"/>
  <c r="T688" i="22"/>
  <c r="U688" i="22"/>
  <c r="P689" i="22"/>
  <c r="Q689" i="22"/>
  <c r="R689" i="22"/>
  <c r="S689" i="22"/>
  <c r="T689" i="22"/>
  <c r="U689" i="22"/>
  <c r="P690" i="22"/>
  <c r="Q690" i="22"/>
  <c r="R690" i="22"/>
  <c r="S690" i="22"/>
  <c r="T690" i="22"/>
  <c r="U690" i="22"/>
  <c r="P691" i="22"/>
  <c r="Q691" i="22"/>
  <c r="R691" i="22"/>
  <c r="S691" i="22"/>
  <c r="T691" i="22"/>
  <c r="U691" i="22"/>
  <c r="P692" i="22"/>
  <c r="Q692" i="22"/>
  <c r="R692" i="22"/>
  <c r="S692" i="22"/>
  <c r="T692" i="22"/>
  <c r="U692" i="22"/>
  <c r="P693" i="22"/>
  <c r="Q693" i="22"/>
  <c r="R693" i="22"/>
  <c r="S693" i="22"/>
  <c r="T693" i="22"/>
  <c r="U693" i="22"/>
  <c r="P694" i="22"/>
  <c r="Q694" i="22"/>
  <c r="R694" i="22"/>
  <c r="S694" i="22"/>
  <c r="T694" i="22"/>
  <c r="U694" i="22"/>
  <c r="P695" i="22"/>
  <c r="Q695" i="22"/>
  <c r="R695" i="22"/>
  <c r="S695" i="22"/>
  <c r="T695" i="22"/>
  <c r="U695" i="22"/>
  <c r="P696" i="22"/>
  <c r="Q696" i="22"/>
  <c r="R696" i="22"/>
  <c r="S696" i="22"/>
  <c r="T696" i="22"/>
  <c r="U696" i="22"/>
  <c r="P697" i="22"/>
  <c r="Q697" i="22"/>
  <c r="R697" i="22"/>
  <c r="S697" i="22"/>
  <c r="T697" i="22"/>
  <c r="U697" i="22"/>
  <c r="P698" i="22"/>
  <c r="Q698" i="22"/>
  <c r="R698" i="22"/>
  <c r="S698" i="22"/>
  <c r="T698" i="22"/>
  <c r="U698" i="22"/>
  <c r="P699" i="22"/>
  <c r="Q699" i="22"/>
  <c r="R699" i="22"/>
  <c r="S699" i="22"/>
  <c r="T699" i="22"/>
  <c r="U699" i="22"/>
  <c r="P700" i="22"/>
  <c r="Q700" i="22"/>
  <c r="R700" i="22"/>
  <c r="S700" i="22"/>
  <c r="T700" i="22"/>
  <c r="U700" i="22"/>
  <c r="P701" i="22"/>
  <c r="Q701" i="22"/>
  <c r="R701" i="22"/>
  <c r="S701" i="22"/>
  <c r="T701" i="22"/>
  <c r="U701" i="22"/>
  <c r="P702" i="22"/>
  <c r="Q702" i="22"/>
  <c r="R702" i="22"/>
  <c r="S702" i="22"/>
  <c r="T702" i="22"/>
  <c r="U702" i="22"/>
  <c r="P703" i="22"/>
  <c r="Q703" i="22"/>
  <c r="R703" i="22"/>
  <c r="S703" i="22"/>
  <c r="T703" i="22"/>
  <c r="U703" i="22"/>
  <c r="P704" i="22"/>
  <c r="Q704" i="22"/>
  <c r="R704" i="22"/>
  <c r="S704" i="22"/>
  <c r="T704" i="22"/>
  <c r="U704" i="22"/>
  <c r="P705" i="22"/>
  <c r="Q705" i="22"/>
  <c r="R705" i="22"/>
  <c r="S705" i="22"/>
  <c r="T705" i="22"/>
  <c r="U705" i="22"/>
  <c r="P706" i="22"/>
  <c r="Q706" i="22"/>
  <c r="R706" i="22"/>
  <c r="S706" i="22"/>
  <c r="T706" i="22"/>
  <c r="U706" i="22"/>
  <c r="P707" i="22"/>
  <c r="Q707" i="22"/>
  <c r="R707" i="22"/>
  <c r="S707" i="22"/>
  <c r="T707" i="22"/>
  <c r="U707" i="22"/>
  <c r="P708" i="22"/>
  <c r="Q708" i="22"/>
  <c r="R708" i="22"/>
  <c r="S708" i="22"/>
  <c r="T708" i="22"/>
  <c r="U708" i="22"/>
  <c r="P709" i="22"/>
  <c r="Q709" i="22"/>
  <c r="R709" i="22"/>
  <c r="S709" i="22"/>
  <c r="T709" i="22"/>
  <c r="U709" i="22"/>
  <c r="P710" i="22"/>
  <c r="Q710" i="22"/>
  <c r="R710" i="22"/>
  <c r="S710" i="22"/>
  <c r="T710" i="22"/>
  <c r="U710" i="22"/>
  <c r="P711" i="22"/>
  <c r="Q711" i="22"/>
  <c r="R711" i="22"/>
  <c r="S711" i="22"/>
  <c r="T711" i="22"/>
  <c r="U711" i="22"/>
  <c r="P712" i="22"/>
  <c r="Q712" i="22"/>
  <c r="R712" i="22"/>
  <c r="S712" i="22"/>
  <c r="T712" i="22"/>
  <c r="U712" i="22"/>
  <c r="U2" i="22"/>
  <c r="T2" i="22"/>
  <c r="S2" i="22"/>
  <c r="R2" i="22"/>
  <c r="Q2" i="22"/>
  <c r="P2" i="22"/>
  <c r="H233" i="17"/>
  <c r="I233" i="17"/>
  <c r="J233" i="17"/>
  <c r="K233" i="17"/>
  <c r="L233" i="17"/>
  <c r="M233" i="17"/>
  <c r="H234" i="17"/>
  <c r="I234" i="17"/>
  <c r="J234" i="17"/>
  <c r="K234" i="17"/>
  <c r="L234" i="17"/>
  <c r="M234" i="17"/>
  <c r="H235" i="17"/>
  <c r="I235" i="17"/>
  <c r="J235" i="17"/>
  <c r="K235" i="17"/>
  <c r="L235" i="17"/>
  <c r="M235" i="17"/>
  <c r="H236" i="17"/>
  <c r="I236" i="17"/>
  <c r="J236" i="17"/>
  <c r="K236" i="17"/>
  <c r="L236" i="17"/>
  <c r="M236" i="17"/>
  <c r="H237" i="17"/>
  <c r="I237" i="17"/>
  <c r="J237" i="17"/>
  <c r="K237" i="17"/>
  <c r="L237" i="17"/>
  <c r="M237" i="17"/>
  <c r="H238" i="17"/>
  <c r="I238" i="17"/>
  <c r="J238" i="17"/>
  <c r="K238" i="17"/>
  <c r="L238" i="17"/>
  <c r="M238" i="17"/>
  <c r="H239" i="17"/>
  <c r="I239" i="17"/>
  <c r="J239" i="17"/>
  <c r="K239" i="17"/>
  <c r="L239" i="17"/>
  <c r="M239" i="17"/>
  <c r="H240" i="17"/>
  <c r="I240" i="17"/>
  <c r="J240" i="17"/>
  <c r="K240" i="17"/>
  <c r="L240" i="17"/>
  <c r="M240" i="17"/>
  <c r="H241" i="17"/>
  <c r="I241" i="17"/>
  <c r="J241" i="17"/>
  <c r="K241" i="17"/>
  <c r="L241" i="17"/>
  <c r="M241" i="17"/>
  <c r="H242" i="17"/>
  <c r="I242" i="17"/>
  <c r="J242" i="17"/>
  <c r="K242" i="17"/>
  <c r="L242" i="17"/>
  <c r="M242" i="17"/>
  <c r="H243" i="17"/>
  <c r="I243" i="17"/>
  <c r="J243" i="17"/>
  <c r="K243" i="17"/>
  <c r="L243" i="17"/>
  <c r="M243" i="17"/>
  <c r="H244" i="17"/>
  <c r="I244" i="17"/>
  <c r="J244" i="17"/>
  <c r="K244" i="17"/>
  <c r="L244" i="17"/>
  <c r="M244" i="17"/>
  <c r="H245" i="17"/>
  <c r="I245" i="17"/>
  <c r="J245" i="17"/>
  <c r="K245" i="17"/>
  <c r="L245" i="17"/>
  <c r="M245" i="17"/>
  <c r="H246" i="17"/>
  <c r="I246" i="17"/>
  <c r="J246" i="17"/>
  <c r="K246" i="17"/>
  <c r="L246" i="17"/>
  <c r="M246" i="17"/>
  <c r="H247" i="17"/>
  <c r="I247" i="17"/>
  <c r="J247" i="17"/>
  <c r="K247" i="17"/>
  <c r="L247" i="17"/>
  <c r="M247" i="17"/>
  <c r="H248" i="17"/>
  <c r="I248" i="17"/>
  <c r="J248" i="17"/>
  <c r="K248" i="17"/>
  <c r="L248" i="17"/>
  <c r="M248" i="17"/>
  <c r="H249" i="17"/>
  <c r="I249" i="17"/>
  <c r="J249" i="17"/>
  <c r="K249" i="17"/>
  <c r="L249" i="17"/>
  <c r="M249" i="17"/>
  <c r="H250" i="17"/>
  <c r="I250" i="17"/>
  <c r="J250" i="17"/>
  <c r="K250" i="17"/>
  <c r="L250" i="17"/>
  <c r="M250" i="17"/>
  <c r="H251" i="17"/>
  <c r="I251" i="17"/>
  <c r="J251" i="17"/>
  <c r="K251" i="17"/>
  <c r="L251" i="17"/>
  <c r="M251" i="17"/>
  <c r="H252" i="17"/>
  <c r="I252" i="17"/>
  <c r="J252" i="17"/>
  <c r="K252" i="17"/>
  <c r="L252" i="17"/>
  <c r="M252" i="17"/>
  <c r="H253" i="17"/>
  <c r="I253" i="17"/>
  <c r="J253" i="17"/>
  <c r="K253" i="17"/>
  <c r="L253" i="17"/>
  <c r="M253" i="17"/>
  <c r="H254" i="17"/>
  <c r="I254" i="17"/>
  <c r="J254" i="17"/>
  <c r="K254" i="17"/>
  <c r="L254" i="17"/>
  <c r="M254" i="17"/>
  <c r="H255" i="17"/>
  <c r="I255" i="17"/>
  <c r="J255" i="17"/>
  <c r="K255" i="17"/>
  <c r="L255" i="17"/>
  <c r="M255" i="17"/>
  <c r="H256" i="17"/>
  <c r="I256" i="17"/>
  <c r="J256" i="17"/>
  <c r="K256" i="17"/>
  <c r="L256" i="17"/>
  <c r="M256" i="17"/>
  <c r="H257" i="17"/>
  <c r="I257" i="17"/>
  <c r="J257" i="17"/>
  <c r="K257" i="17"/>
  <c r="L257" i="17"/>
  <c r="M257" i="17"/>
  <c r="H258" i="17"/>
  <c r="I258" i="17"/>
  <c r="J258" i="17"/>
  <c r="K258" i="17"/>
  <c r="L258" i="17"/>
  <c r="M258" i="17"/>
  <c r="H259" i="17"/>
  <c r="I259" i="17"/>
  <c r="J259" i="17"/>
  <c r="K259" i="17"/>
  <c r="L259" i="17"/>
  <c r="M259" i="17"/>
  <c r="H260" i="17"/>
  <c r="I260" i="17"/>
  <c r="J260" i="17"/>
  <c r="K260" i="17"/>
  <c r="L260" i="17"/>
  <c r="M260" i="17"/>
  <c r="H261" i="17"/>
  <c r="I261" i="17"/>
  <c r="J261" i="17"/>
  <c r="K261" i="17"/>
  <c r="L261" i="17"/>
  <c r="M261" i="17"/>
  <c r="H262" i="17"/>
  <c r="I262" i="17"/>
  <c r="J262" i="17"/>
  <c r="K262" i="17"/>
  <c r="L262" i="17"/>
  <c r="M262" i="17"/>
  <c r="H263" i="17"/>
  <c r="I263" i="17"/>
  <c r="J263" i="17"/>
  <c r="K263" i="17"/>
  <c r="L263" i="17"/>
  <c r="M263" i="17"/>
  <c r="H264" i="17"/>
  <c r="I264" i="17"/>
  <c r="J264" i="17"/>
  <c r="K264" i="17"/>
  <c r="L264" i="17"/>
  <c r="M264" i="17"/>
  <c r="H265" i="17"/>
  <c r="I265" i="17"/>
  <c r="J265" i="17"/>
  <c r="K265" i="17"/>
  <c r="L265" i="17"/>
  <c r="M265" i="17"/>
  <c r="H266" i="17"/>
  <c r="I266" i="17"/>
  <c r="J266" i="17"/>
  <c r="K266" i="17"/>
  <c r="L266" i="17"/>
  <c r="M266" i="17"/>
  <c r="H267" i="17"/>
  <c r="I267" i="17"/>
  <c r="J267" i="17"/>
  <c r="K267" i="17"/>
  <c r="L267" i="17"/>
  <c r="M267" i="17"/>
  <c r="H268" i="17"/>
  <c r="I268" i="17"/>
  <c r="J268" i="17"/>
  <c r="K268" i="17"/>
  <c r="L268" i="17"/>
  <c r="M268" i="17"/>
  <c r="H269" i="17"/>
  <c r="I269" i="17"/>
  <c r="J269" i="17"/>
  <c r="K269" i="17"/>
  <c r="L269" i="17"/>
  <c r="M269" i="17"/>
  <c r="H270" i="17"/>
  <c r="I270" i="17"/>
  <c r="J270" i="17"/>
  <c r="K270" i="17"/>
  <c r="L270" i="17"/>
  <c r="M270" i="17"/>
  <c r="H271" i="17"/>
  <c r="I271" i="17"/>
  <c r="J271" i="17"/>
  <c r="K271" i="17"/>
  <c r="L271" i="17"/>
  <c r="M271" i="17"/>
  <c r="H272" i="17"/>
  <c r="I272" i="17"/>
  <c r="J272" i="17"/>
  <c r="K272" i="17"/>
  <c r="L272" i="17"/>
  <c r="M272" i="17"/>
  <c r="H273" i="17"/>
  <c r="I273" i="17"/>
  <c r="J273" i="17"/>
  <c r="K273" i="17"/>
  <c r="L273" i="17"/>
  <c r="M273" i="17"/>
  <c r="H274" i="17"/>
  <c r="I274" i="17"/>
  <c r="J274" i="17"/>
  <c r="K274" i="17"/>
  <c r="L274" i="17"/>
  <c r="M274" i="17"/>
  <c r="H275" i="17"/>
  <c r="I275" i="17"/>
  <c r="J275" i="17"/>
  <c r="K275" i="17"/>
  <c r="L275" i="17"/>
  <c r="M275" i="17"/>
  <c r="H276" i="17"/>
  <c r="I276" i="17"/>
  <c r="J276" i="17"/>
  <c r="K276" i="17"/>
  <c r="L276" i="17"/>
  <c r="M276" i="17"/>
  <c r="H277" i="17"/>
  <c r="I277" i="17"/>
  <c r="J277" i="17"/>
  <c r="K277" i="17"/>
  <c r="L277" i="17"/>
  <c r="M277" i="17"/>
  <c r="H278" i="17"/>
  <c r="I278" i="17"/>
  <c r="J278" i="17"/>
  <c r="K278" i="17"/>
  <c r="L278" i="17"/>
  <c r="M278" i="17"/>
  <c r="H279" i="17"/>
  <c r="I279" i="17"/>
  <c r="J279" i="17"/>
  <c r="K279" i="17"/>
  <c r="L279" i="17"/>
  <c r="M279" i="17"/>
  <c r="H280" i="17"/>
  <c r="I280" i="17"/>
  <c r="J280" i="17"/>
  <c r="K280" i="17"/>
  <c r="L280" i="17"/>
  <c r="M280" i="17"/>
  <c r="H281" i="17"/>
  <c r="I281" i="17"/>
  <c r="J281" i="17"/>
  <c r="K281" i="17"/>
  <c r="L281" i="17"/>
  <c r="M281" i="17"/>
  <c r="H282" i="17"/>
  <c r="I282" i="17"/>
  <c r="J282" i="17"/>
  <c r="K282" i="17"/>
  <c r="L282" i="17"/>
  <c r="M282" i="17"/>
  <c r="H283" i="17"/>
  <c r="I283" i="17"/>
  <c r="J283" i="17"/>
  <c r="K283" i="17"/>
  <c r="L283" i="17"/>
  <c r="M283" i="17"/>
  <c r="H284" i="17"/>
  <c r="I284" i="17"/>
  <c r="J284" i="17"/>
  <c r="K284" i="17"/>
  <c r="L284" i="17"/>
  <c r="M284" i="17"/>
  <c r="H285" i="17"/>
  <c r="I285" i="17"/>
  <c r="J285" i="17"/>
  <c r="K285" i="17"/>
  <c r="L285" i="17"/>
  <c r="M285" i="17"/>
  <c r="H286" i="17"/>
  <c r="I286" i="17"/>
  <c r="J286" i="17"/>
  <c r="K286" i="17"/>
  <c r="L286" i="17"/>
  <c r="M286" i="17"/>
  <c r="H287" i="17"/>
  <c r="I287" i="17"/>
  <c r="J287" i="17"/>
  <c r="K287" i="17"/>
  <c r="L287" i="17"/>
  <c r="M287" i="17"/>
  <c r="H288" i="17"/>
  <c r="I288" i="17"/>
  <c r="J288" i="17"/>
  <c r="K288" i="17"/>
  <c r="L288" i="17"/>
  <c r="M288" i="17"/>
  <c r="H289" i="17"/>
  <c r="I289" i="17"/>
  <c r="J289" i="17"/>
  <c r="K289" i="17"/>
  <c r="L289" i="17"/>
  <c r="M289" i="17"/>
  <c r="H290" i="17"/>
  <c r="I290" i="17"/>
  <c r="J290" i="17"/>
  <c r="K290" i="17"/>
  <c r="L290" i="17"/>
  <c r="M290" i="17"/>
  <c r="H291" i="17"/>
  <c r="I291" i="17"/>
  <c r="J291" i="17"/>
  <c r="K291" i="17"/>
  <c r="L291" i="17"/>
  <c r="M291" i="17"/>
  <c r="H292" i="17"/>
  <c r="I292" i="17"/>
  <c r="J292" i="17"/>
  <c r="K292" i="17"/>
  <c r="L292" i="17"/>
  <c r="M292" i="17"/>
  <c r="H293" i="17"/>
  <c r="I293" i="17"/>
  <c r="J293" i="17"/>
  <c r="K293" i="17"/>
  <c r="L293" i="17"/>
  <c r="M293" i="17"/>
  <c r="H294" i="17"/>
  <c r="I294" i="17"/>
  <c r="J294" i="17"/>
  <c r="K294" i="17"/>
  <c r="L294" i="17"/>
  <c r="M294" i="17"/>
  <c r="H295" i="17"/>
  <c r="I295" i="17"/>
  <c r="J295" i="17"/>
  <c r="K295" i="17"/>
  <c r="L295" i="17"/>
  <c r="M295" i="17"/>
  <c r="H296" i="17"/>
  <c r="I296" i="17"/>
  <c r="J296" i="17"/>
  <c r="K296" i="17"/>
  <c r="L296" i="17"/>
  <c r="M296" i="17"/>
  <c r="H297" i="17"/>
  <c r="I297" i="17"/>
  <c r="J297" i="17"/>
  <c r="K297" i="17"/>
  <c r="L297" i="17"/>
  <c r="M297" i="17"/>
  <c r="H298" i="17"/>
  <c r="I298" i="17"/>
  <c r="J298" i="17"/>
  <c r="K298" i="17"/>
  <c r="L298" i="17"/>
  <c r="M298" i="17"/>
  <c r="H299" i="17"/>
  <c r="I299" i="17"/>
  <c r="J299" i="17"/>
  <c r="K299" i="17"/>
  <c r="L299" i="17"/>
  <c r="M299" i="17"/>
  <c r="H300" i="17"/>
  <c r="I300" i="17"/>
  <c r="J300" i="17"/>
  <c r="K300" i="17"/>
  <c r="L300" i="17"/>
  <c r="M300" i="17"/>
  <c r="H301" i="17"/>
  <c r="I301" i="17"/>
  <c r="J301" i="17"/>
  <c r="K301" i="17"/>
  <c r="L301" i="17"/>
  <c r="M301" i="17"/>
  <c r="H302" i="17"/>
  <c r="I302" i="17"/>
  <c r="J302" i="17"/>
  <c r="K302" i="17"/>
  <c r="L302" i="17"/>
  <c r="M302" i="17"/>
  <c r="H303" i="17"/>
  <c r="I303" i="17"/>
  <c r="J303" i="17"/>
  <c r="K303" i="17"/>
  <c r="L303" i="17"/>
  <c r="M303" i="17"/>
  <c r="H304" i="17"/>
  <c r="I304" i="17"/>
  <c r="J304" i="17"/>
  <c r="K304" i="17"/>
  <c r="L304" i="17"/>
  <c r="M304" i="17"/>
  <c r="H305" i="17"/>
  <c r="I305" i="17"/>
  <c r="J305" i="17"/>
  <c r="K305" i="17"/>
  <c r="L305" i="17"/>
  <c r="M305" i="17"/>
  <c r="H306" i="17"/>
  <c r="I306" i="17"/>
  <c r="J306" i="17"/>
  <c r="K306" i="17"/>
  <c r="L306" i="17"/>
  <c r="M306" i="17"/>
  <c r="N306" i="17"/>
  <c r="H307" i="17"/>
  <c r="I307" i="17"/>
  <c r="J307" i="17"/>
  <c r="K307" i="17"/>
  <c r="L307" i="17"/>
  <c r="M307" i="17"/>
  <c r="H308" i="17"/>
  <c r="I308" i="17"/>
  <c r="J308" i="17"/>
  <c r="K308" i="17"/>
  <c r="L308" i="17"/>
  <c r="M308" i="17"/>
  <c r="H309" i="17"/>
  <c r="I309" i="17"/>
  <c r="J309" i="17"/>
  <c r="K309" i="17"/>
  <c r="L309" i="17"/>
  <c r="M309" i="17"/>
  <c r="H310" i="17"/>
  <c r="I310" i="17"/>
  <c r="J310" i="17"/>
  <c r="K310" i="17"/>
  <c r="L310" i="17"/>
  <c r="M310" i="17"/>
  <c r="H311" i="17"/>
  <c r="I311" i="17"/>
  <c r="J311" i="17"/>
  <c r="K311" i="17"/>
  <c r="L311" i="17"/>
  <c r="M311" i="17"/>
  <c r="H312" i="17"/>
  <c r="I312" i="17"/>
  <c r="J312" i="17"/>
  <c r="K312" i="17"/>
  <c r="L312" i="17"/>
  <c r="M312" i="17"/>
  <c r="H313" i="17"/>
  <c r="I313" i="17"/>
  <c r="J313" i="17"/>
  <c r="K313" i="17"/>
  <c r="L313" i="17"/>
  <c r="M313" i="17"/>
  <c r="H314" i="17"/>
  <c r="I314" i="17"/>
  <c r="J314" i="17"/>
  <c r="K314" i="17"/>
  <c r="L314" i="17"/>
  <c r="M314" i="17"/>
  <c r="H315" i="17"/>
  <c r="I315" i="17"/>
  <c r="J315" i="17"/>
  <c r="K315" i="17"/>
  <c r="L315" i="17"/>
  <c r="M315" i="17"/>
  <c r="H316" i="17"/>
  <c r="I316" i="17"/>
  <c r="J316" i="17"/>
  <c r="K316" i="17"/>
  <c r="L316" i="17"/>
  <c r="M316" i="17"/>
  <c r="H317" i="17"/>
  <c r="I317" i="17"/>
  <c r="J317" i="17"/>
  <c r="K317" i="17"/>
  <c r="L317" i="17"/>
  <c r="M317" i="17"/>
  <c r="H318" i="17"/>
  <c r="I318" i="17"/>
  <c r="J318" i="17"/>
  <c r="K318" i="17"/>
  <c r="L318" i="17"/>
  <c r="M318" i="17"/>
  <c r="H319" i="17"/>
  <c r="I319" i="17"/>
  <c r="J319" i="17"/>
  <c r="K319" i="17"/>
  <c r="L319" i="17"/>
  <c r="M319" i="17"/>
  <c r="H320" i="17"/>
  <c r="I320" i="17"/>
  <c r="J320" i="17"/>
  <c r="K320" i="17"/>
  <c r="L320" i="17"/>
  <c r="M320" i="17"/>
  <c r="H321" i="17"/>
  <c r="I321" i="17"/>
  <c r="J321" i="17"/>
  <c r="K321" i="17"/>
  <c r="L321" i="17"/>
  <c r="M321" i="17"/>
  <c r="H322" i="17"/>
  <c r="I322" i="17"/>
  <c r="J322" i="17"/>
  <c r="K322" i="17"/>
  <c r="L322" i="17"/>
  <c r="M322" i="17"/>
  <c r="H323" i="17"/>
  <c r="I323" i="17"/>
  <c r="J323" i="17"/>
  <c r="K323" i="17"/>
  <c r="L323" i="17"/>
  <c r="M323" i="17"/>
  <c r="H324" i="17"/>
  <c r="I324" i="17"/>
  <c r="J324" i="17"/>
  <c r="K324" i="17"/>
  <c r="L324" i="17"/>
  <c r="M324" i="17"/>
  <c r="H325" i="17"/>
  <c r="I325" i="17"/>
  <c r="J325" i="17"/>
  <c r="K325" i="17"/>
  <c r="L325" i="17"/>
  <c r="M325" i="17"/>
  <c r="H326" i="17"/>
  <c r="I326" i="17"/>
  <c r="J326" i="17"/>
  <c r="K326" i="17"/>
  <c r="L326" i="17"/>
  <c r="M326" i="17"/>
  <c r="H327" i="17"/>
  <c r="I327" i="17"/>
  <c r="J327" i="17"/>
  <c r="K327" i="17"/>
  <c r="L327" i="17"/>
  <c r="M327" i="17"/>
  <c r="H328" i="17"/>
  <c r="I328" i="17"/>
  <c r="J328" i="17"/>
  <c r="K328" i="17"/>
  <c r="L328" i="17"/>
  <c r="M328" i="17"/>
  <c r="H329" i="17"/>
  <c r="I329" i="17"/>
  <c r="J329" i="17"/>
  <c r="K329" i="17"/>
  <c r="L329" i="17"/>
  <c r="M329" i="17"/>
  <c r="H330" i="17"/>
  <c r="I330" i="17"/>
  <c r="J330" i="17"/>
  <c r="K330" i="17"/>
  <c r="L330" i="17"/>
  <c r="M330" i="17"/>
  <c r="H331" i="17"/>
  <c r="I331" i="17"/>
  <c r="J331" i="17"/>
  <c r="K331" i="17"/>
  <c r="L331" i="17"/>
  <c r="M331" i="17"/>
  <c r="H332" i="17"/>
  <c r="I332" i="17"/>
  <c r="J332" i="17"/>
  <c r="K332" i="17"/>
  <c r="L332" i="17"/>
  <c r="M332" i="17"/>
  <c r="H333" i="17"/>
  <c r="I333" i="17"/>
  <c r="J333" i="17"/>
  <c r="K333" i="17"/>
  <c r="L333" i="17"/>
  <c r="M333" i="17"/>
  <c r="H334" i="17"/>
  <c r="I334" i="17"/>
  <c r="J334" i="17"/>
  <c r="K334" i="17"/>
  <c r="L334" i="17"/>
  <c r="M334" i="17"/>
  <c r="H335" i="17"/>
  <c r="I335" i="17"/>
  <c r="J335" i="17"/>
  <c r="K335" i="17"/>
  <c r="L335" i="17"/>
  <c r="M335" i="17"/>
  <c r="H336" i="17"/>
  <c r="I336" i="17"/>
  <c r="J336" i="17"/>
  <c r="K336" i="17"/>
  <c r="L336" i="17"/>
  <c r="M336" i="17"/>
  <c r="H337" i="17"/>
  <c r="I337" i="17"/>
  <c r="J337" i="17"/>
  <c r="K337" i="17"/>
  <c r="L337" i="17"/>
  <c r="M337" i="17"/>
  <c r="H338" i="17"/>
  <c r="I338" i="17"/>
  <c r="J338" i="17"/>
  <c r="K338" i="17"/>
  <c r="L338" i="17"/>
  <c r="M338" i="17"/>
  <c r="H339" i="17"/>
  <c r="I339" i="17"/>
  <c r="J339" i="17"/>
  <c r="K339" i="17"/>
  <c r="L339" i="17"/>
  <c r="M339" i="17"/>
  <c r="H340" i="17"/>
  <c r="I340" i="17"/>
  <c r="J340" i="17"/>
  <c r="K340" i="17"/>
  <c r="L340" i="17"/>
  <c r="M340" i="17"/>
  <c r="H341" i="17"/>
  <c r="I341" i="17"/>
  <c r="J341" i="17"/>
  <c r="K341" i="17"/>
  <c r="L341" i="17"/>
  <c r="M341" i="17"/>
  <c r="H342" i="17"/>
  <c r="I342" i="17"/>
  <c r="J342" i="17"/>
  <c r="K342" i="17"/>
  <c r="L342" i="17"/>
  <c r="M342" i="17"/>
  <c r="H343" i="17"/>
  <c r="I343" i="17"/>
  <c r="J343" i="17"/>
  <c r="K343" i="17"/>
  <c r="L343" i="17"/>
  <c r="M343" i="17"/>
  <c r="H344" i="17"/>
  <c r="I344" i="17"/>
  <c r="J344" i="17"/>
  <c r="K344" i="17"/>
  <c r="L344" i="17"/>
  <c r="M344" i="17"/>
  <c r="H345" i="17"/>
  <c r="I345" i="17"/>
  <c r="J345" i="17"/>
  <c r="K345" i="17"/>
  <c r="L345" i="17"/>
  <c r="M345" i="17"/>
  <c r="H346" i="17"/>
  <c r="I346" i="17"/>
  <c r="J346" i="17"/>
  <c r="K346" i="17"/>
  <c r="L346" i="17"/>
  <c r="M346" i="17"/>
  <c r="H347" i="17"/>
  <c r="I347" i="17"/>
  <c r="J347" i="17"/>
  <c r="K347" i="17"/>
  <c r="L347" i="17"/>
  <c r="M347" i="17"/>
  <c r="H348" i="17"/>
  <c r="I348" i="17"/>
  <c r="J348" i="17"/>
  <c r="K348" i="17"/>
  <c r="L348" i="17"/>
  <c r="M348" i="17"/>
  <c r="H349" i="17"/>
  <c r="I349" i="17"/>
  <c r="J349" i="17"/>
  <c r="K349" i="17"/>
  <c r="L349" i="17"/>
  <c r="M349" i="17"/>
  <c r="H350" i="17"/>
  <c r="I350" i="17"/>
  <c r="J350" i="17"/>
  <c r="K350" i="17"/>
  <c r="L350" i="17"/>
  <c r="M350" i="17"/>
  <c r="H351" i="17"/>
  <c r="I351" i="17"/>
  <c r="J351" i="17"/>
  <c r="K351" i="17"/>
  <c r="L351" i="17"/>
  <c r="M351" i="17"/>
  <c r="H352" i="17"/>
  <c r="I352" i="17"/>
  <c r="J352" i="17"/>
  <c r="K352" i="17"/>
  <c r="L352" i="17"/>
  <c r="M352" i="17"/>
  <c r="H353" i="17"/>
  <c r="I353" i="17"/>
  <c r="J353" i="17"/>
  <c r="K353" i="17"/>
  <c r="L353" i="17"/>
  <c r="M353" i="17"/>
  <c r="H354" i="17"/>
  <c r="I354" i="17"/>
  <c r="J354" i="17"/>
  <c r="K354" i="17"/>
  <c r="L354" i="17"/>
  <c r="M354" i="17"/>
  <c r="H355" i="17"/>
  <c r="I355" i="17"/>
  <c r="J355" i="17"/>
  <c r="K355" i="17"/>
  <c r="L355" i="17"/>
  <c r="M355" i="17"/>
  <c r="H356" i="17"/>
  <c r="I356" i="17"/>
  <c r="J356" i="17"/>
  <c r="K356" i="17"/>
  <c r="L356" i="17"/>
  <c r="M356" i="17"/>
  <c r="H357" i="17"/>
  <c r="I357" i="17"/>
  <c r="J357" i="17"/>
  <c r="K357" i="17"/>
  <c r="L357" i="17"/>
  <c r="M357" i="17"/>
  <c r="H358" i="17"/>
  <c r="I358" i="17"/>
  <c r="J358" i="17"/>
  <c r="K358" i="17"/>
  <c r="L358" i="17"/>
  <c r="M358" i="17"/>
  <c r="H359" i="17"/>
  <c r="I359" i="17"/>
  <c r="J359" i="17"/>
  <c r="K359" i="17"/>
  <c r="L359" i="17"/>
  <c r="M359" i="17"/>
  <c r="H360" i="17"/>
  <c r="I360" i="17"/>
  <c r="J360" i="17"/>
  <c r="K360" i="17"/>
  <c r="L360" i="17"/>
  <c r="M360" i="17"/>
  <c r="H361" i="17"/>
  <c r="I361" i="17"/>
  <c r="J361" i="17"/>
  <c r="K361" i="17"/>
  <c r="L361" i="17"/>
  <c r="M361" i="17"/>
  <c r="H362" i="17"/>
  <c r="I362" i="17"/>
  <c r="J362" i="17"/>
  <c r="K362" i="17"/>
  <c r="L362" i="17"/>
  <c r="M362" i="17"/>
  <c r="H363" i="17"/>
  <c r="I363" i="17"/>
  <c r="J363" i="17"/>
  <c r="K363" i="17"/>
  <c r="L363" i="17"/>
  <c r="M363" i="17"/>
  <c r="H364" i="17"/>
  <c r="I364" i="17"/>
  <c r="J364" i="17"/>
  <c r="K364" i="17"/>
  <c r="L364" i="17"/>
  <c r="M364" i="17"/>
  <c r="H365" i="17"/>
  <c r="I365" i="17"/>
  <c r="J365" i="17"/>
  <c r="K365" i="17"/>
  <c r="L365" i="17"/>
  <c r="M365" i="17"/>
  <c r="H366" i="17"/>
  <c r="I366" i="17"/>
  <c r="J366" i="17"/>
  <c r="K366" i="17"/>
  <c r="L366" i="17"/>
  <c r="M366" i="17"/>
  <c r="H367" i="17"/>
  <c r="I367" i="17"/>
  <c r="J367" i="17"/>
  <c r="K367" i="17"/>
  <c r="L367" i="17"/>
  <c r="M367" i="17"/>
  <c r="H368" i="17"/>
  <c r="I368" i="17"/>
  <c r="J368" i="17"/>
  <c r="K368" i="17"/>
  <c r="L368" i="17"/>
  <c r="M368" i="17"/>
  <c r="H369" i="17"/>
  <c r="I369" i="17"/>
  <c r="J369" i="17"/>
  <c r="K369" i="17"/>
  <c r="L369" i="17"/>
  <c r="M369" i="17"/>
  <c r="H370" i="17"/>
  <c r="I370" i="17"/>
  <c r="J370" i="17"/>
  <c r="K370" i="17"/>
  <c r="L370" i="17"/>
  <c r="M370" i="17"/>
  <c r="H371" i="17"/>
  <c r="I371" i="17"/>
  <c r="J371" i="17"/>
  <c r="K371" i="17"/>
  <c r="L371" i="17"/>
  <c r="M371" i="17"/>
  <c r="H372" i="17"/>
  <c r="I372" i="17"/>
  <c r="J372" i="17"/>
  <c r="K372" i="17"/>
  <c r="L372" i="17"/>
  <c r="M372" i="17"/>
  <c r="H373" i="17"/>
  <c r="I373" i="17"/>
  <c r="J373" i="17"/>
  <c r="K373" i="17"/>
  <c r="L373" i="17"/>
  <c r="M373" i="17"/>
  <c r="H374" i="17"/>
  <c r="I374" i="17"/>
  <c r="J374" i="17"/>
  <c r="K374" i="17"/>
  <c r="L374" i="17"/>
  <c r="M374" i="17"/>
  <c r="H375" i="17"/>
  <c r="I375" i="17"/>
  <c r="J375" i="17"/>
  <c r="K375" i="17"/>
  <c r="L375" i="17"/>
  <c r="M375" i="17"/>
  <c r="H376" i="17"/>
  <c r="I376" i="17"/>
  <c r="J376" i="17"/>
  <c r="K376" i="17"/>
  <c r="L376" i="17"/>
  <c r="M376" i="17"/>
  <c r="H377" i="17"/>
  <c r="I377" i="17"/>
  <c r="J377" i="17"/>
  <c r="K377" i="17"/>
  <c r="L377" i="17"/>
  <c r="M377" i="17"/>
  <c r="H378" i="17"/>
  <c r="I378" i="17"/>
  <c r="J378" i="17"/>
  <c r="K378" i="17"/>
  <c r="L378" i="17"/>
  <c r="M378" i="17"/>
  <c r="H379" i="17"/>
  <c r="I379" i="17"/>
  <c r="J379" i="17"/>
  <c r="K379" i="17"/>
  <c r="L379" i="17"/>
  <c r="M379" i="17"/>
  <c r="H380" i="17"/>
  <c r="I380" i="17"/>
  <c r="J380" i="17"/>
  <c r="K380" i="17"/>
  <c r="L380" i="17"/>
  <c r="M380" i="17"/>
  <c r="H381" i="17"/>
  <c r="I381" i="17"/>
  <c r="J381" i="17"/>
  <c r="K381" i="17"/>
  <c r="L381" i="17"/>
  <c r="M381" i="17"/>
  <c r="H382" i="17"/>
  <c r="I382" i="17"/>
  <c r="J382" i="17"/>
  <c r="K382" i="17"/>
  <c r="L382" i="17"/>
  <c r="M382" i="17"/>
  <c r="H383" i="17"/>
  <c r="I383" i="17"/>
  <c r="J383" i="17"/>
  <c r="K383" i="17"/>
  <c r="L383" i="17"/>
  <c r="M383" i="17"/>
  <c r="H384" i="17"/>
  <c r="I384" i="17"/>
  <c r="J384" i="17"/>
  <c r="K384" i="17"/>
  <c r="L384" i="17"/>
  <c r="M384" i="17"/>
  <c r="H385" i="17"/>
  <c r="I385" i="17"/>
  <c r="J385" i="17"/>
  <c r="K385" i="17"/>
  <c r="L385" i="17"/>
  <c r="M385" i="17"/>
  <c r="H386" i="17"/>
  <c r="I386" i="17"/>
  <c r="J386" i="17"/>
  <c r="K386" i="17"/>
  <c r="L386" i="17"/>
  <c r="M386" i="17"/>
  <c r="H387" i="17"/>
  <c r="I387" i="17"/>
  <c r="J387" i="17"/>
  <c r="K387" i="17"/>
  <c r="L387" i="17"/>
  <c r="M387" i="17"/>
  <c r="H388" i="17"/>
  <c r="I388" i="17"/>
  <c r="J388" i="17"/>
  <c r="K388" i="17"/>
  <c r="L388" i="17"/>
  <c r="M388" i="17"/>
  <c r="H389" i="17"/>
  <c r="I389" i="17"/>
  <c r="J389" i="17"/>
  <c r="K389" i="17"/>
  <c r="L389" i="17"/>
  <c r="M389" i="17"/>
  <c r="H390" i="17"/>
  <c r="I390" i="17"/>
  <c r="J390" i="17"/>
  <c r="K390" i="17"/>
  <c r="L390" i="17"/>
  <c r="M390" i="17"/>
  <c r="H391" i="17"/>
  <c r="I391" i="17"/>
  <c r="J391" i="17"/>
  <c r="K391" i="17"/>
  <c r="L391" i="17"/>
  <c r="M391" i="17"/>
  <c r="H392" i="17"/>
  <c r="I392" i="17"/>
  <c r="J392" i="17"/>
  <c r="K392" i="17"/>
  <c r="L392" i="17"/>
  <c r="M392" i="17"/>
  <c r="H393" i="17"/>
  <c r="I393" i="17"/>
  <c r="J393" i="17"/>
  <c r="K393" i="17"/>
  <c r="L393" i="17"/>
  <c r="M393" i="17"/>
  <c r="H394" i="17"/>
  <c r="I394" i="17"/>
  <c r="J394" i="17"/>
  <c r="K394" i="17"/>
  <c r="L394" i="17"/>
  <c r="M394" i="17"/>
  <c r="H395" i="17"/>
  <c r="I395" i="17"/>
  <c r="J395" i="17"/>
  <c r="K395" i="17"/>
  <c r="L395" i="17"/>
  <c r="M395" i="17"/>
  <c r="H396" i="17"/>
  <c r="I396" i="17"/>
  <c r="J396" i="17"/>
  <c r="K396" i="17"/>
  <c r="L396" i="17"/>
  <c r="M396" i="17"/>
  <c r="H397" i="17"/>
  <c r="I397" i="17"/>
  <c r="J397" i="17"/>
  <c r="K397" i="17"/>
  <c r="L397" i="17"/>
  <c r="M397" i="17"/>
  <c r="H398" i="17"/>
  <c r="I398" i="17"/>
  <c r="J398" i="17"/>
  <c r="K398" i="17"/>
  <c r="L398" i="17"/>
  <c r="M398" i="17"/>
  <c r="H399" i="17"/>
  <c r="I399" i="17"/>
  <c r="J399" i="17"/>
  <c r="K399" i="17"/>
  <c r="L399" i="17"/>
  <c r="M399" i="17"/>
  <c r="H400" i="17"/>
  <c r="I400" i="17"/>
  <c r="J400" i="17"/>
  <c r="K400" i="17"/>
  <c r="L400" i="17"/>
  <c r="M400" i="17"/>
  <c r="H401" i="17"/>
  <c r="I401" i="17"/>
  <c r="J401" i="17"/>
  <c r="K401" i="17"/>
  <c r="L401" i="17"/>
  <c r="M401" i="17"/>
  <c r="H402" i="17"/>
  <c r="I402" i="17"/>
  <c r="J402" i="17"/>
  <c r="K402" i="17"/>
  <c r="L402" i="17"/>
  <c r="M402" i="17"/>
  <c r="H403" i="17"/>
  <c r="I403" i="17"/>
  <c r="J403" i="17"/>
  <c r="K403" i="17"/>
  <c r="L403" i="17"/>
  <c r="M403" i="17"/>
  <c r="H404" i="17"/>
  <c r="I404" i="17"/>
  <c r="J404" i="17"/>
  <c r="K404" i="17"/>
  <c r="L404" i="17"/>
  <c r="M404" i="17"/>
  <c r="H405" i="17"/>
  <c r="I405" i="17"/>
  <c r="J405" i="17"/>
  <c r="K405" i="17"/>
  <c r="L405" i="17"/>
  <c r="M405" i="17"/>
  <c r="H406" i="17"/>
  <c r="I406" i="17"/>
  <c r="J406" i="17"/>
  <c r="K406" i="17"/>
  <c r="L406" i="17"/>
  <c r="M406" i="17"/>
  <c r="H407" i="17"/>
  <c r="I407" i="17"/>
  <c r="J407" i="17"/>
  <c r="K407" i="17"/>
  <c r="L407" i="17"/>
  <c r="M407" i="17"/>
  <c r="H408" i="17"/>
  <c r="I408" i="17"/>
  <c r="J408" i="17"/>
  <c r="K408" i="17"/>
  <c r="L408" i="17"/>
  <c r="M408" i="17"/>
  <c r="H409" i="17"/>
  <c r="I409" i="17"/>
  <c r="J409" i="17"/>
  <c r="K409" i="17"/>
  <c r="L409" i="17"/>
  <c r="M409" i="17"/>
  <c r="H410" i="17"/>
  <c r="I410" i="17"/>
  <c r="J410" i="17"/>
  <c r="K410" i="17"/>
  <c r="L410" i="17"/>
  <c r="M410" i="17"/>
  <c r="H411" i="17"/>
  <c r="I411" i="17"/>
  <c r="J411" i="17"/>
  <c r="K411" i="17"/>
  <c r="L411" i="17"/>
  <c r="M411" i="17"/>
  <c r="H412" i="17"/>
  <c r="I412" i="17"/>
  <c r="J412" i="17"/>
  <c r="K412" i="17"/>
  <c r="L412" i="17"/>
  <c r="M412" i="17"/>
  <c r="H413" i="17"/>
  <c r="I413" i="17"/>
  <c r="J413" i="17"/>
  <c r="K413" i="17"/>
  <c r="L413" i="17"/>
  <c r="M413" i="17"/>
  <c r="H414" i="17"/>
  <c r="I414" i="17"/>
  <c r="J414" i="17"/>
  <c r="K414" i="17"/>
  <c r="L414" i="17"/>
  <c r="M414" i="17"/>
  <c r="H415" i="17"/>
  <c r="I415" i="17"/>
  <c r="J415" i="17"/>
  <c r="K415" i="17"/>
  <c r="L415" i="17"/>
  <c r="M415" i="17"/>
  <c r="H416" i="17"/>
  <c r="I416" i="17"/>
  <c r="J416" i="17"/>
  <c r="K416" i="17"/>
  <c r="L416" i="17"/>
  <c r="M416" i="17"/>
  <c r="H417" i="17"/>
  <c r="I417" i="17"/>
  <c r="J417" i="17"/>
  <c r="K417" i="17"/>
  <c r="L417" i="17"/>
  <c r="M417" i="17"/>
  <c r="H418" i="17"/>
  <c r="I418" i="17"/>
  <c r="J418" i="17"/>
  <c r="K418" i="17"/>
  <c r="L418" i="17"/>
  <c r="M418" i="17"/>
  <c r="H419" i="17"/>
  <c r="I419" i="17"/>
  <c r="J419" i="17"/>
  <c r="K419" i="17"/>
  <c r="L419" i="17"/>
  <c r="M419" i="17"/>
  <c r="H420" i="17"/>
  <c r="I420" i="17"/>
  <c r="J420" i="17"/>
  <c r="K420" i="17"/>
  <c r="L420" i="17"/>
  <c r="M420" i="17"/>
  <c r="H421" i="17"/>
  <c r="I421" i="17"/>
  <c r="J421" i="17"/>
  <c r="K421" i="17"/>
  <c r="L421" i="17"/>
  <c r="M421" i="17"/>
  <c r="H422" i="17"/>
  <c r="I422" i="17"/>
  <c r="J422" i="17"/>
  <c r="K422" i="17"/>
  <c r="L422" i="17"/>
  <c r="M422" i="17"/>
  <c r="H423" i="17"/>
  <c r="I423" i="17"/>
  <c r="J423" i="17"/>
  <c r="K423" i="17"/>
  <c r="L423" i="17"/>
  <c r="M423" i="17"/>
  <c r="H424" i="17"/>
  <c r="I424" i="17"/>
  <c r="J424" i="17"/>
  <c r="K424" i="17"/>
  <c r="L424" i="17"/>
  <c r="M424" i="17"/>
  <c r="H425" i="17"/>
  <c r="I425" i="17"/>
  <c r="J425" i="17"/>
  <c r="K425" i="17"/>
  <c r="L425" i="17"/>
  <c r="M425" i="17"/>
  <c r="H426" i="17"/>
  <c r="I426" i="17"/>
  <c r="J426" i="17"/>
  <c r="K426" i="17"/>
  <c r="L426" i="17"/>
  <c r="M426" i="17"/>
  <c r="H427" i="17"/>
  <c r="I427" i="17"/>
  <c r="J427" i="17"/>
  <c r="K427" i="17"/>
  <c r="L427" i="17"/>
  <c r="M427" i="17"/>
  <c r="H428" i="17"/>
  <c r="I428" i="17"/>
  <c r="J428" i="17"/>
  <c r="K428" i="17"/>
  <c r="L428" i="17"/>
  <c r="M428" i="17"/>
  <c r="H429" i="17"/>
  <c r="I429" i="17"/>
  <c r="J429" i="17"/>
  <c r="K429" i="17"/>
  <c r="L429" i="17"/>
  <c r="M429" i="17"/>
  <c r="N429" i="17"/>
  <c r="H430" i="17"/>
  <c r="I430" i="17"/>
  <c r="J430" i="17"/>
  <c r="K430" i="17"/>
  <c r="L430" i="17"/>
  <c r="M430" i="17"/>
  <c r="N430" i="17"/>
  <c r="H431" i="17"/>
  <c r="I431" i="17"/>
  <c r="J431" i="17"/>
  <c r="K431" i="17"/>
  <c r="L431" i="17"/>
  <c r="M431" i="17"/>
  <c r="H432" i="17"/>
  <c r="I432" i="17"/>
  <c r="J432" i="17"/>
  <c r="K432" i="17"/>
  <c r="L432" i="17"/>
  <c r="M432" i="17"/>
  <c r="H433" i="17"/>
  <c r="I433" i="17"/>
  <c r="J433" i="17"/>
  <c r="K433" i="17"/>
  <c r="L433" i="17"/>
  <c r="M433" i="17"/>
  <c r="N433" i="17"/>
  <c r="H434" i="17"/>
  <c r="I434" i="17"/>
  <c r="J434" i="17"/>
  <c r="K434" i="17"/>
  <c r="L434" i="17"/>
  <c r="M434" i="17"/>
  <c r="N434" i="17"/>
  <c r="H435" i="17"/>
  <c r="I435" i="17"/>
  <c r="J435" i="17"/>
  <c r="K435" i="17"/>
  <c r="L435" i="17"/>
  <c r="M435" i="17"/>
  <c r="H436" i="17"/>
  <c r="I436" i="17"/>
  <c r="J436" i="17"/>
  <c r="K436" i="17"/>
  <c r="L436" i="17"/>
  <c r="M436" i="17"/>
  <c r="H437" i="17"/>
  <c r="I437" i="17"/>
  <c r="J437" i="17"/>
  <c r="K437" i="17"/>
  <c r="L437" i="17"/>
  <c r="M437" i="17"/>
  <c r="H438" i="17"/>
  <c r="I438" i="17"/>
  <c r="J438" i="17"/>
  <c r="K438" i="17"/>
  <c r="L438" i="17"/>
  <c r="M438" i="17"/>
  <c r="H439" i="17"/>
  <c r="I439" i="17"/>
  <c r="J439" i="17"/>
  <c r="K439" i="17"/>
  <c r="L439" i="17"/>
  <c r="M439" i="17"/>
  <c r="H440" i="17"/>
  <c r="I440" i="17"/>
  <c r="J440" i="17"/>
  <c r="K440" i="17"/>
  <c r="L440" i="17"/>
  <c r="M440" i="17"/>
  <c r="N440" i="17"/>
  <c r="H441" i="17"/>
  <c r="I441" i="17"/>
  <c r="J441" i="17"/>
  <c r="K441" i="17"/>
  <c r="L441" i="17"/>
  <c r="M441" i="17"/>
  <c r="H442" i="17"/>
  <c r="I442" i="17"/>
  <c r="J442" i="17"/>
  <c r="K442" i="17"/>
  <c r="L442" i="17"/>
  <c r="M442" i="17"/>
  <c r="H443" i="17"/>
  <c r="I443" i="17"/>
  <c r="J443" i="17"/>
  <c r="K443" i="17"/>
  <c r="L443" i="17"/>
  <c r="M443" i="17"/>
  <c r="H444" i="17"/>
  <c r="I444" i="17"/>
  <c r="J444" i="17"/>
  <c r="K444" i="17"/>
  <c r="L444" i="17"/>
  <c r="M444" i="17"/>
  <c r="H445" i="17"/>
  <c r="I445" i="17"/>
  <c r="J445" i="17"/>
  <c r="K445" i="17"/>
  <c r="L445" i="17"/>
  <c r="M445" i="17"/>
  <c r="H446" i="17"/>
  <c r="I446" i="17"/>
  <c r="J446" i="17"/>
  <c r="K446" i="17"/>
  <c r="L446" i="17"/>
  <c r="M446" i="17"/>
  <c r="H447" i="17"/>
  <c r="I447" i="17"/>
  <c r="J447" i="17"/>
  <c r="K447" i="17"/>
  <c r="L447" i="17"/>
  <c r="M447" i="17"/>
  <c r="H448" i="17"/>
  <c r="I448" i="17"/>
  <c r="J448" i="17"/>
  <c r="K448" i="17"/>
  <c r="L448" i="17"/>
  <c r="M448" i="17"/>
  <c r="H449" i="17"/>
  <c r="I449" i="17"/>
  <c r="J449" i="17"/>
  <c r="K449" i="17"/>
  <c r="L449" i="17"/>
  <c r="M449" i="17"/>
  <c r="H450" i="17"/>
  <c r="I450" i="17"/>
  <c r="J450" i="17"/>
  <c r="K450" i="17"/>
  <c r="L450" i="17"/>
  <c r="M450" i="17"/>
  <c r="H451" i="17"/>
  <c r="I451" i="17"/>
  <c r="J451" i="17"/>
  <c r="K451" i="17"/>
  <c r="L451" i="17"/>
  <c r="M451" i="17"/>
  <c r="H452" i="17"/>
  <c r="I452" i="17"/>
  <c r="J452" i="17"/>
  <c r="K452" i="17"/>
  <c r="L452" i="17"/>
  <c r="M452" i="17"/>
  <c r="H453" i="17"/>
  <c r="I453" i="17"/>
  <c r="J453" i="17"/>
  <c r="K453" i="17"/>
  <c r="L453" i="17"/>
  <c r="M453" i="17"/>
  <c r="H454" i="17"/>
  <c r="I454" i="17"/>
  <c r="J454" i="17"/>
  <c r="K454" i="17"/>
  <c r="L454" i="17"/>
  <c r="M454" i="17"/>
  <c r="H455" i="17"/>
  <c r="I455" i="17"/>
  <c r="J455" i="17"/>
  <c r="K455" i="17"/>
  <c r="L455" i="17"/>
  <c r="M455" i="17"/>
  <c r="H456" i="17"/>
  <c r="I456" i="17"/>
  <c r="J456" i="17"/>
  <c r="K456" i="17"/>
  <c r="L456" i="17"/>
  <c r="M456" i="17"/>
  <c r="H457" i="17"/>
  <c r="I457" i="17"/>
  <c r="J457" i="17"/>
  <c r="K457" i="17"/>
  <c r="L457" i="17"/>
  <c r="M457" i="17"/>
  <c r="H458" i="17"/>
  <c r="I458" i="17"/>
  <c r="J458" i="17"/>
  <c r="K458" i="17"/>
  <c r="L458" i="17"/>
  <c r="M458" i="17"/>
  <c r="H459" i="17"/>
  <c r="I459" i="17"/>
  <c r="J459" i="17"/>
  <c r="K459" i="17"/>
  <c r="L459" i="17"/>
  <c r="M459" i="17"/>
  <c r="H460" i="17"/>
  <c r="I460" i="17"/>
  <c r="J460" i="17"/>
  <c r="K460" i="17"/>
  <c r="L460" i="17"/>
  <c r="M460" i="17"/>
  <c r="H461" i="17"/>
  <c r="I461" i="17"/>
  <c r="J461" i="17"/>
  <c r="K461" i="17"/>
  <c r="L461" i="17"/>
  <c r="M461" i="17"/>
  <c r="H462" i="17"/>
  <c r="I462" i="17"/>
  <c r="J462" i="17"/>
  <c r="K462" i="17"/>
  <c r="L462" i="17"/>
  <c r="M462" i="17"/>
  <c r="H463" i="17"/>
  <c r="I463" i="17"/>
  <c r="J463" i="17"/>
  <c r="K463" i="17"/>
  <c r="L463" i="17"/>
  <c r="M463" i="17"/>
  <c r="H464" i="17"/>
  <c r="I464" i="17"/>
  <c r="J464" i="17"/>
  <c r="K464" i="17"/>
  <c r="L464" i="17"/>
  <c r="M464" i="17"/>
  <c r="H465" i="17"/>
  <c r="I465" i="17"/>
  <c r="J465" i="17"/>
  <c r="K465" i="17"/>
  <c r="L465" i="17"/>
  <c r="M465" i="17"/>
  <c r="H466" i="17"/>
  <c r="I466" i="17"/>
  <c r="J466" i="17"/>
  <c r="K466" i="17"/>
  <c r="L466" i="17"/>
  <c r="M466" i="17"/>
  <c r="H467" i="17"/>
  <c r="I467" i="17"/>
  <c r="J467" i="17"/>
  <c r="K467" i="17"/>
  <c r="L467" i="17"/>
  <c r="M467" i="17"/>
  <c r="H468" i="17"/>
  <c r="I468" i="17"/>
  <c r="J468" i="17"/>
  <c r="K468" i="17"/>
  <c r="L468" i="17"/>
  <c r="M468" i="17"/>
  <c r="H469" i="17"/>
  <c r="I469" i="17"/>
  <c r="J469" i="17"/>
  <c r="K469" i="17"/>
  <c r="L469" i="17"/>
  <c r="M469" i="17"/>
  <c r="H470" i="17"/>
  <c r="I470" i="17"/>
  <c r="J470" i="17"/>
  <c r="K470" i="17"/>
  <c r="L470" i="17"/>
  <c r="M470" i="17"/>
  <c r="H471" i="17"/>
  <c r="I471" i="17"/>
  <c r="J471" i="17"/>
  <c r="K471" i="17"/>
  <c r="L471" i="17"/>
  <c r="M471" i="17"/>
  <c r="H472" i="17"/>
  <c r="I472" i="17"/>
  <c r="J472" i="17"/>
  <c r="K472" i="17"/>
  <c r="L472" i="17"/>
  <c r="M472" i="17"/>
  <c r="H473" i="17"/>
  <c r="I473" i="17"/>
  <c r="J473" i="17"/>
  <c r="K473" i="17"/>
  <c r="L473" i="17"/>
  <c r="M473" i="17"/>
  <c r="H474" i="17"/>
  <c r="I474" i="17"/>
  <c r="J474" i="17"/>
  <c r="K474" i="17"/>
  <c r="L474" i="17"/>
  <c r="M474" i="17"/>
  <c r="H475" i="17"/>
  <c r="I475" i="17"/>
  <c r="J475" i="17"/>
  <c r="K475" i="17"/>
  <c r="L475" i="17"/>
  <c r="M475" i="17"/>
  <c r="H476" i="17"/>
  <c r="I476" i="17"/>
  <c r="J476" i="17"/>
  <c r="K476" i="17"/>
  <c r="L476" i="17"/>
  <c r="M476" i="17"/>
  <c r="H477" i="17"/>
  <c r="I477" i="17"/>
  <c r="J477" i="17"/>
  <c r="K477" i="17"/>
  <c r="L477" i="17"/>
  <c r="M477" i="17"/>
  <c r="H478" i="17"/>
  <c r="I478" i="17"/>
  <c r="J478" i="17"/>
  <c r="K478" i="17"/>
  <c r="L478" i="17"/>
  <c r="M478" i="17"/>
  <c r="H479" i="17"/>
  <c r="I479" i="17"/>
  <c r="J479" i="17"/>
  <c r="K479" i="17"/>
  <c r="L479" i="17"/>
  <c r="M479" i="17"/>
  <c r="H480" i="17"/>
  <c r="I480" i="17"/>
  <c r="J480" i="17"/>
  <c r="K480" i="17"/>
  <c r="L480" i="17"/>
  <c r="M480" i="17"/>
  <c r="H481" i="17"/>
  <c r="I481" i="17"/>
  <c r="J481" i="17"/>
  <c r="K481" i="17"/>
  <c r="L481" i="17"/>
  <c r="M481" i="17"/>
  <c r="H482" i="17"/>
  <c r="I482" i="17"/>
  <c r="J482" i="17"/>
  <c r="K482" i="17"/>
  <c r="L482" i="17"/>
  <c r="M482" i="17"/>
  <c r="H483" i="17"/>
  <c r="I483" i="17"/>
  <c r="J483" i="17"/>
  <c r="K483" i="17"/>
  <c r="L483" i="17"/>
  <c r="M483" i="17"/>
  <c r="H484" i="17"/>
  <c r="I484" i="17"/>
  <c r="J484" i="17"/>
  <c r="K484" i="17"/>
  <c r="L484" i="17"/>
  <c r="M484" i="17"/>
  <c r="H485" i="17"/>
  <c r="I485" i="17"/>
  <c r="J485" i="17"/>
  <c r="K485" i="17"/>
  <c r="L485" i="17"/>
  <c r="M485" i="17"/>
  <c r="H486" i="17"/>
  <c r="I486" i="17"/>
  <c r="J486" i="17"/>
  <c r="K486" i="17"/>
  <c r="L486" i="17"/>
  <c r="M486" i="17"/>
  <c r="H487" i="17"/>
  <c r="I487" i="17"/>
  <c r="J487" i="17"/>
  <c r="K487" i="17"/>
  <c r="L487" i="17"/>
  <c r="M487" i="17"/>
  <c r="H488" i="17"/>
  <c r="I488" i="17"/>
  <c r="J488" i="17"/>
  <c r="K488" i="17"/>
  <c r="L488" i="17"/>
  <c r="M488" i="17"/>
  <c r="H489" i="17"/>
  <c r="I489" i="17"/>
  <c r="J489" i="17"/>
  <c r="K489" i="17"/>
  <c r="L489" i="17"/>
  <c r="M489" i="17"/>
  <c r="H490" i="17"/>
  <c r="I490" i="17"/>
  <c r="J490" i="17"/>
  <c r="K490" i="17"/>
  <c r="L490" i="17"/>
  <c r="M490" i="17"/>
  <c r="H491" i="17"/>
  <c r="I491" i="17"/>
  <c r="J491" i="17"/>
  <c r="K491" i="17"/>
  <c r="L491" i="17"/>
  <c r="M491" i="17"/>
  <c r="H492" i="17"/>
  <c r="I492" i="17"/>
  <c r="J492" i="17"/>
  <c r="K492" i="17"/>
  <c r="L492" i="17"/>
  <c r="M492" i="17"/>
  <c r="H493" i="17"/>
  <c r="I493" i="17"/>
  <c r="J493" i="17"/>
  <c r="K493" i="17"/>
  <c r="L493" i="17"/>
  <c r="M493" i="17"/>
  <c r="H494" i="17"/>
  <c r="I494" i="17"/>
  <c r="J494" i="17"/>
  <c r="K494" i="17"/>
  <c r="L494" i="17"/>
  <c r="M494" i="17"/>
  <c r="H495" i="17"/>
  <c r="I495" i="17"/>
  <c r="J495" i="17"/>
  <c r="K495" i="17"/>
  <c r="L495" i="17"/>
  <c r="M495" i="17"/>
  <c r="H496" i="17"/>
  <c r="I496" i="17"/>
  <c r="J496" i="17"/>
  <c r="K496" i="17"/>
  <c r="L496" i="17"/>
  <c r="M496" i="17"/>
  <c r="H497" i="17"/>
  <c r="I497" i="17"/>
  <c r="J497" i="17"/>
  <c r="K497" i="17"/>
  <c r="L497" i="17"/>
  <c r="M497" i="17"/>
  <c r="H498" i="17"/>
  <c r="I498" i="17"/>
  <c r="J498" i="17"/>
  <c r="K498" i="17"/>
  <c r="L498" i="17"/>
  <c r="M498" i="17"/>
  <c r="H499" i="17"/>
  <c r="I499" i="17"/>
  <c r="J499" i="17"/>
  <c r="K499" i="17"/>
  <c r="L499" i="17"/>
  <c r="M499" i="17"/>
  <c r="H500" i="17"/>
  <c r="I500" i="17"/>
  <c r="J500" i="17"/>
  <c r="K500" i="17"/>
  <c r="L500" i="17"/>
  <c r="M500" i="17"/>
  <c r="H501" i="17"/>
  <c r="I501" i="17"/>
  <c r="J501" i="17"/>
  <c r="K501" i="17"/>
  <c r="L501" i="17"/>
  <c r="M501" i="17"/>
  <c r="H502" i="17"/>
  <c r="I502" i="17"/>
  <c r="J502" i="17"/>
  <c r="K502" i="17"/>
  <c r="L502" i="17"/>
  <c r="M502" i="17"/>
  <c r="H503" i="17"/>
  <c r="I503" i="17"/>
  <c r="J503" i="17"/>
  <c r="K503" i="17"/>
  <c r="L503" i="17"/>
  <c r="M503" i="17"/>
  <c r="H504" i="17"/>
  <c r="I504" i="17"/>
  <c r="J504" i="17"/>
  <c r="K504" i="17"/>
  <c r="L504" i="17"/>
  <c r="M504" i="17"/>
  <c r="H505" i="17"/>
  <c r="I505" i="17"/>
  <c r="J505" i="17"/>
  <c r="K505" i="17"/>
  <c r="L505" i="17"/>
  <c r="M505" i="17"/>
  <c r="H506" i="17"/>
  <c r="I506" i="17"/>
  <c r="J506" i="17"/>
  <c r="K506" i="17"/>
  <c r="L506" i="17"/>
  <c r="M506" i="17"/>
  <c r="H507" i="17"/>
  <c r="I507" i="17"/>
  <c r="J507" i="17"/>
  <c r="K507" i="17"/>
  <c r="L507" i="17"/>
  <c r="M507" i="17"/>
  <c r="H508" i="17"/>
  <c r="I508" i="17"/>
  <c r="J508" i="17"/>
  <c r="K508" i="17"/>
  <c r="L508" i="17"/>
  <c r="M508" i="17"/>
  <c r="H509" i="17"/>
  <c r="I509" i="17"/>
  <c r="J509" i="17"/>
  <c r="K509" i="17"/>
  <c r="L509" i="17"/>
  <c r="M509" i="17"/>
  <c r="H510" i="17"/>
  <c r="I510" i="17"/>
  <c r="J510" i="17"/>
  <c r="K510" i="17"/>
  <c r="L510" i="17"/>
  <c r="M510" i="17"/>
  <c r="H511" i="17"/>
  <c r="I511" i="17"/>
  <c r="J511" i="17"/>
  <c r="K511" i="17"/>
  <c r="L511" i="17"/>
  <c r="M511" i="17"/>
  <c r="H512" i="17"/>
  <c r="I512" i="17"/>
  <c r="J512" i="17"/>
  <c r="K512" i="17"/>
  <c r="L512" i="17"/>
  <c r="M512" i="17"/>
  <c r="H513" i="17"/>
  <c r="I513" i="17"/>
  <c r="J513" i="17"/>
  <c r="K513" i="17"/>
  <c r="L513" i="17"/>
  <c r="M513" i="17"/>
  <c r="H514" i="17"/>
  <c r="I514" i="17"/>
  <c r="J514" i="17"/>
  <c r="K514" i="17"/>
  <c r="L514" i="17"/>
  <c r="M514" i="17"/>
  <c r="H515" i="17"/>
  <c r="I515" i="17"/>
  <c r="J515" i="17"/>
  <c r="K515" i="17"/>
  <c r="L515" i="17"/>
  <c r="M515" i="17"/>
  <c r="H516" i="17"/>
  <c r="I516" i="17"/>
  <c r="J516" i="17"/>
  <c r="K516" i="17"/>
  <c r="L516" i="17"/>
  <c r="M516" i="17"/>
  <c r="H517" i="17"/>
  <c r="I517" i="17"/>
  <c r="J517" i="17"/>
  <c r="K517" i="17"/>
  <c r="L517" i="17"/>
  <c r="M517" i="17"/>
  <c r="H518" i="17"/>
  <c r="I518" i="17"/>
  <c r="J518" i="17"/>
  <c r="K518" i="17"/>
  <c r="L518" i="17"/>
  <c r="M518" i="17"/>
  <c r="H519" i="17"/>
  <c r="I519" i="17"/>
  <c r="J519" i="17"/>
  <c r="K519" i="17"/>
  <c r="L519" i="17"/>
  <c r="M519" i="17"/>
  <c r="H520" i="17"/>
  <c r="I520" i="17"/>
  <c r="J520" i="17"/>
  <c r="K520" i="17"/>
  <c r="L520" i="17"/>
  <c r="M520" i="17"/>
  <c r="H521" i="17"/>
  <c r="I521" i="17"/>
  <c r="J521" i="17"/>
  <c r="K521" i="17"/>
  <c r="L521" i="17"/>
  <c r="M521" i="17"/>
  <c r="H522" i="17"/>
  <c r="I522" i="17"/>
  <c r="J522" i="17"/>
  <c r="K522" i="17"/>
  <c r="L522" i="17"/>
  <c r="M522" i="17"/>
  <c r="H523" i="17"/>
  <c r="I523" i="17"/>
  <c r="J523" i="17"/>
  <c r="K523" i="17"/>
  <c r="L523" i="17"/>
  <c r="M523" i="17"/>
  <c r="H524" i="17"/>
  <c r="I524" i="17"/>
  <c r="J524" i="17"/>
  <c r="K524" i="17"/>
  <c r="L524" i="17"/>
  <c r="M524" i="17"/>
  <c r="H525" i="17"/>
  <c r="I525" i="17"/>
  <c r="J525" i="17"/>
  <c r="K525" i="17"/>
  <c r="L525" i="17"/>
  <c r="M525" i="17"/>
  <c r="H526" i="17"/>
  <c r="I526" i="17"/>
  <c r="J526" i="17"/>
  <c r="K526" i="17"/>
  <c r="L526" i="17"/>
  <c r="M526" i="17"/>
  <c r="H527" i="17"/>
  <c r="I527" i="17"/>
  <c r="J527" i="17"/>
  <c r="K527" i="17"/>
  <c r="L527" i="17"/>
  <c r="M527" i="17"/>
  <c r="H528" i="17"/>
  <c r="I528" i="17"/>
  <c r="J528" i="17"/>
  <c r="K528" i="17"/>
  <c r="L528" i="17"/>
  <c r="M528" i="17"/>
  <c r="H529" i="17"/>
  <c r="I529" i="17"/>
  <c r="J529" i="17"/>
  <c r="K529" i="17"/>
  <c r="L529" i="17"/>
  <c r="M529" i="17"/>
  <c r="H530" i="17"/>
  <c r="I530" i="17"/>
  <c r="J530" i="17"/>
  <c r="K530" i="17"/>
  <c r="L530" i="17"/>
  <c r="M530" i="17"/>
  <c r="H531" i="17"/>
  <c r="I531" i="17"/>
  <c r="J531" i="17"/>
  <c r="K531" i="17"/>
  <c r="L531" i="17"/>
  <c r="M531" i="17"/>
  <c r="H532" i="17"/>
  <c r="I532" i="17"/>
  <c r="J532" i="17"/>
  <c r="K532" i="17"/>
  <c r="L532" i="17"/>
  <c r="M532" i="17"/>
  <c r="H533" i="17"/>
  <c r="I533" i="17"/>
  <c r="J533" i="17"/>
  <c r="K533" i="17"/>
  <c r="L533" i="17"/>
  <c r="M533" i="17"/>
  <c r="H534" i="17"/>
  <c r="I534" i="17"/>
  <c r="J534" i="17"/>
  <c r="K534" i="17"/>
  <c r="L534" i="17"/>
  <c r="M534" i="17"/>
  <c r="H535" i="17"/>
  <c r="I535" i="17"/>
  <c r="J535" i="17"/>
  <c r="K535" i="17"/>
  <c r="L535" i="17"/>
  <c r="M535" i="17"/>
  <c r="H536" i="17"/>
  <c r="I536" i="17"/>
  <c r="J536" i="17"/>
  <c r="K536" i="17"/>
  <c r="L536" i="17"/>
  <c r="M536" i="17"/>
  <c r="H537" i="17"/>
  <c r="I537" i="17"/>
  <c r="J537" i="17"/>
  <c r="K537" i="17"/>
  <c r="L537" i="17"/>
  <c r="M537" i="17"/>
  <c r="H538" i="17"/>
  <c r="I538" i="17"/>
  <c r="J538" i="17"/>
  <c r="K538" i="17"/>
  <c r="L538" i="17"/>
  <c r="M538" i="17"/>
  <c r="H539" i="17"/>
  <c r="I539" i="17"/>
  <c r="J539" i="17"/>
  <c r="K539" i="17"/>
  <c r="L539" i="17"/>
  <c r="M539" i="17"/>
  <c r="H540" i="17"/>
  <c r="I540" i="17"/>
  <c r="J540" i="17"/>
  <c r="K540" i="17"/>
  <c r="L540" i="17"/>
  <c r="M540" i="17"/>
  <c r="H541" i="17"/>
  <c r="I541" i="17"/>
  <c r="J541" i="17"/>
  <c r="K541" i="17"/>
  <c r="L541" i="17"/>
  <c r="M541" i="17"/>
  <c r="H542" i="17"/>
  <c r="I542" i="17"/>
  <c r="J542" i="17"/>
  <c r="K542" i="17"/>
  <c r="L542" i="17"/>
  <c r="M542" i="17"/>
  <c r="H543" i="17"/>
  <c r="I543" i="17"/>
  <c r="J543" i="17"/>
  <c r="K543" i="17"/>
  <c r="L543" i="17"/>
  <c r="M543" i="17"/>
  <c r="H544" i="17"/>
  <c r="I544" i="17"/>
  <c r="J544" i="17"/>
  <c r="K544" i="17"/>
  <c r="L544" i="17"/>
  <c r="M544" i="17"/>
  <c r="H545" i="17"/>
  <c r="I545" i="17"/>
  <c r="J545" i="17"/>
  <c r="K545" i="17"/>
  <c r="L545" i="17"/>
  <c r="M545" i="17"/>
  <c r="H546" i="17"/>
  <c r="I546" i="17"/>
  <c r="J546" i="17"/>
  <c r="K546" i="17"/>
  <c r="L546" i="17"/>
  <c r="M546" i="17"/>
  <c r="H547" i="17"/>
  <c r="I547" i="17"/>
  <c r="J547" i="17"/>
  <c r="K547" i="17"/>
  <c r="L547" i="17"/>
  <c r="M547" i="17"/>
  <c r="H548" i="17"/>
  <c r="I548" i="17"/>
  <c r="J548" i="17"/>
  <c r="K548" i="17"/>
  <c r="L548" i="17"/>
  <c r="M548" i="17"/>
  <c r="H549" i="17"/>
  <c r="I549" i="17"/>
  <c r="J549" i="17"/>
  <c r="K549" i="17"/>
  <c r="L549" i="17"/>
  <c r="M549" i="17"/>
  <c r="H550" i="17"/>
  <c r="I550" i="17"/>
  <c r="J550" i="17"/>
  <c r="K550" i="17"/>
  <c r="L550" i="17"/>
  <c r="M550" i="17"/>
  <c r="H551" i="17"/>
  <c r="I551" i="17"/>
  <c r="J551" i="17"/>
  <c r="K551" i="17"/>
  <c r="L551" i="17"/>
  <c r="M551" i="17"/>
  <c r="H552" i="17"/>
  <c r="I552" i="17"/>
  <c r="J552" i="17"/>
  <c r="K552" i="17"/>
  <c r="L552" i="17"/>
  <c r="M552" i="17"/>
  <c r="H553" i="17"/>
  <c r="I553" i="17"/>
  <c r="J553" i="17"/>
  <c r="K553" i="17"/>
  <c r="L553" i="17"/>
  <c r="M553" i="17"/>
  <c r="H554" i="17"/>
  <c r="I554" i="17"/>
  <c r="J554" i="17"/>
  <c r="K554" i="17"/>
  <c r="L554" i="17"/>
  <c r="M554" i="17"/>
  <c r="H555" i="17"/>
  <c r="I555" i="17"/>
  <c r="J555" i="17"/>
  <c r="K555" i="17"/>
  <c r="L555" i="17"/>
  <c r="M555" i="17"/>
  <c r="H556" i="17"/>
  <c r="I556" i="17"/>
  <c r="J556" i="17"/>
  <c r="K556" i="17"/>
  <c r="L556" i="17"/>
  <c r="M556" i="17"/>
  <c r="H557" i="17"/>
  <c r="I557" i="17"/>
  <c r="J557" i="17"/>
  <c r="K557" i="17"/>
  <c r="L557" i="17"/>
  <c r="M557" i="17"/>
  <c r="H558" i="17"/>
  <c r="I558" i="17"/>
  <c r="J558" i="17"/>
  <c r="K558" i="17"/>
  <c r="L558" i="17"/>
  <c r="M558" i="17"/>
  <c r="H559" i="17"/>
  <c r="I559" i="17"/>
  <c r="J559" i="17"/>
  <c r="K559" i="17"/>
  <c r="L559" i="17"/>
  <c r="M559" i="17"/>
  <c r="H560" i="17"/>
  <c r="I560" i="17"/>
  <c r="J560" i="17"/>
  <c r="K560" i="17"/>
  <c r="L560" i="17"/>
  <c r="M560" i="17"/>
  <c r="H561" i="17"/>
  <c r="I561" i="17"/>
  <c r="J561" i="17"/>
  <c r="K561" i="17"/>
  <c r="L561" i="17"/>
  <c r="M561" i="17"/>
  <c r="H562" i="17"/>
  <c r="I562" i="17"/>
  <c r="J562" i="17"/>
  <c r="K562" i="17"/>
  <c r="L562" i="17"/>
  <c r="M562" i="17"/>
  <c r="H563" i="17"/>
  <c r="I563" i="17"/>
  <c r="J563" i="17"/>
  <c r="K563" i="17"/>
  <c r="L563" i="17"/>
  <c r="M563" i="17"/>
  <c r="H564" i="17"/>
  <c r="I564" i="17"/>
  <c r="J564" i="17"/>
  <c r="K564" i="17"/>
  <c r="L564" i="17"/>
  <c r="M564" i="17"/>
  <c r="H565" i="17"/>
  <c r="I565" i="17"/>
  <c r="J565" i="17"/>
  <c r="K565" i="17"/>
  <c r="L565" i="17"/>
  <c r="M565" i="17"/>
  <c r="H566" i="17"/>
  <c r="I566" i="17"/>
  <c r="J566" i="17"/>
  <c r="K566" i="17"/>
  <c r="L566" i="17"/>
  <c r="M566" i="17"/>
  <c r="H567" i="17"/>
  <c r="I567" i="17"/>
  <c r="J567" i="17"/>
  <c r="K567" i="17"/>
  <c r="L567" i="17"/>
  <c r="M567" i="17"/>
  <c r="H568" i="17"/>
  <c r="I568" i="17"/>
  <c r="J568" i="17"/>
  <c r="K568" i="17"/>
  <c r="L568" i="17"/>
  <c r="M568" i="17"/>
  <c r="H569" i="17"/>
  <c r="I569" i="17"/>
  <c r="J569" i="17"/>
  <c r="K569" i="17"/>
  <c r="L569" i="17"/>
  <c r="M569" i="17"/>
  <c r="H570" i="17"/>
  <c r="I570" i="17"/>
  <c r="J570" i="17"/>
  <c r="K570" i="17"/>
  <c r="L570" i="17"/>
  <c r="M570" i="17"/>
  <c r="H571" i="17"/>
  <c r="I571" i="17"/>
  <c r="J571" i="17"/>
  <c r="K571" i="17"/>
  <c r="L571" i="17"/>
  <c r="M571" i="17"/>
  <c r="H572" i="17"/>
  <c r="I572" i="17"/>
  <c r="J572" i="17"/>
  <c r="K572" i="17"/>
  <c r="L572" i="17"/>
  <c r="M572" i="17"/>
  <c r="H573" i="17"/>
  <c r="I573" i="17"/>
  <c r="J573" i="17"/>
  <c r="K573" i="17"/>
  <c r="L573" i="17"/>
  <c r="M573" i="17"/>
  <c r="H574" i="17"/>
  <c r="I574" i="17"/>
  <c r="J574" i="17"/>
  <c r="K574" i="17"/>
  <c r="L574" i="17"/>
  <c r="M574" i="17"/>
  <c r="H575" i="17"/>
  <c r="I575" i="17"/>
  <c r="J575" i="17"/>
  <c r="K575" i="17"/>
  <c r="L575" i="17"/>
  <c r="M575" i="17"/>
  <c r="H576" i="17"/>
  <c r="I576" i="17"/>
  <c r="J576" i="17"/>
  <c r="K576" i="17"/>
  <c r="L576" i="17"/>
  <c r="M576" i="17"/>
  <c r="H577" i="17"/>
  <c r="I577" i="17"/>
  <c r="J577" i="17"/>
  <c r="K577" i="17"/>
  <c r="L577" i="17"/>
  <c r="M577" i="17"/>
  <c r="H578" i="17"/>
  <c r="I578" i="17"/>
  <c r="J578" i="17"/>
  <c r="K578" i="17"/>
  <c r="L578" i="17"/>
  <c r="M578" i="17"/>
  <c r="H579" i="17"/>
  <c r="I579" i="17"/>
  <c r="J579" i="17"/>
  <c r="K579" i="17"/>
  <c r="L579" i="17"/>
  <c r="M579" i="17"/>
  <c r="H580" i="17"/>
  <c r="I580" i="17"/>
  <c r="J580" i="17"/>
  <c r="K580" i="17"/>
  <c r="L580" i="17"/>
  <c r="M580" i="17"/>
  <c r="H581" i="17"/>
  <c r="I581" i="17"/>
  <c r="J581" i="17"/>
  <c r="K581" i="17"/>
  <c r="L581" i="17"/>
  <c r="M581" i="17"/>
  <c r="H582" i="17"/>
  <c r="I582" i="17"/>
  <c r="J582" i="17"/>
  <c r="K582" i="17"/>
  <c r="L582" i="17"/>
  <c r="M582" i="17"/>
  <c r="H583" i="17"/>
  <c r="I583" i="17"/>
  <c r="J583" i="17"/>
  <c r="K583" i="17"/>
  <c r="L583" i="17"/>
  <c r="M583" i="17"/>
  <c r="H584" i="17"/>
  <c r="I584" i="17"/>
  <c r="J584" i="17"/>
  <c r="K584" i="17"/>
  <c r="L584" i="17"/>
  <c r="M584" i="17"/>
  <c r="H585" i="17"/>
  <c r="I585" i="17"/>
  <c r="J585" i="17"/>
  <c r="K585" i="17"/>
  <c r="L585" i="17"/>
  <c r="M585" i="17"/>
  <c r="H586" i="17"/>
  <c r="I586" i="17"/>
  <c r="J586" i="17"/>
  <c r="K586" i="17"/>
  <c r="L586" i="17"/>
  <c r="M586" i="17"/>
  <c r="H587" i="17"/>
  <c r="I587" i="17"/>
  <c r="J587" i="17"/>
  <c r="K587" i="17"/>
  <c r="L587" i="17"/>
  <c r="M587" i="17"/>
  <c r="H588" i="17"/>
  <c r="I588" i="17"/>
  <c r="J588" i="17"/>
  <c r="K588" i="17"/>
  <c r="L588" i="17"/>
  <c r="M588" i="17"/>
  <c r="H589" i="17"/>
  <c r="I589" i="17"/>
  <c r="J589" i="17"/>
  <c r="K589" i="17"/>
  <c r="L589" i="17"/>
  <c r="M589" i="17"/>
  <c r="H590" i="17"/>
  <c r="I590" i="17"/>
  <c r="J590" i="17"/>
  <c r="K590" i="17"/>
  <c r="L590" i="17"/>
  <c r="M590" i="17"/>
  <c r="H591" i="17"/>
  <c r="I591" i="17"/>
  <c r="J591" i="17"/>
  <c r="K591" i="17"/>
  <c r="L591" i="17"/>
  <c r="M591" i="17"/>
  <c r="H592" i="17"/>
  <c r="I592" i="17"/>
  <c r="J592" i="17"/>
  <c r="K592" i="17"/>
  <c r="L592" i="17"/>
  <c r="M592" i="17"/>
  <c r="H593" i="17"/>
  <c r="I593" i="17"/>
  <c r="J593" i="17"/>
  <c r="K593" i="17"/>
  <c r="L593" i="17"/>
  <c r="M593" i="17"/>
  <c r="H594" i="17"/>
  <c r="I594" i="17"/>
  <c r="J594" i="17"/>
  <c r="K594" i="17"/>
  <c r="L594" i="17"/>
  <c r="M594" i="17"/>
  <c r="H595" i="17"/>
  <c r="I595" i="17"/>
  <c r="J595" i="17"/>
  <c r="K595" i="17"/>
  <c r="L595" i="17"/>
  <c r="M595" i="17"/>
  <c r="H596" i="17"/>
  <c r="I596" i="17"/>
  <c r="J596" i="17"/>
  <c r="K596" i="17"/>
  <c r="L596" i="17"/>
  <c r="M596" i="17"/>
  <c r="H609" i="17"/>
  <c r="I609" i="17"/>
  <c r="J609" i="17"/>
  <c r="K609" i="17"/>
  <c r="L609" i="17"/>
  <c r="M609" i="17"/>
  <c r="H610" i="17"/>
  <c r="I610" i="17"/>
  <c r="J610" i="17"/>
  <c r="K610" i="17"/>
  <c r="L610" i="17"/>
  <c r="M610" i="17"/>
  <c r="H611" i="17"/>
  <c r="I611" i="17"/>
  <c r="J611" i="17"/>
  <c r="K611" i="17"/>
  <c r="L611" i="17"/>
  <c r="M611" i="17"/>
  <c r="H612" i="17"/>
  <c r="I612" i="17"/>
  <c r="J612" i="17"/>
  <c r="K612" i="17"/>
  <c r="L612" i="17"/>
  <c r="M612" i="17"/>
  <c r="H613" i="17"/>
  <c r="I613" i="17"/>
  <c r="J613" i="17"/>
  <c r="K613" i="17"/>
  <c r="L613" i="17"/>
  <c r="M613" i="17"/>
  <c r="H614" i="17"/>
  <c r="I614" i="17"/>
  <c r="J614" i="17"/>
  <c r="K614" i="17"/>
  <c r="L614" i="17"/>
  <c r="M614" i="17"/>
  <c r="H615" i="17"/>
  <c r="I615" i="17"/>
  <c r="J615" i="17"/>
  <c r="K615" i="17"/>
  <c r="L615" i="17"/>
  <c r="M615" i="17"/>
  <c r="H616" i="17"/>
  <c r="I616" i="17"/>
  <c r="J616" i="17"/>
  <c r="K616" i="17"/>
  <c r="L616" i="17"/>
  <c r="M616" i="17"/>
  <c r="H617" i="17"/>
  <c r="I617" i="17"/>
  <c r="J617" i="17"/>
  <c r="K617" i="17"/>
  <c r="L617" i="17"/>
  <c r="M617" i="17"/>
  <c r="H618" i="17"/>
  <c r="I618" i="17"/>
  <c r="J618" i="17"/>
  <c r="K618" i="17"/>
  <c r="L618" i="17"/>
  <c r="M618" i="17"/>
  <c r="H619" i="17"/>
  <c r="I619" i="17"/>
  <c r="J619" i="17"/>
  <c r="K619" i="17"/>
  <c r="L619" i="17"/>
  <c r="M619" i="17"/>
  <c r="H620" i="17"/>
  <c r="I620" i="17"/>
  <c r="J620" i="17"/>
  <c r="K620" i="17"/>
  <c r="L620" i="17"/>
  <c r="M620" i="17"/>
  <c r="H621" i="17"/>
  <c r="I621" i="17"/>
  <c r="J621" i="17"/>
  <c r="K621" i="17"/>
  <c r="L621" i="17"/>
  <c r="M621" i="17"/>
  <c r="H622" i="17"/>
  <c r="I622" i="17"/>
  <c r="J622" i="17"/>
  <c r="K622" i="17"/>
  <c r="L622" i="17"/>
  <c r="M622" i="17"/>
  <c r="H623" i="17"/>
  <c r="I623" i="17"/>
  <c r="J623" i="17"/>
  <c r="K623" i="17"/>
  <c r="L623" i="17"/>
  <c r="M623" i="17"/>
  <c r="H624" i="17"/>
  <c r="I624" i="17"/>
  <c r="J624" i="17"/>
  <c r="K624" i="17"/>
  <c r="L624" i="17"/>
  <c r="M624" i="17"/>
  <c r="H625" i="17"/>
  <c r="I625" i="17"/>
  <c r="J625" i="17"/>
  <c r="K625" i="17"/>
  <c r="L625" i="17"/>
  <c r="M625" i="17"/>
  <c r="H626" i="17"/>
  <c r="I626" i="17"/>
  <c r="J626" i="17"/>
  <c r="K626" i="17"/>
  <c r="L626" i="17"/>
  <c r="M626" i="17"/>
  <c r="H627" i="17"/>
  <c r="I627" i="17"/>
  <c r="J627" i="17"/>
  <c r="K627" i="17"/>
  <c r="L627" i="17"/>
  <c r="M627" i="17"/>
  <c r="H628" i="17"/>
  <c r="I628" i="17"/>
  <c r="J628" i="17"/>
  <c r="K628" i="17"/>
  <c r="L628" i="17"/>
  <c r="M628" i="17"/>
  <c r="H629" i="17"/>
  <c r="I629" i="17"/>
  <c r="J629" i="17"/>
  <c r="K629" i="17"/>
  <c r="L629" i="17"/>
  <c r="M629" i="17"/>
  <c r="H630" i="17"/>
  <c r="I630" i="17"/>
  <c r="J630" i="17"/>
  <c r="K630" i="17"/>
  <c r="L630" i="17"/>
  <c r="M630" i="17"/>
  <c r="H631" i="17"/>
  <c r="I631" i="17"/>
  <c r="J631" i="17"/>
  <c r="K631" i="17"/>
  <c r="L631" i="17"/>
  <c r="M631" i="17"/>
  <c r="H632" i="17"/>
  <c r="I632" i="17"/>
  <c r="J632" i="17"/>
  <c r="K632" i="17"/>
  <c r="L632" i="17"/>
  <c r="M632" i="17"/>
  <c r="H633" i="17"/>
  <c r="I633" i="17"/>
  <c r="J633" i="17"/>
  <c r="K633" i="17"/>
  <c r="L633" i="17"/>
  <c r="M633" i="17"/>
  <c r="H634" i="17"/>
  <c r="I634" i="17"/>
  <c r="J634" i="17"/>
  <c r="K634" i="17"/>
  <c r="L634" i="17"/>
  <c r="M634" i="17"/>
  <c r="H635" i="17"/>
  <c r="I635" i="17"/>
  <c r="J635" i="17"/>
  <c r="K635" i="17"/>
  <c r="L635" i="17"/>
  <c r="M635" i="17"/>
  <c r="H636" i="17"/>
  <c r="I636" i="17"/>
  <c r="J636" i="17"/>
  <c r="K636" i="17"/>
  <c r="L636" i="17"/>
  <c r="M636" i="17"/>
  <c r="H637" i="17"/>
  <c r="I637" i="17"/>
  <c r="J637" i="17"/>
  <c r="K637" i="17"/>
  <c r="L637" i="17"/>
  <c r="M637" i="17"/>
  <c r="H638" i="17"/>
  <c r="I638" i="17"/>
  <c r="J638" i="17"/>
  <c r="K638" i="17"/>
  <c r="L638" i="17"/>
  <c r="M638" i="17"/>
  <c r="H639" i="17"/>
  <c r="I639" i="17"/>
  <c r="J639" i="17"/>
  <c r="K639" i="17"/>
  <c r="L639" i="17"/>
  <c r="M639" i="17"/>
  <c r="H640" i="17"/>
  <c r="I640" i="17"/>
  <c r="J640" i="17"/>
  <c r="K640" i="17"/>
  <c r="L640" i="17"/>
  <c r="M640" i="17"/>
  <c r="H641" i="17"/>
  <c r="I641" i="17"/>
  <c r="J641" i="17"/>
  <c r="K641" i="17"/>
  <c r="L641" i="17"/>
  <c r="M641" i="17"/>
  <c r="H642" i="17"/>
  <c r="I642" i="17"/>
  <c r="J642" i="17"/>
  <c r="K642" i="17"/>
  <c r="L642" i="17"/>
  <c r="M642" i="17"/>
  <c r="H643" i="17"/>
  <c r="I643" i="17"/>
  <c r="J643" i="17"/>
  <c r="K643" i="17"/>
  <c r="L643" i="17"/>
  <c r="M643" i="17"/>
  <c r="H644" i="17"/>
  <c r="I644" i="17"/>
  <c r="J644" i="17"/>
  <c r="K644" i="17"/>
  <c r="L644" i="17"/>
  <c r="M644" i="17"/>
  <c r="H645" i="17"/>
  <c r="I645" i="17"/>
  <c r="J645" i="17"/>
  <c r="K645" i="17"/>
  <c r="L645" i="17"/>
  <c r="M645" i="17"/>
  <c r="H646" i="17"/>
  <c r="I646" i="17"/>
  <c r="J646" i="17"/>
  <c r="K646" i="17"/>
  <c r="L646" i="17"/>
  <c r="M646" i="17"/>
  <c r="H647" i="17"/>
  <c r="I647" i="17"/>
  <c r="J647" i="17"/>
  <c r="K647" i="17"/>
  <c r="L647" i="17"/>
  <c r="M647" i="17"/>
  <c r="H648" i="17"/>
  <c r="I648" i="17"/>
  <c r="J648" i="17"/>
  <c r="K648" i="17"/>
  <c r="L648" i="17"/>
  <c r="M648" i="17"/>
  <c r="H649" i="17"/>
  <c r="I649" i="17"/>
  <c r="J649" i="17"/>
  <c r="K649" i="17"/>
  <c r="L649" i="17"/>
  <c r="M649" i="17"/>
  <c r="H650" i="17"/>
  <c r="I650" i="17"/>
  <c r="J650" i="17"/>
  <c r="K650" i="17"/>
  <c r="L650" i="17"/>
  <c r="M650" i="17"/>
  <c r="H651" i="17"/>
  <c r="I651" i="17"/>
  <c r="J651" i="17"/>
  <c r="K651" i="17"/>
  <c r="L651" i="17"/>
  <c r="M651" i="17"/>
  <c r="H652" i="17"/>
  <c r="I652" i="17"/>
  <c r="J652" i="17"/>
  <c r="K652" i="17"/>
  <c r="L652" i="17"/>
  <c r="M652" i="17"/>
  <c r="H653" i="17"/>
  <c r="I653" i="17"/>
  <c r="J653" i="17"/>
  <c r="K653" i="17"/>
  <c r="L653" i="17"/>
  <c r="M653" i="17"/>
  <c r="H654" i="17"/>
  <c r="I654" i="17"/>
  <c r="J654" i="17"/>
  <c r="K654" i="17"/>
  <c r="L654" i="17"/>
  <c r="M654" i="17"/>
  <c r="H655" i="17"/>
  <c r="I655" i="17"/>
  <c r="J655" i="17"/>
  <c r="K655" i="17"/>
  <c r="L655" i="17"/>
  <c r="M655" i="17"/>
  <c r="H656" i="17"/>
  <c r="I656" i="17"/>
  <c r="J656" i="17"/>
  <c r="K656" i="17"/>
  <c r="L656" i="17"/>
  <c r="M656" i="17"/>
  <c r="H657" i="17"/>
  <c r="I657" i="17"/>
  <c r="J657" i="17"/>
  <c r="K657" i="17"/>
  <c r="L657" i="17"/>
  <c r="M657" i="17"/>
  <c r="H658" i="17"/>
  <c r="I658" i="17"/>
  <c r="J658" i="17"/>
  <c r="K658" i="17"/>
  <c r="L658" i="17"/>
  <c r="M658" i="17"/>
  <c r="H659" i="17"/>
  <c r="I659" i="17"/>
  <c r="J659" i="17"/>
  <c r="K659" i="17"/>
  <c r="L659" i="17"/>
  <c r="M659" i="17"/>
  <c r="H660" i="17"/>
  <c r="I660" i="17"/>
  <c r="J660" i="17"/>
  <c r="K660" i="17"/>
  <c r="L660" i="17"/>
  <c r="M660" i="17"/>
  <c r="H661" i="17"/>
  <c r="I661" i="17"/>
  <c r="J661" i="17"/>
  <c r="K661" i="17"/>
  <c r="L661" i="17"/>
  <c r="M661" i="17"/>
  <c r="H662" i="17"/>
  <c r="I662" i="17"/>
  <c r="J662" i="17"/>
  <c r="K662" i="17"/>
  <c r="L662" i="17"/>
  <c r="M662" i="17"/>
  <c r="H663" i="17"/>
  <c r="I663" i="17"/>
  <c r="J663" i="17"/>
  <c r="K663" i="17"/>
  <c r="L663" i="17"/>
  <c r="M663" i="17"/>
  <c r="H664" i="17"/>
  <c r="I664" i="17"/>
  <c r="J664" i="17"/>
  <c r="K664" i="17"/>
  <c r="L664" i="17"/>
  <c r="M664" i="17"/>
  <c r="H665" i="17"/>
  <c r="I665" i="17"/>
  <c r="J665" i="17"/>
  <c r="K665" i="17"/>
  <c r="L665" i="17"/>
  <c r="M665" i="17"/>
  <c r="H666" i="17"/>
  <c r="I666" i="17"/>
  <c r="J666" i="17"/>
  <c r="K666" i="17"/>
  <c r="L666" i="17"/>
  <c r="M666" i="17"/>
  <c r="H667" i="17"/>
  <c r="I667" i="17"/>
  <c r="J667" i="17"/>
  <c r="K667" i="17"/>
  <c r="L667" i="17"/>
  <c r="M667" i="17"/>
  <c r="H668" i="17"/>
  <c r="I668" i="17"/>
  <c r="J668" i="17"/>
  <c r="K668" i="17"/>
  <c r="L668" i="17"/>
  <c r="M668" i="17"/>
  <c r="H669" i="17"/>
  <c r="I669" i="17"/>
  <c r="J669" i="17"/>
  <c r="K669" i="17"/>
  <c r="L669" i="17"/>
  <c r="M669" i="17"/>
  <c r="H670" i="17"/>
  <c r="I670" i="17"/>
  <c r="J670" i="17"/>
  <c r="K670" i="17"/>
  <c r="L670" i="17"/>
  <c r="M670" i="17"/>
  <c r="H671" i="17"/>
  <c r="I671" i="17"/>
  <c r="J671" i="17"/>
  <c r="K671" i="17"/>
  <c r="L671" i="17"/>
  <c r="M671" i="17"/>
  <c r="H672" i="17"/>
  <c r="I672" i="17"/>
  <c r="J672" i="17"/>
  <c r="K672" i="17"/>
  <c r="L672" i="17"/>
  <c r="M672" i="17"/>
  <c r="H673" i="17"/>
  <c r="I673" i="17"/>
  <c r="J673" i="17"/>
  <c r="K673" i="17"/>
  <c r="L673" i="17"/>
  <c r="M673" i="17"/>
  <c r="H674" i="17"/>
  <c r="I674" i="17"/>
  <c r="J674" i="17"/>
  <c r="K674" i="17"/>
  <c r="L674" i="17"/>
  <c r="M674" i="17"/>
  <c r="H675" i="17"/>
  <c r="I675" i="17"/>
  <c r="J675" i="17"/>
  <c r="K675" i="17"/>
  <c r="L675" i="17"/>
  <c r="M675" i="17"/>
  <c r="H676" i="17"/>
  <c r="I676" i="17"/>
  <c r="J676" i="17"/>
  <c r="K676" i="17"/>
  <c r="L676" i="17"/>
  <c r="M676" i="17"/>
  <c r="H677" i="17"/>
  <c r="I677" i="17"/>
  <c r="J677" i="17"/>
  <c r="K677" i="17"/>
  <c r="L677" i="17"/>
  <c r="M677" i="17"/>
  <c r="H678" i="17"/>
  <c r="I678" i="17"/>
  <c r="J678" i="17"/>
  <c r="K678" i="17"/>
  <c r="L678" i="17"/>
  <c r="M678" i="17"/>
  <c r="H679" i="17"/>
  <c r="I679" i="17"/>
  <c r="J679" i="17"/>
  <c r="K679" i="17"/>
  <c r="L679" i="17"/>
  <c r="M679" i="17"/>
  <c r="H680" i="17"/>
  <c r="I680" i="17"/>
  <c r="J680" i="17"/>
  <c r="K680" i="17"/>
  <c r="L680" i="17"/>
  <c r="M680" i="17"/>
  <c r="H681" i="17"/>
  <c r="I681" i="17"/>
  <c r="J681" i="17"/>
  <c r="K681" i="17"/>
  <c r="L681" i="17"/>
  <c r="M681" i="17"/>
  <c r="H682" i="17"/>
  <c r="I682" i="17"/>
  <c r="J682" i="17"/>
  <c r="K682" i="17"/>
  <c r="L682" i="17"/>
  <c r="M682" i="17"/>
  <c r="H683" i="17"/>
  <c r="I683" i="17"/>
  <c r="J683" i="17"/>
  <c r="K683" i="17"/>
  <c r="L683" i="17"/>
  <c r="M683" i="17"/>
  <c r="H684" i="17"/>
  <c r="I684" i="17"/>
  <c r="J684" i="17"/>
  <c r="K684" i="17"/>
  <c r="L684" i="17"/>
  <c r="M684" i="17"/>
  <c r="H685" i="17"/>
  <c r="I685" i="17"/>
  <c r="J685" i="17"/>
  <c r="K685" i="17"/>
  <c r="L685" i="17"/>
  <c r="M685" i="17"/>
  <c r="H686" i="17"/>
  <c r="I686" i="17"/>
  <c r="J686" i="17"/>
  <c r="K686" i="17"/>
  <c r="L686" i="17"/>
  <c r="M686" i="17"/>
  <c r="H687" i="17"/>
  <c r="I687" i="17"/>
  <c r="J687" i="17"/>
  <c r="K687" i="17"/>
  <c r="L687" i="17"/>
  <c r="M687" i="17"/>
  <c r="H688" i="17"/>
  <c r="I688" i="17"/>
  <c r="J688" i="17"/>
  <c r="K688" i="17"/>
  <c r="L688" i="17"/>
  <c r="M688" i="17"/>
  <c r="H689" i="17"/>
  <c r="I689" i="17"/>
  <c r="J689" i="17"/>
  <c r="K689" i="17"/>
  <c r="L689" i="17"/>
  <c r="M689" i="17"/>
  <c r="H690" i="17"/>
  <c r="I690" i="17"/>
  <c r="J690" i="17"/>
  <c r="K690" i="17"/>
  <c r="L690" i="17"/>
  <c r="M690" i="17"/>
  <c r="H691" i="17"/>
  <c r="I691" i="17"/>
  <c r="J691" i="17"/>
  <c r="K691" i="17"/>
  <c r="L691" i="17"/>
  <c r="M691" i="17"/>
  <c r="H692" i="17"/>
  <c r="I692" i="17"/>
  <c r="J692" i="17"/>
  <c r="K692" i="17"/>
  <c r="L692" i="17"/>
  <c r="M692" i="17"/>
  <c r="H693" i="17"/>
  <c r="I693" i="17"/>
  <c r="J693" i="17"/>
  <c r="K693" i="17"/>
  <c r="L693" i="17"/>
  <c r="M693" i="17"/>
  <c r="H694" i="17"/>
  <c r="I694" i="17"/>
  <c r="J694" i="17"/>
  <c r="K694" i="17"/>
  <c r="L694" i="17"/>
  <c r="M694" i="17"/>
  <c r="H695" i="17"/>
  <c r="I695" i="17"/>
  <c r="J695" i="17"/>
  <c r="K695" i="17"/>
  <c r="L695" i="17"/>
  <c r="M695" i="17"/>
  <c r="H696" i="17"/>
  <c r="I696" i="17"/>
  <c r="J696" i="17"/>
  <c r="K696" i="17"/>
  <c r="L696" i="17"/>
  <c r="M696" i="17"/>
  <c r="H697" i="17"/>
  <c r="I697" i="17"/>
  <c r="J697" i="17"/>
  <c r="K697" i="17"/>
  <c r="L697" i="17"/>
  <c r="M697" i="17"/>
  <c r="H698" i="17"/>
  <c r="I698" i="17"/>
  <c r="J698" i="17"/>
  <c r="K698" i="17"/>
  <c r="L698" i="17"/>
  <c r="M698" i="17"/>
  <c r="H699" i="17"/>
  <c r="I699" i="17"/>
  <c r="J699" i="17"/>
  <c r="K699" i="17"/>
  <c r="L699" i="17"/>
  <c r="M699" i="17"/>
  <c r="H700" i="17"/>
  <c r="I700" i="17"/>
  <c r="J700" i="17"/>
  <c r="K700" i="17"/>
  <c r="L700" i="17"/>
  <c r="M700" i="17"/>
  <c r="H701" i="17"/>
  <c r="I701" i="17"/>
  <c r="J701" i="17"/>
  <c r="K701" i="17"/>
  <c r="L701" i="17"/>
  <c r="M701" i="17"/>
  <c r="H702" i="17"/>
  <c r="I702" i="17"/>
  <c r="J702" i="17"/>
  <c r="K702" i="17"/>
  <c r="L702" i="17"/>
  <c r="M702" i="17"/>
  <c r="H703" i="17"/>
  <c r="I703" i="17"/>
  <c r="J703" i="17"/>
  <c r="K703" i="17"/>
  <c r="L703" i="17"/>
  <c r="M703" i="17"/>
  <c r="H704" i="17"/>
  <c r="I704" i="17"/>
  <c r="J704" i="17"/>
  <c r="K704" i="17"/>
  <c r="L704" i="17"/>
  <c r="M704" i="17"/>
  <c r="H705" i="17"/>
  <c r="I705" i="17"/>
  <c r="J705" i="17"/>
  <c r="K705" i="17"/>
  <c r="L705" i="17"/>
  <c r="M705" i="17"/>
  <c r="H706" i="17"/>
  <c r="I706" i="17"/>
  <c r="J706" i="17"/>
  <c r="K706" i="17"/>
  <c r="L706" i="17"/>
  <c r="M706" i="17"/>
  <c r="H707" i="17"/>
  <c r="I707" i="17"/>
  <c r="J707" i="17"/>
  <c r="K707" i="17"/>
  <c r="L707" i="17"/>
  <c r="M707" i="17"/>
  <c r="H708" i="17"/>
  <c r="I708" i="17"/>
  <c r="J708" i="17"/>
  <c r="K708" i="17"/>
  <c r="L708" i="17"/>
  <c r="M708" i="17"/>
  <c r="H709" i="17"/>
  <c r="I709" i="17"/>
  <c r="J709" i="17"/>
  <c r="K709" i="17"/>
  <c r="L709" i="17"/>
  <c r="M709" i="17"/>
  <c r="H710" i="17"/>
  <c r="I710" i="17"/>
  <c r="J710" i="17"/>
  <c r="K710" i="17"/>
  <c r="L710" i="17"/>
  <c r="M710" i="17"/>
  <c r="H711" i="17"/>
  <c r="I711" i="17"/>
  <c r="J711" i="17"/>
  <c r="K711" i="17"/>
  <c r="L711" i="17"/>
  <c r="M711" i="17"/>
  <c r="H712" i="17"/>
  <c r="I712" i="17"/>
  <c r="J712" i="17"/>
  <c r="K712" i="17"/>
  <c r="L712" i="17"/>
  <c r="M712" i="17"/>
  <c r="H713" i="17"/>
  <c r="I713" i="17"/>
  <c r="J713" i="17"/>
  <c r="K713" i="17"/>
  <c r="L713" i="17"/>
  <c r="M713" i="17"/>
  <c r="H714" i="17"/>
  <c r="I714" i="17"/>
  <c r="J714" i="17"/>
  <c r="K714" i="17"/>
  <c r="L714" i="17"/>
  <c r="M714" i="17"/>
  <c r="H715" i="17"/>
  <c r="I715" i="17"/>
  <c r="J715" i="17"/>
  <c r="K715" i="17"/>
  <c r="L715" i="17"/>
  <c r="M715" i="17"/>
  <c r="H3" i="17"/>
  <c r="I3" i="17"/>
  <c r="J3" i="17"/>
  <c r="K3" i="17"/>
  <c r="L3" i="17"/>
  <c r="M3" i="17"/>
  <c r="H4" i="17"/>
  <c r="I4" i="17"/>
  <c r="J4" i="17"/>
  <c r="K4" i="17"/>
  <c r="L4" i="17"/>
  <c r="M4" i="17"/>
  <c r="H5" i="17"/>
  <c r="I5" i="17"/>
  <c r="J5" i="17"/>
  <c r="K5" i="17"/>
  <c r="L5" i="17"/>
  <c r="M5" i="17"/>
  <c r="H6" i="17"/>
  <c r="I6" i="17"/>
  <c r="J6" i="17"/>
  <c r="K6" i="17"/>
  <c r="L6" i="17"/>
  <c r="M6" i="17"/>
  <c r="H7" i="17"/>
  <c r="I7" i="17"/>
  <c r="J7" i="17"/>
  <c r="K7" i="17"/>
  <c r="L7" i="17"/>
  <c r="M7" i="17"/>
  <c r="H8" i="17"/>
  <c r="I8" i="17"/>
  <c r="J8" i="17"/>
  <c r="K8" i="17"/>
  <c r="L8" i="17"/>
  <c r="M8" i="17"/>
  <c r="H9" i="17"/>
  <c r="I9" i="17"/>
  <c r="J9" i="17"/>
  <c r="K9" i="17"/>
  <c r="L9" i="17"/>
  <c r="M9" i="17"/>
  <c r="H10" i="17"/>
  <c r="I10" i="17"/>
  <c r="J10" i="17"/>
  <c r="K10" i="17"/>
  <c r="L10" i="17"/>
  <c r="M10" i="17"/>
  <c r="H11" i="17"/>
  <c r="I11" i="17"/>
  <c r="J11" i="17"/>
  <c r="K11" i="17"/>
  <c r="L11" i="17"/>
  <c r="M11" i="17"/>
  <c r="H12" i="17"/>
  <c r="I12" i="17"/>
  <c r="J12" i="17"/>
  <c r="K12" i="17"/>
  <c r="L12" i="17"/>
  <c r="M12" i="17"/>
  <c r="H13" i="17"/>
  <c r="I13" i="17"/>
  <c r="J13" i="17"/>
  <c r="K13" i="17"/>
  <c r="L13" i="17"/>
  <c r="M13" i="17"/>
  <c r="H14" i="17"/>
  <c r="I14" i="17"/>
  <c r="J14" i="17"/>
  <c r="K14" i="17"/>
  <c r="L14" i="17"/>
  <c r="M14" i="17"/>
  <c r="H15" i="17"/>
  <c r="I15" i="17"/>
  <c r="J15" i="17"/>
  <c r="K15" i="17"/>
  <c r="L15" i="17"/>
  <c r="M15" i="17"/>
  <c r="H16" i="17"/>
  <c r="I16" i="17"/>
  <c r="J16" i="17"/>
  <c r="K16" i="17"/>
  <c r="L16" i="17"/>
  <c r="M16" i="17"/>
  <c r="H17" i="17"/>
  <c r="I17" i="17"/>
  <c r="J17" i="17"/>
  <c r="K17" i="17"/>
  <c r="L17" i="17"/>
  <c r="M17" i="17"/>
  <c r="H18" i="17"/>
  <c r="I18" i="17"/>
  <c r="J18" i="17"/>
  <c r="K18" i="17"/>
  <c r="L18" i="17"/>
  <c r="M18" i="17"/>
  <c r="H19" i="17"/>
  <c r="I19" i="17"/>
  <c r="J19" i="17"/>
  <c r="K19" i="17"/>
  <c r="L19" i="17"/>
  <c r="M19" i="17"/>
  <c r="H20" i="17"/>
  <c r="I20" i="17"/>
  <c r="J20" i="17"/>
  <c r="K20" i="17"/>
  <c r="L20" i="17"/>
  <c r="M20" i="17"/>
  <c r="H21" i="17"/>
  <c r="I21" i="17"/>
  <c r="J21" i="17"/>
  <c r="K21" i="17"/>
  <c r="L21" i="17"/>
  <c r="M21" i="17"/>
  <c r="H22" i="17"/>
  <c r="I22" i="17"/>
  <c r="J22" i="17"/>
  <c r="K22" i="17"/>
  <c r="L22" i="17"/>
  <c r="M22" i="17"/>
  <c r="H23" i="17"/>
  <c r="I23" i="17"/>
  <c r="J23" i="17"/>
  <c r="K23" i="17"/>
  <c r="L23" i="17"/>
  <c r="M23" i="17"/>
  <c r="H24" i="17"/>
  <c r="I24" i="17"/>
  <c r="J24" i="17"/>
  <c r="K24" i="17"/>
  <c r="L24" i="17"/>
  <c r="M24" i="17"/>
  <c r="N24" i="17"/>
  <c r="H25" i="17"/>
  <c r="I25" i="17"/>
  <c r="J25" i="17"/>
  <c r="K25" i="17"/>
  <c r="L25" i="17"/>
  <c r="M25" i="17"/>
  <c r="N25" i="17"/>
  <c r="H26" i="17"/>
  <c r="I26" i="17"/>
  <c r="J26" i="17"/>
  <c r="K26" i="17"/>
  <c r="L26" i="17"/>
  <c r="M26" i="17"/>
  <c r="N26" i="17"/>
  <c r="H27" i="17"/>
  <c r="I27" i="17"/>
  <c r="J27" i="17"/>
  <c r="K27" i="17"/>
  <c r="L27" i="17"/>
  <c r="M27" i="17"/>
  <c r="N27" i="17"/>
  <c r="H28" i="17"/>
  <c r="I28" i="17"/>
  <c r="J28" i="17"/>
  <c r="K28" i="17"/>
  <c r="L28" i="17"/>
  <c r="M28" i="17"/>
  <c r="H29" i="17"/>
  <c r="I29" i="17"/>
  <c r="J29" i="17"/>
  <c r="K29" i="17"/>
  <c r="L29" i="17"/>
  <c r="M29" i="17"/>
  <c r="H30" i="17"/>
  <c r="I30" i="17"/>
  <c r="J30" i="17"/>
  <c r="K30" i="17"/>
  <c r="L30" i="17"/>
  <c r="M30" i="17"/>
  <c r="H31" i="17"/>
  <c r="I31" i="17"/>
  <c r="J31" i="17"/>
  <c r="K31" i="17"/>
  <c r="L31" i="17"/>
  <c r="M31" i="17"/>
  <c r="H32" i="17"/>
  <c r="I32" i="17"/>
  <c r="J32" i="17"/>
  <c r="K32" i="17"/>
  <c r="L32" i="17"/>
  <c r="M32" i="17"/>
  <c r="H33" i="17"/>
  <c r="I33" i="17"/>
  <c r="J33" i="17"/>
  <c r="K33" i="17"/>
  <c r="L33" i="17"/>
  <c r="M33" i="17"/>
  <c r="H34" i="17"/>
  <c r="I34" i="17"/>
  <c r="J34" i="17"/>
  <c r="K34" i="17"/>
  <c r="L34" i="17"/>
  <c r="M34" i="17"/>
  <c r="H35" i="17"/>
  <c r="I35" i="17"/>
  <c r="J35" i="17"/>
  <c r="K35" i="17"/>
  <c r="L35" i="17"/>
  <c r="M35" i="17"/>
  <c r="H36" i="17"/>
  <c r="I36" i="17"/>
  <c r="J36" i="17"/>
  <c r="K36" i="17"/>
  <c r="L36" i="17"/>
  <c r="M36" i="17"/>
  <c r="H37" i="17"/>
  <c r="I37" i="17"/>
  <c r="J37" i="17"/>
  <c r="K37" i="17"/>
  <c r="L37" i="17"/>
  <c r="M37" i="17"/>
  <c r="H38" i="17"/>
  <c r="I38" i="17"/>
  <c r="J38" i="17"/>
  <c r="K38" i="17"/>
  <c r="L38" i="17"/>
  <c r="M38" i="17"/>
  <c r="H39" i="17"/>
  <c r="I39" i="17"/>
  <c r="J39" i="17"/>
  <c r="K39" i="17"/>
  <c r="L39" i="17"/>
  <c r="M39" i="17"/>
  <c r="H40" i="17"/>
  <c r="I40" i="17"/>
  <c r="J40" i="17"/>
  <c r="K40" i="17"/>
  <c r="L40" i="17"/>
  <c r="M40" i="17"/>
  <c r="H41" i="17"/>
  <c r="I41" i="17"/>
  <c r="J41" i="17"/>
  <c r="K41" i="17"/>
  <c r="L41" i="17"/>
  <c r="M41" i="17"/>
  <c r="H42" i="17"/>
  <c r="I42" i="17"/>
  <c r="J42" i="17"/>
  <c r="K42" i="17"/>
  <c r="L42" i="17"/>
  <c r="M42" i="17"/>
  <c r="H43" i="17"/>
  <c r="I43" i="17"/>
  <c r="J43" i="17"/>
  <c r="K43" i="17"/>
  <c r="L43" i="17"/>
  <c r="M43" i="17"/>
  <c r="H44" i="17"/>
  <c r="I44" i="17"/>
  <c r="J44" i="17"/>
  <c r="K44" i="17"/>
  <c r="L44" i="17"/>
  <c r="M44" i="17"/>
  <c r="H45" i="17"/>
  <c r="I45" i="17"/>
  <c r="J45" i="17"/>
  <c r="K45" i="17"/>
  <c r="L45" i="17"/>
  <c r="M45" i="17"/>
  <c r="H46" i="17"/>
  <c r="I46" i="17"/>
  <c r="J46" i="17"/>
  <c r="K46" i="17"/>
  <c r="L46" i="17"/>
  <c r="M46" i="17"/>
  <c r="H47" i="17"/>
  <c r="I47" i="17"/>
  <c r="J47" i="17"/>
  <c r="K47" i="17"/>
  <c r="L47" i="17"/>
  <c r="M47" i="17"/>
  <c r="H48" i="17"/>
  <c r="I48" i="17"/>
  <c r="J48" i="17"/>
  <c r="K48" i="17"/>
  <c r="L48" i="17"/>
  <c r="M48" i="17"/>
  <c r="H49" i="17"/>
  <c r="I49" i="17"/>
  <c r="J49" i="17"/>
  <c r="K49" i="17"/>
  <c r="L49" i="17"/>
  <c r="M49" i="17"/>
  <c r="H50" i="17"/>
  <c r="I50" i="17"/>
  <c r="J50" i="17"/>
  <c r="K50" i="17"/>
  <c r="L50" i="17"/>
  <c r="M50" i="17"/>
  <c r="H51" i="17"/>
  <c r="I51" i="17"/>
  <c r="J51" i="17"/>
  <c r="K51" i="17"/>
  <c r="L51" i="17"/>
  <c r="M51" i="17"/>
  <c r="H52" i="17"/>
  <c r="I52" i="17"/>
  <c r="J52" i="17"/>
  <c r="K52" i="17"/>
  <c r="L52" i="17"/>
  <c r="M52" i="17"/>
  <c r="H53" i="17"/>
  <c r="I53" i="17"/>
  <c r="J53" i="17"/>
  <c r="K53" i="17"/>
  <c r="L53" i="17"/>
  <c r="M53" i="17"/>
  <c r="H54" i="17"/>
  <c r="I54" i="17"/>
  <c r="J54" i="17"/>
  <c r="K54" i="17"/>
  <c r="L54" i="17"/>
  <c r="M54" i="17"/>
  <c r="H55" i="17"/>
  <c r="I55" i="17"/>
  <c r="J55" i="17"/>
  <c r="K55" i="17"/>
  <c r="L55" i="17"/>
  <c r="M55" i="17"/>
  <c r="H56" i="17"/>
  <c r="I56" i="17"/>
  <c r="J56" i="17"/>
  <c r="K56" i="17"/>
  <c r="L56" i="17"/>
  <c r="M56" i="17"/>
  <c r="H57" i="17"/>
  <c r="I57" i="17"/>
  <c r="J57" i="17"/>
  <c r="K57" i="17"/>
  <c r="L57" i="17"/>
  <c r="M57" i="17"/>
  <c r="H58" i="17"/>
  <c r="I58" i="17"/>
  <c r="J58" i="17"/>
  <c r="K58" i="17"/>
  <c r="L58" i="17"/>
  <c r="M58" i="17"/>
  <c r="H59" i="17"/>
  <c r="I59" i="17"/>
  <c r="J59" i="17"/>
  <c r="K59" i="17"/>
  <c r="L59" i="17"/>
  <c r="M59" i="17"/>
  <c r="H60" i="17"/>
  <c r="I60" i="17"/>
  <c r="J60" i="17"/>
  <c r="K60" i="17"/>
  <c r="L60" i="17"/>
  <c r="M60" i="17"/>
  <c r="H61" i="17"/>
  <c r="I61" i="17"/>
  <c r="J61" i="17"/>
  <c r="K61" i="17"/>
  <c r="L61" i="17"/>
  <c r="M61" i="17"/>
  <c r="H62" i="17"/>
  <c r="I62" i="17"/>
  <c r="J62" i="17"/>
  <c r="K62" i="17"/>
  <c r="L62" i="17"/>
  <c r="M62" i="17"/>
  <c r="H63" i="17"/>
  <c r="I63" i="17"/>
  <c r="J63" i="17"/>
  <c r="K63" i="17"/>
  <c r="L63" i="17"/>
  <c r="M63" i="17"/>
  <c r="H64" i="17"/>
  <c r="I64" i="17"/>
  <c r="J64" i="17"/>
  <c r="K64" i="17"/>
  <c r="L64" i="17"/>
  <c r="M64" i="17"/>
  <c r="H65" i="17"/>
  <c r="I65" i="17"/>
  <c r="J65" i="17"/>
  <c r="K65" i="17"/>
  <c r="L65" i="17"/>
  <c r="M65" i="17"/>
  <c r="H66" i="17"/>
  <c r="I66" i="17"/>
  <c r="J66" i="17"/>
  <c r="K66" i="17"/>
  <c r="L66" i="17"/>
  <c r="M66" i="17"/>
  <c r="H67" i="17"/>
  <c r="I67" i="17"/>
  <c r="J67" i="17"/>
  <c r="K67" i="17"/>
  <c r="L67" i="17"/>
  <c r="M67" i="17"/>
  <c r="H68" i="17"/>
  <c r="I68" i="17"/>
  <c r="J68" i="17"/>
  <c r="K68" i="17"/>
  <c r="L68" i="17"/>
  <c r="M68" i="17"/>
  <c r="H69" i="17"/>
  <c r="I69" i="17"/>
  <c r="J69" i="17"/>
  <c r="K69" i="17"/>
  <c r="L69" i="17"/>
  <c r="M69" i="17"/>
  <c r="H70" i="17"/>
  <c r="I70" i="17"/>
  <c r="J70" i="17"/>
  <c r="K70" i="17"/>
  <c r="L70" i="17"/>
  <c r="M70" i="17"/>
  <c r="H71" i="17"/>
  <c r="I71" i="17"/>
  <c r="J71" i="17"/>
  <c r="K71" i="17"/>
  <c r="L71" i="17"/>
  <c r="M71" i="17"/>
  <c r="H72" i="17"/>
  <c r="I72" i="17"/>
  <c r="J72" i="17"/>
  <c r="K72" i="17"/>
  <c r="L72" i="17"/>
  <c r="M72" i="17"/>
  <c r="H73" i="17"/>
  <c r="I73" i="17"/>
  <c r="J73" i="17"/>
  <c r="K73" i="17"/>
  <c r="L73" i="17"/>
  <c r="M73" i="17"/>
  <c r="H74" i="17"/>
  <c r="I74" i="17"/>
  <c r="J74" i="17"/>
  <c r="K74" i="17"/>
  <c r="L74" i="17"/>
  <c r="M74" i="17"/>
  <c r="H75" i="17"/>
  <c r="I75" i="17"/>
  <c r="J75" i="17"/>
  <c r="K75" i="17"/>
  <c r="L75" i="17"/>
  <c r="M75" i="17"/>
  <c r="H76" i="17"/>
  <c r="I76" i="17"/>
  <c r="J76" i="17"/>
  <c r="K76" i="17"/>
  <c r="L76" i="17"/>
  <c r="M76" i="17"/>
  <c r="H77" i="17"/>
  <c r="I77" i="17"/>
  <c r="J77" i="17"/>
  <c r="K77" i="17"/>
  <c r="L77" i="17"/>
  <c r="M77" i="17"/>
  <c r="H78" i="17"/>
  <c r="I78" i="17"/>
  <c r="J78" i="17"/>
  <c r="K78" i="17"/>
  <c r="L78" i="17"/>
  <c r="M78" i="17"/>
  <c r="H79" i="17"/>
  <c r="I79" i="17"/>
  <c r="J79" i="17"/>
  <c r="K79" i="17"/>
  <c r="L79" i="17"/>
  <c r="M79" i="17"/>
  <c r="H80" i="17"/>
  <c r="I80" i="17"/>
  <c r="J80" i="17"/>
  <c r="K80" i="17"/>
  <c r="L80" i="17"/>
  <c r="M80" i="17"/>
  <c r="H81" i="17"/>
  <c r="I81" i="17"/>
  <c r="J81" i="17"/>
  <c r="K81" i="17"/>
  <c r="L81" i="17"/>
  <c r="M81" i="17"/>
  <c r="H82" i="17"/>
  <c r="I82" i="17"/>
  <c r="J82" i="17"/>
  <c r="K82" i="17"/>
  <c r="L82" i="17"/>
  <c r="M82" i="17"/>
  <c r="H83" i="17"/>
  <c r="I83" i="17"/>
  <c r="J83" i="17"/>
  <c r="K83" i="17"/>
  <c r="L83" i="17"/>
  <c r="M83" i="17"/>
  <c r="H84" i="17"/>
  <c r="I84" i="17"/>
  <c r="J84" i="17"/>
  <c r="K84" i="17"/>
  <c r="L84" i="17"/>
  <c r="M84" i="17"/>
  <c r="H85" i="17"/>
  <c r="I85" i="17"/>
  <c r="J85" i="17"/>
  <c r="K85" i="17"/>
  <c r="L85" i="17"/>
  <c r="M85" i="17"/>
  <c r="H86" i="17"/>
  <c r="I86" i="17"/>
  <c r="J86" i="17"/>
  <c r="K86" i="17"/>
  <c r="L86" i="17"/>
  <c r="M86" i="17"/>
  <c r="H87" i="17"/>
  <c r="I87" i="17"/>
  <c r="J87" i="17"/>
  <c r="K87" i="17"/>
  <c r="L87" i="17"/>
  <c r="M87" i="17"/>
  <c r="H88" i="17"/>
  <c r="I88" i="17"/>
  <c r="J88" i="17"/>
  <c r="K88" i="17"/>
  <c r="L88" i="17"/>
  <c r="M88" i="17"/>
  <c r="H89" i="17"/>
  <c r="I89" i="17"/>
  <c r="J89" i="17"/>
  <c r="K89" i="17"/>
  <c r="L89" i="17"/>
  <c r="M89" i="17"/>
  <c r="H90" i="17"/>
  <c r="I90" i="17"/>
  <c r="J90" i="17"/>
  <c r="K90" i="17"/>
  <c r="L90" i="17"/>
  <c r="M90" i="17"/>
  <c r="H91" i="17"/>
  <c r="I91" i="17"/>
  <c r="J91" i="17"/>
  <c r="K91" i="17"/>
  <c r="L91" i="17"/>
  <c r="M91" i="17"/>
  <c r="H92" i="17"/>
  <c r="I92" i="17"/>
  <c r="J92" i="17"/>
  <c r="K92" i="17"/>
  <c r="L92" i="17"/>
  <c r="M92" i="17"/>
  <c r="H93" i="17"/>
  <c r="I93" i="17"/>
  <c r="J93" i="17"/>
  <c r="K93" i="17"/>
  <c r="L93" i="17"/>
  <c r="M93" i="17"/>
  <c r="H94" i="17"/>
  <c r="I94" i="17"/>
  <c r="J94" i="17"/>
  <c r="K94" i="17"/>
  <c r="L94" i="17"/>
  <c r="M94" i="17"/>
  <c r="H95" i="17"/>
  <c r="I95" i="17"/>
  <c r="J95" i="17"/>
  <c r="K95" i="17"/>
  <c r="L95" i="17"/>
  <c r="M95" i="17"/>
  <c r="H96" i="17"/>
  <c r="I96" i="17"/>
  <c r="J96" i="17"/>
  <c r="K96" i="17"/>
  <c r="L96" i="17"/>
  <c r="M96" i="17"/>
  <c r="H97" i="17"/>
  <c r="I97" i="17"/>
  <c r="J97" i="17"/>
  <c r="K97" i="17"/>
  <c r="L97" i="17"/>
  <c r="M97" i="17"/>
  <c r="H98" i="17"/>
  <c r="I98" i="17"/>
  <c r="J98" i="17"/>
  <c r="K98" i="17"/>
  <c r="L98" i="17"/>
  <c r="M98" i="17"/>
  <c r="H99" i="17"/>
  <c r="I99" i="17"/>
  <c r="J99" i="17"/>
  <c r="K99" i="17"/>
  <c r="L99" i="17"/>
  <c r="M99" i="17"/>
  <c r="H100" i="17"/>
  <c r="I100" i="17"/>
  <c r="J100" i="17"/>
  <c r="K100" i="17"/>
  <c r="L100" i="17"/>
  <c r="M100" i="17"/>
  <c r="H101" i="17"/>
  <c r="I101" i="17"/>
  <c r="J101" i="17"/>
  <c r="K101" i="17"/>
  <c r="L101" i="17"/>
  <c r="M101" i="17"/>
  <c r="H102" i="17"/>
  <c r="I102" i="17"/>
  <c r="J102" i="17"/>
  <c r="K102" i="17"/>
  <c r="L102" i="17"/>
  <c r="M102" i="17"/>
  <c r="H103" i="17"/>
  <c r="I103" i="17"/>
  <c r="J103" i="17"/>
  <c r="K103" i="17"/>
  <c r="L103" i="17"/>
  <c r="M103" i="17"/>
  <c r="H104" i="17"/>
  <c r="I104" i="17"/>
  <c r="J104" i="17"/>
  <c r="K104" i="17"/>
  <c r="L104" i="17"/>
  <c r="M104" i="17"/>
  <c r="H105" i="17"/>
  <c r="I105" i="17"/>
  <c r="J105" i="17"/>
  <c r="K105" i="17"/>
  <c r="L105" i="17"/>
  <c r="M105" i="17"/>
  <c r="H106" i="17"/>
  <c r="I106" i="17"/>
  <c r="J106" i="17"/>
  <c r="K106" i="17"/>
  <c r="L106" i="17"/>
  <c r="M106" i="17"/>
  <c r="H107" i="17"/>
  <c r="I107" i="17"/>
  <c r="J107" i="17"/>
  <c r="K107" i="17"/>
  <c r="L107" i="17"/>
  <c r="M107" i="17"/>
  <c r="H108" i="17"/>
  <c r="I108" i="17"/>
  <c r="J108" i="17"/>
  <c r="K108" i="17"/>
  <c r="L108" i="17"/>
  <c r="M108" i="17"/>
  <c r="H109" i="17"/>
  <c r="I109" i="17"/>
  <c r="J109" i="17"/>
  <c r="K109" i="17"/>
  <c r="L109" i="17"/>
  <c r="M109" i="17"/>
  <c r="H110" i="17"/>
  <c r="I110" i="17"/>
  <c r="J110" i="17"/>
  <c r="K110" i="17"/>
  <c r="L110" i="17"/>
  <c r="M110" i="17"/>
  <c r="H111" i="17"/>
  <c r="I111" i="17"/>
  <c r="J111" i="17"/>
  <c r="K111" i="17"/>
  <c r="L111" i="17"/>
  <c r="M111" i="17"/>
  <c r="H112" i="17"/>
  <c r="I112" i="17"/>
  <c r="J112" i="17"/>
  <c r="K112" i="17"/>
  <c r="L112" i="17"/>
  <c r="M112" i="17"/>
  <c r="H113" i="17"/>
  <c r="I113" i="17"/>
  <c r="J113" i="17"/>
  <c r="K113" i="17"/>
  <c r="L113" i="17"/>
  <c r="M113" i="17"/>
  <c r="H114" i="17"/>
  <c r="I114" i="17"/>
  <c r="J114" i="17"/>
  <c r="K114" i="17"/>
  <c r="L114" i="17"/>
  <c r="M114" i="17"/>
  <c r="H115" i="17"/>
  <c r="I115" i="17"/>
  <c r="J115" i="17"/>
  <c r="K115" i="17"/>
  <c r="L115" i="17"/>
  <c r="M115" i="17"/>
  <c r="H116" i="17"/>
  <c r="I116" i="17"/>
  <c r="J116" i="17"/>
  <c r="K116" i="17"/>
  <c r="L116" i="17"/>
  <c r="M116" i="17"/>
  <c r="H117" i="17"/>
  <c r="I117" i="17"/>
  <c r="J117" i="17"/>
  <c r="K117" i="17"/>
  <c r="L117" i="17"/>
  <c r="M117" i="17"/>
  <c r="H118" i="17"/>
  <c r="I118" i="17"/>
  <c r="H119" i="17"/>
  <c r="I119" i="17"/>
  <c r="J119" i="17"/>
  <c r="K119" i="17"/>
  <c r="L119" i="17"/>
  <c r="M119" i="17"/>
  <c r="H120" i="17"/>
  <c r="I120" i="17"/>
  <c r="J120" i="17"/>
  <c r="K120" i="17"/>
  <c r="L120" i="17"/>
  <c r="M120" i="17"/>
  <c r="H121" i="17"/>
  <c r="I121" i="17"/>
  <c r="J121" i="17"/>
  <c r="K121" i="17"/>
  <c r="L121" i="17"/>
  <c r="M121" i="17"/>
  <c r="H122" i="17"/>
  <c r="I122" i="17"/>
  <c r="J122" i="17"/>
  <c r="K122" i="17"/>
  <c r="L122" i="17"/>
  <c r="M122" i="17"/>
  <c r="H123" i="17"/>
  <c r="I123" i="17"/>
  <c r="J123" i="17"/>
  <c r="K123" i="17"/>
  <c r="L123" i="17"/>
  <c r="M123" i="17"/>
  <c r="H124" i="17"/>
  <c r="I124" i="17"/>
  <c r="J124" i="17"/>
  <c r="K124" i="17"/>
  <c r="L124" i="17"/>
  <c r="M124" i="17"/>
  <c r="H125" i="17"/>
  <c r="I125" i="17"/>
  <c r="J125" i="17"/>
  <c r="K125" i="17"/>
  <c r="L125" i="17"/>
  <c r="M125" i="17"/>
  <c r="H126" i="17"/>
  <c r="I126" i="17"/>
  <c r="J126" i="17"/>
  <c r="K126" i="17"/>
  <c r="L126" i="17"/>
  <c r="M126" i="17"/>
  <c r="H127" i="17"/>
  <c r="I127" i="17"/>
  <c r="J127" i="17"/>
  <c r="K127" i="17"/>
  <c r="L127" i="17"/>
  <c r="M127" i="17"/>
  <c r="H128" i="17"/>
  <c r="I128" i="17"/>
  <c r="J128" i="17"/>
  <c r="K128" i="17"/>
  <c r="L128" i="17"/>
  <c r="M128" i="17"/>
  <c r="H129" i="17"/>
  <c r="I129" i="17"/>
  <c r="J129" i="17"/>
  <c r="K129" i="17"/>
  <c r="L129" i="17"/>
  <c r="M129" i="17"/>
  <c r="H130" i="17"/>
  <c r="I130" i="17"/>
  <c r="J130" i="17"/>
  <c r="K130" i="17"/>
  <c r="L130" i="17"/>
  <c r="M130" i="17"/>
  <c r="H131" i="17"/>
  <c r="I131" i="17"/>
  <c r="J131" i="17"/>
  <c r="K131" i="17"/>
  <c r="L131" i="17"/>
  <c r="M131" i="17"/>
  <c r="H132" i="17"/>
  <c r="I132" i="17"/>
  <c r="J132" i="17"/>
  <c r="K132" i="17"/>
  <c r="L132" i="17"/>
  <c r="M132" i="17"/>
  <c r="H133" i="17"/>
  <c r="I133" i="17"/>
  <c r="J133" i="17"/>
  <c r="K133" i="17"/>
  <c r="L133" i="17"/>
  <c r="M133" i="17"/>
  <c r="H134" i="17"/>
  <c r="I134" i="17"/>
  <c r="J134" i="17"/>
  <c r="K134" i="17"/>
  <c r="L134" i="17"/>
  <c r="M134" i="17"/>
  <c r="H135" i="17"/>
  <c r="I135" i="17"/>
  <c r="J135" i="17"/>
  <c r="K135" i="17"/>
  <c r="L135" i="17"/>
  <c r="M135" i="17"/>
  <c r="H136" i="17"/>
  <c r="I136" i="17"/>
  <c r="J136" i="17"/>
  <c r="K136" i="17"/>
  <c r="L136" i="17"/>
  <c r="M136" i="17"/>
  <c r="H137" i="17"/>
  <c r="I137" i="17"/>
  <c r="J137" i="17"/>
  <c r="K137" i="17"/>
  <c r="L137" i="17"/>
  <c r="M137" i="17"/>
  <c r="H138" i="17"/>
  <c r="I138" i="17"/>
  <c r="J138" i="17"/>
  <c r="K138" i="17"/>
  <c r="L138" i="17"/>
  <c r="M138" i="17"/>
  <c r="H139" i="17"/>
  <c r="I139" i="17"/>
  <c r="J139" i="17"/>
  <c r="K139" i="17"/>
  <c r="L139" i="17"/>
  <c r="M139" i="17"/>
  <c r="H140" i="17"/>
  <c r="I140" i="17"/>
  <c r="J140" i="17"/>
  <c r="K140" i="17"/>
  <c r="L140" i="17"/>
  <c r="M140" i="17"/>
  <c r="H141" i="17"/>
  <c r="I141" i="17"/>
  <c r="J141" i="17"/>
  <c r="K141" i="17"/>
  <c r="L141" i="17"/>
  <c r="M141" i="17"/>
  <c r="H142" i="17"/>
  <c r="I142" i="17"/>
  <c r="J142" i="17"/>
  <c r="K142" i="17"/>
  <c r="L142" i="17"/>
  <c r="M142" i="17"/>
  <c r="H143" i="17"/>
  <c r="I143" i="17"/>
  <c r="J143" i="17"/>
  <c r="K143" i="17"/>
  <c r="L143" i="17"/>
  <c r="M143" i="17"/>
  <c r="H144" i="17"/>
  <c r="I144" i="17"/>
  <c r="J144" i="17"/>
  <c r="K144" i="17"/>
  <c r="L144" i="17"/>
  <c r="M144" i="17"/>
  <c r="H145" i="17"/>
  <c r="I145" i="17"/>
  <c r="J145" i="17"/>
  <c r="K145" i="17"/>
  <c r="L145" i="17"/>
  <c r="M145" i="17"/>
  <c r="H146" i="17"/>
  <c r="I146" i="17"/>
  <c r="J146" i="17"/>
  <c r="K146" i="17"/>
  <c r="L146" i="17"/>
  <c r="M146" i="17"/>
  <c r="N146" i="17"/>
  <c r="H147" i="17"/>
  <c r="I147" i="17"/>
  <c r="J147" i="17"/>
  <c r="K147" i="17"/>
  <c r="L147" i="17"/>
  <c r="M147" i="17"/>
  <c r="H148" i="17"/>
  <c r="I148" i="17"/>
  <c r="J148" i="17"/>
  <c r="K148" i="17"/>
  <c r="L148" i="17"/>
  <c r="M148" i="17"/>
  <c r="H149" i="17"/>
  <c r="I149" i="17"/>
  <c r="J149" i="17"/>
  <c r="K149" i="17"/>
  <c r="L149" i="17"/>
  <c r="M149" i="17"/>
  <c r="N149" i="17"/>
  <c r="H150" i="17"/>
  <c r="I150" i="17"/>
  <c r="J150" i="17"/>
  <c r="K150" i="17"/>
  <c r="L150" i="17"/>
  <c r="M150" i="17"/>
  <c r="N150" i="17"/>
  <c r="H151" i="17"/>
  <c r="I151" i="17"/>
  <c r="J151" i="17"/>
  <c r="K151" i="17"/>
  <c r="L151" i="17"/>
  <c r="M151" i="17"/>
  <c r="H152" i="17"/>
  <c r="I152" i="17"/>
  <c r="J152" i="17"/>
  <c r="K152" i="17"/>
  <c r="L152" i="17"/>
  <c r="M152" i="17"/>
  <c r="H153" i="17"/>
  <c r="I153" i="17"/>
  <c r="J153" i="17"/>
  <c r="K153" i="17"/>
  <c r="L153" i="17"/>
  <c r="M153" i="17"/>
  <c r="H154" i="17"/>
  <c r="I154" i="17"/>
  <c r="J154" i="17"/>
  <c r="K154" i="17"/>
  <c r="L154" i="17"/>
  <c r="M154" i="17"/>
  <c r="H155" i="17"/>
  <c r="I155" i="17"/>
  <c r="J155" i="17"/>
  <c r="K155" i="17"/>
  <c r="L155" i="17"/>
  <c r="M155" i="17"/>
  <c r="H156" i="17"/>
  <c r="I156" i="17"/>
  <c r="J156" i="17"/>
  <c r="K156" i="17"/>
  <c r="L156" i="17"/>
  <c r="M156" i="17"/>
  <c r="H157" i="17"/>
  <c r="I157" i="17"/>
  <c r="J157" i="17"/>
  <c r="K157" i="17"/>
  <c r="L157" i="17"/>
  <c r="M157" i="17"/>
  <c r="H158" i="17"/>
  <c r="I158" i="17"/>
  <c r="J158" i="17"/>
  <c r="K158" i="17"/>
  <c r="L158" i="17"/>
  <c r="M158" i="17"/>
  <c r="H159" i="17"/>
  <c r="I159" i="17"/>
  <c r="J159" i="17"/>
  <c r="K159" i="17"/>
  <c r="L159" i="17"/>
  <c r="M159" i="17"/>
  <c r="H160" i="17"/>
  <c r="I160" i="17"/>
  <c r="J160" i="17"/>
  <c r="K160" i="17"/>
  <c r="L160" i="17"/>
  <c r="M160" i="17"/>
  <c r="H161" i="17"/>
  <c r="I161" i="17"/>
  <c r="J161" i="17"/>
  <c r="K161" i="17"/>
  <c r="L161" i="17"/>
  <c r="M161" i="17"/>
  <c r="H162" i="17"/>
  <c r="I162" i="17"/>
  <c r="J162" i="17"/>
  <c r="K162" i="17"/>
  <c r="L162" i="17"/>
  <c r="M162" i="17"/>
  <c r="H163" i="17"/>
  <c r="I163" i="17"/>
  <c r="J163" i="17"/>
  <c r="K163" i="17"/>
  <c r="L163" i="17"/>
  <c r="M163" i="17"/>
  <c r="H164" i="17"/>
  <c r="I164" i="17"/>
  <c r="J164" i="17"/>
  <c r="K164" i="17"/>
  <c r="L164" i="17"/>
  <c r="M164" i="17"/>
  <c r="H165" i="17"/>
  <c r="I165" i="17"/>
  <c r="J165" i="17"/>
  <c r="K165" i="17"/>
  <c r="L165" i="17"/>
  <c r="M165" i="17"/>
  <c r="H166" i="17"/>
  <c r="I166" i="17"/>
  <c r="J166" i="17"/>
  <c r="K166" i="17"/>
  <c r="L166" i="17"/>
  <c r="M166" i="17"/>
  <c r="H167" i="17"/>
  <c r="I167" i="17"/>
  <c r="J167" i="17"/>
  <c r="K167" i="17"/>
  <c r="L167" i="17"/>
  <c r="M167" i="17"/>
  <c r="H168" i="17"/>
  <c r="I168" i="17"/>
  <c r="J168" i="17"/>
  <c r="K168" i="17"/>
  <c r="L168" i="17"/>
  <c r="M168" i="17"/>
  <c r="H169" i="17"/>
  <c r="I169" i="17"/>
  <c r="J169" i="17"/>
  <c r="K169" i="17"/>
  <c r="L169" i="17"/>
  <c r="M169" i="17"/>
  <c r="H170" i="17"/>
  <c r="I170" i="17"/>
  <c r="J170" i="17"/>
  <c r="K170" i="17"/>
  <c r="L170" i="17"/>
  <c r="M170" i="17"/>
  <c r="H171" i="17"/>
  <c r="I171" i="17"/>
  <c r="J171" i="17"/>
  <c r="K171" i="17"/>
  <c r="L171" i="17"/>
  <c r="M171" i="17"/>
  <c r="H172" i="17"/>
  <c r="I172" i="17"/>
  <c r="J172" i="17"/>
  <c r="K172" i="17"/>
  <c r="L172" i="17"/>
  <c r="M172" i="17"/>
  <c r="H173" i="17"/>
  <c r="I173" i="17"/>
  <c r="J173" i="17"/>
  <c r="K173" i="17"/>
  <c r="L173" i="17"/>
  <c r="M173" i="17"/>
  <c r="H174" i="17"/>
  <c r="I174" i="17"/>
  <c r="J174" i="17"/>
  <c r="K174" i="17"/>
  <c r="L174" i="17"/>
  <c r="M174" i="17"/>
  <c r="H175" i="17"/>
  <c r="I175" i="17"/>
  <c r="J175" i="17"/>
  <c r="K175" i="17"/>
  <c r="L175" i="17"/>
  <c r="M175" i="17"/>
  <c r="H176" i="17"/>
  <c r="I176" i="17"/>
  <c r="J176" i="17"/>
  <c r="K176" i="17"/>
  <c r="L176" i="17"/>
  <c r="M176" i="17"/>
  <c r="H177" i="17"/>
  <c r="I177" i="17"/>
  <c r="J177" i="17"/>
  <c r="K177" i="17"/>
  <c r="L177" i="17"/>
  <c r="M177" i="17"/>
  <c r="H178" i="17"/>
  <c r="I178" i="17"/>
  <c r="J178" i="17"/>
  <c r="K178" i="17"/>
  <c r="L178" i="17"/>
  <c r="M178" i="17"/>
  <c r="H179" i="17"/>
  <c r="I179" i="17"/>
  <c r="J179" i="17"/>
  <c r="K179" i="17"/>
  <c r="L179" i="17"/>
  <c r="M179" i="17"/>
  <c r="H180" i="17"/>
  <c r="I180" i="17"/>
  <c r="J180" i="17"/>
  <c r="K180" i="17"/>
  <c r="L180" i="17"/>
  <c r="M180" i="17"/>
  <c r="H181" i="17"/>
  <c r="I181" i="17"/>
  <c r="J181" i="17"/>
  <c r="K181" i="17"/>
  <c r="L181" i="17"/>
  <c r="M181" i="17"/>
  <c r="H182" i="17"/>
  <c r="I182" i="17"/>
  <c r="J182" i="17"/>
  <c r="K182" i="17"/>
  <c r="L182" i="17"/>
  <c r="M182" i="17"/>
  <c r="H183" i="17"/>
  <c r="I183" i="17"/>
  <c r="J183" i="17"/>
  <c r="K183" i="17"/>
  <c r="L183" i="17"/>
  <c r="M183" i="17"/>
  <c r="H184" i="17"/>
  <c r="I184" i="17"/>
  <c r="J184" i="17"/>
  <c r="K184" i="17"/>
  <c r="L184" i="17"/>
  <c r="M184" i="17"/>
  <c r="H185" i="17"/>
  <c r="I185" i="17"/>
  <c r="J185" i="17"/>
  <c r="K185" i="17"/>
  <c r="L185" i="17"/>
  <c r="M185" i="17"/>
  <c r="H186" i="17"/>
  <c r="I186" i="17"/>
  <c r="J186" i="17"/>
  <c r="K186" i="17"/>
  <c r="L186" i="17"/>
  <c r="M186" i="17"/>
  <c r="H187" i="17"/>
  <c r="I187" i="17"/>
  <c r="J187" i="17"/>
  <c r="K187" i="17"/>
  <c r="L187" i="17"/>
  <c r="M187" i="17"/>
  <c r="H188" i="17"/>
  <c r="I188" i="17"/>
  <c r="J188" i="17"/>
  <c r="K188" i="17"/>
  <c r="L188" i="17"/>
  <c r="M188" i="17"/>
  <c r="H189" i="17"/>
  <c r="I189" i="17"/>
  <c r="J189" i="17"/>
  <c r="K189" i="17"/>
  <c r="L189" i="17"/>
  <c r="M189" i="17"/>
  <c r="H190" i="17"/>
  <c r="I190" i="17"/>
  <c r="J190" i="17"/>
  <c r="K190" i="17"/>
  <c r="L190" i="17"/>
  <c r="M190" i="17"/>
  <c r="H191" i="17"/>
  <c r="I191" i="17"/>
  <c r="J191" i="17"/>
  <c r="K191" i="17"/>
  <c r="L191" i="17"/>
  <c r="M191" i="17"/>
  <c r="H192" i="17"/>
  <c r="I192" i="17"/>
  <c r="J192" i="17"/>
  <c r="K192" i="17"/>
  <c r="L192" i="17"/>
  <c r="M192" i="17"/>
  <c r="H193" i="17"/>
  <c r="I193" i="17"/>
  <c r="J193" i="17"/>
  <c r="K193" i="17"/>
  <c r="L193" i="17"/>
  <c r="M193" i="17"/>
  <c r="H194" i="17"/>
  <c r="I194" i="17"/>
  <c r="J194" i="17"/>
  <c r="K194" i="17"/>
  <c r="L194" i="17"/>
  <c r="M194" i="17"/>
  <c r="H195" i="17"/>
  <c r="I195" i="17"/>
  <c r="J195" i="17"/>
  <c r="K195" i="17"/>
  <c r="L195" i="17"/>
  <c r="M195" i="17"/>
  <c r="H196" i="17"/>
  <c r="I196" i="17"/>
  <c r="J196" i="17"/>
  <c r="K196" i="17"/>
  <c r="L196" i="17"/>
  <c r="M196" i="17"/>
  <c r="H197" i="17"/>
  <c r="I197" i="17"/>
  <c r="J197" i="17"/>
  <c r="K197" i="17"/>
  <c r="L197" i="17"/>
  <c r="M197" i="17"/>
  <c r="H198" i="17"/>
  <c r="I198" i="17"/>
  <c r="J198" i="17"/>
  <c r="K198" i="17"/>
  <c r="L198" i="17"/>
  <c r="M198" i="17"/>
  <c r="H199" i="17"/>
  <c r="I199" i="17"/>
  <c r="J199" i="17"/>
  <c r="K199" i="17"/>
  <c r="L199" i="17"/>
  <c r="M199" i="17"/>
  <c r="H200" i="17"/>
  <c r="I200" i="17"/>
  <c r="J200" i="17"/>
  <c r="K200" i="17"/>
  <c r="L200" i="17"/>
  <c r="M200" i="17"/>
  <c r="H201" i="17"/>
  <c r="I201" i="17"/>
  <c r="J201" i="17"/>
  <c r="K201" i="17"/>
  <c r="L201" i="17"/>
  <c r="M201" i="17"/>
  <c r="H202" i="17"/>
  <c r="I202" i="17"/>
  <c r="J202" i="17"/>
  <c r="K202" i="17"/>
  <c r="L202" i="17"/>
  <c r="M202" i="17"/>
  <c r="H203" i="17"/>
  <c r="I203" i="17"/>
  <c r="J203" i="17"/>
  <c r="K203" i="17"/>
  <c r="L203" i="17"/>
  <c r="M203" i="17"/>
  <c r="H204" i="17"/>
  <c r="I204" i="17"/>
  <c r="J204" i="17"/>
  <c r="K204" i="17"/>
  <c r="L204" i="17"/>
  <c r="M204" i="17"/>
  <c r="H205" i="17"/>
  <c r="I205" i="17"/>
  <c r="J205" i="17"/>
  <c r="K205" i="17"/>
  <c r="L205" i="17"/>
  <c r="M205" i="17"/>
  <c r="H206" i="17"/>
  <c r="I206" i="17"/>
  <c r="J206" i="17"/>
  <c r="K206" i="17"/>
  <c r="L206" i="17"/>
  <c r="M206" i="17"/>
  <c r="H207" i="17"/>
  <c r="I207" i="17"/>
  <c r="J207" i="17"/>
  <c r="K207" i="17"/>
  <c r="L207" i="17"/>
  <c r="M207" i="17"/>
  <c r="H208" i="17"/>
  <c r="I208" i="17"/>
  <c r="J208" i="17"/>
  <c r="K208" i="17"/>
  <c r="L208" i="17"/>
  <c r="M208" i="17"/>
  <c r="H209" i="17"/>
  <c r="I209" i="17"/>
  <c r="J209" i="17"/>
  <c r="K209" i="17"/>
  <c r="L209" i="17"/>
  <c r="M209" i="17"/>
  <c r="H210" i="17"/>
  <c r="I210" i="17"/>
  <c r="J210" i="17"/>
  <c r="K210" i="17"/>
  <c r="L210" i="17"/>
  <c r="M210" i="17"/>
  <c r="H211" i="17"/>
  <c r="I211" i="17"/>
  <c r="J211" i="17"/>
  <c r="K211" i="17"/>
  <c r="L211" i="17"/>
  <c r="M211" i="17"/>
  <c r="H212" i="17"/>
  <c r="I212" i="17"/>
  <c r="J212" i="17"/>
  <c r="K212" i="17"/>
  <c r="L212" i="17"/>
  <c r="M212" i="17"/>
  <c r="H213" i="17"/>
  <c r="I213" i="17"/>
  <c r="J213" i="17"/>
  <c r="K213" i="17"/>
  <c r="L213" i="17"/>
  <c r="M213" i="17"/>
  <c r="H214" i="17"/>
  <c r="I214" i="17"/>
  <c r="J214" i="17"/>
  <c r="K214" i="17"/>
  <c r="L214" i="17"/>
  <c r="M214" i="17"/>
  <c r="H215" i="17"/>
  <c r="I215" i="17"/>
  <c r="J215" i="17"/>
  <c r="K215" i="17"/>
  <c r="L215" i="17"/>
  <c r="M215" i="17"/>
  <c r="H216" i="17"/>
  <c r="I216" i="17"/>
  <c r="J216" i="17"/>
  <c r="K216" i="17"/>
  <c r="L216" i="17"/>
  <c r="M216" i="17"/>
  <c r="H217" i="17"/>
  <c r="I217" i="17"/>
  <c r="J217" i="17"/>
  <c r="K217" i="17"/>
  <c r="L217" i="17"/>
  <c r="M217" i="17"/>
  <c r="H218" i="17"/>
  <c r="I218" i="17"/>
  <c r="J218" i="17"/>
  <c r="K218" i="17"/>
  <c r="L218" i="17"/>
  <c r="M218" i="17"/>
  <c r="H219" i="17"/>
  <c r="I219" i="17"/>
  <c r="J219" i="17"/>
  <c r="K219" i="17"/>
  <c r="L219" i="17"/>
  <c r="M219" i="17"/>
  <c r="N219" i="17"/>
  <c r="H220" i="17"/>
  <c r="I220" i="17"/>
  <c r="J220" i="17"/>
  <c r="K220" i="17"/>
  <c r="L220" i="17"/>
  <c r="M220" i="17"/>
  <c r="H221" i="17"/>
  <c r="I221" i="17"/>
  <c r="J221" i="17"/>
  <c r="K221" i="17"/>
  <c r="L221" i="17"/>
  <c r="M221" i="17"/>
  <c r="H222" i="17"/>
  <c r="I222" i="17"/>
  <c r="J222" i="17"/>
  <c r="K222" i="17"/>
  <c r="L222" i="17"/>
  <c r="M222" i="17"/>
  <c r="H223" i="17"/>
  <c r="I223" i="17"/>
  <c r="J223" i="17"/>
  <c r="K223" i="17"/>
  <c r="L223" i="17"/>
  <c r="M223" i="17"/>
  <c r="H224" i="17"/>
  <c r="I224" i="17"/>
  <c r="J224" i="17"/>
  <c r="K224" i="17"/>
  <c r="L224" i="17"/>
  <c r="M224" i="17"/>
  <c r="H225" i="17"/>
  <c r="I225" i="17"/>
  <c r="J225" i="17"/>
  <c r="K225" i="17"/>
  <c r="L225" i="17"/>
  <c r="M225" i="17"/>
  <c r="H226" i="17"/>
  <c r="I226" i="17"/>
  <c r="J226" i="17"/>
  <c r="K226" i="17"/>
  <c r="L226" i="17"/>
  <c r="M226" i="17"/>
  <c r="H227" i="17"/>
  <c r="I227" i="17"/>
  <c r="J227" i="17"/>
  <c r="K227" i="17"/>
  <c r="L227" i="17"/>
  <c r="M227" i="17"/>
  <c r="H230" i="17"/>
  <c r="I230" i="17"/>
  <c r="J230" i="17"/>
  <c r="K230" i="17"/>
  <c r="L230" i="17"/>
  <c r="M230" i="17"/>
  <c r="H231" i="17"/>
  <c r="I231" i="17"/>
  <c r="J231" i="17"/>
  <c r="K231" i="17"/>
  <c r="L231" i="17"/>
  <c r="M231" i="17"/>
  <c r="M232" i="17"/>
  <c r="L232" i="17"/>
  <c r="K232" i="17"/>
  <c r="J232" i="17"/>
  <c r="I232" i="17"/>
  <c r="H232" i="17"/>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 i="22"/>
  <c r="F218" i="22"/>
  <c r="F219" i="22"/>
  <c r="F220" i="22"/>
  <c r="F221" i="22"/>
  <c r="V226" i="22" l="1"/>
  <c r="V212" i="22"/>
  <c r="V128" i="22"/>
  <c r="V123" i="22"/>
  <c r="V17" i="22"/>
  <c r="V12" i="22"/>
  <c r="V10" i="22"/>
  <c r="V372" i="22"/>
  <c r="V308" i="22"/>
  <c r="V556" i="22"/>
  <c r="V668" i="22"/>
  <c r="V660" i="22"/>
  <c r="V652" i="22"/>
  <c r="V650" i="22"/>
  <c r="V636" i="22"/>
  <c r="V628" i="22"/>
  <c r="V492" i="22"/>
  <c r="V474" i="22"/>
  <c r="V224" i="22"/>
  <c r="V220" i="22"/>
  <c r="V297" i="22"/>
  <c r="V89" i="22"/>
  <c r="V85" i="22"/>
  <c r="V206" i="22"/>
  <c r="V178" i="22"/>
  <c r="V174" i="22"/>
  <c r="V173" i="22"/>
  <c r="V146" i="22"/>
  <c r="V210" i="22"/>
  <c r="V58" i="22"/>
  <c r="V452" i="22"/>
  <c r="V451" i="22"/>
  <c r="V66" i="22"/>
  <c r="V552" i="22"/>
  <c r="V524" i="22"/>
  <c r="V520" i="22"/>
  <c r="V519" i="22"/>
  <c r="V332" i="22"/>
  <c r="V620" i="22"/>
  <c r="V593" i="22"/>
  <c r="V580" i="22"/>
  <c r="V561" i="22"/>
  <c r="V428" i="22"/>
  <c r="V698" i="22"/>
  <c r="V682" i="22"/>
  <c r="V613" i="22"/>
  <c r="V484" i="22"/>
  <c r="V476" i="22"/>
  <c r="V468" i="22"/>
  <c r="V444" i="22"/>
  <c r="V436" i="22"/>
  <c r="V331" i="22"/>
  <c r="V254" i="22"/>
  <c r="V695" i="22"/>
  <c r="V658" i="22"/>
  <c r="V630" i="22"/>
  <c r="V549" i="22"/>
  <c r="V483" i="22"/>
  <c r="V481" i="22"/>
  <c r="V441" i="22"/>
  <c r="V420" i="22"/>
  <c r="V412" i="22"/>
  <c r="V410" i="22"/>
  <c r="V404" i="22"/>
  <c r="V380" i="22"/>
  <c r="V368" i="22"/>
  <c r="V364" i="22"/>
  <c r="V340" i="22"/>
  <c r="V336" i="22"/>
  <c r="V335" i="22"/>
  <c r="V268" i="22"/>
  <c r="V267" i="22"/>
  <c r="V170" i="22"/>
  <c r="V147" i="22"/>
  <c r="V122" i="22"/>
  <c r="V109" i="22"/>
  <c r="V90" i="22"/>
  <c r="V711" i="22"/>
  <c r="V703" i="22"/>
  <c r="V701" i="22"/>
  <c r="V699" i="22"/>
  <c r="V687" i="22"/>
  <c r="V566" i="22"/>
  <c r="V485" i="22"/>
  <c r="V417" i="22"/>
  <c r="V304" i="22"/>
  <c r="V300" i="22"/>
  <c r="V276" i="22"/>
  <c r="V271" i="22"/>
  <c r="V194" i="22"/>
  <c r="V186" i="22"/>
  <c r="V162" i="22"/>
  <c r="V159" i="22"/>
  <c r="V154" i="22"/>
  <c r="V99" i="22"/>
  <c r="V98" i="22"/>
  <c r="V21" i="22"/>
  <c r="V18" i="22"/>
  <c r="V2" i="22"/>
  <c r="V704" i="22"/>
  <c r="V502" i="22"/>
  <c r="V421" i="22"/>
  <c r="V356" i="22"/>
  <c r="V354" i="22"/>
  <c r="V348" i="22"/>
  <c r="V324" i="22"/>
  <c r="V316" i="22"/>
  <c r="V236" i="22"/>
  <c r="V138" i="22"/>
  <c r="V130" i="22"/>
  <c r="V114" i="22"/>
  <c r="V111" i="22"/>
  <c r="V106" i="22"/>
  <c r="V82" i="22"/>
  <c r="V644" i="22"/>
  <c r="V625" i="22"/>
  <c r="V616" i="22"/>
  <c r="V588" i="22"/>
  <c r="V584" i="22"/>
  <c r="V516" i="22"/>
  <c r="V515" i="22"/>
  <c r="V438" i="22"/>
  <c r="V361" i="22"/>
  <c r="V292" i="22"/>
  <c r="V290" i="22"/>
  <c r="V288" i="22"/>
  <c r="V284" i="22"/>
  <c r="V260" i="22"/>
  <c r="V252" i="22"/>
  <c r="V207" i="22"/>
  <c r="V203" i="22"/>
  <c r="V115" i="22"/>
  <c r="V71" i="22"/>
  <c r="V54" i="22"/>
  <c r="V50" i="22"/>
  <c r="V48" i="22"/>
  <c r="V46" i="22"/>
  <c r="V42" i="22"/>
  <c r="V34" i="22"/>
  <c r="V26" i="22"/>
  <c r="V24" i="22"/>
  <c r="V681" i="22"/>
  <c r="V677" i="22"/>
  <c r="V633" i="22"/>
  <c r="V612" i="22"/>
  <c r="V604" i="22"/>
  <c r="V602" i="22"/>
  <c r="V596" i="22"/>
  <c r="V572" i="22"/>
  <c r="V564" i="22"/>
  <c r="V480" i="22"/>
  <c r="V460" i="22"/>
  <c r="V456" i="22"/>
  <c r="V455" i="22"/>
  <c r="V388" i="22"/>
  <c r="V382" i="22"/>
  <c r="V301" i="22"/>
  <c r="V233" i="22"/>
  <c r="V229" i="22"/>
  <c r="V160" i="22"/>
  <c r="V156" i="22"/>
  <c r="V72" i="22"/>
  <c r="V63" i="22"/>
  <c r="V694" i="22"/>
  <c r="V674" i="22"/>
  <c r="V548" i="22"/>
  <c r="V540" i="22"/>
  <c r="V538" i="22"/>
  <c r="V532" i="22"/>
  <c r="V508" i="22"/>
  <c r="V500" i="22"/>
  <c r="V424" i="22"/>
  <c r="V396" i="22"/>
  <c r="V395" i="22"/>
  <c r="V392" i="22"/>
  <c r="V391" i="22"/>
  <c r="V318" i="22"/>
  <c r="V202" i="22"/>
  <c r="V169" i="22"/>
  <c r="V112" i="22"/>
  <c r="V80" i="22"/>
  <c r="V76" i="22"/>
  <c r="V74" i="22"/>
  <c r="V3" i="22"/>
  <c r="V700" i="22"/>
  <c r="V683" i="22"/>
  <c r="V675" i="22"/>
  <c r="V673" i="22"/>
  <c r="V662" i="22"/>
  <c r="V641" i="22"/>
  <c r="V634" i="22"/>
  <c r="V598" i="22"/>
  <c r="V581" i="22"/>
  <c r="V570" i="22"/>
  <c r="V534" i="22"/>
  <c r="V517" i="22"/>
  <c r="V513" i="22"/>
  <c r="V506" i="22"/>
  <c r="V488" i="22"/>
  <c r="V487" i="22"/>
  <c r="V470" i="22"/>
  <c r="V453" i="22"/>
  <c r="V449" i="22"/>
  <c r="V442" i="22"/>
  <c r="V423" i="22"/>
  <c r="V419" i="22"/>
  <c r="V406" i="22"/>
  <c r="V371" i="22"/>
  <c r="V367" i="22"/>
  <c r="V350" i="22"/>
  <c r="V333" i="22"/>
  <c r="V329" i="22"/>
  <c r="V322" i="22"/>
  <c r="V303" i="22"/>
  <c r="V299" i="22"/>
  <c r="V286" i="22"/>
  <c r="V269" i="22"/>
  <c r="V265" i="22"/>
  <c r="V258" i="22"/>
  <c r="V256" i="22"/>
  <c r="V243" i="22"/>
  <c r="V239" i="22"/>
  <c r="V205" i="22"/>
  <c r="V201" i="22"/>
  <c r="V192" i="22"/>
  <c r="V188" i="22"/>
  <c r="V171" i="22"/>
  <c r="V136" i="22"/>
  <c r="V132" i="22"/>
  <c r="V705" i="22"/>
  <c r="V693" i="22"/>
  <c r="V692" i="22"/>
  <c r="V659" i="22"/>
  <c r="V654" i="22"/>
  <c r="V637" i="22"/>
  <c r="V626" i="22"/>
  <c r="V617" i="22"/>
  <c r="V608" i="22"/>
  <c r="V607" i="22"/>
  <c r="V603" i="22"/>
  <c r="V590" i="22"/>
  <c r="V573" i="22"/>
  <c r="V562" i="22"/>
  <c r="V553" i="22"/>
  <c r="V544" i="22"/>
  <c r="V543" i="22"/>
  <c r="V539" i="22"/>
  <c r="V526" i="22"/>
  <c r="V509" i="22"/>
  <c r="V505" i="22"/>
  <c r="V498" i="22"/>
  <c r="V479" i="22"/>
  <c r="V462" i="22"/>
  <c r="V445" i="22"/>
  <c r="V434" i="22"/>
  <c r="V416" i="22"/>
  <c r="V415" i="22"/>
  <c r="V411" i="22"/>
  <c r="V398" i="22"/>
  <c r="V381" i="22"/>
  <c r="V378" i="22"/>
  <c r="V363" i="22"/>
  <c r="V360" i="22"/>
  <c r="V359" i="22"/>
  <c r="V342" i="22"/>
  <c r="V325" i="22"/>
  <c r="V321" i="22"/>
  <c r="V314" i="22"/>
  <c r="V296" i="22"/>
  <c r="V295" i="22"/>
  <c r="V291" i="22"/>
  <c r="V278" i="22"/>
  <c r="V261" i="22"/>
  <c r="V257" i="22"/>
  <c r="V253" i="22"/>
  <c r="V250" i="22"/>
  <c r="V248" i="22"/>
  <c r="V235" i="22"/>
  <c r="V231" i="22"/>
  <c r="V227" i="22"/>
  <c r="V198" i="22"/>
  <c r="V197" i="22"/>
  <c r="V193" i="22"/>
  <c r="V184" i="22"/>
  <c r="V180" i="22"/>
  <c r="V163" i="22"/>
  <c r="V151" i="22"/>
  <c r="V142" i="22"/>
  <c r="V141" i="22"/>
  <c r="V137" i="22"/>
  <c r="V124" i="22"/>
  <c r="V102" i="22"/>
  <c r="V91" i="22"/>
  <c r="V81" i="22"/>
  <c r="V77" i="22"/>
  <c r="V68" i="22"/>
  <c r="V64" i="22"/>
  <c r="V55" i="22"/>
  <c r="V51" i="22"/>
  <c r="V38" i="22"/>
  <c r="V13" i="22"/>
  <c r="V9" i="22"/>
  <c r="V4" i="22"/>
  <c r="V710" i="22"/>
  <c r="V697" i="22"/>
  <c r="V685" i="22"/>
  <c r="V684" i="22"/>
  <c r="V676" i="22"/>
  <c r="V664" i="22"/>
  <c r="V629" i="22"/>
  <c r="V618" i="22"/>
  <c r="V609" i="22"/>
  <c r="V600" i="22"/>
  <c r="V582" i="22"/>
  <c r="V565" i="22"/>
  <c r="V554" i="22"/>
  <c r="V536" i="22"/>
  <c r="V531" i="22"/>
  <c r="V518" i="22"/>
  <c r="V501" i="22"/>
  <c r="V497" i="22"/>
  <c r="V490" i="22"/>
  <c r="V472" i="22"/>
  <c r="V471" i="22"/>
  <c r="V454" i="22"/>
  <c r="V437" i="22"/>
  <c r="V433" i="22"/>
  <c r="V426" i="22"/>
  <c r="V408" i="22"/>
  <c r="V407" i="22"/>
  <c r="V403" i="22"/>
  <c r="V390" i="22"/>
  <c r="V377" i="22"/>
  <c r="V373" i="22"/>
  <c r="V370" i="22"/>
  <c r="V355" i="22"/>
  <c r="V352" i="22"/>
  <c r="V351" i="22"/>
  <c r="V347" i="22"/>
  <c r="V334" i="22"/>
  <c r="V317" i="22"/>
  <c r="V313" i="22"/>
  <c r="V306" i="22"/>
  <c r="V287" i="22"/>
  <c r="V283" i="22"/>
  <c r="V270" i="22"/>
  <c r="V249" i="22"/>
  <c r="V245" i="22"/>
  <c r="V242" i="22"/>
  <c r="V240" i="22"/>
  <c r="V223" i="22"/>
  <c r="V219" i="22"/>
  <c r="V190" i="22"/>
  <c r="V189" i="22"/>
  <c r="V185" i="22"/>
  <c r="V176" i="22"/>
  <c r="V172" i="22"/>
  <c r="V155" i="22"/>
  <c r="V134" i="22"/>
  <c r="V133" i="22"/>
  <c r="V129" i="22"/>
  <c r="V116" i="22"/>
  <c r="V94" i="22"/>
  <c r="V83" i="22"/>
  <c r="V73" i="22"/>
  <c r="V69" i="22"/>
  <c r="V60" i="22"/>
  <c r="V47" i="22"/>
  <c r="V43" i="22"/>
  <c r="V30" i="22"/>
  <c r="V5" i="22"/>
  <c r="V706" i="22"/>
  <c r="V702" i="22"/>
  <c r="V696" i="22"/>
  <c r="V689" i="22"/>
  <c r="V638" i="22"/>
  <c r="V621" i="22"/>
  <c r="V610" i="22"/>
  <c r="V601" i="22"/>
  <c r="V592" i="22"/>
  <c r="V574" i="22"/>
  <c r="V557" i="22"/>
  <c r="V546" i="22"/>
  <c r="V528" i="22"/>
  <c r="V527" i="22"/>
  <c r="V523" i="22"/>
  <c r="V510" i="22"/>
  <c r="V493" i="22"/>
  <c r="V491" i="22"/>
  <c r="V489" i="22"/>
  <c r="V482" i="22"/>
  <c r="V464" i="22"/>
  <c r="V463" i="22"/>
  <c r="V459" i="22"/>
  <c r="V446" i="22"/>
  <c r="V429" i="22"/>
  <c r="V425" i="22"/>
  <c r="V418" i="22"/>
  <c r="V400" i="22"/>
  <c r="V399" i="22"/>
  <c r="V369" i="22"/>
  <c r="V365" i="22"/>
  <c r="V362" i="22"/>
  <c r="V344" i="22"/>
  <c r="V343" i="22"/>
  <c r="V339" i="22"/>
  <c r="V326" i="22"/>
  <c r="V309" i="22"/>
  <c r="V305" i="22"/>
  <c r="V298" i="22"/>
  <c r="V279" i="22"/>
  <c r="V275" i="22"/>
  <c r="V262" i="22"/>
  <c r="V241" i="22"/>
  <c r="V237" i="22"/>
  <c r="V234" i="22"/>
  <c r="V232" i="22"/>
  <c r="V228" i="22"/>
  <c r="V215" i="22"/>
  <c r="V211" i="22"/>
  <c r="V182" i="22"/>
  <c r="V181" i="22"/>
  <c r="V177" i="22"/>
  <c r="V168" i="22"/>
  <c r="V164" i="22"/>
  <c r="V126" i="22"/>
  <c r="V125" i="22"/>
  <c r="V121" i="22"/>
  <c r="V103" i="22"/>
  <c r="V86" i="22"/>
  <c r="V75" i="22"/>
  <c r="V65" i="22"/>
  <c r="V61" i="22"/>
  <c r="V57" i="22"/>
  <c r="V52" i="22"/>
  <c r="V49" i="22"/>
  <c r="V40" i="22"/>
  <c r="V39" i="22"/>
  <c r="V35" i="22"/>
  <c r="V22" i="22"/>
  <c r="V678" i="22"/>
  <c r="V666" i="22"/>
  <c r="V108" i="22"/>
  <c r="V95" i="22"/>
  <c r="V78" i="22"/>
  <c r="V53" i="22"/>
  <c r="V44" i="22"/>
  <c r="V41" i="22"/>
  <c r="V32" i="22"/>
  <c r="V31" i="22"/>
  <c r="V27" i="22"/>
  <c r="V14" i="22"/>
  <c r="V688" i="22"/>
  <c r="V712" i="22"/>
  <c r="V707" i="22"/>
  <c r="V690" i="22"/>
  <c r="V686" i="22"/>
  <c r="V680" i="22"/>
  <c r="V667" i="22"/>
  <c r="V640" i="22"/>
  <c r="V622" i="22"/>
  <c r="V605" i="22"/>
  <c r="V594" i="22"/>
  <c r="V585" i="22"/>
  <c r="V576" i="22"/>
  <c r="V558" i="22"/>
  <c r="V541" i="22"/>
  <c r="V530" i="22"/>
  <c r="V512" i="22"/>
  <c r="V511" i="22"/>
  <c r="V507" i="22"/>
  <c r="V494" i="22"/>
  <c r="V477" i="22"/>
  <c r="V475" i="22"/>
  <c r="V473" i="22"/>
  <c r="V466" i="22"/>
  <c r="V448" i="22"/>
  <c r="V447" i="22"/>
  <c r="V443" i="22"/>
  <c r="V430" i="22"/>
  <c r="V413" i="22"/>
  <c r="V409" i="22"/>
  <c r="V402" i="22"/>
  <c r="V387" i="22"/>
  <c r="V374" i="22"/>
  <c r="V357" i="22"/>
  <c r="V353" i="22"/>
  <c r="V346" i="22"/>
  <c r="V328" i="22"/>
  <c r="V327" i="22"/>
  <c r="V310" i="22"/>
  <c r="V293" i="22"/>
  <c r="V289" i="22"/>
  <c r="V282" i="22"/>
  <c r="V280" i="22"/>
  <c r="V263" i="22"/>
  <c r="V246" i="22"/>
  <c r="V225" i="22"/>
  <c r="V221" i="22"/>
  <c r="V216" i="22"/>
  <c r="V199" i="22"/>
  <c r="V195" i="22"/>
  <c r="V183" i="22"/>
  <c r="V166" i="22"/>
  <c r="V165" i="22"/>
  <c r="V161" i="22"/>
  <c r="V152" i="22"/>
  <c r="V143" i="22"/>
  <c r="V139" i="22"/>
  <c r="V127" i="22"/>
  <c r="V118" i="22"/>
  <c r="V113" i="22"/>
  <c r="V104" i="22"/>
  <c r="V100" i="22"/>
  <c r="V87" i="22"/>
  <c r="V70" i="22"/>
  <c r="V45" i="22"/>
  <c r="V36" i="22"/>
  <c r="V33" i="22"/>
  <c r="V23" i="22"/>
  <c r="V19" i="22"/>
  <c r="V8" i="22"/>
  <c r="V6" i="22"/>
  <c r="V632" i="22"/>
  <c r="V614" i="22"/>
  <c r="V597" i="22"/>
  <c r="V586" i="22"/>
  <c r="V577" i="22"/>
  <c r="V568" i="22"/>
  <c r="V550" i="22"/>
  <c r="V533" i="22"/>
  <c r="V529" i="22"/>
  <c r="V522" i="22"/>
  <c r="V504" i="22"/>
  <c r="V503" i="22"/>
  <c r="V499" i="22"/>
  <c r="V486" i="22"/>
  <c r="V469" i="22"/>
  <c r="V467" i="22"/>
  <c r="V465" i="22"/>
  <c r="V458" i="22"/>
  <c r="V440" i="22"/>
  <c r="V439" i="22"/>
  <c r="V435" i="22"/>
  <c r="V422" i="22"/>
  <c r="V405" i="22"/>
  <c r="V401" i="22"/>
  <c r="V397" i="22"/>
  <c r="V394" i="22"/>
  <c r="V384" i="22"/>
  <c r="V383" i="22"/>
  <c r="V366" i="22"/>
  <c r="V349" i="22"/>
  <c r="V345" i="22"/>
  <c r="V338" i="22"/>
  <c r="V323" i="22"/>
  <c r="V320" i="22"/>
  <c r="V319" i="22"/>
  <c r="V315" i="22"/>
  <c r="V302" i="22"/>
  <c r="V285" i="22"/>
  <c r="V281" i="22"/>
  <c r="V274" i="22"/>
  <c r="V272" i="22"/>
  <c r="V259" i="22"/>
  <c r="V255" i="22"/>
  <c r="V238" i="22"/>
  <c r="V222" i="22"/>
  <c r="V217" i="22"/>
  <c r="V213" i="22"/>
  <c r="V208" i="22"/>
  <c r="V204" i="22"/>
  <c r="V191" i="22"/>
  <c r="V187" i="22"/>
  <c r="V175" i="22"/>
  <c r="V158" i="22"/>
  <c r="V157" i="22"/>
  <c r="V153" i="22"/>
  <c r="V135" i="22"/>
  <c r="V131" i="22"/>
  <c r="V119" i="22"/>
  <c r="V110" i="22"/>
  <c r="V105" i="22"/>
  <c r="V101" i="22"/>
  <c r="V96" i="22"/>
  <c r="V92" i="22"/>
  <c r="V79" i="22"/>
  <c r="V67" i="22"/>
  <c r="V62" i="22"/>
  <c r="V37" i="22"/>
  <c r="V28" i="22"/>
  <c r="V25" i="22"/>
  <c r="V16" i="22"/>
  <c r="V15" i="22"/>
  <c r="V11" i="22"/>
  <c r="V709" i="22"/>
  <c r="V708" i="22"/>
  <c r="V691" i="22"/>
  <c r="V672" i="22"/>
  <c r="V670" i="22"/>
  <c r="V649" i="22"/>
  <c r="V642" i="22"/>
  <c r="V624" i="22"/>
  <c r="V623" i="22"/>
  <c r="V606" i="22"/>
  <c r="V589" i="22"/>
  <c r="V578" i="22"/>
  <c r="V569" i="22"/>
  <c r="V560" i="22"/>
  <c r="V559" i="22"/>
  <c r="V555" i="22"/>
  <c r="V542" i="22"/>
  <c r="V525" i="22"/>
  <c r="V521" i="22"/>
  <c r="V514" i="22"/>
  <c r="V496" i="22"/>
  <c r="V495" i="22"/>
  <c r="V478" i="22"/>
  <c r="V461" i="22"/>
  <c r="V457" i="22"/>
  <c r="V450" i="22"/>
  <c r="V432" i="22"/>
  <c r="V431" i="22"/>
  <c r="V427" i="22"/>
  <c r="V414" i="22"/>
  <c r="V393" i="22"/>
  <c r="V389" i="22"/>
  <c r="V386" i="22"/>
  <c r="V379" i="22"/>
  <c r="V376" i="22"/>
  <c r="V375" i="22"/>
  <c r="V358" i="22"/>
  <c r="V341" i="22"/>
  <c r="V337" i="22"/>
  <c r="V330" i="22"/>
  <c r="V312" i="22"/>
  <c r="V311" i="22"/>
  <c r="V307" i="22"/>
  <c r="V294" i="22"/>
  <c r="V277" i="22"/>
  <c r="V273" i="22"/>
  <c r="V266" i="22"/>
  <c r="V264" i="22"/>
  <c r="V251" i="22"/>
  <c r="V247" i="22"/>
  <c r="V230" i="22"/>
  <c r="V214" i="22"/>
  <c r="V209" i="22"/>
  <c r="V200" i="22"/>
  <c r="V196" i="22"/>
  <c r="V179" i="22"/>
  <c r="V167" i="22"/>
  <c r="V150" i="22"/>
  <c r="V144" i="22"/>
  <c r="V140" i="22"/>
  <c r="V120" i="22"/>
  <c r="V107" i="22"/>
  <c r="V97" i="22"/>
  <c r="V93" i="22"/>
  <c r="V88" i="22"/>
  <c r="V84" i="22"/>
  <c r="V59" i="22"/>
  <c r="V56" i="22"/>
  <c r="V29" i="22"/>
  <c r="V20" i="22"/>
  <c r="V7" i="22"/>
  <c r="V669" i="22"/>
  <c r="V663" i="22"/>
  <c r="V645" i="22"/>
  <c r="V615" i="22"/>
  <c r="V611" i="22"/>
  <c r="V551" i="22"/>
  <c r="V547" i="22"/>
  <c r="V665" i="22"/>
  <c r="V656" i="22"/>
  <c r="V655" i="22"/>
  <c r="V651" i="22"/>
  <c r="V646" i="22"/>
  <c r="V599" i="22"/>
  <c r="V595" i="22"/>
  <c r="V535" i="22"/>
  <c r="V671" i="22"/>
  <c r="V591" i="22"/>
  <c r="V587" i="22"/>
  <c r="V679" i="22"/>
  <c r="V661" i="22"/>
  <c r="V648" i="22"/>
  <c r="V647" i="22"/>
  <c r="V643" i="22"/>
  <c r="V583" i="22"/>
  <c r="V579" i="22"/>
  <c r="V545" i="22"/>
  <c r="V657" i="22"/>
  <c r="V639" i="22"/>
  <c r="V635" i="22"/>
  <c r="V575" i="22"/>
  <c r="V571" i="22"/>
  <c r="V537" i="22"/>
  <c r="V653" i="22"/>
  <c r="V631" i="22"/>
  <c r="V627" i="22"/>
  <c r="V567" i="22"/>
  <c r="V563" i="22"/>
  <c r="V619" i="22"/>
  <c r="G240" i="17"/>
  <c r="G241" i="17"/>
  <c r="G242" i="17"/>
  <c r="G238" i="17"/>
  <c r="F243" i="22"/>
  <c r="F244" i="22"/>
  <c r="F245" i="22"/>
  <c r="F246" i="22"/>
  <c r="F247" i="22"/>
  <c r="F248" i="22" l="1"/>
  <c r="G715" i="17"/>
  <c r="D715" i="17"/>
  <c r="V715" i="17" s="1"/>
  <c r="A715" i="17"/>
  <c r="G714" i="17"/>
  <c r="D714" i="17"/>
  <c r="B714" i="17" s="1"/>
  <c r="W714" i="17" s="1"/>
  <c r="A714" i="17"/>
  <c r="G713" i="17"/>
  <c r="D713" i="17"/>
  <c r="A713" i="17"/>
  <c r="G712" i="17"/>
  <c r="D712" i="17"/>
  <c r="V712" i="17" s="1"/>
  <c r="A712" i="17"/>
  <c r="G711" i="17"/>
  <c r="D711" i="17"/>
  <c r="B711" i="17" s="1"/>
  <c r="W711" i="17" s="1"/>
  <c r="A711" i="17"/>
  <c r="G710" i="17"/>
  <c r="D710" i="17"/>
  <c r="A710" i="17"/>
  <c r="G709" i="17"/>
  <c r="D709" i="17"/>
  <c r="V709" i="17" s="1"/>
  <c r="A709" i="17"/>
  <c r="G708" i="17"/>
  <c r="D708" i="17"/>
  <c r="C708" i="17" s="1"/>
  <c r="X708" i="17" s="1"/>
  <c r="A708" i="17"/>
  <c r="G707" i="17"/>
  <c r="D707" i="17"/>
  <c r="V707" i="17" s="1"/>
  <c r="A707" i="17"/>
  <c r="G706" i="17"/>
  <c r="D706" i="17"/>
  <c r="B706" i="17" s="1"/>
  <c r="W706" i="17" s="1"/>
  <c r="A706" i="17"/>
  <c r="G705" i="17"/>
  <c r="D705" i="17"/>
  <c r="A705" i="17"/>
  <c r="G704" i="17"/>
  <c r="D704" i="17"/>
  <c r="V704" i="17" s="1"/>
  <c r="A704" i="17"/>
  <c r="G703" i="17"/>
  <c r="D703" i="17"/>
  <c r="B703" i="17" s="1"/>
  <c r="W703" i="17" s="1"/>
  <c r="A703" i="17"/>
  <c r="G702" i="17"/>
  <c r="D702" i="17"/>
  <c r="A702" i="17"/>
  <c r="G701" i="17"/>
  <c r="D701" i="17"/>
  <c r="C701" i="17" s="1"/>
  <c r="X701" i="17" s="1"/>
  <c r="A701" i="17"/>
  <c r="G700" i="17"/>
  <c r="D700" i="17"/>
  <c r="V700" i="17" s="1"/>
  <c r="A700" i="17"/>
  <c r="G699" i="17"/>
  <c r="D699" i="17"/>
  <c r="V699" i="17" s="1"/>
  <c r="A699" i="17"/>
  <c r="G698" i="17"/>
  <c r="D698" i="17"/>
  <c r="B698" i="17" s="1"/>
  <c r="W698" i="17" s="1"/>
  <c r="A698" i="17"/>
  <c r="G697" i="17"/>
  <c r="D697" i="17"/>
  <c r="A697" i="17"/>
  <c r="G696" i="17"/>
  <c r="D696" i="17"/>
  <c r="V696" i="17" s="1"/>
  <c r="A696" i="17"/>
  <c r="G695" i="17"/>
  <c r="D695" i="17"/>
  <c r="B695" i="17" s="1"/>
  <c r="W695" i="17" s="1"/>
  <c r="A695" i="17"/>
  <c r="G694" i="17"/>
  <c r="D694" i="17"/>
  <c r="A694" i="17"/>
  <c r="G693" i="17"/>
  <c r="D693" i="17"/>
  <c r="C693" i="17" s="1"/>
  <c r="X693" i="17" s="1"/>
  <c r="A693" i="17"/>
  <c r="G692" i="17"/>
  <c r="D692" i="17"/>
  <c r="B692" i="17" s="1"/>
  <c r="W692" i="17" s="1"/>
  <c r="A692" i="17"/>
  <c r="G691" i="17"/>
  <c r="D691" i="17"/>
  <c r="V691" i="17" s="1"/>
  <c r="A691" i="17"/>
  <c r="G690" i="17"/>
  <c r="D690" i="17"/>
  <c r="B690" i="17" s="1"/>
  <c r="W690" i="17" s="1"/>
  <c r="A690" i="17"/>
  <c r="G689" i="17"/>
  <c r="D689" i="17"/>
  <c r="A689" i="17"/>
  <c r="G688" i="17"/>
  <c r="D688" i="17"/>
  <c r="V688" i="17" s="1"/>
  <c r="A688" i="17"/>
  <c r="G687" i="17"/>
  <c r="D687" i="17"/>
  <c r="B687" i="17" s="1"/>
  <c r="W687" i="17" s="1"/>
  <c r="A687" i="17"/>
  <c r="G686" i="17"/>
  <c r="D686" i="17"/>
  <c r="A686" i="17"/>
  <c r="G685" i="17"/>
  <c r="D685" i="17"/>
  <c r="V685" i="17" s="1"/>
  <c r="A685" i="17"/>
  <c r="G684" i="17"/>
  <c r="D684" i="17"/>
  <c r="V684" i="17" s="1"/>
  <c r="A684" i="17"/>
  <c r="G683" i="17"/>
  <c r="D683" i="17"/>
  <c r="V683" i="17" s="1"/>
  <c r="A683" i="17"/>
  <c r="G682" i="17"/>
  <c r="D682" i="17"/>
  <c r="B682" i="17" s="1"/>
  <c r="W682" i="17" s="1"/>
  <c r="A682" i="17"/>
  <c r="G681" i="17"/>
  <c r="D681" i="17"/>
  <c r="A681" i="17"/>
  <c r="G680" i="17"/>
  <c r="D680" i="17"/>
  <c r="C680" i="17" s="1"/>
  <c r="X680" i="17" s="1"/>
  <c r="A680" i="17"/>
  <c r="G679" i="17"/>
  <c r="D679" i="17"/>
  <c r="B679" i="17" s="1"/>
  <c r="W679" i="17" s="1"/>
  <c r="A679" i="17"/>
  <c r="G678" i="17"/>
  <c r="D678" i="17"/>
  <c r="A678" i="17"/>
  <c r="G677" i="17"/>
  <c r="D677" i="17"/>
  <c r="V677" i="17" s="1"/>
  <c r="A677" i="17"/>
  <c r="G676" i="17"/>
  <c r="D676" i="17"/>
  <c r="C676" i="17" s="1"/>
  <c r="X676" i="17" s="1"/>
  <c r="A676" i="17"/>
  <c r="G675" i="17"/>
  <c r="D675" i="17"/>
  <c r="V675" i="17" s="1"/>
  <c r="A675" i="17"/>
  <c r="G674" i="17"/>
  <c r="D674" i="17"/>
  <c r="B674" i="17" s="1"/>
  <c r="W674" i="17" s="1"/>
  <c r="A674" i="17"/>
  <c r="G673" i="17"/>
  <c r="D673" i="17"/>
  <c r="A673" i="17"/>
  <c r="G672" i="17"/>
  <c r="D672" i="17"/>
  <c r="V672" i="17" s="1"/>
  <c r="A672" i="17"/>
  <c r="G671" i="17"/>
  <c r="D671" i="17"/>
  <c r="B671" i="17" s="1"/>
  <c r="W671" i="17" s="1"/>
  <c r="A671" i="17"/>
  <c r="G670" i="17"/>
  <c r="D670" i="17"/>
  <c r="A670" i="17"/>
  <c r="G669" i="17"/>
  <c r="D669" i="17"/>
  <c r="C669" i="17" s="1"/>
  <c r="X669" i="17" s="1"/>
  <c r="A669" i="17"/>
  <c r="G668" i="17"/>
  <c r="D668" i="17"/>
  <c r="B668" i="17" s="1"/>
  <c r="W668" i="17" s="1"/>
  <c r="A668" i="17"/>
  <c r="G667" i="17"/>
  <c r="D667" i="17"/>
  <c r="V667" i="17" s="1"/>
  <c r="A667" i="17"/>
  <c r="G666" i="17"/>
  <c r="D666" i="17"/>
  <c r="B666" i="17" s="1"/>
  <c r="W666" i="17" s="1"/>
  <c r="A666" i="17"/>
  <c r="G665" i="17"/>
  <c r="D665" i="17"/>
  <c r="A665" i="17"/>
  <c r="G664" i="17"/>
  <c r="D664" i="17"/>
  <c r="V664" i="17" s="1"/>
  <c r="A664" i="17"/>
  <c r="G663" i="17"/>
  <c r="D663" i="17"/>
  <c r="B663" i="17" s="1"/>
  <c r="W663" i="17" s="1"/>
  <c r="A663" i="17"/>
  <c r="G662" i="17"/>
  <c r="D662" i="17"/>
  <c r="A662" i="17"/>
  <c r="G661" i="17"/>
  <c r="D661" i="17"/>
  <c r="V661" i="17" s="1"/>
  <c r="A661" i="17"/>
  <c r="G660" i="17"/>
  <c r="D660" i="17"/>
  <c r="V660" i="17" s="1"/>
  <c r="A660" i="17"/>
  <c r="G659" i="17"/>
  <c r="D659" i="17"/>
  <c r="V659" i="17" s="1"/>
  <c r="A659" i="17"/>
  <c r="G658" i="17"/>
  <c r="D658" i="17"/>
  <c r="B658" i="17" s="1"/>
  <c r="W658" i="17" s="1"/>
  <c r="A658" i="17"/>
  <c r="G657" i="17"/>
  <c r="D657" i="17"/>
  <c r="A657" i="17"/>
  <c r="G656" i="17"/>
  <c r="D656" i="17"/>
  <c r="C656" i="17" s="1"/>
  <c r="X656" i="17" s="1"/>
  <c r="A656" i="17"/>
  <c r="G655" i="17"/>
  <c r="D655" i="17"/>
  <c r="B655" i="17" s="1"/>
  <c r="W655" i="17" s="1"/>
  <c r="A655" i="17"/>
  <c r="G654" i="17"/>
  <c r="D654" i="17"/>
  <c r="A654" i="17"/>
  <c r="G653" i="17"/>
  <c r="D653" i="17"/>
  <c r="C653" i="17" s="1"/>
  <c r="X653" i="17" s="1"/>
  <c r="A653" i="17"/>
  <c r="G652" i="17"/>
  <c r="D652" i="17"/>
  <c r="C652" i="17" s="1"/>
  <c r="X652" i="17" s="1"/>
  <c r="A652" i="17"/>
  <c r="G651" i="17"/>
  <c r="D651" i="17"/>
  <c r="V651" i="17" s="1"/>
  <c r="A651" i="17"/>
  <c r="G650" i="17"/>
  <c r="D650" i="17"/>
  <c r="B650" i="17" s="1"/>
  <c r="W650" i="17" s="1"/>
  <c r="A650" i="17"/>
  <c r="G649" i="17"/>
  <c r="D649" i="17"/>
  <c r="A649" i="17"/>
  <c r="G648" i="17"/>
  <c r="D648" i="17"/>
  <c r="C648" i="17" s="1"/>
  <c r="X648" i="17" s="1"/>
  <c r="A648" i="17"/>
  <c r="G647" i="17"/>
  <c r="D647" i="17"/>
  <c r="B647" i="17" s="1"/>
  <c r="W647" i="17" s="1"/>
  <c r="A647" i="17"/>
  <c r="G646" i="17"/>
  <c r="D646" i="17"/>
  <c r="A646" i="17"/>
  <c r="G645" i="17"/>
  <c r="D645" i="17"/>
  <c r="C645" i="17" s="1"/>
  <c r="X645" i="17" s="1"/>
  <c r="A645" i="17"/>
  <c r="G644" i="17"/>
  <c r="D644" i="17"/>
  <c r="B644" i="17" s="1"/>
  <c r="W644" i="17" s="1"/>
  <c r="A644" i="17"/>
  <c r="G643" i="17"/>
  <c r="D643" i="17"/>
  <c r="V643" i="17" s="1"/>
  <c r="A643" i="17"/>
  <c r="G642" i="17"/>
  <c r="D642" i="17"/>
  <c r="B642" i="17" s="1"/>
  <c r="W642" i="17" s="1"/>
  <c r="A642" i="17"/>
  <c r="G641" i="17"/>
  <c r="D641" i="17"/>
  <c r="A641" i="17"/>
  <c r="G640" i="17"/>
  <c r="D640" i="17"/>
  <c r="V640" i="17" s="1"/>
  <c r="A640" i="17"/>
  <c r="G639" i="17"/>
  <c r="D639" i="17"/>
  <c r="B639" i="17" s="1"/>
  <c r="W639" i="17" s="1"/>
  <c r="A639" i="17"/>
  <c r="G638" i="17"/>
  <c r="D638" i="17"/>
  <c r="A638" i="17"/>
  <c r="G637" i="17"/>
  <c r="D637" i="17"/>
  <c r="C637" i="17" s="1"/>
  <c r="X637" i="17" s="1"/>
  <c r="A637" i="17"/>
  <c r="G636" i="17"/>
  <c r="D636" i="17"/>
  <c r="B636" i="17" s="1"/>
  <c r="W636" i="17" s="1"/>
  <c r="A636" i="17"/>
  <c r="G635" i="17"/>
  <c r="D635" i="17"/>
  <c r="V635" i="17" s="1"/>
  <c r="A635" i="17"/>
  <c r="G634" i="17"/>
  <c r="D634" i="17"/>
  <c r="A634" i="17"/>
  <c r="G633" i="17"/>
  <c r="D633" i="17"/>
  <c r="C633" i="17" s="1"/>
  <c r="X633" i="17" s="1"/>
  <c r="A633" i="17"/>
  <c r="G632" i="17"/>
  <c r="D632" i="17"/>
  <c r="V632" i="17" s="1"/>
  <c r="A632" i="17"/>
  <c r="G631" i="17"/>
  <c r="D631" i="17"/>
  <c r="B631" i="17" s="1"/>
  <c r="W631" i="17" s="1"/>
  <c r="A631" i="17"/>
  <c r="G630" i="17"/>
  <c r="D630" i="17"/>
  <c r="A630" i="17"/>
  <c r="G629" i="17"/>
  <c r="D629" i="17"/>
  <c r="V629" i="17" s="1"/>
  <c r="A629" i="17"/>
  <c r="G628" i="17"/>
  <c r="D628" i="17"/>
  <c r="V628" i="17" s="1"/>
  <c r="A628" i="17"/>
  <c r="G627" i="17"/>
  <c r="D627" i="17"/>
  <c r="V627" i="17" s="1"/>
  <c r="A627" i="17"/>
  <c r="G626" i="17"/>
  <c r="D626" i="17"/>
  <c r="V626" i="17" s="1"/>
  <c r="A626" i="17"/>
  <c r="G625" i="17"/>
  <c r="D625" i="17"/>
  <c r="B625" i="17" s="1"/>
  <c r="W625" i="17" s="1"/>
  <c r="A625" i="17"/>
  <c r="G624" i="17"/>
  <c r="D624" i="17"/>
  <c r="C624" i="17" s="1"/>
  <c r="X624" i="17" s="1"/>
  <c r="A624" i="17"/>
  <c r="G623" i="17"/>
  <c r="D623" i="17"/>
  <c r="B623" i="17" s="1"/>
  <c r="W623" i="17" s="1"/>
  <c r="A623" i="17"/>
  <c r="G622" i="17"/>
  <c r="D622" i="17"/>
  <c r="C622" i="17" s="1"/>
  <c r="X622" i="17" s="1"/>
  <c r="A622" i="17"/>
  <c r="G621" i="17"/>
  <c r="D621" i="17"/>
  <c r="C621" i="17" s="1"/>
  <c r="X621" i="17" s="1"/>
  <c r="A621" i="17"/>
  <c r="G620" i="17"/>
  <c r="D620" i="17"/>
  <c r="V620" i="17" s="1"/>
  <c r="A620" i="17"/>
  <c r="G619" i="17"/>
  <c r="D619" i="17"/>
  <c r="V619" i="17" s="1"/>
  <c r="A619" i="17"/>
  <c r="G618" i="17"/>
  <c r="D618" i="17"/>
  <c r="V618" i="17" s="1"/>
  <c r="A618" i="17"/>
  <c r="G617" i="17"/>
  <c r="D617" i="17"/>
  <c r="V617" i="17" s="1"/>
  <c r="A617" i="17"/>
  <c r="G616" i="17"/>
  <c r="D616" i="17"/>
  <c r="C616" i="17" s="1"/>
  <c r="X616" i="17" s="1"/>
  <c r="A616" i="17"/>
  <c r="G615" i="17"/>
  <c r="D615" i="17"/>
  <c r="A615" i="17"/>
  <c r="G614" i="17"/>
  <c r="D614" i="17"/>
  <c r="C614" i="17" s="1"/>
  <c r="X614" i="17" s="1"/>
  <c r="A614" i="17"/>
  <c r="G613" i="17"/>
  <c r="D613" i="17"/>
  <c r="C613" i="17" s="1"/>
  <c r="X613" i="17" s="1"/>
  <c r="A613" i="17"/>
  <c r="G612" i="17"/>
  <c r="D612" i="17"/>
  <c r="B612" i="17" s="1"/>
  <c r="W612" i="17" s="1"/>
  <c r="A612" i="17"/>
  <c r="G611" i="17"/>
  <c r="D611" i="17"/>
  <c r="V611" i="17" s="1"/>
  <c r="A611" i="17"/>
  <c r="G610" i="17"/>
  <c r="D610" i="17"/>
  <c r="V610" i="17" s="1"/>
  <c r="A610" i="17"/>
  <c r="G609" i="17"/>
  <c r="D609" i="17"/>
  <c r="V609" i="17" s="1"/>
  <c r="A609" i="17"/>
  <c r="G596" i="17"/>
  <c r="D596" i="17"/>
  <c r="V596" i="17" s="1"/>
  <c r="A596" i="17"/>
  <c r="G595" i="17"/>
  <c r="D595" i="17"/>
  <c r="A595" i="17"/>
  <c r="G594" i="17"/>
  <c r="D594" i="17"/>
  <c r="C594" i="17" s="1"/>
  <c r="X594" i="17" s="1"/>
  <c r="A594" i="17"/>
  <c r="G593" i="17"/>
  <c r="D593" i="17"/>
  <c r="C593" i="17" s="1"/>
  <c r="X593" i="17" s="1"/>
  <c r="A593" i="17"/>
  <c r="G592" i="17"/>
  <c r="D592" i="17"/>
  <c r="B592" i="17" s="1"/>
  <c r="W592" i="17" s="1"/>
  <c r="A592" i="17"/>
  <c r="G591" i="17"/>
  <c r="D591" i="17"/>
  <c r="V591" i="17" s="1"/>
  <c r="A591" i="17"/>
  <c r="G590" i="17"/>
  <c r="D590" i="17"/>
  <c r="V590" i="17" s="1"/>
  <c r="A590" i="17"/>
  <c r="G589" i="17"/>
  <c r="D589" i="17"/>
  <c r="V589" i="17" s="1"/>
  <c r="A589" i="17"/>
  <c r="G588" i="17"/>
  <c r="D588" i="17"/>
  <c r="V588" i="17" s="1"/>
  <c r="A588" i="17"/>
  <c r="G587" i="17"/>
  <c r="D587" i="17"/>
  <c r="A587" i="17"/>
  <c r="G586" i="17"/>
  <c r="D586" i="17"/>
  <c r="A586" i="17"/>
  <c r="G585" i="17"/>
  <c r="D585" i="17"/>
  <c r="V585" i="17" s="1"/>
  <c r="A585" i="17"/>
  <c r="G584" i="17"/>
  <c r="D584" i="17"/>
  <c r="C584" i="17" s="1"/>
  <c r="X584" i="17" s="1"/>
  <c r="A584" i="17"/>
  <c r="G583" i="17"/>
  <c r="D583" i="17"/>
  <c r="V583" i="17" s="1"/>
  <c r="A583" i="17"/>
  <c r="G582" i="17"/>
  <c r="D582" i="17"/>
  <c r="B582" i="17" s="1"/>
  <c r="W582" i="17" s="1"/>
  <c r="A582" i="17"/>
  <c r="G581" i="17"/>
  <c r="D581" i="17"/>
  <c r="V581" i="17" s="1"/>
  <c r="A581" i="17"/>
  <c r="G580" i="17"/>
  <c r="D580" i="17"/>
  <c r="V580" i="17" s="1"/>
  <c r="A580" i="17"/>
  <c r="G579" i="17"/>
  <c r="D579" i="17"/>
  <c r="C579" i="17" s="1"/>
  <c r="X579" i="17" s="1"/>
  <c r="A579" i="17"/>
  <c r="G578" i="17"/>
  <c r="D578" i="17"/>
  <c r="A578" i="17"/>
  <c r="G577" i="17"/>
  <c r="D577" i="17"/>
  <c r="C577" i="17" s="1"/>
  <c r="X577" i="17" s="1"/>
  <c r="A577" i="17"/>
  <c r="G576" i="17"/>
  <c r="D576" i="17"/>
  <c r="C576" i="17" s="1"/>
  <c r="X576" i="17" s="1"/>
  <c r="A576" i="17"/>
  <c r="G575" i="17"/>
  <c r="D575" i="17"/>
  <c r="V575" i="17" s="1"/>
  <c r="A575" i="17"/>
  <c r="G574" i="17"/>
  <c r="D574" i="17"/>
  <c r="V574" i="17" s="1"/>
  <c r="A574" i="17"/>
  <c r="G573" i="17"/>
  <c r="D573" i="17"/>
  <c r="V573" i="17" s="1"/>
  <c r="A573" i="17"/>
  <c r="G572" i="17"/>
  <c r="D572" i="17"/>
  <c r="V572" i="17" s="1"/>
  <c r="A572" i="17"/>
  <c r="G571" i="17"/>
  <c r="D571" i="17"/>
  <c r="C571" i="17" s="1"/>
  <c r="X571" i="17" s="1"/>
  <c r="A571" i="17"/>
  <c r="G570" i="17"/>
  <c r="D570" i="17"/>
  <c r="A570" i="17"/>
  <c r="G569" i="17"/>
  <c r="D569" i="17"/>
  <c r="V569" i="17" s="1"/>
  <c r="A569" i="17"/>
  <c r="G568" i="17"/>
  <c r="D568" i="17"/>
  <c r="C568" i="17" s="1"/>
  <c r="X568" i="17" s="1"/>
  <c r="A568" i="17"/>
  <c r="G567" i="17"/>
  <c r="D567" i="17"/>
  <c r="V567" i="17" s="1"/>
  <c r="A567" i="17"/>
  <c r="G566" i="17"/>
  <c r="D566" i="17"/>
  <c r="C566" i="17" s="1"/>
  <c r="X566" i="17" s="1"/>
  <c r="A566" i="17"/>
  <c r="G565" i="17"/>
  <c r="D565" i="17"/>
  <c r="V565" i="17" s="1"/>
  <c r="A565" i="17"/>
  <c r="G564" i="17"/>
  <c r="D564" i="17"/>
  <c r="V564" i="17" s="1"/>
  <c r="A564" i="17"/>
  <c r="G563" i="17"/>
  <c r="D563" i="17"/>
  <c r="C563" i="17" s="1"/>
  <c r="X563" i="17" s="1"/>
  <c r="A563" i="17"/>
  <c r="G562" i="17"/>
  <c r="D562" i="17"/>
  <c r="A562" i="17"/>
  <c r="G561" i="17"/>
  <c r="D561" i="17"/>
  <c r="V561" i="17" s="1"/>
  <c r="A561" i="17"/>
  <c r="G560" i="17"/>
  <c r="D560" i="17"/>
  <c r="C560" i="17" s="1"/>
  <c r="X560" i="17" s="1"/>
  <c r="A560" i="17"/>
  <c r="G559" i="17"/>
  <c r="D559" i="17"/>
  <c r="V559" i="17" s="1"/>
  <c r="A559" i="17"/>
  <c r="G558" i="17"/>
  <c r="D558" i="17"/>
  <c r="V558" i="17" s="1"/>
  <c r="A558" i="17"/>
  <c r="G557" i="17"/>
  <c r="D557" i="17"/>
  <c r="V557" i="17" s="1"/>
  <c r="A557" i="17"/>
  <c r="G556" i="17"/>
  <c r="D556" i="17"/>
  <c r="V556" i="17" s="1"/>
  <c r="A556" i="17"/>
  <c r="G555" i="17"/>
  <c r="D555" i="17"/>
  <c r="C555" i="17" s="1"/>
  <c r="X555" i="17" s="1"/>
  <c r="A555" i="17"/>
  <c r="G554" i="17"/>
  <c r="D554" i="17"/>
  <c r="A554" i="17"/>
  <c r="G553" i="17"/>
  <c r="D553" i="17"/>
  <c r="V553" i="17" s="1"/>
  <c r="A553" i="17"/>
  <c r="G552" i="17"/>
  <c r="D552" i="17"/>
  <c r="C552" i="17" s="1"/>
  <c r="X552" i="17" s="1"/>
  <c r="A552" i="17"/>
  <c r="G551" i="17"/>
  <c r="D551" i="17"/>
  <c r="V551" i="17" s="1"/>
  <c r="A551" i="17"/>
  <c r="G550" i="17"/>
  <c r="D550" i="17"/>
  <c r="V550" i="17" s="1"/>
  <c r="A550" i="17"/>
  <c r="G549" i="17"/>
  <c r="D549" i="17"/>
  <c r="B549" i="17" s="1"/>
  <c r="W549" i="17" s="1"/>
  <c r="A549" i="17"/>
  <c r="G548" i="17"/>
  <c r="D548" i="17"/>
  <c r="V548" i="17" s="1"/>
  <c r="A548" i="17"/>
  <c r="G547" i="17"/>
  <c r="D547" i="17"/>
  <c r="B547" i="17" s="1"/>
  <c r="W547" i="17" s="1"/>
  <c r="A547" i="17"/>
  <c r="G546" i="17"/>
  <c r="D546" i="17"/>
  <c r="B546" i="17" s="1"/>
  <c r="W546" i="17" s="1"/>
  <c r="A546" i="17"/>
  <c r="G545" i="17"/>
  <c r="D545" i="17"/>
  <c r="V545" i="17" s="1"/>
  <c r="A545" i="17"/>
  <c r="G544" i="17"/>
  <c r="D544" i="17"/>
  <c r="A544" i="17"/>
  <c r="G543" i="17"/>
  <c r="D543" i="17"/>
  <c r="V543" i="17" s="1"/>
  <c r="A543" i="17"/>
  <c r="G542" i="17"/>
  <c r="D542" i="17"/>
  <c r="V542" i="17" s="1"/>
  <c r="A542" i="17"/>
  <c r="G541" i="17"/>
  <c r="D541" i="17"/>
  <c r="C541" i="17" s="1"/>
  <c r="X541" i="17" s="1"/>
  <c r="A541" i="17"/>
  <c r="G540" i="17"/>
  <c r="D540" i="17"/>
  <c r="V540" i="17" s="1"/>
  <c r="A540" i="17"/>
  <c r="G539" i="17"/>
  <c r="D539" i="17"/>
  <c r="B539" i="17" s="1"/>
  <c r="W539" i="17" s="1"/>
  <c r="A539" i="17"/>
  <c r="G538" i="17"/>
  <c r="D538" i="17"/>
  <c r="A538" i="17"/>
  <c r="G537" i="17"/>
  <c r="D537" i="17"/>
  <c r="B537" i="17" s="1"/>
  <c r="W537" i="17" s="1"/>
  <c r="A537" i="17"/>
  <c r="G536" i="17"/>
  <c r="D536" i="17"/>
  <c r="B536" i="17" s="1"/>
  <c r="W536" i="17" s="1"/>
  <c r="A536" i="17"/>
  <c r="G535" i="17"/>
  <c r="D535" i="17"/>
  <c r="V535" i="17" s="1"/>
  <c r="A535" i="17"/>
  <c r="G534" i="17"/>
  <c r="D534" i="17"/>
  <c r="B534" i="17" s="1"/>
  <c r="W534" i="17" s="1"/>
  <c r="A534" i="17"/>
  <c r="G533" i="17"/>
  <c r="D533" i="17"/>
  <c r="A533" i="17"/>
  <c r="G532" i="17"/>
  <c r="D532" i="17"/>
  <c r="B532" i="17" s="1"/>
  <c r="W532" i="17" s="1"/>
  <c r="A532" i="17"/>
  <c r="G531" i="17"/>
  <c r="D531" i="17"/>
  <c r="C531" i="17" s="1"/>
  <c r="X531" i="17" s="1"/>
  <c r="A531" i="17"/>
  <c r="G530" i="17"/>
  <c r="D530" i="17"/>
  <c r="V530" i="17" s="1"/>
  <c r="A530" i="17"/>
  <c r="G529" i="17"/>
  <c r="D529" i="17"/>
  <c r="V529" i="17" s="1"/>
  <c r="A529" i="17"/>
  <c r="G528" i="17"/>
  <c r="D528" i="17"/>
  <c r="V528" i="17" s="1"/>
  <c r="A528" i="17"/>
  <c r="G527" i="17"/>
  <c r="D527" i="17"/>
  <c r="V527" i="17" s="1"/>
  <c r="A527" i="17"/>
  <c r="G526" i="17"/>
  <c r="D526" i="17"/>
  <c r="B526" i="17" s="1"/>
  <c r="W526" i="17" s="1"/>
  <c r="A526" i="17"/>
  <c r="G525" i="17"/>
  <c r="D525" i="17"/>
  <c r="A525" i="17"/>
  <c r="G524" i="17"/>
  <c r="D524" i="17"/>
  <c r="V524" i="17" s="1"/>
  <c r="A524" i="17"/>
  <c r="G523" i="17"/>
  <c r="D523" i="17"/>
  <c r="C523" i="17" s="1"/>
  <c r="X523" i="17" s="1"/>
  <c r="A523" i="17"/>
  <c r="G522" i="17"/>
  <c r="D522" i="17"/>
  <c r="V522" i="17" s="1"/>
  <c r="A522" i="17"/>
  <c r="G521" i="17"/>
  <c r="D521" i="17"/>
  <c r="V521" i="17" s="1"/>
  <c r="A521" i="17"/>
  <c r="G520" i="17"/>
  <c r="D520" i="17"/>
  <c r="V520" i="17" s="1"/>
  <c r="A520" i="17"/>
  <c r="G519" i="17"/>
  <c r="D519" i="17"/>
  <c r="V519" i="17" s="1"/>
  <c r="A519" i="17"/>
  <c r="G518" i="17"/>
  <c r="D518" i="17"/>
  <c r="B518" i="17" s="1"/>
  <c r="W518" i="17" s="1"/>
  <c r="A518" i="17"/>
  <c r="G517" i="17"/>
  <c r="D517" i="17"/>
  <c r="A517" i="17"/>
  <c r="G516" i="17"/>
  <c r="D516" i="17"/>
  <c r="C516" i="17" s="1"/>
  <c r="X516" i="17" s="1"/>
  <c r="A516" i="17"/>
  <c r="G515" i="17"/>
  <c r="D515" i="17"/>
  <c r="C515" i="17" s="1"/>
  <c r="X515" i="17" s="1"/>
  <c r="A515" i="17"/>
  <c r="G514" i="17"/>
  <c r="D514" i="17"/>
  <c r="V514" i="17" s="1"/>
  <c r="A514" i="17"/>
  <c r="G513" i="17"/>
  <c r="D513" i="17"/>
  <c r="V513" i="17" s="1"/>
  <c r="A513" i="17"/>
  <c r="G512" i="17"/>
  <c r="D512" i="17"/>
  <c r="V512" i="17" s="1"/>
  <c r="A512" i="17"/>
  <c r="G511" i="17"/>
  <c r="D511" i="17"/>
  <c r="V511" i="17" s="1"/>
  <c r="A511" i="17"/>
  <c r="G510" i="17"/>
  <c r="D510" i="17"/>
  <c r="B510" i="17" s="1"/>
  <c r="W510" i="17" s="1"/>
  <c r="A510" i="17"/>
  <c r="G509" i="17"/>
  <c r="D509" i="17"/>
  <c r="A509" i="17"/>
  <c r="G508" i="17"/>
  <c r="D508" i="17"/>
  <c r="V508" i="17" s="1"/>
  <c r="A508" i="17"/>
  <c r="G507" i="17"/>
  <c r="D507" i="17"/>
  <c r="C507" i="17" s="1"/>
  <c r="X507" i="17" s="1"/>
  <c r="A507" i="17"/>
  <c r="G506" i="17"/>
  <c r="D506" i="17"/>
  <c r="V506" i="17" s="1"/>
  <c r="A506" i="17"/>
  <c r="G505" i="17"/>
  <c r="D505" i="17"/>
  <c r="C505" i="17" s="1"/>
  <c r="X505" i="17" s="1"/>
  <c r="A505" i="17"/>
  <c r="G504" i="17"/>
  <c r="D504" i="17"/>
  <c r="V504" i="17" s="1"/>
  <c r="A504" i="17"/>
  <c r="G503" i="17"/>
  <c r="D503" i="17"/>
  <c r="V503" i="17" s="1"/>
  <c r="A503" i="17"/>
  <c r="G502" i="17"/>
  <c r="D502" i="17"/>
  <c r="B502" i="17" s="1"/>
  <c r="W502" i="17" s="1"/>
  <c r="A502" i="17"/>
  <c r="G501" i="17"/>
  <c r="D501" i="17"/>
  <c r="A501" i="17"/>
  <c r="G500" i="17"/>
  <c r="D500" i="17"/>
  <c r="V500" i="17" s="1"/>
  <c r="A500" i="17"/>
  <c r="G499" i="17"/>
  <c r="D499" i="17"/>
  <c r="C499" i="17" s="1"/>
  <c r="X499" i="17" s="1"/>
  <c r="A499" i="17"/>
  <c r="G498" i="17"/>
  <c r="D498" i="17"/>
  <c r="V498" i="17" s="1"/>
  <c r="A498" i="17"/>
  <c r="G497" i="17"/>
  <c r="D497" i="17"/>
  <c r="B497" i="17" s="1"/>
  <c r="W497" i="17" s="1"/>
  <c r="A497" i="17"/>
  <c r="G496" i="17"/>
  <c r="D496" i="17"/>
  <c r="A496" i="17"/>
  <c r="G495" i="17"/>
  <c r="D495" i="17"/>
  <c r="V495" i="17" s="1"/>
  <c r="A495" i="17"/>
  <c r="G494" i="17"/>
  <c r="D494" i="17"/>
  <c r="B494" i="17" s="1"/>
  <c r="W494" i="17" s="1"/>
  <c r="A494" i="17"/>
  <c r="G493" i="17"/>
  <c r="D493" i="17"/>
  <c r="A493" i="17"/>
  <c r="G492" i="17"/>
  <c r="D492" i="17"/>
  <c r="C492" i="17" s="1"/>
  <c r="X492" i="17" s="1"/>
  <c r="A492" i="17"/>
  <c r="G491" i="17"/>
  <c r="D491" i="17"/>
  <c r="C491" i="17" s="1"/>
  <c r="X491" i="17" s="1"/>
  <c r="A491" i="17"/>
  <c r="G490" i="17"/>
  <c r="D490" i="17"/>
  <c r="V490" i="17" s="1"/>
  <c r="A490" i="17"/>
  <c r="G489" i="17"/>
  <c r="D489" i="17"/>
  <c r="C489" i="17" s="1"/>
  <c r="X489" i="17" s="1"/>
  <c r="A489" i="17"/>
  <c r="G488" i="17"/>
  <c r="D488" i="17"/>
  <c r="A488" i="17"/>
  <c r="G487" i="17"/>
  <c r="D487" i="17"/>
  <c r="V487" i="17" s="1"/>
  <c r="A487" i="17"/>
  <c r="G486" i="17"/>
  <c r="D486" i="17"/>
  <c r="B486" i="17" s="1"/>
  <c r="W486" i="17" s="1"/>
  <c r="A486" i="17"/>
  <c r="G485" i="17"/>
  <c r="D485" i="17"/>
  <c r="A485" i="17"/>
  <c r="G484" i="17"/>
  <c r="D484" i="17"/>
  <c r="V484" i="17" s="1"/>
  <c r="A484" i="17"/>
  <c r="G483" i="17"/>
  <c r="D483" i="17"/>
  <c r="C483" i="17" s="1"/>
  <c r="X483" i="17" s="1"/>
  <c r="A483" i="17"/>
  <c r="G482" i="17"/>
  <c r="D482" i="17"/>
  <c r="V482" i="17" s="1"/>
  <c r="A482" i="17"/>
  <c r="G481" i="17"/>
  <c r="D481" i="17"/>
  <c r="C481" i="17" s="1"/>
  <c r="X481" i="17" s="1"/>
  <c r="A481" i="17"/>
  <c r="G480" i="17"/>
  <c r="D480" i="17"/>
  <c r="A480" i="17"/>
  <c r="G479" i="17"/>
  <c r="D479" i="17"/>
  <c r="V479" i="17" s="1"/>
  <c r="A479" i="17"/>
  <c r="G478" i="17"/>
  <c r="D478" i="17"/>
  <c r="B478" i="17" s="1"/>
  <c r="W478" i="17" s="1"/>
  <c r="A478" i="17"/>
  <c r="G477" i="17"/>
  <c r="D477" i="17"/>
  <c r="A477" i="17"/>
  <c r="G476" i="17"/>
  <c r="D476" i="17"/>
  <c r="V476" i="17" s="1"/>
  <c r="A476" i="17"/>
  <c r="G475" i="17"/>
  <c r="D475" i="17"/>
  <c r="C475" i="17" s="1"/>
  <c r="X475" i="17" s="1"/>
  <c r="A475" i="17"/>
  <c r="G474" i="17"/>
  <c r="D474" i="17"/>
  <c r="V474" i="17" s="1"/>
  <c r="A474" i="17"/>
  <c r="G473" i="17"/>
  <c r="D473" i="17"/>
  <c r="V473" i="17" s="1"/>
  <c r="A473" i="17"/>
  <c r="G472" i="17"/>
  <c r="D472" i="17"/>
  <c r="A472" i="17"/>
  <c r="G471" i="17"/>
  <c r="D471" i="17"/>
  <c r="B471" i="17" s="1"/>
  <c r="W471" i="17" s="1"/>
  <c r="A471" i="17"/>
  <c r="G470" i="17"/>
  <c r="D470" i="17"/>
  <c r="B470" i="17" s="1"/>
  <c r="W470" i="17" s="1"/>
  <c r="A470" i="17"/>
  <c r="G469" i="17"/>
  <c r="D469" i="17"/>
  <c r="C469" i="17" s="1"/>
  <c r="X469" i="17" s="1"/>
  <c r="A469" i="17"/>
  <c r="G468" i="17"/>
  <c r="D468" i="17"/>
  <c r="C468" i="17" s="1"/>
  <c r="X468" i="17" s="1"/>
  <c r="A468" i="17"/>
  <c r="G467" i="17"/>
  <c r="D467" i="17"/>
  <c r="V467" i="17" s="1"/>
  <c r="A467" i="17"/>
  <c r="G466" i="17"/>
  <c r="D466" i="17"/>
  <c r="B466" i="17" s="1"/>
  <c r="W466" i="17" s="1"/>
  <c r="A466" i="17"/>
  <c r="G465" i="17"/>
  <c r="D465" i="17"/>
  <c r="V465" i="17" s="1"/>
  <c r="A465" i="17"/>
  <c r="G464" i="17"/>
  <c r="D464" i="17"/>
  <c r="B464" i="17" s="1"/>
  <c r="W464" i="17" s="1"/>
  <c r="A464" i="17"/>
  <c r="G463" i="17"/>
  <c r="D463" i="17"/>
  <c r="V463" i="17" s="1"/>
  <c r="A463" i="17"/>
  <c r="G462" i="17"/>
  <c r="D462" i="17"/>
  <c r="B462" i="17" s="1"/>
  <c r="W462" i="17" s="1"/>
  <c r="A462" i="17"/>
  <c r="G461" i="17"/>
  <c r="D461" i="17"/>
  <c r="C461" i="17" s="1"/>
  <c r="X461" i="17" s="1"/>
  <c r="A461" i="17"/>
  <c r="G460" i="17"/>
  <c r="D460" i="17"/>
  <c r="C460" i="17" s="1"/>
  <c r="X460" i="17" s="1"/>
  <c r="A460" i="17"/>
  <c r="G459" i="17"/>
  <c r="D459" i="17"/>
  <c r="C459" i="17" s="1"/>
  <c r="X459" i="17" s="1"/>
  <c r="A459" i="17"/>
  <c r="G458" i="17"/>
  <c r="D458" i="17"/>
  <c r="V458" i="17" s="1"/>
  <c r="A458" i="17"/>
  <c r="G457" i="17"/>
  <c r="D457" i="17"/>
  <c r="V457" i="17" s="1"/>
  <c r="A457" i="17"/>
  <c r="G456" i="17"/>
  <c r="D456" i="17"/>
  <c r="V456" i="17" s="1"/>
  <c r="A456" i="17"/>
  <c r="G455" i="17"/>
  <c r="D455" i="17"/>
  <c r="B455" i="17" s="1"/>
  <c r="W455" i="17" s="1"/>
  <c r="A455" i="17"/>
  <c r="G454" i="17"/>
  <c r="D454" i="17"/>
  <c r="C454" i="17" s="1"/>
  <c r="X454" i="17" s="1"/>
  <c r="A454" i="17"/>
  <c r="G453" i="17"/>
  <c r="D453" i="17"/>
  <c r="V453" i="17" s="1"/>
  <c r="A453" i="17"/>
  <c r="G452" i="17"/>
  <c r="D452" i="17"/>
  <c r="C452" i="17" s="1"/>
  <c r="X452" i="17" s="1"/>
  <c r="A452" i="17"/>
  <c r="G451" i="17"/>
  <c r="D451" i="17"/>
  <c r="V451" i="17" s="1"/>
  <c r="A451" i="17"/>
  <c r="G450" i="17"/>
  <c r="D450" i="17"/>
  <c r="C450" i="17" s="1"/>
  <c r="X450" i="17" s="1"/>
  <c r="A450" i="17"/>
  <c r="G449" i="17"/>
  <c r="D449" i="17"/>
  <c r="C449" i="17" s="1"/>
  <c r="X449" i="17" s="1"/>
  <c r="A449" i="17"/>
  <c r="G448" i="17"/>
  <c r="D448" i="17"/>
  <c r="V448" i="17" s="1"/>
  <c r="A448" i="17"/>
  <c r="G447" i="17"/>
  <c r="D447" i="17"/>
  <c r="B447" i="17" s="1"/>
  <c r="W447" i="17" s="1"/>
  <c r="A447" i="17"/>
  <c r="G446" i="17"/>
  <c r="D446" i="17"/>
  <c r="C446" i="17" s="1"/>
  <c r="X446" i="17" s="1"/>
  <c r="A446" i="17"/>
  <c r="G445" i="17"/>
  <c r="Y445" i="17"/>
  <c r="D445" i="17"/>
  <c r="V445" i="17" s="1"/>
  <c r="A445" i="17"/>
  <c r="G444" i="17"/>
  <c r="D444" i="17"/>
  <c r="C444" i="17" s="1"/>
  <c r="X444" i="17" s="1"/>
  <c r="A444" i="17"/>
  <c r="G443" i="17"/>
  <c r="Y443" i="17"/>
  <c r="D443" i="17"/>
  <c r="V443" i="17" s="1"/>
  <c r="A443" i="17"/>
  <c r="G442" i="17"/>
  <c r="D442" i="17"/>
  <c r="C442" i="17" s="1"/>
  <c r="X442" i="17" s="1"/>
  <c r="A442" i="17"/>
  <c r="G441" i="17"/>
  <c r="D441" i="17"/>
  <c r="C441" i="17" s="1"/>
  <c r="X441" i="17" s="1"/>
  <c r="A441" i="17"/>
  <c r="G440" i="17"/>
  <c r="D440" i="17"/>
  <c r="V440" i="17" s="1"/>
  <c r="A440" i="17"/>
  <c r="G439" i="17"/>
  <c r="D439" i="17"/>
  <c r="B439" i="17" s="1"/>
  <c r="W439" i="17" s="1"/>
  <c r="A439" i="17"/>
  <c r="G438" i="17"/>
  <c r="D438" i="17"/>
  <c r="C438" i="17" s="1"/>
  <c r="X438" i="17" s="1"/>
  <c r="A438" i="17"/>
  <c r="G437" i="17"/>
  <c r="D437" i="17"/>
  <c r="V437" i="17" s="1"/>
  <c r="A437" i="17"/>
  <c r="G436" i="17"/>
  <c r="D436" i="17"/>
  <c r="C436" i="17" s="1"/>
  <c r="X436" i="17" s="1"/>
  <c r="A436" i="17"/>
  <c r="G435" i="17"/>
  <c r="D435" i="17"/>
  <c r="V435" i="17" s="1"/>
  <c r="A435" i="17"/>
  <c r="G434" i="17"/>
  <c r="D434" i="17"/>
  <c r="C434" i="17" s="1"/>
  <c r="X434" i="17" s="1"/>
  <c r="A434" i="17"/>
  <c r="G433" i="17"/>
  <c r="D433" i="17"/>
  <c r="C433" i="17" s="1"/>
  <c r="X433" i="17" s="1"/>
  <c r="A433" i="17"/>
  <c r="G432" i="17"/>
  <c r="D432" i="17"/>
  <c r="V432" i="17" s="1"/>
  <c r="A432" i="17"/>
  <c r="G431" i="17"/>
  <c r="D431" i="17"/>
  <c r="B431" i="17" s="1"/>
  <c r="W431" i="17" s="1"/>
  <c r="A431" i="17"/>
  <c r="G430" i="17"/>
  <c r="D430" i="17"/>
  <c r="C430" i="17" s="1"/>
  <c r="X430" i="17" s="1"/>
  <c r="A430" i="17"/>
  <c r="G429" i="17"/>
  <c r="D429" i="17"/>
  <c r="V429" i="17" s="1"/>
  <c r="A429" i="17"/>
  <c r="G428" i="17"/>
  <c r="D428" i="17"/>
  <c r="C428" i="17" s="1"/>
  <c r="X428" i="17" s="1"/>
  <c r="A428" i="17"/>
  <c r="G427" i="17"/>
  <c r="D427" i="17"/>
  <c r="V427" i="17" s="1"/>
  <c r="A427" i="17"/>
  <c r="G426" i="17"/>
  <c r="D426" i="17"/>
  <c r="C426" i="17" s="1"/>
  <c r="X426" i="17" s="1"/>
  <c r="A426" i="17"/>
  <c r="G425" i="17"/>
  <c r="D425" i="17"/>
  <c r="V425" i="17" s="1"/>
  <c r="A425" i="17"/>
  <c r="G424" i="17"/>
  <c r="D424" i="17"/>
  <c r="V424" i="17" s="1"/>
  <c r="A424" i="17"/>
  <c r="G423" i="17"/>
  <c r="D423" i="17"/>
  <c r="B423" i="17" s="1"/>
  <c r="W423" i="17" s="1"/>
  <c r="A423" i="17"/>
  <c r="G422" i="17"/>
  <c r="D422" i="17"/>
  <c r="C422" i="17" s="1"/>
  <c r="X422" i="17" s="1"/>
  <c r="A422" i="17"/>
  <c r="G421" i="17"/>
  <c r="D421" i="17"/>
  <c r="V421" i="17" s="1"/>
  <c r="A421" i="17"/>
  <c r="G420" i="17"/>
  <c r="D420" i="17"/>
  <c r="C420" i="17" s="1"/>
  <c r="X420" i="17" s="1"/>
  <c r="A420" i="17"/>
  <c r="G419" i="17"/>
  <c r="D419" i="17"/>
  <c r="V419" i="17" s="1"/>
  <c r="A419" i="17"/>
  <c r="G418" i="17"/>
  <c r="D418" i="17"/>
  <c r="C418" i="17" s="1"/>
  <c r="X418" i="17" s="1"/>
  <c r="A418" i="17"/>
  <c r="G417" i="17"/>
  <c r="D417" i="17"/>
  <c r="C417" i="17" s="1"/>
  <c r="X417" i="17" s="1"/>
  <c r="A417" i="17"/>
  <c r="G416" i="17"/>
  <c r="D416" i="17"/>
  <c r="V416" i="17" s="1"/>
  <c r="A416" i="17"/>
  <c r="G415" i="17"/>
  <c r="D415" i="17"/>
  <c r="B415" i="17" s="1"/>
  <c r="W415" i="17" s="1"/>
  <c r="A415" i="17"/>
  <c r="G414" i="17"/>
  <c r="D414" i="17"/>
  <c r="A414" i="17"/>
  <c r="G413" i="17"/>
  <c r="D413" i="17"/>
  <c r="A413" i="17"/>
  <c r="G412" i="17"/>
  <c r="D412" i="17"/>
  <c r="C412" i="17" s="1"/>
  <c r="X412" i="17" s="1"/>
  <c r="A412" i="17"/>
  <c r="G411" i="17"/>
  <c r="D411" i="17"/>
  <c r="V411" i="17" s="1"/>
  <c r="A411" i="17"/>
  <c r="G410" i="17"/>
  <c r="D410" i="17"/>
  <c r="C410" i="17" s="1"/>
  <c r="X410" i="17" s="1"/>
  <c r="A410" i="17"/>
  <c r="G409" i="17"/>
  <c r="D409" i="17"/>
  <c r="A409" i="17"/>
  <c r="G408" i="17"/>
  <c r="D408" i="17"/>
  <c r="V408" i="17" s="1"/>
  <c r="A408" i="17"/>
  <c r="G407" i="17"/>
  <c r="D407" i="17"/>
  <c r="B407" i="17" s="1"/>
  <c r="W407" i="17" s="1"/>
  <c r="A407" i="17"/>
  <c r="G406" i="17"/>
  <c r="D406" i="17"/>
  <c r="A406" i="17"/>
  <c r="G405" i="17"/>
  <c r="D405" i="17"/>
  <c r="V405" i="17" s="1"/>
  <c r="A405" i="17"/>
  <c r="G404" i="17"/>
  <c r="D404" i="17"/>
  <c r="C404" i="17" s="1"/>
  <c r="X404" i="17" s="1"/>
  <c r="A404" i="17"/>
  <c r="G403" i="17"/>
  <c r="D403" i="17"/>
  <c r="V403" i="17" s="1"/>
  <c r="A403" i="17"/>
  <c r="G402" i="17"/>
  <c r="D402" i="17"/>
  <c r="C402" i="17" s="1"/>
  <c r="X402" i="17" s="1"/>
  <c r="A402" i="17"/>
  <c r="G401" i="17"/>
  <c r="D401" i="17"/>
  <c r="C401" i="17" s="1"/>
  <c r="X401" i="17" s="1"/>
  <c r="A401" i="17"/>
  <c r="G400" i="17"/>
  <c r="D400" i="17"/>
  <c r="V400" i="17" s="1"/>
  <c r="A400" i="17"/>
  <c r="G399" i="17"/>
  <c r="D399" i="17"/>
  <c r="B399" i="17" s="1"/>
  <c r="W399" i="17" s="1"/>
  <c r="A399" i="17"/>
  <c r="G398" i="17"/>
  <c r="D398" i="17"/>
  <c r="A398" i="17"/>
  <c r="G397" i="17"/>
  <c r="D397" i="17"/>
  <c r="C397" i="17" s="1"/>
  <c r="X397" i="17" s="1"/>
  <c r="A397" i="17"/>
  <c r="G396" i="17"/>
  <c r="D396" i="17"/>
  <c r="C396" i="17" s="1"/>
  <c r="X396" i="17" s="1"/>
  <c r="A396" i="17"/>
  <c r="G395" i="17"/>
  <c r="D395" i="17"/>
  <c r="V395" i="17" s="1"/>
  <c r="A395" i="17"/>
  <c r="G394" i="17"/>
  <c r="D394" i="17"/>
  <c r="C394" i="17" s="1"/>
  <c r="X394" i="17" s="1"/>
  <c r="A394" i="17"/>
  <c r="G393" i="17"/>
  <c r="D393" i="17"/>
  <c r="A393" i="17"/>
  <c r="G392" i="17"/>
  <c r="D392" i="17"/>
  <c r="B392" i="17" s="1"/>
  <c r="W392" i="17" s="1"/>
  <c r="A392" i="17"/>
  <c r="G391" i="17"/>
  <c r="D391" i="17"/>
  <c r="A391" i="17"/>
  <c r="G390" i="17"/>
  <c r="D390" i="17"/>
  <c r="C390" i="17" s="1"/>
  <c r="X390" i="17" s="1"/>
  <c r="A390" i="17"/>
  <c r="G389" i="17"/>
  <c r="D389" i="17"/>
  <c r="V389" i="17" s="1"/>
  <c r="A389" i="17"/>
  <c r="G388" i="17"/>
  <c r="D388" i="17"/>
  <c r="V388" i="17" s="1"/>
  <c r="A388" i="17"/>
  <c r="G387" i="17"/>
  <c r="D387" i="17"/>
  <c r="C387" i="17" s="1"/>
  <c r="X387" i="17" s="1"/>
  <c r="A387" i="17"/>
  <c r="G386" i="17"/>
  <c r="D386" i="17"/>
  <c r="C386" i="17" s="1"/>
  <c r="X386" i="17" s="1"/>
  <c r="A386" i="17"/>
  <c r="G385" i="17"/>
  <c r="D385" i="17"/>
  <c r="C385" i="17" s="1"/>
  <c r="X385" i="17" s="1"/>
  <c r="A385" i="17"/>
  <c r="G384" i="17"/>
  <c r="D384" i="17"/>
  <c r="C384" i="17" s="1"/>
  <c r="X384" i="17" s="1"/>
  <c r="A384" i="17"/>
  <c r="G383" i="17"/>
  <c r="D383" i="17"/>
  <c r="B383" i="17" s="1"/>
  <c r="W383" i="17" s="1"/>
  <c r="A383" i="17"/>
  <c r="G382" i="17"/>
  <c r="D382" i="17"/>
  <c r="C382" i="17" s="1"/>
  <c r="X382" i="17" s="1"/>
  <c r="A382" i="17"/>
  <c r="G381" i="17"/>
  <c r="D381" i="17"/>
  <c r="V381" i="17" s="1"/>
  <c r="A381" i="17"/>
  <c r="G380" i="17"/>
  <c r="D380" i="17"/>
  <c r="V380" i="17" s="1"/>
  <c r="A380" i="17"/>
  <c r="G379" i="17"/>
  <c r="D379" i="17"/>
  <c r="B379" i="17" s="1"/>
  <c r="W379" i="17" s="1"/>
  <c r="A379" i="17"/>
  <c r="G378" i="17"/>
  <c r="D378" i="17"/>
  <c r="V378" i="17" s="1"/>
  <c r="A378" i="17"/>
  <c r="G377" i="17"/>
  <c r="D377" i="17"/>
  <c r="B377" i="17" s="1"/>
  <c r="W377" i="17" s="1"/>
  <c r="A377" i="17"/>
  <c r="G376" i="17"/>
  <c r="D376" i="17"/>
  <c r="C376" i="17" s="1"/>
  <c r="X376" i="17" s="1"/>
  <c r="A376" i="17"/>
  <c r="G375" i="17"/>
  <c r="D375" i="17"/>
  <c r="A375" i="17"/>
  <c r="G374" i="17"/>
  <c r="D374" i="17"/>
  <c r="C374" i="17" s="1"/>
  <c r="X374" i="17" s="1"/>
  <c r="A374" i="17"/>
  <c r="G373" i="17"/>
  <c r="D373" i="17"/>
  <c r="V373" i="17" s="1"/>
  <c r="A373" i="17"/>
  <c r="G372" i="17"/>
  <c r="D372" i="17"/>
  <c r="C372" i="17" s="1"/>
  <c r="X372" i="17" s="1"/>
  <c r="A372" i="17"/>
  <c r="G371" i="17"/>
  <c r="D371" i="17"/>
  <c r="B371" i="17" s="1"/>
  <c r="W371" i="17" s="1"/>
  <c r="A371" i="17"/>
  <c r="G370" i="17"/>
  <c r="D370" i="17"/>
  <c r="V370" i="17" s="1"/>
  <c r="A370" i="17"/>
  <c r="G369" i="17"/>
  <c r="D369" i="17"/>
  <c r="B369" i="17" s="1"/>
  <c r="W369" i="17" s="1"/>
  <c r="A369" i="17"/>
  <c r="G368" i="17"/>
  <c r="D368" i="17"/>
  <c r="C368" i="17" s="1"/>
  <c r="X368" i="17" s="1"/>
  <c r="A368" i="17"/>
  <c r="G367" i="17"/>
  <c r="D367" i="17"/>
  <c r="V367" i="17" s="1"/>
  <c r="A367" i="17"/>
  <c r="G366" i="17"/>
  <c r="D366" i="17"/>
  <c r="C366" i="17" s="1"/>
  <c r="X366" i="17" s="1"/>
  <c r="A366" i="17"/>
  <c r="G365" i="17"/>
  <c r="D365" i="17"/>
  <c r="V365" i="17" s="1"/>
  <c r="A365" i="17"/>
  <c r="G364" i="17"/>
  <c r="D364" i="17"/>
  <c r="V364" i="17" s="1"/>
  <c r="A364" i="17"/>
  <c r="G363" i="17"/>
  <c r="D363" i="17"/>
  <c r="B363" i="17" s="1"/>
  <c r="W363" i="17" s="1"/>
  <c r="A363" i="17"/>
  <c r="G362" i="17"/>
  <c r="D362" i="17"/>
  <c r="V362" i="17" s="1"/>
  <c r="A362" i="17"/>
  <c r="G361" i="17"/>
  <c r="D361" i="17"/>
  <c r="B361" i="17" s="1"/>
  <c r="W361" i="17" s="1"/>
  <c r="A361" i="17"/>
  <c r="D360" i="17"/>
  <c r="C360" i="17" s="1"/>
  <c r="X360" i="17" s="1"/>
  <c r="A360" i="17"/>
  <c r="D359" i="17"/>
  <c r="A359" i="17"/>
  <c r="D358" i="17"/>
  <c r="C358" i="17" s="1"/>
  <c r="X358" i="17" s="1"/>
  <c r="A358" i="17"/>
  <c r="D357" i="17"/>
  <c r="V357" i="17" s="1"/>
  <c r="A357" i="17"/>
  <c r="D356" i="17"/>
  <c r="C356" i="17" s="1"/>
  <c r="X356" i="17" s="1"/>
  <c r="A356" i="17"/>
  <c r="G355" i="17"/>
  <c r="D355" i="17"/>
  <c r="B355" i="17" s="1"/>
  <c r="W355" i="17" s="1"/>
  <c r="A355" i="17"/>
  <c r="G354" i="17"/>
  <c r="D354" i="17"/>
  <c r="V354" i="17" s="1"/>
  <c r="A354" i="17"/>
  <c r="G353" i="17"/>
  <c r="D353" i="17"/>
  <c r="B353" i="17" s="1"/>
  <c r="W353" i="17" s="1"/>
  <c r="A353" i="17"/>
  <c r="G352" i="17"/>
  <c r="D352" i="17"/>
  <c r="A352" i="17"/>
  <c r="G351" i="17"/>
  <c r="D351" i="17"/>
  <c r="C351" i="17" s="1"/>
  <c r="X351" i="17" s="1"/>
  <c r="A351" i="17"/>
  <c r="G350" i="17"/>
  <c r="D350" i="17"/>
  <c r="C350" i="17" s="1"/>
  <c r="X350" i="17" s="1"/>
  <c r="A350" i="17"/>
  <c r="G349" i="17"/>
  <c r="D349" i="17"/>
  <c r="V349" i="17" s="1"/>
  <c r="A349" i="17"/>
  <c r="G348" i="17"/>
  <c r="D348" i="17"/>
  <c r="V348" i="17" s="1"/>
  <c r="A348" i="17"/>
  <c r="G347" i="17"/>
  <c r="D347" i="17"/>
  <c r="B347" i="17" s="1"/>
  <c r="W347" i="17" s="1"/>
  <c r="A347" i="17"/>
  <c r="G346" i="17"/>
  <c r="D346" i="17"/>
  <c r="V346" i="17" s="1"/>
  <c r="A346" i="17"/>
  <c r="G345" i="17"/>
  <c r="D345" i="17"/>
  <c r="B345" i="17" s="1"/>
  <c r="W345" i="17" s="1"/>
  <c r="A345" i="17"/>
  <c r="G344" i="17"/>
  <c r="D344" i="17"/>
  <c r="C344" i="17" s="1"/>
  <c r="X344" i="17" s="1"/>
  <c r="A344" i="17"/>
  <c r="G343" i="17"/>
  <c r="D343" i="17"/>
  <c r="A343" i="17"/>
  <c r="G342" i="17"/>
  <c r="D342" i="17"/>
  <c r="B342" i="17" s="1"/>
  <c r="W342" i="17" s="1"/>
  <c r="A342" i="17"/>
  <c r="G341" i="17"/>
  <c r="D341" i="17"/>
  <c r="V341" i="17" s="1"/>
  <c r="A341" i="17"/>
  <c r="G340" i="17"/>
  <c r="D340" i="17"/>
  <c r="V340" i="17" s="1"/>
  <c r="A340" i="17"/>
  <c r="G339" i="17"/>
  <c r="D339" i="17"/>
  <c r="A339" i="17"/>
  <c r="G338" i="17"/>
  <c r="D338" i="17"/>
  <c r="V338" i="17" s="1"/>
  <c r="A338" i="17"/>
  <c r="G337" i="17"/>
  <c r="D337" i="17"/>
  <c r="B337" i="17" s="1"/>
  <c r="W337" i="17" s="1"/>
  <c r="A337" i="17"/>
  <c r="G336" i="17"/>
  <c r="D336" i="17"/>
  <c r="C336" i="17" s="1"/>
  <c r="X336" i="17" s="1"/>
  <c r="A336" i="17"/>
  <c r="G335" i="17"/>
  <c r="D335" i="17"/>
  <c r="V335" i="17" s="1"/>
  <c r="A335" i="17"/>
  <c r="G334" i="17"/>
  <c r="D334" i="17"/>
  <c r="B334" i="17" s="1"/>
  <c r="W334" i="17" s="1"/>
  <c r="A334" i="17"/>
  <c r="G333" i="17"/>
  <c r="D333" i="17"/>
  <c r="V333" i="17" s="1"/>
  <c r="A333" i="17"/>
  <c r="G332" i="17"/>
  <c r="D332" i="17"/>
  <c r="A332" i="17"/>
  <c r="G331" i="17"/>
  <c r="D331" i="17"/>
  <c r="B331" i="17" s="1"/>
  <c r="W331" i="17" s="1"/>
  <c r="A331" i="17"/>
  <c r="G330" i="17"/>
  <c r="D330" i="17"/>
  <c r="V330" i="17" s="1"/>
  <c r="A330" i="17"/>
  <c r="G329" i="17"/>
  <c r="D329" i="17"/>
  <c r="B329" i="17" s="1"/>
  <c r="W329" i="17" s="1"/>
  <c r="A329" i="17"/>
  <c r="G328" i="17"/>
  <c r="D328" i="17"/>
  <c r="C328" i="17" s="1"/>
  <c r="X328" i="17" s="1"/>
  <c r="A328" i="17"/>
  <c r="G327" i="17"/>
  <c r="D327" i="17"/>
  <c r="V327" i="17" s="1"/>
  <c r="A327" i="17"/>
  <c r="G326" i="17"/>
  <c r="D326" i="17"/>
  <c r="B326" i="17" s="1"/>
  <c r="W326" i="17" s="1"/>
  <c r="A326" i="17"/>
  <c r="G325" i="17"/>
  <c r="D325" i="17"/>
  <c r="V325" i="17" s="1"/>
  <c r="A325" i="17"/>
  <c r="G324" i="17"/>
  <c r="D324" i="17"/>
  <c r="C324" i="17" s="1"/>
  <c r="X324" i="17" s="1"/>
  <c r="A324" i="17"/>
  <c r="G323" i="17"/>
  <c r="D323" i="17"/>
  <c r="B323" i="17" s="1"/>
  <c r="W323" i="17" s="1"/>
  <c r="A323" i="17"/>
  <c r="G322" i="17"/>
  <c r="D322" i="17"/>
  <c r="V322" i="17" s="1"/>
  <c r="A322" i="17"/>
  <c r="G321" i="17"/>
  <c r="D321" i="17"/>
  <c r="B321" i="17" s="1"/>
  <c r="W321" i="17" s="1"/>
  <c r="A321" i="17"/>
  <c r="G320" i="17"/>
  <c r="D320" i="17"/>
  <c r="C320" i="17" s="1"/>
  <c r="X320" i="17" s="1"/>
  <c r="A320" i="17"/>
  <c r="G319" i="17"/>
  <c r="D319" i="17"/>
  <c r="A319" i="17"/>
  <c r="G318" i="17"/>
  <c r="D318" i="17"/>
  <c r="B318" i="17" s="1"/>
  <c r="W318" i="17" s="1"/>
  <c r="A318" i="17"/>
  <c r="G317" i="17"/>
  <c r="D317" i="17"/>
  <c r="V317" i="17" s="1"/>
  <c r="A317" i="17"/>
  <c r="G316" i="17"/>
  <c r="D316" i="17"/>
  <c r="B316" i="17" s="1"/>
  <c r="W316" i="17" s="1"/>
  <c r="A316" i="17"/>
  <c r="G315" i="17"/>
  <c r="D315" i="17"/>
  <c r="B315" i="17" s="1"/>
  <c r="W315" i="17" s="1"/>
  <c r="A315" i="17"/>
  <c r="G314" i="17"/>
  <c r="D314" i="17"/>
  <c r="V314" i="17" s="1"/>
  <c r="A314" i="17"/>
  <c r="G313" i="17"/>
  <c r="D313" i="17"/>
  <c r="B313" i="17" s="1"/>
  <c r="W313" i="17" s="1"/>
  <c r="A313" i="17"/>
  <c r="G312" i="17"/>
  <c r="D312" i="17"/>
  <c r="A312" i="17"/>
  <c r="G311" i="17"/>
  <c r="D311" i="17"/>
  <c r="C311" i="17" s="1"/>
  <c r="X311" i="17" s="1"/>
  <c r="A311" i="17"/>
  <c r="G310" i="17"/>
  <c r="D310" i="17"/>
  <c r="A310" i="17"/>
  <c r="G309" i="17"/>
  <c r="D309" i="17"/>
  <c r="V309" i="17" s="1"/>
  <c r="A309" i="17"/>
  <c r="G308" i="17"/>
  <c r="D308" i="17"/>
  <c r="V308" i="17" s="1"/>
  <c r="A308" i="17"/>
  <c r="G307" i="17"/>
  <c r="D307" i="17"/>
  <c r="B307" i="17" s="1"/>
  <c r="W307" i="17" s="1"/>
  <c r="A307" i="17"/>
  <c r="G306" i="17"/>
  <c r="D306" i="17"/>
  <c r="V306" i="17" s="1"/>
  <c r="A306" i="17"/>
  <c r="G305" i="17"/>
  <c r="D305" i="17"/>
  <c r="B305" i="17" s="1"/>
  <c r="W305" i="17" s="1"/>
  <c r="A305" i="17"/>
  <c r="G304" i="17"/>
  <c r="D304" i="17"/>
  <c r="C304" i="17" s="1"/>
  <c r="X304" i="17" s="1"/>
  <c r="A304" i="17"/>
  <c r="G303" i="17"/>
  <c r="D303" i="17"/>
  <c r="B303" i="17" s="1"/>
  <c r="W303" i="17" s="1"/>
  <c r="A303" i="17"/>
  <c r="G302" i="17"/>
  <c r="D302" i="17"/>
  <c r="B302" i="17" s="1"/>
  <c r="W302" i="17" s="1"/>
  <c r="A302" i="17"/>
  <c r="G301" i="17"/>
  <c r="D301" i="17"/>
  <c r="V301" i="17" s="1"/>
  <c r="A301" i="17"/>
  <c r="G300" i="17"/>
  <c r="D300" i="17"/>
  <c r="C300" i="17" s="1"/>
  <c r="X300" i="17" s="1"/>
  <c r="A300" i="17"/>
  <c r="G299" i="17"/>
  <c r="D299" i="17"/>
  <c r="B299" i="17" s="1"/>
  <c r="W299" i="17" s="1"/>
  <c r="A299" i="17"/>
  <c r="G298" i="17"/>
  <c r="D298" i="17"/>
  <c r="V298" i="17" s="1"/>
  <c r="A298" i="17"/>
  <c r="G297" i="17"/>
  <c r="D297" i="17"/>
  <c r="B297" i="17" s="1"/>
  <c r="W297" i="17" s="1"/>
  <c r="A297" i="17"/>
  <c r="G296" i="17"/>
  <c r="D296" i="17"/>
  <c r="C296" i="17" s="1"/>
  <c r="X296" i="17" s="1"/>
  <c r="A296" i="17"/>
  <c r="G295" i="17"/>
  <c r="D295" i="17"/>
  <c r="V295" i="17" s="1"/>
  <c r="A295" i="17"/>
  <c r="G294" i="17"/>
  <c r="D294" i="17"/>
  <c r="B294" i="17" s="1"/>
  <c r="W294" i="17" s="1"/>
  <c r="A294" i="17"/>
  <c r="G293" i="17"/>
  <c r="D293" i="17"/>
  <c r="A293" i="17"/>
  <c r="G292" i="17"/>
  <c r="D292" i="17"/>
  <c r="B292" i="17" s="1"/>
  <c r="W292" i="17" s="1"/>
  <c r="A292" i="17"/>
  <c r="G291" i="17"/>
  <c r="D291" i="17"/>
  <c r="C291" i="17" s="1"/>
  <c r="X291" i="17" s="1"/>
  <c r="A291" i="17"/>
  <c r="G290" i="17"/>
  <c r="D290" i="17"/>
  <c r="V290" i="17" s="1"/>
  <c r="A290" i="17"/>
  <c r="G289" i="17"/>
  <c r="D289" i="17"/>
  <c r="B289" i="17" s="1"/>
  <c r="W289" i="17" s="1"/>
  <c r="A289" i="17"/>
  <c r="G288" i="17"/>
  <c r="D288" i="17"/>
  <c r="C288" i="17" s="1"/>
  <c r="X288" i="17" s="1"/>
  <c r="A288" i="17"/>
  <c r="G287" i="17"/>
  <c r="D287" i="17"/>
  <c r="V287" i="17" s="1"/>
  <c r="A287" i="17"/>
  <c r="G286" i="17"/>
  <c r="D286" i="17"/>
  <c r="C286" i="17" s="1"/>
  <c r="X286" i="17" s="1"/>
  <c r="A286" i="17"/>
  <c r="G285" i="17"/>
  <c r="D285" i="17"/>
  <c r="A285" i="17"/>
  <c r="G284" i="17"/>
  <c r="D284" i="17"/>
  <c r="A284" i="17"/>
  <c r="G283" i="17"/>
  <c r="D283" i="17"/>
  <c r="B283" i="17" s="1"/>
  <c r="W283" i="17" s="1"/>
  <c r="A283" i="17"/>
  <c r="G282" i="17"/>
  <c r="D282" i="17"/>
  <c r="B282" i="17" s="1"/>
  <c r="W282" i="17" s="1"/>
  <c r="A282" i="17"/>
  <c r="G281" i="17"/>
  <c r="D281" i="17"/>
  <c r="B281" i="17" s="1"/>
  <c r="W281" i="17" s="1"/>
  <c r="A281" i="17"/>
  <c r="G280" i="17"/>
  <c r="D280" i="17"/>
  <c r="C280" i="17" s="1"/>
  <c r="X280" i="17" s="1"/>
  <c r="A280" i="17"/>
  <c r="G279" i="17"/>
  <c r="D279" i="17"/>
  <c r="C279" i="17" s="1"/>
  <c r="X279" i="17" s="1"/>
  <c r="A279" i="17"/>
  <c r="G278" i="17"/>
  <c r="D278" i="17"/>
  <c r="A278" i="17"/>
  <c r="G277" i="17"/>
  <c r="D277" i="17"/>
  <c r="B277" i="17" s="1"/>
  <c r="W277" i="17" s="1"/>
  <c r="A277" i="17"/>
  <c r="G276" i="17"/>
  <c r="D276" i="17"/>
  <c r="V276" i="17" s="1"/>
  <c r="A276" i="17"/>
  <c r="G275" i="17"/>
  <c r="D275" i="17"/>
  <c r="V275" i="17" s="1"/>
  <c r="A275" i="17"/>
  <c r="G274" i="17"/>
  <c r="D274" i="17"/>
  <c r="V274" i="17" s="1"/>
  <c r="A274" i="17"/>
  <c r="G273" i="17"/>
  <c r="D273" i="17"/>
  <c r="B273" i="17" s="1"/>
  <c r="W273" i="17" s="1"/>
  <c r="A273" i="17"/>
  <c r="G272" i="17"/>
  <c r="D272" i="17"/>
  <c r="C272" i="17" s="1"/>
  <c r="X272" i="17" s="1"/>
  <c r="A272" i="17"/>
  <c r="G271" i="17"/>
  <c r="D271" i="17"/>
  <c r="A271" i="17"/>
  <c r="G270" i="17"/>
  <c r="D270" i="17"/>
  <c r="V270" i="17" s="1"/>
  <c r="A270" i="17"/>
  <c r="G269" i="17"/>
  <c r="D269" i="17"/>
  <c r="V269" i="17" s="1"/>
  <c r="A269" i="17"/>
  <c r="G268" i="17"/>
  <c r="D268" i="17"/>
  <c r="V268" i="17" s="1"/>
  <c r="A268" i="17"/>
  <c r="G267" i="17"/>
  <c r="D267" i="17"/>
  <c r="B267" i="17" s="1"/>
  <c r="W267" i="17" s="1"/>
  <c r="A267" i="17"/>
  <c r="G266" i="17"/>
  <c r="D266" i="17"/>
  <c r="V266" i="17" s="1"/>
  <c r="A266" i="17"/>
  <c r="G265" i="17"/>
  <c r="D265" i="17"/>
  <c r="A265" i="17"/>
  <c r="G264" i="17"/>
  <c r="D264" i="17"/>
  <c r="B264" i="17" s="1"/>
  <c r="W264" i="17" s="1"/>
  <c r="A264" i="17"/>
  <c r="G263" i="17"/>
  <c r="D263" i="17"/>
  <c r="C263" i="17" s="1"/>
  <c r="X263" i="17" s="1"/>
  <c r="A263" i="17"/>
  <c r="G262" i="17"/>
  <c r="D262" i="17"/>
  <c r="V262" i="17" s="1"/>
  <c r="A262" i="17"/>
  <c r="G261" i="17"/>
  <c r="D261" i="17"/>
  <c r="V261" i="17" s="1"/>
  <c r="A261" i="17"/>
  <c r="G260" i="17"/>
  <c r="D260" i="17"/>
  <c r="A260" i="17"/>
  <c r="G259" i="17"/>
  <c r="D259" i="17"/>
  <c r="V259" i="17" s="1"/>
  <c r="A259" i="17"/>
  <c r="G258" i="17"/>
  <c r="D258" i="17"/>
  <c r="A258" i="17"/>
  <c r="G257" i="17"/>
  <c r="D257" i="17"/>
  <c r="V257" i="17" s="1"/>
  <c r="A257" i="17"/>
  <c r="G256" i="17"/>
  <c r="D256" i="17"/>
  <c r="A256" i="17"/>
  <c r="D255" i="17"/>
  <c r="C255" i="17" s="1"/>
  <c r="X255" i="17" s="1"/>
  <c r="A255" i="17"/>
  <c r="D254" i="17"/>
  <c r="V254" i="17" s="1"/>
  <c r="A254" i="17"/>
  <c r="D253" i="17"/>
  <c r="V253" i="17" s="1"/>
  <c r="A253" i="17"/>
  <c r="D252" i="17"/>
  <c r="V252" i="17" s="1"/>
  <c r="A252" i="17"/>
  <c r="D251" i="17"/>
  <c r="V251" i="17" s="1"/>
  <c r="A251" i="17"/>
  <c r="D250" i="17"/>
  <c r="V250" i="17" s="1"/>
  <c r="A250" i="17"/>
  <c r="D249" i="17"/>
  <c r="V249" i="17" s="1"/>
  <c r="A249" i="17"/>
  <c r="D248" i="17"/>
  <c r="B248" i="17" s="1"/>
  <c r="W248" i="17" s="1"/>
  <c r="A248" i="17"/>
  <c r="D247" i="17"/>
  <c r="C247" i="17" s="1"/>
  <c r="X247" i="17" s="1"/>
  <c r="A247" i="17"/>
  <c r="D246" i="17"/>
  <c r="C246" i="17" s="1"/>
  <c r="X246" i="17" s="1"/>
  <c r="A246" i="17"/>
  <c r="D245" i="17"/>
  <c r="A245" i="17"/>
  <c r="D244" i="17"/>
  <c r="V244" i="17" s="1"/>
  <c r="A244" i="17"/>
  <c r="Y243" i="17"/>
  <c r="D243" i="17"/>
  <c r="V243" i="17" s="1"/>
  <c r="A243" i="17"/>
  <c r="Y242" i="17"/>
  <c r="D242" i="17"/>
  <c r="V242" i="17" s="1"/>
  <c r="A242" i="17"/>
  <c r="Y241" i="17"/>
  <c r="D241" i="17"/>
  <c r="V241" i="17" s="1"/>
  <c r="A241" i="17"/>
  <c r="Y240" i="17"/>
  <c r="D240" i="17"/>
  <c r="B240" i="17" s="1"/>
  <c r="W240" i="17" s="1"/>
  <c r="A240" i="17"/>
  <c r="Y239" i="17"/>
  <c r="D239" i="17"/>
  <c r="A239" i="17"/>
  <c r="Y238" i="17"/>
  <c r="D238" i="17"/>
  <c r="V238" i="17" s="1"/>
  <c r="A238" i="17"/>
  <c r="G237" i="17"/>
  <c r="Y237" i="17"/>
  <c r="D237" i="17"/>
  <c r="C237" i="17" s="1"/>
  <c r="X237" i="17" s="1"/>
  <c r="A237" i="17"/>
  <c r="G236" i="17"/>
  <c r="Y236" i="17"/>
  <c r="D236" i="17"/>
  <c r="V236" i="17" s="1"/>
  <c r="A236" i="17"/>
  <c r="G235" i="17"/>
  <c r="Y235" i="17"/>
  <c r="D235" i="17"/>
  <c r="V235" i="17" s="1"/>
  <c r="A235" i="17"/>
  <c r="G234" i="17"/>
  <c r="Y234" i="17"/>
  <c r="D234" i="17"/>
  <c r="B234" i="17" s="1"/>
  <c r="W234" i="17" s="1"/>
  <c r="A234" i="17"/>
  <c r="G233" i="17"/>
  <c r="Y233" i="17"/>
  <c r="D233" i="17"/>
  <c r="C233" i="17" s="1"/>
  <c r="X233" i="17" s="1"/>
  <c r="A233" i="17"/>
  <c r="G232" i="17"/>
  <c r="Y232" i="17"/>
  <c r="D232" i="17"/>
  <c r="V232" i="17" s="1"/>
  <c r="A232" i="17"/>
  <c r="G231" i="17"/>
  <c r="Y231" i="17"/>
  <c r="D231" i="17"/>
  <c r="A231" i="17"/>
  <c r="G230" i="17"/>
  <c r="Y230" i="17"/>
  <c r="D230" i="17"/>
  <c r="V230" i="17" s="1"/>
  <c r="A230" i="17"/>
  <c r="G227" i="17"/>
  <c r="D227" i="17"/>
  <c r="V227" i="17" s="1"/>
  <c r="A227" i="17"/>
  <c r="G226" i="17"/>
  <c r="D226" i="17"/>
  <c r="B226" i="17" s="1"/>
  <c r="W226" i="17" s="1"/>
  <c r="A226" i="17"/>
  <c r="G225" i="17"/>
  <c r="D225" i="17"/>
  <c r="C225" i="17" s="1"/>
  <c r="X225" i="17" s="1"/>
  <c r="A225" i="17"/>
  <c r="G224" i="17"/>
  <c r="D224" i="17"/>
  <c r="V224" i="17" s="1"/>
  <c r="A224" i="17"/>
  <c r="G223" i="17"/>
  <c r="D223" i="17"/>
  <c r="A223" i="17"/>
  <c r="D222" i="17"/>
  <c r="V222" i="17" s="1"/>
  <c r="A222" i="17"/>
  <c r="D221" i="17"/>
  <c r="V221" i="17" s="1"/>
  <c r="A221" i="17"/>
  <c r="D220" i="17"/>
  <c r="V220" i="17" s="1"/>
  <c r="A220" i="17"/>
  <c r="Y219" i="17"/>
  <c r="D219" i="17"/>
  <c r="A219" i="17"/>
  <c r="G218" i="17"/>
  <c r="D218" i="17"/>
  <c r="V218" i="17" s="1"/>
  <c r="A218" i="17"/>
  <c r="G217" i="17"/>
  <c r="D217" i="17"/>
  <c r="C217" i="17" s="1"/>
  <c r="X217" i="17" s="1"/>
  <c r="A217" i="17"/>
  <c r="G216" i="17"/>
  <c r="D216" i="17"/>
  <c r="V216" i="17" s="1"/>
  <c r="A216" i="17"/>
  <c r="G215" i="17"/>
  <c r="D215" i="17"/>
  <c r="V215" i="17" s="1"/>
  <c r="A215" i="17"/>
  <c r="G214" i="17"/>
  <c r="D214" i="17"/>
  <c r="B214" i="17" s="1"/>
  <c r="W214" i="17" s="1"/>
  <c r="A214" i="17"/>
  <c r="G213" i="17"/>
  <c r="D213" i="17"/>
  <c r="V213" i="17" s="1"/>
  <c r="A213" i="17"/>
  <c r="G212" i="17"/>
  <c r="D212" i="17"/>
  <c r="A212" i="17"/>
  <c r="G211" i="17"/>
  <c r="D211" i="17"/>
  <c r="A211" i="17"/>
  <c r="G210" i="17"/>
  <c r="D210" i="17"/>
  <c r="C210" i="17" s="1"/>
  <c r="X210" i="17" s="1"/>
  <c r="A210" i="17"/>
  <c r="G209" i="17"/>
  <c r="D209" i="17"/>
  <c r="V209" i="17" s="1"/>
  <c r="A209" i="17"/>
  <c r="G208" i="17"/>
  <c r="D208" i="17"/>
  <c r="V208" i="17" s="1"/>
  <c r="A208" i="17"/>
  <c r="G207" i="17"/>
  <c r="D207" i="17"/>
  <c r="B207" i="17" s="1"/>
  <c r="W207" i="17" s="1"/>
  <c r="A207" i="17"/>
  <c r="G206" i="17"/>
  <c r="D206" i="17"/>
  <c r="B206" i="17" s="1"/>
  <c r="W206" i="17" s="1"/>
  <c r="A206" i="17"/>
  <c r="G205" i="17"/>
  <c r="D205" i="17"/>
  <c r="C205" i="17" s="1"/>
  <c r="X205" i="17" s="1"/>
  <c r="A205" i="17"/>
  <c r="G204" i="17"/>
  <c r="D204" i="17"/>
  <c r="A204" i="17"/>
  <c r="G203" i="17"/>
  <c r="D203" i="17"/>
  <c r="B203" i="17" s="1"/>
  <c r="W203" i="17" s="1"/>
  <c r="A203" i="17"/>
  <c r="G202" i="17"/>
  <c r="D202" i="17"/>
  <c r="C202" i="17" s="1"/>
  <c r="X202" i="17" s="1"/>
  <c r="A202" i="17"/>
  <c r="G201" i="17"/>
  <c r="D201" i="17"/>
  <c r="V201" i="17" s="1"/>
  <c r="A201" i="17"/>
  <c r="G200" i="17"/>
  <c r="D200" i="17"/>
  <c r="V200" i="17" s="1"/>
  <c r="A200" i="17"/>
  <c r="G199" i="17"/>
  <c r="D199" i="17"/>
  <c r="C199" i="17" s="1"/>
  <c r="X199" i="17" s="1"/>
  <c r="A199" i="17"/>
  <c r="G198" i="17"/>
  <c r="D198" i="17"/>
  <c r="A198" i="17"/>
  <c r="G197" i="17"/>
  <c r="F196" i="22"/>
  <c r="D197" i="17"/>
  <c r="C197" i="17" s="1"/>
  <c r="A197" i="17"/>
  <c r="G196" i="17"/>
  <c r="F195" i="22"/>
  <c r="D196" i="17"/>
  <c r="V196" i="17" s="1"/>
  <c r="A196" i="17"/>
  <c r="G195" i="17"/>
  <c r="F194" i="22"/>
  <c r="D195" i="17"/>
  <c r="V195" i="17" s="1"/>
  <c r="A195" i="17"/>
  <c r="G194" i="17"/>
  <c r="F193" i="22"/>
  <c r="D194" i="17"/>
  <c r="V194" i="17" s="1"/>
  <c r="A194" i="17"/>
  <c r="G193" i="17"/>
  <c r="F192" i="22"/>
  <c r="D193" i="17"/>
  <c r="V193" i="17" s="1"/>
  <c r="A193" i="17"/>
  <c r="G192" i="17"/>
  <c r="F191" i="22"/>
  <c r="D192" i="17"/>
  <c r="C192" i="17" s="1"/>
  <c r="A192" i="17"/>
  <c r="G191" i="17"/>
  <c r="F190" i="22"/>
  <c r="D191" i="17"/>
  <c r="C191" i="17" s="1"/>
  <c r="A191" i="17"/>
  <c r="G190" i="17"/>
  <c r="F189" i="22"/>
  <c r="D190" i="17"/>
  <c r="C190" i="17" s="1"/>
  <c r="A190" i="17"/>
  <c r="G189" i="17"/>
  <c r="F188" i="22"/>
  <c r="D189" i="17"/>
  <c r="B189" i="17" s="1"/>
  <c r="W189" i="17" s="1"/>
  <c r="A189" i="17"/>
  <c r="G188" i="17"/>
  <c r="F187" i="22"/>
  <c r="D188" i="17"/>
  <c r="B188" i="17" s="1"/>
  <c r="W188" i="17" s="1"/>
  <c r="A188" i="17"/>
  <c r="G187" i="17"/>
  <c r="F186" i="22"/>
  <c r="D187" i="17"/>
  <c r="V187" i="17" s="1"/>
  <c r="A187" i="17"/>
  <c r="G186" i="17"/>
  <c r="F185" i="22"/>
  <c r="D186" i="17"/>
  <c r="C186" i="17" s="1"/>
  <c r="A186" i="17"/>
  <c r="G185" i="17"/>
  <c r="F184" i="22"/>
  <c r="D185" i="17"/>
  <c r="V185" i="17" s="1"/>
  <c r="A185" i="17"/>
  <c r="G184" i="17"/>
  <c r="D184" i="17"/>
  <c r="V184" i="17" s="1"/>
  <c r="A184" i="17"/>
  <c r="G183" i="17"/>
  <c r="D183" i="17"/>
  <c r="C183" i="17" s="1"/>
  <c r="X183" i="17" s="1"/>
  <c r="A183" i="17"/>
  <c r="G182" i="17"/>
  <c r="D182" i="17"/>
  <c r="V182" i="17" s="1"/>
  <c r="A182" i="17"/>
  <c r="G181" i="17"/>
  <c r="D181" i="17"/>
  <c r="V181" i="17" s="1"/>
  <c r="A181" i="17"/>
  <c r="G180" i="17"/>
  <c r="D180" i="17"/>
  <c r="B180" i="17" s="1"/>
  <c r="W180" i="17" s="1"/>
  <c r="A180" i="17"/>
  <c r="G179" i="17"/>
  <c r="D179" i="17"/>
  <c r="V179" i="17" s="1"/>
  <c r="A179" i="17"/>
  <c r="G178" i="17"/>
  <c r="D178" i="17"/>
  <c r="V178" i="17" s="1"/>
  <c r="A178" i="17"/>
  <c r="G177" i="17"/>
  <c r="D177" i="17"/>
  <c r="C177" i="17" s="1"/>
  <c r="X177" i="17" s="1"/>
  <c r="A177" i="17"/>
  <c r="G176" i="17"/>
  <c r="D176" i="17"/>
  <c r="V176" i="17" s="1"/>
  <c r="A176" i="17"/>
  <c r="G175" i="17"/>
  <c r="D175" i="17"/>
  <c r="C175" i="17" s="1"/>
  <c r="X175" i="17" s="1"/>
  <c r="A175" i="17"/>
  <c r="G174" i="17"/>
  <c r="D174" i="17"/>
  <c r="V174" i="17" s="1"/>
  <c r="A174" i="17"/>
  <c r="G173" i="17"/>
  <c r="D173" i="17"/>
  <c r="V173" i="17" s="1"/>
  <c r="A173" i="17"/>
  <c r="G172" i="17"/>
  <c r="D172" i="17"/>
  <c r="B172" i="17" s="1"/>
  <c r="W172" i="17" s="1"/>
  <c r="A172" i="17"/>
  <c r="G171" i="17"/>
  <c r="D171" i="17"/>
  <c r="V171" i="17" s="1"/>
  <c r="A171" i="17"/>
  <c r="G170" i="17"/>
  <c r="D170" i="17"/>
  <c r="B170" i="17" s="1"/>
  <c r="W170" i="17" s="1"/>
  <c r="A170" i="17"/>
  <c r="G169" i="17"/>
  <c r="D169" i="17"/>
  <c r="C169" i="17" s="1"/>
  <c r="X169" i="17" s="1"/>
  <c r="A169" i="17"/>
  <c r="G168" i="17"/>
  <c r="D168" i="17"/>
  <c r="V168" i="17" s="1"/>
  <c r="A168" i="17"/>
  <c r="G167" i="17"/>
  <c r="D167" i="17"/>
  <c r="C167" i="17" s="1"/>
  <c r="X167" i="17" s="1"/>
  <c r="A167" i="17"/>
  <c r="G166" i="17"/>
  <c r="D166" i="17"/>
  <c r="V166" i="17" s="1"/>
  <c r="A166" i="17"/>
  <c r="G165" i="17"/>
  <c r="D165" i="17"/>
  <c r="V165" i="17" s="1"/>
  <c r="A165" i="17"/>
  <c r="G164" i="17"/>
  <c r="D164" i="17"/>
  <c r="B164" i="17" s="1"/>
  <c r="W164" i="17" s="1"/>
  <c r="A164" i="17"/>
  <c r="G163" i="17"/>
  <c r="F162" i="22"/>
  <c r="D163" i="17"/>
  <c r="V163" i="17" s="1"/>
  <c r="A163" i="17"/>
  <c r="G162" i="17"/>
  <c r="F161" i="22"/>
  <c r="D162" i="17"/>
  <c r="V162" i="17" s="1"/>
  <c r="A162" i="17"/>
  <c r="G161" i="17"/>
  <c r="F160" i="22"/>
  <c r="D161" i="17"/>
  <c r="C161" i="17" s="1"/>
  <c r="A161" i="17"/>
  <c r="G160" i="17"/>
  <c r="F159" i="22"/>
  <c r="D160" i="17"/>
  <c r="V160" i="17" s="1"/>
  <c r="A160" i="17"/>
  <c r="G159" i="17"/>
  <c r="F158" i="22"/>
  <c r="D159" i="17"/>
  <c r="C159" i="17" s="1"/>
  <c r="A159" i="17"/>
  <c r="G158" i="17"/>
  <c r="F157" i="22"/>
  <c r="D158" i="17"/>
  <c r="V158" i="17" s="1"/>
  <c r="A158" i="17"/>
  <c r="G157" i="17"/>
  <c r="F156" i="22"/>
  <c r="D157" i="17"/>
  <c r="V157" i="17" s="1"/>
  <c r="A157" i="17"/>
  <c r="G156" i="17"/>
  <c r="F155" i="22"/>
  <c r="D156" i="17"/>
  <c r="B156" i="17" s="1"/>
  <c r="W156" i="17" s="1"/>
  <c r="A156" i="17"/>
  <c r="G155" i="17"/>
  <c r="F154" i="22"/>
  <c r="D155" i="17"/>
  <c r="V155" i="17" s="1"/>
  <c r="A155" i="17"/>
  <c r="G154" i="17"/>
  <c r="D154" i="17"/>
  <c r="B154" i="17" s="1"/>
  <c r="W154" i="17" s="1"/>
  <c r="A154" i="17"/>
  <c r="G153" i="17"/>
  <c r="D153" i="17"/>
  <c r="V153" i="17" s="1"/>
  <c r="A153" i="17"/>
  <c r="G152" i="17"/>
  <c r="D152" i="17"/>
  <c r="B152" i="17" s="1"/>
  <c r="W152" i="17" s="1"/>
  <c r="A152" i="17"/>
  <c r="G151" i="17"/>
  <c r="D151" i="17"/>
  <c r="C151" i="17" s="1"/>
  <c r="X151" i="17" s="1"/>
  <c r="A151" i="17"/>
  <c r="G150" i="17"/>
  <c r="F149" i="22"/>
  <c r="D150" i="17"/>
  <c r="V150" i="17" s="1"/>
  <c r="A150" i="17"/>
  <c r="G149" i="17"/>
  <c r="F148" i="22"/>
  <c r="D149" i="17"/>
  <c r="V149" i="17" s="1"/>
  <c r="A149" i="17"/>
  <c r="G148" i="17"/>
  <c r="F147" i="22"/>
  <c r="D148" i="17"/>
  <c r="B148" i="17" s="1"/>
  <c r="W148" i="17" s="1"/>
  <c r="A148" i="17"/>
  <c r="G147" i="17"/>
  <c r="F146" i="22"/>
  <c r="D147" i="17"/>
  <c r="V147" i="17" s="1"/>
  <c r="A147" i="17"/>
  <c r="G146" i="17"/>
  <c r="F145" i="22"/>
  <c r="D146" i="17"/>
  <c r="V146" i="17" s="1"/>
  <c r="A146" i="17"/>
  <c r="G145" i="17"/>
  <c r="D145" i="17"/>
  <c r="V145" i="17" s="1"/>
  <c r="A145" i="17"/>
  <c r="G144" i="17"/>
  <c r="D144" i="17"/>
  <c r="V144" i="17" s="1"/>
  <c r="A144" i="17"/>
  <c r="G143" i="17"/>
  <c r="D143" i="17"/>
  <c r="V143" i="17" s="1"/>
  <c r="A143" i="17"/>
  <c r="G142" i="17"/>
  <c r="D142" i="17"/>
  <c r="V142" i="17" s="1"/>
  <c r="A142" i="17"/>
  <c r="G141" i="17"/>
  <c r="D141" i="17"/>
  <c r="C141" i="17" s="1"/>
  <c r="X141" i="17" s="1"/>
  <c r="A141" i="17"/>
  <c r="G140" i="17"/>
  <c r="D140" i="17"/>
  <c r="V140" i="17" s="1"/>
  <c r="A140" i="17"/>
  <c r="G139" i="17"/>
  <c r="Y139" i="17"/>
  <c r="D139" i="17"/>
  <c r="C139" i="17" s="1"/>
  <c r="X139" i="17" s="1"/>
  <c r="A139" i="17"/>
  <c r="G138" i="17"/>
  <c r="D138" i="17"/>
  <c r="V138" i="17" s="1"/>
  <c r="A138" i="17"/>
  <c r="G137" i="17"/>
  <c r="D137" i="17"/>
  <c r="V137" i="17" s="1"/>
  <c r="A137" i="17"/>
  <c r="G136" i="17"/>
  <c r="D136" i="17"/>
  <c r="B136" i="17" s="1"/>
  <c r="W136" i="17" s="1"/>
  <c r="A136" i="17"/>
  <c r="G135" i="17"/>
  <c r="D135" i="17"/>
  <c r="V135" i="17" s="1"/>
  <c r="A135" i="17"/>
  <c r="G134" i="17"/>
  <c r="D134" i="17"/>
  <c r="V134" i="17" s="1"/>
  <c r="A134" i="17"/>
  <c r="G133" i="17"/>
  <c r="D133" i="17"/>
  <c r="C133" i="17" s="1"/>
  <c r="X133" i="17" s="1"/>
  <c r="A133" i="17"/>
  <c r="G132" i="17"/>
  <c r="D132" i="17"/>
  <c r="V132" i="17" s="1"/>
  <c r="A132" i="17"/>
  <c r="G131" i="17"/>
  <c r="D131" i="17"/>
  <c r="V131" i="17" s="1"/>
  <c r="A131" i="17"/>
  <c r="G130" i="17"/>
  <c r="D130" i="17"/>
  <c r="V130" i="17" s="1"/>
  <c r="A130" i="17"/>
  <c r="G129" i="17"/>
  <c r="D129" i="17"/>
  <c r="V129" i="17" s="1"/>
  <c r="A129" i="17"/>
  <c r="G128" i="17"/>
  <c r="D128" i="17"/>
  <c r="V128" i="17" s="1"/>
  <c r="A128" i="17"/>
  <c r="G127" i="17"/>
  <c r="D127" i="17"/>
  <c r="C127" i="17" s="1"/>
  <c r="X127" i="17" s="1"/>
  <c r="A127" i="17"/>
  <c r="G126" i="17"/>
  <c r="D126" i="17"/>
  <c r="V126" i="17" s="1"/>
  <c r="A126" i="17"/>
  <c r="G125" i="17"/>
  <c r="D125" i="17"/>
  <c r="C125" i="17" s="1"/>
  <c r="X125" i="17" s="1"/>
  <c r="A125" i="17"/>
  <c r="G124" i="17"/>
  <c r="D124" i="17"/>
  <c r="C124" i="17" s="1"/>
  <c r="X124" i="17" s="1"/>
  <c r="A124" i="17"/>
  <c r="G123" i="17"/>
  <c r="D123" i="17"/>
  <c r="V123" i="17" s="1"/>
  <c r="A123" i="17"/>
  <c r="G122" i="17"/>
  <c r="D122" i="17"/>
  <c r="V122" i="17" s="1"/>
  <c r="A122" i="17"/>
  <c r="G121" i="17"/>
  <c r="D121" i="17"/>
  <c r="C121" i="17" s="1"/>
  <c r="X121" i="17" s="1"/>
  <c r="A121" i="17"/>
  <c r="G120" i="17"/>
  <c r="D120" i="17"/>
  <c r="V120" i="17" s="1"/>
  <c r="A120" i="17"/>
  <c r="G119" i="17"/>
  <c r="D119" i="17"/>
  <c r="B119" i="17" s="1"/>
  <c r="W119" i="17" s="1"/>
  <c r="A119" i="17"/>
  <c r="G118" i="17"/>
  <c r="D118" i="17"/>
  <c r="V118" i="17" s="1"/>
  <c r="A118" i="17"/>
  <c r="G117" i="17"/>
  <c r="D117" i="17"/>
  <c r="V117" i="17" s="1"/>
  <c r="A117" i="17"/>
  <c r="G116" i="17"/>
  <c r="D116" i="17"/>
  <c r="V116" i="17" s="1"/>
  <c r="A116" i="17"/>
  <c r="G115" i="17"/>
  <c r="D115" i="17"/>
  <c r="V115" i="17" s="1"/>
  <c r="A115" i="17"/>
  <c r="G114" i="17"/>
  <c r="D114" i="17"/>
  <c r="V114" i="17" s="1"/>
  <c r="A114" i="17"/>
  <c r="G113" i="17"/>
  <c r="D113" i="17"/>
  <c r="C113" i="17" s="1"/>
  <c r="X113" i="17" s="1"/>
  <c r="A113" i="17"/>
  <c r="G112" i="17"/>
  <c r="D112" i="17"/>
  <c r="V112" i="17" s="1"/>
  <c r="A112" i="17"/>
  <c r="G111" i="17"/>
  <c r="D111" i="17"/>
  <c r="B111" i="17" s="1"/>
  <c r="W111" i="17" s="1"/>
  <c r="A111" i="17"/>
  <c r="G110" i="17"/>
  <c r="D110" i="17"/>
  <c r="V110" i="17" s="1"/>
  <c r="A110" i="17"/>
  <c r="G109" i="17"/>
  <c r="D109" i="17"/>
  <c r="V109" i="17" s="1"/>
  <c r="A109" i="17"/>
  <c r="G108" i="17"/>
  <c r="D108" i="17"/>
  <c r="V108" i="17" s="1"/>
  <c r="A108" i="17"/>
  <c r="G107" i="17"/>
  <c r="D107" i="17"/>
  <c r="V107" i="17" s="1"/>
  <c r="A107" i="17"/>
  <c r="G106" i="17"/>
  <c r="D106" i="17"/>
  <c r="C106" i="17" s="1"/>
  <c r="X106" i="17" s="1"/>
  <c r="A106" i="17"/>
  <c r="G105" i="17"/>
  <c r="D105" i="17"/>
  <c r="V105" i="17" s="1"/>
  <c r="A105" i="17"/>
  <c r="G104" i="17"/>
  <c r="D104" i="17"/>
  <c r="V104" i="17" s="1"/>
  <c r="A104" i="17"/>
  <c r="G103" i="17"/>
  <c r="D103" i="17"/>
  <c r="V103" i="17" s="1"/>
  <c r="A103" i="17"/>
  <c r="G102" i="17"/>
  <c r="D102" i="17"/>
  <c r="V102" i="17" s="1"/>
  <c r="A102" i="17"/>
  <c r="G101" i="17"/>
  <c r="D101" i="17"/>
  <c r="B101" i="17" s="1"/>
  <c r="W101" i="17" s="1"/>
  <c r="A101" i="17"/>
  <c r="G100" i="17"/>
  <c r="D100" i="17"/>
  <c r="A100" i="17"/>
  <c r="G99" i="17"/>
  <c r="D99" i="17"/>
  <c r="V99" i="17" s="1"/>
  <c r="A99" i="17"/>
  <c r="G98" i="17"/>
  <c r="D98" i="17"/>
  <c r="C98" i="17" s="1"/>
  <c r="X98" i="17" s="1"/>
  <c r="A98" i="17"/>
  <c r="G97" i="17"/>
  <c r="D97" i="17"/>
  <c r="V97" i="17" s="1"/>
  <c r="A97" i="17"/>
  <c r="G96" i="17"/>
  <c r="D96" i="17"/>
  <c r="V96" i="17" s="1"/>
  <c r="A96" i="17"/>
  <c r="G95" i="17"/>
  <c r="D95" i="17"/>
  <c r="V95" i="17" s="1"/>
  <c r="A95" i="17"/>
  <c r="G94" i="17"/>
  <c r="D94" i="17"/>
  <c r="V94" i="17" s="1"/>
  <c r="A94" i="17"/>
  <c r="G93" i="17"/>
  <c r="D93" i="17"/>
  <c r="B93" i="17" s="1"/>
  <c r="W93" i="17" s="1"/>
  <c r="A93" i="17"/>
  <c r="G92" i="17"/>
  <c r="D92" i="17"/>
  <c r="A92" i="17"/>
  <c r="G91" i="17"/>
  <c r="D91" i="17"/>
  <c r="V91" i="17" s="1"/>
  <c r="A91" i="17"/>
  <c r="G90" i="17"/>
  <c r="D90" i="17"/>
  <c r="C90" i="17" s="1"/>
  <c r="X90" i="17" s="1"/>
  <c r="A90" i="17"/>
  <c r="G89" i="17"/>
  <c r="D89" i="17"/>
  <c r="V89" i="17" s="1"/>
  <c r="A89" i="17"/>
  <c r="G88" i="17"/>
  <c r="D88" i="17"/>
  <c r="V88" i="17" s="1"/>
  <c r="A88" i="17"/>
  <c r="G87" i="17"/>
  <c r="D87" i="17"/>
  <c r="V87" i="17" s="1"/>
  <c r="A87" i="17"/>
  <c r="G86" i="17"/>
  <c r="D86" i="17"/>
  <c r="B86" i="17" s="1"/>
  <c r="W86" i="17" s="1"/>
  <c r="A86" i="17"/>
  <c r="G85" i="17"/>
  <c r="D85" i="17"/>
  <c r="V85" i="17" s="1"/>
  <c r="A85" i="17"/>
  <c r="G84" i="17"/>
  <c r="D84" i="17"/>
  <c r="A84" i="17"/>
  <c r="G83" i="17"/>
  <c r="D83" i="17"/>
  <c r="V83" i="17" s="1"/>
  <c r="A83" i="17"/>
  <c r="G82" i="17"/>
  <c r="D82" i="17"/>
  <c r="C82" i="17" s="1"/>
  <c r="X82" i="17" s="1"/>
  <c r="A82" i="17"/>
  <c r="G81" i="17"/>
  <c r="D81" i="17"/>
  <c r="V81" i="17" s="1"/>
  <c r="A81" i="17"/>
  <c r="G80" i="17"/>
  <c r="D80" i="17"/>
  <c r="C80" i="17" s="1"/>
  <c r="X80" i="17" s="1"/>
  <c r="A80" i="17"/>
  <c r="G79" i="17"/>
  <c r="D79" i="17"/>
  <c r="V79" i="17" s="1"/>
  <c r="A79" i="17"/>
  <c r="G78" i="17"/>
  <c r="D78" i="17"/>
  <c r="B78" i="17" s="1"/>
  <c r="W78" i="17" s="1"/>
  <c r="A78" i="17"/>
  <c r="G77" i="17"/>
  <c r="D77" i="17"/>
  <c r="V77" i="17" s="1"/>
  <c r="A77" i="17"/>
  <c r="G76" i="17"/>
  <c r="D76" i="17"/>
  <c r="A76" i="17"/>
  <c r="G75" i="17"/>
  <c r="D75" i="17"/>
  <c r="V75" i="17" s="1"/>
  <c r="A75" i="17"/>
  <c r="G74" i="17"/>
  <c r="D74" i="17"/>
  <c r="V74" i="17" s="1"/>
  <c r="A74" i="17"/>
  <c r="G73" i="17"/>
  <c r="D73" i="17"/>
  <c r="V73" i="17" s="1"/>
  <c r="A73" i="17"/>
  <c r="G72" i="17"/>
  <c r="D72" i="17"/>
  <c r="V72" i="17" s="1"/>
  <c r="A72" i="17"/>
  <c r="G71" i="17"/>
  <c r="D71" i="17"/>
  <c r="V71" i="17" s="1"/>
  <c r="A71" i="17"/>
  <c r="G70" i="17"/>
  <c r="D70" i="17"/>
  <c r="B70" i="17" s="1"/>
  <c r="W70" i="17" s="1"/>
  <c r="A70" i="17"/>
  <c r="G69" i="17"/>
  <c r="D69" i="17"/>
  <c r="B69" i="17" s="1"/>
  <c r="W69" i="17" s="1"/>
  <c r="A69" i="17"/>
  <c r="G68" i="17"/>
  <c r="D68" i="17"/>
  <c r="C68" i="17" s="1"/>
  <c r="X68" i="17" s="1"/>
  <c r="A68" i="17"/>
  <c r="G67" i="17"/>
  <c r="D67" i="17"/>
  <c r="V67" i="17" s="1"/>
  <c r="A67" i="17"/>
  <c r="G66" i="17"/>
  <c r="D66" i="17"/>
  <c r="V66" i="17" s="1"/>
  <c r="A66" i="17"/>
  <c r="G65" i="17"/>
  <c r="D65" i="17"/>
  <c r="V65" i="17" s="1"/>
  <c r="A65" i="17"/>
  <c r="G64" i="17"/>
  <c r="D64" i="17"/>
  <c r="V64" i="17" s="1"/>
  <c r="A64" i="17"/>
  <c r="G63" i="17"/>
  <c r="D63" i="17"/>
  <c r="A63" i="17"/>
  <c r="G62" i="17"/>
  <c r="D62" i="17"/>
  <c r="B62" i="17" s="1"/>
  <c r="W62" i="17" s="1"/>
  <c r="A62" i="17"/>
  <c r="G61" i="17"/>
  <c r="D61" i="17"/>
  <c r="B61" i="17" s="1"/>
  <c r="W61" i="17" s="1"/>
  <c r="A61" i="17"/>
  <c r="G60" i="17"/>
  <c r="D60" i="17"/>
  <c r="C60" i="17" s="1"/>
  <c r="X60" i="17" s="1"/>
  <c r="A60" i="17"/>
  <c r="G59" i="17"/>
  <c r="D59" i="17"/>
  <c r="V59" i="17" s="1"/>
  <c r="A59" i="17"/>
  <c r="G58" i="17"/>
  <c r="D58" i="17"/>
  <c r="C58" i="17" s="1"/>
  <c r="X58" i="17" s="1"/>
  <c r="A58" i="17"/>
  <c r="G57" i="17"/>
  <c r="D57" i="17"/>
  <c r="V57" i="17" s="1"/>
  <c r="A57" i="17"/>
  <c r="G56" i="17"/>
  <c r="D56" i="17"/>
  <c r="V56" i="17" s="1"/>
  <c r="A56" i="17"/>
  <c r="G55" i="17"/>
  <c r="D55" i="17"/>
  <c r="B55" i="17" s="1"/>
  <c r="W55" i="17" s="1"/>
  <c r="A55" i="17"/>
  <c r="G54" i="17"/>
  <c r="D54" i="17"/>
  <c r="C54" i="17" s="1"/>
  <c r="X54" i="17" s="1"/>
  <c r="A54" i="17"/>
  <c r="G53" i="17"/>
  <c r="D53" i="17"/>
  <c r="V53" i="17" s="1"/>
  <c r="A53" i="17"/>
  <c r="G52" i="17"/>
  <c r="D52" i="17"/>
  <c r="C52" i="17" s="1"/>
  <c r="X52" i="17" s="1"/>
  <c r="A52" i="17"/>
  <c r="T51" i="17"/>
  <c r="S51" i="17"/>
  <c r="R51" i="17"/>
  <c r="Q51" i="17"/>
  <c r="P51" i="17"/>
  <c r="G51" i="17"/>
  <c r="D51" i="17"/>
  <c r="V51" i="17" s="1"/>
  <c r="A51" i="17"/>
  <c r="T50" i="17"/>
  <c r="S50" i="17"/>
  <c r="R50" i="17"/>
  <c r="Q50" i="17"/>
  <c r="P50" i="17"/>
  <c r="G50" i="17"/>
  <c r="D50" i="17"/>
  <c r="C50" i="17" s="1"/>
  <c r="X50" i="17" s="1"/>
  <c r="A50" i="17"/>
  <c r="T49" i="17"/>
  <c r="S49" i="17"/>
  <c r="R49" i="17"/>
  <c r="Q49" i="17"/>
  <c r="P49" i="17"/>
  <c r="G49" i="17"/>
  <c r="D49" i="17"/>
  <c r="B49" i="17" s="1"/>
  <c r="W49" i="17" s="1"/>
  <c r="A49" i="17"/>
  <c r="T48" i="17"/>
  <c r="S48" i="17"/>
  <c r="R48" i="17"/>
  <c r="Q48" i="17"/>
  <c r="P48" i="17"/>
  <c r="G48" i="17"/>
  <c r="D48" i="17"/>
  <c r="V48" i="17" s="1"/>
  <c r="A48" i="17"/>
  <c r="T47" i="17"/>
  <c r="S47" i="17"/>
  <c r="R47" i="17"/>
  <c r="Q47" i="17"/>
  <c r="P47" i="17"/>
  <c r="G47" i="17"/>
  <c r="D47" i="17"/>
  <c r="V47" i="17" s="1"/>
  <c r="A47" i="17"/>
  <c r="T46" i="17"/>
  <c r="S46" i="17"/>
  <c r="R46" i="17"/>
  <c r="Q46" i="17"/>
  <c r="P46" i="17"/>
  <c r="G46" i="17"/>
  <c r="D46" i="17"/>
  <c r="V46" i="17" s="1"/>
  <c r="A46" i="17"/>
  <c r="T45" i="17"/>
  <c r="S45" i="17"/>
  <c r="R45" i="17"/>
  <c r="Q45" i="17"/>
  <c r="P45" i="17"/>
  <c r="G45" i="17"/>
  <c r="D45" i="17"/>
  <c r="V45" i="17" s="1"/>
  <c r="A45" i="17"/>
  <c r="T44" i="17"/>
  <c r="S44" i="17"/>
  <c r="R44" i="17"/>
  <c r="Q44" i="17"/>
  <c r="P44" i="17"/>
  <c r="G44" i="17"/>
  <c r="D44" i="17"/>
  <c r="V44" i="17" s="1"/>
  <c r="A44" i="17"/>
  <c r="T43" i="17"/>
  <c r="S43" i="17"/>
  <c r="R43" i="17"/>
  <c r="Q43" i="17"/>
  <c r="P43" i="17"/>
  <c r="G43" i="17"/>
  <c r="D43" i="17"/>
  <c r="V43" i="17" s="1"/>
  <c r="A43" i="17"/>
  <c r="T42" i="17"/>
  <c r="S42" i="17"/>
  <c r="R42" i="17"/>
  <c r="Q42" i="17"/>
  <c r="P42" i="17"/>
  <c r="G42" i="17"/>
  <c r="D42" i="17"/>
  <c r="C42" i="17" s="1"/>
  <c r="X42" i="17" s="1"/>
  <c r="A42" i="17"/>
  <c r="T41" i="17"/>
  <c r="S41" i="17"/>
  <c r="R41" i="17"/>
  <c r="Q41" i="17"/>
  <c r="P41" i="17"/>
  <c r="G41" i="17"/>
  <c r="D41" i="17"/>
  <c r="B41" i="17" s="1"/>
  <c r="W41" i="17" s="1"/>
  <c r="A41" i="17"/>
  <c r="T40" i="17"/>
  <c r="S40" i="17"/>
  <c r="R40" i="17"/>
  <c r="Q40" i="17"/>
  <c r="P40" i="17"/>
  <c r="G40" i="17"/>
  <c r="D40" i="17"/>
  <c r="C40" i="17" s="1"/>
  <c r="X40" i="17" s="1"/>
  <c r="A40" i="17"/>
  <c r="T39" i="17"/>
  <c r="S39" i="17"/>
  <c r="R39" i="17"/>
  <c r="Q39" i="17"/>
  <c r="P39" i="17"/>
  <c r="G39" i="17"/>
  <c r="D39" i="17"/>
  <c r="V39" i="17" s="1"/>
  <c r="A39" i="17"/>
  <c r="T38" i="17"/>
  <c r="S38" i="17"/>
  <c r="R38" i="17"/>
  <c r="Q38" i="17"/>
  <c r="P38" i="17"/>
  <c r="G38" i="17"/>
  <c r="D38" i="17"/>
  <c r="V38" i="17" s="1"/>
  <c r="A38" i="17"/>
  <c r="T37" i="17"/>
  <c r="S37" i="17"/>
  <c r="R37" i="17"/>
  <c r="Q37" i="17"/>
  <c r="P37" i="17"/>
  <c r="G37" i="17"/>
  <c r="D37" i="17"/>
  <c r="V37" i="17" s="1"/>
  <c r="A37" i="17"/>
  <c r="T36" i="17"/>
  <c r="S36" i="17"/>
  <c r="R36" i="17"/>
  <c r="Q36" i="17"/>
  <c r="P36" i="17"/>
  <c r="G36" i="17"/>
  <c r="D36" i="17"/>
  <c r="V36" i="17" s="1"/>
  <c r="A36" i="17"/>
  <c r="T35" i="17"/>
  <c r="S35" i="17"/>
  <c r="R35" i="17"/>
  <c r="Q35" i="17"/>
  <c r="P35" i="17"/>
  <c r="G35" i="17"/>
  <c r="D35" i="17"/>
  <c r="V35" i="17" s="1"/>
  <c r="A35" i="17"/>
  <c r="T34" i="17"/>
  <c r="S34" i="17"/>
  <c r="R34" i="17"/>
  <c r="Q34" i="17"/>
  <c r="P34" i="17"/>
  <c r="G34" i="17"/>
  <c r="D34" i="17"/>
  <c r="V34" i="17" s="1"/>
  <c r="A34" i="17"/>
  <c r="T33" i="17"/>
  <c r="S33" i="17"/>
  <c r="R33" i="17"/>
  <c r="Q33" i="17"/>
  <c r="P33" i="17"/>
  <c r="G33" i="17"/>
  <c r="D33" i="17"/>
  <c r="V33" i="17" s="1"/>
  <c r="A33" i="17"/>
  <c r="T32" i="17"/>
  <c r="S32" i="17"/>
  <c r="R32" i="17"/>
  <c r="Q32" i="17"/>
  <c r="P32" i="17"/>
  <c r="G32" i="17"/>
  <c r="D32" i="17"/>
  <c r="C32" i="17" s="1"/>
  <c r="X32" i="17" s="1"/>
  <c r="A32" i="17"/>
  <c r="T31" i="17"/>
  <c r="S31" i="17"/>
  <c r="R31" i="17"/>
  <c r="Q31" i="17"/>
  <c r="P31" i="17"/>
  <c r="G31" i="17"/>
  <c r="D31" i="17"/>
  <c r="V31" i="17" s="1"/>
  <c r="A31" i="17"/>
  <c r="T30" i="17"/>
  <c r="S30" i="17"/>
  <c r="R30" i="17"/>
  <c r="Q30" i="17"/>
  <c r="P30" i="17"/>
  <c r="G30" i="17"/>
  <c r="D30" i="17"/>
  <c r="V30" i="17" s="1"/>
  <c r="A30" i="17"/>
  <c r="T29" i="17"/>
  <c r="S29" i="17"/>
  <c r="R29" i="17"/>
  <c r="Q29" i="17"/>
  <c r="P29" i="17"/>
  <c r="G29" i="17"/>
  <c r="D29" i="17"/>
  <c r="V29" i="17" s="1"/>
  <c r="A29" i="17"/>
  <c r="T28" i="17"/>
  <c r="S28" i="17"/>
  <c r="R28" i="17"/>
  <c r="Q28" i="17"/>
  <c r="P28" i="17"/>
  <c r="G28" i="17"/>
  <c r="D28" i="17"/>
  <c r="V28" i="17" s="1"/>
  <c r="A28" i="17"/>
  <c r="T27" i="17"/>
  <c r="S27" i="17"/>
  <c r="R27" i="17"/>
  <c r="Q27" i="17"/>
  <c r="P27" i="17"/>
  <c r="G27" i="17"/>
  <c r="D27" i="17"/>
  <c r="V27" i="17" s="1"/>
  <c r="A27" i="17"/>
  <c r="T26" i="17"/>
  <c r="S26" i="17"/>
  <c r="R26" i="17"/>
  <c r="Q26" i="17"/>
  <c r="P26" i="17"/>
  <c r="G26" i="17"/>
  <c r="D26" i="17"/>
  <c r="V26" i="17" s="1"/>
  <c r="A26" i="17"/>
  <c r="T25" i="17"/>
  <c r="S25" i="17"/>
  <c r="R25" i="17"/>
  <c r="Q25" i="17"/>
  <c r="P25" i="17"/>
  <c r="G25" i="17"/>
  <c r="D25" i="17"/>
  <c r="V25" i="17" s="1"/>
  <c r="A25" i="17"/>
  <c r="T24" i="17"/>
  <c r="S24" i="17"/>
  <c r="R24" i="17"/>
  <c r="Q24" i="17"/>
  <c r="P24" i="17"/>
  <c r="G24" i="17"/>
  <c r="D24" i="17"/>
  <c r="C24" i="17" s="1"/>
  <c r="X24" i="17" s="1"/>
  <c r="A24" i="17"/>
  <c r="T23" i="17"/>
  <c r="S23" i="17"/>
  <c r="R23" i="17"/>
  <c r="Q23" i="17"/>
  <c r="P23" i="17"/>
  <c r="G23" i="17"/>
  <c r="D23" i="17"/>
  <c r="V23" i="17" s="1"/>
  <c r="A23" i="17"/>
  <c r="T22" i="17"/>
  <c r="S22" i="17"/>
  <c r="R22" i="17"/>
  <c r="Q22" i="17"/>
  <c r="P22" i="17"/>
  <c r="G22" i="17"/>
  <c r="D22" i="17"/>
  <c r="V22" i="17" s="1"/>
  <c r="A22" i="17"/>
  <c r="T21" i="17"/>
  <c r="S21" i="17"/>
  <c r="R21" i="17"/>
  <c r="Q21" i="17"/>
  <c r="P21" i="17"/>
  <c r="G21" i="17"/>
  <c r="D21" i="17"/>
  <c r="V21" i="17" s="1"/>
  <c r="A21" i="17"/>
  <c r="T20" i="17"/>
  <c r="S20" i="17"/>
  <c r="R20" i="17"/>
  <c r="Q20" i="17"/>
  <c r="P20" i="17"/>
  <c r="G20" i="17"/>
  <c r="D20" i="17"/>
  <c r="V20" i="17" s="1"/>
  <c r="A20" i="17"/>
  <c r="T19" i="17"/>
  <c r="S19" i="17"/>
  <c r="R19" i="17"/>
  <c r="Q19" i="17"/>
  <c r="P19" i="17"/>
  <c r="G19" i="17"/>
  <c r="D19" i="17"/>
  <c r="V19" i="17" s="1"/>
  <c r="A19" i="17"/>
  <c r="T18" i="17"/>
  <c r="S18" i="17"/>
  <c r="R18" i="17"/>
  <c r="Q18" i="17"/>
  <c r="P18" i="17"/>
  <c r="G18" i="17"/>
  <c r="D18" i="17"/>
  <c r="V18" i="17" s="1"/>
  <c r="A18" i="17"/>
  <c r="T17" i="17"/>
  <c r="S17" i="17"/>
  <c r="R17" i="17"/>
  <c r="Q17" i="17"/>
  <c r="P17" i="17"/>
  <c r="G17" i="17"/>
  <c r="D17" i="17"/>
  <c r="V17" i="17" s="1"/>
  <c r="A17" i="17"/>
  <c r="T16" i="17"/>
  <c r="S16" i="17"/>
  <c r="R16" i="17"/>
  <c r="Q16" i="17"/>
  <c r="P16" i="17"/>
  <c r="G16" i="17"/>
  <c r="D16" i="17"/>
  <c r="C16" i="17" s="1"/>
  <c r="X16" i="17" s="1"/>
  <c r="A16" i="17"/>
  <c r="T15" i="17"/>
  <c r="S15" i="17"/>
  <c r="R15" i="17"/>
  <c r="Q15" i="17"/>
  <c r="P15" i="17"/>
  <c r="G15" i="17"/>
  <c r="D15" i="17"/>
  <c r="V15" i="17" s="1"/>
  <c r="A15" i="17"/>
  <c r="T14" i="17"/>
  <c r="S14" i="17"/>
  <c r="R14" i="17"/>
  <c r="Q14" i="17"/>
  <c r="P14" i="17"/>
  <c r="G14" i="17"/>
  <c r="D14" i="17"/>
  <c r="V14" i="17" s="1"/>
  <c r="A14" i="17"/>
  <c r="T13" i="17"/>
  <c r="S13" i="17"/>
  <c r="R13" i="17"/>
  <c r="Q13" i="17"/>
  <c r="P13" i="17"/>
  <c r="G13" i="17"/>
  <c r="D13" i="17"/>
  <c r="V13" i="17" s="1"/>
  <c r="A13" i="17"/>
  <c r="T12" i="17"/>
  <c r="S12" i="17"/>
  <c r="R12" i="17"/>
  <c r="Q12" i="17"/>
  <c r="P12" i="17"/>
  <c r="G12" i="17"/>
  <c r="D12" i="17"/>
  <c r="V12" i="17" s="1"/>
  <c r="A12" i="17"/>
  <c r="T11" i="17"/>
  <c r="S11" i="17"/>
  <c r="R11" i="17"/>
  <c r="Q11" i="17"/>
  <c r="P11" i="17"/>
  <c r="G11" i="17"/>
  <c r="D11" i="17"/>
  <c r="V11" i="17" s="1"/>
  <c r="A11" i="17"/>
  <c r="T10" i="17"/>
  <c r="S10" i="17"/>
  <c r="R10" i="17"/>
  <c r="Q10" i="17"/>
  <c r="P10" i="17"/>
  <c r="G10" i="17"/>
  <c r="D10" i="17"/>
  <c r="C10" i="17" s="1"/>
  <c r="X10" i="17" s="1"/>
  <c r="A10" i="17"/>
  <c r="T9" i="17"/>
  <c r="S9" i="17"/>
  <c r="R9" i="17"/>
  <c r="Q9" i="17"/>
  <c r="P9" i="17"/>
  <c r="G9" i="17"/>
  <c r="D9" i="17"/>
  <c r="V9" i="17" s="1"/>
  <c r="A9" i="17"/>
  <c r="T8" i="17"/>
  <c r="S8" i="17"/>
  <c r="R8" i="17"/>
  <c r="Q8" i="17"/>
  <c r="P8" i="17"/>
  <c r="G8" i="17"/>
  <c r="D8" i="17"/>
  <c r="C8" i="17" s="1"/>
  <c r="X8" i="17" s="1"/>
  <c r="A8" i="17"/>
  <c r="T7" i="17"/>
  <c r="S7" i="17"/>
  <c r="R7" i="17"/>
  <c r="Q7" i="17"/>
  <c r="P7" i="17"/>
  <c r="G7" i="17"/>
  <c r="D7" i="17"/>
  <c r="V7" i="17" s="1"/>
  <c r="A7" i="17"/>
  <c r="T6" i="17"/>
  <c r="S6" i="17"/>
  <c r="R6" i="17"/>
  <c r="Q6" i="17"/>
  <c r="P6" i="17"/>
  <c r="G6" i="17"/>
  <c r="D6" i="17"/>
  <c r="V6" i="17" s="1"/>
  <c r="A6" i="17"/>
  <c r="T5" i="17"/>
  <c r="S5" i="17"/>
  <c r="R5" i="17"/>
  <c r="Q5" i="17"/>
  <c r="P5" i="17"/>
  <c r="G5" i="17"/>
  <c r="D5" i="17"/>
  <c r="V5" i="17" s="1"/>
  <c r="A5" i="17"/>
  <c r="T4" i="17"/>
  <c r="S4" i="17"/>
  <c r="R4" i="17"/>
  <c r="Q4" i="17"/>
  <c r="P4" i="17"/>
  <c r="G4" i="17"/>
  <c r="D4" i="17"/>
  <c r="V4" i="17" s="1"/>
  <c r="A4" i="17"/>
  <c r="T3" i="17"/>
  <c r="S3" i="17"/>
  <c r="R3" i="17"/>
  <c r="Q3" i="17"/>
  <c r="P3" i="17"/>
  <c r="G3" i="17"/>
  <c r="D3" i="17"/>
  <c r="V3" i="17" s="1"/>
  <c r="A3" i="17"/>
  <c r="N715" i="17"/>
  <c r="N714" i="17"/>
  <c r="N713" i="17"/>
  <c r="N712" i="17"/>
  <c r="N711" i="17"/>
  <c r="N710" i="17"/>
  <c r="N709" i="17"/>
  <c r="N708" i="17"/>
  <c r="N707" i="17"/>
  <c r="N706" i="17"/>
  <c r="N705" i="17"/>
  <c r="N704" i="17"/>
  <c r="N703" i="17"/>
  <c r="N702" i="17"/>
  <c r="N701" i="17"/>
  <c r="N700" i="17"/>
  <c r="N699" i="17"/>
  <c r="N698" i="17"/>
  <c r="N697" i="17"/>
  <c r="N696" i="17"/>
  <c r="N695" i="17"/>
  <c r="N694" i="17"/>
  <c r="N693" i="17"/>
  <c r="N692" i="17"/>
  <c r="N691" i="17"/>
  <c r="N690" i="17"/>
  <c r="N689" i="17"/>
  <c r="N688" i="17"/>
  <c r="N687" i="17"/>
  <c r="N686" i="17"/>
  <c r="N685" i="17"/>
  <c r="N684" i="17"/>
  <c r="N683" i="17"/>
  <c r="N682" i="17"/>
  <c r="N681" i="17"/>
  <c r="N680" i="17"/>
  <c r="N679" i="17"/>
  <c r="N678" i="17"/>
  <c r="N677" i="17"/>
  <c r="N676" i="17"/>
  <c r="N675" i="17"/>
  <c r="N674" i="17"/>
  <c r="N673" i="17"/>
  <c r="N672" i="17"/>
  <c r="N671" i="17"/>
  <c r="N670" i="17"/>
  <c r="N669" i="17"/>
  <c r="N668" i="17"/>
  <c r="N667" i="17"/>
  <c r="N666" i="17"/>
  <c r="N665" i="17"/>
  <c r="N664" i="17"/>
  <c r="N663" i="17"/>
  <c r="N662" i="17"/>
  <c r="N661" i="17"/>
  <c r="N660" i="17"/>
  <c r="N659" i="17"/>
  <c r="N658" i="17"/>
  <c r="N657" i="17"/>
  <c r="N656" i="17"/>
  <c r="N655" i="17"/>
  <c r="N654" i="17"/>
  <c r="N653" i="17"/>
  <c r="N652" i="17"/>
  <c r="N651" i="17"/>
  <c r="N650" i="17"/>
  <c r="N649" i="17"/>
  <c r="N648" i="17"/>
  <c r="N647" i="17"/>
  <c r="N646" i="17"/>
  <c r="N645" i="17"/>
  <c r="N644" i="17"/>
  <c r="N643" i="17"/>
  <c r="N642" i="17"/>
  <c r="N641" i="17"/>
  <c r="N640" i="17"/>
  <c r="N639" i="17"/>
  <c r="N638" i="17"/>
  <c r="N637" i="17"/>
  <c r="N636" i="17"/>
  <c r="N635" i="17"/>
  <c r="N634" i="17"/>
  <c r="N633" i="17"/>
  <c r="N632" i="17"/>
  <c r="N631" i="17"/>
  <c r="N630" i="17"/>
  <c r="N629" i="17"/>
  <c r="N628" i="17"/>
  <c r="N627" i="17"/>
  <c r="N626" i="17"/>
  <c r="N625" i="17"/>
  <c r="N624" i="17"/>
  <c r="N623" i="17"/>
  <c r="N622" i="17"/>
  <c r="N621" i="17"/>
  <c r="N620" i="17"/>
  <c r="N619" i="17"/>
  <c r="N618" i="17"/>
  <c r="N617" i="17"/>
  <c r="N616" i="17"/>
  <c r="N615" i="17"/>
  <c r="N614" i="17"/>
  <c r="N613" i="17"/>
  <c r="N612" i="17"/>
  <c r="N611" i="17"/>
  <c r="N610" i="17"/>
  <c r="N609" i="17"/>
  <c r="N596" i="17"/>
  <c r="N595" i="17"/>
  <c r="N594" i="17"/>
  <c r="N593" i="17"/>
  <c r="N592" i="17"/>
  <c r="N591" i="17"/>
  <c r="N590" i="17"/>
  <c r="N589" i="17"/>
  <c r="N588" i="17"/>
  <c r="N587" i="17"/>
  <c r="N586" i="17"/>
  <c r="N585" i="17"/>
  <c r="N584" i="17"/>
  <c r="N583" i="17"/>
  <c r="N582" i="17"/>
  <c r="N581" i="17"/>
  <c r="N580" i="17"/>
  <c r="N579" i="17"/>
  <c r="N578" i="17"/>
  <c r="N577" i="17"/>
  <c r="N576" i="17"/>
  <c r="N574" i="17"/>
  <c r="N575" i="17"/>
  <c r="N573" i="17"/>
  <c r="N572" i="17"/>
  <c r="N571" i="17"/>
  <c r="N570" i="17"/>
  <c r="N569" i="17"/>
  <c r="N568" i="17"/>
  <c r="N567" i="17"/>
  <c r="N566" i="17"/>
  <c r="N565" i="17"/>
  <c r="N564" i="17"/>
  <c r="N563" i="17"/>
  <c r="N562" i="17"/>
  <c r="N561" i="17"/>
  <c r="N560" i="17"/>
  <c r="N559" i="17"/>
  <c r="N558" i="17"/>
  <c r="N557" i="17"/>
  <c r="N556" i="17"/>
  <c r="N555" i="17"/>
  <c r="N554" i="17"/>
  <c r="N553" i="17"/>
  <c r="N552" i="17"/>
  <c r="N551" i="17"/>
  <c r="N550" i="17"/>
  <c r="N549" i="17"/>
  <c r="N548" i="17"/>
  <c r="N547" i="17"/>
  <c r="N546" i="17"/>
  <c r="N545" i="17"/>
  <c r="N544" i="17"/>
  <c r="N543" i="17"/>
  <c r="N542" i="17"/>
  <c r="N541" i="17"/>
  <c r="N540" i="17"/>
  <c r="N539" i="17"/>
  <c r="N538" i="17"/>
  <c r="N537" i="17"/>
  <c r="N536" i="17"/>
  <c r="N535" i="17"/>
  <c r="N534" i="17"/>
  <c r="N533" i="17"/>
  <c r="N532" i="17"/>
  <c r="N531" i="17"/>
  <c r="N530" i="17"/>
  <c r="N529" i="17"/>
  <c r="N528" i="17"/>
  <c r="N527" i="17"/>
  <c r="N526" i="17"/>
  <c r="N525" i="17"/>
  <c r="N524" i="17"/>
  <c r="N523" i="17"/>
  <c r="N522" i="17"/>
  <c r="N521" i="17"/>
  <c r="N520" i="17"/>
  <c r="N519" i="17"/>
  <c r="N518" i="17"/>
  <c r="N517" i="17"/>
  <c r="N516" i="17"/>
  <c r="N515" i="17"/>
  <c r="N514" i="17"/>
  <c r="N513" i="17"/>
  <c r="N512" i="17"/>
  <c r="N511" i="17"/>
  <c r="N510" i="17"/>
  <c r="N509" i="17"/>
  <c r="N508" i="17"/>
  <c r="N507" i="17"/>
  <c r="N506" i="17"/>
  <c r="N505" i="17"/>
  <c r="N504" i="17"/>
  <c r="N503" i="17"/>
  <c r="N502" i="17"/>
  <c r="N501" i="17"/>
  <c r="N500" i="17"/>
  <c r="N499" i="17"/>
  <c r="N498" i="17"/>
  <c r="N497" i="17"/>
  <c r="N496" i="17"/>
  <c r="N495" i="17"/>
  <c r="N494" i="17"/>
  <c r="N493" i="17"/>
  <c r="N492" i="17"/>
  <c r="N491" i="17"/>
  <c r="N490" i="17"/>
  <c r="N489" i="17"/>
  <c r="N488" i="17"/>
  <c r="N487" i="17"/>
  <c r="N486" i="17"/>
  <c r="N485" i="17"/>
  <c r="N484" i="17"/>
  <c r="N483" i="17"/>
  <c r="N482" i="17"/>
  <c r="N481" i="17"/>
  <c r="N480" i="17"/>
  <c r="N479" i="17"/>
  <c r="N478" i="17"/>
  <c r="N477" i="17"/>
  <c r="N476" i="17"/>
  <c r="N475" i="17"/>
  <c r="N474" i="17"/>
  <c r="N473" i="17"/>
  <c r="N472" i="17"/>
  <c r="N471" i="17"/>
  <c r="N470" i="17"/>
  <c r="N469" i="17"/>
  <c r="N468" i="17"/>
  <c r="N467" i="17"/>
  <c r="N466" i="17"/>
  <c r="N465" i="17"/>
  <c r="N464" i="17"/>
  <c r="N463" i="17"/>
  <c r="N462" i="17"/>
  <c r="N461" i="17"/>
  <c r="N460" i="17"/>
  <c r="N459" i="17"/>
  <c r="N458" i="17"/>
  <c r="N457" i="17"/>
  <c r="N456" i="17"/>
  <c r="N455" i="17"/>
  <c r="N454" i="17"/>
  <c r="N453" i="17"/>
  <c r="N452" i="17"/>
  <c r="N451" i="17"/>
  <c r="N450" i="17"/>
  <c r="N449" i="17"/>
  <c r="N448" i="17"/>
  <c r="N447" i="17"/>
  <c r="N446" i="17"/>
  <c r="N444" i="17"/>
  <c r="N442" i="17"/>
  <c r="N441" i="17"/>
  <c r="N438" i="17"/>
  <c r="N436" i="17"/>
  <c r="N435" i="17"/>
  <c r="N432" i="17"/>
  <c r="N431" i="17"/>
  <c r="N428" i="17"/>
  <c r="N427" i="17"/>
  <c r="N426" i="17"/>
  <c r="N425" i="17"/>
  <c r="N424" i="17"/>
  <c r="N423" i="17"/>
  <c r="N422" i="17"/>
  <c r="N421" i="17"/>
  <c r="N420" i="17"/>
  <c r="N419" i="17"/>
  <c r="N418" i="17"/>
  <c r="N417" i="17"/>
  <c r="N416" i="17"/>
  <c r="N415" i="17"/>
  <c r="N414" i="17"/>
  <c r="N413" i="17"/>
  <c r="N412" i="17"/>
  <c r="N411" i="17"/>
  <c r="N410" i="17"/>
  <c r="N409" i="17"/>
  <c r="N408" i="17"/>
  <c r="N407" i="17"/>
  <c r="N406" i="17"/>
  <c r="N405" i="17"/>
  <c r="N404" i="17"/>
  <c r="N403" i="17"/>
  <c r="N402" i="17"/>
  <c r="N401" i="17"/>
  <c r="N400" i="17"/>
  <c r="N399" i="17"/>
  <c r="N398" i="17"/>
  <c r="N397" i="17"/>
  <c r="N396" i="17"/>
  <c r="N395" i="17"/>
  <c r="N394" i="17"/>
  <c r="N393" i="17"/>
  <c r="N392" i="17"/>
  <c r="N387" i="17"/>
  <c r="N386" i="17"/>
  <c r="N385" i="17"/>
  <c r="N384" i="17"/>
  <c r="N383" i="17"/>
  <c r="N382" i="17"/>
  <c r="N381" i="17"/>
  <c r="N379" i="17"/>
  <c r="N378" i="17"/>
  <c r="N380" i="17"/>
  <c r="N377" i="17"/>
  <c r="N376" i="17"/>
  <c r="N375" i="17"/>
  <c r="N374" i="17"/>
  <c r="N373" i="17"/>
  <c r="N372" i="17"/>
  <c r="N371" i="17"/>
  <c r="N370" i="17"/>
  <c r="N369" i="17"/>
  <c r="N368" i="17"/>
  <c r="N367" i="17"/>
  <c r="N366" i="17"/>
  <c r="N365" i="17"/>
  <c r="N364" i="17"/>
  <c r="N363" i="17"/>
  <c r="N362" i="17"/>
  <c r="N361" i="17"/>
  <c r="N360" i="17"/>
  <c r="N359" i="17"/>
  <c r="N358" i="17"/>
  <c r="N357" i="17"/>
  <c r="N356" i="17"/>
  <c r="N355" i="17"/>
  <c r="N354" i="17"/>
  <c r="N353" i="17"/>
  <c r="N352" i="17"/>
  <c r="N351" i="17"/>
  <c r="N350" i="17"/>
  <c r="N349" i="17"/>
  <c r="N348" i="17"/>
  <c r="N347" i="17"/>
  <c r="N346" i="17"/>
  <c r="N345" i="17"/>
  <c r="N344" i="17"/>
  <c r="N343" i="17"/>
  <c r="N342" i="17"/>
  <c r="N341" i="17"/>
  <c r="N340" i="17"/>
  <c r="N339" i="17"/>
  <c r="N338" i="17"/>
  <c r="N337" i="17"/>
  <c r="N336" i="17"/>
  <c r="N335" i="17"/>
  <c r="N334" i="17"/>
  <c r="N333" i="17"/>
  <c r="N332" i="17"/>
  <c r="N331" i="17"/>
  <c r="N330" i="17"/>
  <c r="N329" i="17"/>
  <c r="N328" i="17"/>
  <c r="N327" i="17"/>
  <c r="N326" i="17"/>
  <c r="N325" i="17"/>
  <c r="N324" i="17"/>
  <c r="N323" i="17"/>
  <c r="N322" i="17"/>
  <c r="N321" i="17"/>
  <c r="N320" i="17"/>
  <c r="N319" i="17"/>
  <c r="N318" i="17"/>
  <c r="N317" i="17"/>
  <c r="N316" i="17"/>
  <c r="N315" i="17"/>
  <c r="N314" i="17"/>
  <c r="N313" i="17"/>
  <c r="N312" i="17"/>
  <c r="N311" i="17"/>
  <c r="N310" i="17"/>
  <c r="N309" i="17"/>
  <c r="N308" i="17"/>
  <c r="N307" i="17"/>
  <c r="N305" i="17"/>
  <c r="N304" i="17"/>
  <c r="N303" i="17"/>
  <c r="N302" i="17"/>
  <c r="N301" i="17"/>
  <c r="N300" i="17"/>
  <c r="N299" i="17"/>
  <c r="N298" i="17"/>
  <c r="N297" i="17"/>
  <c r="N296" i="17"/>
  <c r="N295" i="17"/>
  <c r="N294" i="17"/>
  <c r="N293" i="17"/>
  <c r="N292" i="17"/>
  <c r="N291" i="17"/>
  <c r="N290" i="17"/>
  <c r="N289" i="17"/>
  <c r="N288" i="17"/>
  <c r="N287" i="17"/>
  <c r="N286" i="17"/>
  <c r="N285" i="17"/>
  <c r="N284" i="17"/>
  <c r="N283" i="17"/>
  <c r="N282" i="17"/>
  <c r="N281" i="17"/>
  <c r="N280" i="17"/>
  <c r="N279" i="17"/>
  <c r="N278" i="17"/>
  <c r="N277" i="17"/>
  <c r="N276" i="17"/>
  <c r="N275" i="17"/>
  <c r="N274" i="17"/>
  <c r="N273" i="17"/>
  <c r="N272" i="17"/>
  <c r="N271" i="17"/>
  <c r="N270" i="17"/>
  <c r="N269" i="17"/>
  <c r="N268" i="17"/>
  <c r="N267" i="17"/>
  <c r="N266" i="17"/>
  <c r="N265" i="17"/>
  <c r="N264" i="17"/>
  <c r="N263" i="17"/>
  <c r="N262" i="17"/>
  <c r="N261" i="17"/>
  <c r="N260" i="17"/>
  <c r="N259" i="17"/>
  <c r="N258" i="17"/>
  <c r="N257" i="17"/>
  <c r="N256" i="17"/>
  <c r="N255" i="17"/>
  <c r="N254" i="17"/>
  <c r="N253" i="17"/>
  <c r="N252" i="17"/>
  <c r="N251" i="17"/>
  <c r="N250" i="17"/>
  <c r="N249" i="17"/>
  <c r="N248" i="17"/>
  <c r="N247" i="17"/>
  <c r="N246" i="17"/>
  <c r="N245" i="17"/>
  <c r="N244" i="17"/>
  <c r="N243" i="17"/>
  <c r="N239" i="17"/>
  <c r="N242" i="17"/>
  <c r="N241" i="17"/>
  <c r="N240" i="17"/>
  <c r="N238" i="17"/>
  <c r="N237" i="17"/>
  <c r="N236" i="17"/>
  <c r="N235" i="17"/>
  <c r="N234" i="17"/>
  <c r="N233" i="17"/>
  <c r="N232" i="17"/>
  <c r="N231" i="17"/>
  <c r="N230" i="17"/>
  <c r="N227" i="17"/>
  <c r="N226" i="17"/>
  <c r="N225" i="17"/>
  <c r="N224" i="17"/>
  <c r="N223" i="17"/>
  <c r="N222" i="17"/>
  <c r="N221" i="17"/>
  <c r="N220" i="17"/>
  <c r="N218" i="17"/>
  <c r="N217" i="17"/>
  <c r="N216" i="17"/>
  <c r="N215" i="17"/>
  <c r="N214" i="17"/>
  <c r="N213" i="17"/>
  <c r="N212" i="17"/>
  <c r="N211" i="17"/>
  <c r="N210" i="17"/>
  <c r="N209" i="17"/>
  <c r="N208" i="17"/>
  <c r="P213" i="18"/>
  <c r="N207" i="17"/>
  <c r="P212" i="18"/>
  <c r="N206" i="17"/>
  <c r="P211" i="18"/>
  <c r="N205" i="17"/>
  <c r="P210" i="18"/>
  <c r="N204" i="17"/>
  <c r="P209" i="18"/>
  <c r="N203" i="17"/>
  <c r="P208" i="18"/>
  <c r="N202" i="17"/>
  <c r="P207" i="18"/>
  <c r="N201" i="17"/>
  <c r="P206" i="18"/>
  <c r="N200" i="17"/>
  <c r="P205" i="18"/>
  <c r="N199" i="17"/>
  <c r="P204" i="18"/>
  <c r="N198" i="17"/>
  <c r="N197" i="17"/>
  <c r="N196" i="17"/>
  <c r="N195" i="17"/>
  <c r="N194" i="17"/>
  <c r="N193" i="17"/>
  <c r="N192" i="17"/>
  <c r="N191" i="17"/>
  <c r="N190" i="17"/>
  <c r="N189" i="17"/>
  <c r="N188" i="17"/>
  <c r="N187" i="17"/>
  <c r="N186" i="17"/>
  <c r="N185" i="17"/>
  <c r="P190" i="18"/>
  <c r="N184" i="17"/>
  <c r="P189" i="18"/>
  <c r="N183" i="17"/>
  <c r="P188" i="18"/>
  <c r="N182" i="17"/>
  <c r="P187" i="18"/>
  <c r="N181" i="17"/>
  <c r="P186" i="18"/>
  <c r="N180" i="17"/>
  <c r="P185" i="18"/>
  <c r="N179" i="17"/>
  <c r="P184" i="18"/>
  <c r="N178" i="17"/>
  <c r="P183" i="18"/>
  <c r="N177" i="17"/>
  <c r="P182" i="18"/>
  <c r="N176" i="17"/>
  <c r="P181" i="18"/>
  <c r="N175" i="17"/>
  <c r="P180" i="18"/>
  <c r="N174" i="17"/>
  <c r="P179" i="18"/>
  <c r="N173" i="17"/>
  <c r="P178" i="18"/>
  <c r="N172" i="17"/>
  <c r="P177" i="18"/>
  <c r="N171" i="17"/>
  <c r="P176" i="18"/>
  <c r="N170" i="17"/>
  <c r="P175" i="18"/>
  <c r="N169" i="17"/>
  <c r="P174" i="18"/>
  <c r="N168" i="17"/>
  <c r="P173" i="18"/>
  <c r="N167" i="17"/>
  <c r="P172" i="18"/>
  <c r="N166" i="17"/>
  <c r="P171" i="18"/>
  <c r="N165" i="17"/>
  <c r="P170" i="18"/>
  <c r="N164" i="17"/>
  <c r="N163" i="17"/>
  <c r="N162" i="17"/>
  <c r="N161" i="17"/>
  <c r="N160" i="17"/>
  <c r="N159" i="17"/>
  <c r="N158" i="17"/>
  <c r="N157" i="17"/>
  <c r="N156" i="17"/>
  <c r="N155" i="17"/>
  <c r="P160" i="18"/>
  <c r="N154" i="17"/>
  <c r="P159" i="18"/>
  <c r="N153" i="17"/>
  <c r="P158" i="18"/>
  <c r="N152" i="17"/>
  <c r="P157" i="18"/>
  <c r="N151" i="17"/>
  <c r="N148" i="17"/>
  <c r="N147" i="17"/>
  <c r="N145" i="17"/>
  <c r="N144" i="17"/>
  <c r="N143" i="17"/>
  <c r="N142" i="17"/>
  <c r="P147" i="18"/>
  <c r="N141" i="17"/>
  <c r="P146" i="18"/>
  <c r="N140" i="17"/>
  <c r="P145" i="18"/>
  <c r="P144" i="18"/>
  <c r="P143" i="18"/>
  <c r="N137" i="17"/>
  <c r="P142" i="18"/>
  <c r="N136" i="17"/>
  <c r="P141" i="18"/>
  <c r="N135" i="17"/>
  <c r="P140" i="18"/>
  <c r="N134" i="17"/>
  <c r="P139" i="18"/>
  <c r="N133" i="17"/>
  <c r="P138" i="18"/>
  <c r="N132" i="17"/>
  <c r="P137" i="18"/>
  <c r="N131" i="17"/>
  <c r="P136" i="18"/>
  <c r="N130" i="17"/>
  <c r="P135" i="18"/>
  <c r="N129" i="17"/>
  <c r="P134" i="18"/>
  <c r="N128" i="17"/>
  <c r="P133" i="18"/>
  <c r="N127" i="17"/>
  <c r="P132" i="18"/>
  <c r="N126" i="17"/>
  <c r="P131" i="18"/>
  <c r="N125" i="17"/>
  <c r="P130" i="18"/>
  <c r="N124" i="17"/>
  <c r="P129" i="18"/>
  <c r="N123" i="17"/>
  <c r="P128" i="18"/>
  <c r="N122" i="17"/>
  <c r="P127" i="18"/>
  <c r="N121" i="17"/>
  <c r="P126" i="18"/>
  <c r="N120" i="17"/>
  <c r="P125" i="18"/>
  <c r="N119" i="17"/>
  <c r="P124" i="18"/>
  <c r="P123" i="18"/>
  <c r="P122" i="18"/>
  <c r="G122" i="18"/>
  <c r="F122" i="18"/>
  <c r="E122" i="18"/>
  <c r="D122" i="18"/>
  <c r="P121" i="18"/>
  <c r="N117" i="17"/>
  <c r="P120" i="18"/>
  <c r="N116" i="17"/>
  <c r="P119" i="18"/>
  <c r="N115" i="17"/>
  <c r="P118" i="18"/>
  <c r="N114" i="17"/>
  <c r="P117" i="18"/>
  <c r="N113" i="17"/>
  <c r="P116" i="18"/>
  <c r="N112" i="17"/>
  <c r="P115" i="18"/>
  <c r="N111" i="17"/>
  <c r="P114" i="18"/>
  <c r="N110" i="17"/>
  <c r="P113" i="18"/>
  <c r="N109" i="17"/>
  <c r="P112" i="18"/>
  <c r="N108" i="17"/>
  <c r="P111" i="18"/>
  <c r="N107" i="17"/>
  <c r="P110" i="18"/>
  <c r="N106" i="17"/>
  <c r="P109" i="18"/>
  <c r="N105" i="17"/>
  <c r="P108" i="18"/>
  <c r="N104" i="17"/>
  <c r="P107" i="18"/>
  <c r="N103" i="17"/>
  <c r="P106" i="18"/>
  <c r="N102" i="17"/>
  <c r="P105" i="18"/>
  <c r="N101" i="17"/>
  <c r="P104" i="18"/>
  <c r="N100" i="17"/>
  <c r="P103" i="18"/>
  <c r="N99" i="17"/>
  <c r="P102" i="18"/>
  <c r="N98" i="17"/>
  <c r="P101" i="18"/>
  <c r="N97" i="17"/>
  <c r="P100" i="18"/>
  <c r="N96" i="17"/>
  <c r="P99" i="18"/>
  <c r="N95" i="17"/>
  <c r="P98" i="18"/>
  <c r="N94" i="17"/>
  <c r="P97" i="18"/>
  <c r="N93" i="17"/>
  <c r="P96" i="18"/>
  <c r="N92" i="17"/>
  <c r="P95" i="18"/>
  <c r="N91" i="17"/>
  <c r="P94" i="18"/>
  <c r="N90" i="17"/>
  <c r="P93" i="18"/>
  <c r="N89" i="17"/>
  <c r="P92" i="18"/>
  <c r="N88" i="17"/>
  <c r="P91" i="18"/>
  <c r="N87" i="17"/>
  <c r="P90" i="18"/>
  <c r="N86" i="17"/>
  <c r="P89" i="18"/>
  <c r="N85" i="17"/>
  <c r="P88" i="18"/>
  <c r="N84" i="17"/>
  <c r="P87" i="18"/>
  <c r="N83" i="17"/>
  <c r="P86" i="18"/>
  <c r="N82" i="17"/>
  <c r="P85" i="18"/>
  <c r="N81" i="17"/>
  <c r="P84" i="18"/>
  <c r="N80" i="17"/>
  <c r="P83" i="18"/>
  <c r="N79" i="17"/>
  <c r="P82" i="18"/>
  <c r="N78" i="17"/>
  <c r="P81" i="18"/>
  <c r="N77" i="17"/>
  <c r="P80" i="18"/>
  <c r="N76" i="17"/>
  <c r="P79" i="18"/>
  <c r="N75" i="17"/>
  <c r="P78" i="18"/>
  <c r="N74" i="17"/>
  <c r="P77" i="18"/>
  <c r="N73" i="17"/>
  <c r="P76" i="18"/>
  <c r="N72" i="17"/>
  <c r="P75" i="18"/>
  <c r="N71" i="17"/>
  <c r="P74" i="18"/>
  <c r="N70" i="17"/>
  <c r="P73" i="18"/>
  <c r="N69" i="17"/>
  <c r="P72" i="18"/>
  <c r="N68" i="17"/>
  <c r="P71" i="18"/>
  <c r="N67" i="17"/>
  <c r="P70" i="18"/>
  <c r="N66" i="17"/>
  <c r="P69" i="18"/>
  <c r="N65" i="17"/>
  <c r="P68" i="18"/>
  <c r="N64" i="17"/>
  <c r="P67" i="18"/>
  <c r="N63" i="17"/>
  <c r="P66" i="18"/>
  <c r="N62" i="17"/>
  <c r="P65" i="18"/>
  <c r="N61" i="17"/>
  <c r="P64" i="18"/>
  <c r="N60" i="17"/>
  <c r="P63" i="18"/>
  <c r="N59" i="17"/>
  <c r="P62" i="18"/>
  <c r="N58" i="17"/>
  <c r="P61" i="18"/>
  <c r="N57" i="17"/>
  <c r="P60" i="18"/>
  <c r="N56" i="17"/>
  <c r="P59" i="18"/>
  <c r="N55" i="17"/>
  <c r="P58" i="18"/>
  <c r="N54" i="17"/>
  <c r="P57" i="18"/>
  <c r="N53" i="17"/>
  <c r="P56" i="18"/>
  <c r="N52" i="17"/>
  <c r="P55" i="18"/>
  <c r="N51" i="17"/>
  <c r="P54" i="18"/>
  <c r="P53" i="18"/>
  <c r="N50" i="17"/>
  <c r="P52" i="18"/>
  <c r="N49" i="17"/>
  <c r="P51" i="18"/>
  <c r="N48" i="17"/>
  <c r="P50" i="18"/>
  <c r="N47" i="17"/>
  <c r="P49" i="18"/>
  <c r="N46" i="17"/>
  <c r="P48" i="18"/>
  <c r="N45" i="17"/>
  <c r="P47" i="18"/>
  <c r="N44" i="17"/>
  <c r="P46" i="18"/>
  <c r="N43" i="17"/>
  <c r="P45" i="18"/>
  <c r="N42" i="17"/>
  <c r="P44" i="18"/>
  <c r="N41" i="17"/>
  <c r="P43" i="18"/>
  <c r="N40" i="17"/>
  <c r="P42" i="18"/>
  <c r="N39" i="17"/>
  <c r="P41" i="18"/>
  <c r="N38" i="17"/>
  <c r="P40" i="18"/>
  <c r="N37" i="17"/>
  <c r="P39" i="18"/>
  <c r="N36" i="17"/>
  <c r="P38" i="18"/>
  <c r="N35" i="17"/>
  <c r="P37" i="18"/>
  <c r="N34" i="17"/>
  <c r="P36" i="18"/>
  <c r="N33" i="17"/>
  <c r="P35" i="18"/>
  <c r="N32" i="17"/>
  <c r="P34" i="18"/>
  <c r="N31" i="17"/>
  <c r="P33" i="18"/>
  <c r="N30" i="17"/>
  <c r="P32" i="18"/>
  <c r="N29" i="17"/>
  <c r="P31" i="18"/>
  <c r="N28" i="17"/>
  <c r="P30" i="18"/>
  <c r="P29" i="18"/>
  <c r="P28" i="18"/>
  <c r="P27" i="18"/>
  <c r="P26" i="18"/>
  <c r="N23" i="17"/>
  <c r="P25" i="18"/>
  <c r="N22" i="17"/>
  <c r="P24" i="18"/>
  <c r="N21" i="17"/>
  <c r="P23" i="18"/>
  <c r="N20" i="17"/>
  <c r="P22" i="18"/>
  <c r="N19" i="17"/>
  <c r="P21" i="18"/>
  <c r="N18" i="17"/>
  <c r="P20" i="18"/>
  <c r="N17" i="17"/>
  <c r="P19" i="18"/>
  <c r="N16" i="17"/>
  <c r="P18" i="18"/>
  <c r="N15" i="17"/>
  <c r="P17" i="18"/>
  <c r="P16" i="18"/>
  <c r="P15" i="18"/>
  <c r="N14" i="17"/>
  <c r="P14" i="18"/>
  <c r="N13" i="17"/>
  <c r="P13" i="18"/>
  <c r="N12" i="17"/>
  <c r="P12" i="18"/>
  <c r="N11" i="17"/>
  <c r="P11" i="18"/>
  <c r="N10" i="17"/>
  <c r="P10" i="18"/>
  <c r="N9" i="17"/>
  <c r="P9" i="18"/>
  <c r="N8" i="17"/>
  <c r="P8" i="18"/>
  <c r="N7" i="17"/>
  <c r="P7" i="18"/>
  <c r="N6" i="17"/>
  <c r="N5" i="17"/>
  <c r="P5" i="18"/>
  <c r="N4" i="17"/>
  <c r="P4" i="18"/>
  <c r="H4" i="18"/>
  <c r="N3" i="17" s="1"/>
  <c r="I720" i="19"/>
  <c r="I719" i="19"/>
  <c r="I718" i="19"/>
  <c r="I717" i="19"/>
  <c r="I716" i="19"/>
  <c r="I715" i="19"/>
  <c r="I714" i="19"/>
  <c r="I713" i="19"/>
  <c r="I712" i="19"/>
  <c r="I711" i="19"/>
  <c r="I710" i="19"/>
  <c r="I709" i="19"/>
  <c r="I708" i="19"/>
  <c r="I707" i="19"/>
  <c r="I706"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61" i="19"/>
  <c r="I660" i="19"/>
  <c r="I659" i="19"/>
  <c r="I658" i="19"/>
  <c r="I657"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63" i="19"/>
  <c r="I562" i="19"/>
  <c r="I561" i="19"/>
  <c r="I560" i="19"/>
  <c r="I559"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14" i="19"/>
  <c r="I513" i="19"/>
  <c r="I512" i="19"/>
  <c r="I511" i="19"/>
  <c r="I510"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3" i="19"/>
  <c r="H122" i="18" l="1"/>
  <c r="C12" i="17"/>
  <c r="X12" i="17" s="1"/>
  <c r="V217" i="17"/>
  <c r="B225" i="17"/>
  <c r="W225" i="17" s="1"/>
  <c r="B72" i="17"/>
  <c r="W72" i="17" s="1"/>
  <c r="B588" i="17"/>
  <c r="W588" i="17" s="1"/>
  <c r="C111" i="17"/>
  <c r="X111" i="17" s="1"/>
  <c r="B498" i="17"/>
  <c r="W498" i="17" s="1"/>
  <c r="C660" i="17"/>
  <c r="X660" i="17" s="1"/>
  <c r="C6" i="17"/>
  <c r="X6" i="17" s="1"/>
  <c r="C65" i="17"/>
  <c r="X65" i="17" s="1"/>
  <c r="B364" i="17"/>
  <c r="W364" i="17" s="1"/>
  <c r="B545" i="17"/>
  <c r="W545" i="17" s="1"/>
  <c r="C592" i="17"/>
  <c r="X592" i="17" s="1"/>
  <c r="B370" i="17"/>
  <c r="W370" i="17" s="1"/>
  <c r="B574" i="17"/>
  <c r="W574" i="17" s="1"/>
  <c r="V577" i="17"/>
  <c r="B97" i="17"/>
  <c r="W97" i="17" s="1"/>
  <c r="C224" i="17"/>
  <c r="X224" i="17" s="1"/>
  <c r="V297" i="17"/>
  <c r="C455" i="17"/>
  <c r="X455" i="17" s="1"/>
  <c r="C671" i="17"/>
  <c r="X671" i="17" s="1"/>
  <c r="B304" i="17"/>
  <c r="W304" i="17" s="1"/>
  <c r="C429" i="17"/>
  <c r="X429" i="17" s="1"/>
  <c r="V450" i="17"/>
  <c r="B14" i="17"/>
  <c r="W14" i="17" s="1"/>
  <c r="B205" i="17"/>
  <c r="W205" i="17" s="1"/>
  <c r="C650" i="17"/>
  <c r="X650" i="17" s="1"/>
  <c r="V433" i="17"/>
  <c r="V464" i="17"/>
  <c r="V515" i="17"/>
  <c r="C47" i="17"/>
  <c r="X47" i="17" s="1"/>
  <c r="B448" i="17"/>
  <c r="W448" i="17" s="1"/>
  <c r="B465" i="17"/>
  <c r="W465" i="17" s="1"/>
  <c r="V468" i="17"/>
  <c r="B672" i="17"/>
  <c r="W672" i="17" s="1"/>
  <c r="C9" i="17"/>
  <c r="X9" i="17" s="1"/>
  <c r="C14" i="17"/>
  <c r="X14" i="17" s="1"/>
  <c r="C114" i="17"/>
  <c r="X114" i="17" s="1"/>
  <c r="B175" i="17"/>
  <c r="W175" i="17" s="1"/>
  <c r="B208" i="17"/>
  <c r="W208" i="17" s="1"/>
  <c r="C283" i="17"/>
  <c r="X283" i="17" s="1"/>
  <c r="C323" i="17"/>
  <c r="X323" i="17" s="1"/>
  <c r="C550" i="17"/>
  <c r="X550" i="17" s="1"/>
  <c r="C99" i="17"/>
  <c r="X99" i="17" s="1"/>
  <c r="C148" i="17"/>
  <c r="B227" i="17"/>
  <c r="W227" i="17" s="1"/>
  <c r="V279" i="17"/>
  <c r="V311" i="17"/>
  <c r="B484" i="17"/>
  <c r="W484" i="17" s="1"/>
  <c r="V489" i="17"/>
  <c r="C684" i="17"/>
  <c r="X684" i="17" s="1"/>
  <c r="C661" i="17"/>
  <c r="X661" i="17" s="1"/>
  <c r="V323" i="17"/>
  <c r="C367" i="17"/>
  <c r="X367" i="17" s="1"/>
  <c r="V452" i="17"/>
  <c r="B456" i="17"/>
  <c r="W456" i="17" s="1"/>
  <c r="C55" i="17"/>
  <c r="X55" i="17" s="1"/>
  <c r="B147" i="17"/>
  <c r="W147" i="17" s="1"/>
  <c r="B178" i="17"/>
  <c r="W178" i="17" s="1"/>
  <c r="B215" i="17"/>
  <c r="W215" i="17" s="1"/>
  <c r="B290" i="17"/>
  <c r="W290" i="17" s="1"/>
  <c r="V372" i="17"/>
  <c r="C464" i="17"/>
  <c r="X464" i="17" s="1"/>
  <c r="C473" i="17"/>
  <c r="X473" i="17" s="1"/>
  <c r="B514" i="17"/>
  <c r="W514" i="17" s="1"/>
  <c r="B8" i="17"/>
  <c r="W8" i="17" s="1"/>
  <c r="C43" i="17"/>
  <c r="X43" i="17" s="1"/>
  <c r="B57" i="17"/>
  <c r="W57" i="17" s="1"/>
  <c r="V148" i="17"/>
  <c r="C200" i="17"/>
  <c r="X200" i="17" s="1"/>
  <c r="B275" i="17"/>
  <c r="W275" i="17" s="1"/>
  <c r="B311" i="17"/>
  <c r="W311" i="17" s="1"/>
  <c r="C348" i="17"/>
  <c r="X348" i="17" s="1"/>
  <c r="V390" i="17"/>
  <c r="C453" i="17"/>
  <c r="X453" i="17" s="1"/>
  <c r="T117" i="22"/>
  <c r="L118" i="17"/>
  <c r="M118" i="17"/>
  <c r="U117" i="22"/>
  <c r="N388" i="17"/>
  <c r="N389" i="17"/>
  <c r="N437" i="17"/>
  <c r="N443" i="17"/>
  <c r="N390" i="17"/>
  <c r="R117" i="22"/>
  <c r="J118" i="17"/>
  <c r="N391" i="17"/>
  <c r="N439" i="17"/>
  <c r="N445" i="17"/>
  <c r="S117" i="22"/>
  <c r="K118" i="17"/>
  <c r="N139" i="17"/>
  <c r="N138" i="17"/>
  <c r="B9" i="17"/>
  <c r="W9" i="17" s="1"/>
  <c r="B48" i="17"/>
  <c r="W48" i="17" s="1"/>
  <c r="C93" i="17"/>
  <c r="X93" i="17" s="1"/>
  <c r="B145" i="17"/>
  <c r="W145" i="17" s="1"/>
  <c r="C154" i="17"/>
  <c r="X154" i="17" s="1"/>
  <c r="V161" i="17"/>
  <c r="B191" i="17"/>
  <c r="W191" i="17" s="1"/>
  <c r="B288" i="17"/>
  <c r="W288" i="17" s="1"/>
  <c r="V492" i="17"/>
  <c r="B581" i="17"/>
  <c r="W581" i="17" s="1"/>
  <c r="C651" i="17"/>
  <c r="X651" i="17" s="1"/>
  <c r="C668" i="17"/>
  <c r="X668" i="17" s="1"/>
  <c r="C677" i="17"/>
  <c r="X677" i="17" s="1"/>
  <c r="V680" i="17"/>
  <c r="B30" i="17"/>
  <c r="W30" i="17" s="1"/>
  <c r="B559" i="17"/>
  <c r="W559" i="17" s="1"/>
  <c r="C7" i="17"/>
  <c r="X7" i="17" s="1"/>
  <c r="C51" i="17"/>
  <c r="X51" i="17" s="1"/>
  <c r="C59" i="17"/>
  <c r="X59" i="17" s="1"/>
  <c r="B109" i="17"/>
  <c r="W109" i="17" s="1"/>
  <c r="V191" i="17"/>
  <c r="C207" i="17"/>
  <c r="X207" i="17" s="1"/>
  <c r="B242" i="17"/>
  <c r="W242" i="17" s="1"/>
  <c r="B266" i="17"/>
  <c r="W266" i="17" s="1"/>
  <c r="C313" i="17"/>
  <c r="X313" i="17" s="1"/>
  <c r="B348" i="17"/>
  <c r="W348" i="17" s="1"/>
  <c r="B367" i="17"/>
  <c r="W367" i="17" s="1"/>
  <c r="B376" i="17"/>
  <c r="W376" i="17" s="1"/>
  <c r="V383" i="17"/>
  <c r="V404" i="17"/>
  <c r="B453" i="17"/>
  <c r="W453" i="17" s="1"/>
  <c r="V470" i="17"/>
  <c r="B542" i="17"/>
  <c r="W542" i="17" s="1"/>
  <c r="B561" i="17"/>
  <c r="W561" i="17" s="1"/>
  <c r="V566" i="17"/>
  <c r="C647" i="17"/>
  <c r="X647" i="17" s="1"/>
  <c r="V648" i="17"/>
  <c r="B13" i="17"/>
  <c r="W13" i="17" s="1"/>
  <c r="C87" i="17"/>
  <c r="X87" i="17" s="1"/>
  <c r="B102" i="17"/>
  <c r="W102" i="17" s="1"/>
  <c r="C119" i="17"/>
  <c r="X119" i="17" s="1"/>
  <c r="B335" i="17"/>
  <c r="W335" i="17" s="1"/>
  <c r="C364" i="17"/>
  <c r="X364" i="17" s="1"/>
  <c r="V401" i="17"/>
  <c r="V434" i="17"/>
  <c r="V462" i="17"/>
  <c r="C500" i="17"/>
  <c r="X500" i="17" s="1"/>
  <c r="V505" i="17"/>
  <c r="B535" i="17"/>
  <c r="W535" i="17" s="1"/>
  <c r="B624" i="17"/>
  <c r="W624" i="17" s="1"/>
  <c r="B651" i="17"/>
  <c r="W651" i="17" s="1"/>
  <c r="B664" i="17"/>
  <c r="W664" i="17" s="1"/>
  <c r="B677" i="17"/>
  <c r="W677" i="17" s="1"/>
  <c r="B688" i="17"/>
  <c r="W688" i="17" s="1"/>
  <c r="V292" i="17"/>
  <c r="C303" i="17"/>
  <c r="X303" i="17" s="1"/>
  <c r="V379" i="17"/>
  <c r="B389" i="17"/>
  <c r="W389" i="17" s="1"/>
  <c r="V441" i="17"/>
  <c r="C478" i="17"/>
  <c r="X478" i="17" s="1"/>
  <c r="V481" i="17"/>
  <c r="C484" i="17"/>
  <c r="X484" i="17" s="1"/>
  <c r="B487" i="17"/>
  <c r="W487" i="17" s="1"/>
  <c r="V510" i="17"/>
  <c r="B521" i="17"/>
  <c r="W521" i="17" s="1"/>
  <c r="C535" i="17"/>
  <c r="X535" i="17" s="1"/>
  <c r="C542" i="17"/>
  <c r="X542" i="17" s="1"/>
  <c r="C545" i="17"/>
  <c r="X545" i="17" s="1"/>
  <c r="C561" i="17"/>
  <c r="X561" i="17" s="1"/>
  <c r="B585" i="17"/>
  <c r="W585" i="17" s="1"/>
  <c r="C588" i="17"/>
  <c r="X588" i="17" s="1"/>
  <c r="V119" i="17"/>
  <c r="V356" i="17"/>
  <c r="V507" i="17"/>
  <c r="C618" i="17"/>
  <c r="X618" i="17" s="1"/>
  <c r="V624" i="17"/>
  <c r="V679" i="17"/>
  <c r="V106" i="17"/>
  <c r="V154" i="17"/>
  <c r="B158" i="17"/>
  <c r="W158" i="17" s="1"/>
  <c r="V186" i="17"/>
  <c r="V303" i="17"/>
  <c r="V460" i="17"/>
  <c r="V475" i="17"/>
  <c r="B556" i="17"/>
  <c r="W556" i="17" s="1"/>
  <c r="V671" i="17"/>
  <c r="B47" i="17"/>
  <c r="W47" i="17" s="1"/>
  <c r="B56" i="17"/>
  <c r="W56" i="17" s="1"/>
  <c r="B59" i="17"/>
  <c r="W59" i="17" s="1"/>
  <c r="C69" i="17"/>
  <c r="X69" i="17" s="1"/>
  <c r="B91" i="17"/>
  <c r="W91" i="17" s="1"/>
  <c r="C101" i="17"/>
  <c r="X101" i="17" s="1"/>
  <c r="C158" i="17"/>
  <c r="C176" i="17"/>
  <c r="X176" i="17" s="1"/>
  <c r="C234" i="17"/>
  <c r="X234" i="17" s="1"/>
  <c r="B328" i="17"/>
  <c r="W328" i="17" s="1"/>
  <c r="V410" i="17"/>
  <c r="V442" i="17"/>
  <c r="V449" i="17"/>
  <c r="B522" i="17"/>
  <c r="W522" i="17" s="1"/>
  <c r="B550" i="17"/>
  <c r="W550" i="17" s="1"/>
  <c r="C553" i="17"/>
  <c r="X553" i="17" s="1"/>
  <c r="C556" i="17"/>
  <c r="X556" i="17" s="1"/>
  <c r="C687" i="17"/>
  <c r="X687" i="17" s="1"/>
  <c r="C698" i="17"/>
  <c r="X698" i="17" s="1"/>
  <c r="B566" i="17"/>
  <c r="W566" i="17" s="1"/>
  <c r="B609" i="17"/>
  <c r="W609" i="17" s="1"/>
  <c r="C612" i="17"/>
  <c r="X612" i="17" s="1"/>
  <c r="C629" i="17"/>
  <c r="X629" i="17" s="1"/>
  <c r="B640" i="17"/>
  <c r="W640" i="17" s="1"/>
  <c r="B643" i="17"/>
  <c r="W643" i="17" s="1"/>
  <c r="B43" i="17"/>
  <c r="W43" i="17" s="1"/>
  <c r="B81" i="17"/>
  <c r="W81" i="17" s="1"/>
  <c r="V101" i="17"/>
  <c r="B114" i="17"/>
  <c r="W114" i="17" s="1"/>
  <c r="B201" i="17"/>
  <c r="W201" i="17" s="1"/>
  <c r="B263" i="17"/>
  <c r="W263" i="17" s="1"/>
  <c r="B308" i="17"/>
  <c r="W308" i="17" s="1"/>
  <c r="B336" i="17"/>
  <c r="W336" i="17" s="1"/>
  <c r="B408" i="17"/>
  <c r="W408" i="17" s="1"/>
  <c r="C423" i="17"/>
  <c r="X423" i="17" s="1"/>
  <c r="B441" i="17"/>
  <c r="W441" i="17" s="1"/>
  <c r="B450" i="17"/>
  <c r="W450" i="17" s="1"/>
  <c r="V483" i="17"/>
  <c r="B489" i="17"/>
  <c r="W489" i="17" s="1"/>
  <c r="V502" i="17"/>
  <c r="B626" i="17"/>
  <c r="W626" i="17" s="1"/>
  <c r="C640" i="17"/>
  <c r="X640" i="17" s="1"/>
  <c r="C643" i="17"/>
  <c r="X643" i="17" s="1"/>
  <c r="B660" i="17"/>
  <c r="W660" i="17" s="1"/>
  <c r="C672" i="17"/>
  <c r="X672" i="17" s="1"/>
  <c r="C201" i="17"/>
  <c r="X201" i="17" s="1"/>
  <c r="C222" i="17"/>
  <c r="C379" i="17"/>
  <c r="X379" i="17" s="1"/>
  <c r="B402" i="17"/>
  <c r="W402" i="17" s="1"/>
  <c r="B405" i="17"/>
  <c r="W405" i="17" s="1"/>
  <c r="B459" i="17"/>
  <c r="W459" i="17" s="1"/>
  <c r="B527" i="17"/>
  <c r="W527" i="17" s="1"/>
  <c r="V633" i="17"/>
  <c r="C610" i="17"/>
  <c r="X610" i="17" s="1"/>
  <c r="C679" i="17"/>
  <c r="X679" i="17" s="1"/>
  <c r="Y9" i="17"/>
  <c r="F8" i="22"/>
  <c r="Y20" i="17"/>
  <c r="F19" i="22"/>
  <c r="Y55" i="17"/>
  <c r="F54" i="22"/>
  <c r="Y13" i="17"/>
  <c r="F12" i="22"/>
  <c r="Y101" i="17"/>
  <c r="F100" i="22"/>
  <c r="Y104" i="17"/>
  <c r="F103" i="22"/>
  <c r="B112" i="17"/>
  <c r="W112" i="17" s="1"/>
  <c r="Y116" i="17"/>
  <c r="F115" i="22"/>
  <c r="Y123" i="17"/>
  <c r="F122" i="22"/>
  <c r="Y125" i="17"/>
  <c r="F124" i="22"/>
  <c r="Y128" i="17"/>
  <c r="F127" i="22"/>
  <c r="Y134" i="17"/>
  <c r="F133" i="22"/>
  <c r="Y140" i="17"/>
  <c r="F139" i="22"/>
  <c r="B144" i="17"/>
  <c r="W144" i="17" s="1"/>
  <c r="Y180" i="17"/>
  <c r="F179" i="22"/>
  <c r="B184" i="17"/>
  <c r="W184" i="17" s="1"/>
  <c r="B209" i="17"/>
  <c r="W209" i="17" s="1"/>
  <c r="Y211" i="17"/>
  <c r="F210" i="22"/>
  <c r="Y217" i="17"/>
  <c r="F216" i="22"/>
  <c r="F229" i="22"/>
  <c r="F237" i="22"/>
  <c r="B243" i="17"/>
  <c r="W243" i="17" s="1"/>
  <c r="Y245" i="17"/>
  <c r="F250" i="22"/>
  <c r="Y249" i="17"/>
  <c r="F254" i="22"/>
  <c r="Y253" i="17"/>
  <c r="F258" i="22"/>
  <c r="B257" i="17"/>
  <c r="W257" i="17" s="1"/>
  <c r="Y270" i="17"/>
  <c r="F275" i="22"/>
  <c r="Y277" i="17"/>
  <c r="F282" i="22"/>
  <c r="Y284" i="17"/>
  <c r="F289" i="22"/>
  <c r="Y301" i="17"/>
  <c r="F306" i="22"/>
  <c r="Y315" i="17"/>
  <c r="F320" i="22"/>
  <c r="Y318" i="17"/>
  <c r="F323" i="22"/>
  <c r="Y330" i="17"/>
  <c r="F335" i="22"/>
  <c r="Y333" i="17"/>
  <c r="F338" i="22"/>
  <c r="Y346" i="17"/>
  <c r="F351" i="22"/>
  <c r="Y349" i="17"/>
  <c r="F354" i="22"/>
  <c r="Y352" i="17"/>
  <c r="F357" i="22"/>
  <c r="Y355" i="17"/>
  <c r="F360" i="22"/>
  <c r="Y362" i="17"/>
  <c r="F367" i="22"/>
  <c r="Y365" i="17"/>
  <c r="F370" i="22"/>
  <c r="Y368" i="17"/>
  <c r="F373" i="22"/>
  <c r="C371" i="17"/>
  <c r="X371" i="17" s="1"/>
  <c r="Y377" i="17"/>
  <c r="F382" i="22"/>
  <c r="B380" i="17"/>
  <c r="W380" i="17" s="1"/>
  <c r="B381" i="17"/>
  <c r="W381" i="17" s="1"/>
  <c r="C383" i="17"/>
  <c r="X383" i="17" s="1"/>
  <c r="B385" i="17"/>
  <c r="W385" i="17" s="1"/>
  <c r="Y395" i="17"/>
  <c r="F404" i="22"/>
  <c r="Y398" i="17"/>
  <c r="F407" i="22"/>
  <c r="Y401" i="17"/>
  <c r="F410" i="22"/>
  <c r="Y404" i="17"/>
  <c r="F413" i="22"/>
  <c r="Y416" i="17"/>
  <c r="F425" i="22"/>
  <c r="Y428" i="17"/>
  <c r="F437" i="22"/>
  <c r="B432" i="17"/>
  <c r="W432" i="17" s="1"/>
  <c r="Y434" i="17"/>
  <c r="F443" i="22"/>
  <c r="C437" i="17"/>
  <c r="X437" i="17" s="1"/>
  <c r="Y440" i="17"/>
  <c r="F449" i="22"/>
  <c r="Y449" i="17"/>
  <c r="F458" i="22"/>
  <c r="Y454" i="17"/>
  <c r="F463" i="22"/>
  <c r="Y460" i="17"/>
  <c r="F469" i="22"/>
  <c r="B463" i="17"/>
  <c r="W463" i="17" s="1"/>
  <c r="Y476" i="17"/>
  <c r="F485" i="22"/>
  <c r="Y479" i="17"/>
  <c r="F488" i="22"/>
  <c r="Y488" i="17"/>
  <c r="F497" i="22"/>
  <c r="Y497" i="17"/>
  <c r="F506" i="22"/>
  <c r="Y531" i="17"/>
  <c r="F540" i="22"/>
  <c r="Y537" i="17"/>
  <c r="F546" i="22"/>
  <c r="Y540" i="17"/>
  <c r="F549" i="22"/>
  <c r="Y543" i="17"/>
  <c r="F552" i="22"/>
  <c r="Y546" i="17"/>
  <c r="F555" i="22"/>
  <c r="Y558" i="17"/>
  <c r="F567" i="22"/>
  <c r="Y566" i="17"/>
  <c r="F575" i="22"/>
  <c r="Y575" i="17"/>
  <c r="F584" i="22"/>
  <c r="Y581" i="17"/>
  <c r="F590" i="22"/>
  <c r="Y609" i="17"/>
  <c r="F606" i="22"/>
  <c r="Y612" i="17"/>
  <c r="F609" i="22"/>
  <c r="Y618" i="17"/>
  <c r="F615" i="22"/>
  <c r="Y624" i="17"/>
  <c r="F621" i="22"/>
  <c r="Y629" i="17"/>
  <c r="F626" i="22"/>
  <c r="Y633" i="17"/>
  <c r="F630" i="22"/>
  <c r="Y642" i="17"/>
  <c r="F639" i="22"/>
  <c r="Y648" i="17"/>
  <c r="F645" i="22"/>
  <c r="Y653" i="17"/>
  <c r="F650" i="22"/>
  <c r="Y662" i="17"/>
  <c r="F659" i="22"/>
  <c r="Y670" i="17"/>
  <c r="F667" i="22"/>
  <c r="Y672" i="17"/>
  <c r="F669" i="22"/>
  <c r="Y678" i="17"/>
  <c r="F675" i="22"/>
  <c r="Y712" i="17"/>
  <c r="F709" i="22"/>
  <c r="Y33" i="17"/>
  <c r="F32" i="22"/>
  <c r="Y36" i="17"/>
  <c r="F35" i="22"/>
  <c r="Y32" i="17"/>
  <c r="F31" i="22"/>
  <c r="Y35" i="17"/>
  <c r="F34" i="22"/>
  <c r="Y11" i="17"/>
  <c r="F10" i="22"/>
  <c r="Y12" i="17"/>
  <c r="F11" i="22"/>
  <c r="Y15" i="17"/>
  <c r="F14" i="22"/>
  <c r="B26" i="17"/>
  <c r="W26" i="17" s="1"/>
  <c r="Y31" i="17"/>
  <c r="F30" i="22"/>
  <c r="Y50" i="17"/>
  <c r="F49" i="22"/>
  <c r="Y51" i="17"/>
  <c r="F50" i="22"/>
  <c r="Y76" i="17"/>
  <c r="F75" i="22"/>
  <c r="Y5" i="17"/>
  <c r="F4" i="22"/>
  <c r="Y6" i="17"/>
  <c r="F5" i="22"/>
  <c r="Y7" i="17"/>
  <c r="F6" i="22"/>
  <c r="Y8" i="17"/>
  <c r="F7" i="22"/>
  <c r="Y10" i="17"/>
  <c r="F9" i="22"/>
  <c r="Y14" i="17"/>
  <c r="F13" i="22"/>
  <c r="C26" i="17"/>
  <c r="X26" i="17" s="1"/>
  <c r="B27" i="17"/>
  <c r="W27" i="17" s="1"/>
  <c r="Y29" i="17"/>
  <c r="F28" i="22"/>
  <c r="Y30" i="17"/>
  <c r="F29" i="22"/>
  <c r="C41" i="17"/>
  <c r="X41" i="17" s="1"/>
  <c r="Y46" i="17"/>
  <c r="F45" i="22"/>
  <c r="Y49" i="17"/>
  <c r="F48" i="22"/>
  <c r="Y53" i="17"/>
  <c r="F52" i="22"/>
  <c r="Y56" i="17"/>
  <c r="F55" i="22"/>
  <c r="Y61" i="17"/>
  <c r="F60" i="22"/>
  <c r="Y68" i="17"/>
  <c r="F67" i="22"/>
  <c r="Y71" i="17"/>
  <c r="F70" i="22"/>
  <c r="Y73" i="17"/>
  <c r="F72" i="22"/>
  <c r="B77" i="17"/>
  <c r="W77" i="17" s="1"/>
  <c r="Y80" i="17"/>
  <c r="F79" i="22"/>
  <c r="Y83" i="17"/>
  <c r="F82" i="22"/>
  <c r="Y90" i="17"/>
  <c r="F89" i="22"/>
  <c r="Y96" i="17"/>
  <c r="F95" i="22"/>
  <c r="Y108" i="17"/>
  <c r="F107" i="22"/>
  <c r="Y110" i="17"/>
  <c r="F109" i="22"/>
  <c r="C112" i="17"/>
  <c r="X112" i="17" s="1"/>
  <c r="Y120" i="17"/>
  <c r="F119" i="22"/>
  <c r="C126" i="17"/>
  <c r="X126" i="17" s="1"/>
  <c r="Y131" i="17"/>
  <c r="F130" i="22"/>
  <c r="Y137" i="17"/>
  <c r="F136" i="22"/>
  <c r="C144" i="17"/>
  <c r="X144" i="17" s="1"/>
  <c r="Y152" i="17"/>
  <c r="F151" i="22"/>
  <c r="V152" i="17"/>
  <c r="C164" i="17"/>
  <c r="X164" i="17" s="1"/>
  <c r="Y167" i="17"/>
  <c r="F166" i="22"/>
  <c r="Y171" i="17"/>
  <c r="F170" i="22"/>
  <c r="Y174" i="17"/>
  <c r="F173" i="22"/>
  <c r="Y177" i="17"/>
  <c r="F176" i="22"/>
  <c r="C184" i="17"/>
  <c r="X184" i="17" s="1"/>
  <c r="C195" i="17"/>
  <c r="Y203" i="17"/>
  <c r="F202" i="22"/>
  <c r="Y206" i="17"/>
  <c r="F205" i="22"/>
  <c r="C209" i="17"/>
  <c r="X209" i="17" s="1"/>
  <c r="Y214" i="17"/>
  <c r="F213" i="22"/>
  <c r="B221" i="17"/>
  <c r="W221" i="17" s="1"/>
  <c r="F242" i="22"/>
  <c r="F234" i="22"/>
  <c r="B236" i="17"/>
  <c r="W236" i="17" s="1"/>
  <c r="C243" i="17"/>
  <c r="X243" i="17" s="1"/>
  <c r="C257" i="17"/>
  <c r="X257" i="17" s="1"/>
  <c r="Y259" i="17"/>
  <c r="F264" i="22"/>
  <c r="Y268" i="17"/>
  <c r="F273" i="22"/>
  <c r="Y274" i="17"/>
  <c r="F279" i="22"/>
  <c r="Y281" i="17"/>
  <c r="F286" i="22"/>
  <c r="Y287" i="17"/>
  <c r="F292" i="22"/>
  <c r="Y290" i="17"/>
  <c r="F295" i="22"/>
  <c r="Y299" i="17"/>
  <c r="F304" i="22"/>
  <c r="V299" i="17"/>
  <c r="C302" i="17"/>
  <c r="X302" i="17" s="1"/>
  <c r="Y307" i="17"/>
  <c r="F312" i="22"/>
  <c r="Y310" i="17"/>
  <c r="F315" i="22"/>
  <c r="C316" i="17"/>
  <c r="X316" i="17" s="1"/>
  <c r="Y322" i="17"/>
  <c r="F327" i="22"/>
  <c r="Y324" i="17"/>
  <c r="F329" i="22"/>
  <c r="V324" i="17"/>
  <c r="Y327" i="17"/>
  <c r="F332" i="22"/>
  <c r="C331" i="17"/>
  <c r="X331" i="17" s="1"/>
  <c r="C334" i="17"/>
  <c r="X334" i="17" s="1"/>
  <c r="Y339" i="17"/>
  <c r="F344" i="22"/>
  <c r="Y343" i="17"/>
  <c r="F348" i="22"/>
  <c r="C353" i="17"/>
  <c r="X353" i="17" s="1"/>
  <c r="Y359" i="17"/>
  <c r="F364" i="22"/>
  <c r="C369" i="17"/>
  <c r="X369" i="17" s="1"/>
  <c r="Y374" i="17"/>
  <c r="F379" i="22"/>
  <c r="B378" i="17"/>
  <c r="W378" i="17" s="1"/>
  <c r="C380" i="17"/>
  <c r="X380" i="17" s="1"/>
  <c r="C381" i="17"/>
  <c r="X381" i="17" s="1"/>
  <c r="Y388" i="17"/>
  <c r="F397" i="22"/>
  <c r="F393" i="22"/>
  <c r="Y392" i="17"/>
  <c r="F401" i="22"/>
  <c r="Y407" i="17"/>
  <c r="F416" i="22"/>
  <c r="Y410" i="17"/>
  <c r="F419" i="22"/>
  <c r="Y413" i="17"/>
  <c r="F422" i="22"/>
  <c r="Y420" i="17"/>
  <c r="F429" i="22"/>
  <c r="Y422" i="17"/>
  <c r="F431" i="22"/>
  <c r="Y425" i="17"/>
  <c r="F434" i="22"/>
  <c r="Y446" i="17"/>
  <c r="F455" i="22"/>
  <c r="Y452" i="17"/>
  <c r="F461" i="22"/>
  <c r="Y457" i="17"/>
  <c r="F466" i="22"/>
  <c r="Y468" i="17"/>
  <c r="F477" i="22"/>
  <c r="Y471" i="17"/>
  <c r="F480" i="22"/>
  <c r="Y474" i="17"/>
  <c r="F483" i="22"/>
  <c r="Y483" i="17"/>
  <c r="F492" i="22"/>
  <c r="Y485" i="17"/>
  <c r="F494" i="22"/>
  <c r="Y491" i="17"/>
  <c r="F500" i="22"/>
  <c r="Y494" i="17"/>
  <c r="F503" i="22"/>
  <c r="Y506" i="17"/>
  <c r="F515" i="22"/>
  <c r="Y509" i="17"/>
  <c r="F518" i="22"/>
  <c r="Y512" i="17"/>
  <c r="F521" i="22"/>
  <c r="Y516" i="17"/>
  <c r="F525" i="22"/>
  <c r="V516" i="17"/>
  <c r="Y519" i="17"/>
  <c r="F528" i="22"/>
  <c r="Y525" i="17"/>
  <c r="F534" i="22"/>
  <c r="Y528" i="17"/>
  <c r="F537" i="22"/>
  <c r="Y564" i="17"/>
  <c r="F573" i="22"/>
  <c r="Y569" i="17"/>
  <c r="F578" i="22"/>
  <c r="Y572" i="17"/>
  <c r="F581" i="22"/>
  <c r="Y579" i="17"/>
  <c r="F588" i="22"/>
  <c r="Y591" i="17"/>
  <c r="F600" i="22"/>
  <c r="Y594" i="17"/>
  <c r="F603" i="22"/>
  <c r="Y616" i="17"/>
  <c r="F613" i="22"/>
  <c r="V616" i="17"/>
  <c r="Y622" i="17"/>
  <c r="F619" i="22"/>
  <c r="Y627" i="17"/>
  <c r="F624" i="22"/>
  <c r="Y637" i="17"/>
  <c r="F634" i="22"/>
  <c r="V637" i="17"/>
  <c r="Y645" i="17"/>
  <c r="F642" i="22"/>
  <c r="Y665" i="17"/>
  <c r="F662" i="22"/>
  <c r="Y676" i="17"/>
  <c r="F673" i="22"/>
  <c r="V676" i="17"/>
  <c r="Y681" i="17"/>
  <c r="F678" i="22"/>
  <c r="Y689" i="17"/>
  <c r="F686" i="22"/>
  <c r="Y692" i="17"/>
  <c r="F689" i="22"/>
  <c r="Y695" i="17"/>
  <c r="F692" i="22"/>
  <c r="V695" i="17"/>
  <c r="Y701" i="17"/>
  <c r="F698" i="22"/>
  <c r="Y705" i="17"/>
  <c r="F702" i="22"/>
  <c r="Y28" i="17"/>
  <c r="F27" i="22"/>
  <c r="Y87" i="17"/>
  <c r="F86" i="22"/>
  <c r="Y105" i="17"/>
  <c r="F104" i="22"/>
  <c r="Y124" i="17"/>
  <c r="F123" i="22"/>
  <c r="Y181" i="17"/>
  <c r="F180" i="22"/>
  <c r="Y212" i="17"/>
  <c r="F211" i="22"/>
  <c r="Y225" i="17"/>
  <c r="F224" i="22"/>
  <c r="F227" i="22"/>
  <c r="F235" i="22"/>
  <c r="F230" i="22"/>
  <c r="F238" i="22"/>
  <c r="Y246" i="17"/>
  <c r="F251" i="22"/>
  <c r="Y250" i="17"/>
  <c r="F255" i="22"/>
  <c r="Y254" i="17"/>
  <c r="F259" i="22"/>
  <c r="Y263" i="17"/>
  <c r="F268" i="22"/>
  <c r="Y266" i="17"/>
  <c r="F271" i="22"/>
  <c r="Y271" i="17"/>
  <c r="F276" i="22"/>
  <c r="Y278" i="17"/>
  <c r="F283" i="22"/>
  <c r="Y285" i="17"/>
  <c r="F290" i="22"/>
  <c r="Y293" i="17"/>
  <c r="F298" i="22"/>
  <c r="Y296" i="17"/>
  <c r="F301" i="22"/>
  <c r="Y304" i="17"/>
  <c r="F309" i="22"/>
  <c r="Y313" i="17"/>
  <c r="F318" i="22"/>
  <c r="Y319" i="17"/>
  <c r="F324" i="22"/>
  <c r="Y336" i="17"/>
  <c r="F341" i="22"/>
  <c r="Y347" i="17"/>
  <c r="F352" i="22"/>
  <c r="Y350" i="17"/>
  <c r="F355" i="22"/>
  <c r="Y356" i="17"/>
  <c r="F361" i="22"/>
  <c r="Y363" i="17"/>
  <c r="F368" i="22"/>
  <c r="Y366" i="17"/>
  <c r="F371" i="22"/>
  <c r="Y371" i="17"/>
  <c r="F376" i="22"/>
  <c r="Y383" i="17"/>
  <c r="F388" i="22"/>
  <c r="Y385" i="17"/>
  <c r="F390" i="22"/>
  <c r="Y391" i="17"/>
  <c r="F396" i="22"/>
  <c r="F400" i="22"/>
  <c r="Y396" i="17"/>
  <c r="F405" i="22"/>
  <c r="V396" i="17"/>
  <c r="Y399" i="17"/>
  <c r="F408" i="22"/>
  <c r="Y417" i="17"/>
  <c r="F426" i="22"/>
  <c r="V417" i="17"/>
  <c r="B421" i="17"/>
  <c r="W421" i="17" s="1"/>
  <c r="Y432" i="17"/>
  <c r="F441" i="22"/>
  <c r="Y437" i="17"/>
  <c r="F452" i="22"/>
  <c r="F446" i="22"/>
  <c r="Y463" i="17"/>
  <c r="F472" i="22"/>
  <c r="Y480" i="17"/>
  <c r="F489" i="22"/>
  <c r="C495" i="17"/>
  <c r="X495" i="17" s="1"/>
  <c r="Y500" i="17"/>
  <c r="F509" i="22"/>
  <c r="Y503" i="17"/>
  <c r="F512" i="22"/>
  <c r="C510" i="17"/>
  <c r="X510" i="17" s="1"/>
  <c r="B513" i="17"/>
  <c r="W513" i="17" s="1"/>
  <c r="Y514" i="17"/>
  <c r="F523" i="22"/>
  <c r="Y522" i="17"/>
  <c r="F531" i="22"/>
  <c r="B529" i="17"/>
  <c r="W529" i="17" s="1"/>
  <c r="Y532" i="17"/>
  <c r="F541" i="22"/>
  <c r="Y538" i="17"/>
  <c r="F547" i="22"/>
  <c r="Y541" i="17"/>
  <c r="F550" i="22"/>
  <c r="Y544" i="17"/>
  <c r="F553" i="22"/>
  <c r="Y547" i="17"/>
  <c r="F556" i="22"/>
  <c r="Y550" i="17"/>
  <c r="F559" i="22"/>
  <c r="Y553" i="17"/>
  <c r="F562" i="22"/>
  <c r="Y556" i="17"/>
  <c r="F565" i="22"/>
  <c r="Y561" i="17"/>
  <c r="F570" i="22"/>
  <c r="B565" i="17"/>
  <c r="W565" i="17" s="1"/>
  <c r="B567" i="17"/>
  <c r="W567" i="17" s="1"/>
  <c r="Y576" i="17"/>
  <c r="F585" i="22"/>
  <c r="B580" i="17"/>
  <c r="W580" i="17" s="1"/>
  <c r="Y582" i="17"/>
  <c r="F591" i="22"/>
  <c r="Y613" i="17"/>
  <c r="F610" i="22"/>
  <c r="V613" i="17"/>
  <c r="Y619" i="17"/>
  <c r="F616" i="22"/>
  <c r="B628" i="17"/>
  <c r="W628" i="17" s="1"/>
  <c r="Y630" i="17"/>
  <c r="F627" i="22"/>
  <c r="Y654" i="17"/>
  <c r="F651" i="22"/>
  <c r="Y657" i="17"/>
  <c r="F654" i="22"/>
  <c r="Y663" i="17"/>
  <c r="F660" i="22"/>
  <c r="V663" i="17"/>
  <c r="C666" i="17"/>
  <c r="X666" i="17" s="1"/>
  <c r="Y668" i="17"/>
  <c r="F665" i="22"/>
  <c r="V668" i="17"/>
  <c r="C682" i="17"/>
  <c r="X682" i="17" s="1"/>
  <c r="Y684" i="17"/>
  <c r="F681" i="22"/>
  <c r="Y687" i="17"/>
  <c r="F684" i="22"/>
  <c r="V687" i="17"/>
  <c r="C690" i="17"/>
  <c r="X690" i="17" s="1"/>
  <c r="B693" i="17"/>
  <c r="W693" i="17" s="1"/>
  <c r="Y698" i="17"/>
  <c r="F695" i="22"/>
  <c r="Y709" i="17"/>
  <c r="F706" i="22"/>
  <c r="Y713" i="17"/>
  <c r="F710" i="22"/>
  <c r="Y47" i="17"/>
  <c r="F46" i="22"/>
  <c r="Y65" i="17"/>
  <c r="F64" i="22"/>
  <c r="Y198" i="17"/>
  <c r="F197" i="22"/>
  <c r="Y3" i="17"/>
  <c r="F2" i="22"/>
  <c r="B22" i="17"/>
  <c r="W22" i="17" s="1"/>
  <c r="Y24" i="17"/>
  <c r="F23" i="22"/>
  <c r="Y26" i="17"/>
  <c r="F25" i="22"/>
  <c r="Y27" i="17"/>
  <c r="F26" i="22"/>
  <c r="B38" i="17"/>
  <c r="W38" i="17" s="1"/>
  <c r="Y40" i="17"/>
  <c r="F39" i="22"/>
  <c r="Y41" i="17"/>
  <c r="F40" i="22"/>
  <c r="Y42" i="17"/>
  <c r="F41" i="22"/>
  <c r="Y44" i="17"/>
  <c r="F43" i="22"/>
  <c r="Y54" i="17"/>
  <c r="F53" i="22"/>
  <c r="C57" i="17"/>
  <c r="X57" i="17" s="1"/>
  <c r="Y62" i="17"/>
  <c r="F61" i="22"/>
  <c r="C72" i="17"/>
  <c r="X72" i="17" s="1"/>
  <c r="Y74" i="17"/>
  <c r="F73" i="22"/>
  <c r="Y77" i="17"/>
  <c r="F76" i="22"/>
  <c r="Y84" i="17"/>
  <c r="F83" i="22"/>
  <c r="B88" i="17"/>
  <c r="W88" i="17" s="1"/>
  <c r="C91" i="17"/>
  <c r="X91" i="17" s="1"/>
  <c r="B94" i="17"/>
  <c r="W94" i="17" s="1"/>
  <c r="C97" i="17"/>
  <c r="X97" i="17" s="1"/>
  <c r="C109" i="17"/>
  <c r="X109" i="17" s="1"/>
  <c r="Y112" i="17"/>
  <c r="F111" i="22"/>
  <c r="C118" i="17"/>
  <c r="X118" i="17" s="1"/>
  <c r="Y121" i="17"/>
  <c r="F120" i="22"/>
  <c r="V121" i="17"/>
  <c r="Y126" i="17"/>
  <c r="F125" i="22"/>
  <c r="Y132" i="17"/>
  <c r="F131" i="22"/>
  <c r="C136" i="17"/>
  <c r="X136" i="17" s="1"/>
  <c r="Y138" i="17"/>
  <c r="F137" i="22"/>
  <c r="F138" i="22"/>
  <c r="C142" i="17"/>
  <c r="X142" i="17" s="1"/>
  <c r="Y144" i="17"/>
  <c r="F143" i="22"/>
  <c r="Y164" i="17"/>
  <c r="F163" i="22"/>
  <c r="Y168" i="17"/>
  <c r="F167" i="22"/>
  <c r="Y172" i="17"/>
  <c r="F171" i="22"/>
  <c r="V172" i="17"/>
  <c r="C182" i="17"/>
  <c r="X182" i="17" s="1"/>
  <c r="Y184" i="17"/>
  <c r="F183" i="22"/>
  <c r="C188" i="17"/>
  <c r="C193" i="17"/>
  <c r="Y204" i="17"/>
  <c r="F203" i="22"/>
  <c r="Y209" i="17"/>
  <c r="F208" i="22"/>
  <c r="B255" i="17"/>
  <c r="W255" i="17" s="1"/>
  <c r="Y257" i="17"/>
  <c r="F262" i="22"/>
  <c r="Y260" i="17"/>
  <c r="F265" i="22"/>
  <c r="C264" i="17"/>
  <c r="X264" i="17" s="1"/>
  <c r="C267" i="17"/>
  <c r="X267" i="17" s="1"/>
  <c r="Y282" i="17"/>
  <c r="F287" i="22"/>
  <c r="C294" i="17"/>
  <c r="X294" i="17" s="1"/>
  <c r="B300" i="17"/>
  <c r="W300" i="17" s="1"/>
  <c r="Y302" i="17"/>
  <c r="F307" i="22"/>
  <c r="C308" i="17"/>
  <c r="X308" i="17" s="1"/>
  <c r="B314" i="17"/>
  <c r="W314" i="17" s="1"/>
  <c r="Y316" i="17"/>
  <c r="F321" i="22"/>
  <c r="V316" i="17"/>
  <c r="Y331" i="17"/>
  <c r="F336" i="22"/>
  <c r="V331" i="17"/>
  <c r="Y334" i="17"/>
  <c r="F339" i="22"/>
  <c r="C337" i="17"/>
  <c r="X337" i="17" s="1"/>
  <c r="Y340" i="17"/>
  <c r="F345" i="22"/>
  <c r="Y344" i="17"/>
  <c r="F349" i="22"/>
  <c r="B351" i="17"/>
  <c r="W351" i="17" s="1"/>
  <c r="Y353" i="17"/>
  <c r="F358" i="22"/>
  <c r="Y360" i="17"/>
  <c r="F365" i="22"/>
  <c r="Y369" i="17"/>
  <c r="F374" i="22"/>
  <c r="Y375" i="17"/>
  <c r="F380" i="22"/>
  <c r="Y378" i="17"/>
  <c r="F383" i="22"/>
  <c r="Y380" i="17"/>
  <c r="F385" i="22"/>
  <c r="Y381" i="17"/>
  <c r="F386" i="22"/>
  <c r="C389" i="17"/>
  <c r="X389" i="17" s="1"/>
  <c r="Y393" i="17"/>
  <c r="F402" i="22"/>
  <c r="B400" i="17"/>
  <c r="W400" i="17" s="1"/>
  <c r="Y414" i="17"/>
  <c r="F423" i="22"/>
  <c r="C421" i="17"/>
  <c r="X421" i="17" s="1"/>
  <c r="Y426" i="17"/>
  <c r="F435" i="22"/>
  <c r="V426" i="17"/>
  <c r="Y429" i="17"/>
  <c r="F438" i="22"/>
  <c r="Y435" i="17"/>
  <c r="F444" i="22"/>
  <c r="Y447" i="17"/>
  <c r="F456" i="22"/>
  <c r="Y455" i="17"/>
  <c r="F464" i="22"/>
  <c r="Y458" i="17"/>
  <c r="F467" i="22"/>
  <c r="Y461" i="17"/>
  <c r="F470" i="22"/>
  <c r="V461" i="17"/>
  <c r="Y465" i="17"/>
  <c r="F474" i="22"/>
  <c r="Y472" i="17"/>
  <c r="F481" i="22"/>
  <c r="Y475" i="17"/>
  <c r="F484" i="22"/>
  <c r="Y477" i="17"/>
  <c r="F486" i="22"/>
  <c r="Y486" i="17"/>
  <c r="F495" i="22"/>
  <c r="Y492" i="17"/>
  <c r="F501" i="22"/>
  <c r="Y498" i="17"/>
  <c r="F507" i="22"/>
  <c r="Y507" i="17"/>
  <c r="F516" i="22"/>
  <c r="C513" i="17"/>
  <c r="X513" i="17" s="1"/>
  <c r="Y520" i="17"/>
  <c r="F529" i="22"/>
  <c r="Y526" i="17"/>
  <c r="F535" i="22"/>
  <c r="Y535" i="17"/>
  <c r="F544" i="22"/>
  <c r="B551" i="17"/>
  <c r="W551" i="17" s="1"/>
  <c r="B557" i="17"/>
  <c r="W557" i="17" s="1"/>
  <c r="Y559" i="17"/>
  <c r="F568" i="22"/>
  <c r="Y570" i="17"/>
  <c r="F579" i="22"/>
  <c r="Y573" i="17"/>
  <c r="F582" i="22"/>
  <c r="C580" i="17"/>
  <c r="X580" i="17" s="1"/>
  <c r="B583" i="17"/>
  <c r="W583" i="17" s="1"/>
  <c r="Y585" i="17"/>
  <c r="F594" i="22"/>
  <c r="Y588" i="17"/>
  <c r="F597" i="22"/>
  <c r="Y595" i="17"/>
  <c r="F604" i="22"/>
  <c r="Y610" i="17"/>
  <c r="F607" i="22"/>
  <c r="B617" i="17"/>
  <c r="W617" i="17" s="1"/>
  <c r="Y623" i="17"/>
  <c r="F620" i="22"/>
  <c r="Y625" i="17"/>
  <c r="F622" i="22"/>
  <c r="C628" i="17"/>
  <c r="X628" i="17" s="1"/>
  <c r="Y634" i="17"/>
  <c r="F631" i="22"/>
  <c r="Y646" i="17"/>
  <c r="F643" i="22"/>
  <c r="Y649" i="17"/>
  <c r="F646" i="22"/>
  <c r="Y651" i="17"/>
  <c r="F648" i="22"/>
  <c r="C655" i="17"/>
  <c r="X655" i="17" s="1"/>
  <c r="C658" i="17"/>
  <c r="X658" i="17" s="1"/>
  <c r="Y660" i="17"/>
  <c r="F657" i="22"/>
  <c r="Y671" i="17"/>
  <c r="F668" i="22"/>
  <c r="Y673" i="17"/>
  <c r="F670" i="22"/>
  <c r="Y679" i="17"/>
  <c r="F676" i="22"/>
  <c r="C685" i="17"/>
  <c r="X685" i="17" s="1"/>
  <c r="C696" i="17"/>
  <c r="X696" i="17" s="1"/>
  <c r="B699" i="17"/>
  <c r="W699" i="17" s="1"/>
  <c r="Y702" i="17"/>
  <c r="F699" i="22"/>
  <c r="Y706" i="17"/>
  <c r="F703" i="22"/>
  <c r="C714" i="17"/>
  <c r="X714" i="17" s="1"/>
  <c r="Y99" i="17"/>
  <c r="F98" i="22"/>
  <c r="Y114" i="17"/>
  <c r="F113" i="22"/>
  <c r="Y117" i="17"/>
  <c r="F116" i="22"/>
  <c r="Y141" i="17"/>
  <c r="F140" i="22"/>
  <c r="Y43" i="17"/>
  <c r="F42" i="22"/>
  <c r="Y69" i="17"/>
  <c r="F68" i="22"/>
  <c r="Y175" i="17"/>
  <c r="F174" i="22"/>
  <c r="Y178" i="17"/>
  <c r="F177" i="22"/>
  <c r="Y199" i="17"/>
  <c r="F198" i="22"/>
  <c r="Y201" i="17"/>
  <c r="F200" i="22"/>
  <c r="Y207" i="17"/>
  <c r="F206" i="22"/>
  <c r="Y213" i="17"/>
  <c r="F212" i="22"/>
  <c r="Y215" i="17"/>
  <c r="F214" i="22"/>
  <c r="Y218" i="17"/>
  <c r="F217" i="22"/>
  <c r="Y223" i="17"/>
  <c r="F222" i="22"/>
  <c r="Y226" i="17"/>
  <c r="F225" i="22"/>
  <c r="F232" i="22"/>
  <c r="F240" i="22"/>
  <c r="Y247" i="17"/>
  <c r="F252" i="22"/>
  <c r="Y251" i="17"/>
  <c r="F256" i="22"/>
  <c r="Y269" i="17"/>
  <c r="F274" i="22"/>
  <c r="Y272" i="17"/>
  <c r="F277" i="22"/>
  <c r="Y275" i="17"/>
  <c r="F280" i="22"/>
  <c r="Y279" i="17"/>
  <c r="F284" i="22"/>
  <c r="Y288" i="17"/>
  <c r="F293" i="22"/>
  <c r="Y291" i="17"/>
  <c r="F296" i="22"/>
  <c r="Y297" i="17"/>
  <c r="F302" i="22"/>
  <c r="Y305" i="17"/>
  <c r="F310" i="22"/>
  <c r="Y311" i="17"/>
  <c r="F316" i="22"/>
  <c r="Y320" i="17"/>
  <c r="F325" i="22"/>
  <c r="Y323" i="17"/>
  <c r="F328" i="22"/>
  <c r="Y325" i="17"/>
  <c r="F330" i="22"/>
  <c r="Y328" i="17"/>
  <c r="F333" i="22"/>
  <c r="Y372" i="17"/>
  <c r="F377" i="22"/>
  <c r="Y386" i="17"/>
  <c r="F391" i="22"/>
  <c r="Y402" i="17"/>
  <c r="F411" i="22"/>
  <c r="Y405" i="17"/>
  <c r="F414" i="22"/>
  <c r="Y408" i="17"/>
  <c r="F417" i="22"/>
  <c r="Y423" i="17"/>
  <c r="F432" i="22"/>
  <c r="Y433" i="17"/>
  <c r="F442" i="22"/>
  <c r="Y438" i="17"/>
  <c r="F447" i="22"/>
  <c r="Y441" i="17"/>
  <c r="F450" i="22"/>
  <c r="Y444" i="17"/>
  <c r="F453" i="22"/>
  <c r="Y450" i="17"/>
  <c r="F459" i="22"/>
  <c r="Y469" i="17"/>
  <c r="F478" i="22"/>
  <c r="Y481" i="17"/>
  <c r="F490" i="22"/>
  <c r="Y489" i="17"/>
  <c r="F498" i="22"/>
  <c r="Y495" i="17"/>
  <c r="F504" i="22"/>
  <c r="Y501" i="17"/>
  <c r="F510" i="22"/>
  <c r="Y504" i="17"/>
  <c r="F513" i="22"/>
  <c r="Y510" i="17"/>
  <c r="F519" i="22"/>
  <c r="Y515" i="17"/>
  <c r="F524" i="22"/>
  <c r="Y517" i="17"/>
  <c r="F526" i="22"/>
  <c r="Y523" i="17"/>
  <c r="F532" i="22"/>
  <c r="Y529" i="17"/>
  <c r="F538" i="22"/>
  <c r="Y533" i="17"/>
  <c r="F542" i="22"/>
  <c r="Y539" i="17"/>
  <c r="F548" i="22"/>
  <c r="Y548" i="17"/>
  <c r="F557" i="22"/>
  <c r="Y554" i="17"/>
  <c r="F563" i="22"/>
  <c r="Y562" i="17"/>
  <c r="F571" i="22"/>
  <c r="Y565" i="17"/>
  <c r="F574" i="22"/>
  <c r="Y567" i="17"/>
  <c r="F576" i="22"/>
  <c r="Y577" i="17"/>
  <c r="F586" i="22"/>
  <c r="Y592" i="17"/>
  <c r="F601" i="22"/>
  <c r="Y620" i="17"/>
  <c r="F617" i="22"/>
  <c r="Y631" i="17"/>
  <c r="F628" i="22"/>
  <c r="Y638" i="17"/>
  <c r="F635" i="22"/>
  <c r="Y640" i="17"/>
  <c r="F637" i="22"/>
  <c r="Y643" i="17"/>
  <c r="F640" i="22"/>
  <c r="Y666" i="17"/>
  <c r="F663" i="22"/>
  <c r="Y682" i="17"/>
  <c r="F679" i="22"/>
  <c r="Y690" i="17"/>
  <c r="F687" i="22"/>
  <c r="Y693" i="17"/>
  <c r="F690" i="22"/>
  <c r="Y710" i="17"/>
  <c r="F707" i="22"/>
  <c r="Y93" i="17"/>
  <c r="F92" i="22"/>
  <c r="Y129" i="17"/>
  <c r="F128" i="22"/>
  <c r="Y135" i="17"/>
  <c r="F134" i="22"/>
  <c r="B18" i="17"/>
  <c r="W18" i="17" s="1"/>
  <c r="Y23" i="17"/>
  <c r="F22" i="22"/>
  <c r="B34" i="17"/>
  <c r="W34" i="17" s="1"/>
  <c r="Y39" i="17"/>
  <c r="F38" i="22"/>
  <c r="Y59" i="17"/>
  <c r="F58" i="22"/>
  <c r="Y66" i="17"/>
  <c r="F65" i="22"/>
  <c r="Y81" i="17"/>
  <c r="F80" i="22"/>
  <c r="Y100" i="17"/>
  <c r="F99" i="22"/>
  <c r="Y102" i="17"/>
  <c r="F101" i="22"/>
  <c r="Y106" i="17"/>
  <c r="F105" i="22"/>
  <c r="Y119" i="17"/>
  <c r="F118" i="22"/>
  <c r="Y153" i="17"/>
  <c r="F152" i="22"/>
  <c r="C18" i="17"/>
  <c r="X18" i="17" s="1"/>
  <c r="B19" i="17"/>
  <c r="W19" i="17" s="1"/>
  <c r="Y21" i="17"/>
  <c r="F20" i="22"/>
  <c r="Y22" i="17"/>
  <c r="F21" i="22"/>
  <c r="C34" i="17"/>
  <c r="X34" i="17" s="1"/>
  <c r="B35" i="17"/>
  <c r="W35" i="17" s="1"/>
  <c r="Y37" i="17"/>
  <c r="F36" i="22"/>
  <c r="Y38" i="17"/>
  <c r="F37" i="22"/>
  <c r="Y57" i="17"/>
  <c r="F56" i="22"/>
  <c r="Y63" i="17"/>
  <c r="F62" i="22"/>
  <c r="Y72" i="17"/>
  <c r="F71" i="22"/>
  <c r="Y78" i="17"/>
  <c r="F77" i="22"/>
  <c r="Y85" i="17"/>
  <c r="F84" i="22"/>
  <c r="Y88" i="17"/>
  <c r="F87" i="22"/>
  <c r="Y91" i="17"/>
  <c r="F90" i="22"/>
  <c r="Y94" i="17"/>
  <c r="F93" i="22"/>
  <c r="Y97" i="17"/>
  <c r="F96" i="22"/>
  <c r="Y109" i="17"/>
  <c r="F108" i="22"/>
  <c r="Y115" i="17"/>
  <c r="F114" i="22"/>
  <c r="Y118" i="17"/>
  <c r="F117" i="22"/>
  <c r="V124" i="17"/>
  <c r="Y127" i="17"/>
  <c r="F126" i="22"/>
  <c r="Y133" i="17"/>
  <c r="F132" i="22"/>
  <c r="Y136" i="17"/>
  <c r="F135" i="22"/>
  <c r="V136" i="17"/>
  <c r="Y142" i="17"/>
  <c r="F141" i="22"/>
  <c r="V159" i="17"/>
  <c r="Y165" i="17"/>
  <c r="F164" i="22"/>
  <c r="Y169" i="17"/>
  <c r="F168" i="22"/>
  <c r="Y182" i="17"/>
  <c r="F181" i="22"/>
  <c r="V188" i="17"/>
  <c r="Y210" i="17"/>
  <c r="F209" i="22"/>
  <c r="V210" i="17"/>
  <c r="F228" i="22"/>
  <c r="F236" i="22"/>
  <c r="Y255" i="17"/>
  <c r="F260" i="22"/>
  <c r="Y258" i="17"/>
  <c r="F263" i="22"/>
  <c r="Y261" i="17"/>
  <c r="F266" i="22"/>
  <c r="Y264" i="17"/>
  <c r="F269" i="22"/>
  <c r="Y267" i="17"/>
  <c r="F272" i="22"/>
  <c r="V267" i="17"/>
  <c r="B270" i="17"/>
  <c r="W270" i="17" s="1"/>
  <c r="Y286" i="17"/>
  <c r="F291" i="22"/>
  <c r="C292" i="17"/>
  <c r="X292" i="17" s="1"/>
  <c r="Y294" i="17"/>
  <c r="F299" i="22"/>
  <c r="Y300" i="17"/>
  <c r="F305" i="22"/>
  <c r="V300" i="17"/>
  <c r="B306" i="17"/>
  <c r="W306" i="17" s="1"/>
  <c r="Y308" i="17"/>
  <c r="F313" i="22"/>
  <c r="Y314" i="17"/>
  <c r="F319" i="22"/>
  <c r="C326" i="17"/>
  <c r="X326" i="17" s="1"/>
  <c r="C335" i="17"/>
  <c r="X335" i="17" s="1"/>
  <c r="Y337" i="17"/>
  <c r="F342" i="22"/>
  <c r="Y341" i="17"/>
  <c r="F346" i="22"/>
  <c r="Y345" i="17"/>
  <c r="F350" i="22"/>
  <c r="Y351" i="17"/>
  <c r="F356" i="22"/>
  <c r="V351" i="17"/>
  <c r="Y354" i="17"/>
  <c r="F359" i="22"/>
  <c r="Y357" i="17"/>
  <c r="F362" i="22"/>
  <c r="Y361" i="17"/>
  <c r="F366" i="22"/>
  <c r="Y382" i="17"/>
  <c r="F387" i="22"/>
  <c r="V382" i="17"/>
  <c r="B384" i="17"/>
  <c r="W384" i="17" s="1"/>
  <c r="Y389" i="17"/>
  <c r="F398" i="22"/>
  <c r="F394" i="22"/>
  <c r="Y394" i="17"/>
  <c r="F403" i="22"/>
  <c r="V394" i="17"/>
  <c r="Y397" i="17"/>
  <c r="F406" i="22"/>
  <c r="V397" i="17"/>
  <c r="Y400" i="17"/>
  <c r="F409" i="22"/>
  <c r="Y411" i="17"/>
  <c r="F420" i="22"/>
  <c r="Y415" i="17"/>
  <c r="F424" i="22"/>
  <c r="Y418" i="17"/>
  <c r="F427" i="22"/>
  <c r="Y421" i="17"/>
  <c r="F430" i="22"/>
  <c r="Y430" i="17"/>
  <c r="F439" i="22"/>
  <c r="Y436" i="17"/>
  <c r="F445" i="22"/>
  <c r="V436" i="17"/>
  <c r="C445" i="17"/>
  <c r="X445" i="17" s="1"/>
  <c r="Y466" i="17"/>
  <c r="F475" i="22"/>
  <c r="B476" i="17"/>
  <c r="W476" i="17" s="1"/>
  <c r="Y499" i="17"/>
  <c r="F508" i="22"/>
  <c r="V499" i="17"/>
  <c r="C502" i="17"/>
  <c r="X502" i="17" s="1"/>
  <c r="B508" i="17"/>
  <c r="W508" i="17" s="1"/>
  <c r="Y513" i="17"/>
  <c r="F522" i="22"/>
  <c r="C518" i="17"/>
  <c r="X518" i="17" s="1"/>
  <c r="C521" i="17"/>
  <c r="X521" i="17" s="1"/>
  <c r="C524" i="17"/>
  <c r="X524" i="17" s="1"/>
  <c r="C527" i="17"/>
  <c r="X527" i="17" s="1"/>
  <c r="Y536" i="17"/>
  <c r="F545" i="22"/>
  <c r="V536" i="17"/>
  <c r="B540" i="17"/>
  <c r="W540" i="17" s="1"/>
  <c r="Y551" i="17"/>
  <c r="F560" i="22"/>
  <c r="Y557" i="17"/>
  <c r="F566" i="22"/>
  <c r="Y560" i="17"/>
  <c r="F569" i="22"/>
  <c r="V560" i="17"/>
  <c r="Y571" i="17"/>
  <c r="F580" i="22"/>
  <c r="Y580" i="17"/>
  <c r="F589" i="22"/>
  <c r="Y583" i="17"/>
  <c r="F592" i="22"/>
  <c r="Y586" i="17"/>
  <c r="F595" i="22"/>
  <c r="Y589" i="17"/>
  <c r="F598" i="22"/>
  <c r="Y596" i="17"/>
  <c r="F605" i="22"/>
  <c r="Y611" i="17"/>
  <c r="F608" i="22"/>
  <c r="Y614" i="17"/>
  <c r="F611" i="22"/>
  <c r="Y617" i="17"/>
  <c r="F614" i="22"/>
  <c r="C626" i="17"/>
  <c r="X626" i="17" s="1"/>
  <c r="Y628" i="17"/>
  <c r="F625" i="22"/>
  <c r="Y635" i="17"/>
  <c r="F632" i="22"/>
  <c r="C639" i="17"/>
  <c r="X639" i="17" s="1"/>
  <c r="Y652" i="17"/>
  <c r="F649" i="22"/>
  <c r="V652" i="17"/>
  <c r="Y655" i="17"/>
  <c r="F652" i="22"/>
  <c r="Y658" i="17"/>
  <c r="F655" i="22"/>
  <c r="C664" i="17"/>
  <c r="X664" i="17" s="1"/>
  <c r="Y669" i="17"/>
  <c r="F666" i="22"/>
  <c r="V669" i="17"/>
  <c r="Y674" i="17"/>
  <c r="F671" i="22"/>
  <c r="Y685" i="17"/>
  <c r="F682" i="22"/>
  <c r="C688" i="17"/>
  <c r="X688" i="17" s="1"/>
  <c r="B691" i="17"/>
  <c r="W691" i="17" s="1"/>
  <c r="Y696" i="17"/>
  <c r="F693" i="22"/>
  <c r="Y699" i="17"/>
  <c r="F696" i="22"/>
  <c r="Y703" i="17"/>
  <c r="F700" i="22"/>
  <c r="Y707" i="17"/>
  <c r="F704" i="22"/>
  <c r="Y714" i="17"/>
  <c r="F711" i="22"/>
  <c r="Y4" i="17"/>
  <c r="F3" i="22"/>
  <c r="Y17" i="17"/>
  <c r="F16" i="22"/>
  <c r="Y60" i="17"/>
  <c r="F59" i="22"/>
  <c r="Y70" i="17"/>
  <c r="F69" i="22"/>
  <c r="Y75" i="17"/>
  <c r="F74" i="22"/>
  <c r="Y82" i="17"/>
  <c r="F81" i="22"/>
  <c r="Y103" i="17"/>
  <c r="F102" i="22"/>
  <c r="Y111" i="17"/>
  <c r="F110" i="22"/>
  <c r="V111" i="17"/>
  <c r="Y113" i="17"/>
  <c r="F112" i="22"/>
  <c r="B116" i="17"/>
  <c r="W116" i="17" s="1"/>
  <c r="B120" i="17"/>
  <c r="W120" i="17" s="1"/>
  <c r="Y122" i="17"/>
  <c r="F121" i="22"/>
  <c r="C128" i="17"/>
  <c r="X128" i="17" s="1"/>
  <c r="C134" i="17"/>
  <c r="X134" i="17" s="1"/>
  <c r="B140" i="17"/>
  <c r="W140" i="17" s="1"/>
  <c r="Y151" i="17"/>
  <c r="F150" i="22"/>
  <c r="B163" i="17"/>
  <c r="W163" i="17" s="1"/>
  <c r="Y173" i="17"/>
  <c r="F172" i="22"/>
  <c r="Y179" i="17"/>
  <c r="F178" i="22"/>
  <c r="B194" i="17"/>
  <c r="W194" i="17" s="1"/>
  <c r="Y202" i="17"/>
  <c r="F201" i="22"/>
  <c r="V202" i="17"/>
  <c r="Y205" i="17"/>
  <c r="F204" i="22"/>
  <c r="V205" i="17"/>
  <c r="Y216" i="17"/>
  <c r="F215" i="22"/>
  <c r="F231" i="22"/>
  <c r="F239" i="22"/>
  <c r="B232" i="17"/>
  <c r="W232" i="17" s="1"/>
  <c r="Y244" i="17"/>
  <c r="F249" i="22"/>
  <c r="Y248" i="17"/>
  <c r="F253" i="22"/>
  <c r="Y252" i="17"/>
  <c r="F257" i="22"/>
  <c r="B259" i="17"/>
  <c r="W259" i="17" s="1"/>
  <c r="C270" i="17"/>
  <c r="X270" i="17" s="1"/>
  <c r="Y273" i="17"/>
  <c r="F278" i="22"/>
  <c r="Y276" i="17"/>
  <c r="F281" i="22"/>
  <c r="Y283" i="17"/>
  <c r="F288" i="22"/>
  <c r="B287" i="17"/>
  <c r="W287" i="17" s="1"/>
  <c r="Y289" i="17"/>
  <c r="F294" i="22"/>
  <c r="Y303" i="17"/>
  <c r="F308" i="22"/>
  <c r="C315" i="17"/>
  <c r="X315" i="17" s="1"/>
  <c r="Y317" i="17"/>
  <c r="F322" i="22"/>
  <c r="Y321" i="17"/>
  <c r="F326" i="22"/>
  <c r="B324" i="17"/>
  <c r="W324" i="17" s="1"/>
  <c r="Y329" i="17"/>
  <c r="F334" i="22"/>
  <c r="Y332" i="17"/>
  <c r="F337" i="22"/>
  <c r="B346" i="17"/>
  <c r="W346" i="17" s="1"/>
  <c r="Y348" i="17"/>
  <c r="F353" i="22"/>
  <c r="C355" i="17"/>
  <c r="X355" i="17" s="1"/>
  <c r="B362" i="17"/>
  <c r="W362" i="17" s="1"/>
  <c r="Y364" i="17"/>
  <c r="F369" i="22"/>
  <c r="Y367" i="17"/>
  <c r="F372" i="22"/>
  <c r="Y370" i="17"/>
  <c r="F375" i="22"/>
  <c r="Y376" i="17"/>
  <c r="F381" i="22"/>
  <c r="Y379" i="17"/>
  <c r="F384" i="22"/>
  <c r="B401" i="17"/>
  <c r="W401" i="17" s="1"/>
  <c r="Y403" i="17"/>
  <c r="F412" i="22"/>
  <c r="Y406" i="17"/>
  <c r="F415" i="22"/>
  <c r="Y409" i="17"/>
  <c r="F418" i="22"/>
  <c r="B416" i="17"/>
  <c r="W416" i="17" s="1"/>
  <c r="Y424" i="17"/>
  <c r="F433" i="22"/>
  <c r="Y427" i="17"/>
  <c r="F436" i="22"/>
  <c r="B434" i="17"/>
  <c r="W434" i="17" s="1"/>
  <c r="Y439" i="17"/>
  <c r="F454" i="22"/>
  <c r="F448" i="22"/>
  <c r="Y448" i="17"/>
  <c r="F457" i="22"/>
  <c r="Y453" i="17"/>
  <c r="F462" i="22"/>
  <c r="Y456" i="17"/>
  <c r="F465" i="22"/>
  <c r="Y459" i="17"/>
  <c r="F468" i="22"/>
  <c r="Y462" i="17"/>
  <c r="F471" i="22"/>
  <c r="Y464" i="17"/>
  <c r="F473" i="22"/>
  <c r="Y470" i="17"/>
  <c r="F479" i="22"/>
  <c r="Y473" i="17"/>
  <c r="F482" i="22"/>
  <c r="C476" i="17"/>
  <c r="X476" i="17" s="1"/>
  <c r="Y478" i="17"/>
  <c r="F487" i="22"/>
  <c r="Y484" i="17"/>
  <c r="F493" i="22"/>
  <c r="Y487" i="17"/>
  <c r="F496" i="22"/>
  <c r="Y493" i="17"/>
  <c r="F502" i="22"/>
  <c r="Y496" i="17"/>
  <c r="F505" i="22"/>
  <c r="Y505" i="17"/>
  <c r="F514" i="22"/>
  <c r="B516" i="17"/>
  <c r="W516" i="17" s="1"/>
  <c r="Y530" i="17"/>
  <c r="F539" i="22"/>
  <c r="Y534" i="17"/>
  <c r="F543" i="22"/>
  <c r="V534" i="17"/>
  <c r="C540" i="17"/>
  <c r="X540" i="17" s="1"/>
  <c r="Y542" i="17"/>
  <c r="F551" i="22"/>
  <c r="Y545" i="17"/>
  <c r="F554" i="22"/>
  <c r="Y549" i="17"/>
  <c r="F558" i="22"/>
  <c r="Y555" i="17"/>
  <c r="F564" i="22"/>
  <c r="C558" i="17"/>
  <c r="X558" i="17" s="1"/>
  <c r="Y568" i="17"/>
  <c r="F577" i="22"/>
  <c r="B572" i="17"/>
  <c r="W572" i="17" s="1"/>
  <c r="Y574" i="17"/>
  <c r="F583" i="22"/>
  <c r="Y593" i="17"/>
  <c r="F602" i="22"/>
  <c r="V593" i="17"/>
  <c r="Y621" i="17"/>
  <c r="F618" i="22"/>
  <c r="V621" i="17"/>
  <c r="Y632" i="17"/>
  <c r="F629" i="22"/>
  <c r="Y641" i="17"/>
  <c r="F638" i="22"/>
  <c r="Y644" i="17"/>
  <c r="F641" i="22"/>
  <c r="Y647" i="17"/>
  <c r="F644" i="22"/>
  <c r="Y650" i="17"/>
  <c r="F647" i="22"/>
  <c r="Y661" i="17"/>
  <c r="F658" i="22"/>
  <c r="Y667" i="17"/>
  <c r="F664" i="22"/>
  <c r="Y677" i="17"/>
  <c r="F674" i="22"/>
  <c r="Y680" i="17"/>
  <c r="F677" i="22"/>
  <c r="Y683" i="17"/>
  <c r="F680" i="22"/>
  <c r="Y694" i="17"/>
  <c r="F691" i="22"/>
  <c r="Y711" i="17"/>
  <c r="F708" i="22"/>
  <c r="Y25" i="17"/>
  <c r="F24" i="22"/>
  <c r="Y45" i="17"/>
  <c r="F44" i="22"/>
  <c r="Y48" i="17"/>
  <c r="F47" i="22"/>
  <c r="Y16" i="17"/>
  <c r="F15" i="22"/>
  <c r="Y18" i="17"/>
  <c r="F17" i="22"/>
  <c r="Y19" i="17"/>
  <c r="F18" i="22"/>
  <c r="Y34" i="17"/>
  <c r="F33" i="22"/>
  <c r="Y52" i="17"/>
  <c r="F51" i="22"/>
  <c r="Y58" i="17"/>
  <c r="F57" i="22"/>
  <c r="C61" i="17"/>
  <c r="X61" i="17" s="1"/>
  <c r="Y64" i="17"/>
  <c r="F63" i="22"/>
  <c r="Y67" i="17"/>
  <c r="F66" i="22"/>
  <c r="C71" i="17"/>
  <c r="X71" i="17" s="1"/>
  <c r="C73" i="17"/>
  <c r="X73" i="17" s="1"/>
  <c r="Y79" i="17"/>
  <c r="F78" i="22"/>
  <c r="B83" i="17"/>
  <c r="W83" i="17" s="1"/>
  <c r="Y86" i="17"/>
  <c r="F85" i="22"/>
  <c r="Y89" i="17"/>
  <c r="F88" i="22"/>
  <c r="Y92" i="17"/>
  <c r="F91" i="22"/>
  <c r="Y95" i="17"/>
  <c r="F94" i="22"/>
  <c r="Y98" i="17"/>
  <c r="F97" i="22"/>
  <c r="Y107" i="17"/>
  <c r="F106" i="22"/>
  <c r="B110" i="17"/>
  <c r="W110" i="17" s="1"/>
  <c r="C120" i="17"/>
  <c r="X120" i="17" s="1"/>
  <c r="Y130" i="17"/>
  <c r="F129" i="22"/>
  <c r="B137" i="17"/>
  <c r="W137" i="17" s="1"/>
  <c r="Y143" i="17"/>
  <c r="F142" i="22"/>
  <c r="Y145" i="17"/>
  <c r="F144" i="22"/>
  <c r="C152" i="17"/>
  <c r="X152" i="17" s="1"/>
  <c r="Y154" i="17"/>
  <c r="F153" i="22"/>
  <c r="Y166" i="17"/>
  <c r="F165" i="22"/>
  <c r="Y170" i="17"/>
  <c r="F169" i="22"/>
  <c r="C174" i="17"/>
  <c r="X174" i="17" s="1"/>
  <c r="Y176" i="17"/>
  <c r="F175" i="22"/>
  <c r="Y183" i="17"/>
  <c r="F182" i="22"/>
  <c r="C189" i="17"/>
  <c r="Y200" i="17"/>
  <c r="F199" i="22"/>
  <c r="Y208" i="17"/>
  <c r="F207" i="22"/>
  <c r="C214" i="17"/>
  <c r="X214" i="17" s="1"/>
  <c r="Y224" i="17"/>
  <c r="F223" i="22"/>
  <c r="Y227" i="17"/>
  <c r="F226" i="22"/>
  <c r="F233" i="22"/>
  <c r="F241" i="22"/>
  <c r="C232" i="17"/>
  <c r="X232" i="17" s="1"/>
  <c r="Y256" i="17"/>
  <c r="F261" i="22"/>
  <c r="C259" i="17"/>
  <c r="X259" i="17" s="1"/>
  <c r="Y262" i="17"/>
  <c r="F267" i="22"/>
  <c r="Y265" i="17"/>
  <c r="F270" i="22"/>
  <c r="B268" i="17"/>
  <c r="W268" i="17" s="1"/>
  <c r="C274" i="17"/>
  <c r="X274" i="17" s="1"/>
  <c r="Y280" i="17"/>
  <c r="F285" i="22"/>
  <c r="C287" i="17"/>
  <c r="X287" i="17" s="1"/>
  <c r="Y292" i="17"/>
  <c r="F297" i="22"/>
  <c r="Y295" i="17"/>
  <c r="F300" i="22"/>
  <c r="Y298" i="17"/>
  <c r="F303" i="22"/>
  <c r="Y306" i="17"/>
  <c r="F311" i="22"/>
  <c r="Y309" i="17"/>
  <c r="F314" i="22"/>
  <c r="Y312" i="17"/>
  <c r="F317" i="22"/>
  <c r="B322" i="17"/>
  <c r="W322" i="17" s="1"/>
  <c r="Y326" i="17"/>
  <c r="F331" i="22"/>
  <c r="Y335" i="17"/>
  <c r="F340" i="22"/>
  <c r="Y338" i="17"/>
  <c r="F343" i="22"/>
  <c r="Y342" i="17"/>
  <c r="F347" i="22"/>
  <c r="Y358" i="17"/>
  <c r="F363" i="22"/>
  <c r="Y373" i="17"/>
  <c r="F378" i="22"/>
  <c r="Y384" i="17"/>
  <c r="F389" i="22"/>
  <c r="Y387" i="17"/>
  <c r="F392" i="22"/>
  <c r="Y390" i="17"/>
  <c r="F399" i="22"/>
  <c r="F395" i="22"/>
  <c r="C407" i="17"/>
  <c r="X407" i="17" s="1"/>
  <c r="B410" i="17"/>
  <c r="W410" i="17" s="1"/>
  <c r="Y412" i="17"/>
  <c r="F421" i="22"/>
  <c r="Y419" i="17"/>
  <c r="F428" i="22"/>
  <c r="B425" i="17"/>
  <c r="W425" i="17" s="1"/>
  <c r="Y431" i="17"/>
  <c r="F440" i="22"/>
  <c r="B437" i="17"/>
  <c r="W437" i="17" s="1"/>
  <c r="Y442" i="17"/>
  <c r="F451" i="22"/>
  <c r="Y451" i="17"/>
  <c r="F460" i="22"/>
  <c r="C457" i="17"/>
  <c r="X457" i="17" s="1"/>
  <c r="Y467" i="17"/>
  <c r="F476" i="22"/>
  <c r="B474" i="17"/>
  <c r="W474" i="17" s="1"/>
  <c r="Y482" i="17"/>
  <c r="F491" i="22"/>
  <c r="Y490" i="17"/>
  <c r="F499" i="22"/>
  <c r="C494" i="17"/>
  <c r="X494" i="17" s="1"/>
  <c r="B500" i="17"/>
  <c r="W500" i="17" s="1"/>
  <c r="Y502" i="17"/>
  <c r="F511" i="22"/>
  <c r="Y508" i="17"/>
  <c r="F517" i="22"/>
  <c r="Y511" i="17"/>
  <c r="F520" i="22"/>
  <c r="Y518" i="17"/>
  <c r="F527" i="22"/>
  <c r="Y521" i="17"/>
  <c r="F530" i="22"/>
  <c r="Y524" i="17"/>
  <c r="F533" i="22"/>
  <c r="Y527" i="17"/>
  <c r="F536" i="22"/>
  <c r="Y552" i="17"/>
  <c r="F561" i="22"/>
  <c r="Y563" i="17"/>
  <c r="F572" i="22"/>
  <c r="C569" i="17"/>
  <c r="X569" i="17" s="1"/>
  <c r="C572" i="17"/>
  <c r="X572" i="17" s="1"/>
  <c r="Y578" i="17"/>
  <c r="F587" i="22"/>
  <c r="Y584" i="17"/>
  <c r="F593" i="22"/>
  <c r="V584" i="17"/>
  <c r="Y587" i="17"/>
  <c r="F596" i="22"/>
  <c r="Y590" i="17"/>
  <c r="F599" i="22"/>
  <c r="Y615" i="17"/>
  <c r="F612" i="22"/>
  <c r="Y626" i="17"/>
  <c r="F623" i="22"/>
  <c r="Y636" i="17"/>
  <c r="F633" i="22"/>
  <c r="Y639" i="17"/>
  <c r="F636" i="22"/>
  <c r="V639" i="17"/>
  <c r="B645" i="17"/>
  <c r="W645" i="17" s="1"/>
  <c r="Y656" i="17"/>
  <c r="F653" i="22"/>
  <c r="V656" i="17"/>
  <c r="Y659" i="17"/>
  <c r="F656" i="22"/>
  <c r="Y664" i="17"/>
  <c r="F661" i="22"/>
  <c r="Y675" i="17"/>
  <c r="F672" i="22"/>
  <c r="B684" i="17"/>
  <c r="W684" i="17" s="1"/>
  <c r="Y686" i="17"/>
  <c r="F683" i="22"/>
  <c r="Y688" i="17"/>
  <c r="F685" i="22"/>
  <c r="Y691" i="17"/>
  <c r="F688" i="22"/>
  <c r="C695" i="17"/>
  <c r="X695" i="17" s="1"/>
  <c r="Y697" i="17"/>
  <c r="F694" i="22"/>
  <c r="Y700" i="17"/>
  <c r="F697" i="22"/>
  <c r="Y704" i="17"/>
  <c r="F701" i="22"/>
  <c r="Y708" i="17"/>
  <c r="F705" i="22"/>
  <c r="V708" i="17"/>
  <c r="Y715" i="17"/>
  <c r="F712" i="22"/>
  <c r="B104" i="17"/>
  <c r="W104" i="17" s="1"/>
  <c r="B122" i="17"/>
  <c r="W122" i="17" s="1"/>
  <c r="B131" i="17"/>
  <c r="W131" i="17" s="1"/>
  <c r="B155" i="17"/>
  <c r="W155" i="17" s="1"/>
  <c r="C166" i="17"/>
  <c r="X166" i="17" s="1"/>
  <c r="C168" i="17"/>
  <c r="X168" i="17" s="1"/>
  <c r="C170" i="17"/>
  <c r="X170" i="17" s="1"/>
  <c r="B193" i="17"/>
  <c r="W193" i="17" s="1"/>
  <c r="B224" i="17"/>
  <c r="W224" i="17" s="1"/>
  <c r="V265" i="17"/>
  <c r="B265" i="17"/>
  <c r="W265" i="17" s="1"/>
  <c r="C289" i="17"/>
  <c r="X289" i="17" s="1"/>
  <c r="B291" i="17"/>
  <c r="W291" i="17" s="1"/>
  <c r="V291" i="17"/>
  <c r="B339" i="17"/>
  <c r="W339" i="17" s="1"/>
  <c r="V339" i="17"/>
  <c r="C339" i="17"/>
  <c r="X339" i="17" s="1"/>
  <c r="B343" i="17"/>
  <c r="W343" i="17" s="1"/>
  <c r="V343" i="17"/>
  <c r="C343" i="17"/>
  <c r="X343" i="17" s="1"/>
  <c r="B359" i="17"/>
  <c r="W359" i="17" s="1"/>
  <c r="V359" i="17"/>
  <c r="C359" i="17"/>
  <c r="X359" i="17" s="1"/>
  <c r="B413" i="17"/>
  <c r="W413" i="17" s="1"/>
  <c r="V413" i="17"/>
  <c r="C413" i="17"/>
  <c r="X413" i="17" s="1"/>
  <c r="V80" i="17"/>
  <c r="V82" i="17"/>
  <c r="C104" i="17"/>
  <c r="X104" i="17" s="1"/>
  <c r="B117" i="17"/>
  <c r="W117" i="17" s="1"/>
  <c r="C122" i="17"/>
  <c r="X122" i="17" s="1"/>
  <c r="V125" i="17"/>
  <c r="V127" i="17"/>
  <c r="C131" i="17"/>
  <c r="X131" i="17" s="1"/>
  <c r="V139" i="17"/>
  <c r="V141" i="17"/>
  <c r="C146" i="17"/>
  <c r="B284" i="17"/>
  <c r="W284" i="17" s="1"/>
  <c r="C284" i="17"/>
  <c r="X284" i="17" s="1"/>
  <c r="B20" i="17"/>
  <c r="W20" i="17" s="1"/>
  <c r="B39" i="17"/>
  <c r="W39" i="17" s="1"/>
  <c r="B85" i="17"/>
  <c r="W85" i="17" s="1"/>
  <c r="B89" i="17"/>
  <c r="W89" i="17" s="1"/>
  <c r="B160" i="17"/>
  <c r="W160" i="17" s="1"/>
  <c r="V170" i="17"/>
  <c r="V177" i="17"/>
  <c r="V211" i="17"/>
  <c r="B211" i="17"/>
  <c r="W211" i="17" s="1"/>
  <c r="B216" i="17"/>
  <c r="W216" i="17" s="1"/>
  <c r="B220" i="17"/>
  <c r="W220" i="17" s="1"/>
  <c r="B251" i="17"/>
  <c r="W251" i="17" s="1"/>
  <c r="V284" i="17"/>
  <c r="V289" i="17"/>
  <c r="B375" i="17"/>
  <c r="W375" i="17" s="1"/>
  <c r="V375" i="17"/>
  <c r="C375" i="17"/>
  <c r="X375" i="17" s="1"/>
  <c r="B393" i="17"/>
  <c r="W393" i="17" s="1"/>
  <c r="V393" i="17"/>
  <c r="C393" i="17"/>
  <c r="X393" i="17" s="1"/>
  <c r="B15" i="17"/>
  <c r="W15" i="17" s="1"/>
  <c r="B23" i="17"/>
  <c r="W23" i="17" s="1"/>
  <c r="B28" i="17"/>
  <c r="W28" i="17" s="1"/>
  <c r="B31" i="17"/>
  <c r="W31" i="17" s="1"/>
  <c r="B36" i="17"/>
  <c r="W36" i="17" s="1"/>
  <c r="V42" i="17"/>
  <c r="B53" i="17"/>
  <c r="W53" i="17" s="1"/>
  <c r="V61" i="17"/>
  <c r="B64" i="17"/>
  <c r="W64" i="17" s="1"/>
  <c r="V69" i="17"/>
  <c r="V93" i="17"/>
  <c r="B96" i="17"/>
  <c r="W96" i="17" s="1"/>
  <c r="C15" i="17"/>
  <c r="X15" i="17" s="1"/>
  <c r="C20" i="17"/>
  <c r="X20" i="17" s="1"/>
  <c r="C23" i="17"/>
  <c r="X23" i="17" s="1"/>
  <c r="C28" i="17"/>
  <c r="X28" i="17" s="1"/>
  <c r="C31" i="17"/>
  <c r="X31" i="17" s="1"/>
  <c r="C36" i="17"/>
  <c r="X36" i="17" s="1"/>
  <c r="C39" i="17"/>
  <c r="X39" i="17" s="1"/>
  <c r="B42" i="17"/>
  <c r="W42" i="17" s="1"/>
  <c r="C53" i="17"/>
  <c r="X53" i="17" s="1"/>
  <c r="C64" i="17"/>
  <c r="X64" i="17" s="1"/>
  <c r="B68" i="17"/>
  <c r="W68" i="17" s="1"/>
  <c r="C79" i="17"/>
  <c r="X79" i="17" s="1"/>
  <c r="C85" i="17"/>
  <c r="X85" i="17" s="1"/>
  <c r="C89" i="17"/>
  <c r="X89" i="17" s="1"/>
  <c r="C96" i="17"/>
  <c r="X96" i="17" s="1"/>
  <c r="V113" i="17"/>
  <c r="B126" i="17"/>
  <c r="W126" i="17" s="1"/>
  <c r="B128" i="17"/>
  <c r="W128" i="17" s="1"/>
  <c r="V133" i="17"/>
  <c r="C138" i="17"/>
  <c r="X138" i="17" s="1"/>
  <c r="B142" i="17"/>
  <c r="W142" i="17" s="1"/>
  <c r="V151" i="17"/>
  <c r="C156" i="17"/>
  <c r="C160" i="17"/>
  <c r="C162" i="17"/>
  <c r="V164" i="17"/>
  <c r="B167" i="17"/>
  <c r="W167" i="17" s="1"/>
  <c r="B173" i="17"/>
  <c r="W173" i="17" s="1"/>
  <c r="V175" i="17"/>
  <c r="C180" i="17"/>
  <c r="X180" i="17" s="1"/>
  <c r="B187" i="17"/>
  <c r="W187" i="17" s="1"/>
  <c r="C216" i="17"/>
  <c r="X216" i="17" s="1"/>
  <c r="B218" i="17"/>
  <c r="W218" i="17" s="1"/>
  <c r="C220" i="17"/>
  <c r="C251" i="17"/>
  <c r="X251" i="17" s="1"/>
  <c r="V260" i="17"/>
  <c r="B260" i="17"/>
  <c r="W260" i="17" s="1"/>
  <c r="C271" i="17"/>
  <c r="X271" i="17" s="1"/>
  <c r="B271" i="17"/>
  <c r="W271" i="17" s="1"/>
  <c r="B278" i="17"/>
  <c r="W278" i="17" s="1"/>
  <c r="V278" i="17"/>
  <c r="B295" i="17"/>
  <c r="W295" i="17" s="1"/>
  <c r="C295" i="17"/>
  <c r="X295" i="17" s="1"/>
  <c r="V203" i="17"/>
  <c r="C203" i="17"/>
  <c r="X203" i="17" s="1"/>
  <c r="C312" i="17"/>
  <c r="X312" i="17" s="1"/>
  <c r="B312" i="17"/>
  <c r="W312" i="17" s="1"/>
  <c r="B45" i="17"/>
  <c r="W45" i="17" s="1"/>
  <c r="C46" i="17"/>
  <c r="X46" i="17" s="1"/>
  <c r="C56" i="17"/>
  <c r="X56" i="17" s="1"/>
  <c r="V68" i="17"/>
  <c r="C77" i="17"/>
  <c r="X77" i="17" s="1"/>
  <c r="C81" i="17"/>
  <c r="X81" i="17" s="1"/>
  <c r="C83" i="17"/>
  <c r="X83" i="17" s="1"/>
  <c r="C88" i="17"/>
  <c r="X88" i="17" s="1"/>
  <c r="V98" i="17"/>
  <c r="C103" i="17"/>
  <c r="X103" i="17" s="1"/>
  <c r="C116" i="17"/>
  <c r="X116" i="17" s="1"/>
  <c r="C130" i="17"/>
  <c r="X130" i="17" s="1"/>
  <c r="B134" i="17"/>
  <c r="W134" i="17" s="1"/>
  <c r="C140" i="17"/>
  <c r="X140" i="17" s="1"/>
  <c r="V156" i="17"/>
  <c r="B165" i="17"/>
  <c r="W165" i="17" s="1"/>
  <c r="V167" i="17"/>
  <c r="V169" i="17"/>
  <c r="B176" i="17"/>
  <c r="W176" i="17" s="1"/>
  <c r="C178" i="17"/>
  <c r="X178" i="17" s="1"/>
  <c r="V180" i="17"/>
  <c r="B183" i="17"/>
  <c r="W183" i="17" s="1"/>
  <c r="B190" i="17"/>
  <c r="W190" i="17" s="1"/>
  <c r="C194" i="17"/>
  <c r="B200" i="17"/>
  <c r="W200" i="17" s="1"/>
  <c r="C208" i="17"/>
  <c r="X208" i="17" s="1"/>
  <c r="B210" i="17"/>
  <c r="W210" i="17" s="1"/>
  <c r="V258" i="17"/>
  <c r="B258" i="17"/>
  <c r="W258" i="17" s="1"/>
  <c r="B332" i="17"/>
  <c r="W332" i="17" s="1"/>
  <c r="V332" i="17"/>
  <c r="C332" i="17"/>
  <c r="X332" i="17" s="1"/>
  <c r="B409" i="17"/>
  <c r="W409" i="17" s="1"/>
  <c r="V409" i="17"/>
  <c r="C409" i="17"/>
  <c r="X409" i="17" s="1"/>
  <c r="B4" i="17"/>
  <c r="W4" i="17" s="1"/>
  <c r="B67" i="17"/>
  <c r="W67" i="17" s="1"/>
  <c r="B75" i="17"/>
  <c r="W75" i="17" s="1"/>
  <c r="B80" i="17"/>
  <c r="W80" i="17" s="1"/>
  <c r="B105" i="17"/>
  <c r="W105" i="17" s="1"/>
  <c r="B107" i="17"/>
  <c r="W107" i="17" s="1"/>
  <c r="B124" i="17"/>
  <c r="W124" i="17" s="1"/>
  <c r="B125" i="17"/>
  <c r="W125" i="17" s="1"/>
  <c r="B132" i="17"/>
  <c r="W132" i="17" s="1"/>
  <c r="B139" i="17"/>
  <c r="W139" i="17" s="1"/>
  <c r="B150" i="17"/>
  <c r="W150" i="17" s="1"/>
  <c r="B202" i="17"/>
  <c r="W202" i="17" s="1"/>
  <c r="B213" i="17"/>
  <c r="W213" i="17" s="1"/>
  <c r="B310" i="17"/>
  <c r="W310" i="17" s="1"/>
  <c r="C310" i="17"/>
  <c r="X310" i="17" s="1"/>
  <c r="C4" i="17"/>
  <c r="X4" i="17" s="1"/>
  <c r="B5" i="17"/>
  <c r="W5" i="17" s="1"/>
  <c r="B6" i="17"/>
  <c r="W6" i="17" s="1"/>
  <c r="V8" i="17"/>
  <c r="C49" i="17"/>
  <c r="X49" i="17" s="1"/>
  <c r="B51" i="17"/>
  <c r="W51" i="17" s="1"/>
  <c r="B65" i="17"/>
  <c r="W65" i="17" s="1"/>
  <c r="C67" i="17"/>
  <c r="X67" i="17" s="1"/>
  <c r="B73" i="17"/>
  <c r="W73" i="17" s="1"/>
  <c r="C75" i="17"/>
  <c r="X75" i="17" s="1"/>
  <c r="V90" i="17"/>
  <c r="C95" i="17"/>
  <c r="X95" i="17" s="1"/>
  <c r="B99" i="17"/>
  <c r="W99" i="17" s="1"/>
  <c r="C105" i="17"/>
  <c r="X105" i="17" s="1"/>
  <c r="C107" i="17"/>
  <c r="X107" i="17" s="1"/>
  <c r="C132" i="17"/>
  <c r="X132" i="17" s="1"/>
  <c r="C150" i="17"/>
  <c r="B161" i="17"/>
  <c r="W161" i="17" s="1"/>
  <c r="B168" i="17"/>
  <c r="W168" i="17" s="1"/>
  <c r="C172" i="17"/>
  <c r="X172" i="17" s="1"/>
  <c r="B181" i="17"/>
  <c r="W181" i="17" s="1"/>
  <c r="V183" i="17"/>
  <c r="B186" i="17"/>
  <c r="W186" i="17" s="1"/>
  <c r="C213" i="17"/>
  <c r="X213" i="17" s="1"/>
  <c r="C226" i="17"/>
  <c r="X226" i="17" s="1"/>
  <c r="B256" i="17"/>
  <c r="W256" i="17" s="1"/>
  <c r="C256" i="17"/>
  <c r="X256" i="17" s="1"/>
  <c r="C265" i="17"/>
  <c r="X265" i="17" s="1"/>
  <c r="B319" i="17"/>
  <c r="W319" i="17" s="1"/>
  <c r="V319" i="17"/>
  <c r="C319" i="17"/>
  <c r="X319" i="17" s="1"/>
  <c r="C352" i="17"/>
  <c r="X352" i="17" s="1"/>
  <c r="B352" i="17"/>
  <c r="W352" i="17" s="1"/>
  <c r="B429" i="17"/>
  <c r="W429" i="17" s="1"/>
  <c r="B445" i="17"/>
  <c r="W445" i="17" s="1"/>
  <c r="B457" i="17"/>
  <c r="W457" i="17" s="1"/>
  <c r="B473" i="17"/>
  <c r="W473" i="17" s="1"/>
  <c r="B479" i="17"/>
  <c r="W479" i="17" s="1"/>
  <c r="C486" i="17"/>
  <c r="X486" i="17" s="1"/>
  <c r="B495" i="17"/>
  <c r="W495" i="17" s="1"/>
  <c r="C497" i="17"/>
  <c r="X497" i="17" s="1"/>
  <c r="B524" i="17"/>
  <c r="W524" i="17" s="1"/>
  <c r="C526" i="17"/>
  <c r="X526" i="17" s="1"/>
  <c r="B530" i="17"/>
  <c r="W530" i="17" s="1"/>
  <c r="C532" i="17"/>
  <c r="X532" i="17" s="1"/>
  <c r="B553" i="17"/>
  <c r="W553" i="17" s="1"/>
  <c r="B558" i="17"/>
  <c r="W558" i="17" s="1"/>
  <c r="B569" i="17"/>
  <c r="W569" i="17" s="1"/>
  <c r="C582" i="17"/>
  <c r="X582" i="17" s="1"/>
  <c r="B589" i="17"/>
  <c r="W589" i="17" s="1"/>
  <c r="B619" i="17"/>
  <c r="W619" i="17" s="1"/>
  <c r="C625" i="17"/>
  <c r="X625" i="17" s="1"/>
  <c r="B627" i="17"/>
  <c r="W627" i="17" s="1"/>
  <c r="B629" i="17"/>
  <c r="W629" i="17" s="1"/>
  <c r="C636" i="17"/>
  <c r="X636" i="17" s="1"/>
  <c r="C642" i="17"/>
  <c r="X642" i="17" s="1"/>
  <c r="C644" i="17"/>
  <c r="X644" i="17" s="1"/>
  <c r="C659" i="17"/>
  <c r="X659" i="17" s="1"/>
  <c r="B661" i="17"/>
  <c r="W661" i="17" s="1"/>
  <c r="C674" i="17"/>
  <c r="X674" i="17" s="1"/>
  <c r="B683" i="17"/>
  <c r="W683" i="17" s="1"/>
  <c r="B685" i="17"/>
  <c r="W685" i="17" s="1"/>
  <c r="C692" i="17"/>
  <c r="X692" i="17" s="1"/>
  <c r="B701" i="17"/>
  <c r="W701" i="17" s="1"/>
  <c r="V703" i="17"/>
  <c r="C706" i="17"/>
  <c r="X706" i="17" s="1"/>
  <c r="C711" i="17"/>
  <c r="X711" i="17" s="1"/>
  <c r="V420" i="17"/>
  <c r="V486" i="17"/>
  <c r="V497" i="17"/>
  <c r="V526" i="17"/>
  <c r="V532" i="17"/>
  <c r="V582" i="17"/>
  <c r="V625" i="17"/>
  <c r="V636" i="17"/>
  <c r="V644" i="17"/>
  <c r="V692" i="17"/>
  <c r="B700" i="17"/>
  <c r="W700" i="17" s="1"/>
  <c r="V701" i="17"/>
  <c r="B704" i="17"/>
  <c r="W704" i="17" s="1"/>
  <c r="V711" i="17"/>
  <c r="V315" i="17"/>
  <c r="V402" i="17"/>
  <c r="C405" i="17"/>
  <c r="X405" i="17" s="1"/>
  <c r="B418" i="17"/>
  <c r="W418" i="17" s="1"/>
  <c r="C425" i="17"/>
  <c r="X425" i="17" s="1"/>
  <c r="C439" i="17"/>
  <c r="X439" i="17" s="1"/>
  <c r="V459" i="17"/>
  <c r="C465" i="17"/>
  <c r="X465" i="17" s="1"/>
  <c r="B469" i="17"/>
  <c r="W469" i="17" s="1"/>
  <c r="B482" i="17"/>
  <c r="W482" i="17" s="1"/>
  <c r="V491" i="17"/>
  <c r="B506" i="17"/>
  <c r="W506" i="17" s="1"/>
  <c r="C508" i="17"/>
  <c r="X508" i="17" s="1"/>
  <c r="V518" i="17"/>
  <c r="C529" i="17"/>
  <c r="X529" i="17" s="1"/>
  <c r="C537" i="17"/>
  <c r="X537" i="17" s="1"/>
  <c r="C574" i="17"/>
  <c r="X574" i="17" s="1"/>
  <c r="C585" i="17"/>
  <c r="X585" i="17" s="1"/>
  <c r="C590" i="17"/>
  <c r="X590" i="17" s="1"/>
  <c r="V592" i="17"/>
  <c r="B620" i="17"/>
  <c r="W620" i="17" s="1"/>
  <c r="B632" i="17"/>
  <c r="W632" i="17" s="1"/>
  <c r="B653" i="17"/>
  <c r="W653" i="17" s="1"/>
  <c r="V655" i="17"/>
  <c r="B675" i="17"/>
  <c r="W675" i="17" s="1"/>
  <c r="C700" i="17"/>
  <c r="X700" i="17" s="1"/>
  <c r="C704" i="17"/>
  <c r="X704" i="17" s="1"/>
  <c r="B707" i="17"/>
  <c r="W707" i="17" s="1"/>
  <c r="B709" i="17"/>
  <c r="W709" i="17" s="1"/>
  <c r="B262" i="17"/>
  <c r="W262" i="17" s="1"/>
  <c r="B276" i="17"/>
  <c r="W276" i="17" s="1"/>
  <c r="B296" i="17"/>
  <c r="W296" i="17" s="1"/>
  <c r="B298" i="17"/>
  <c r="W298" i="17" s="1"/>
  <c r="C318" i="17"/>
  <c r="X318" i="17" s="1"/>
  <c r="B320" i="17"/>
  <c r="W320" i="17" s="1"/>
  <c r="B327" i="17"/>
  <c r="W327" i="17" s="1"/>
  <c r="C329" i="17"/>
  <c r="X329" i="17" s="1"/>
  <c r="B338" i="17"/>
  <c r="W338" i="17" s="1"/>
  <c r="B340" i="17"/>
  <c r="W340" i="17" s="1"/>
  <c r="C342" i="17"/>
  <c r="X342" i="17" s="1"/>
  <c r="B344" i="17"/>
  <c r="W344" i="17" s="1"/>
  <c r="V355" i="17"/>
  <c r="B360" i="17"/>
  <c r="W360" i="17" s="1"/>
  <c r="V371" i="17"/>
  <c r="V576" i="17"/>
  <c r="V612" i="17"/>
  <c r="V647" i="17"/>
  <c r="B712" i="17"/>
  <c r="W712" i="17" s="1"/>
  <c r="C215" i="17"/>
  <c r="X215" i="17" s="1"/>
  <c r="B217" i="17"/>
  <c r="W217" i="17" s="1"/>
  <c r="C221" i="17"/>
  <c r="C227" i="17"/>
  <c r="X227" i="17" s="1"/>
  <c r="C240" i="17"/>
  <c r="X240" i="17" s="1"/>
  <c r="B246" i="17"/>
  <c r="W246" i="17" s="1"/>
  <c r="C262" i="17"/>
  <c r="X262" i="17" s="1"/>
  <c r="C276" i="17"/>
  <c r="X276" i="17" s="1"/>
  <c r="C281" i="17"/>
  <c r="X281" i="17" s="1"/>
  <c r="V283" i="17"/>
  <c r="C305" i="17"/>
  <c r="X305" i="17" s="1"/>
  <c r="C307" i="17"/>
  <c r="X307" i="17" s="1"/>
  <c r="C327" i="17"/>
  <c r="X327" i="17" s="1"/>
  <c r="C340" i="17"/>
  <c r="X340" i="17" s="1"/>
  <c r="C347" i="17"/>
  <c r="X347" i="17" s="1"/>
  <c r="C363" i="17"/>
  <c r="X363" i="17" s="1"/>
  <c r="B388" i="17"/>
  <c r="W388" i="17" s="1"/>
  <c r="B394" i="17"/>
  <c r="W394" i="17" s="1"/>
  <c r="V412" i="17"/>
  <c r="B417" i="17"/>
  <c r="W417" i="17" s="1"/>
  <c r="V418" i="17"/>
  <c r="B433" i="17"/>
  <c r="W433" i="17" s="1"/>
  <c r="B449" i="17"/>
  <c r="W449" i="17" s="1"/>
  <c r="B460" i="17"/>
  <c r="W460" i="17" s="1"/>
  <c r="B468" i="17"/>
  <c r="W468" i="17" s="1"/>
  <c r="B481" i="17"/>
  <c r="W481" i="17" s="1"/>
  <c r="B492" i="17"/>
  <c r="W492" i="17" s="1"/>
  <c r="B505" i="17"/>
  <c r="W505" i="17" s="1"/>
  <c r="B519" i="17"/>
  <c r="W519" i="17" s="1"/>
  <c r="V531" i="17"/>
  <c r="V537" i="17"/>
  <c r="B548" i="17"/>
  <c r="W548" i="17" s="1"/>
  <c r="B564" i="17"/>
  <c r="W564" i="17" s="1"/>
  <c r="B596" i="17"/>
  <c r="W596" i="17" s="1"/>
  <c r="B616" i="17"/>
  <c r="W616" i="17" s="1"/>
  <c r="B637" i="17"/>
  <c r="W637" i="17" s="1"/>
  <c r="V653" i="17"/>
  <c r="B656" i="17"/>
  <c r="W656" i="17" s="1"/>
  <c r="B667" i="17"/>
  <c r="W667" i="17" s="1"/>
  <c r="C712" i="17"/>
  <c r="X712" i="17" s="1"/>
  <c r="B715" i="17"/>
  <c r="W715" i="17" s="1"/>
  <c r="B230" i="17"/>
  <c r="W230" i="17" s="1"/>
  <c r="B279" i="17"/>
  <c r="W279" i="17" s="1"/>
  <c r="B356" i="17"/>
  <c r="W356" i="17" s="1"/>
  <c r="B372" i="17"/>
  <c r="W372" i="17" s="1"/>
  <c r="C388" i="17"/>
  <c r="X388" i="17" s="1"/>
  <c r="B397" i="17"/>
  <c r="W397" i="17" s="1"/>
  <c r="C399" i="17"/>
  <c r="X399" i="17" s="1"/>
  <c r="V428" i="17"/>
  <c r="B440" i="17"/>
  <c r="W440" i="17" s="1"/>
  <c r="V444" i="17"/>
  <c r="B458" i="17"/>
  <c r="W458" i="17" s="1"/>
  <c r="V478" i="17"/>
  <c r="V494" i="17"/>
  <c r="B503" i="17"/>
  <c r="W503" i="17" s="1"/>
  <c r="B511" i="17"/>
  <c r="W511" i="17" s="1"/>
  <c r="C519" i="17"/>
  <c r="X519" i="17" s="1"/>
  <c r="V523" i="17"/>
  <c r="B543" i="17"/>
  <c r="W543" i="17" s="1"/>
  <c r="C548" i="17"/>
  <c r="X548" i="17" s="1"/>
  <c r="V552" i="17"/>
  <c r="C564" i="17"/>
  <c r="X564" i="17" s="1"/>
  <c r="V568" i="17"/>
  <c r="B577" i="17"/>
  <c r="W577" i="17" s="1"/>
  <c r="B591" i="17"/>
  <c r="W591" i="17" s="1"/>
  <c r="C596" i="17"/>
  <c r="X596" i="17" s="1"/>
  <c r="B621" i="17"/>
  <c r="W621" i="17" s="1"/>
  <c r="B633" i="17"/>
  <c r="W633" i="17" s="1"/>
  <c r="V645" i="17"/>
  <c r="B648" i="17"/>
  <c r="W648" i="17" s="1"/>
  <c r="B652" i="17"/>
  <c r="W652" i="17" s="1"/>
  <c r="C667" i="17"/>
  <c r="X667" i="17" s="1"/>
  <c r="B669" i="17"/>
  <c r="W669" i="17" s="1"/>
  <c r="B676" i="17"/>
  <c r="W676" i="17" s="1"/>
  <c r="B680" i="17"/>
  <c r="W680" i="17" s="1"/>
  <c r="V693" i="17"/>
  <c r="B696" i="17"/>
  <c r="W696" i="17" s="1"/>
  <c r="C703" i="17"/>
  <c r="X703" i="17" s="1"/>
  <c r="B708" i="17"/>
  <c r="W708" i="17" s="1"/>
  <c r="V246" i="17"/>
  <c r="V281" i="17"/>
  <c r="C297" i="17"/>
  <c r="X297" i="17" s="1"/>
  <c r="C299" i="17"/>
  <c r="X299" i="17" s="1"/>
  <c r="V305" i="17"/>
  <c r="V307" i="17"/>
  <c r="C321" i="17"/>
  <c r="X321" i="17" s="1"/>
  <c r="B330" i="17"/>
  <c r="W330" i="17" s="1"/>
  <c r="C345" i="17"/>
  <c r="X345" i="17" s="1"/>
  <c r="V347" i="17"/>
  <c r="B354" i="17"/>
  <c r="W354" i="17" s="1"/>
  <c r="C361" i="17"/>
  <c r="X361" i="17" s="1"/>
  <c r="V363" i="17"/>
  <c r="B368" i="17"/>
  <c r="W368" i="17" s="1"/>
  <c r="C377" i="17"/>
  <c r="X377" i="17" s="1"/>
  <c r="B382" i="17"/>
  <c r="W382" i="17" s="1"/>
  <c r="B386" i="17"/>
  <c r="W386" i="17" s="1"/>
  <c r="B390" i="17"/>
  <c r="W390" i="17" s="1"/>
  <c r="C415" i="17"/>
  <c r="X415" i="17" s="1"/>
  <c r="B424" i="17"/>
  <c r="W424" i="17" s="1"/>
  <c r="B426" i="17"/>
  <c r="W426" i="17" s="1"/>
  <c r="C431" i="17"/>
  <c r="X431" i="17" s="1"/>
  <c r="B442" i="17"/>
  <c r="W442" i="17" s="1"/>
  <c r="C447" i="17"/>
  <c r="X447" i="17" s="1"/>
  <c r="C470" i="17"/>
  <c r="X470" i="17" s="1"/>
  <c r="B490" i="17"/>
  <c r="W490" i="17" s="1"/>
  <c r="C503" i="17"/>
  <c r="X503" i="17" s="1"/>
  <c r="C511" i="17"/>
  <c r="X511" i="17" s="1"/>
  <c r="C534" i="17"/>
  <c r="X534" i="17" s="1"/>
  <c r="C536" i="17"/>
  <c r="X536" i="17" s="1"/>
  <c r="B573" i="17"/>
  <c r="W573" i="17" s="1"/>
  <c r="B575" i="17"/>
  <c r="W575" i="17" s="1"/>
  <c r="B611" i="17"/>
  <c r="W611" i="17" s="1"/>
  <c r="B659" i="17"/>
  <c r="W659" i="17" s="1"/>
  <c r="C663" i="17"/>
  <c r="X663" i="17" s="1"/>
  <c r="N118" i="17"/>
  <c r="U27" i="17"/>
  <c r="U9" i="17"/>
  <c r="U23" i="17"/>
  <c r="U5" i="17"/>
  <c r="U46" i="17"/>
  <c r="U49" i="17"/>
  <c r="U17" i="17"/>
  <c r="U34" i="17"/>
  <c r="U16" i="17"/>
  <c r="U39" i="17"/>
  <c r="U14" i="17"/>
  <c r="U15" i="17"/>
  <c r="U48" i="17"/>
  <c r="U22" i="17"/>
  <c r="U6" i="17"/>
  <c r="U19" i="17"/>
  <c r="U28" i="17"/>
  <c r="U29" i="17"/>
  <c r="U7" i="17"/>
  <c r="U10" i="17"/>
  <c r="U11" i="17"/>
  <c r="U12" i="17"/>
  <c r="U47" i="17"/>
  <c r="U24" i="17"/>
  <c r="U13" i="17"/>
  <c r="U41" i="17"/>
  <c r="U3" i="17"/>
  <c r="U25" i="17"/>
  <c r="U4" i="17"/>
  <c r="U40" i="17"/>
  <c r="U36" i="17"/>
  <c r="U37" i="17"/>
  <c r="U18" i="17"/>
  <c r="U30" i="17"/>
  <c r="U31" i="17"/>
  <c r="U8" i="17"/>
  <c r="U32" i="17"/>
  <c r="U33" i="17"/>
  <c r="U51" i="17"/>
  <c r="U44" i="17"/>
  <c r="U35" i="17"/>
  <c r="U43" i="17"/>
  <c r="U45" i="17"/>
  <c r="U20" i="17"/>
  <c r="U21" i="17"/>
  <c r="U26" i="17"/>
  <c r="U38" i="17"/>
  <c r="V237" i="17"/>
  <c r="B235" i="17"/>
  <c r="W235" i="17" s="1"/>
  <c r="B241" i="17"/>
  <c r="W241" i="17" s="1"/>
  <c r="B233" i="17"/>
  <c r="W233" i="17" s="1"/>
  <c r="C235" i="17"/>
  <c r="X235" i="17" s="1"/>
  <c r="B238" i="17"/>
  <c r="W238" i="17" s="1"/>
  <c r="C241" i="17"/>
  <c r="X241" i="17" s="1"/>
  <c r="B237" i="17"/>
  <c r="W237" i="17" s="1"/>
  <c r="B249" i="17"/>
  <c r="W249" i="17" s="1"/>
  <c r="B244" i="17"/>
  <c r="W244" i="17" s="1"/>
  <c r="B247" i="17"/>
  <c r="W247" i="17" s="1"/>
  <c r="C249" i="17"/>
  <c r="X249" i="17" s="1"/>
  <c r="B252" i="17"/>
  <c r="W252" i="17" s="1"/>
  <c r="B254" i="17"/>
  <c r="W254" i="17" s="1"/>
  <c r="C244" i="17"/>
  <c r="X244" i="17" s="1"/>
  <c r="C254" i="17"/>
  <c r="X254" i="17" s="1"/>
  <c r="C248" i="17"/>
  <c r="X248" i="17" s="1"/>
  <c r="B250" i="17"/>
  <c r="W250" i="17" s="1"/>
  <c r="V16" i="17"/>
  <c r="V24" i="17"/>
  <c r="V32" i="17"/>
  <c r="V40" i="17"/>
  <c r="V63" i="17"/>
  <c r="B63" i="17"/>
  <c r="W63" i="17" s="1"/>
  <c r="V10" i="17"/>
  <c r="B7" i="17"/>
  <c r="W7" i="17" s="1"/>
  <c r="B21" i="17"/>
  <c r="W21" i="17" s="1"/>
  <c r="C22" i="17"/>
  <c r="X22" i="17" s="1"/>
  <c r="B29" i="17"/>
  <c r="W29" i="17" s="1"/>
  <c r="C30" i="17"/>
  <c r="X30" i="17" s="1"/>
  <c r="B37" i="17"/>
  <c r="W37" i="17" s="1"/>
  <c r="C38" i="17"/>
  <c r="X38" i="17" s="1"/>
  <c r="B46" i="17"/>
  <c r="W46" i="17" s="1"/>
  <c r="B50" i="17"/>
  <c r="W50" i="17" s="1"/>
  <c r="V50" i="17"/>
  <c r="V58" i="17"/>
  <c r="C66" i="17"/>
  <c r="X66" i="17" s="1"/>
  <c r="B66" i="17"/>
  <c r="W66" i="17" s="1"/>
  <c r="C21" i="17"/>
  <c r="X21" i="17" s="1"/>
  <c r="C29" i="17"/>
  <c r="X29" i="17" s="1"/>
  <c r="C37" i="17"/>
  <c r="X37" i="17" s="1"/>
  <c r="V70" i="17"/>
  <c r="C70" i="17"/>
  <c r="X70" i="17" s="1"/>
  <c r="C76" i="17"/>
  <c r="X76" i="17" s="1"/>
  <c r="B76" i="17"/>
  <c r="W76" i="17" s="1"/>
  <c r="V100" i="17"/>
  <c r="C100" i="17"/>
  <c r="X100" i="17" s="1"/>
  <c r="B100" i="17"/>
  <c r="W100" i="17" s="1"/>
  <c r="V62" i="17"/>
  <c r="C62" i="17"/>
  <c r="X62" i="17" s="1"/>
  <c r="V76" i="17"/>
  <c r="C84" i="17"/>
  <c r="X84" i="17" s="1"/>
  <c r="B84" i="17"/>
  <c r="W84" i="17" s="1"/>
  <c r="C5" i="17"/>
  <c r="X5" i="17" s="1"/>
  <c r="B12" i="17"/>
  <c r="W12" i="17" s="1"/>
  <c r="C13" i="17"/>
  <c r="X13" i="17" s="1"/>
  <c r="C19" i="17"/>
  <c r="X19" i="17" s="1"/>
  <c r="C27" i="17"/>
  <c r="X27" i="17" s="1"/>
  <c r="C35" i="17"/>
  <c r="X35" i="17" s="1"/>
  <c r="C45" i="17"/>
  <c r="X45" i="17" s="1"/>
  <c r="V49" i="17"/>
  <c r="U50" i="17"/>
  <c r="B52" i="17"/>
  <c r="W52" i="17" s="1"/>
  <c r="B54" i="17"/>
  <c r="W54" i="17" s="1"/>
  <c r="B60" i="17"/>
  <c r="W60" i="17" s="1"/>
  <c r="V84" i="17"/>
  <c r="V92" i="17"/>
  <c r="C92" i="17"/>
  <c r="X92" i="17" s="1"/>
  <c r="B92" i="17"/>
  <c r="W92" i="17" s="1"/>
  <c r="B11" i="17"/>
  <c r="W11" i="17" s="1"/>
  <c r="B17" i="17"/>
  <c r="W17" i="17" s="1"/>
  <c r="B25" i="17"/>
  <c r="W25" i="17" s="1"/>
  <c r="B33" i="17"/>
  <c r="W33" i="17" s="1"/>
  <c r="B3" i="17"/>
  <c r="W3" i="17" s="1"/>
  <c r="C3" i="17"/>
  <c r="X3" i="17" s="1"/>
  <c r="B10" i="17"/>
  <c r="W10" i="17" s="1"/>
  <c r="C11" i="17"/>
  <c r="X11" i="17" s="1"/>
  <c r="B16" i="17"/>
  <c r="W16" i="17" s="1"/>
  <c r="C17" i="17"/>
  <c r="X17" i="17" s="1"/>
  <c r="B24" i="17"/>
  <c r="W24" i="17" s="1"/>
  <c r="C25" i="17"/>
  <c r="X25" i="17" s="1"/>
  <c r="B32" i="17"/>
  <c r="W32" i="17" s="1"/>
  <c r="C33" i="17"/>
  <c r="X33" i="17" s="1"/>
  <c r="B40" i="17"/>
  <c r="W40" i="17" s="1"/>
  <c r="V41" i="17"/>
  <c r="U42" i="17"/>
  <c r="B44" i="17"/>
  <c r="W44" i="17" s="1"/>
  <c r="C48" i="17"/>
  <c r="X48" i="17" s="1"/>
  <c r="V52" i="17"/>
  <c r="V55" i="17"/>
  <c r="V60" i="17"/>
  <c r="V78" i="17"/>
  <c r="C78" i="17"/>
  <c r="X78" i="17" s="1"/>
  <c r="C44" i="17"/>
  <c r="X44" i="17" s="1"/>
  <c r="V54" i="17"/>
  <c r="B58" i="17"/>
  <c r="W58" i="17" s="1"/>
  <c r="C63" i="17"/>
  <c r="X63" i="17" s="1"/>
  <c r="C74" i="17"/>
  <c r="X74" i="17" s="1"/>
  <c r="B74" i="17"/>
  <c r="W74" i="17" s="1"/>
  <c r="V86" i="17"/>
  <c r="C86" i="17"/>
  <c r="X86" i="17" s="1"/>
  <c r="B108" i="17"/>
  <c r="W108" i="17" s="1"/>
  <c r="B115" i="17"/>
  <c r="W115" i="17" s="1"/>
  <c r="B123" i="17"/>
  <c r="W123" i="17" s="1"/>
  <c r="B129" i="17"/>
  <c r="W129" i="17" s="1"/>
  <c r="B135" i="17"/>
  <c r="W135" i="17" s="1"/>
  <c r="B143" i="17"/>
  <c r="W143" i="17" s="1"/>
  <c r="B149" i="17"/>
  <c r="W149" i="17" s="1"/>
  <c r="B153" i="17"/>
  <c r="W153" i="17" s="1"/>
  <c r="B157" i="17"/>
  <c r="W157" i="17" s="1"/>
  <c r="B171" i="17"/>
  <c r="W171" i="17" s="1"/>
  <c r="B179" i="17"/>
  <c r="W179" i="17" s="1"/>
  <c r="B196" i="17"/>
  <c r="W196" i="17" s="1"/>
  <c r="C198" i="17"/>
  <c r="X198" i="17" s="1"/>
  <c r="V198" i="17"/>
  <c r="C204" i="17"/>
  <c r="X204" i="17" s="1"/>
  <c r="B204" i="17"/>
  <c r="W204" i="17" s="1"/>
  <c r="C239" i="17"/>
  <c r="X239" i="17" s="1"/>
  <c r="B239" i="17"/>
  <c r="W239" i="17" s="1"/>
  <c r="V239" i="17"/>
  <c r="C108" i="17"/>
  <c r="X108" i="17" s="1"/>
  <c r="C115" i="17"/>
  <c r="X115" i="17" s="1"/>
  <c r="C123" i="17"/>
  <c r="X123" i="17" s="1"/>
  <c r="C129" i="17"/>
  <c r="X129" i="17" s="1"/>
  <c r="C135" i="17"/>
  <c r="X135" i="17" s="1"/>
  <c r="C143" i="17"/>
  <c r="X143" i="17" s="1"/>
  <c r="C149" i="17"/>
  <c r="C153" i="17"/>
  <c r="X153" i="17" s="1"/>
  <c r="C157" i="17"/>
  <c r="C171" i="17"/>
  <c r="X171" i="17" s="1"/>
  <c r="C179" i="17"/>
  <c r="X179" i="17" s="1"/>
  <c r="V190" i="17"/>
  <c r="C196" i="17"/>
  <c r="V204" i="17"/>
  <c r="V212" i="17"/>
  <c r="C212" i="17"/>
  <c r="X212" i="17" s="1"/>
  <c r="B212" i="17"/>
  <c r="W212" i="17" s="1"/>
  <c r="V223" i="17"/>
  <c r="C223" i="17"/>
  <c r="X223" i="17" s="1"/>
  <c r="B223" i="17"/>
  <c r="W223" i="17" s="1"/>
  <c r="V231" i="17"/>
  <c r="C231" i="17"/>
  <c r="X231" i="17" s="1"/>
  <c r="B231" i="17"/>
  <c r="W231" i="17" s="1"/>
  <c r="V245" i="17"/>
  <c r="C245" i="17"/>
  <c r="X245" i="17" s="1"/>
  <c r="B245" i="17"/>
  <c r="W245" i="17" s="1"/>
  <c r="B71" i="17"/>
  <c r="W71" i="17" s="1"/>
  <c r="B79" i="17"/>
  <c r="W79" i="17" s="1"/>
  <c r="B87" i="17"/>
  <c r="W87" i="17" s="1"/>
  <c r="C94" i="17"/>
  <c r="X94" i="17" s="1"/>
  <c r="B95" i="17"/>
  <c r="W95" i="17" s="1"/>
  <c r="C102" i="17"/>
  <c r="X102" i="17" s="1"/>
  <c r="B103" i="17"/>
  <c r="W103" i="17" s="1"/>
  <c r="C110" i="17"/>
  <c r="X110" i="17" s="1"/>
  <c r="C117" i="17"/>
  <c r="X117" i="17" s="1"/>
  <c r="B118" i="17"/>
  <c r="W118" i="17" s="1"/>
  <c r="B130" i="17"/>
  <c r="W130" i="17" s="1"/>
  <c r="C137" i="17"/>
  <c r="X137" i="17" s="1"/>
  <c r="B138" i="17"/>
  <c r="W138" i="17" s="1"/>
  <c r="C145" i="17"/>
  <c r="X145" i="17" s="1"/>
  <c r="B146" i="17"/>
  <c r="W146" i="17" s="1"/>
  <c r="C147" i="17"/>
  <c r="C155" i="17"/>
  <c r="B162" i="17"/>
  <c r="W162" i="17" s="1"/>
  <c r="C163" i="17"/>
  <c r="C165" i="17"/>
  <c r="X165" i="17" s="1"/>
  <c r="B166" i="17"/>
  <c r="W166" i="17" s="1"/>
  <c r="C173" i="17"/>
  <c r="X173" i="17" s="1"/>
  <c r="B174" i="17"/>
  <c r="W174" i="17" s="1"/>
  <c r="C181" i="17"/>
  <c r="X181" i="17" s="1"/>
  <c r="B182" i="17"/>
  <c r="W182" i="17" s="1"/>
  <c r="C187" i="17"/>
  <c r="V189" i="17"/>
  <c r="B192" i="17"/>
  <c r="W192" i="17" s="1"/>
  <c r="B195" i="17"/>
  <c r="W195" i="17" s="1"/>
  <c r="B199" i="17"/>
  <c r="W199" i="17" s="1"/>
  <c r="V199" i="17"/>
  <c r="C206" i="17"/>
  <c r="X206" i="17" s="1"/>
  <c r="V206" i="17"/>
  <c r="V192" i="17"/>
  <c r="B197" i="17"/>
  <c r="W197" i="17" s="1"/>
  <c r="V197" i="17"/>
  <c r="B82" i="17"/>
  <c r="W82" i="17" s="1"/>
  <c r="B90" i="17"/>
  <c r="W90" i="17" s="1"/>
  <c r="B98" i="17"/>
  <c r="W98" i="17" s="1"/>
  <c r="B106" i="17"/>
  <c r="W106" i="17" s="1"/>
  <c r="B113" i="17"/>
  <c r="W113" i="17" s="1"/>
  <c r="B121" i="17"/>
  <c r="W121" i="17" s="1"/>
  <c r="B127" i="17"/>
  <c r="W127" i="17" s="1"/>
  <c r="B133" i="17"/>
  <c r="W133" i="17" s="1"/>
  <c r="B141" i="17"/>
  <c r="W141" i="17" s="1"/>
  <c r="B151" i="17"/>
  <c r="W151" i="17" s="1"/>
  <c r="B159" i="17"/>
  <c r="W159" i="17" s="1"/>
  <c r="B169" i="17"/>
  <c r="W169" i="17" s="1"/>
  <c r="B177" i="17"/>
  <c r="W177" i="17" s="1"/>
  <c r="B185" i="17"/>
  <c r="W185" i="17" s="1"/>
  <c r="C185" i="17"/>
  <c r="B198" i="17"/>
  <c r="W198" i="17" s="1"/>
  <c r="V219" i="17"/>
  <c r="C219" i="17"/>
  <c r="X219" i="17" s="1"/>
  <c r="B219" i="17"/>
  <c r="W219" i="17" s="1"/>
  <c r="V225" i="17"/>
  <c r="V233" i="17"/>
  <c r="C236" i="17"/>
  <c r="X236" i="17" s="1"/>
  <c r="C242" i="17"/>
  <c r="X242" i="17" s="1"/>
  <c r="V247" i="17"/>
  <c r="C250" i="17"/>
  <c r="X250" i="17" s="1"/>
  <c r="V255" i="17"/>
  <c r="C258" i="17"/>
  <c r="X258" i="17" s="1"/>
  <c r="V263" i="17"/>
  <c r="C266" i="17"/>
  <c r="X266" i="17" s="1"/>
  <c r="V271" i="17"/>
  <c r="V272" i="17"/>
  <c r="V273" i="17"/>
  <c r="B280" i="17"/>
  <c r="W280" i="17" s="1"/>
  <c r="V207" i="17"/>
  <c r="V214" i="17"/>
  <c r="V226" i="17"/>
  <c r="V234" i="17"/>
  <c r="V240" i="17"/>
  <c r="V248" i="17"/>
  <c r="V256" i="17"/>
  <c r="V264" i="17"/>
  <c r="C211" i="17"/>
  <c r="X211" i="17" s="1"/>
  <c r="C218" i="17"/>
  <c r="X218" i="17" s="1"/>
  <c r="C230" i="17"/>
  <c r="X230" i="17" s="1"/>
  <c r="C238" i="17"/>
  <c r="X238" i="17" s="1"/>
  <c r="C252" i="17"/>
  <c r="X252" i="17" s="1"/>
  <c r="B253" i="17"/>
  <c r="W253" i="17" s="1"/>
  <c r="C260" i="17"/>
  <c r="X260" i="17" s="1"/>
  <c r="B261" i="17"/>
  <c r="W261" i="17" s="1"/>
  <c r="C268" i="17"/>
  <c r="X268" i="17" s="1"/>
  <c r="B269" i="17"/>
  <c r="W269" i="17" s="1"/>
  <c r="C278" i="17"/>
  <c r="X278" i="17" s="1"/>
  <c r="V280" i="17"/>
  <c r="C253" i="17"/>
  <c r="X253" i="17" s="1"/>
  <c r="C261" i="17"/>
  <c r="X261" i="17" s="1"/>
  <c r="C269" i="17"/>
  <c r="X269" i="17" s="1"/>
  <c r="B286" i="17"/>
  <c r="W286" i="17" s="1"/>
  <c r="V286" i="17"/>
  <c r="V277" i="17"/>
  <c r="C277" i="17"/>
  <c r="X277" i="17" s="1"/>
  <c r="B222" i="17"/>
  <c r="W222" i="17" s="1"/>
  <c r="B272" i="17"/>
  <c r="W272" i="17" s="1"/>
  <c r="C273" i="17"/>
  <c r="X273" i="17" s="1"/>
  <c r="B274" i="17"/>
  <c r="W274" i="17" s="1"/>
  <c r="C275" i="17"/>
  <c r="X275" i="17" s="1"/>
  <c r="V293" i="17"/>
  <c r="C293" i="17"/>
  <c r="X293" i="17" s="1"/>
  <c r="B293" i="17"/>
  <c r="W293" i="17" s="1"/>
  <c r="V282" i="17"/>
  <c r="C282" i="17"/>
  <c r="X282" i="17" s="1"/>
  <c r="V285" i="17"/>
  <c r="C285" i="17"/>
  <c r="X285" i="17" s="1"/>
  <c r="B285" i="17"/>
  <c r="W285" i="17" s="1"/>
  <c r="V294" i="17"/>
  <c r="V302" i="17"/>
  <c r="V310" i="17"/>
  <c r="V318" i="17"/>
  <c r="V326" i="17"/>
  <c r="V334" i="17"/>
  <c r="V342" i="17"/>
  <c r="V350" i="17"/>
  <c r="V358" i="17"/>
  <c r="V366" i="17"/>
  <c r="V374" i="17"/>
  <c r="C290" i="17"/>
  <c r="X290" i="17" s="1"/>
  <c r="C298" i="17"/>
  <c r="X298" i="17" s="1"/>
  <c r="C306" i="17"/>
  <c r="X306" i="17" s="1"/>
  <c r="C314" i="17"/>
  <c r="X314" i="17" s="1"/>
  <c r="C322" i="17"/>
  <c r="X322" i="17" s="1"/>
  <c r="C330" i="17"/>
  <c r="X330" i="17" s="1"/>
  <c r="C338" i="17"/>
  <c r="X338" i="17" s="1"/>
  <c r="C346" i="17"/>
  <c r="X346" i="17" s="1"/>
  <c r="C354" i="17"/>
  <c r="X354" i="17" s="1"/>
  <c r="C362" i="17"/>
  <c r="X362" i="17" s="1"/>
  <c r="C370" i="17"/>
  <c r="X370" i="17" s="1"/>
  <c r="C378" i="17"/>
  <c r="X378" i="17" s="1"/>
  <c r="V391" i="17"/>
  <c r="C391" i="17"/>
  <c r="X391" i="17" s="1"/>
  <c r="B391" i="17"/>
  <c r="W391" i="17" s="1"/>
  <c r="V288" i="17"/>
  <c r="V296" i="17"/>
  <c r="V304" i="17"/>
  <c r="V312" i="17"/>
  <c r="V320" i="17"/>
  <c r="V328" i="17"/>
  <c r="V336" i="17"/>
  <c r="V344" i="17"/>
  <c r="V352" i="17"/>
  <c r="V360" i="17"/>
  <c r="V368" i="17"/>
  <c r="V376" i="17"/>
  <c r="V384" i="17"/>
  <c r="V385" i="17"/>
  <c r="V386" i="17"/>
  <c r="C398" i="17"/>
  <c r="X398" i="17" s="1"/>
  <c r="B398" i="17"/>
  <c r="W398" i="17" s="1"/>
  <c r="V398" i="17"/>
  <c r="C414" i="17"/>
  <c r="X414" i="17" s="1"/>
  <c r="B414" i="17"/>
  <c r="W414" i="17" s="1"/>
  <c r="V414" i="17"/>
  <c r="B301" i="17"/>
  <c r="W301" i="17" s="1"/>
  <c r="B309" i="17"/>
  <c r="W309" i="17" s="1"/>
  <c r="V313" i="17"/>
  <c r="B317" i="17"/>
  <c r="W317" i="17" s="1"/>
  <c r="V321" i="17"/>
  <c r="B325" i="17"/>
  <c r="W325" i="17" s="1"/>
  <c r="V329" i="17"/>
  <c r="B333" i="17"/>
  <c r="W333" i="17" s="1"/>
  <c r="V337" i="17"/>
  <c r="B341" i="17"/>
  <c r="W341" i="17" s="1"/>
  <c r="V345" i="17"/>
  <c r="B349" i="17"/>
  <c r="W349" i="17" s="1"/>
  <c r="V353" i="17"/>
  <c r="B357" i="17"/>
  <c r="W357" i="17" s="1"/>
  <c r="V361" i="17"/>
  <c r="B365" i="17"/>
  <c r="W365" i="17" s="1"/>
  <c r="V369" i="17"/>
  <c r="B373" i="17"/>
  <c r="W373" i="17" s="1"/>
  <c r="V377" i="17"/>
  <c r="C301" i="17"/>
  <c r="X301" i="17" s="1"/>
  <c r="C309" i="17"/>
  <c r="X309" i="17" s="1"/>
  <c r="C317" i="17"/>
  <c r="X317" i="17" s="1"/>
  <c r="C325" i="17"/>
  <c r="X325" i="17" s="1"/>
  <c r="C333" i="17"/>
  <c r="X333" i="17" s="1"/>
  <c r="C341" i="17"/>
  <c r="X341" i="17" s="1"/>
  <c r="C349" i="17"/>
  <c r="X349" i="17" s="1"/>
  <c r="B350" i="17"/>
  <c r="W350" i="17" s="1"/>
  <c r="C357" i="17"/>
  <c r="X357" i="17" s="1"/>
  <c r="B358" i="17"/>
  <c r="W358" i="17" s="1"/>
  <c r="C365" i="17"/>
  <c r="X365" i="17" s="1"/>
  <c r="B366" i="17"/>
  <c r="W366" i="17" s="1"/>
  <c r="C373" i="17"/>
  <c r="X373" i="17" s="1"/>
  <c r="B374" i="17"/>
  <c r="W374" i="17" s="1"/>
  <c r="V392" i="17"/>
  <c r="C392" i="17"/>
  <c r="X392" i="17" s="1"/>
  <c r="C406" i="17"/>
  <c r="X406" i="17" s="1"/>
  <c r="B406" i="17"/>
  <c r="W406" i="17" s="1"/>
  <c r="V406" i="17"/>
  <c r="B387" i="17"/>
  <c r="W387" i="17" s="1"/>
  <c r="V387" i="17"/>
  <c r="C533" i="17"/>
  <c r="X533" i="17" s="1"/>
  <c r="B533" i="17"/>
  <c r="W533" i="17" s="1"/>
  <c r="V533" i="17"/>
  <c r="C400" i="17"/>
  <c r="X400" i="17" s="1"/>
  <c r="C408" i="17"/>
  <c r="X408" i="17" s="1"/>
  <c r="C416" i="17"/>
  <c r="X416" i="17" s="1"/>
  <c r="C424" i="17"/>
  <c r="X424" i="17" s="1"/>
  <c r="C432" i="17"/>
  <c r="X432" i="17" s="1"/>
  <c r="C440" i="17"/>
  <c r="X440" i="17" s="1"/>
  <c r="C448" i="17"/>
  <c r="X448" i="17" s="1"/>
  <c r="C456" i="17"/>
  <c r="X456" i="17" s="1"/>
  <c r="V466" i="17"/>
  <c r="C466" i="17"/>
  <c r="X466" i="17" s="1"/>
  <c r="V471" i="17"/>
  <c r="C471" i="17"/>
  <c r="X471" i="17" s="1"/>
  <c r="V488" i="17"/>
  <c r="C488" i="17"/>
  <c r="X488" i="17" s="1"/>
  <c r="B488" i="17"/>
  <c r="W488" i="17" s="1"/>
  <c r="V496" i="17"/>
  <c r="C496" i="17"/>
  <c r="X496" i="17" s="1"/>
  <c r="B496" i="17"/>
  <c r="W496" i="17" s="1"/>
  <c r="C509" i="17"/>
  <c r="X509" i="17" s="1"/>
  <c r="B509" i="17"/>
  <c r="W509" i="17" s="1"/>
  <c r="V509" i="17"/>
  <c r="V422" i="17"/>
  <c r="V430" i="17"/>
  <c r="V438" i="17"/>
  <c r="V446" i="17"/>
  <c r="V454" i="17"/>
  <c r="B395" i="17"/>
  <c r="W395" i="17" s="1"/>
  <c r="V399" i="17"/>
  <c r="B403" i="17"/>
  <c r="W403" i="17" s="1"/>
  <c r="V407" i="17"/>
  <c r="B411" i="17"/>
  <c r="W411" i="17" s="1"/>
  <c r="V415" i="17"/>
  <c r="B419" i="17"/>
  <c r="W419" i="17" s="1"/>
  <c r="V423" i="17"/>
  <c r="B427" i="17"/>
  <c r="W427" i="17" s="1"/>
  <c r="V431" i="17"/>
  <c r="B435" i="17"/>
  <c r="W435" i="17" s="1"/>
  <c r="V439" i="17"/>
  <c r="B443" i="17"/>
  <c r="W443" i="17" s="1"/>
  <c r="V447" i="17"/>
  <c r="B451" i="17"/>
  <c r="W451" i="17" s="1"/>
  <c r="V455" i="17"/>
  <c r="C458" i="17"/>
  <c r="X458" i="17" s="1"/>
  <c r="B461" i="17"/>
  <c r="W461" i="17" s="1"/>
  <c r="C462" i="17"/>
  <c r="X462" i="17" s="1"/>
  <c r="C463" i="17"/>
  <c r="X463" i="17" s="1"/>
  <c r="V480" i="17"/>
  <c r="C480" i="17"/>
  <c r="X480" i="17" s="1"/>
  <c r="B480" i="17"/>
  <c r="W480" i="17" s="1"/>
  <c r="C493" i="17"/>
  <c r="X493" i="17" s="1"/>
  <c r="B493" i="17"/>
  <c r="W493" i="17" s="1"/>
  <c r="V493" i="17"/>
  <c r="C501" i="17"/>
  <c r="X501" i="17" s="1"/>
  <c r="B501" i="17"/>
  <c r="W501" i="17" s="1"/>
  <c r="V501" i="17"/>
  <c r="C525" i="17"/>
  <c r="X525" i="17" s="1"/>
  <c r="B525" i="17"/>
  <c r="W525" i="17" s="1"/>
  <c r="V525" i="17"/>
  <c r="C395" i="17"/>
  <c r="X395" i="17" s="1"/>
  <c r="B396" i="17"/>
  <c r="W396" i="17" s="1"/>
  <c r="C403" i="17"/>
  <c r="X403" i="17" s="1"/>
  <c r="B404" i="17"/>
  <c r="W404" i="17" s="1"/>
  <c r="C411" i="17"/>
  <c r="X411" i="17" s="1"/>
  <c r="B412" i="17"/>
  <c r="W412" i="17" s="1"/>
  <c r="C419" i="17"/>
  <c r="X419" i="17" s="1"/>
  <c r="B420" i="17"/>
  <c r="W420" i="17" s="1"/>
  <c r="C427" i="17"/>
  <c r="X427" i="17" s="1"/>
  <c r="B428" i="17"/>
  <c r="W428" i="17" s="1"/>
  <c r="C435" i="17"/>
  <c r="X435" i="17" s="1"/>
  <c r="B436" i="17"/>
  <c r="W436" i="17" s="1"/>
  <c r="C443" i="17"/>
  <c r="X443" i="17" s="1"/>
  <c r="B444" i="17"/>
  <c r="W444" i="17" s="1"/>
  <c r="C451" i="17"/>
  <c r="X451" i="17" s="1"/>
  <c r="B452" i="17"/>
  <c r="W452" i="17" s="1"/>
  <c r="V538" i="17"/>
  <c r="C538" i="17"/>
  <c r="X538" i="17" s="1"/>
  <c r="B538" i="17"/>
  <c r="W538" i="17" s="1"/>
  <c r="V472" i="17"/>
  <c r="C472" i="17"/>
  <c r="X472" i="17" s="1"/>
  <c r="B472" i="17"/>
  <c r="W472" i="17" s="1"/>
  <c r="C485" i="17"/>
  <c r="X485" i="17" s="1"/>
  <c r="B485" i="17"/>
  <c r="W485" i="17" s="1"/>
  <c r="V485" i="17"/>
  <c r="B422" i="17"/>
  <c r="W422" i="17" s="1"/>
  <c r="B430" i="17"/>
  <c r="W430" i="17" s="1"/>
  <c r="B438" i="17"/>
  <c r="W438" i="17" s="1"/>
  <c r="B446" i="17"/>
  <c r="W446" i="17" s="1"/>
  <c r="B454" i="17"/>
  <c r="W454" i="17" s="1"/>
  <c r="C517" i="17"/>
  <c r="X517" i="17" s="1"/>
  <c r="B517" i="17"/>
  <c r="W517" i="17" s="1"/>
  <c r="V517" i="17"/>
  <c r="C467" i="17"/>
  <c r="X467" i="17" s="1"/>
  <c r="B467" i="17"/>
  <c r="W467" i="17" s="1"/>
  <c r="V469" i="17"/>
  <c r="C477" i="17"/>
  <c r="X477" i="17" s="1"/>
  <c r="B477" i="17"/>
  <c r="W477" i="17" s="1"/>
  <c r="V477" i="17"/>
  <c r="B587" i="17"/>
  <c r="W587" i="17" s="1"/>
  <c r="V587" i="17"/>
  <c r="C479" i="17"/>
  <c r="X479" i="17" s="1"/>
  <c r="C487" i="17"/>
  <c r="X487" i="17" s="1"/>
  <c r="B504" i="17"/>
  <c r="W504" i="17" s="1"/>
  <c r="B512" i="17"/>
  <c r="W512" i="17" s="1"/>
  <c r="B520" i="17"/>
  <c r="W520" i="17" s="1"/>
  <c r="B528" i="17"/>
  <c r="W528" i="17" s="1"/>
  <c r="V547" i="17"/>
  <c r="C504" i="17"/>
  <c r="X504" i="17" s="1"/>
  <c r="C512" i="17"/>
  <c r="X512" i="17" s="1"/>
  <c r="C520" i="17"/>
  <c r="X520" i="17" s="1"/>
  <c r="C528" i="17"/>
  <c r="X528" i="17" s="1"/>
  <c r="B541" i="17"/>
  <c r="W541" i="17" s="1"/>
  <c r="B563" i="17"/>
  <c r="W563" i="17" s="1"/>
  <c r="V563" i="17"/>
  <c r="B571" i="17"/>
  <c r="W571" i="17" s="1"/>
  <c r="V571" i="17"/>
  <c r="B579" i="17"/>
  <c r="W579" i="17" s="1"/>
  <c r="V579" i="17"/>
  <c r="B595" i="17"/>
  <c r="W595" i="17" s="1"/>
  <c r="V595" i="17"/>
  <c r="C595" i="17"/>
  <c r="X595" i="17" s="1"/>
  <c r="C546" i="17"/>
  <c r="X546" i="17" s="1"/>
  <c r="V546" i="17"/>
  <c r="V549" i="17"/>
  <c r="C549" i="17"/>
  <c r="X549" i="17" s="1"/>
  <c r="B555" i="17"/>
  <c r="W555" i="17" s="1"/>
  <c r="V555" i="17"/>
  <c r="B615" i="17"/>
  <c r="W615" i="17" s="1"/>
  <c r="V615" i="17"/>
  <c r="C615" i="17"/>
  <c r="X615" i="17" s="1"/>
  <c r="V634" i="17"/>
  <c r="B634" i="17"/>
  <c r="W634" i="17" s="1"/>
  <c r="C634" i="17"/>
  <c r="X634" i="17" s="1"/>
  <c r="C474" i="17"/>
  <c r="X474" i="17" s="1"/>
  <c r="B475" i="17"/>
  <c r="W475" i="17" s="1"/>
  <c r="C482" i="17"/>
  <c r="X482" i="17" s="1"/>
  <c r="B483" i="17"/>
  <c r="W483" i="17" s="1"/>
  <c r="C490" i="17"/>
  <c r="X490" i="17" s="1"/>
  <c r="B491" i="17"/>
  <c r="W491" i="17" s="1"/>
  <c r="C498" i="17"/>
  <c r="X498" i="17" s="1"/>
  <c r="B499" i="17"/>
  <c r="W499" i="17" s="1"/>
  <c r="C506" i="17"/>
  <c r="X506" i="17" s="1"/>
  <c r="B507" i="17"/>
  <c r="W507" i="17" s="1"/>
  <c r="C514" i="17"/>
  <c r="X514" i="17" s="1"/>
  <c r="B515" i="17"/>
  <c r="W515" i="17" s="1"/>
  <c r="C522" i="17"/>
  <c r="X522" i="17" s="1"/>
  <c r="B523" i="17"/>
  <c r="W523" i="17" s="1"/>
  <c r="C530" i="17"/>
  <c r="X530" i="17" s="1"/>
  <c r="B531" i="17"/>
  <c r="W531" i="17" s="1"/>
  <c r="V541" i="17"/>
  <c r="C586" i="17"/>
  <c r="X586" i="17" s="1"/>
  <c r="B586" i="17"/>
  <c r="W586" i="17" s="1"/>
  <c r="V586" i="17"/>
  <c r="C539" i="17"/>
  <c r="X539" i="17" s="1"/>
  <c r="C544" i="17"/>
  <c r="X544" i="17" s="1"/>
  <c r="B544" i="17"/>
  <c r="W544" i="17" s="1"/>
  <c r="C562" i="17"/>
  <c r="X562" i="17" s="1"/>
  <c r="B562" i="17"/>
  <c r="W562" i="17" s="1"/>
  <c r="V562" i="17"/>
  <c r="C570" i="17"/>
  <c r="X570" i="17" s="1"/>
  <c r="B570" i="17"/>
  <c r="W570" i="17" s="1"/>
  <c r="V570" i="17"/>
  <c r="C578" i="17"/>
  <c r="X578" i="17" s="1"/>
  <c r="B578" i="17"/>
  <c r="W578" i="17" s="1"/>
  <c r="V578" i="17"/>
  <c r="V670" i="17"/>
  <c r="C670" i="17"/>
  <c r="X670" i="17" s="1"/>
  <c r="B670" i="17"/>
  <c r="W670" i="17" s="1"/>
  <c r="V539" i="17"/>
  <c r="V544" i="17"/>
  <c r="C547" i="17"/>
  <c r="X547" i="17" s="1"/>
  <c r="C554" i="17"/>
  <c r="X554" i="17" s="1"/>
  <c r="B554" i="17"/>
  <c r="W554" i="17" s="1"/>
  <c r="V554" i="17"/>
  <c r="C587" i="17"/>
  <c r="X587" i="17" s="1"/>
  <c r="V702" i="17"/>
  <c r="C702" i="17"/>
  <c r="X702" i="17" s="1"/>
  <c r="B702" i="17"/>
  <c r="W702" i="17" s="1"/>
  <c r="C657" i="17"/>
  <c r="X657" i="17" s="1"/>
  <c r="B657" i="17"/>
  <c r="W657" i="17" s="1"/>
  <c r="V657" i="17"/>
  <c r="V678" i="17"/>
  <c r="C678" i="17"/>
  <c r="X678" i="17" s="1"/>
  <c r="B678" i="17"/>
  <c r="W678" i="17" s="1"/>
  <c r="C697" i="17"/>
  <c r="X697" i="17" s="1"/>
  <c r="B697" i="17"/>
  <c r="W697" i="17" s="1"/>
  <c r="V697" i="17"/>
  <c r="C557" i="17"/>
  <c r="X557" i="17" s="1"/>
  <c r="C565" i="17"/>
  <c r="X565" i="17" s="1"/>
  <c r="C573" i="17"/>
  <c r="X573" i="17" s="1"/>
  <c r="C581" i="17"/>
  <c r="X581" i="17" s="1"/>
  <c r="C589" i="17"/>
  <c r="X589" i="17" s="1"/>
  <c r="B590" i="17"/>
  <c r="W590" i="17" s="1"/>
  <c r="V594" i="17"/>
  <c r="C609" i="17"/>
  <c r="X609" i="17" s="1"/>
  <c r="B610" i="17"/>
  <c r="W610" i="17" s="1"/>
  <c r="V614" i="17"/>
  <c r="C617" i="17"/>
  <c r="X617" i="17" s="1"/>
  <c r="B618" i="17"/>
  <c r="W618" i="17" s="1"/>
  <c r="C631" i="17"/>
  <c r="X631" i="17" s="1"/>
  <c r="C632" i="17"/>
  <c r="X632" i="17" s="1"/>
  <c r="C649" i="17"/>
  <c r="X649" i="17" s="1"/>
  <c r="B649" i="17"/>
  <c r="W649" i="17" s="1"/>
  <c r="V649" i="17"/>
  <c r="V662" i="17"/>
  <c r="C662" i="17"/>
  <c r="X662" i="17" s="1"/>
  <c r="B662" i="17"/>
  <c r="W662" i="17" s="1"/>
  <c r="C630" i="17"/>
  <c r="X630" i="17" s="1"/>
  <c r="B630" i="17"/>
  <c r="W630" i="17" s="1"/>
  <c r="C641" i="17"/>
  <c r="X641" i="17" s="1"/>
  <c r="B641" i="17"/>
  <c r="W641" i="17" s="1"/>
  <c r="V641" i="17"/>
  <c r="V654" i="17"/>
  <c r="C654" i="17"/>
  <c r="X654" i="17" s="1"/>
  <c r="B654" i="17"/>
  <c r="W654" i="17" s="1"/>
  <c r="C689" i="17"/>
  <c r="X689" i="17" s="1"/>
  <c r="B689" i="17"/>
  <c r="W689" i="17" s="1"/>
  <c r="V689" i="17"/>
  <c r="V710" i="17"/>
  <c r="C710" i="17"/>
  <c r="X710" i="17" s="1"/>
  <c r="B710" i="17"/>
  <c r="W710" i="17" s="1"/>
  <c r="C543" i="17"/>
  <c r="X543" i="17" s="1"/>
  <c r="C551" i="17"/>
  <c r="X551" i="17" s="1"/>
  <c r="B552" i="17"/>
  <c r="W552" i="17" s="1"/>
  <c r="C559" i="17"/>
  <c r="X559" i="17" s="1"/>
  <c r="B560" i="17"/>
  <c r="W560" i="17" s="1"/>
  <c r="C567" i="17"/>
  <c r="X567" i="17" s="1"/>
  <c r="B568" i="17"/>
  <c r="W568" i="17" s="1"/>
  <c r="C575" i="17"/>
  <c r="X575" i="17" s="1"/>
  <c r="B576" i="17"/>
  <c r="W576" i="17" s="1"/>
  <c r="C583" i="17"/>
  <c r="X583" i="17" s="1"/>
  <c r="B584" i="17"/>
  <c r="W584" i="17" s="1"/>
  <c r="C591" i="17"/>
  <c r="X591" i="17" s="1"/>
  <c r="C611" i="17"/>
  <c r="X611" i="17" s="1"/>
  <c r="C619" i="17"/>
  <c r="X619" i="17" s="1"/>
  <c r="C620" i="17"/>
  <c r="X620" i="17" s="1"/>
  <c r="B622" i="17"/>
  <c r="W622" i="17" s="1"/>
  <c r="C623" i="17"/>
  <c r="X623" i="17" s="1"/>
  <c r="C627" i="17"/>
  <c r="X627" i="17" s="1"/>
  <c r="V638" i="17"/>
  <c r="C638" i="17"/>
  <c r="X638" i="17" s="1"/>
  <c r="B638" i="17"/>
  <c r="W638" i="17" s="1"/>
  <c r="V694" i="17"/>
  <c r="C694" i="17"/>
  <c r="X694" i="17" s="1"/>
  <c r="B694" i="17"/>
  <c r="W694" i="17" s="1"/>
  <c r="B593" i="17"/>
  <c r="W593" i="17" s="1"/>
  <c r="B613" i="17"/>
  <c r="W613" i="17" s="1"/>
  <c r="V630" i="17"/>
  <c r="V631" i="17"/>
  <c r="V646" i="17"/>
  <c r="C646" i="17"/>
  <c r="X646" i="17" s="1"/>
  <c r="B646" i="17"/>
  <c r="W646" i="17" s="1"/>
  <c r="C681" i="17"/>
  <c r="X681" i="17" s="1"/>
  <c r="B681" i="17"/>
  <c r="W681" i="17" s="1"/>
  <c r="V681" i="17"/>
  <c r="C705" i="17"/>
  <c r="X705" i="17" s="1"/>
  <c r="B705" i="17"/>
  <c r="W705" i="17" s="1"/>
  <c r="V705" i="17"/>
  <c r="B594" i="17"/>
  <c r="W594" i="17" s="1"/>
  <c r="B614" i="17"/>
  <c r="W614" i="17" s="1"/>
  <c r="B635" i="17"/>
  <c r="W635" i="17" s="1"/>
  <c r="C673" i="17"/>
  <c r="X673" i="17" s="1"/>
  <c r="B673" i="17"/>
  <c r="W673" i="17" s="1"/>
  <c r="V673" i="17"/>
  <c r="V622" i="17"/>
  <c r="V623" i="17"/>
  <c r="C635" i="17"/>
  <c r="X635" i="17" s="1"/>
  <c r="C665" i="17"/>
  <c r="X665" i="17" s="1"/>
  <c r="B665" i="17"/>
  <c r="W665" i="17" s="1"/>
  <c r="V665" i="17"/>
  <c r="V686" i="17"/>
  <c r="C686" i="17"/>
  <c r="X686" i="17" s="1"/>
  <c r="B686" i="17"/>
  <c r="W686" i="17" s="1"/>
  <c r="C713" i="17"/>
  <c r="X713" i="17" s="1"/>
  <c r="B713" i="17"/>
  <c r="W713" i="17" s="1"/>
  <c r="V713" i="17"/>
  <c r="C675" i="17"/>
  <c r="X675" i="17" s="1"/>
  <c r="C683" i="17"/>
  <c r="X683" i="17" s="1"/>
  <c r="C691" i="17"/>
  <c r="X691" i="17" s="1"/>
  <c r="C699" i="17"/>
  <c r="X699" i="17" s="1"/>
  <c r="C707" i="17"/>
  <c r="X707" i="17" s="1"/>
  <c r="C715" i="17"/>
  <c r="X715" i="17" s="1"/>
  <c r="V642" i="17"/>
  <c r="V650" i="17"/>
  <c r="V658" i="17"/>
  <c r="V666" i="17"/>
  <c r="V674" i="17"/>
  <c r="V682" i="17"/>
  <c r="V690" i="17"/>
  <c r="V698" i="17"/>
  <c r="V706" i="17"/>
  <c r="C709" i="17"/>
  <c r="X709" i="17" s="1"/>
  <c r="V714" i="17"/>
  <c r="E33" i="20"/>
  <c r="E64" i="20"/>
  <c r="E69" i="20"/>
  <c r="C70" i="20"/>
  <c r="E17" i="20"/>
  <c r="E57" i="20"/>
  <c r="E56" i="20"/>
  <c r="E59" i="20"/>
  <c r="E58" i="20"/>
  <c r="C69" i="20"/>
  <c r="E46" i="20"/>
  <c r="C46" i="20"/>
  <c r="V117" i="22" l="1"/>
  <c r="C59" i="20"/>
  <c r="C57" i="20"/>
  <c r="C56" i="20"/>
  <c r="C58" i="20"/>
  <c r="C17" i="20"/>
  <c r="C64" i="20"/>
  <c r="E65" i="20"/>
  <c r="C65" i="20"/>
  <c r="E66" i="20"/>
  <c r="C66" i="20"/>
  <c r="E68" i="20"/>
  <c r="C68" i="20"/>
  <c r="E67" i="20"/>
  <c r="C67" i="20"/>
  <c r="E62" i="20"/>
  <c r="C62" i="20"/>
  <c r="E63" i="20"/>
  <c r="C63" i="20"/>
  <c r="E60" i="20"/>
  <c r="C60" i="20"/>
  <c r="E37" i="20"/>
  <c r="C37" i="20"/>
  <c r="E28" i="20"/>
  <c r="C28" i="20"/>
  <c r="E45" i="20"/>
  <c r="C45" i="20"/>
  <c r="E49" i="20"/>
  <c r="C49" i="20"/>
  <c r="E42" i="20"/>
  <c r="C42" i="20"/>
  <c r="E51" i="20"/>
  <c r="C51" i="20"/>
  <c r="C36" i="20"/>
  <c r="E50" i="20"/>
  <c r="C50" i="20"/>
  <c r="E31" i="20"/>
  <c r="C31" i="20"/>
  <c r="E38" i="20"/>
  <c r="C38" i="20"/>
  <c r="E41" i="20"/>
  <c r="C41" i="20"/>
  <c r="E26" i="20"/>
  <c r="C26" i="20"/>
  <c r="E44" i="20"/>
  <c r="C44" i="20"/>
  <c r="E43" i="20"/>
  <c r="C43" i="20"/>
  <c r="E40" i="20"/>
  <c r="C40" i="20"/>
  <c r="E39" i="20"/>
  <c r="C39" i="20"/>
  <c r="E35" i="20"/>
  <c r="C35" i="20"/>
  <c r="C47" i="20"/>
  <c r="C21" i="20"/>
  <c r="C33" i="20"/>
  <c r="E30" i="20"/>
  <c r="C30" i="20"/>
  <c r="E29" i="20"/>
  <c r="C29" i="20"/>
  <c r="E27" i="20"/>
  <c r="C27" i="20"/>
  <c r="E25" i="20"/>
  <c r="C25" i="20"/>
  <c r="E24" i="20"/>
  <c r="C24" i="20"/>
  <c r="E23" i="20"/>
  <c r="C23" i="20"/>
  <c r="E19" i="20"/>
  <c r="C19" i="20"/>
  <c r="E18" i="20"/>
  <c r="C18" i="20"/>
  <c r="I910" i="19" l="1"/>
  <c r="I909" i="19"/>
  <c r="I908" i="19"/>
  <c r="I907" i="19"/>
  <c r="I906" i="19"/>
  <c r="I905" i="19"/>
  <c r="I904" i="19"/>
  <c r="I903" i="19"/>
  <c r="I902" i="19"/>
  <c r="I901" i="19"/>
  <c r="I900" i="19"/>
  <c r="I899" i="19"/>
  <c r="I898" i="19"/>
  <c r="I897" i="19"/>
  <c r="I896" i="19"/>
  <c r="I895" i="19"/>
  <c r="I894" i="19"/>
  <c r="I893" i="19"/>
  <c r="I892" i="19"/>
  <c r="I891" i="19"/>
  <c r="I890" i="19"/>
  <c r="I889" i="19"/>
  <c r="I888" i="19"/>
  <c r="I887" i="19"/>
  <c r="I886" i="19"/>
  <c r="I885" i="19"/>
  <c r="I884" i="19"/>
  <c r="I883" i="19"/>
  <c r="I882" i="19"/>
  <c r="I881" i="19"/>
  <c r="I880" i="19"/>
  <c r="I879" i="19"/>
  <c r="I878" i="19"/>
  <c r="I877" i="19"/>
  <c r="I876" i="19"/>
  <c r="I875" i="19"/>
  <c r="I874" i="19"/>
  <c r="I873" i="19"/>
  <c r="I872" i="19"/>
  <c r="I871" i="19"/>
  <c r="I870" i="19"/>
  <c r="I869" i="19"/>
  <c r="I868" i="19"/>
  <c r="I867" i="19"/>
  <c r="I866" i="19"/>
  <c r="I865" i="19"/>
  <c r="I864" i="19"/>
  <c r="I863" i="19"/>
  <c r="I862" i="19"/>
  <c r="I861" i="19"/>
  <c r="I860" i="19"/>
  <c r="I859" i="19"/>
  <c r="I858" i="19"/>
  <c r="I857" i="19"/>
  <c r="I856" i="19"/>
  <c r="I855" i="19"/>
  <c r="I854" i="19"/>
  <c r="I853" i="19"/>
  <c r="I852" i="19"/>
  <c r="I851" i="19"/>
  <c r="I850" i="19"/>
  <c r="I849" i="19"/>
  <c r="I848" i="19"/>
  <c r="I847" i="19"/>
  <c r="I846" i="19"/>
  <c r="I845" i="19"/>
  <c r="I844" i="19"/>
  <c r="I843" i="19"/>
  <c r="I842" i="19"/>
  <c r="I841" i="19"/>
  <c r="I840" i="19"/>
  <c r="I839" i="19"/>
  <c r="I838" i="19"/>
  <c r="I837" i="19"/>
  <c r="I836" i="19"/>
  <c r="I835" i="19"/>
  <c r="I834" i="19"/>
  <c r="I833" i="19"/>
  <c r="I832" i="19"/>
  <c r="I831" i="19"/>
  <c r="I830" i="19"/>
  <c r="I829" i="19"/>
  <c r="I828" i="19"/>
  <c r="I827" i="19"/>
  <c r="I826" i="19"/>
  <c r="I825" i="19"/>
  <c r="I824" i="19"/>
  <c r="I823" i="19"/>
  <c r="I822" i="19"/>
  <c r="I821" i="19"/>
  <c r="I820" i="19"/>
  <c r="I819" i="19"/>
  <c r="I818" i="19"/>
  <c r="I817" i="19"/>
  <c r="I816" i="19"/>
  <c r="I815" i="19"/>
  <c r="I814" i="19"/>
  <c r="I813" i="19"/>
  <c r="I812" i="19"/>
  <c r="I811" i="19"/>
  <c r="I810" i="19"/>
  <c r="I809" i="19"/>
  <c r="I808" i="19"/>
  <c r="I807" i="19"/>
  <c r="I806" i="19"/>
  <c r="I805" i="19"/>
  <c r="I804" i="19"/>
  <c r="I803" i="19"/>
  <c r="I802" i="19"/>
  <c r="I801" i="19"/>
  <c r="I800" i="19"/>
  <c r="I799" i="19"/>
  <c r="I798" i="19"/>
  <c r="I797" i="19"/>
  <c r="I796" i="19"/>
  <c r="I795" i="19"/>
  <c r="I794" i="19"/>
  <c r="I793" i="19"/>
  <c r="I792" i="19"/>
  <c r="I791" i="19"/>
  <c r="I790" i="19"/>
  <c r="I789" i="19"/>
  <c r="I788" i="19"/>
  <c r="I787" i="19"/>
  <c r="I786" i="19"/>
  <c r="I785" i="19"/>
  <c r="I784" i="19"/>
  <c r="I783" i="19"/>
  <c r="I782" i="19"/>
  <c r="I781" i="19"/>
  <c r="I780" i="19"/>
  <c r="I779" i="19"/>
  <c r="I778" i="19"/>
  <c r="I777" i="19"/>
  <c r="I776" i="19"/>
  <c r="I775" i="19"/>
  <c r="I774" i="19"/>
  <c r="I773" i="19"/>
  <c r="I772" i="19"/>
  <c r="I771" i="19"/>
  <c r="I770" i="19"/>
  <c r="I769" i="19"/>
  <c r="I768" i="19"/>
  <c r="I767" i="19"/>
  <c r="I766" i="19"/>
  <c r="I765" i="19"/>
  <c r="I764" i="19"/>
  <c r="I763" i="19"/>
  <c r="I762" i="19"/>
  <c r="I761" i="19"/>
  <c r="I760" i="19"/>
  <c r="I759" i="19"/>
  <c r="I758" i="19"/>
  <c r="I757" i="19"/>
  <c r="I756" i="19"/>
  <c r="I75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31" i="15" l="1"/>
  <c r="I43" i="14"/>
  <c r="F51" i="13"/>
  <c r="AN156" i="15" l="1"/>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N156" i="15"/>
  <c r="M156" i="15"/>
  <c r="L156" i="15"/>
  <c r="K156" i="15"/>
  <c r="J156"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N155" i="15"/>
  <c r="M155" i="15"/>
  <c r="L155" i="15"/>
  <c r="K155" i="15"/>
  <c r="J155"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N154" i="15"/>
  <c r="M154" i="15"/>
  <c r="L154" i="15"/>
  <c r="K154" i="15"/>
  <c r="J154"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N153" i="15"/>
  <c r="M153" i="15"/>
  <c r="L153" i="15"/>
  <c r="K153" i="15"/>
  <c r="J153"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N152" i="15"/>
  <c r="M152" i="15"/>
  <c r="L152" i="15"/>
  <c r="K152" i="15"/>
  <c r="J152"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N151" i="15"/>
  <c r="M151" i="15"/>
  <c r="L151" i="15"/>
  <c r="K151" i="15"/>
  <c r="J151"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N150" i="15"/>
  <c r="M150" i="15"/>
  <c r="L150" i="15"/>
  <c r="K150" i="15"/>
  <c r="J150"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N149" i="15"/>
  <c r="M149" i="15"/>
  <c r="L149" i="15"/>
  <c r="K149" i="15"/>
  <c r="J149"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N148" i="15"/>
  <c r="M148" i="15"/>
  <c r="L148" i="15"/>
  <c r="K148" i="15"/>
  <c r="J148"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N147" i="15"/>
  <c r="M147" i="15"/>
  <c r="L147" i="15"/>
  <c r="K147" i="15"/>
  <c r="J147"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N138" i="15"/>
  <c r="M138" i="15"/>
  <c r="L138" i="15"/>
  <c r="K138" i="15"/>
  <c r="J138"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N137" i="15"/>
  <c r="M137" i="15"/>
  <c r="L137" i="15"/>
  <c r="K137" i="15"/>
  <c r="J137" i="15"/>
  <c r="AN136" i="15"/>
  <c r="AM136" i="15"/>
  <c r="AL136" i="15"/>
  <c r="AK136" i="15"/>
  <c r="AJ136" i="15"/>
  <c r="AI136" i="15"/>
  <c r="AH136" i="15"/>
  <c r="AG136" i="15"/>
  <c r="AF136" i="15"/>
  <c r="AE136" i="15"/>
  <c r="AD136" i="15"/>
  <c r="AC136" i="15"/>
  <c r="AB136" i="15"/>
  <c r="AA136" i="15"/>
  <c r="Z136" i="15"/>
  <c r="Y136" i="15"/>
  <c r="X136" i="15"/>
  <c r="W136" i="15"/>
  <c r="V136" i="15"/>
  <c r="U136" i="15"/>
  <c r="T136" i="15"/>
  <c r="S136" i="15"/>
  <c r="R136" i="15"/>
  <c r="Q136" i="15"/>
  <c r="P136" i="15"/>
  <c r="N136" i="15"/>
  <c r="M136" i="15"/>
  <c r="L136" i="15"/>
  <c r="K136" i="15"/>
  <c r="J136"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P135" i="15"/>
  <c r="N135" i="15"/>
  <c r="M135" i="15"/>
  <c r="L135" i="15"/>
  <c r="K135" i="15"/>
  <c r="J135" i="15"/>
  <c r="AN134" i="15"/>
  <c r="AM134" i="15"/>
  <c r="AL134" i="15"/>
  <c r="AK134" i="15"/>
  <c r="AJ134" i="15"/>
  <c r="AI134" i="15"/>
  <c r="AH134" i="15"/>
  <c r="AG134" i="15"/>
  <c r="AF134" i="15"/>
  <c r="AE134" i="15"/>
  <c r="AD134" i="15"/>
  <c r="AC134" i="15"/>
  <c r="AB134" i="15"/>
  <c r="AA134" i="15"/>
  <c r="Z134" i="15"/>
  <c r="Y134" i="15"/>
  <c r="X134" i="15"/>
  <c r="W134" i="15"/>
  <c r="V134" i="15"/>
  <c r="U134" i="15"/>
  <c r="T134" i="15"/>
  <c r="S134" i="15"/>
  <c r="R134" i="15"/>
  <c r="Q134" i="15"/>
  <c r="P134" i="15"/>
  <c r="N134" i="15"/>
  <c r="M134" i="15"/>
  <c r="L134" i="15"/>
  <c r="K134" i="15"/>
  <c r="J134" i="15"/>
  <c r="AN133" i="15"/>
  <c r="AM133" i="15"/>
  <c r="AL133" i="15"/>
  <c r="AK133" i="15"/>
  <c r="AJ133" i="15"/>
  <c r="AI133" i="15"/>
  <c r="AH133" i="15"/>
  <c r="AG133" i="15"/>
  <c r="AF133" i="15"/>
  <c r="AE133" i="15"/>
  <c r="AD133" i="15"/>
  <c r="AC133" i="15"/>
  <c r="AB133" i="15"/>
  <c r="AA133" i="15"/>
  <c r="Z133" i="15"/>
  <c r="Y133" i="15"/>
  <c r="X133" i="15"/>
  <c r="W133" i="15"/>
  <c r="V133" i="15"/>
  <c r="U133" i="15"/>
  <c r="T133" i="15"/>
  <c r="S133" i="15"/>
  <c r="R133" i="15"/>
  <c r="Q133" i="15"/>
  <c r="P133" i="15"/>
  <c r="N133" i="15"/>
  <c r="M133" i="15"/>
  <c r="L133" i="15"/>
  <c r="K133" i="15"/>
  <c r="J133" i="15"/>
  <c r="AN132" i="15"/>
  <c r="AM132" i="15"/>
  <c r="AL132" i="15"/>
  <c r="AK132" i="15"/>
  <c r="AJ132" i="15"/>
  <c r="AI132" i="15"/>
  <c r="AH132" i="15"/>
  <c r="AG132" i="15"/>
  <c r="AF132" i="15"/>
  <c r="AE132" i="15"/>
  <c r="AD132" i="15"/>
  <c r="AC132" i="15"/>
  <c r="AB132" i="15"/>
  <c r="AA132" i="15"/>
  <c r="Z132" i="15"/>
  <c r="Y132" i="15"/>
  <c r="X132" i="15"/>
  <c r="W132" i="15"/>
  <c r="V132" i="15"/>
  <c r="U132" i="15"/>
  <c r="T132" i="15"/>
  <c r="S132" i="15"/>
  <c r="R132" i="15"/>
  <c r="Q132" i="15"/>
  <c r="P132" i="15"/>
  <c r="N132" i="15"/>
  <c r="M132" i="15"/>
  <c r="L132" i="15"/>
  <c r="K132" i="15"/>
  <c r="J132"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N130" i="15"/>
  <c r="M130" i="15"/>
  <c r="L130" i="15"/>
  <c r="K130" i="15"/>
  <c r="J130"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N129" i="15"/>
  <c r="M129" i="15"/>
  <c r="L129" i="15"/>
  <c r="K129" i="15"/>
  <c r="J129"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N128" i="15"/>
  <c r="M128" i="15"/>
  <c r="L128" i="15"/>
  <c r="K128" i="15"/>
  <c r="J128"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N127" i="15"/>
  <c r="M127" i="15"/>
  <c r="L127" i="15"/>
  <c r="K127" i="15"/>
  <c r="J127"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N126" i="15"/>
  <c r="M126" i="15"/>
  <c r="L126" i="15"/>
  <c r="K126" i="15"/>
  <c r="J126"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N125" i="15"/>
  <c r="M125" i="15"/>
  <c r="L125" i="15"/>
  <c r="K125" i="15"/>
  <c r="J125"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N124" i="15"/>
  <c r="M124" i="15"/>
  <c r="L124" i="15"/>
  <c r="K124" i="15"/>
  <c r="J124"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N123" i="15"/>
  <c r="M123" i="15"/>
  <c r="L123" i="15"/>
  <c r="K123" i="15"/>
  <c r="J123"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N122" i="15"/>
  <c r="M122" i="15"/>
  <c r="L122" i="15"/>
  <c r="K122" i="15"/>
  <c r="J122"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N121" i="15"/>
  <c r="M121" i="15"/>
  <c r="L121" i="15"/>
  <c r="K121" i="15"/>
  <c r="J121"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N120" i="15"/>
  <c r="M120" i="15"/>
  <c r="L120" i="15"/>
  <c r="K120" i="15"/>
  <c r="J120"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N119" i="15"/>
  <c r="M119" i="15"/>
  <c r="L119" i="15"/>
  <c r="K119" i="15"/>
  <c r="J119"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N118" i="15"/>
  <c r="M118" i="15"/>
  <c r="L118" i="15"/>
  <c r="K118" i="15"/>
  <c r="J118"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N117" i="15"/>
  <c r="M117" i="15"/>
  <c r="L117" i="15"/>
  <c r="K117" i="15"/>
  <c r="J117"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N116" i="15"/>
  <c r="M116" i="15"/>
  <c r="L116" i="15"/>
  <c r="K116" i="15"/>
  <c r="J116"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N115" i="15"/>
  <c r="M115" i="15"/>
  <c r="L115" i="15"/>
  <c r="K115" i="15"/>
  <c r="J115"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N114" i="15"/>
  <c r="M114" i="15"/>
  <c r="L114" i="15"/>
  <c r="K114" i="15"/>
  <c r="J114"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N113" i="15"/>
  <c r="M113" i="15"/>
  <c r="L113" i="15"/>
  <c r="K113" i="15"/>
  <c r="J113"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N112" i="15"/>
  <c r="M112" i="15"/>
  <c r="L112" i="15"/>
  <c r="K112" i="15"/>
  <c r="J112"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N111" i="15"/>
  <c r="M111" i="15"/>
  <c r="L111" i="15"/>
  <c r="K111" i="15"/>
  <c r="J111"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N110" i="15"/>
  <c r="M110" i="15"/>
  <c r="L110" i="15"/>
  <c r="K110" i="15"/>
  <c r="J110"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N109" i="15"/>
  <c r="M109" i="15"/>
  <c r="L109" i="15"/>
  <c r="K109" i="15"/>
  <c r="J109"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N108" i="15"/>
  <c r="M108" i="15"/>
  <c r="L108" i="15"/>
  <c r="K108" i="15"/>
  <c r="J108"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N107" i="15"/>
  <c r="M107" i="15"/>
  <c r="L107" i="15"/>
  <c r="K107" i="15"/>
  <c r="J107"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N106" i="15"/>
  <c r="M106" i="15"/>
  <c r="L106" i="15"/>
  <c r="K106" i="15"/>
  <c r="J106"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N105" i="15"/>
  <c r="M105" i="15"/>
  <c r="L105" i="15"/>
  <c r="K105" i="15"/>
  <c r="J105"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N104" i="15"/>
  <c r="M104" i="15"/>
  <c r="L104" i="15"/>
  <c r="K104" i="15"/>
  <c r="J104"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N103" i="15"/>
  <c r="M103" i="15"/>
  <c r="L103" i="15"/>
  <c r="K103" i="15"/>
  <c r="J103"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N102" i="15"/>
  <c r="M102" i="15"/>
  <c r="L102" i="15"/>
  <c r="K102" i="15"/>
  <c r="J102"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N101" i="15"/>
  <c r="M101" i="15"/>
  <c r="L101" i="15"/>
  <c r="K101" i="15"/>
  <c r="J101"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N100" i="15"/>
  <c r="M100" i="15"/>
  <c r="L100" i="15"/>
  <c r="K100" i="15"/>
  <c r="J100"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N99" i="15"/>
  <c r="M99" i="15"/>
  <c r="L99" i="15"/>
  <c r="K99" i="15"/>
  <c r="J99"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N98" i="15"/>
  <c r="M98" i="15"/>
  <c r="L98" i="15"/>
  <c r="K98" i="15"/>
  <c r="J98"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N97" i="15"/>
  <c r="M97" i="15"/>
  <c r="L97" i="15"/>
  <c r="K97" i="15"/>
  <c r="J97"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N96" i="15"/>
  <c r="M96" i="15"/>
  <c r="L96" i="15"/>
  <c r="K96" i="15"/>
  <c r="J96"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N95" i="15"/>
  <c r="M95" i="15"/>
  <c r="L95" i="15"/>
  <c r="K95" i="15"/>
  <c r="J95"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N94" i="15"/>
  <c r="M94" i="15"/>
  <c r="L94" i="15"/>
  <c r="K94" i="15"/>
  <c r="J94"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N93" i="15"/>
  <c r="M93" i="15"/>
  <c r="L93" i="15"/>
  <c r="K93" i="15"/>
  <c r="J93"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N92" i="15"/>
  <c r="M92" i="15"/>
  <c r="L92" i="15"/>
  <c r="K92" i="15"/>
  <c r="J92"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N91" i="15"/>
  <c r="M91" i="15"/>
  <c r="L91" i="15"/>
  <c r="K91" i="15"/>
  <c r="J91" i="15"/>
  <c r="AN90" i="15"/>
  <c r="AM90" i="15"/>
  <c r="AL90" i="15"/>
  <c r="AK90" i="15"/>
  <c r="AJ90" i="15"/>
  <c r="AI90" i="15"/>
  <c r="AH90" i="15"/>
  <c r="AG90" i="15"/>
  <c r="AF90" i="15"/>
  <c r="AE90" i="15"/>
  <c r="AD90" i="15"/>
  <c r="AC90" i="15"/>
  <c r="AB90" i="15"/>
  <c r="AA90" i="15"/>
  <c r="Z90" i="15"/>
  <c r="Y90" i="15"/>
  <c r="X90" i="15"/>
  <c r="W90" i="15"/>
  <c r="V90" i="15"/>
  <c r="U90" i="15"/>
  <c r="T90" i="15"/>
  <c r="S90" i="15"/>
  <c r="R90" i="15"/>
  <c r="Q90" i="15"/>
  <c r="P90" i="15"/>
  <c r="N90" i="15"/>
  <c r="M90" i="15"/>
  <c r="L90" i="15"/>
  <c r="K90" i="15"/>
  <c r="J90" i="15"/>
  <c r="AN89" i="15"/>
  <c r="AM89" i="15"/>
  <c r="AL89" i="15"/>
  <c r="AK89" i="15"/>
  <c r="AJ89" i="15"/>
  <c r="AI89" i="15"/>
  <c r="AH89" i="15"/>
  <c r="AG89" i="15"/>
  <c r="AF89" i="15"/>
  <c r="AE89" i="15"/>
  <c r="AD89" i="15"/>
  <c r="AC89" i="15"/>
  <c r="AB89" i="15"/>
  <c r="AA89" i="15"/>
  <c r="Z89" i="15"/>
  <c r="Y89" i="15"/>
  <c r="X89" i="15"/>
  <c r="W89" i="15"/>
  <c r="V89" i="15"/>
  <c r="U89" i="15"/>
  <c r="T89" i="15"/>
  <c r="S89" i="15"/>
  <c r="R89" i="15"/>
  <c r="Q89" i="15"/>
  <c r="P89" i="15"/>
  <c r="N89" i="15"/>
  <c r="M89" i="15"/>
  <c r="L89" i="15"/>
  <c r="K89" i="15"/>
  <c r="J89"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N88" i="15"/>
  <c r="M88" i="15"/>
  <c r="L88" i="15"/>
  <c r="K88" i="15"/>
  <c r="J88"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N87" i="15"/>
  <c r="M87" i="15"/>
  <c r="L87" i="15"/>
  <c r="K87" i="15"/>
  <c r="J87"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N86" i="15"/>
  <c r="M86" i="15"/>
  <c r="L86" i="15"/>
  <c r="K86" i="15"/>
  <c r="J86"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N85" i="15"/>
  <c r="M85" i="15"/>
  <c r="L85" i="15"/>
  <c r="K85" i="15"/>
  <c r="J85"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N84" i="15"/>
  <c r="M84" i="15"/>
  <c r="L84" i="15"/>
  <c r="K84" i="15"/>
  <c r="J84"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N83" i="15"/>
  <c r="M83" i="15"/>
  <c r="L83" i="15"/>
  <c r="K83" i="15"/>
  <c r="J83"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N82" i="15"/>
  <c r="M82" i="15"/>
  <c r="L82" i="15"/>
  <c r="K82" i="15"/>
  <c r="J82"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N81" i="15"/>
  <c r="M81" i="15"/>
  <c r="L81" i="15"/>
  <c r="K81" i="15"/>
  <c r="J81"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N80" i="15"/>
  <c r="M80" i="15"/>
  <c r="L80" i="15"/>
  <c r="K80" i="15"/>
  <c r="J80"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N79" i="15"/>
  <c r="M79" i="15"/>
  <c r="L79" i="15"/>
  <c r="K79" i="15"/>
  <c r="J79"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N78" i="15"/>
  <c r="M78" i="15"/>
  <c r="L78" i="15"/>
  <c r="K78" i="15"/>
  <c r="J78"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N77" i="15"/>
  <c r="M77" i="15"/>
  <c r="L77" i="15"/>
  <c r="K77" i="15"/>
  <c r="J77"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N76" i="15"/>
  <c r="M76" i="15"/>
  <c r="L76" i="15"/>
  <c r="K76" i="15"/>
  <c r="J76"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N75" i="15"/>
  <c r="M75" i="15"/>
  <c r="L75" i="15"/>
  <c r="K75" i="15"/>
  <c r="J75"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N74" i="15"/>
  <c r="M74" i="15"/>
  <c r="L74" i="15"/>
  <c r="K74" i="15"/>
  <c r="J74"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N73" i="15"/>
  <c r="M73" i="15"/>
  <c r="L73" i="15"/>
  <c r="K73" i="15"/>
  <c r="J73"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N72" i="15"/>
  <c r="M72" i="15"/>
  <c r="L72" i="15"/>
  <c r="K72" i="15"/>
  <c r="J72"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N71" i="15"/>
  <c r="M71" i="15"/>
  <c r="L71" i="15"/>
  <c r="K71" i="15"/>
  <c r="J71"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N70" i="15"/>
  <c r="M70" i="15"/>
  <c r="L70" i="15"/>
  <c r="K70" i="15"/>
  <c r="J70"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N69" i="15"/>
  <c r="M69" i="15"/>
  <c r="L69" i="15"/>
  <c r="K69" i="15"/>
  <c r="J69"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N68" i="15"/>
  <c r="M68" i="15"/>
  <c r="L68" i="15"/>
  <c r="K68" i="15"/>
  <c r="J68"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N67" i="15"/>
  <c r="M67" i="15"/>
  <c r="L67" i="15"/>
  <c r="K67" i="15"/>
  <c r="J67"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N66" i="15"/>
  <c r="M66" i="15"/>
  <c r="L66" i="15"/>
  <c r="K66" i="15"/>
  <c r="J66"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N65" i="15"/>
  <c r="M65" i="15"/>
  <c r="L65" i="15"/>
  <c r="K65" i="15"/>
  <c r="J65"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N64" i="15"/>
  <c r="M64" i="15"/>
  <c r="L64" i="15"/>
  <c r="K64" i="15"/>
  <c r="J64"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N63" i="15"/>
  <c r="M63" i="15"/>
  <c r="L63" i="15"/>
  <c r="K63" i="15"/>
  <c r="J63"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N62" i="15"/>
  <c r="M62" i="15"/>
  <c r="L62" i="15"/>
  <c r="K62" i="15"/>
  <c r="J62"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N61" i="15"/>
  <c r="M61" i="15"/>
  <c r="L61" i="15"/>
  <c r="K61" i="15"/>
  <c r="J61"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N60" i="15"/>
  <c r="M60" i="15"/>
  <c r="L60" i="15"/>
  <c r="K60" i="15"/>
  <c r="J60"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N59" i="15"/>
  <c r="M59" i="15"/>
  <c r="L59" i="15"/>
  <c r="K59" i="15"/>
  <c r="J59"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N58" i="15"/>
  <c r="M58" i="15"/>
  <c r="L58" i="15"/>
  <c r="K58" i="15"/>
  <c r="J58"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N57" i="15"/>
  <c r="M57" i="15"/>
  <c r="L57" i="15"/>
  <c r="K57" i="15"/>
  <c r="J57"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N56" i="15"/>
  <c r="M56" i="15"/>
  <c r="L56" i="15"/>
  <c r="K56" i="15"/>
  <c r="J56"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N55" i="15"/>
  <c r="M55" i="15"/>
  <c r="L55" i="15"/>
  <c r="K55" i="15"/>
  <c r="J55"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N54" i="15"/>
  <c r="M54" i="15"/>
  <c r="L54" i="15"/>
  <c r="K54" i="15"/>
  <c r="J54"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N53" i="15"/>
  <c r="M53" i="15"/>
  <c r="L53" i="15"/>
  <c r="K53" i="15"/>
  <c r="J53"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N52" i="15"/>
  <c r="M52" i="15"/>
  <c r="L52" i="15"/>
  <c r="K52" i="15"/>
  <c r="J52"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N51" i="15"/>
  <c r="M51" i="15"/>
  <c r="L51" i="15"/>
  <c r="K51" i="15"/>
  <c r="J51"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N50" i="15"/>
  <c r="M50" i="15"/>
  <c r="L50" i="15"/>
  <c r="K50" i="15"/>
  <c r="J50"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N49" i="15"/>
  <c r="M49" i="15"/>
  <c r="L49" i="15"/>
  <c r="K49" i="15"/>
  <c r="J49"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N48" i="15"/>
  <c r="M48" i="15"/>
  <c r="L48" i="15"/>
  <c r="K48" i="15"/>
  <c r="J48"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N47" i="15"/>
  <c r="M47" i="15"/>
  <c r="L47" i="15"/>
  <c r="K47" i="15"/>
  <c r="J47"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N46" i="15"/>
  <c r="M46" i="15"/>
  <c r="L46" i="15"/>
  <c r="K46" i="15"/>
  <c r="J46"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N45" i="15"/>
  <c r="M45" i="15"/>
  <c r="L45" i="15"/>
  <c r="K45" i="15"/>
  <c r="J45"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N44" i="15"/>
  <c r="M44" i="15"/>
  <c r="L44" i="15"/>
  <c r="K44" i="15"/>
  <c r="J44"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N43" i="15"/>
  <c r="M43" i="15"/>
  <c r="L43" i="15"/>
  <c r="K43" i="15"/>
  <c r="J43"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N42" i="15"/>
  <c r="M42" i="15"/>
  <c r="L42" i="15"/>
  <c r="K42" i="15"/>
  <c r="J42"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N41" i="15"/>
  <c r="M41" i="15"/>
  <c r="L41" i="15"/>
  <c r="K41" i="15"/>
  <c r="J41"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N40" i="15"/>
  <c r="M40" i="15"/>
  <c r="L40" i="15"/>
  <c r="K40" i="15"/>
  <c r="J40"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N39" i="15"/>
  <c r="M39" i="15"/>
  <c r="L39" i="15"/>
  <c r="K39" i="15"/>
  <c r="J39"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N38" i="15"/>
  <c r="M38" i="15"/>
  <c r="L38" i="15"/>
  <c r="K38" i="15"/>
  <c r="J38"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N37" i="15"/>
  <c r="M37" i="15"/>
  <c r="L37" i="15"/>
  <c r="K37" i="15"/>
  <c r="J37"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N36" i="15"/>
  <c r="M36" i="15"/>
  <c r="L36" i="15"/>
  <c r="K36" i="15"/>
  <c r="J36"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N35" i="15"/>
  <c r="M35" i="15"/>
  <c r="L35" i="15"/>
  <c r="K35" i="15"/>
  <c r="J35"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N34" i="15"/>
  <c r="M34" i="15"/>
  <c r="L34" i="15"/>
  <c r="K34" i="15"/>
  <c r="J34"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N33" i="15"/>
  <c r="M33" i="15"/>
  <c r="L33" i="15"/>
  <c r="K33" i="15"/>
  <c r="J33"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N32" i="15"/>
  <c r="M32" i="15"/>
  <c r="L32" i="15"/>
  <c r="K32" i="15"/>
  <c r="J32"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N31" i="15"/>
  <c r="M31" i="15"/>
  <c r="L31" i="15"/>
  <c r="K31" i="15"/>
  <c r="J31"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N30" i="15"/>
  <c r="M30" i="15"/>
  <c r="L30" i="15"/>
  <c r="K30" i="15"/>
  <c r="J30"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N29" i="15"/>
  <c r="M29" i="15"/>
  <c r="L29" i="15"/>
  <c r="K29" i="15"/>
  <c r="J29"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N28" i="15"/>
  <c r="M28" i="15"/>
  <c r="L28" i="15"/>
  <c r="K28" i="15"/>
  <c r="J28"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N27" i="15"/>
  <c r="M27" i="15"/>
  <c r="L27" i="15"/>
  <c r="K27" i="15"/>
  <c r="J27"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N26" i="15"/>
  <c r="M26" i="15"/>
  <c r="L26" i="15"/>
  <c r="K26" i="15"/>
  <c r="J26"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N25" i="15"/>
  <c r="M25" i="15"/>
  <c r="L25" i="15"/>
  <c r="K25" i="15"/>
  <c r="J25"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N24" i="15"/>
  <c r="M24" i="15"/>
  <c r="L24" i="15"/>
  <c r="K24" i="15"/>
  <c r="J24"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N23" i="15"/>
  <c r="M23" i="15"/>
  <c r="L23" i="15"/>
  <c r="K23" i="15"/>
  <c r="J23"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N22" i="15"/>
  <c r="M22" i="15"/>
  <c r="L22" i="15"/>
  <c r="K22" i="15"/>
  <c r="J22"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N21" i="15"/>
  <c r="M21" i="15"/>
  <c r="L21" i="15"/>
  <c r="K21" i="15"/>
  <c r="J21"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N20" i="15"/>
  <c r="M20" i="15"/>
  <c r="L20" i="15"/>
  <c r="K20" i="15"/>
  <c r="J20"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N19" i="15"/>
  <c r="M19" i="15"/>
  <c r="L19" i="15"/>
  <c r="K19" i="15"/>
  <c r="J19"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N18" i="15"/>
  <c r="M18" i="15"/>
  <c r="L18" i="15"/>
  <c r="K18" i="15"/>
  <c r="J18"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N17" i="15"/>
  <c r="M17" i="15"/>
  <c r="L17" i="15"/>
  <c r="K17" i="15"/>
  <c r="J17"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N16" i="15"/>
  <c r="M16" i="15"/>
  <c r="L16" i="15"/>
  <c r="K16" i="15"/>
  <c r="J16"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N15" i="15"/>
  <c r="M15" i="15"/>
  <c r="L15" i="15"/>
  <c r="K15" i="15"/>
  <c r="J15"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N14" i="15"/>
  <c r="M14" i="15"/>
  <c r="L14" i="15"/>
  <c r="K14" i="15"/>
  <c r="J14"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N13" i="15"/>
  <c r="M13" i="15"/>
  <c r="L13" i="15"/>
  <c r="K13" i="15"/>
  <c r="J13"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N12" i="15"/>
  <c r="M12" i="15"/>
  <c r="L12" i="15"/>
  <c r="K12" i="15"/>
  <c r="J12"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N11" i="15"/>
  <c r="M11" i="15"/>
  <c r="L11" i="15"/>
  <c r="K11" i="15"/>
  <c r="J11"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N10" i="15"/>
  <c r="M10" i="15"/>
  <c r="L10" i="15"/>
  <c r="K10" i="15"/>
  <c r="J10" i="15"/>
  <c r="AN9" i="15"/>
  <c r="AM9" i="15"/>
  <c r="AL9" i="15"/>
  <c r="AK9" i="15"/>
  <c r="AJ9" i="15"/>
  <c r="AI9" i="15"/>
  <c r="AH9" i="15"/>
  <c r="AG9" i="15"/>
  <c r="AF9" i="15"/>
  <c r="AE9" i="15"/>
  <c r="AD9" i="15"/>
  <c r="AC9" i="15"/>
  <c r="AB9" i="15"/>
  <c r="AA9" i="15"/>
  <c r="Z9" i="15"/>
  <c r="Y9" i="15"/>
  <c r="X9" i="15"/>
  <c r="W9" i="15"/>
  <c r="V9" i="15"/>
  <c r="U9" i="15"/>
  <c r="T9" i="15"/>
  <c r="S9" i="15"/>
  <c r="R9" i="15"/>
  <c r="Q9" i="15"/>
  <c r="P9" i="15"/>
  <c r="N9" i="15"/>
  <c r="M9" i="15"/>
  <c r="L9" i="15"/>
  <c r="K9" i="15"/>
  <c r="J9" i="15"/>
  <c r="AN8" i="15"/>
  <c r="AM8" i="15"/>
  <c r="AL8" i="15"/>
  <c r="AK8" i="15"/>
  <c r="AJ8" i="15"/>
  <c r="AI8" i="15"/>
  <c r="AH8" i="15"/>
  <c r="AG8" i="15"/>
  <c r="AF8" i="15"/>
  <c r="AE8" i="15"/>
  <c r="AD8" i="15"/>
  <c r="AC8" i="15"/>
  <c r="AB8" i="15"/>
  <c r="AA8" i="15"/>
  <c r="Z8" i="15"/>
  <c r="Y8" i="15"/>
  <c r="X8" i="15"/>
  <c r="W8" i="15"/>
  <c r="V8" i="15"/>
  <c r="U8" i="15"/>
  <c r="T8" i="15"/>
  <c r="S8" i="15"/>
  <c r="R8" i="15"/>
  <c r="Q8" i="15"/>
  <c r="P8" i="15"/>
  <c r="N8" i="15"/>
  <c r="M8" i="15"/>
  <c r="L8" i="15"/>
  <c r="K8" i="15"/>
  <c r="J8" i="15"/>
  <c r="AN7" i="15"/>
  <c r="AM7" i="15"/>
  <c r="AL7" i="15"/>
  <c r="AK7" i="15"/>
  <c r="AJ7" i="15"/>
  <c r="AI7" i="15"/>
  <c r="AH7" i="15"/>
  <c r="AG7" i="15"/>
  <c r="AF7" i="15"/>
  <c r="AE7" i="15"/>
  <c r="AD7" i="15"/>
  <c r="AC7" i="15"/>
  <c r="AB7" i="15"/>
  <c r="AA7" i="15"/>
  <c r="Z7" i="15"/>
  <c r="Y7" i="15"/>
  <c r="X7" i="15"/>
  <c r="W7" i="15"/>
  <c r="V7" i="15"/>
  <c r="U7" i="15"/>
  <c r="T7" i="15"/>
  <c r="S7" i="15"/>
  <c r="R7" i="15"/>
  <c r="Q7" i="15"/>
  <c r="P7" i="15"/>
  <c r="N7" i="15"/>
  <c r="M7" i="15"/>
  <c r="L7" i="15"/>
  <c r="K7" i="15"/>
  <c r="J7" i="15"/>
  <c r="AN139" i="14"/>
  <c r="AM139" i="14"/>
  <c r="AL139" i="14"/>
  <c r="AK139" i="14"/>
  <c r="AJ139" i="14"/>
  <c r="AI139" i="14"/>
  <c r="AH139" i="14"/>
  <c r="AG139" i="14"/>
  <c r="AF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AN130" i="14"/>
  <c r="AM130" i="14"/>
  <c r="AL130" i="14"/>
  <c r="AK130" i="14"/>
  <c r="AJ130" i="14"/>
  <c r="AI130" i="14"/>
  <c r="AH130" i="14"/>
  <c r="AG130" i="14"/>
  <c r="AF130" i="14"/>
  <c r="AE130" i="14"/>
  <c r="AD130" i="14"/>
  <c r="AC130" i="14"/>
  <c r="AB130" i="14"/>
  <c r="AA130" i="14"/>
  <c r="Z130" i="14"/>
  <c r="Y130" i="14"/>
  <c r="X130" i="14"/>
  <c r="W130" i="14"/>
  <c r="V130" i="14"/>
  <c r="U130" i="14"/>
  <c r="T130" i="14"/>
  <c r="S130" i="14"/>
  <c r="R130" i="14"/>
  <c r="Q130" i="14"/>
  <c r="P130" i="14"/>
  <c r="O130" i="14"/>
  <c r="N130" i="14"/>
  <c r="M130" i="14"/>
  <c r="L130" i="14"/>
  <c r="K130" i="14"/>
  <c r="J130"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K129" i="14"/>
  <c r="J129"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K128" i="14"/>
  <c r="J128" i="14"/>
  <c r="AN127" i="14"/>
  <c r="AM127" i="14"/>
  <c r="AL127" i="14"/>
  <c r="AK127" i="14"/>
  <c r="AJ127" i="14"/>
  <c r="AI127" i="14"/>
  <c r="AH127" i="14"/>
  <c r="AG127" i="14"/>
  <c r="AF127" i="14"/>
  <c r="AE127" i="14"/>
  <c r="AD127" i="14"/>
  <c r="AC127" i="14"/>
  <c r="AB127" i="14"/>
  <c r="AA127" i="14"/>
  <c r="Z127" i="14"/>
  <c r="Y127" i="14"/>
  <c r="X127" i="14"/>
  <c r="W127" i="14"/>
  <c r="V127" i="14"/>
  <c r="U127" i="14"/>
  <c r="T127" i="14"/>
  <c r="S127" i="14"/>
  <c r="R127" i="14"/>
  <c r="Q127" i="14"/>
  <c r="P127" i="14"/>
  <c r="O127" i="14"/>
  <c r="N127" i="14"/>
  <c r="M127" i="14"/>
  <c r="L127" i="14"/>
  <c r="K127" i="14"/>
  <c r="J127" i="14"/>
  <c r="AN126" i="14"/>
  <c r="AM126" i="14"/>
  <c r="AL126" i="14"/>
  <c r="AK126" i="14"/>
  <c r="AJ126" i="14"/>
  <c r="AI126" i="14"/>
  <c r="AH126" i="14"/>
  <c r="AG126" i="14"/>
  <c r="AF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AN125" i="14"/>
  <c r="AM125" i="14"/>
  <c r="AL125" i="14"/>
  <c r="AK125" i="14"/>
  <c r="AJ125" i="14"/>
  <c r="AI125" i="14"/>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AN124" i="14"/>
  <c r="AM124" i="14"/>
  <c r="AL124" i="14"/>
  <c r="AK124" i="14"/>
  <c r="AJ124" i="14"/>
  <c r="AI124" i="14"/>
  <c r="AH124" i="14"/>
  <c r="AG124" i="14"/>
  <c r="AF124" i="14"/>
  <c r="AE124" i="14"/>
  <c r="AD124" i="14"/>
  <c r="AC124" i="14"/>
  <c r="AB124" i="14"/>
  <c r="AA124" i="14"/>
  <c r="Z124" i="14"/>
  <c r="Y124" i="14"/>
  <c r="X124" i="14"/>
  <c r="W124" i="14"/>
  <c r="V124" i="14"/>
  <c r="U124" i="14"/>
  <c r="T124" i="14"/>
  <c r="S124" i="14"/>
  <c r="R124" i="14"/>
  <c r="Q124" i="14"/>
  <c r="P124" i="14"/>
  <c r="O124" i="14"/>
  <c r="N124" i="14"/>
  <c r="M124" i="14"/>
  <c r="L124" i="14"/>
  <c r="K124" i="14"/>
  <c r="J124"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AN122" i="14"/>
  <c r="AM122" i="14"/>
  <c r="AL122" i="14"/>
  <c r="AK122" i="14"/>
  <c r="AJ122" i="14"/>
  <c r="AI122" i="14"/>
  <c r="AH122" i="14"/>
  <c r="AG122" i="14"/>
  <c r="AF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AN121" i="14"/>
  <c r="AM121" i="14"/>
  <c r="AL121" i="14"/>
  <c r="AK121" i="14"/>
  <c r="AJ121" i="14"/>
  <c r="AI121"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AN120" i="14"/>
  <c r="AM120" i="14"/>
  <c r="AL120" i="14"/>
  <c r="AK120" i="14"/>
  <c r="AJ120" i="14"/>
  <c r="AI120"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AN115" i="14"/>
  <c r="AM115"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AN114" i="14"/>
  <c r="AM114"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AN113" i="14"/>
  <c r="AM113"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AN110" i="14"/>
  <c r="AM110" i="14"/>
  <c r="AL110" i="14"/>
  <c r="AK110" i="14"/>
  <c r="AJ110" i="14"/>
  <c r="AI110" i="14"/>
  <c r="AH110" i="14"/>
  <c r="AG110" i="14"/>
  <c r="AF110" i="14"/>
  <c r="AE110" i="14"/>
  <c r="AD110" i="14"/>
  <c r="AC110" i="14"/>
  <c r="AB110" i="14"/>
  <c r="AA110" i="14"/>
  <c r="Z110" i="14"/>
  <c r="Y110" i="14"/>
  <c r="X110" i="14"/>
  <c r="W110" i="14"/>
  <c r="V110" i="14"/>
  <c r="U110" i="14"/>
  <c r="T110" i="14"/>
  <c r="S110" i="14"/>
  <c r="R110" i="14"/>
  <c r="Q110" i="14"/>
  <c r="P110" i="14"/>
  <c r="O110" i="14"/>
  <c r="N110" i="14"/>
  <c r="M110" i="14"/>
  <c r="L110" i="14"/>
  <c r="K110" i="14"/>
  <c r="J110" i="14"/>
  <c r="AN109" i="14"/>
  <c r="AM109" i="14"/>
  <c r="AL109" i="14"/>
  <c r="AK109" i="14"/>
  <c r="AJ109" i="14"/>
  <c r="AI109" i="14"/>
  <c r="AH109" i="14"/>
  <c r="AG109" i="14"/>
  <c r="AF109" i="14"/>
  <c r="AE109" i="14"/>
  <c r="AD109" i="14"/>
  <c r="AC109" i="14"/>
  <c r="AB109" i="14"/>
  <c r="AA109" i="14"/>
  <c r="Z109" i="14"/>
  <c r="Y109" i="14"/>
  <c r="X109" i="14"/>
  <c r="W109" i="14"/>
  <c r="V109" i="14"/>
  <c r="U109" i="14"/>
  <c r="T109" i="14"/>
  <c r="S109" i="14"/>
  <c r="R109" i="14"/>
  <c r="Q109" i="14"/>
  <c r="P109" i="14"/>
  <c r="O109" i="14"/>
  <c r="N109" i="14"/>
  <c r="M109" i="14"/>
  <c r="L109" i="14"/>
  <c r="K109" i="14"/>
  <c r="J109"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J108"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AN104" i="14"/>
  <c r="AM104" i="14"/>
  <c r="AL104" i="14"/>
  <c r="AK104" i="14"/>
  <c r="AJ104" i="14"/>
  <c r="AI104" i="14"/>
  <c r="AH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K103" i="14"/>
  <c r="J103"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AN101" i="14"/>
  <c r="AM101" i="14"/>
  <c r="AL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AN99" i="14"/>
  <c r="AM99" i="14"/>
  <c r="AL99" i="14"/>
  <c r="AK99" i="14"/>
  <c r="AJ99" i="14"/>
  <c r="AI99" i="14"/>
  <c r="AH99" i="14"/>
  <c r="AG99" i="14"/>
  <c r="AF99" i="14"/>
  <c r="AE99" i="14"/>
  <c r="AD99" i="14"/>
  <c r="AC99" i="14"/>
  <c r="AB99" i="14"/>
  <c r="AA99" i="14"/>
  <c r="Z99" i="14"/>
  <c r="Y99" i="14"/>
  <c r="X99" i="14"/>
  <c r="W99" i="14"/>
  <c r="V99" i="14"/>
  <c r="U99" i="14"/>
  <c r="T99" i="14"/>
  <c r="S99" i="14"/>
  <c r="R99" i="14"/>
  <c r="Q99" i="14"/>
  <c r="P99" i="14"/>
  <c r="O99" i="14"/>
  <c r="N99" i="14"/>
  <c r="M99" i="14"/>
  <c r="L99" i="14"/>
  <c r="K99" i="14"/>
  <c r="J99"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K94" i="14"/>
  <c r="J94" i="14"/>
  <c r="AN93" i="14"/>
  <c r="AM93" i="14"/>
  <c r="AL93" i="14"/>
  <c r="AK93" i="14"/>
  <c r="AJ93" i="14"/>
  <c r="AI93" i="14"/>
  <c r="AH93" i="14"/>
  <c r="AG93" i="14"/>
  <c r="AF93" i="14"/>
  <c r="AE93" i="14"/>
  <c r="AD93" i="14"/>
  <c r="AC93" i="14"/>
  <c r="AB93" i="14"/>
  <c r="AA93" i="14"/>
  <c r="Z93" i="14"/>
  <c r="Y93" i="14"/>
  <c r="X93" i="14"/>
  <c r="W93" i="14"/>
  <c r="V93" i="14"/>
  <c r="U93" i="14"/>
  <c r="T93" i="14"/>
  <c r="S93" i="14"/>
  <c r="R93" i="14"/>
  <c r="Q93" i="14"/>
  <c r="P93" i="14"/>
  <c r="O93" i="14"/>
  <c r="N93" i="14"/>
  <c r="M93" i="14"/>
  <c r="L93" i="14"/>
  <c r="K93" i="14"/>
  <c r="J93"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AN91" i="14"/>
  <c r="AM91" i="14"/>
  <c r="AL91" i="14"/>
  <c r="AK91" i="14"/>
  <c r="AJ91" i="14"/>
  <c r="AI91" i="14"/>
  <c r="AH91" i="14"/>
  <c r="AG91" i="14"/>
  <c r="AF91" i="14"/>
  <c r="AE91" i="14"/>
  <c r="AD91" i="14"/>
  <c r="AC91" i="14"/>
  <c r="AB91" i="14"/>
  <c r="AA91" i="14"/>
  <c r="Z91" i="14"/>
  <c r="Y91" i="14"/>
  <c r="X91" i="14"/>
  <c r="W91" i="14"/>
  <c r="V91" i="14"/>
  <c r="U91" i="14"/>
  <c r="T91" i="14"/>
  <c r="S91" i="14"/>
  <c r="R91" i="14"/>
  <c r="Q91" i="14"/>
  <c r="P91" i="14"/>
  <c r="O91" i="14"/>
  <c r="N91" i="14"/>
  <c r="M91" i="14"/>
  <c r="L91" i="14"/>
  <c r="K91" i="14"/>
  <c r="J91" i="14"/>
  <c r="AN90" i="14"/>
  <c r="AM90" i="14"/>
  <c r="AL90" i="14"/>
  <c r="AK90" i="14"/>
  <c r="AJ90" i="14"/>
  <c r="AI90" i="14"/>
  <c r="AH90" i="14"/>
  <c r="AG90" i="14"/>
  <c r="AF90" i="14"/>
  <c r="AE90" i="14"/>
  <c r="AD90" i="14"/>
  <c r="AC90" i="14"/>
  <c r="AB90" i="14"/>
  <c r="AA90" i="14"/>
  <c r="Z90" i="14"/>
  <c r="Y90" i="14"/>
  <c r="X90" i="14"/>
  <c r="W90" i="14"/>
  <c r="V90" i="14"/>
  <c r="U90" i="14"/>
  <c r="T90" i="14"/>
  <c r="S90" i="14"/>
  <c r="R90" i="14"/>
  <c r="Q90" i="14"/>
  <c r="P90" i="14"/>
  <c r="O90" i="14"/>
  <c r="N90" i="14"/>
  <c r="M90" i="14"/>
  <c r="L90" i="14"/>
  <c r="K90" i="14"/>
  <c r="J90"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AN26"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AN15"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AN14"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AN10" i="14"/>
  <c r="AM10" i="14"/>
  <c r="AL10" i="14"/>
  <c r="AK10" i="14"/>
  <c r="AJ10" i="14"/>
  <c r="AI10" i="14"/>
  <c r="AH10" i="14"/>
  <c r="AG10" i="14"/>
  <c r="AF10" i="14"/>
  <c r="AE10" i="14"/>
  <c r="AD10" i="14"/>
  <c r="AC10" i="14"/>
  <c r="AB10" i="14"/>
  <c r="AA10" i="14"/>
  <c r="Z10" i="14"/>
  <c r="Y10" i="14"/>
  <c r="X10" i="14"/>
  <c r="W10" i="14"/>
  <c r="V10" i="14"/>
  <c r="U10" i="14"/>
  <c r="T10" i="14"/>
  <c r="S10" i="14"/>
  <c r="R10" i="14"/>
  <c r="Q10" i="14"/>
  <c r="P10" i="14"/>
  <c r="O10" i="14"/>
  <c r="N10" i="14"/>
  <c r="M10" i="14"/>
  <c r="L10" i="14"/>
  <c r="K10" i="14"/>
  <c r="J10"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AN7"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AN5" i="14"/>
  <c r="AM5" i="14"/>
  <c r="AL5" i="14"/>
  <c r="AK5" i="14"/>
  <c r="AJ5" i="14"/>
  <c r="AI5" i="14"/>
  <c r="AH5" i="14"/>
  <c r="AG5" i="14"/>
  <c r="AF5" i="14"/>
  <c r="AE5" i="14"/>
  <c r="AD5" i="14"/>
  <c r="AC5" i="14"/>
  <c r="AB5" i="14"/>
  <c r="AA5" i="14"/>
  <c r="Z5" i="14"/>
  <c r="Y5" i="14"/>
  <c r="X5" i="14"/>
  <c r="W5" i="14"/>
  <c r="V5" i="14"/>
  <c r="U5" i="14"/>
  <c r="T5" i="14"/>
  <c r="S5" i="14"/>
  <c r="R5" i="14"/>
  <c r="Q5" i="14"/>
  <c r="P5" i="14"/>
  <c r="N5" i="14"/>
  <c r="M5" i="14"/>
  <c r="L5" i="14"/>
  <c r="K5" i="14"/>
  <c r="J5" i="14"/>
  <c r="AN144" i="9" l="1"/>
  <c r="AM144" i="9"/>
  <c r="AL144" i="9"/>
  <c r="AK144" i="9"/>
  <c r="AJ144" i="9"/>
  <c r="AI144" i="9"/>
  <c r="AH144" i="9"/>
  <c r="AG144" i="9"/>
  <c r="AF144" i="9"/>
  <c r="AE144" i="9"/>
  <c r="AD144" i="9"/>
  <c r="AC144" i="9"/>
  <c r="AB144" i="9"/>
  <c r="AA144" i="9"/>
  <c r="Z144" i="9"/>
  <c r="Y144" i="9"/>
  <c r="X144" i="9"/>
  <c r="W144" i="9"/>
  <c r="V144" i="9"/>
  <c r="U144" i="9"/>
  <c r="T144" i="9"/>
  <c r="S144" i="9"/>
  <c r="R144" i="9"/>
  <c r="Q144" i="9"/>
  <c r="P144" i="9"/>
  <c r="O144" i="9"/>
  <c r="N144" i="9"/>
  <c r="M144" i="9"/>
  <c r="L144" i="9"/>
  <c r="K144" i="9"/>
  <c r="J144" i="9"/>
  <c r="AN143" i="9"/>
  <c r="AM143" i="9"/>
  <c r="AL143" i="9"/>
  <c r="AK143" i="9"/>
  <c r="AJ143" i="9"/>
  <c r="AI143" i="9"/>
  <c r="AH143" i="9"/>
  <c r="AG143" i="9"/>
  <c r="AF143" i="9"/>
  <c r="AE143" i="9"/>
  <c r="AD143" i="9"/>
  <c r="AC143" i="9"/>
  <c r="AB143" i="9"/>
  <c r="AA143" i="9"/>
  <c r="Z143" i="9"/>
  <c r="Y143" i="9"/>
  <c r="X143" i="9"/>
  <c r="W143" i="9"/>
  <c r="V143" i="9"/>
  <c r="U143" i="9"/>
  <c r="T143" i="9"/>
  <c r="S143" i="9"/>
  <c r="R143" i="9"/>
  <c r="Q143" i="9"/>
  <c r="P143" i="9"/>
  <c r="O143" i="9"/>
  <c r="N143" i="9"/>
  <c r="M143" i="9"/>
  <c r="L143" i="9"/>
  <c r="K143" i="9"/>
  <c r="J143"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K142" i="9"/>
  <c r="J142"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K141" i="9"/>
  <c r="J141" i="9"/>
  <c r="AN140" i="9"/>
  <c r="AM140" i="9"/>
  <c r="AL140" i="9"/>
  <c r="AK140" i="9"/>
  <c r="AJ140" i="9"/>
  <c r="AI140" i="9"/>
  <c r="AH140" i="9"/>
  <c r="AG140" i="9"/>
  <c r="AF140" i="9"/>
  <c r="AE140" i="9"/>
  <c r="AD140" i="9"/>
  <c r="AC140" i="9"/>
  <c r="AB140" i="9"/>
  <c r="AA140" i="9"/>
  <c r="Z140" i="9"/>
  <c r="Y140" i="9"/>
  <c r="X140" i="9"/>
  <c r="W140" i="9"/>
  <c r="V140" i="9"/>
  <c r="U140" i="9"/>
  <c r="T140" i="9"/>
  <c r="S140" i="9"/>
  <c r="R140" i="9"/>
  <c r="Q140" i="9"/>
  <c r="P140" i="9"/>
  <c r="O140" i="9"/>
  <c r="N140" i="9"/>
  <c r="M140" i="9"/>
  <c r="L140" i="9"/>
  <c r="K140" i="9"/>
  <c r="J140" i="9"/>
  <c r="AN139" i="9"/>
  <c r="AM139" i="9"/>
  <c r="AL139" i="9"/>
  <c r="AK139" i="9"/>
  <c r="AJ139" i="9"/>
  <c r="AI139" i="9"/>
  <c r="AH139" i="9"/>
  <c r="AG139" i="9"/>
  <c r="AF139" i="9"/>
  <c r="AE139" i="9"/>
  <c r="AD139" i="9"/>
  <c r="AC139" i="9"/>
  <c r="AB139" i="9"/>
  <c r="AA139" i="9"/>
  <c r="Z139" i="9"/>
  <c r="Y139" i="9"/>
  <c r="X139" i="9"/>
  <c r="W139" i="9"/>
  <c r="V139" i="9"/>
  <c r="U139" i="9"/>
  <c r="T139" i="9"/>
  <c r="S139" i="9"/>
  <c r="R139" i="9"/>
  <c r="Q139" i="9"/>
  <c r="P139" i="9"/>
  <c r="O139" i="9"/>
  <c r="N139" i="9"/>
  <c r="M139" i="9"/>
  <c r="L139" i="9"/>
  <c r="K139" i="9"/>
  <c r="J139" i="9"/>
  <c r="AN137" i="9"/>
  <c r="AM137" i="9"/>
  <c r="AL137" i="9"/>
  <c r="AK137" i="9"/>
  <c r="AJ137" i="9"/>
  <c r="AI137" i="9"/>
  <c r="AH137" i="9"/>
  <c r="AG137" i="9"/>
  <c r="AF137" i="9"/>
  <c r="AE137" i="9"/>
  <c r="AD137" i="9"/>
  <c r="AC137" i="9"/>
  <c r="AB137" i="9"/>
  <c r="AA137" i="9"/>
  <c r="Z137" i="9"/>
  <c r="Y137" i="9"/>
  <c r="X137" i="9"/>
  <c r="W137" i="9"/>
  <c r="V137" i="9"/>
  <c r="U137" i="9"/>
  <c r="T137" i="9"/>
  <c r="S137" i="9"/>
  <c r="R137" i="9"/>
  <c r="Q137" i="9"/>
  <c r="P137" i="9"/>
  <c r="O137" i="9"/>
  <c r="N137" i="9"/>
  <c r="M137" i="9"/>
  <c r="L137" i="9"/>
  <c r="K137" i="9"/>
  <c r="J137" i="9"/>
  <c r="AN135" i="9"/>
  <c r="AM135" i="9"/>
  <c r="AL135" i="9"/>
  <c r="AK135" i="9"/>
  <c r="AJ135" i="9"/>
  <c r="AI135" i="9"/>
  <c r="AH135" i="9"/>
  <c r="AG135" i="9"/>
  <c r="AF135" i="9"/>
  <c r="AE135" i="9"/>
  <c r="AD135" i="9"/>
  <c r="AC135" i="9"/>
  <c r="AB135" i="9"/>
  <c r="AA135" i="9"/>
  <c r="Z135" i="9"/>
  <c r="Y135" i="9"/>
  <c r="X135" i="9"/>
  <c r="W135" i="9"/>
  <c r="V135" i="9"/>
  <c r="U135" i="9"/>
  <c r="T135" i="9"/>
  <c r="S135" i="9"/>
  <c r="R135" i="9"/>
  <c r="Q135" i="9"/>
  <c r="P135" i="9"/>
  <c r="O135" i="9"/>
  <c r="N135" i="9"/>
  <c r="M135" i="9"/>
  <c r="L135" i="9"/>
  <c r="K135" i="9"/>
  <c r="J135" i="9"/>
  <c r="AN131" i="9"/>
  <c r="AM131" i="9"/>
  <c r="AL131" i="9"/>
  <c r="AK131" i="9"/>
  <c r="AJ131" i="9"/>
  <c r="AI131" i="9"/>
  <c r="AH131" i="9"/>
  <c r="AG131" i="9"/>
  <c r="AF131" i="9"/>
  <c r="AE131" i="9"/>
  <c r="AD131" i="9"/>
  <c r="AC131" i="9"/>
  <c r="AB131" i="9"/>
  <c r="AA131" i="9"/>
  <c r="Z131" i="9"/>
  <c r="Y131" i="9"/>
  <c r="X131" i="9"/>
  <c r="W131" i="9"/>
  <c r="V131" i="9"/>
  <c r="U131" i="9"/>
  <c r="T131" i="9"/>
  <c r="S131" i="9"/>
  <c r="R131" i="9"/>
  <c r="Q131" i="9"/>
  <c r="P131" i="9"/>
  <c r="O131" i="9"/>
  <c r="N131" i="9"/>
  <c r="M131" i="9"/>
  <c r="L131" i="9"/>
  <c r="K131" i="9"/>
  <c r="J131" i="9"/>
  <c r="AN130" i="9"/>
  <c r="AM130" i="9"/>
  <c r="AL130" i="9"/>
  <c r="AK130" i="9"/>
  <c r="AJ130" i="9"/>
  <c r="AI130" i="9"/>
  <c r="AH130" i="9"/>
  <c r="AG130" i="9"/>
  <c r="AF130" i="9"/>
  <c r="AE130" i="9"/>
  <c r="AD130" i="9"/>
  <c r="AC130" i="9"/>
  <c r="AB130" i="9"/>
  <c r="AA130" i="9"/>
  <c r="Z130" i="9"/>
  <c r="Y130" i="9"/>
  <c r="X130" i="9"/>
  <c r="W130" i="9"/>
  <c r="V130" i="9"/>
  <c r="U130" i="9"/>
  <c r="T130" i="9"/>
  <c r="S130" i="9"/>
  <c r="R130" i="9"/>
  <c r="Q130" i="9"/>
  <c r="P130" i="9"/>
  <c r="O130" i="9"/>
  <c r="N130" i="9"/>
  <c r="M130" i="9"/>
  <c r="L130" i="9"/>
  <c r="K130" i="9"/>
  <c r="J130"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K128" i="9"/>
  <c r="J128" i="9"/>
  <c r="AN127" i="9"/>
  <c r="AM127" i="9"/>
  <c r="AL127" i="9"/>
  <c r="AK127" i="9"/>
  <c r="AJ127" i="9"/>
  <c r="AI127" i="9"/>
  <c r="AH127" i="9"/>
  <c r="AG127" i="9"/>
  <c r="AF127" i="9"/>
  <c r="AE127" i="9"/>
  <c r="AD127" i="9"/>
  <c r="AC127" i="9"/>
  <c r="AB127" i="9"/>
  <c r="AA127" i="9"/>
  <c r="Z127" i="9"/>
  <c r="Y127" i="9"/>
  <c r="X127" i="9"/>
  <c r="W127" i="9"/>
  <c r="V127" i="9"/>
  <c r="U127" i="9"/>
  <c r="T127" i="9"/>
  <c r="S127" i="9"/>
  <c r="R127" i="9"/>
  <c r="Q127" i="9"/>
  <c r="P127" i="9"/>
  <c r="O127" i="9"/>
  <c r="N127" i="9"/>
  <c r="M127" i="9"/>
  <c r="L127" i="9"/>
  <c r="K127" i="9"/>
  <c r="J127" i="9"/>
  <c r="AN126" i="9"/>
  <c r="AM126" i="9"/>
  <c r="AL126" i="9"/>
  <c r="AK126" i="9"/>
  <c r="AJ126" i="9"/>
  <c r="AI126" i="9"/>
  <c r="AH126" i="9"/>
  <c r="AG126" i="9"/>
  <c r="AF126" i="9"/>
  <c r="AE126" i="9"/>
  <c r="AD126" i="9"/>
  <c r="AC126" i="9"/>
  <c r="AB126" i="9"/>
  <c r="AA126" i="9"/>
  <c r="Z126" i="9"/>
  <c r="Y126" i="9"/>
  <c r="X126" i="9"/>
  <c r="W126" i="9"/>
  <c r="V126" i="9"/>
  <c r="U126" i="9"/>
  <c r="T126" i="9"/>
  <c r="S126" i="9"/>
  <c r="R126" i="9"/>
  <c r="Q126" i="9"/>
  <c r="P126" i="9"/>
  <c r="O126" i="9"/>
  <c r="N126" i="9"/>
  <c r="M126" i="9"/>
  <c r="L126" i="9"/>
  <c r="K126" i="9"/>
  <c r="J126" i="9"/>
  <c r="AN125" i="9"/>
  <c r="AM125" i="9"/>
  <c r="AL125" i="9"/>
  <c r="AK125" i="9"/>
  <c r="AJ125" i="9"/>
  <c r="AI125" i="9"/>
  <c r="AH125" i="9"/>
  <c r="AG125" i="9"/>
  <c r="AF125" i="9"/>
  <c r="AE125" i="9"/>
  <c r="AD125" i="9"/>
  <c r="AC125" i="9"/>
  <c r="AB125" i="9"/>
  <c r="AA125" i="9"/>
  <c r="Z125" i="9"/>
  <c r="Y125" i="9"/>
  <c r="X125" i="9"/>
  <c r="W125" i="9"/>
  <c r="V125" i="9"/>
  <c r="U125" i="9"/>
  <c r="T125" i="9"/>
  <c r="S125" i="9"/>
  <c r="R125" i="9"/>
  <c r="Q125" i="9"/>
  <c r="P125" i="9"/>
  <c r="O125" i="9"/>
  <c r="N125" i="9"/>
  <c r="M125" i="9"/>
  <c r="L125" i="9"/>
  <c r="K125" i="9"/>
  <c r="J125" i="9"/>
  <c r="AN124" i="9"/>
  <c r="AM124" i="9"/>
  <c r="AL124" i="9"/>
  <c r="AK124" i="9"/>
  <c r="AJ124" i="9"/>
  <c r="AI124" i="9"/>
  <c r="AH124" i="9"/>
  <c r="AG124" i="9"/>
  <c r="AF124" i="9"/>
  <c r="AE124" i="9"/>
  <c r="AD124" i="9"/>
  <c r="AC124" i="9"/>
  <c r="AB124" i="9"/>
  <c r="AA124" i="9"/>
  <c r="Z124" i="9"/>
  <c r="Y124" i="9"/>
  <c r="X124" i="9"/>
  <c r="W124" i="9"/>
  <c r="V124" i="9"/>
  <c r="U124" i="9"/>
  <c r="T124" i="9"/>
  <c r="S124" i="9"/>
  <c r="R124" i="9"/>
  <c r="Q124" i="9"/>
  <c r="P124" i="9"/>
  <c r="O124" i="9"/>
  <c r="N124" i="9"/>
  <c r="M124" i="9"/>
  <c r="L124" i="9"/>
  <c r="K124" i="9"/>
  <c r="J124" i="9"/>
  <c r="AN123" i="9"/>
  <c r="AM123" i="9"/>
  <c r="AL123" i="9"/>
  <c r="AK123" i="9"/>
  <c r="AJ123" i="9"/>
  <c r="AI123" i="9"/>
  <c r="AH123" i="9"/>
  <c r="AG123" i="9"/>
  <c r="AF123" i="9"/>
  <c r="AE123" i="9"/>
  <c r="AD123" i="9"/>
  <c r="AC123" i="9"/>
  <c r="AB123" i="9"/>
  <c r="AA123" i="9"/>
  <c r="Z123" i="9"/>
  <c r="Y123" i="9"/>
  <c r="X123" i="9"/>
  <c r="W123" i="9"/>
  <c r="V123" i="9"/>
  <c r="U123" i="9"/>
  <c r="T123" i="9"/>
  <c r="S123" i="9"/>
  <c r="R123" i="9"/>
  <c r="Q123" i="9"/>
  <c r="P123" i="9"/>
  <c r="O123" i="9"/>
  <c r="N123" i="9"/>
  <c r="M123" i="9"/>
  <c r="L123" i="9"/>
  <c r="K123" i="9"/>
  <c r="J123" i="9"/>
  <c r="AN122" i="9"/>
  <c r="AM122" i="9"/>
  <c r="AL122" i="9"/>
  <c r="AK122" i="9"/>
  <c r="AJ122" i="9"/>
  <c r="AI122" i="9"/>
  <c r="AH122" i="9"/>
  <c r="AG122" i="9"/>
  <c r="AF122" i="9"/>
  <c r="AE122" i="9"/>
  <c r="AD122" i="9"/>
  <c r="AC122" i="9"/>
  <c r="AB122" i="9"/>
  <c r="AA122" i="9"/>
  <c r="Z122" i="9"/>
  <c r="Y122" i="9"/>
  <c r="X122" i="9"/>
  <c r="W122" i="9"/>
  <c r="V122" i="9"/>
  <c r="U122" i="9"/>
  <c r="T122" i="9"/>
  <c r="S122" i="9"/>
  <c r="R122" i="9"/>
  <c r="Q122" i="9"/>
  <c r="P122" i="9"/>
  <c r="O122" i="9"/>
  <c r="N122" i="9"/>
  <c r="M122" i="9"/>
  <c r="L122" i="9"/>
  <c r="K122" i="9"/>
  <c r="J122"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AN119" i="9"/>
  <c r="AM119" i="9"/>
  <c r="AL119" i="9"/>
  <c r="AK119" i="9"/>
  <c r="AJ119" i="9"/>
  <c r="AI119" i="9"/>
  <c r="AH119" i="9"/>
  <c r="AG119" i="9"/>
  <c r="AF119" i="9"/>
  <c r="AE119" i="9"/>
  <c r="AD119" i="9"/>
  <c r="AC119" i="9"/>
  <c r="AB119" i="9"/>
  <c r="AA119" i="9"/>
  <c r="Z119" i="9"/>
  <c r="Y119" i="9"/>
  <c r="X119" i="9"/>
  <c r="W119" i="9"/>
  <c r="V119" i="9"/>
  <c r="U119" i="9"/>
  <c r="T119" i="9"/>
  <c r="S119" i="9"/>
  <c r="R119" i="9"/>
  <c r="Q119" i="9"/>
  <c r="P119" i="9"/>
  <c r="O119" i="9"/>
  <c r="N119" i="9"/>
  <c r="M119" i="9"/>
  <c r="L119" i="9"/>
  <c r="K119" i="9"/>
  <c r="J119"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K118" i="9"/>
  <c r="J118"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7" i="9"/>
  <c r="J117" i="9"/>
  <c r="AN116" i="9"/>
  <c r="AM116" i="9"/>
  <c r="AL116" i="9"/>
  <c r="AK116" i="9"/>
  <c r="AJ116" i="9"/>
  <c r="AI116" i="9"/>
  <c r="AH116" i="9"/>
  <c r="AG116" i="9"/>
  <c r="AF116" i="9"/>
  <c r="AE116" i="9"/>
  <c r="AD116" i="9"/>
  <c r="AC116" i="9"/>
  <c r="AB116" i="9"/>
  <c r="AA116" i="9"/>
  <c r="Z116" i="9"/>
  <c r="Y116" i="9"/>
  <c r="X116" i="9"/>
  <c r="W116" i="9"/>
  <c r="V116" i="9"/>
  <c r="U116" i="9"/>
  <c r="T116" i="9"/>
  <c r="S116" i="9"/>
  <c r="R116" i="9"/>
  <c r="Q116" i="9"/>
  <c r="P116" i="9"/>
  <c r="O116" i="9"/>
  <c r="N116" i="9"/>
  <c r="M116" i="9"/>
  <c r="L116" i="9"/>
  <c r="K116" i="9"/>
  <c r="J116" i="9"/>
  <c r="AN115" i="9"/>
  <c r="AM115" i="9"/>
  <c r="AL115" i="9"/>
  <c r="AK115" i="9"/>
  <c r="AJ115" i="9"/>
  <c r="AI115" i="9"/>
  <c r="AH115" i="9"/>
  <c r="AG115" i="9"/>
  <c r="AF115" i="9"/>
  <c r="AE115" i="9"/>
  <c r="AD115" i="9"/>
  <c r="AC115" i="9"/>
  <c r="AB115" i="9"/>
  <c r="AA115" i="9"/>
  <c r="Z115" i="9"/>
  <c r="Y115" i="9"/>
  <c r="X115" i="9"/>
  <c r="W115" i="9"/>
  <c r="V115" i="9"/>
  <c r="U115" i="9"/>
  <c r="T115" i="9"/>
  <c r="S115" i="9"/>
  <c r="R115" i="9"/>
  <c r="Q115" i="9"/>
  <c r="P115" i="9"/>
  <c r="O115" i="9"/>
  <c r="N115" i="9"/>
  <c r="M115" i="9"/>
  <c r="L115" i="9"/>
  <c r="K115" i="9"/>
  <c r="J115" i="9"/>
  <c r="AN114" i="9"/>
  <c r="AM114" i="9"/>
  <c r="AL114" i="9"/>
  <c r="AK114" i="9"/>
  <c r="AJ114" i="9"/>
  <c r="AI114" i="9"/>
  <c r="AH114" i="9"/>
  <c r="AG114" i="9"/>
  <c r="AF114" i="9"/>
  <c r="AE114" i="9"/>
  <c r="AD114" i="9"/>
  <c r="AC114" i="9"/>
  <c r="AB114" i="9"/>
  <c r="AA114" i="9"/>
  <c r="Z114" i="9"/>
  <c r="Y114" i="9"/>
  <c r="X114" i="9"/>
  <c r="W114" i="9"/>
  <c r="V114" i="9"/>
  <c r="U114" i="9"/>
  <c r="T114" i="9"/>
  <c r="S114" i="9"/>
  <c r="R114" i="9"/>
  <c r="Q114" i="9"/>
  <c r="P114" i="9"/>
  <c r="O114" i="9"/>
  <c r="N114" i="9"/>
  <c r="M114" i="9"/>
  <c r="L114" i="9"/>
  <c r="K114" i="9"/>
  <c r="J114" i="9"/>
  <c r="AN113" i="9"/>
  <c r="AM113" i="9"/>
  <c r="AL113" i="9"/>
  <c r="AK113" i="9"/>
  <c r="AJ113" i="9"/>
  <c r="AI113" i="9"/>
  <c r="AH113" i="9"/>
  <c r="AG113" i="9"/>
  <c r="AF113" i="9"/>
  <c r="AE113" i="9"/>
  <c r="AD113" i="9"/>
  <c r="AC113" i="9"/>
  <c r="AB113" i="9"/>
  <c r="AA113" i="9"/>
  <c r="Z113" i="9"/>
  <c r="Y113" i="9"/>
  <c r="X113" i="9"/>
  <c r="W113" i="9"/>
  <c r="V113" i="9"/>
  <c r="U113" i="9"/>
  <c r="T113" i="9"/>
  <c r="S113" i="9"/>
  <c r="R113" i="9"/>
  <c r="Q113" i="9"/>
  <c r="P113" i="9"/>
  <c r="O113" i="9"/>
  <c r="N113" i="9"/>
  <c r="M113" i="9"/>
  <c r="L113" i="9"/>
  <c r="K113" i="9"/>
  <c r="J113" i="9"/>
  <c r="AN112" i="9"/>
  <c r="AM112" i="9"/>
  <c r="AL112" i="9"/>
  <c r="AK112" i="9"/>
  <c r="AJ112" i="9"/>
  <c r="AI112" i="9"/>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AN111" i="9"/>
  <c r="AM111" i="9"/>
  <c r="AL111" i="9"/>
  <c r="AK111" i="9"/>
  <c r="AJ111" i="9"/>
  <c r="AI111" i="9"/>
  <c r="AH111" i="9"/>
  <c r="AG111" i="9"/>
  <c r="AF111" i="9"/>
  <c r="AE111" i="9"/>
  <c r="AD111" i="9"/>
  <c r="AC111" i="9"/>
  <c r="AB111" i="9"/>
  <c r="AA111" i="9"/>
  <c r="Z111" i="9"/>
  <c r="Y111" i="9"/>
  <c r="X111" i="9"/>
  <c r="W111" i="9"/>
  <c r="V111" i="9"/>
  <c r="U111" i="9"/>
  <c r="T111" i="9"/>
  <c r="S111" i="9"/>
  <c r="R111" i="9"/>
  <c r="Q111" i="9"/>
  <c r="P111" i="9"/>
  <c r="O111" i="9"/>
  <c r="N111" i="9"/>
  <c r="M111" i="9"/>
  <c r="L111" i="9"/>
  <c r="K111" i="9"/>
  <c r="J111"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AN108" i="9"/>
  <c r="AM108" i="9"/>
  <c r="AL108" i="9"/>
  <c r="AK108" i="9"/>
  <c r="AJ108" i="9"/>
  <c r="AI108" i="9"/>
  <c r="AH108" i="9"/>
  <c r="AG108" i="9"/>
  <c r="AF108" i="9"/>
  <c r="AE108" i="9"/>
  <c r="AD108" i="9"/>
  <c r="AC108" i="9"/>
  <c r="AB108" i="9"/>
  <c r="AA108" i="9"/>
  <c r="Z108" i="9"/>
  <c r="Y108" i="9"/>
  <c r="X108" i="9"/>
  <c r="W108" i="9"/>
  <c r="V108" i="9"/>
  <c r="U108" i="9"/>
  <c r="T108" i="9"/>
  <c r="S108" i="9"/>
  <c r="R108" i="9"/>
  <c r="Q108" i="9"/>
  <c r="P108" i="9"/>
  <c r="O108" i="9"/>
  <c r="N108" i="9"/>
  <c r="M108" i="9"/>
  <c r="L108" i="9"/>
  <c r="K108" i="9"/>
  <c r="J108" i="9"/>
  <c r="AN107" i="9"/>
  <c r="AM107" i="9"/>
  <c r="AL107" i="9"/>
  <c r="AK107" i="9"/>
  <c r="AJ107" i="9"/>
  <c r="AI107" i="9"/>
  <c r="AH107" i="9"/>
  <c r="AG107" i="9"/>
  <c r="AF107" i="9"/>
  <c r="AE107" i="9"/>
  <c r="AD107" i="9"/>
  <c r="AC107" i="9"/>
  <c r="AB107" i="9"/>
  <c r="AA107" i="9"/>
  <c r="Z107" i="9"/>
  <c r="Y107" i="9"/>
  <c r="X107" i="9"/>
  <c r="W107" i="9"/>
  <c r="V107" i="9"/>
  <c r="U107" i="9"/>
  <c r="T107" i="9"/>
  <c r="S107" i="9"/>
  <c r="R107" i="9"/>
  <c r="Q107" i="9"/>
  <c r="P107" i="9"/>
  <c r="O107" i="9"/>
  <c r="N107" i="9"/>
  <c r="M107" i="9"/>
  <c r="L107" i="9"/>
  <c r="K107" i="9"/>
  <c r="J107" i="9"/>
  <c r="AN106" i="9"/>
  <c r="AM106" i="9"/>
  <c r="AL106" i="9"/>
  <c r="AK106" i="9"/>
  <c r="AJ106" i="9"/>
  <c r="AI106" i="9"/>
  <c r="AH106" i="9"/>
  <c r="AG106" i="9"/>
  <c r="AF106" i="9"/>
  <c r="AE106" i="9"/>
  <c r="AD106" i="9"/>
  <c r="AC106" i="9"/>
  <c r="AB106" i="9"/>
  <c r="AA106" i="9"/>
  <c r="Z106" i="9"/>
  <c r="Y106" i="9"/>
  <c r="X106" i="9"/>
  <c r="W106" i="9"/>
  <c r="V106" i="9"/>
  <c r="U106" i="9"/>
  <c r="T106" i="9"/>
  <c r="S106" i="9"/>
  <c r="R106" i="9"/>
  <c r="Q106" i="9"/>
  <c r="P106" i="9"/>
  <c r="O106" i="9"/>
  <c r="N106" i="9"/>
  <c r="M106" i="9"/>
  <c r="L106" i="9"/>
  <c r="K106" i="9"/>
  <c r="J106" i="9"/>
  <c r="AN105" i="9"/>
  <c r="AM105" i="9"/>
  <c r="AL105" i="9"/>
  <c r="AK105" i="9"/>
  <c r="AJ105" i="9"/>
  <c r="AI105" i="9"/>
  <c r="AH105" i="9"/>
  <c r="AG105" i="9"/>
  <c r="AF105" i="9"/>
  <c r="AE105" i="9"/>
  <c r="AD105" i="9"/>
  <c r="AC105" i="9"/>
  <c r="AB105" i="9"/>
  <c r="AA105" i="9"/>
  <c r="Z105" i="9"/>
  <c r="Y105" i="9"/>
  <c r="X105" i="9"/>
  <c r="W105" i="9"/>
  <c r="V105" i="9"/>
  <c r="U105" i="9"/>
  <c r="T105" i="9"/>
  <c r="S105" i="9"/>
  <c r="R105" i="9"/>
  <c r="Q105" i="9"/>
  <c r="P105" i="9"/>
  <c r="O105" i="9"/>
  <c r="N105" i="9"/>
  <c r="M105" i="9"/>
  <c r="L105" i="9"/>
  <c r="K105" i="9"/>
  <c r="J105" i="9"/>
  <c r="AN104" i="9"/>
  <c r="AM104" i="9"/>
  <c r="AL104" i="9"/>
  <c r="AK104" i="9"/>
  <c r="AJ104" i="9"/>
  <c r="AI104" i="9"/>
  <c r="AH104" i="9"/>
  <c r="AG104" i="9"/>
  <c r="AF104" i="9"/>
  <c r="AE104" i="9"/>
  <c r="AD104" i="9"/>
  <c r="AC104" i="9"/>
  <c r="AB104" i="9"/>
  <c r="AA104" i="9"/>
  <c r="Z104" i="9"/>
  <c r="Y104" i="9"/>
  <c r="X104" i="9"/>
  <c r="W104" i="9"/>
  <c r="V104" i="9"/>
  <c r="U104" i="9"/>
  <c r="T104" i="9"/>
  <c r="S104" i="9"/>
  <c r="R104" i="9"/>
  <c r="Q104" i="9"/>
  <c r="P104" i="9"/>
  <c r="O104" i="9"/>
  <c r="N104" i="9"/>
  <c r="M104" i="9"/>
  <c r="L104" i="9"/>
  <c r="K104" i="9"/>
  <c r="J104"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K103" i="9"/>
  <c r="J103"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AN101" i="9"/>
  <c r="AM101" i="9"/>
  <c r="AL101" i="9"/>
  <c r="AK101" i="9"/>
  <c r="AJ101" i="9"/>
  <c r="AI101" i="9"/>
  <c r="AH101" i="9"/>
  <c r="AG101" i="9"/>
  <c r="AF101" i="9"/>
  <c r="AE101" i="9"/>
  <c r="AD101" i="9"/>
  <c r="AC101" i="9"/>
  <c r="AB101" i="9"/>
  <c r="AA101" i="9"/>
  <c r="Z101" i="9"/>
  <c r="Y101" i="9"/>
  <c r="X101" i="9"/>
  <c r="W101" i="9"/>
  <c r="V101" i="9"/>
  <c r="U101" i="9"/>
  <c r="T101" i="9"/>
  <c r="S101" i="9"/>
  <c r="R101" i="9"/>
  <c r="Q101" i="9"/>
  <c r="P101" i="9"/>
  <c r="O101" i="9"/>
  <c r="N101" i="9"/>
  <c r="M101" i="9"/>
  <c r="L101" i="9"/>
  <c r="K101" i="9"/>
  <c r="J101" i="9"/>
  <c r="AN100" i="9"/>
  <c r="AM100" i="9"/>
  <c r="AL100" i="9"/>
  <c r="AK100" i="9"/>
  <c r="AJ100" i="9"/>
  <c r="AI100" i="9"/>
  <c r="AH100" i="9"/>
  <c r="AG100" i="9"/>
  <c r="AF100" i="9"/>
  <c r="AE100" i="9"/>
  <c r="AD100" i="9"/>
  <c r="AC100" i="9"/>
  <c r="AB100" i="9"/>
  <c r="AA100" i="9"/>
  <c r="Z100" i="9"/>
  <c r="Y100" i="9"/>
  <c r="X100" i="9"/>
  <c r="W100" i="9"/>
  <c r="V100" i="9"/>
  <c r="U100" i="9"/>
  <c r="T100" i="9"/>
  <c r="S100" i="9"/>
  <c r="R100" i="9"/>
  <c r="Q100" i="9"/>
  <c r="P100" i="9"/>
  <c r="O100" i="9"/>
  <c r="N100" i="9"/>
  <c r="M100" i="9"/>
  <c r="L100" i="9"/>
  <c r="K100" i="9"/>
  <c r="J100" i="9"/>
  <c r="AN99" i="9"/>
  <c r="AM99" i="9"/>
  <c r="AL99" i="9"/>
  <c r="AK99" i="9"/>
  <c r="AJ99" i="9"/>
  <c r="AI99" i="9"/>
  <c r="AH99" i="9"/>
  <c r="AG99" i="9"/>
  <c r="AF99" i="9"/>
  <c r="AE99" i="9"/>
  <c r="AD99" i="9"/>
  <c r="AC99" i="9"/>
  <c r="AB99" i="9"/>
  <c r="AA99" i="9"/>
  <c r="Z99" i="9"/>
  <c r="Y99" i="9"/>
  <c r="X99" i="9"/>
  <c r="W99" i="9"/>
  <c r="V99" i="9"/>
  <c r="U99" i="9"/>
  <c r="T99" i="9"/>
  <c r="S99" i="9"/>
  <c r="R99" i="9"/>
  <c r="Q99" i="9"/>
  <c r="P99" i="9"/>
  <c r="O99" i="9"/>
  <c r="N99" i="9"/>
  <c r="M99" i="9"/>
  <c r="L99" i="9"/>
  <c r="K99" i="9"/>
  <c r="J99"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AN79" i="9"/>
  <c r="AM79" i="9"/>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L76" i="9"/>
  <c r="K76" i="9"/>
  <c r="J76"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L74" i="9"/>
  <c r="K74" i="9"/>
  <c r="J74"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L72" i="9"/>
  <c r="K72" i="9"/>
  <c r="J72"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L71" i="9"/>
  <c r="K71" i="9"/>
  <c r="J71"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L70" i="9"/>
  <c r="K70" i="9"/>
  <c r="J70"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L65" i="9"/>
  <c r="K65" i="9"/>
  <c r="J65"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K8" i="9"/>
  <c r="L8" i="9"/>
  <c r="M8" i="9"/>
  <c r="N8" i="9"/>
  <c r="P8" i="9"/>
  <c r="Q8" i="9"/>
  <c r="R8" i="9"/>
  <c r="S8" i="9"/>
  <c r="T8" i="9"/>
  <c r="U8" i="9"/>
  <c r="V8" i="9"/>
  <c r="W8" i="9"/>
  <c r="X8" i="9"/>
  <c r="Y8" i="9"/>
  <c r="Z8" i="9"/>
  <c r="AA8" i="9"/>
  <c r="AB8" i="9"/>
  <c r="AC8" i="9"/>
  <c r="AD8" i="9"/>
  <c r="AE8" i="9"/>
  <c r="AF8" i="9"/>
  <c r="AG8" i="9"/>
  <c r="AH8" i="9"/>
  <c r="AI8" i="9"/>
  <c r="AJ8" i="9"/>
  <c r="AK8" i="9"/>
  <c r="AL8" i="9"/>
  <c r="AM8" i="9"/>
  <c r="AN8" i="9"/>
  <c r="J8" i="9"/>
  <c r="AN138" i="9"/>
  <c r="AM138" i="9"/>
  <c r="AL138" i="9"/>
  <c r="AK138" i="9"/>
  <c r="AJ138" i="9"/>
  <c r="AI138" i="9"/>
  <c r="AH138" i="9"/>
  <c r="AG138" i="9"/>
  <c r="AF138" i="9"/>
  <c r="AE138" i="9"/>
  <c r="AD138" i="9"/>
  <c r="AC138" i="9"/>
  <c r="AB138" i="9"/>
  <c r="AA138" i="9"/>
  <c r="Z138" i="9"/>
  <c r="Y138" i="9"/>
  <c r="X138" i="9"/>
  <c r="W138" i="9"/>
  <c r="V138" i="9"/>
  <c r="U138" i="9"/>
  <c r="T138" i="9"/>
  <c r="S138" i="9"/>
  <c r="R138" i="9"/>
  <c r="Q138" i="9"/>
  <c r="P138" i="9"/>
  <c r="O138" i="9"/>
  <c r="N138" i="9"/>
  <c r="M138" i="9"/>
  <c r="L138" i="9"/>
  <c r="K138" i="9"/>
  <c r="J138" i="9"/>
  <c r="AN136" i="9"/>
  <c r="AM136" i="9"/>
  <c r="AL136" i="9"/>
  <c r="AK136" i="9"/>
  <c r="AJ136" i="9"/>
  <c r="AI136" i="9"/>
  <c r="AH136" i="9"/>
  <c r="AG136" i="9"/>
  <c r="AF136" i="9"/>
  <c r="AE136" i="9"/>
  <c r="AD136" i="9"/>
  <c r="AC136" i="9"/>
  <c r="AB136" i="9"/>
  <c r="AA136" i="9"/>
  <c r="Z136" i="9"/>
  <c r="Y136" i="9"/>
  <c r="X136" i="9"/>
  <c r="W136" i="9"/>
  <c r="V136" i="9"/>
  <c r="U136" i="9"/>
  <c r="T136" i="9"/>
  <c r="S136" i="9"/>
  <c r="R136" i="9"/>
  <c r="Q136" i="9"/>
  <c r="P136" i="9"/>
  <c r="O136" i="9"/>
  <c r="N136" i="9"/>
  <c r="M136" i="9"/>
  <c r="L136" i="9"/>
  <c r="K136" i="9"/>
  <c r="J136" i="9"/>
  <c r="AN134" i="9"/>
  <c r="AM134" i="9"/>
  <c r="AL134" i="9"/>
  <c r="AK134" i="9"/>
  <c r="AJ134" i="9"/>
  <c r="AI134" i="9"/>
  <c r="AH134" i="9"/>
  <c r="AG134" i="9"/>
  <c r="AF134" i="9"/>
  <c r="AE134" i="9"/>
  <c r="AD134" i="9"/>
  <c r="AC134" i="9"/>
  <c r="AB134" i="9"/>
  <c r="AA134" i="9"/>
  <c r="Z134" i="9"/>
  <c r="Y134" i="9"/>
  <c r="X134" i="9"/>
  <c r="W134" i="9"/>
  <c r="V134" i="9"/>
  <c r="U134" i="9"/>
  <c r="T134" i="9"/>
  <c r="S134" i="9"/>
  <c r="R134" i="9"/>
  <c r="Q134" i="9"/>
  <c r="P134" i="9"/>
  <c r="O134" i="9"/>
  <c r="N134" i="9"/>
  <c r="M134" i="9"/>
  <c r="L134" i="9"/>
  <c r="K134" i="9"/>
  <c r="J134"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AN109" i="9"/>
  <c r="AM109" i="9"/>
  <c r="AL109" i="9"/>
  <c r="AK109" i="9"/>
  <c r="AJ109" i="9"/>
  <c r="AI109" i="9"/>
  <c r="AH109" i="9"/>
  <c r="AG109" i="9"/>
  <c r="AF109" i="9"/>
  <c r="AE109" i="9"/>
  <c r="AD109" i="9"/>
  <c r="AC109" i="9"/>
  <c r="AB109" i="9"/>
  <c r="AA109" i="9"/>
  <c r="Z109" i="9"/>
  <c r="Y109" i="9"/>
  <c r="X109" i="9"/>
  <c r="W109" i="9"/>
  <c r="V109" i="9"/>
  <c r="U109" i="9"/>
  <c r="T109" i="9"/>
  <c r="S109" i="9"/>
  <c r="R109" i="9"/>
  <c r="Q109" i="9"/>
  <c r="P109" i="9"/>
  <c r="O109" i="9"/>
  <c r="N109" i="9"/>
  <c r="M109" i="9"/>
  <c r="L109" i="9"/>
  <c r="K109" i="9"/>
  <c r="J109"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AN73" i="9"/>
  <c r="AM73" i="9"/>
  <c r="AL73" i="9"/>
  <c r="AK73" i="9"/>
  <c r="AJ73" i="9"/>
  <c r="AI73" i="9"/>
  <c r="AH73" i="9"/>
  <c r="AG73" i="9"/>
  <c r="AF73" i="9"/>
  <c r="AE73" i="9"/>
  <c r="AD73" i="9"/>
  <c r="AC73" i="9"/>
  <c r="AB73" i="9"/>
  <c r="AA73" i="9"/>
  <c r="Z73" i="9"/>
  <c r="Y73" i="9"/>
  <c r="X73" i="9"/>
  <c r="W73" i="9"/>
  <c r="V73" i="9"/>
  <c r="U73" i="9"/>
  <c r="T73" i="9"/>
  <c r="S73" i="9"/>
  <c r="R73" i="9"/>
  <c r="Q73" i="9"/>
  <c r="P73" i="9"/>
  <c r="O73" i="9"/>
  <c r="N73" i="9"/>
  <c r="M73" i="9"/>
  <c r="L73" i="9"/>
  <c r="K73" i="9"/>
  <c r="J73"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L69" i="9"/>
  <c r="K69" i="9"/>
  <c r="J69"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O7" i="9"/>
  <c r="M7" i="9"/>
  <c r="N7" i="9"/>
  <c r="P7" i="9"/>
  <c r="Q7" i="9"/>
  <c r="R7" i="9"/>
  <c r="S7" i="9"/>
  <c r="T7" i="9"/>
  <c r="U7" i="9"/>
  <c r="V7" i="9"/>
  <c r="W7" i="9"/>
  <c r="X7" i="9"/>
  <c r="Y7" i="9"/>
  <c r="Z7" i="9"/>
  <c r="AA7" i="9"/>
  <c r="AB7" i="9"/>
  <c r="AC7" i="9"/>
  <c r="AD7" i="9"/>
  <c r="AE7" i="9"/>
  <c r="AF7" i="9"/>
  <c r="AG7" i="9"/>
  <c r="AH7" i="9"/>
  <c r="AI7" i="9"/>
  <c r="AJ7" i="9"/>
  <c r="AK7" i="9"/>
  <c r="AL7" i="9"/>
  <c r="AM7" i="9"/>
  <c r="AN7" i="9"/>
  <c r="K7" i="9"/>
  <c r="L7" i="9"/>
  <c r="J7" i="9"/>
  <c r="I157" i="9"/>
  <c r="I156" i="9"/>
  <c r="I136" i="9"/>
  <c r="I123" i="9"/>
  <c r="I129" i="9"/>
  <c r="I128" i="9"/>
  <c r="I127" i="9"/>
  <c r="I125" i="9"/>
  <c r="I124" i="9"/>
  <c r="I122" i="9"/>
  <c r="I121" i="9"/>
  <c r="I113" i="9"/>
  <c r="I112" i="9"/>
  <c r="I111" i="9"/>
  <c r="I110" i="9"/>
  <c r="I87" i="9"/>
  <c r="I84" i="9" s="1"/>
  <c r="I71" i="9"/>
  <c r="I69" i="9" s="1"/>
  <c r="I62" i="9"/>
  <c r="I61" i="9"/>
  <c r="F73" i="7"/>
  <c r="F72" i="7"/>
  <c r="F71" i="7"/>
  <c r="F70" i="7"/>
  <c r="F68" i="7"/>
  <c r="F66" i="7"/>
  <c r="F65" i="7"/>
  <c r="F64" i="7"/>
  <c r="F63" i="7"/>
  <c r="F62" i="7"/>
  <c r="F61" i="7"/>
  <c r="F60" i="7"/>
  <c r="F59" i="7"/>
  <c r="F58" i="7"/>
  <c r="F57" i="7"/>
  <c r="F56" i="7"/>
  <c r="F55" i="7"/>
  <c r="F54" i="7"/>
  <c r="F53" i="7"/>
  <c r="F52" i="7"/>
  <c r="F51" i="7"/>
  <c r="E52" i="7"/>
  <c r="E53" i="7"/>
  <c r="E54" i="7"/>
  <c r="E55" i="7"/>
  <c r="E56" i="7"/>
  <c r="E57" i="7"/>
  <c r="E58" i="7"/>
  <c r="E59" i="7"/>
  <c r="E60" i="7"/>
  <c r="E61" i="7"/>
  <c r="E62" i="7"/>
  <c r="E63" i="7"/>
  <c r="E64" i="7"/>
  <c r="E65" i="7"/>
  <c r="E66" i="7"/>
  <c r="E67" i="7"/>
  <c r="E68" i="7"/>
  <c r="E69" i="7"/>
  <c r="E70" i="7"/>
  <c r="E71" i="7"/>
  <c r="E72" i="7"/>
  <c r="E73" i="7"/>
  <c r="E51" i="7"/>
  <c r="C52" i="7"/>
  <c r="C53" i="7"/>
  <c r="C54" i="7"/>
  <c r="C55" i="7"/>
  <c r="C56" i="7"/>
  <c r="C57" i="7"/>
  <c r="C58" i="7"/>
  <c r="C59" i="7"/>
  <c r="C60" i="7"/>
  <c r="C61" i="7"/>
  <c r="C62" i="7"/>
  <c r="C63" i="7"/>
  <c r="C64" i="7"/>
  <c r="C65" i="7"/>
  <c r="C66" i="7"/>
  <c r="C67" i="7"/>
  <c r="C68" i="7"/>
  <c r="C69" i="7"/>
  <c r="C70" i="7"/>
  <c r="C71" i="7"/>
  <c r="C72" i="7"/>
  <c r="C73" i="7"/>
  <c r="C51" i="7"/>
  <c r="H7" i="2"/>
  <c r="H32" i="2" s="1"/>
  <c r="C7" i="2"/>
  <c r="I29" i="9"/>
  <c r="I24" i="9"/>
  <c r="I7" i="9"/>
  <c r="I14" i="9"/>
  <c r="I31" i="9"/>
  <c r="I45" i="9"/>
  <c r="I53" i="9"/>
  <c r="I66" i="9"/>
  <c r="I73" i="9"/>
  <c r="I89" i="9"/>
  <c r="I91" i="9"/>
  <c r="I97" i="9"/>
  <c r="I138" i="9"/>
  <c r="I145" i="9"/>
  <c r="O115" i="8"/>
  <c r="O114" i="8"/>
  <c r="O113" i="8"/>
  <c r="O112" i="8"/>
  <c r="O111" i="8"/>
  <c r="O110" i="8"/>
  <c r="O108" i="8"/>
  <c r="O106" i="8"/>
  <c r="O104" i="8"/>
  <c r="O102" i="8"/>
  <c r="O101" i="8"/>
  <c r="O100" i="8"/>
  <c r="O99" i="8"/>
  <c r="O98" i="8"/>
  <c r="O97" i="8"/>
  <c r="O96" i="8"/>
  <c r="O94" i="8"/>
  <c r="O93" i="8"/>
  <c r="O92" i="8"/>
  <c r="O91" i="8"/>
  <c r="O90" i="8"/>
  <c r="O89" i="8"/>
  <c r="O88" i="8"/>
  <c r="O87" i="8"/>
  <c r="O86" i="8"/>
  <c r="O85" i="8"/>
  <c r="O83" i="8"/>
  <c r="O81" i="8"/>
  <c r="O80" i="8"/>
  <c r="O79" i="8"/>
  <c r="O78" i="8"/>
  <c r="O76" i="8"/>
  <c r="O74" i="8"/>
  <c r="O73" i="8"/>
  <c r="O72" i="8"/>
  <c r="O71" i="8"/>
  <c r="O69" i="8"/>
  <c r="O68" i="8"/>
  <c r="O67" i="8"/>
  <c r="O66" i="8"/>
  <c r="O64" i="8"/>
  <c r="O63" i="8"/>
  <c r="O62" i="8"/>
  <c r="O61" i="8"/>
  <c r="O60" i="8"/>
  <c r="O58" i="8"/>
  <c r="O57" i="8"/>
  <c r="O56" i="8"/>
  <c r="O55" i="8"/>
  <c r="O54" i="8"/>
  <c r="O52" i="8"/>
  <c r="O51" i="8"/>
  <c r="O50" i="8"/>
  <c r="O49" i="8"/>
  <c r="O48" i="8"/>
  <c r="O47" i="8"/>
  <c r="O46" i="8"/>
  <c r="O45" i="8"/>
  <c r="O44" i="8"/>
  <c r="O43" i="8"/>
  <c r="O41" i="8"/>
  <c r="O40" i="8"/>
  <c r="O39" i="8"/>
  <c r="O38" i="8"/>
  <c r="O37" i="8"/>
  <c r="O36" i="8"/>
  <c r="O35" i="8"/>
  <c r="O34" i="8"/>
  <c r="O33" i="8"/>
  <c r="O32" i="8"/>
  <c r="O31" i="8"/>
  <c r="O30" i="8"/>
  <c r="O29" i="8"/>
  <c r="O28" i="8"/>
  <c r="O26" i="8"/>
  <c r="O25" i="8"/>
  <c r="O24" i="8"/>
  <c r="O23" i="8"/>
  <c r="O22" i="8"/>
  <c r="O21" i="8"/>
  <c r="O20" i="8"/>
  <c r="O18" i="8"/>
  <c r="O17" i="8"/>
  <c r="O16" i="8"/>
  <c r="O15" i="8"/>
  <c r="O14" i="8"/>
  <c r="O13" i="8"/>
  <c r="O11" i="8"/>
  <c r="O10" i="8"/>
  <c r="O9" i="8"/>
  <c r="O8" i="8"/>
  <c r="O7" i="8"/>
  <c r="AN115" i="8"/>
  <c r="AM115" i="8"/>
  <c r="AL115" i="8"/>
  <c r="AK115" i="8"/>
  <c r="AJ115" i="8"/>
  <c r="AI115" i="8"/>
  <c r="AH115" i="8"/>
  <c r="AG115" i="8"/>
  <c r="AF115" i="8"/>
  <c r="AE115" i="8"/>
  <c r="AD115" i="8"/>
  <c r="AC115" i="8"/>
  <c r="AB115" i="8"/>
  <c r="AA115" i="8"/>
  <c r="Z115" i="8"/>
  <c r="Y115" i="8"/>
  <c r="X115" i="8"/>
  <c r="W115" i="8"/>
  <c r="V115" i="8"/>
  <c r="U115" i="8"/>
  <c r="T115" i="8"/>
  <c r="S115" i="8"/>
  <c r="R115" i="8"/>
  <c r="Q115" i="8"/>
  <c r="P115" i="8"/>
  <c r="N115" i="8"/>
  <c r="M115" i="8"/>
  <c r="L115" i="8"/>
  <c r="K115" i="8"/>
  <c r="J115" i="8"/>
  <c r="AN114" i="8"/>
  <c r="AM114" i="8"/>
  <c r="AL114" i="8"/>
  <c r="AK114" i="8"/>
  <c r="AJ114" i="8"/>
  <c r="AI114" i="8"/>
  <c r="AH114" i="8"/>
  <c r="AG114" i="8"/>
  <c r="AF114" i="8"/>
  <c r="AE114" i="8"/>
  <c r="AD114" i="8"/>
  <c r="AC114" i="8"/>
  <c r="AB114" i="8"/>
  <c r="AA114" i="8"/>
  <c r="Z114" i="8"/>
  <c r="Y114" i="8"/>
  <c r="X114" i="8"/>
  <c r="W114" i="8"/>
  <c r="V114" i="8"/>
  <c r="U114" i="8"/>
  <c r="T114" i="8"/>
  <c r="S114" i="8"/>
  <c r="R114" i="8"/>
  <c r="Q114" i="8"/>
  <c r="P114" i="8"/>
  <c r="N114" i="8"/>
  <c r="M114" i="8"/>
  <c r="L114" i="8"/>
  <c r="K114" i="8"/>
  <c r="J114" i="8"/>
  <c r="AN113" i="8"/>
  <c r="AM113" i="8"/>
  <c r="AL113" i="8"/>
  <c r="AK113" i="8"/>
  <c r="AJ113" i="8"/>
  <c r="AI113" i="8"/>
  <c r="AH113" i="8"/>
  <c r="AG113" i="8"/>
  <c r="AF113" i="8"/>
  <c r="AE113" i="8"/>
  <c r="AD113" i="8"/>
  <c r="AC113" i="8"/>
  <c r="AB113" i="8"/>
  <c r="AA113" i="8"/>
  <c r="Z113" i="8"/>
  <c r="Y113" i="8"/>
  <c r="X113" i="8"/>
  <c r="W113" i="8"/>
  <c r="V113" i="8"/>
  <c r="U113" i="8"/>
  <c r="T113" i="8"/>
  <c r="S113" i="8"/>
  <c r="R113" i="8"/>
  <c r="Q113" i="8"/>
  <c r="P113" i="8"/>
  <c r="N113" i="8"/>
  <c r="M113" i="8"/>
  <c r="L113" i="8"/>
  <c r="K113" i="8"/>
  <c r="J113" i="8"/>
  <c r="AN112" i="8"/>
  <c r="AM112" i="8"/>
  <c r="AL112" i="8"/>
  <c r="AK112" i="8"/>
  <c r="AJ112" i="8"/>
  <c r="AI112" i="8"/>
  <c r="AH112" i="8"/>
  <c r="AG112" i="8"/>
  <c r="AF112" i="8"/>
  <c r="AE112" i="8"/>
  <c r="AD112" i="8"/>
  <c r="AC112" i="8"/>
  <c r="AB112" i="8"/>
  <c r="AA112" i="8"/>
  <c r="Z112" i="8"/>
  <c r="Y112" i="8"/>
  <c r="X112" i="8"/>
  <c r="W112" i="8"/>
  <c r="V112" i="8"/>
  <c r="U112" i="8"/>
  <c r="T112" i="8"/>
  <c r="S112" i="8"/>
  <c r="R112" i="8"/>
  <c r="Q112" i="8"/>
  <c r="P112" i="8"/>
  <c r="N112" i="8"/>
  <c r="M112" i="8"/>
  <c r="L112" i="8"/>
  <c r="K112" i="8"/>
  <c r="J112" i="8"/>
  <c r="AN111" i="8"/>
  <c r="AM111" i="8"/>
  <c r="AL111" i="8"/>
  <c r="AK111" i="8"/>
  <c r="AJ111" i="8"/>
  <c r="AI111" i="8"/>
  <c r="AH111" i="8"/>
  <c r="AG111" i="8"/>
  <c r="AF111" i="8"/>
  <c r="AE111" i="8"/>
  <c r="AD111" i="8"/>
  <c r="AC111" i="8"/>
  <c r="AB111" i="8"/>
  <c r="AA111" i="8"/>
  <c r="Z111" i="8"/>
  <c r="Y111" i="8"/>
  <c r="X111" i="8"/>
  <c r="W111" i="8"/>
  <c r="V111" i="8"/>
  <c r="U111" i="8"/>
  <c r="T111" i="8"/>
  <c r="S111" i="8"/>
  <c r="R111" i="8"/>
  <c r="Q111" i="8"/>
  <c r="P111" i="8"/>
  <c r="N111" i="8"/>
  <c r="M111" i="8"/>
  <c r="L111" i="8"/>
  <c r="K111" i="8"/>
  <c r="J111" i="8"/>
  <c r="AN110" i="8"/>
  <c r="AM110" i="8"/>
  <c r="AL110" i="8"/>
  <c r="AK110" i="8"/>
  <c r="AJ110" i="8"/>
  <c r="AI110" i="8"/>
  <c r="AH110" i="8"/>
  <c r="AG110" i="8"/>
  <c r="AF110" i="8"/>
  <c r="AE110" i="8"/>
  <c r="AD110" i="8"/>
  <c r="AC110" i="8"/>
  <c r="AB110" i="8"/>
  <c r="AA110" i="8"/>
  <c r="Z110" i="8"/>
  <c r="Y110" i="8"/>
  <c r="X110" i="8"/>
  <c r="W110" i="8"/>
  <c r="V110" i="8"/>
  <c r="U110" i="8"/>
  <c r="T110" i="8"/>
  <c r="S110" i="8"/>
  <c r="R110" i="8"/>
  <c r="Q110" i="8"/>
  <c r="P110" i="8"/>
  <c r="N110" i="8"/>
  <c r="M110" i="8"/>
  <c r="L110" i="8"/>
  <c r="K110" i="8"/>
  <c r="J110" i="8"/>
  <c r="AN108" i="8"/>
  <c r="AM108" i="8"/>
  <c r="AL108" i="8"/>
  <c r="AK108" i="8"/>
  <c r="AJ108" i="8"/>
  <c r="AI108" i="8"/>
  <c r="AH108" i="8"/>
  <c r="AG108" i="8"/>
  <c r="AF108" i="8"/>
  <c r="AE108" i="8"/>
  <c r="AD108" i="8"/>
  <c r="AC108" i="8"/>
  <c r="AB108" i="8"/>
  <c r="AA108" i="8"/>
  <c r="Z108" i="8"/>
  <c r="Y108" i="8"/>
  <c r="X108" i="8"/>
  <c r="W108" i="8"/>
  <c r="V108" i="8"/>
  <c r="U108" i="8"/>
  <c r="T108" i="8"/>
  <c r="S108" i="8"/>
  <c r="R108" i="8"/>
  <c r="Q108" i="8"/>
  <c r="P108" i="8"/>
  <c r="N108" i="8"/>
  <c r="M108" i="8"/>
  <c r="L108" i="8"/>
  <c r="K108" i="8"/>
  <c r="J108"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N106" i="8"/>
  <c r="M106" i="8"/>
  <c r="L106" i="8"/>
  <c r="K106" i="8"/>
  <c r="J106" i="8"/>
  <c r="AN104" i="8"/>
  <c r="AM104" i="8"/>
  <c r="AL104" i="8"/>
  <c r="AK104" i="8"/>
  <c r="AJ104" i="8"/>
  <c r="AI104" i="8"/>
  <c r="AH104" i="8"/>
  <c r="AG104" i="8"/>
  <c r="AF104" i="8"/>
  <c r="AE104" i="8"/>
  <c r="AD104" i="8"/>
  <c r="AC104" i="8"/>
  <c r="AB104" i="8"/>
  <c r="AA104" i="8"/>
  <c r="Z104" i="8"/>
  <c r="Y104" i="8"/>
  <c r="X104" i="8"/>
  <c r="W104" i="8"/>
  <c r="V104" i="8"/>
  <c r="U104" i="8"/>
  <c r="T104" i="8"/>
  <c r="S104" i="8"/>
  <c r="R104" i="8"/>
  <c r="Q104" i="8"/>
  <c r="P104" i="8"/>
  <c r="N104" i="8"/>
  <c r="M104" i="8"/>
  <c r="L104" i="8"/>
  <c r="K104" i="8"/>
  <c r="J104"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N102" i="8"/>
  <c r="M102" i="8"/>
  <c r="L102" i="8"/>
  <c r="K102" i="8"/>
  <c r="J102" i="8"/>
  <c r="AN101" i="8"/>
  <c r="AM101" i="8"/>
  <c r="AL101" i="8"/>
  <c r="AK101" i="8"/>
  <c r="AJ101" i="8"/>
  <c r="AI101" i="8"/>
  <c r="AH101" i="8"/>
  <c r="AG101" i="8"/>
  <c r="AF101" i="8"/>
  <c r="AE101" i="8"/>
  <c r="AD101" i="8"/>
  <c r="AC101" i="8"/>
  <c r="AB101" i="8"/>
  <c r="AA101" i="8"/>
  <c r="Z101" i="8"/>
  <c r="Y101" i="8"/>
  <c r="X101" i="8"/>
  <c r="W101" i="8"/>
  <c r="V101" i="8"/>
  <c r="U101" i="8"/>
  <c r="T101" i="8"/>
  <c r="S101" i="8"/>
  <c r="R101" i="8"/>
  <c r="Q101" i="8"/>
  <c r="P101" i="8"/>
  <c r="N101" i="8"/>
  <c r="M101" i="8"/>
  <c r="L101" i="8"/>
  <c r="K101" i="8"/>
  <c r="J101"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N100" i="8"/>
  <c r="M100" i="8"/>
  <c r="L100" i="8"/>
  <c r="K100" i="8"/>
  <c r="J100" i="8"/>
  <c r="AN99" i="8"/>
  <c r="AM99" i="8"/>
  <c r="AL99" i="8"/>
  <c r="AK99" i="8"/>
  <c r="AJ99" i="8"/>
  <c r="AI99" i="8"/>
  <c r="AH99" i="8"/>
  <c r="AG99" i="8"/>
  <c r="AF99" i="8"/>
  <c r="AE99" i="8"/>
  <c r="AD99" i="8"/>
  <c r="AC99" i="8"/>
  <c r="AB99" i="8"/>
  <c r="AA99" i="8"/>
  <c r="Z99" i="8"/>
  <c r="Y99" i="8"/>
  <c r="X99" i="8"/>
  <c r="W99" i="8"/>
  <c r="V99" i="8"/>
  <c r="U99" i="8"/>
  <c r="T99" i="8"/>
  <c r="S99" i="8"/>
  <c r="R99" i="8"/>
  <c r="Q99" i="8"/>
  <c r="P99" i="8"/>
  <c r="N99" i="8"/>
  <c r="M99" i="8"/>
  <c r="L99" i="8"/>
  <c r="K99" i="8"/>
  <c r="J99" i="8"/>
  <c r="AN98" i="8"/>
  <c r="AM98" i="8"/>
  <c r="AL98" i="8"/>
  <c r="AK98" i="8"/>
  <c r="AJ98" i="8"/>
  <c r="AI98" i="8"/>
  <c r="AH98" i="8"/>
  <c r="AG98" i="8"/>
  <c r="AF98" i="8"/>
  <c r="AE98" i="8"/>
  <c r="AD98" i="8"/>
  <c r="AC98" i="8"/>
  <c r="AB98" i="8"/>
  <c r="AA98" i="8"/>
  <c r="Z98" i="8"/>
  <c r="Y98" i="8"/>
  <c r="X98" i="8"/>
  <c r="W98" i="8"/>
  <c r="V98" i="8"/>
  <c r="U98" i="8"/>
  <c r="T98" i="8"/>
  <c r="S98" i="8"/>
  <c r="R98" i="8"/>
  <c r="Q98" i="8"/>
  <c r="P98" i="8"/>
  <c r="N98" i="8"/>
  <c r="M98" i="8"/>
  <c r="L98" i="8"/>
  <c r="K98" i="8"/>
  <c r="J98" i="8"/>
  <c r="AN97" i="8"/>
  <c r="AM97" i="8"/>
  <c r="AL97" i="8"/>
  <c r="AK97" i="8"/>
  <c r="AJ97" i="8"/>
  <c r="AI97" i="8"/>
  <c r="AH97" i="8"/>
  <c r="AG97" i="8"/>
  <c r="AF97" i="8"/>
  <c r="AE97" i="8"/>
  <c r="AD97" i="8"/>
  <c r="AC97" i="8"/>
  <c r="AB97" i="8"/>
  <c r="AA97" i="8"/>
  <c r="Z97" i="8"/>
  <c r="Y97" i="8"/>
  <c r="X97" i="8"/>
  <c r="W97" i="8"/>
  <c r="V97" i="8"/>
  <c r="U97" i="8"/>
  <c r="T97" i="8"/>
  <c r="S97" i="8"/>
  <c r="R97" i="8"/>
  <c r="Q97" i="8"/>
  <c r="P97" i="8"/>
  <c r="N97" i="8"/>
  <c r="M97" i="8"/>
  <c r="L97" i="8"/>
  <c r="K97" i="8"/>
  <c r="J97" i="8"/>
  <c r="AN96" i="8"/>
  <c r="AM96" i="8"/>
  <c r="AL96" i="8"/>
  <c r="AK96" i="8"/>
  <c r="AJ96" i="8"/>
  <c r="AI96" i="8"/>
  <c r="AH96" i="8"/>
  <c r="AG96" i="8"/>
  <c r="AF96" i="8"/>
  <c r="AE96" i="8"/>
  <c r="AD96" i="8"/>
  <c r="AC96" i="8"/>
  <c r="AB96" i="8"/>
  <c r="AA96" i="8"/>
  <c r="Z96" i="8"/>
  <c r="Y96" i="8"/>
  <c r="X96" i="8"/>
  <c r="W96" i="8"/>
  <c r="V96" i="8"/>
  <c r="U96" i="8"/>
  <c r="T96" i="8"/>
  <c r="S96" i="8"/>
  <c r="R96" i="8"/>
  <c r="Q96" i="8"/>
  <c r="P96" i="8"/>
  <c r="N96" i="8"/>
  <c r="M96" i="8"/>
  <c r="L96" i="8"/>
  <c r="K96" i="8"/>
  <c r="J96" i="8"/>
  <c r="AN94" i="8"/>
  <c r="AM94" i="8"/>
  <c r="AL94" i="8"/>
  <c r="AK94" i="8"/>
  <c r="AJ94" i="8"/>
  <c r="AI94" i="8"/>
  <c r="AH94" i="8"/>
  <c r="AG94" i="8"/>
  <c r="AF94" i="8"/>
  <c r="AE94" i="8"/>
  <c r="AD94" i="8"/>
  <c r="AC94" i="8"/>
  <c r="AB94" i="8"/>
  <c r="AA94" i="8"/>
  <c r="Z94" i="8"/>
  <c r="Y94" i="8"/>
  <c r="X94" i="8"/>
  <c r="W94" i="8"/>
  <c r="V94" i="8"/>
  <c r="U94" i="8"/>
  <c r="T94" i="8"/>
  <c r="S94" i="8"/>
  <c r="R94" i="8"/>
  <c r="Q94" i="8"/>
  <c r="P94" i="8"/>
  <c r="N94" i="8"/>
  <c r="M94" i="8"/>
  <c r="L94" i="8"/>
  <c r="K94" i="8"/>
  <c r="J94" i="8"/>
  <c r="AN93" i="8"/>
  <c r="AM93" i="8"/>
  <c r="AL93" i="8"/>
  <c r="AK93" i="8"/>
  <c r="AJ93" i="8"/>
  <c r="AI93" i="8"/>
  <c r="AH93" i="8"/>
  <c r="AG93" i="8"/>
  <c r="AF93" i="8"/>
  <c r="AE93" i="8"/>
  <c r="AD93" i="8"/>
  <c r="AC93" i="8"/>
  <c r="AB93" i="8"/>
  <c r="AA93" i="8"/>
  <c r="Z93" i="8"/>
  <c r="Y93" i="8"/>
  <c r="X93" i="8"/>
  <c r="W93" i="8"/>
  <c r="V93" i="8"/>
  <c r="U93" i="8"/>
  <c r="T93" i="8"/>
  <c r="S93" i="8"/>
  <c r="R93" i="8"/>
  <c r="Q93" i="8"/>
  <c r="P93" i="8"/>
  <c r="N93" i="8"/>
  <c r="M93" i="8"/>
  <c r="L93" i="8"/>
  <c r="K93" i="8"/>
  <c r="J93" i="8"/>
  <c r="AN92" i="8"/>
  <c r="AM92" i="8"/>
  <c r="AL92" i="8"/>
  <c r="AK92" i="8"/>
  <c r="AJ92" i="8"/>
  <c r="AI92" i="8"/>
  <c r="AH92" i="8"/>
  <c r="AG92" i="8"/>
  <c r="AF92" i="8"/>
  <c r="AE92" i="8"/>
  <c r="AD92" i="8"/>
  <c r="AC92" i="8"/>
  <c r="AB92" i="8"/>
  <c r="AA92" i="8"/>
  <c r="Z92" i="8"/>
  <c r="Y92" i="8"/>
  <c r="X92" i="8"/>
  <c r="W92" i="8"/>
  <c r="V92" i="8"/>
  <c r="U92" i="8"/>
  <c r="T92" i="8"/>
  <c r="S92" i="8"/>
  <c r="R92" i="8"/>
  <c r="Q92" i="8"/>
  <c r="P92" i="8"/>
  <c r="N92" i="8"/>
  <c r="M92" i="8"/>
  <c r="L92" i="8"/>
  <c r="K92" i="8"/>
  <c r="J92" i="8"/>
  <c r="AN91" i="8"/>
  <c r="AM91" i="8"/>
  <c r="AL91" i="8"/>
  <c r="AK91" i="8"/>
  <c r="AJ91" i="8"/>
  <c r="AI91" i="8"/>
  <c r="AH91" i="8"/>
  <c r="AG91" i="8"/>
  <c r="AF91" i="8"/>
  <c r="AE91" i="8"/>
  <c r="AD91" i="8"/>
  <c r="AC91" i="8"/>
  <c r="AB91" i="8"/>
  <c r="AA91" i="8"/>
  <c r="Z91" i="8"/>
  <c r="Y91" i="8"/>
  <c r="X91" i="8"/>
  <c r="W91" i="8"/>
  <c r="V91" i="8"/>
  <c r="U91" i="8"/>
  <c r="T91" i="8"/>
  <c r="S91" i="8"/>
  <c r="R91" i="8"/>
  <c r="Q91" i="8"/>
  <c r="P91" i="8"/>
  <c r="N91" i="8"/>
  <c r="M91" i="8"/>
  <c r="L91" i="8"/>
  <c r="K91" i="8"/>
  <c r="J91" i="8"/>
  <c r="AN90" i="8"/>
  <c r="AM90" i="8"/>
  <c r="AL90" i="8"/>
  <c r="AK90" i="8"/>
  <c r="AJ90" i="8"/>
  <c r="AI90" i="8"/>
  <c r="AH90" i="8"/>
  <c r="AG90" i="8"/>
  <c r="AF90" i="8"/>
  <c r="AE90" i="8"/>
  <c r="AD90" i="8"/>
  <c r="AC90" i="8"/>
  <c r="AB90" i="8"/>
  <c r="AA90" i="8"/>
  <c r="Z90" i="8"/>
  <c r="Y90" i="8"/>
  <c r="X90" i="8"/>
  <c r="W90" i="8"/>
  <c r="V90" i="8"/>
  <c r="U90" i="8"/>
  <c r="T90" i="8"/>
  <c r="S90" i="8"/>
  <c r="R90" i="8"/>
  <c r="Q90" i="8"/>
  <c r="P90" i="8"/>
  <c r="N90" i="8"/>
  <c r="M90" i="8"/>
  <c r="L90" i="8"/>
  <c r="K90" i="8"/>
  <c r="J90" i="8"/>
  <c r="AN89" i="8"/>
  <c r="AM89" i="8"/>
  <c r="AL89" i="8"/>
  <c r="AK89" i="8"/>
  <c r="AJ89" i="8"/>
  <c r="AI89" i="8"/>
  <c r="AH89" i="8"/>
  <c r="AG89" i="8"/>
  <c r="AF89" i="8"/>
  <c r="AE89" i="8"/>
  <c r="AD89" i="8"/>
  <c r="AC89" i="8"/>
  <c r="AB89" i="8"/>
  <c r="AA89" i="8"/>
  <c r="Z89" i="8"/>
  <c r="Y89" i="8"/>
  <c r="X89" i="8"/>
  <c r="W89" i="8"/>
  <c r="V89" i="8"/>
  <c r="U89" i="8"/>
  <c r="T89" i="8"/>
  <c r="S89" i="8"/>
  <c r="R89" i="8"/>
  <c r="Q89" i="8"/>
  <c r="P89" i="8"/>
  <c r="N89" i="8"/>
  <c r="M89" i="8"/>
  <c r="L89" i="8"/>
  <c r="K89" i="8"/>
  <c r="J89" i="8"/>
  <c r="AN88" i="8"/>
  <c r="AM88" i="8"/>
  <c r="AL88" i="8"/>
  <c r="AK88" i="8"/>
  <c r="AJ88" i="8"/>
  <c r="AI88" i="8"/>
  <c r="AH88" i="8"/>
  <c r="AG88" i="8"/>
  <c r="AF88" i="8"/>
  <c r="AE88" i="8"/>
  <c r="AD88" i="8"/>
  <c r="AC88" i="8"/>
  <c r="AB88" i="8"/>
  <c r="AA88" i="8"/>
  <c r="Z88" i="8"/>
  <c r="Y88" i="8"/>
  <c r="X88" i="8"/>
  <c r="W88" i="8"/>
  <c r="V88" i="8"/>
  <c r="U88" i="8"/>
  <c r="T88" i="8"/>
  <c r="S88" i="8"/>
  <c r="R88" i="8"/>
  <c r="Q88" i="8"/>
  <c r="P88" i="8"/>
  <c r="N88" i="8"/>
  <c r="M88" i="8"/>
  <c r="L88" i="8"/>
  <c r="K88" i="8"/>
  <c r="J88" i="8"/>
  <c r="AN87" i="8"/>
  <c r="AM87" i="8"/>
  <c r="AL87" i="8"/>
  <c r="AK87" i="8"/>
  <c r="AJ87" i="8"/>
  <c r="AI87" i="8"/>
  <c r="AH87" i="8"/>
  <c r="AG87" i="8"/>
  <c r="AF87" i="8"/>
  <c r="AE87" i="8"/>
  <c r="AD87" i="8"/>
  <c r="AC87" i="8"/>
  <c r="AB87" i="8"/>
  <c r="AA87" i="8"/>
  <c r="Z87" i="8"/>
  <c r="Y87" i="8"/>
  <c r="X87" i="8"/>
  <c r="W87" i="8"/>
  <c r="V87" i="8"/>
  <c r="U87" i="8"/>
  <c r="T87" i="8"/>
  <c r="S87" i="8"/>
  <c r="R87" i="8"/>
  <c r="Q87" i="8"/>
  <c r="P87" i="8"/>
  <c r="N87" i="8"/>
  <c r="M87" i="8"/>
  <c r="L87" i="8"/>
  <c r="K87" i="8"/>
  <c r="J87" i="8"/>
  <c r="AN86" i="8"/>
  <c r="AM86" i="8"/>
  <c r="AL86" i="8"/>
  <c r="AK86" i="8"/>
  <c r="AJ86" i="8"/>
  <c r="AI86" i="8"/>
  <c r="AH86" i="8"/>
  <c r="AG86" i="8"/>
  <c r="AF86" i="8"/>
  <c r="AE86" i="8"/>
  <c r="AD86" i="8"/>
  <c r="AC86" i="8"/>
  <c r="AB86" i="8"/>
  <c r="AA86" i="8"/>
  <c r="Z86" i="8"/>
  <c r="Y86" i="8"/>
  <c r="X86" i="8"/>
  <c r="W86" i="8"/>
  <c r="V86" i="8"/>
  <c r="U86" i="8"/>
  <c r="T86" i="8"/>
  <c r="S86" i="8"/>
  <c r="R86" i="8"/>
  <c r="Q86" i="8"/>
  <c r="P86" i="8"/>
  <c r="N86" i="8"/>
  <c r="M86" i="8"/>
  <c r="L86" i="8"/>
  <c r="K86" i="8"/>
  <c r="J86" i="8"/>
  <c r="AN85" i="8"/>
  <c r="AM85" i="8"/>
  <c r="AL85" i="8"/>
  <c r="AK85" i="8"/>
  <c r="AJ85" i="8"/>
  <c r="AI85" i="8"/>
  <c r="AH85" i="8"/>
  <c r="AG85" i="8"/>
  <c r="AF85" i="8"/>
  <c r="AE85" i="8"/>
  <c r="AD85" i="8"/>
  <c r="AC85" i="8"/>
  <c r="AB85" i="8"/>
  <c r="AA85" i="8"/>
  <c r="Z85" i="8"/>
  <c r="Y85" i="8"/>
  <c r="X85" i="8"/>
  <c r="W85" i="8"/>
  <c r="V85" i="8"/>
  <c r="U85" i="8"/>
  <c r="T85" i="8"/>
  <c r="S85" i="8"/>
  <c r="R85" i="8"/>
  <c r="Q85" i="8"/>
  <c r="P85" i="8"/>
  <c r="N85" i="8"/>
  <c r="M85" i="8"/>
  <c r="L85" i="8"/>
  <c r="K85" i="8"/>
  <c r="J85" i="8"/>
  <c r="AN83" i="8"/>
  <c r="AM83" i="8"/>
  <c r="AL83" i="8"/>
  <c r="AK83" i="8"/>
  <c r="AJ83" i="8"/>
  <c r="AI83" i="8"/>
  <c r="AH83" i="8"/>
  <c r="AG83" i="8"/>
  <c r="AF83" i="8"/>
  <c r="AE83" i="8"/>
  <c r="AD83" i="8"/>
  <c r="AC83" i="8"/>
  <c r="AB83" i="8"/>
  <c r="AA83" i="8"/>
  <c r="Z83" i="8"/>
  <c r="Y83" i="8"/>
  <c r="X83" i="8"/>
  <c r="W83" i="8"/>
  <c r="V83" i="8"/>
  <c r="U83" i="8"/>
  <c r="T83" i="8"/>
  <c r="S83" i="8"/>
  <c r="R83" i="8"/>
  <c r="Q83" i="8"/>
  <c r="P83" i="8"/>
  <c r="N83" i="8"/>
  <c r="M83" i="8"/>
  <c r="L83" i="8"/>
  <c r="K83" i="8"/>
  <c r="J83" i="8"/>
  <c r="AN81" i="8"/>
  <c r="AM81" i="8"/>
  <c r="AL81" i="8"/>
  <c r="AK81" i="8"/>
  <c r="AJ81" i="8"/>
  <c r="AI81" i="8"/>
  <c r="AH81" i="8"/>
  <c r="AG81" i="8"/>
  <c r="AF81" i="8"/>
  <c r="AE81" i="8"/>
  <c r="AD81" i="8"/>
  <c r="AC81" i="8"/>
  <c r="AB81" i="8"/>
  <c r="AA81" i="8"/>
  <c r="Z81" i="8"/>
  <c r="Y81" i="8"/>
  <c r="X81" i="8"/>
  <c r="W81" i="8"/>
  <c r="V81" i="8"/>
  <c r="U81" i="8"/>
  <c r="T81" i="8"/>
  <c r="S81" i="8"/>
  <c r="R81" i="8"/>
  <c r="Q81" i="8"/>
  <c r="P81" i="8"/>
  <c r="N81" i="8"/>
  <c r="M81" i="8"/>
  <c r="L81" i="8"/>
  <c r="K81" i="8"/>
  <c r="J81" i="8"/>
  <c r="AN80" i="8"/>
  <c r="AM80" i="8"/>
  <c r="AL80" i="8"/>
  <c r="AK80" i="8"/>
  <c r="AJ80" i="8"/>
  <c r="AI80" i="8"/>
  <c r="AH80" i="8"/>
  <c r="AG80" i="8"/>
  <c r="AF80" i="8"/>
  <c r="AE80" i="8"/>
  <c r="AD80" i="8"/>
  <c r="AC80" i="8"/>
  <c r="AB80" i="8"/>
  <c r="AA80" i="8"/>
  <c r="Z80" i="8"/>
  <c r="Y80" i="8"/>
  <c r="X80" i="8"/>
  <c r="W80" i="8"/>
  <c r="V80" i="8"/>
  <c r="U80" i="8"/>
  <c r="T80" i="8"/>
  <c r="S80" i="8"/>
  <c r="R80" i="8"/>
  <c r="Q80" i="8"/>
  <c r="P80" i="8"/>
  <c r="N80" i="8"/>
  <c r="M80" i="8"/>
  <c r="L80" i="8"/>
  <c r="K80" i="8"/>
  <c r="J80" i="8"/>
  <c r="AN79" i="8"/>
  <c r="AM79" i="8"/>
  <c r="AL79" i="8"/>
  <c r="AK79" i="8"/>
  <c r="AJ79" i="8"/>
  <c r="AI79" i="8"/>
  <c r="AH79" i="8"/>
  <c r="AG79" i="8"/>
  <c r="AF79" i="8"/>
  <c r="AE79" i="8"/>
  <c r="AD79" i="8"/>
  <c r="AC79" i="8"/>
  <c r="AB79" i="8"/>
  <c r="AA79" i="8"/>
  <c r="Z79" i="8"/>
  <c r="Y79" i="8"/>
  <c r="X79" i="8"/>
  <c r="W79" i="8"/>
  <c r="V79" i="8"/>
  <c r="U79" i="8"/>
  <c r="T79" i="8"/>
  <c r="S79" i="8"/>
  <c r="R79" i="8"/>
  <c r="Q79" i="8"/>
  <c r="P79" i="8"/>
  <c r="N79" i="8"/>
  <c r="M79" i="8"/>
  <c r="L79" i="8"/>
  <c r="K79" i="8"/>
  <c r="J79" i="8"/>
  <c r="AN78" i="8"/>
  <c r="AM78" i="8"/>
  <c r="AL78" i="8"/>
  <c r="AK78" i="8"/>
  <c r="AJ78" i="8"/>
  <c r="AI78" i="8"/>
  <c r="AH78" i="8"/>
  <c r="AG78" i="8"/>
  <c r="AF78" i="8"/>
  <c r="AE78" i="8"/>
  <c r="AD78" i="8"/>
  <c r="AC78" i="8"/>
  <c r="AB78" i="8"/>
  <c r="AA78" i="8"/>
  <c r="Z78" i="8"/>
  <c r="Y78" i="8"/>
  <c r="X78" i="8"/>
  <c r="W78" i="8"/>
  <c r="V78" i="8"/>
  <c r="U78" i="8"/>
  <c r="T78" i="8"/>
  <c r="S78" i="8"/>
  <c r="R78" i="8"/>
  <c r="Q78" i="8"/>
  <c r="P78" i="8"/>
  <c r="N78" i="8"/>
  <c r="M78" i="8"/>
  <c r="L78" i="8"/>
  <c r="K78" i="8"/>
  <c r="J78" i="8"/>
  <c r="AN76" i="8"/>
  <c r="AM76" i="8"/>
  <c r="AL76" i="8"/>
  <c r="AK76" i="8"/>
  <c r="AJ76" i="8"/>
  <c r="AI76" i="8"/>
  <c r="AH76" i="8"/>
  <c r="AG76" i="8"/>
  <c r="AF76" i="8"/>
  <c r="AE76" i="8"/>
  <c r="AD76" i="8"/>
  <c r="AC76" i="8"/>
  <c r="AB76" i="8"/>
  <c r="AA76" i="8"/>
  <c r="Z76" i="8"/>
  <c r="Y76" i="8"/>
  <c r="X76" i="8"/>
  <c r="W76" i="8"/>
  <c r="V76" i="8"/>
  <c r="U76" i="8"/>
  <c r="T76" i="8"/>
  <c r="S76" i="8"/>
  <c r="R76" i="8"/>
  <c r="Q76" i="8"/>
  <c r="P76" i="8"/>
  <c r="N76" i="8"/>
  <c r="M76" i="8"/>
  <c r="L76" i="8"/>
  <c r="K76" i="8"/>
  <c r="J76" i="8"/>
  <c r="AN74" i="8"/>
  <c r="AM74" i="8"/>
  <c r="AL74" i="8"/>
  <c r="AK74" i="8"/>
  <c r="AJ74" i="8"/>
  <c r="AI74" i="8"/>
  <c r="AH74" i="8"/>
  <c r="AG74" i="8"/>
  <c r="AF74" i="8"/>
  <c r="AE74" i="8"/>
  <c r="AD74" i="8"/>
  <c r="AC74" i="8"/>
  <c r="AB74" i="8"/>
  <c r="AA74" i="8"/>
  <c r="Z74" i="8"/>
  <c r="Y74" i="8"/>
  <c r="X74" i="8"/>
  <c r="W74" i="8"/>
  <c r="V74" i="8"/>
  <c r="U74" i="8"/>
  <c r="T74" i="8"/>
  <c r="S74" i="8"/>
  <c r="R74" i="8"/>
  <c r="Q74" i="8"/>
  <c r="P74" i="8"/>
  <c r="N74" i="8"/>
  <c r="M74" i="8"/>
  <c r="L74" i="8"/>
  <c r="K74" i="8"/>
  <c r="J74" i="8"/>
  <c r="AN73" i="8"/>
  <c r="AM73" i="8"/>
  <c r="AL73" i="8"/>
  <c r="AK73" i="8"/>
  <c r="AJ73" i="8"/>
  <c r="AI73" i="8"/>
  <c r="AH73" i="8"/>
  <c r="AG73" i="8"/>
  <c r="AF73" i="8"/>
  <c r="AE73" i="8"/>
  <c r="AD73" i="8"/>
  <c r="AC73" i="8"/>
  <c r="AB73" i="8"/>
  <c r="AA73" i="8"/>
  <c r="Z73" i="8"/>
  <c r="Y73" i="8"/>
  <c r="X73" i="8"/>
  <c r="W73" i="8"/>
  <c r="V73" i="8"/>
  <c r="U73" i="8"/>
  <c r="T73" i="8"/>
  <c r="S73" i="8"/>
  <c r="R73" i="8"/>
  <c r="Q73" i="8"/>
  <c r="P73" i="8"/>
  <c r="N73" i="8"/>
  <c r="M73" i="8"/>
  <c r="L73" i="8"/>
  <c r="K73" i="8"/>
  <c r="J73" i="8"/>
  <c r="AN72" i="8"/>
  <c r="AM72" i="8"/>
  <c r="AL72" i="8"/>
  <c r="AK72" i="8"/>
  <c r="AJ72" i="8"/>
  <c r="AI72" i="8"/>
  <c r="AH72" i="8"/>
  <c r="AG72" i="8"/>
  <c r="AF72" i="8"/>
  <c r="AE72" i="8"/>
  <c r="AD72" i="8"/>
  <c r="AC72" i="8"/>
  <c r="AB72" i="8"/>
  <c r="AA72" i="8"/>
  <c r="Z72" i="8"/>
  <c r="Y72" i="8"/>
  <c r="X72" i="8"/>
  <c r="W72" i="8"/>
  <c r="V72" i="8"/>
  <c r="U72" i="8"/>
  <c r="T72" i="8"/>
  <c r="S72" i="8"/>
  <c r="R72" i="8"/>
  <c r="Q72" i="8"/>
  <c r="P72" i="8"/>
  <c r="N72" i="8"/>
  <c r="M72" i="8"/>
  <c r="L72" i="8"/>
  <c r="K72" i="8"/>
  <c r="J72" i="8"/>
  <c r="AN71" i="8"/>
  <c r="AM71" i="8"/>
  <c r="AL71" i="8"/>
  <c r="AK71" i="8"/>
  <c r="AJ71" i="8"/>
  <c r="AI71" i="8"/>
  <c r="AH71" i="8"/>
  <c r="AG71" i="8"/>
  <c r="AF71" i="8"/>
  <c r="AE71" i="8"/>
  <c r="AD71" i="8"/>
  <c r="AC71" i="8"/>
  <c r="AB71" i="8"/>
  <c r="AA71" i="8"/>
  <c r="Z71" i="8"/>
  <c r="Y71" i="8"/>
  <c r="X71" i="8"/>
  <c r="W71" i="8"/>
  <c r="V71" i="8"/>
  <c r="U71" i="8"/>
  <c r="T71" i="8"/>
  <c r="S71" i="8"/>
  <c r="R71" i="8"/>
  <c r="Q71" i="8"/>
  <c r="P71" i="8"/>
  <c r="N71" i="8"/>
  <c r="M71" i="8"/>
  <c r="L71" i="8"/>
  <c r="K71" i="8"/>
  <c r="J71" i="8"/>
  <c r="AN69" i="8"/>
  <c r="AM69" i="8"/>
  <c r="AL69" i="8"/>
  <c r="AK69" i="8"/>
  <c r="AJ69" i="8"/>
  <c r="AI69" i="8"/>
  <c r="AH69" i="8"/>
  <c r="AG69" i="8"/>
  <c r="AF69" i="8"/>
  <c r="AE69" i="8"/>
  <c r="AD69" i="8"/>
  <c r="AC69" i="8"/>
  <c r="AB69" i="8"/>
  <c r="AA69" i="8"/>
  <c r="Z69" i="8"/>
  <c r="Y69" i="8"/>
  <c r="X69" i="8"/>
  <c r="W69" i="8"/>
  <c r="V69" i="8"/>
  <c r="U69" i="8"/>
  <c r="T69" i="8"/>
  <c r="S69" i="8"/>
  <c r="R69" i="8"/>
  <c r="Q69" i="8"/>
  <c r="P69" i="8"/>
  <c r="N69" i="8"/>
  <c r="M69" i="8"/>
  <c r="L69" i="8"/>
  <c r="K69" i="8"/>
  <c r="J69" i="8"/>
  <c r="AN68" i="8"/>
  <c r="AM68" i="8"/>
  <c r="AL68" i="8"/>
  <c r="AK68" i="8"/>
  <c r="AJ68" i="8"/>
  <c r="AI68" i="8"/>
  <c r="AH68" i="8"/>
  <c r="AG68" i="8"/>
  <c r="AF68" i="8"/>
  <c r="AE68" i="8"/>
  <c r="AD68" i="8"/>
  <c r="AC68" i="8"/>
  <c r="AB68" i="8"/>
  <c r="AA68" i="8"/>
  <c r="Z68" i="8"/>
  <c r="Y68" i="8"/>
  <c r="X68" i="8"/>
  <c r="W68" i="8"/>
  <c r="V68" i="8"/>
  <c r="U68" i="8"/>
  <c r="T68" i="8"/>
  <c r="S68" i="8"/>
  <c r="R68" i="8"/>
  <c r="Q68" i="8"/>
  <c r="P68" i="8"/>
  <c r="N68" i="8"/>
  <c r="M68" i="8"/>
  <c r="L68" i="8"/>
  <c r="K68" i="8"/>
  <c r="J68" i="8"/>
  <c r="AN67" i="8"/>
  <c r="AM67" i="8"/>
  <c r="AL67" i="8"/>
  <c r="AK67" i="8"/>
  <c r="AJ67" i="8"/>
  <c r="AI67" i="8"/>
  <c r="AH67" i="8"/>
  <c r="AG67" i="8"/>
  <c r="AF67" i="8"/>
  <c r="AE67" i="8"/>
  <c r="AD67" i="8"/>
  <c r="AC67" i="8"/>
  <c r="AB67" i="8"/>
  <c r="AA67" i="8"/>
  <c r="Z67" i="8"/>
  <c r="Y67" i="8"/>
  <c r="X67" i="8"/>
  <c r="W67" i="8"/>
  <c r="V67" i="8"/>
  <c r="U67" i="8"/>
  <c r="T67" i="8"/>
  <c r="S67" i="8"/>
  <c r="R67" i="8"/>
  <c r="Q67" i="8"/>
  <c r="P67" i="8"/>
  <c r="N67" i="8"/>
  <c r="M67" i="8"/>
  <c r="L67" i="8"/>
  <c r="K67" i="8"/>
  <c r="J67" i="8"/>
  <c r="AN66" i="8"/>
  <c r="AM66" i="8"/>
  <c r="AL66" i="8"/>
  <c r="AK66" i="8"/>
  <c r="AJ66" i="8"/>
  <c r="AI66" i="8"/>
  <c r="AH66" i="8"/>
  <c r="AG66" i="8"/>
  <c r="AF66" i="8"/>
  <c r="AE66" i="8"/>
  <c r="AD66" i="8"/>
  <c r="AC66" i="8"/>
  <c r="AB66" i="8"/>
  <c r="AA66" i="8"/>
  <c r="Z66" i="8"/>
  <c r="Y66" i="8"/>
  <c r="X66" i="8"/>
  <c r="W66" i="8"/>
  <c r="V66" i="8"/>
  <c r="U66" i="8"/>
  <c r="T66" i="8"/>
  <c r="S66" i="8"/>
  <c r="R66" i="8"/>
  <c r="Q66" i="8"/>
  <c r="P66" i="8"/>
  <c r="N66" i="8"/>
  <c r="M66" i="8"/>
  <c r="L66" i="8"/>
  <c r="K66" i="8"/>
  <c r="J66" i="8"/>
  <c r="AN64" i="8"/>
  <c r="AM64" i="8"/>
  <c r="AL64" i="8"/>
  <c r="AK64" i="8"/>
  <c r="AJ64" i="8"/>
  <c r="AI64" i="8"/>
  <c r="AH64" i="8"/>
  <c r="AG64" i="8"/>
  <c r="AF64" i="8"/>
  <c r="AE64" i="8"/>
  <c r="AD64" i="8"/>
  <c r="AC64" i="8"/>
  <c r="AB64" i="8"/>
  <c r="AA64" i="8"/>
  <c r="Z64" i="8"/>
  <c r="Y64" i="8"/>
  <c r="X64" i="8"/>
  <c r="W64" i="8"/>
  <c r="V64" i="8"/>
  <c r="U64" i="8"/>
  <c r="T64" i="8"/>
  <c r="S64" i="8"/>
  <c r="R64" i="8"/>
  <c r="Q64" i="8"/>
  <c r="P64" i="8"/>
  <c r="N64" i="8"/>
  <c r="M64" i="8"/>
  <c r="L64" i="8"/>
  <c r="K64" i="8"/>
  <c r="J64" i="8"/>
  <c r="AN63" i="8"/>
  <c r="AM63" i="8"/>
  <c r="AL63" i="8"/>
  <c r="AK63" i="8"/>
  <c r="AJ63" i="8"/>
  <c r="AI63" i="8"/>
  <c r="AH63" i="8"/>
  <c r="AG63" i="8"/>
  <c r="AF63" i="8"/>
  <c r="AE63" i="8"/>
  <c r="AD63" i="8"/>
  <c r="AC63" i="8"/>
  <c r="AB63" i="8"/>
  <c r="AA63" i="8"/>
  <c r="Z63" i="8"/>
  <c r="Y63" i="8"/>
  <c r="X63" i="8"/>
  <c r="W63" i="8"/>
  <c r="V63" i="8"/>
  <c r="U63" i="8"/>
  <c r="T63" i="8"/>
  <c r="S63" i="8"/>
  <c r="R63" i="8"/>
  <c r="Q63" i="8"/>
  <c r="P63" i="8"/>
  <c r="N63" i="8"/>
  <c r="M63" i="8"/>
  <c r="L63" i="8"/>
  <c r="K63" i="8"/>
  <c r="J63" i="8"/>
  <c r="AN62" i="8"/>
  <c r="AM62" i="8"/>
  <c r="AL62" i="8"/>
  <c r="AK62" i="8"/>
  <c r="AJ62" i="8"/>
  <c r="AI62" i="8"/>
  <c r="AH62" i="8"/>
  <c r="AG62" i="8"/>
  <c r="AF62" i="8"/>
  <c r="AE62" i="8"/>
  <c r="AD62" i="8"/>
  <c r="AC62" i="8"/>
  <c r="AB62" i="8"/>
  <c r="AA62" i="8"/>
  <c r="Z62" i="8"/>
  <c r="Y62" i="8"/>
  <c r="X62" i="8"/>
  <c r="W62" i="8"/>
  <c r="V62" i="8"/>
  <c r="U62" i="8"/>
  <c r="T62" i="8"/>
  <c r="S62" i="8"/>
  <c r="R62" i="8"/>
  <c r="Q62" i="8"/>
  <c r="P62" i="8"/>
  <c r="N62" i="8"/>
  <c r="M62" i="8"/>
  <c r="L62" i="8"/>
  <c r="K62" i="8"/>
  <c r="J62" i="8"/>
  <c r="AN61" i="8"/>
  <c r="AM61" i="8"/>
  <c r="AL61" i="8"/>
  <c r="AK61" i="8"/>
  <c r="AJ61" i="8"/>
  <c r="AI61" i="8"/>
  <c r="AH61" i="8"/>
  <c r="AG61" i="8"/>
  <c r="AF61" i="8"/>
  <c r="AE61" i="8"/>
  <c r="AD61" i="8"/>
  <c r="AC61" i="8"/>
  <c r="AB61" i="8"/>
  <c r="AA61" i="8"/>
  <c r="Z61" i="8"/>
  <c r="Y61" i="8"/>
  <c r="X61" i="8"/>
  <c r="W61" i="8"/>
  <c r="V61" i="8"/>
  <c r="U61" i="8"/>
  <c r="T61" i="8"/>
  <c r="S61" i="8"/>
  <c r="R61" i="8"/>
  <c r="Q61" i="8"/>
  <c r="P61" i="8"/>
  <c r="N61" i="8"/>
  <c r="M61" i="8"/>
  <c r="L61" i="8"/>
  <c r="K61" i="8"/>
  <c r="J61" i="8"/>
  <c r="AN60" i="8"/>
  <c r="AM60" i="8"/>
  <c r="AL60" i="8"/>
  <c r="AK60" i="8"/>
  <c r="AJ60" i="8"/>
  <c r="AI60" i="8"/>
  <c r="AH60" i="8"/>
  <c r="AG60" i="8"/>
  <c r="AF60" i="8"/>
  <c r="AE60" i="8"/>
  <c r="AD60" i="8"/>
  <c r="AC60" i="8"/>
  <c r="AB60" i="8"/>
  <c r="AA60" i="8"/>
  <c r="Z60" i="8"/>
  <c r="Y60" i="8"/>
  <c r="X60" i="8"/>
  <c r="W60" i="8"/>
  <c r="V60" i="8"/>
  <c r="U60" i="8"/>
  <c r="T60" i="8"/>
  <c r="S60" i="8"/>
  <c r="R60" i="8"/>
  <c r="Q60" i="8"/>
  <c r="P60" i="8"/>
  <c r="N60" i="8"/>
  <c r="M60" i="8"/>
  <c r="L60" i="8"/>
  <c r="K60" i="8"/>
  <c r="J60" i="8"/>
  <c r="AN58" i="8"/>
  <c r="AM58" i="8"/>
  <c r="AL58" i="8"/>
  <c r="AK58" i="8"/>
  <c r="AJ58" i="8"/>
  <c r="AI58" i="8"/>
  <c r="AH58" i="8"/>
  <c r="AG58" i="8"/>
  <c r="AF58" i="8"/>
  <c r="AE58" i="8"/>
  <c r="AD58" i="8"/>
  <c r="AC58" i="8"/>
  <c r="AB58" i="8"/>
  <c r="AA58" i="8"/>
  <c r="Z58" i="8"/>
  <c r="Y58" i="8"/>
  <c r="X58" i="8"/>
  <c r="W58" i="8"/>
  <c r="V58" i="8"/>
  <c r="U58" i="8"/>
  <c r="T58" i="8"/>
  <c r="S58" i="8"/>
  <c r="R58" i="8"/>
  <c r="Q58" i="8"/>
  <c r="P58" i="8"/>
  <c r="N58" i="8"/>
  <c r="M58" i="8"/>
  <c r="L58" i="8"/>
  <c r="K58" i="8"/>
  <c r="J58" i="8"/>
  <c r="AN57" i="8"/>
  <c r="AM57" i="8"/>
  <c r="AL57" i="8"/>
  <c r="AK57" i="8"/>
  <c r="AJ57" i="8"/>
  <c r="AI57" i="8"/>
  <c r="AH57" i="8"/>
  <c r="AG57" i="8"/>
  <c r="AF57" i="8"/>
  <c r="AE57" i="8"/>
  <c r="AD57" i="8"/>
  <c r="AC57" i="8"/>
  <c r="AB57" i="8"/>
  <c r="AA57" i="8"/>
  <c r="Z57" i="8"/>
  <c r="Y57" i="8"/>
  <c r="X57" i="8"/>
  <c r="W57" i="8"/>
  <c r="V57" i="8"/>
  <c r="U57" i="8"/>
  <c r="T57" i="8"/>
  <c r="S57" i="8"/>
  <c r="R57" i="8"/>
  <c r="Q57" i="8"/>
  <c r="P57" i="8"/>
  <c r="N57" i="8"/>
  <c r="M57" i="8"/>
  <c r="L57" i="8"/>
  <c r="K57" i="8"/>
  <c r="J57" i="8"/>
  <c r="AN56" i="8"/>
  <c r="AM56" i="8"/>
  <c r="AL56" i="8"/>
  <c r="AK56" i="8"/>
  <c r="AJ56" i="8"/>
  <c r="AI56" i="8"/>
  <c r="AH56" i="8"/>
  <c r="AG56" i="8"/>
  <c r="AF56" i="8"/>
  <c r="AE56" i="8"/>
  <c r="AD56" i="8"/>
  <c r="AC56" i="8"/>
  <c r="AB56" i="8"/>
  <c r="AA56" i="8"/>
  <c r="Z56" i="8"/>
  <c r="Y56" i="8"/>
  <c r="X56" i="8"/>
  <c r="W56" i="8"/>
  <c r="V56" i="8"/>
  <c r="U56" i="8"/>
  <c r="T56" i="8"/>
  <c r="S56" i="8"/>
  <c r="R56" i="8"/>
  <c r="Q56" i="8"/>
  <c r="P56" i="8"/>
  <c r="N56" i="8"/>
  <c r="M56" i="8"/>
  <c r="L56" i="8"/>
  <c r="K56" i="8"/>
  <c r="J56" i="8"/>
  <c r="AN55" i="8"/>
  <c r="AM55" i="8"/>
  <c r="AL55" i="8"/>
  <c r="AK55" i="8"/>
  <c r="AJ55" i="8"/>
  <c r="AI55" i="8"/>
  <c r="AH55" i="8"/>
  <c r="AG55" i="8"/>
  <c r="AF55" i="8"/>
  <c r="AE55" i="8"/>
  <c r="AD55" i="8"/>
  <c r="AC55" i="8"/>
  <c r="AB55" i="8"/>
  <c r="AA55" i="8"/>
  <c r="Z55" i="8"/>
  <c r="Y55" i="8"/>
  <c r="X55" i="8"/>
  <c r="W55" i="8"/>
  <c r="V55" i="8"/>
  <c r="U55" i="8"/>
  <c r="T55" i="8"/>
  <c r="S55" i="8"/>
  <c r="R55" i="8"/>
  <c r="Q55" i="8"/>
  <c r="P55" i="8"/>
  <c r="N55" i="8"/>
  <c r="M55" i="8"/>
  <c r="L55" i="8"/>
  <c r="K55" i="8"/>
  <c r="J55" i="8"/>
  <c r="AN54" i="8"/>
  <c r="AM54" i="8"/>
  <c r="AL54" i="8"/>
  <c r="AK54" i="8"/>
  <c r="AJ54" i="8"/>
  <c r="AI54" i="8"/>
  <c r="AH54" i="8"/>
  <c r="AG54" i="8"/>
  <c r="AF54" i="8"/>
  <c r="AE54" i="8"/>
  <c r="AD54" i="8"/>
  <c r="AC54" i="8"/>
  <c r="AB54" i="8"/>
  <c r="AA54" i="8"/>
  <c r="Z54" i="8"/>
  <c r="Y54" i="8"/>
  <c r="X54" i="8"/>
  <c r="W54" i="8"/>
  <c r="V54" i="8"/>
  <c r="U54" i="8"/>
  <c r="T54" i="8"/>
  <c r="S54" i="8"/>
  <c r="R54" i="8"/>
  <c r="Q54" i="8"/>
  <c r="P54" i="8"/>
  <c r="N54" i="8"/>
  <c r="M54" i="8"/>
  <c r="L54" i="8"/>
  <c r="K54" i="8"/>
  <c r="J54" i="8"/>
  <c r="AN52" i="8"/>
  <c r="AM52" i="8"/>
  <c r="AL52" i="8"/>
  <c r="AK52" i="8"/>
  <c r="AJ52" i="8"/>
  <c r="AI52" i="8"/>
  <c r="AH52" i="8"/>
  <c r="AG52" i="8"/>
  <c r="AF52" i="8"/>
  <c r="AE52" i="8"/>
  <c r="AD52" i="8"/>
  <c r="AC52" i="8"/>
  <c r="AB52" i="8"/>
  <c r="AA52" i="8"/>
  <c r="Z52" i="8"/>
  <c r="Y52" i="8"/>
  <c r="X52" i="8"/>
  <c r="W52" i="8"/>
  <c r="V52" i="8"/>
  <c r="U52" i="8"/>
  <c r="T52" i="8"/>
  <c r="S52" i="8"/>
  <c r="R52" i="8"/>
  <c r="Q52" i="8"/>
  <c r="P52" i="8"/>
  <c r="N52" i="8"/>
  <c r="M52" i="8"/>
  <c r="L52" i="8"/>
  <c r="K52" i="8"/>
  <c r="J52" i="8"/>
  <c r="AN51" i="8"/>
  <c r="AM51" i="8"/>
  <c r="AL51" i="8"/>
  <c r="AK51" i="8"/>
  <c r="AJ51" i="8"/>
  <c r="AI51" i="8"/>
  <c r="AH51" i="8"/>
  <c r="AG51" i="8"/>
  <c r="AF51" i="8"/>
  <c r="AE51" i="8"/>
  <c r="AD51" i="8"/>
  <c r="AC51" i="8"/>
  <c r="AB51" i="8"/>
  <c r="AA51" i="8"/>
  <c r="Z51" i="8"/>
  <c r="Y51" i="8"/>
  <c r="X51" i="8"/>
  <c r="W51" i="8"/>
  <c r="V51" i="8"/>
  <c r="U51" i="8"/>
  <c r="T51" i="8"/>
  <c r="S51" i="8"/>
  <c r="R51" i="8"/>
  <c r="Q51" i="8"/>
  <c r="P51" i="8"/>
  <c r="N51" i="8"/>
  <c r="M51" i="8"/>
  <c r="L51" i="8"/>
  <c r="K51" i="8"/>
  <c r="J51" i="8"/>
  <c r="AN50" i="8"/>
  <c r="AM50" i="8"/>
  <c r="AL50" i="8"/>
  <c r="AK50" i="8"/>
  <c r="AJ50" i="8"/>
  <c r="AI50" i="8"/>
  <c r="AH50" i="8"/>
  <c r="AG50" i="8"/>
  <c r="AF50" i="8"/>
  <c r="AE50" i="8"/>
  <c r="AD50" i="8"/>
  <c r="AC50" i="8"/>
  <c r="AB50" i="8"/>
  <c r="AA50" i="8"/>
  <c r="Z50" i="8"/>
  <c r="Y50" i="8"/>
  <c r="X50" i="8"/>
  <c r="W50" i="8"/>
  <c r="V50" i="8"/>
  <c r="U50" i="8"/>
  <c r="T50" i="8"/>
  <c r="S50" i="8"/>
  <c r="R50" i="8"/>
  <c r="Q50" i="8"/>
  <c r="P50" i="8"/>
  <c r="N50" i="8"/>
  <c r="M50" i="8"/>
  <c r="L50" i="8"/>
  <c r="K50" i="8"/>
  <c r="J50" i="8"/>
  <c r="AN49" i="8"/>
  <c r="AM49" i="8"/>
  <c r="AL49" i="8"/>
  <c r="AK49" i="8"/>
  <c r="AJ49" i="8"/>
  <c r="AI49" i="8"/>
  <c r="AH49" i="8"/>
  <c r="AG49" i="8"/>
  <c r="AF49" i="8"/>
  <c r="AE49" i="8"/>
  <c r="AD49" i="8"/>
  <c r="AC49" i="8"/>
  <c r="AB49" i="8"/>
  <c r="AA49" i="8"/>
  <c r="Z49" i="8"/>
  <c r="Y49" i="8"/>
  <c r="X49" i="8"/>
  <c r="W49" i="8"/>
  <c r="V49" i="8"/>
  <c r="U49" i="8"/>
  <c r="T49" i="8"/>
  <c r="S49" i="8"/>
  <c r="R49" i="8"/>
  <c r="Q49" i="8"/>
  <c r="P49" i="8"/>
  <c r="N49" i="8"/>
  <c r="M49" i="8"/>
  <c r="L49" i="8"/>
  <c r="K49" i="8"/>
  <c r="J49" i="8"/>
  <c r="AN48" i="8"/>
  <c r="AM48" i="8"/>
  <c r="AL48" i="8"/>
  <c r="AK48" i="8"/>
  <c r="AJ48" i="8"/>
  <c r="AI48" i="8"/>
  <c r="AH48" i="8"/>
  <c r="AG48" i="8"/>
  <c r="AF48" i="8"/>
  <c r="AE48" i="8"/>
  <c r="AD48" i="8"/>
  <c r="AC48" i="8"/>
  <c r="AB48" i="8"/>
  <c r="AA48" i="8"/>
  <c r="Z48" i="8"/>
  <c r="Y48" i="8"/>
  <c r="X48" i="8"/>
  <c r="W48" i="8"/>
  <c r="V48" i="8"/>
  <c r="U48" i="8"/>
  <c r="T48" i="8"/>
  <c r="S48" i="8"/>
  <c r="R48" i="8"/>
  <c r="Q48" i="8"/>
  <c r="P48" i="8"/>
  <c r="N48" i="8"/>
  <c r="M48" i="8"/>
  <c r="L48" i="8"/>
  <c r="K48" i="8"/>
  <c r="J48" i="8"/>
  <c r="AN47" i="8"/>
  <c r="AM47" i="8"/>
  <c r="AL47" i="8"/>
  <c r="AK47" i="8"/>
  <c r="AJ47" i="8"/>
  <c r="AI47" i="8"/>
  <c r="AH47" i="8"/>
  <c r="AG47" i="8"/>
  <c r="AF47" i="8"/>
  <c r="AE47" i="8"/>
  <c r="AD47" i="8"/>
  <c r="AC47" i="8"/>
  <c r="AB47" i="8"/>
  <c r="AA47" i="8"/>
  <c r="Z47" i="8"/>
  <c r="Y47" i="8"/>
  <c r="X47" i="8"/>
  <c r="W47" i="8"/>
  <c r="V47" i="8"/>
  <c r="U47" i="8"/>
  <c r="T47" i="8"/>
  <c r="S47" i="8"/>
  <c r="R47" i="8"/>
  <c r="Q47" i="8"/>
  <c r="P47" i="8"/>
  <c r="N47" i="8"/>
  <c r="M47" i="8"/>
  <c r="L47" i="8"/>
  <c r="K47" i="8"/>
  <c r="J47" i="8"/>
  <c r="AN46" i="8"/>
  <c r="AM46" i="8"/>
  <c r="AL46" i="8"/>
  <c r="AK46" i="8"/>
  <c r="AJ46" i="8"/>
  <c r="AI46" i="8"/>
  <c r="AH46" i="8"/>
  <c r="AG46" i="8"/>
  <c r="AF46" i="8"/>
  <c r="AE46" i="8"/>
  <c r="AD46" i="8"/>
  <c r="AC46" i="8"/>
  <c r="AB46" i="8"/>
  <c r="AA46" i="8"/>
  <c r="Z46" i="8"/>
  <c r="Y46" i="8"/>
  <c r="X46" i="8"/>
  <c r="W46" i="8"/>
  <c r="V46" i="8"/>
  <c r="U46" i="8"/>
  <c r="T46" i="8"/>
  <c r="S46" i="8"/>
  <c r="R46" i="8"/>
  <c r="Q46" i="8"/>
  <c r="P46" i="8"/>
  <c r="N46" i="8"/>
  <c r="M46" i="8"/>
  <c r="L46" i="8"/>
  <c r="K46" i="8"/>
  <c r="J46" i="8"/>
  <c r="AN45" i="8"/>
  <c r="AM45" i="8"/>
  <c r="AL45" i="8"/>
  <c r="AK45" i="8"/>
  <c r="AJ45" i="8"/>
  <c r="AI45" i="8"/>
  <c r="AH45" i="8"/>
  <c r="AG45" i="8"/>
  <c r="AF45" i="8"/>
  <c r="AE45" i="8"/>
  <c r="AD45" i="8"/>
  <c r="AC45" i="8"/>
  <c r="AB45" i="8"/>
  <c r="AA45" i="8"/>
  <c r="Z45" i="8"/>
  <c r="Y45" i="8"/>
  <c r="X45" i="8"/>
  <c r="W45" i="8"/>
  <c r="V45" i="8"/>
  <c r="U45" i="8"/>
  <c r="T45" i="8"/>
  <c r="S45" i="8"/>
  <c r="R45" i="8"/>
  <c r="Q45" i="8"/>
  <c r="P45" i="8"/>
  <c r="N45" i="8"/>
  <c r="M45" i="8"/>
  <c r="L45" i="8"/>
  <c r="K45" i="8"/>
  <c r="J45" i="8"/>
  <c r="AN44" i="8"/>
  <c r="AM44" i="8"/>
  <c r="AL44" i="8"/>
  <c r="AK44" i="8"/>
  <c r="AJ44" i="8"/>
  <c r="AI44" i="8"/>
  <c r="AH44" i="8"/>
  <c r="AG44" i="8"/>
  <c r="AF44" i="8"/>
  <c r="AE44" i="8"/>
  <c r="AD44" i="8"/>
  <c r="AC44" i="8"/>
  <c r="AB44" i="8"/>
  <c r="AA44" i="8"/>
  <c r="Z44" i="8"/>
  <c r="Y44" i="8"/>
  <c r="X44" i="8"/>
  <c r="W44" i="8"/>
  <c r="V44" i="8"/>
  <c r="U44" i="8"/>
  <c r="T44" i="8"/>
  <c r="S44" i="8"/>
  <c r="R44" i="8"/>
  <c r="Q44" i="8"/>
  <c r="P44" i="8"/>
  <c r="N44" i="8"/>
  <c r="M44" i="8"/>
  <c r="L44" i="8"/>
  <c r="K44" i="8"/>
  <c r="J44" i="8"/>
  <c r="AN43" i="8"/>
  <c r="AM43" i="8"/>
  <c r="AL43" i="8"/>
  <c r="AK43" i="8"/>
  <c r="AJ43" i="8"/>
  <c r="AI43" i="8"/>
  <c r="AH43" i="8"/>
  <c r="AG43" i="8"/>
  <c r="AF43" i="8"/>
  <c r="AE43" i="8"/>
  <c r="AD43" i="8"/>
  <c r="AC43" i="8"/>
  <c r="AB43" i="8"/>
  <c r="AA43" i="8"/>
  <c r="Z43" i="8"/>
  <c r="Y43" i="8"/>
  <c r="X43" i="8"/>
  <c r="W43" i="8"/>
  <c r="V43" i="8"/>
  <c r="U43" i="8"/>
  <c r="T43" i="8"/>
  <c r="S43" i="8"/>
  <c r="R43" i="8"/>
  <c r="Q43" i="8"/>
  <c r="P43" i="8"/>
  <c r="N43" i="8"/>
  <c r="M43" i="8"/>
  <c r="L43" i="8"/>
  <c r="K43" i="8"/>
  <c r="J43" i="8"/>
  <c r="AN41" i="8"/>
  <c r="AM41" i="8"/>
  <c r="AL41" i="8"/>
  <c r="AK41" i="8"/>
  <c r="AJ41" i="8"/>
  <c r="AI41" i="8"/>
  <c r="AH41" i="8"/>
  <c r="AG41" i="8"/>
  <c r="AF41" i="8"/>
  <c r="AE41" i="8"/>
  <c r="AD41" i="8"/>
  <c r="AC41" i="8"/>
  <c r="AB41" i="8"/>
  <c r="AA41" i="8"/>
  <c r="Z41" i="8"/>
  <c r="Y41" i="8"/>
  <c r="X41" i="8"/>
  <c r="W41" i="8"/>
  <c r="V41" i="8"/>
  <c r="U41" i="8"/>
  <c r="T41" i="8"/>
  <c r="S41" i="8"/>
  <c r="R41" i="8"/>
  <c r="Q41" i="8"/>
  <c r="P41" i="8"/>
  <c r="N41" i="8"/>
  <c r="M41" i="8"/>
  <c r="L41" i="8"/>
  <c r="K41" i="8"/>
  <c r="J41" i="8"/>
  <c r="AN40" i="8"/>
  <c r="AM40" i="8"/>
  <c r="AL40" i="8"/>
  <c r="AK40" i="8"/>
  <c r="AJ40" i="8"/>
  <c r="AI40" i="8"/>
  <c r="AH40" i="8"/>
  <c r="AG40" i="8"/>
  <c r="AF40" i="8"/>
  <c r="AE40" i="8"/>
  <c r="AD40" i="8"/>
  <c r="AC40" i="8"/>
  <c r="AB40" i="8"/>
  <c r="AA40" i="8"/>
  <c r="Z40" i="8"/>
  <c r="Y40" i="8"/>
  <c r="X40" i="8"/>
  <c r="W40" i="8"/>
  <c r="V40" i="8"/>
  <c r="U40" i="8"/>
  <c r="T40" i="8"/>
  <c r="S40" i="8"/>
  <c r="R40" i="8"/>
  <c r="Q40" i="8"/>
  <c r="P40" i="8"/>
  <c r="N40" i="8"/>
  <c r="M40" i="8"/>
  <c r="L40" i="8"/>
  <c r="K40" i="8"/>
  <c r="J40" i="8"/>
  <c r="AN39" i="8"/>
  <c r="AM39" i="8"/>
  <c r="AL39" i="8"/>
  <c r="AK39" i="8"/>
  <c r="AJ39" i="8"/>
  <c r="AI39" i="8"/>
  <c r="AH39" i="8"/>
  <c r="AG39" i="8"/>
  <c r="AF39" i="8"/>
  <c r="AE39" i="8"/>
  <c r="AD39" i="8"/>
  <c r="AC39" i="8"/>
  <c r="AB39" i="8"/>
  <c r="AA39" i="8"/>
  <c r="Z39" i="8"/>
  <c r="Y39" i="8"/>
  <c r="X39" i="8"/>
  <c r="W39" i="8"/>
  <c r="V39" i="8"/>
  <c r="U39" i="8"/>
  <c r="T39" i="8"/>
  <c r="S39" i="8"/>
  <c r="R39" i="8"/>
  <c r="Q39" i="8"/>
  <c r="P39" i="8"/>
  <c r="N39" i="8"/>
  <c r="M39" i="8"/>
  <c r="L39" i="8"/>
  <c r="K39" i="8"/>
  <c r="J39" i="8"/>
  <c r="AN38" i="8"/>
  <c r="AM38" i="8"/>
  <c r="AL38" i="8"/>
  <c r="AK38" i="8"/>
  <c r="AJ38" i="8"/>
  <c r="AI38" i="8"/>
  <c r="AH38" i="8"/>
  <c r="AG38" i="8"/>
  <c r="AF38" i="8"/>
  <c r="AE38" i="8"/>
  <c r="AD38" i="8"/>
  <c r="AC38" i="8"/>
  <c r="AB38" i="8"/>
  <c r="AA38" i="8"/>
  <c r="Z38" i="8"/>
  <c r="Y38" i="8"/>
  <c r="X38" i="8"/>
  <c r="W38" i="8"/>
  <c r="V38" i="8"/>
  <c r="U38" i="8"/>
  <c r="T38" i="8"/>
  <c r="S38" i="8"/>
  <c r="R38" i="8"/>
  <c r="Q38" i="8"/>
  <c r="P38" i="8"/>
  <c r="N38" i="8"/>
  <c r="M38" i="8"/>
  <c r="L38" i="8"/>
  <c r="K38" i="8"/>
  <c r="J38" i="8"/>
  <c r="AN37" i="8"/>
  <c r="AM37" i="8"/>
  <c r="AL37" i="8"/>
  <c r="AK37" i="8"/>
  <c r="AJ37" i="8"/>
  <c r="AI37" i="8"/>
  <c r="AH37" i="8"/>
  <c r="AG37" i="8"/>
  <c r="AF37" i="8"/>
  <c r="AE37" i="8"/>
  <c r="AD37" i="8"/>
  <c r="AC37" i="8"/>
  <c r="AB37" i="8"/>
  <c r="AA37" i="8"/>
  <c r="Z37" i="8"/>
  <c r="Y37" i="8"/>
  <c r="X37" i="8"/>
  <c r="W37" i="8"/>
  <c r="V37" i="8"/>
  <c r="U37" i="8"/>
  <c r="T37" i="8"/>
  <c r="S37" i="8"/>
  <c r="R37" i="8"/>
  <c r="Q37" i="8"/>
  <c r="P37" i="8"/>
  <c r="N37" i="8"/>
  <c r="M37" i="8"/>
  <c r="L37" i="8"/>
  <c r="K37" i="8"/>
  <c r="J37" i="8"/>
  <c r="AN36" i="8"/>
  <c r="AM36" i="8"/>
  <c r="AL36" i="8"/>
  <c r="AK36" i="8"/>
  <c r="AJ36" i="8"/>
  <c r="AI36" i="8"/>
  <c r="AH36" i="8"/>
  <c r="AG36" i="8"/>
  <c r="AF36" i="8"/>
  <c r="AE36" i="8"/>
  <c r="AD36" i="8"/>
  <c r="AC36" i="8"/>
  <c r="AB36" i="8"/>
  <c r="AA36" i="8"/>
  <c r="Z36" i="8"/>
  <c r="Y36" i="8"/>
  <c r="X36" i="8"/>
  <c r="W36" i="8"/>
  <c r="V36" i="8"/>
  <c r="U36" i="8"/>
  <c r="T36" i="8"/>
  <c r="S36" i="8"/>
  <c r="R36" i="8"/>
  <c r="Q36" i="8"/>
  <c r="P36" i="8"/>
  <c r="N36" i="8"/>
  <c r="M36" i="8"/>
  <c r="L36" i="8"/>
  <c r="K36" i="8"/>
  <c r="J36" i="8"/>
  <c r="AN35" i="8"/>
  <c r="AM35" i="8"/>
  <c r="AL35" i="8"/>
  <c r="AK35" i="8"/>
  <c r="AJ35" i="8"/>
  <c r="AI35" i="8"/>
  <c r="AH35" i="8"/>
  <c r="AG35" i="8"/>
  <c r="AF35" i="8"/>
  <c r="AE35" i="8"/>
  <c r="AD35" i="8"/>
  <c r="AC35" i="8"/>
  <c r="AB35" i="8"/>
  <c r="AA35" i="8"/>
  <c r="Z35" i="8"/>
  <c r="Y35" i="8"/>
  <c r="X35" i="8"/>
  <c r="W35" i="8"/>
  <c r="V35" i="8"/>
  <c r="U35" i="8"/>
  <c r="T35" i="8"/>
  <c r="S35" i="8"/>
  <c r="R35" i="8"/>
  <c r="Q35" i="8"/>
  <c r="P35" i="8"/>
  <c r="N35" i="8"/>
  <c r="M35" i="8"/>
  <c r="L35" i="8"/>
  <c r="K35" i="8"/>
  <c r="J35" i="8"/>
  <c r="AN34" i="8"/>
  <c r="AM34" i="8"/>
  <c r="AL34" i="8"/>
  <c r="AK34" i="8"/>
  <c r="AJ34" i="8"/>
  <c r="AI34" i="8"/>
  <c r="AH34" i="8"/>
  <c r="AG34" i="8"/>
  <c r="AF34" i="8"/>
  <c r="AE34" i="8"/>
  <c r="AD34" i="8"/>
  <c r="AC34" i="8"/>
  <c r="AB34" i="8"/>
  <c r="AA34" i="8"/>
  <c r="Z34" i="8"/>
  <c r="Y34" i="8"/>
  <c r="X34" i="8"/>
  <c r="W34" i="8"/>
  <c r="V34" i="8"/>
  <c r="U34" i="8"/>
  <c r="T34" i="8"/>
  <c r="S34" i="8"/>
  <c r="R34" i="8"/>
  <c r="Q34" i="8"/>
  <c r="P34" i="8"/>
  <c r="N34" i="8"/>
  <c r="M34" i="8"/>
  <c r="L34" i="8"/>
  <c r="K34" i="8"/>
  <c r="J34" i="8"/>
  <c r="AN33" i="8"/>
  <c r="AM33" i="8"/>
  <c r="AL33" i="8"/>
  <c r="AK33" i="8"/>
  <c r="AJ33" i="8"/>
  <c r="AI33" i="8"/>
  <c r="AH33" i="8"/>
  <c r="AG33" i="8"/>
  <c r="AF33" i="8"/>
  <c r="AE33" i="8"/>
  <c r="AD33" i="8"/>
  <c r="AC33" i="8"/>
  <c r="AB33" i="8"/>
  <c r="AA33" i="8"/>
  <c r="Z33" i="8"/>
  <c r="Y33" i="8"/>
  <c r="X33" i="8"/>
  <c r="W33" i="8"/>
  <c r="V33" i="8"/>
  <c r="U33" i="8"/>
  <c r="T33" i="8"/>
  <c r="S33" i="8"/>
  <c r="R33" i="8"/>
  <c r="Q33" i="8"/>
  <c r="P33" i="8"/>
  <c r="N33" i="8"/>
  <c r="M33" i="8"/>
  <c r="L33" i="8"/>
  <c r="K33" i="8"/>
  <c r="J33" i="8"/>
  <c r="AN32" i="8"/>
  <c r="AM32" i="8"/>
  <c r="AL32" i="8"/>
  <c r="AK32" i="8"/>
  <c r="AJ32" i="8"/>
  <c r="AI32" i="8"/>
  <c r="AH32" i="8"/>
  <c r="AG32" i="8"/>
  <c r="AF32" i="8"/>
  <c r="AE32" i="8"/>
  <c r="AD32" i="8"/>
  <c r="AC32" i="8"/>
  <c r="AB32" i="8"/>
  <c r="AA32" i="8"/>
  <c r="Z32" i="8"/>
  <c r="Y32" i="8"/>
  <c r="X32" i="8"/>
  <c r="W32" i="8"/>
  <c r="V32" i="8"/>
  <c r="U32" i="8"/>
  <c r="T32" i="8"/>
  <c r="S32" i="8"/>
  <c r="R32" i="8"/>
  <c r="Q32" i="8"/>
  <c r="P32" i="8"/>
  <c r="N32" i="8"/>
  <c r="M32" i="8"/>
  <c r="L32" i="8"/>
  <c r="K32" i="8"/>
  <c r="J32" i="8"/>
  <c r="AN31" i="8"/>
  <c r="AM31" i="8"/>
  <c r="AL31" i="8"/>
  <c r="AK31" i="8"/>
  <c r="AJ31" i="8"/>
  <c r="AI31" i="8"/>
  <c r="AH31" i="8"/>
  <c r="AG31" i="8"/>
  <c r="AF31" i="8"/>
  <c r="AE31" i="8"/>
  <c r="AD31" i="8"/>
  <c r="AC31" i="8"/>
  <c r="AB31" i="8"/>
  <c r="AA31" i="8"/>
  <c r="Z31" i="8"/>
  <c r="Y31" i="8"/>
  <c r="X31" i="8"/>
  <c r="W31" i="8"/>
  <c r="V31" i="8"/>
  <c r="U31" i="8"/>
  <c r="T31" i="8"/>
  <c r="S31" i="8"/>
  <c r="R31" i="8"/>
  <c r="Q31" i="8"/>
  <c r="P31" i="8"/>
  <c r="N31" i="8"/>
  <c r="M31" i="8"/>
  <c r="L31" i="8"/>
  <c r="K31" i="8"/>
  <c r="J31" i="8"/>
  <c r="AN30" i="8"/>
  <c r="AM30" i="8"/>
  <c r="AL30" i="8"/>
  <c r="AK30" i="8"/>
  <c r="AJ30" i="8"/>
  <c r="AI30" i="8"/>
  <c r="AH30" i="8"/>
  <c r="AG30" i="8"/>
  <c r="AF30" i="8"/>
  <c r="AE30" i="8"/>
  <c r="AD30" i="8"/>
  <c r="AC30" i="8"/>
  <c r="AB30" i="8"/>
  <c r="AA30" i="8"/>
  <c r="Z30" i="8"/>
  <c r="Y30" i="8"/>
  <c r="X30" i="8"/>
  <c r="W30" i="8"/>
  <c r="V30" i="8"/>
  <c r="U30" i="8"/>
  <c r="T30" i="8"/>
  <c r="S30" i="8"/>
  <c r="R30" i="8"/>
  <c r="Q30" i="8"/>
  <c r="P30" i="8"/>
  <c r="N30" i="8"/>
  <c r="M30" i="8"/>
  <c r="L30" i="8"/>
  <c r="K30" i="8"/>
  <c r="J30" i="8"/>
  <c r="AN29" i="8"/>
  <c r="AM29" i="8"/>
  <c r="AL29" i="8"/>
  <c r="AK29" i="8"/>
  <c r="AJ29" i="8"/>
  <c r="AI29" i="8"/>
  <c r="AH29" i="8"/>
  <c r="AG29" i="8"/>
  <c r="AF29" i="8"/>
  <c r="AE29" i="8"/>
  <c r="AD29" i="8"/>
  <c r="AC29" i="8"/>
  <c r="AB29" i="8"/>
  <c r="AA29" i="8"/>
  <c r="Z29" i="8"/>
  <c r="Y29" i="8"/>
  <c r="X29" i="8"/>
  <c r="W29" i="8"/>
  <c r="V29" i="8"/>
  <c r="U29" i="8"/>
  <c r="T29" i="8"/>
  <c r="S29" i="8"/>
  <c r="R29" i="8"/>
  <c r="Q29" i="8"/>
  <c r="P29" i="8"/>
  <c r="N29" i="8"/>
  <c r="M29" i="8"/>
  <c r="L29" i="8"/>
  <c r="K29" i="8"/>
  <c r="J29" i="8"/>
  <c r="AN28" i="8"/>
  <c r="AM28" i="8"/>
  <c r="AL28" i="8"/>
  <c r="AK28" i="8"/>
  <c r="AJ28" i="8"/>
  <c r="AI28" i="8"/>
  <c r="AH28" i="8"/>
  <c r="AG28" i="8"/>
  <c r="AF28" i="8"/>
  <c r="AE28" i="8"/>
  <c r="AD28" i="8"/>
  <c r="AC28" i="8"/>
  <c r="AB28" i="8"/>
  <c r="AA28" i="8"/>
  <c r="Z28" i="8"/>
  <c r="Y28" i="8"/>
  <c r="X28" i="8"/>
  <c r="W28" i="8"/>
  <c r="V28" i="8"/>
  <c r="U28" i="8"/>
  <c r="T28" i="8"/>
  <c r="S28" i="8"/>
  <c r="R28" i="8"/>
  <c r="Q28" i="8"/>
  <c r="P28" i="8"/>
  <c r="N28" i="8"/>
  <c r="M28" i="8"/>
  <c r="L28" i="8"/>
  <c r="K28" i="8"/>
  <c r="J28" i="8"/>
  <c r="AN26" i="8"/>
  <c r="AM26" i="8"/>
  <c r="AL26" i="8"/>
  <c r="AK26" i="8"/>
  <c r="AJ26" i="8"/>
  <c r="AI26" i="8"/>
  <c r="AH26" i="8"/>
  <c r="AG26" i="8"/>
  <c r="AF26" i="8"/>
  <c r="AE26" i="8"/>
  <c r="AD26" i="8"/>
  <c r="AC26" i="8"/>
  <c r="AB26" i="8"/>
  <c r="AA26" i="8"/>
  <c r="Z26" i="8"/>
  <c r="Y26" i="8"/>
  <c r="X26" i="8"/>
  <c r="W26" i="8"/>
  <c r="V26" i="8"/>
  <c r="U26" i="8"/>
  <c r="T26" i="8"/>
  <c r="S26" i="8"/>
  <c r="R26" i="8"/>
  <c r="Q26" i="8"/>
  <c r="P26" i="8"/>
  <c r="N26" i="8"/>
  <c r="M26" i="8"/>
  <c r="L26" i="8"/>
  <c r="K26" i="8"/>
  <c r="J26" i="8"/>
  <c r="AN25" i="8"/>
  <c r="AM25" i="8"/>
  <c r="AL25" i="8"/>
  <c r="AK25" i="8"/>
  <c r="AJ25" i="8"/>
  <c r="AI25" i="8"/>
  <c r="AH25" i="8"/>
  <c r="AG25" i="8"/>
  <c r="AF25" i="8"/>
  <c r="AE25" i="8"/>
  <c r="AD25" i="8"/>
  <c r="AC25" i="8"/>
  <c r="AB25" i="8"/>
  <c r="AA25" i="8"/>
  <c r="Z25" i="8"/>
  <c r="Y25" i="8"/>
  <c r="X25" i="8"/>
  <c r="W25" i="8"/>
  <c r="V25" i="8"/>
  <c r="U25" i="8"/>
  <c r="T25" i="8"/>
  <c r="S25" i="8"/>
  <c r="R25" i="8"/>
  <c r="Q25" i="8"/>
  <c r="P25" i="8"/>
  <c r="N25" i="8"/>
  <c r="M25" i="8"/>
  <c r="L25" i="8"/>
  <c r="K25" i="8"/>
  <c r="J25" i="8"/>
  <c r="AN24" i="8"/>
  <c r="AM24" i="8"/>
  <c r="AL24" i="8"/>
  <c r="AK24" i="8"/>
  <c r="AJ24" i="8"/>
  <c r="AI24" i="8"/>
  <c r="AH24" i="8"/>
  <c r="AG24" i="8"/>
  <c r="AF24" i="8"/>
  <c r="AE24" i="8"/>
  <c r="AD24" i="8"/>
  <c r="AC24" i="8"/>
  <c r="AB24" i="8"/>
  <c r="AA24" i="8"/>
  <c r="Z24" i="8"/>
  <c r="Y24" i="8"/>
  <c r="X24" i="8"/>
  <c r="W24" i="8"/>
  <c r="V24" i="8"/>
  <c r="U24" i="8"/>
  <c r="T24" i="8"/>
  <c r="S24" i="8"/>
  <c r="R24" i="8"/>
  <c r="Q24" i="8"/>
  <c r="P24" i="8"/>
  <c r="N24" i="8"/>
  <c r="M24" i="8"/>
  <c r="L24" i="8"/>
  <c r="K24" i="8"/>
  <c r="J24" i="8"/>
  <c r="AN23" i="8"/>
  <c r="AM23" i="8"/>
  <c r="AL23" i="8"/>
  <c r="AK23" i="8"/>
  <c r="AJ23" i="8"/>
  <c r="AI23" i="8"/>
  <c r="AH23" i="8"/>
  <c r="AG23" i="8"/>
  <c r="AF23" i="8"/>
  <c r="AE23" i="8"/>
  <c r="AD23" i="8"/>
  <c r="AC23" i="8"/>
  <c r="AB23" i="8"/>
  <c r="AA23" i="8"/>
  <c r="Z23" i="8"/>
  <c r="Y23" i="8"/>
  <c r="X23" i="8"/>
  <c r="W23" i="8"/>
  <c r="V23" i="8"/>
  <c r="U23" i="8"/>
  <c r="T23" i="8"/>
  <c r="S23" i="8"/>
  <c r="R23" i="8"/>
  <c r="Q23" i="8"/>
  <c r="P23" i="8"/>
  <c r="N23" i="8"/>
  <c r="M23" i="8"/>
  <c r="L23" i="8"/>
  <c r="K23" i="8"/>
  <c r="J23" i="8"/>
  <c r="AN22" i="8"/>
  <c r="AM22" i="8"/>
  <c r="AL22" i="8"/>
  <c r="AK22" i="8"/>
  <c r="AJ22" i="8"/>
  <c r="AI22" i="8"/>
  <c r="AH22" i="8"/>
  <c r="AG22" i="8"/>
  <c r="AF22" i="8"/>
  <c r="AE22" i="8"/>
  <c r="AD22" i="8"/>
  <c r="AC22" i="8"/>
  <c r="AB22" i="8"/>
  <c r="AA22" i="8"/>
  <c r="Z22" i="8"/>
  <c r="Y22" i="8"/>
  <c r="X22" i="8"/>
  <c r="W22" i="8"/>
  <c r="V22" i="8"/>
  <c r="U22" i="8"/>
  <c r="T22" i="8"/>
  <c r="S22" i="8"/>
  <c r="R22" i="8"/>
  <c r="Q22" i="8"/>
  <c r="P22" i="8"/>
  <c r="N22" i="8"/>
  <c r="M22" i="8"/>
  <c r="L22" i="8"/>
  <c r="K22" i="8"/>
  <c r="J22" i="8"/>
  <c r="AN21" i="8"/>
  <c r="AM21" i="8"/>
  <c r="AL21" i="8"/>
  <c r="AK21" i="8"/>
  <c r="AJ21" i="8"/>
  <c r="AI21" i="8"/>
  <c r="AH21" i="8"/>
  <c r="AG21" i="8"/>
  <c r="AF21" i="8"/>
  <c r="AE21" i="8"/>
  <c r="AD21" i="8"/>
  <c r="AC21" i="8"/>
  <c r="AB21" i="8"/>
  <c r="AA21" i="8"/>
  <c r="Z21" i="8"/>
  <c r="Y21" i="8"/>
  <c r="X21" i="8"/>
  <c r="W21" i="8"/>
  <c r="V21" i="8"/>
  <c r="U21" i="8"/>
  <c r="T21" i="8"/>
  <c r="S21" i="8"/>
  <c r="R21" i="8"/>
  <c r="Q21" i="8"/>
  <c r="P21" i="8"/>
  <c r="N21" i="8"/>
  <c r="M21" i="8"/>
  <c r="L21" i="8"/>
  <c r="K21" i="8"/>
  <c r="J21" i="8"/>
  <c r="AN20" i="8"/>
  <c r="AM20" i="8"/>
  <c r="AL20" i="8"/>
  <c r="AK20" i="8"/>
  <c r="AJ20" i="8"/>
  <c r="AI20" i="8"/>
  <c r="AH20" i="8"/>
  <c r="AG20" i="8"/>
  <c r="AF20" i="8"/>
  <c r="AE20" i="8"/>
  <c r="AD20" i="8"/>
  <c r="AC20" i="8"/>
  <c r="AB20" i="8"/>
  <c r="AA20" i="8"/>
  <c r="Z20" i="8"/>
  <c r="Y20" i="8"/>
  <c r="X20" i="8"/>
  <c r="W20" i="8"/>
  <c r="V20" i="8"/>
  <c r="U20" i="8"/>
  <c r="T20" i="8"/>
  <c r="S20" i="8"/>
  <c r="R20" i="8"/>
  <c r="Q20" i="8"/>
  <c r="P20" i="8"/>
  <c r="N20" i="8"/>
  <c r="M20" i="8"/>
  <c r="L20" i="8"/>
  <c r="K20" i="8"/>
  <c r="J20" i="8"/>
  <c r="AN18" i="8"/>
  <c r="AM18" i="8"/>
  <c r="AL18" i="8"/>
  <c r="AK18" i="8"/>
  <c r="AJ18" i="8"/>
  <c r="AI18" i="8"/>
  <c r="AH18" i="8"/>
  <c r="AG18" i="8"/>
  <c r="AF18" i="8"/>
  <c r="AE18" i="8"/>
  <c r="AD18" i="8"/>
  <c r="AC18" i="8"/>
  <c r="AB18" i="8"/>
  <c r="AA18" i="8"/>
  <c r="Z18" i="8"/>
  <c r="Y18" i="8"/>
  <c r="X18" i="8"/>
  <c r="W18" i="8"/>
  <c r="V18" i="8"/>
  <c r="U18" i="8"/>
  <c r="T18" i="8"/>
  <c r="S18" i="8"/>
  <c r="R18" i="8"/>
  <c r="Q18" i="8"/>
  <c r="P18" i="8"/>
  <c r="N18" i="8"/>
  <c r="M18" i="8"/>
  <c r="L18" i="8"/>
  <c r="K18" i="8"/>
  <c r="J18" i="8"/>
  <c r="AN17" i="8"/>
  <c r="AM17" i="8"/>
  <c r="AL17" i="8"/>
  <c r="AK17" i="8"/>
  <c r="AJ17" i="8"/>
  <c r="AI17" i="8"/>
  <c r="AH17" i="8"/>
  <c r="AG17" i="8"/>
  <c r="AF17" i="8"/>
  <c r="AE17" i="8"/>
  <c r="AD17" i="8"/>
  <c r="AC17" i="8"/>
  <c r="AB17" i="8"/>
  <c r="AA17" i="8"/>
  <c r="Z17" i="8"/>
  <c r="Y17" i="8"/>
  <c r="X17" i="8"/>
  <c r="W17" i="8"/>
  <c r="V17" i="8"/>
  <c r="U17" i="8"/>
  <c r="T17" i="8"/>
  <c r="S17" i="8"/>
  <c r="R17" i="8"/>
  <c r="Q17" i="8"/>
  <c r="P17" i="8"/>
  <c r="N17" i="8"/>
  <c r="M17" i="8"/>
  <c r="L17" i="8"/>
  <c r="K17" i="8"/>
  <c r="J17" i="8"/>
  <c r="AN16" i="8"/>
  <c r="AM16" i="8"/>
  <c r="AL16" i="8"/>
  <c r="AK16" i="8"/>
  <c r="AJ16" i="8"/>
  <c r="AI16" i="8"/>
  <c r="AH16" i="8"/>
  <c r="AG16" i="8"/>
  <c r="AF16" i="8"/>
  <c r="AE16" i="8"/>
  <c r="AD16" i="8"/>
  <c r="AC16" i="8"/>
  <c r="AB16" i="8"/>
  <c r="AA16" i="8"/>
  <c r="Z16" i="8"/>
  <c r="Y16" i="8"/>
  <c r="X16" i="8"/>
  <c r="W16" i="8"/>
  <c r="V16" i="8"/>
  <c r="U16" i="8"/>
  <c r="T16" i="8"/>
  <c r="S16" i="8"/>
  <c r="R16" i="8"/>
  <c r="Q16" i="8"/>
  <c r="P16" i="8"/>
  <c r="N16" i="8"/>
  <c r="M16" i="8"/>
  <c r="L16" i="8"/>
  <c r="K16" i="8"/>
  <c r="J16" i="8"/>
  <c r="AN15" i="8"/>
  <c r="AM15" i="8"/>
  <c r="AL15" i="8"/>
  <c r="AK15" i="8"/>
  <c r="AJ15" i="8"/>
  <c r="AI15" i="8"/>
  <c r="AH15" i="8"/>
  <c r="AG15" i="8"/>
  <c r="AF15" i="8"/>
  <c r="AE15" i="8"/>
  <c r="AD15" i="8"/>
  <c r="AC15" i="8"/>
  <c r="AB15" i="8"/>
  <c r="AA15" i="8"/>
  <c r="Z15" i="8"/>
  <c r="Y15" i="8"/>
  <c r="X15" i="8"/>
  <c r="W15" i="8"/>
  <c r="V15" i="8"/>
  <c r="U15" i="8"/>
  <c r="T15" i="8"/>
  <c r="S15" i="8"/>
  <c r="R15" i="8"/>
  <c r="Q15" i="8"/>
  <c r="P15" i="8"/>
  <c r="N15" i="8"/>
  <c r="M15" i="8"/>
  <c r="L15" i="8"/>
  <c r="K15" i="8"/>
  <c r="J15" i="8"/>
  <c r="AN14" i="8"/>
  <c r="AM14" i="8"/>
  <c r="AL14" i="8"/>
  <c r="AK14" i="8"/>
  <c r="AJ14" i="8"/>
  <c r="AI14" i="8"/>
  <c r="AH14" i="8"/>
  <c r="AG14" i="8"/>
  <c r="AF14" i="8"/>
  <c r="AE14" i="8"/>
  <c r="AD14" i="8"/>
  <c r="AC14" i="8"/>
  <c r="AB14" i="8"/>
  <c r="AA14" i="8"/>
  <c r="Z14" i="8"/>
  <c r="Y14" i="8"/>
  <c r="X14" i="8"/>
  <c r="W14" i="8"/>
  <c r="V14" i="8"/>
  <c r="U14" i="8"/>
  <c r="T14" i="8"/>
  <c r="S14" i="8"/>
  <c r="R14" i="8"/>
  <c r="Q14" i="8"/>
  <c r="P14" i="8"/>
  <c r="N14" i="8"/>
  <c r="M14" i="8"/>
  <c r="L14" i="8"/>
  <c r="K14" i="8"/>
  <c r="J14" i="8"/>
  <c r="AN13" i="8"/>
  <c r="AM13" i="8"/>
  <c r="AL13" i="8"/>
  <c r="AK13" i="8"/>
  <c r="AJ13" i="8"/>
  <c r="AI13" i="8"/>
  <c r="AH13" i="8"/>
  <c r="AG13" i="8"/>
  <c r="AF13" i="8"/>
  <c r="AE13" i="8"/>
  <c r="AD13" i="8"/>
  <c r="AC13" i="8"/>
  <c r="AB13" i="8"/>
  <c r="AA13" i="8"/>
  <c r="Z13" i="8"/>
  <c r="Y13" i="8"/>
  <c r="X13" i="8"/>
  <c r="W13" i="8"/>
  <c r="V13" i="8"/>
  <c r="U13" i="8"/>
  <c r="T13" i="8"/>
  <c r="S13" i="8"/>
  <c r="R13" i="8"/>
  <c r="Q13" i="8"/>
  <c r="P13" i="8"/>
  <c r="N13" i="8"/>
  <c r="M13" i="8"/>
  <c r="L13" i="8"/>
  <c r="K13" i="8"/>
  <c r="J13" i="8"/>
  <c r="AN11" i="8"/>
  <c r="AM11" i="8"/>
  <c r="AL11" i="8"/>
  <c r="AK11" i="8"/>
  <c r="AJ11" i="8"/>
  <c r="AI11" i="8"/>
  <c r="AH11" i="8"/>
  <c r="AG11" i="8"/>
  <c r="AF11" i="8"/>
  <c r="AE11" i="8"/>
  <c r="AD11" i="8"/>
  <c r="AC11" i="8"/>
  <c r="AB11" i="8"/>
  <c r="AA11" i="8"/>
  <c r="Z11" i="8"/>
  <c r="Y11" i="8"/>
  <c r="X11" i="8"/>
  <c r="W11" i="8"/>
  <c r="V11" i="8"/>
  <c r="U11" i="8"/>
  <c r="T11" i="8"/>
  <c r="S11" i="8"/>
  <c r="R11" i="8"/>
  <c r="Q11" i="8"/>
  <c r="P11" i="8"/>
  <c r="N11" i="8"/>
  <c r="M11" i="8"/>
  <c r="L11" i="8"/>
  <c r="K11" i="8"/>
  <c r="J11" i="8"/>
  <c r="AN10" i="8"/>
  <c r="AM10" i="8"/>
  <c r="AL10" i="8"/>
  <c r="AK10" i="8"/>
  <c r="AJ10" i="8"/>
  <c r="AI10" i="8"/>
  <c r="AH10" i="8"/>
  <c r="AG10" i="8"/>
  <c r="AF10" i="8"/>
  <c r="AE10" i="8"/>
  <c r="AD10" i="8"/>
  <c r="AC10" i="8"/>
  <c r="AB10" i="8"/>
  <c r="AA10" i="8"/>
  <c r="Z10" i="8"/>
  <c r="Y10" i="8"/>
  <c r="X10" i="8"/>
  <c r="W10" i="8"/>
  <c r="V10" i="8"/>
  <c r="U10" i="8"/>
  <c r="T10" i="8"/>
  <c r="S10" i="8"/>
  <c r="R10" i="8"/>
  <c r="Q10" i="8"/>
  <c r="P10" i="8"/>
  <c r="N10" i="8"/>
  <c r="M10" i="8"/>
  <c r="L10" i="8"/>
  <c r="K10" i="8"/>
  <c r="J10" i="8"/>
  <c r="AN9" i="8"/>
  <c r="AM9" i="8"/>
  <c r="AL9" i="8"/>
  <c r="AK9" i="8"/>
  <c r="AJ9" i="8"/>
  <c r="AI9" i="8"/>
  <c r="AH9" i="8"/>
  <c r="AG9" i="8"/>
  <c r="AF9" i="8"/>
  <c r="AE9" i="8"/>
  <c r="AD9" i="8"/>
  <c r="AC9" i="8"/>
  <c r="AB9" i="8"/>
  <c r="AA9" i="8"/>
  <c r="Z9" i="8"/>
  <c r="Y9" i="8"/>
  <c r="X9" i="8"/>
  <c r="W9" i="8"/>
  <c r="V9" i="8"/>
  <c r="U9" i="8"/>
  <c r="T9" i="8"/>
  <c r="S9" i="8"/>
  <c r="R9" i="8"/>
  <c r="Q9" i="8"/>
  <c r="P9" i="8"/>
  <c r="N9" i="8"/>
  <c r="M9" i="8"/>
  <c r="L9" i="8"/>
  <c r="K9" i="8"/>
  <c r="J9" i="8"/>
  <c r="AN8" i="8"/>
  <c r="AM8" i="8"/>
  <c r="AL8" i="8"/>
  <c r="AK8" i="8"/>
  <c r="AJ8" i="8"/>
  <c r="AI8" i="8"/>
  <c r="AH8" i="8"/>
  <c r="AG8" i="8"/>
  <c r="AF8" i="8"/>
  <c r="AE8" i="8"/>
  <c r="AD8" i="8"/>
  <c r="AC8" i="8"/>
  <c r="AB8" i="8"/>
  <c r="AA8" i="8"/>
  <c r="Z8" i="8"/>
  <c r="Y8" i="8"/>
  <c r="X8" i="8"/>
  <c r="W8" i="8"/>
  <c r="V8" i="8"/>
  <c r="U8" i="8"/>
  <c r="T8" i="8"/>
  <c r="S8" i="8"/>
  <c r="R8" i="8"/>
  <c r="Q8" i="8"/>
  <c r="P8" i="8"/>
  <c r="N8" i="8"/>
  <c r="M8" i="8"/>
  <c r="L8" i="8"/>
  <c r="K8" i="8"/>
  <c r="J8" i="8"/>
  <c r="K7" i="8"/>
  <c r="L7" i="8"/>
  <c r="M7" i="8"/>
  <c r="N7" i="8"/>
  <c r="P7" i="8"/>
  <c r="Q7" i="8"/>
  <c r="R7" i="8"/>
  <c r="S7" i="8"/>
  <c r="T7" i="8"/>
  <c r="U7" i="8"/>
  <c r="V7" i="8"/>
  <c r="W7" i="8"/>
  <c r="X7" i="8"/>
  <c r="Y7" i="8"/>
  <c r="Z7" i="8"/>
  <c r="AA7" i="8"/>
  <c r="AB7" i="8"/>
  <c r="AC7" i="8"/>
  <c r="AD7" i="8"/>
  <c r="AE7" i="8"/>
  <c r="AF7" i="8"/>
  <c r="AG7" i="8"/>
  <c r="AH7" i="8"/>
  <c r="AI7" i="8"/>
  <c r="AJ7" i="8"/>
  <c r="AK7" i="8"/>
  <c r="AL7" i="8"/>
  <c r="AM7" i="8"/>
  <c r="AN7" i="8"/>
  <c r="J7" i="8"/>
  <c r="O109" i="8"/>
  <c r="O107" i="8"/>
  <c r="O105" i="8"/>
  <c r="O103" i="8"/>
  <c r="O95" i="8"/>
  <c r="O84" i="8"/>
  <c r="O82" i="8"/>
  <c r="O77" i="8"/>
  <c r="O75" i="8"/>
  <c r="O70" i="8"/>
  <c r="O65" i="8"/>
  <c r="O59" i="8"/>
  <c r="O53" i="8"/>
  <c r="O42" i="8"/>
  <c r="O27" i="8"/>
  <c r="O19" i="8"/>
  <c r="O6" i="8"/>
  <c r="O12" i="8"/>
  <c r="AN109" i="8"/>
  <c r="AM109" i="8"/>
  <c r="AL109" i="8"/>
  <c r="AK109" i="8"/>
  <c r="AJ109" i="8"/>
  <c r="AI109" i="8"/>
  <c r="AH109" i="8"/>
  <c r="AG109" i="8"/>
  <c r="AF109" i="8"/>
  <c r="AE109" i="8"/>
  <c r="AD109" i="8"/>
  <c r="AC109" i="8"/>
  <c r="AB109" i="8"/>
  <c r="AA109" i="8"/>
  <c r="Z109" i="8"/>
  <c r="Y109" i="8"/>
  <c r="X109" i="8"/>
  <c r="W109" i="8"/>
  <c r="V109" i="8"/>
  <c r="U109" i="8"/>
  <c r="T109" i="8"/>
  <c r="S109" i="8"/>
  <c r="R109" i="8"/>
  <c r="Q109" i="8"/>
  <c r="P109" i="8"/>
  <c r="N109" i="8"/>
  <c r="M109" i="8"/>
  <c r="L109" i="8"/>
  <c r="K109" i="8"/>
  <c r="J109" i="8"/>
  <c r="AN107" i="8"/>
  <c r="AM107" i="8"/>
  <c r="AL107" i="8"/>
  <c r="AK107" i="8"/>
  <c r="AJ107" i="8"/>
  <c r="AI107" i="8"/>
  <c r="AH107" i="8"/>
  <c r="AG107" i="8"/>
  <c r="AF107" i="8"/>
  <c r="AE107" i="8"/>
  <c r="AD107" i="8"/>
  <c r="AC107" i="8"/>
  <c r="AB107" i="8"/>
  <c r="AA107" i="8"/>
  <c r="Z107" i="8"/>
  <c r="Y107" i="8"/>
  <c r="X107" i="8"/>
  <c r="W107" i="8"/>
  <c r="V107" i="8"/>
  <c r="U107" i="8"/>
  <c r="T107" i="8"/>
  <c r="S107" i="8"/>
  <c r="R107" i="8"/>
  <c r="Q107" i="8"/>
  <c r="P107" i="8"/>
  <c r="N107" i="8"/>
  <c r="M107" i="8"/>
  <c r="L107" i="8"/>
  <c r="K107" i="8"/>
  <c r="J107" i="8"/>
  <c r="AN105" i="8"/>
  <c r="AM105" i="8"/>
  <c r="AL105" i="8"/>
  <c r="AK105" i="8"/>
  <c r="AJ105" i="8"/>
  <c r="AI105" i="8"/>
  <c r="AH105" i="8"/>
  <c r="AG105" i="8"/>
  <c r="AF105" i="8"/>
  <c r="AE105" i="8"/>
  <c r="AD105" i="8"/>
  <c r="AC105" i="8"/>
  <c r="AB105" i="8"/>
  <c r="AA105" i="8"/>
  <c r="Z105" i="8"/>
  <c r="Y105" i="8"/>
  <c r="X105" i="8"/>
  <c r="W105" i="8"/>
  <c r="V105" i="8"/>
  <c r="U105" i="8"/>
  <c r="T105" i="8"/>
  <c r="S105" i="8"/>
  <c r="R105" i="8"/>
  <c r="Q105" i="8"/>
  <c r="P105" i="8"/>
  <c r="N105" i="8"/>
  <c r="M105" i="8"/>
  <c r="L105" i="8"/>
  <c r="K105" i="8"/>
  <c r="J105"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N103" i="8"/>
  <c r="M103" i="8"/>
  <c r="L103" i="8"/>
  <c r="K103" i="8"/>
  <c r="J103" i="8"/>
  <c r="AN95" i="8"/>
  <c r="AM95" i="8"/>
  <c r="AL95" i="8"/>
  <c r="AK95" i="8"/>
  <c r="AJ95" i="8"/>
  <c r="AI95" i="8"/>
  <c r="AH95" i="8"/>
  <c r="AG95" i="8"/>
  <c r="AF95" i="8"/>
  <c r="AE95" i="8"/>
  <c r="AD95" i="8"/>
  <c r="AC95" i="8"/>
  <c r="AB95" i="8"/>
  <c r="AA95" i="8"/>
  <c r="Z95" i="8"/>
  <c r="Y95" i="8"/>
  <c r="X95" i="8"/>
  <c r="W95" i="8"/>
  <c r="V95" i="8"/>
  <c r="U95" i="8"/>
  <c r="T95" i="8"/>
  <c r="S95" i="8"/>
  <c r="R95" i="8"/>
  <c r="Q95" i="8"/>
  <c r="P95" i="8"/>
  <c r="N95" i="8"/>
  <c r="M95" i="8"/>
  <c r="L95" i="8"/>
  <c r="K95" i="8"/>
  <c r="J95" i="8"/>
  <c r="AN84" i="8"/>
  <c r="AM84" i="8"/>
  <c r="AL84" i="8"/>
  <c r="AK84" i="8"/>
  <c r="AJ84" i="8"/>
  <c r="AI84" i="8"/>
  <c r="AH84" i="8"/>
  <c r="AG84" i="8"/>
  <c r="AF84" i="8"/>
  <c r="AE84" i="8"/>
  <c r="AD84" i="8"/>
  <c r="AC84" i="8"/>
  <c r="AB84" i="8"/>
  <c r="AA84" i="8"/>
  <c r="Z84" i="8"/>
  <c r="Y84" i="8"/>
  <c r="X84" i="8"/>
  <c r="W84" i="8"/>
  <c r="V84" i="8"/>
  <c r="U84" i="8"/>
  <c r="T84" i="8"/>
  <c r="S84" i="8"/>
  <c r="R84" i="8"/>
  <c r="Q84" i="8"/>
  <c r="P84" i="8"/>
  <c r="N84" i="8"/>
  <c r="M84" i="8"/>
  <c r="L84" i="8"/>
  <c r="K84" i="8"/>
  <c r="J84" i="8"/>
  <c r="AN82" i="8"/>
  <c r="AM82" i="8"/>
  <c r="AL82" i="8"/>
  <c r="AK82" i="8"/>
  <c r="AJ82" i="8"/>
  <c r="AI82" i="8"/>
  <c r="AH82" i="8"/>
  <c r="AG82" i="8"/>
  <c r="AF82" i="8"/>
  <c r="AE82" i="8"/>
  <c r="AD82" i="8"/>
  <c r="AC82" i="8"/>
  <c r="AB82" i="8"/>
  <c r="AA82" i="8"/>
  <c r="Z82" i="8"/>
  <c r="Y82" i="8"/>
  <c r="X82" i="8"/>
  <c r="W82" i="8"/>
  <c r="V82" i="8"/>
  <c r="U82" i="8"/>
  <c r="T82" i="8"/>
  <c r="S82" i="8"/>
  <c r="R82" i="8"/>
  <c r="Q82" i="8"/>
  <c r="P82" i="8"/>
  <c r="N82" i="8"/>
  <c r="M82" i="8"/>
  <c r="L82" i="8"/>
  <c r="K82" i="8"/>
  <c r="J82" i="8"/>
  <c r="AN77" i="8"/>
  <c r="AM77" i="8"/>
  <c r="AL77" i="8"/>
  <c r="AK77" i="8"/>
  <c r="AJ77" i="8"/>
  <c r="AI77" i="8"/>
  <c r="AH77" i="8"/>
  <c r="AG77" i="8"/>
  <c r="AF77" i="8"/>
  <c r="AE77" i="8"/>
  <c r="AD77" i="8"/>
  <c r="AC77" i="8"/>
  <c r="AB77" i="8"/>
  <c r="AA77" i="8"/>
  <c r="Z77" i="8"/>
  <c r="Y77" i="8"/>
  <c r="X77" i="8"/>
  <c r="W77" i="8"/>
  <c r="V77" i="8"/>
  <c r="U77" i="8"/>
  <c r="T77" i="8"/>
  <c r="S77" i="8"/>
  <c r="R77" i="8"/>
  <c r="Q77" i="8"/>
  <c r="P77" i="8"/>
  <c r="N77" i="8"/>
  <c r="M77" i="8"/>
  <c r="L77" i="8"/>
  <c r="K77" i="8"/>
  <c r="J77" i="8"/>
  <c r="AN75" i="8"/>
  <c r="AM75" i="8"/>
  <c r="AL75" i="8"/>
  <c r="AK75" i="8"/>
  <c r="AJ75" i="8"/>
  <c r="AI75" i="8"/>
  <c r="AH75" i="8"/>
  <c r="AG75" i="8"/>
  <c r="AF75" i="8"/>
  <c r="AE75" i="8"/>
  <c r="AD75" i="8"/>
  <c r="AC75" i="8"/>
  <c r="AB75" i="8"/>
  <c r="AA75" i="8"/>
  <c r="Z75" i="8"/>
  <c r="Y75" i="8"/>
  <c r="X75" i="8"/>
  <c r="W75" i="8"/>
  <c r="V75" i="8"/>
  <c r="U75" i="8"/>
  <c r="T75" i="8"/>
  <c r="S75" i="8"/>
  <c r="R75" i="8"/>
  <c r="Q75" i="8"/>
  <c r="P75" i="8"/>
  <c r="N75" i="8"/>
  <c r="M75" i="8"/>
  <c r="L75" i="8"/>
  <c r="K75" i="8"/>
  <c r="J75" i="8"/>
  <c r="AN70" i="8"/>
  <c r="AM70" i="8"/>
  <c r="AL70" i="8"/>
  <c r="AK70" i="8"/>
  <c r="AJ70" i="8"/>
  <c r="AI70" i="8"/>
  <c r="AH70" i="8"/>
  <c r="AG70" i="8"/>
  <c r="AF70" i="8"/>
  <c r="AE70" i="8"/>
  <c r="AD70" i="8"/>
  <c r="AC70" i="8"/>
  <c r="AB70" i="8"/>
  <c r="AA70" i="8"/>
  <c r="Z70" i="8"/>
  <c r="Y70" i="8"/>
  <c r="X70" i="8"/>
  <c r="W70" i="8"/>
  <c r="V70" i="8"/>
  <c r="U70" i="8"/>
  <c r="T70" i="8"/>
  <c r="S70" i="8"/>
  <c r="R70" i="8"/>
  <c r="Q70" i="8"/>
  <c r="P70" i="8"/>
  <c r="N70" i="8"/>
  <c r="M70" i="8"/>
  <c r="L70" i="8"/>
  <c r="K70" i="8"/>
  <c r="J70" i="8"/>
  <c r="AN65" i="8"/>
  <c r="AM65" i="8"/>
  <c r="AL65" i="8"/>
  <c r="AK65" i="8"/>
  <c r="AJ65" i="8"/>
  <c r="AI65" i="8"/>
  <c r="AH65" i="8"/>
  <c r="AG65" i="8"/>
  <c r="AF65" i="8"/>
  <c r="AE65" i="8"/>
  <c r="AD65" i="8"/>
  <c r="AC65" i="8"/>
  <c r="AB65" i="8"/>
  <c r="AA65" i="8"/>
  <c r="Z65" i="8"/>
  <c r="Y65" i="8"/>
  <c r="X65" i="8"/>
  <c r="W65" i="8"/>
  <c r="V65" i="8"/>
  <c r="U65" i="8"/>
  <c r="T65" i="8"/>
  <c r="S65" i="8"/>
  <c r="R65" i="8"/>
  <c r="Q65" i="8"/>
  <c r="P65" i="8"/>
  <c r="N65" i="8"/>
  <c r="M65" i="8"/>
  <c r="L65" i="8"/>
  <c r="K65" i="8"/>
  <c r="J65" i="8"/>
  <c r="AN59" i="8"/>
  <c r="AM59" i="8"/>
  <c r="AL59" i="8"/>
  <c r="AK59" i="8"/>
  <c r="AJ59" i="8"/>
  <c r="AI59" i="8"/>
  <c r="AH59" i="8"/>
  <c r="AG59" i="8"/>
  <c r="AF59" i="8"/>
  <c r="AE59" i="8"/>
  <c r="AD59" i="8"/>
  <c r="AC59" i="8"/>
  <c r="AB59" i="8"/>
  <c r="AA59" i="8"/>
  <c r="Z59" i="8"/>
  <c r="Y59" i="8"/>
  <c r="X59" i="8"/>
  <c r="W59" i="8"/>
  <c r="V59" i="8"/>
  <c r="U59" i="8"/>
  <c r="T59" i="8"/>
  <c r="S59" i="8"/>
  <c r="R59" i="8"/>
  <c r="Q59" i="8"/>
  <c r="P59" i="8"/>
  <c r="N59" i="8"/>
  <c r="M59" i="8"/>
  <c r="L59" i="8"/>
  <c r="K59" i="8"/>
  <c r="J59" i="8"/>
  <c r="AN53" i="8"/>
  <c r="AM53" i="8"/>
  <c r="AL53" i="8"/>
  <c r="AK53" i="8"/>
  <c r="AJ53" i="8"/>
  <c r="AI53" i="8"/>
  <c r="AH53" i="8"/>
  <c r="AG53" i="8"/>
  <c r="AF53" i="8"/>
  <c r="AE53" i="8"/>
  <c r="AD53" i="8"/>
  <c r="AC53" i="8"/>
  <c r="AB53" i="8"/>
  <c r="AA53" i="8"/>
  <c r="Z53" i="8"/>
  <c r="Y53" i="8"/>
  <c r="X53" i="8"/>
  <c r="W53" i="8"/>
  <c r="V53" i="8"/>
  <c r="U53" i="8"/>
  <c r="T53" i="8"/>
  <c r="S53" i="8"/>
  <c r="R53" i="8"/>
  <c r="Q53" i="8"/>
  <c r="P53" i="8"/>
  <c r="N53" i="8"/>
  <c r="M53" i="8"/>
  <c r="L53" i="8"/>
  <c r="K53" i="8"/>
  <c r="J53" i="8"/>
  <c r="AN42" i="8"/>
  <c r="AM42" i="8"/>
  <c r="AL42" i="8"/>
  <c r="AK42" i="8"/>
  <c r="AJ42" i="8"/>
  <c r="AI42" i="8"/>
  <c r="AH42" i="8"/>
  <c r="AG42" i="8"/>
  <c r="AF42" i="8"/>
  <c r="AE42" i="8"/>
  <c r="AD42" i="8"/>
  <c r="AC42" i="8"/>
  <c r="AB42" i="8"/>
  <c r="AA42" i="8"/>
  <c r="Z42" i="8"/>
  <c r="Y42" i="8"/>
  <c r="X42" i="8"/>
  <c r="W42" i="8"/>
  <c r="V42" i="8"/>
  <c r="U42" i="8"/>
  <c r="T42" i="8"/>
  <c r="S42" i="8"/>
  <c r="R42" i="8"/>
  <c r="Q42" i="8"/>
  <c r="P42" i="8"/>
  <c r="N42" i="8"/>
  <c r="M42" i="8"/>
  <c r="L42" i="8"/>
  <c r="K42" i="8"/>
  <c r="J42" i="8"/>
  <c r="AN27" i="8"/>
  <c r="AM27" i="8"/>
  <c r="AL27" i="8"/>
  <c r="AK27" i="8"/>
  <c r="AJ27" i="8"/>
  <c r="AI27" i="8"/>
  <c r="AH27" i="8"/>
  <c r="AG27" i="8"/>
  <c r="AF27" i="8"/>
  <c r="AE27" i="8"/>
  <c r="AD27" i="8"/>
  <c r="AC27" i="8"/>
  <c r="AB27" i="8"/>
  <c r="AA27" i="8"/>
  <c r="Z27" i="8"/>
  <c r="Y27" i="8"/>
  <c r="X27" i="8"/>
  <c r="W27" i="8"/>
  <c r="V27" i="8"/>
  <c r="U27" i="8"/>
  <c r="T27" i="8"/>
  <c r="S27" i="8"/>
  <c r="R27" i="8"/>
  <c r="Q27" i="8"/>
  <c r="P27" i="8"/>
  <c r="N27" i="8"/>
  <c r="M27" i="8"/>
  <c r="L27" i="8"/>
  <c r="K27" i="8"/>
  <c r="J27" i="8"/>
  <c r="AN19" i="8"/>
  <c r="AM19" i="8"/>
  <c r="AL19" i="8"/>
  <c r="AK19" i="8"/>
  <c r="AJ19" i="8"/>
  <c r="AI19" i="8"/>
  <c r="AH19" i="8"/>
  <c r="AG19" i="8"/>
  <c r="AF19" i="8"/>
  <c r="AE19" i="8"/>
  <c r="AD19" i="8"/>
  <c r="AC19" i="8"/>
  <c r="AB19" i="8"/>
  <c r="AA19" i="8"/>
  <c r="Z19" i="8"/>
  <c r="Y19" i="8"/>
  <c r="X19" i="8"/>
  <c r="W19" i="8"/>
  <c r="V19" i="8"/>
  <c r="U19" i="8"/>
  <c r="T19" i="8"/>
  <c r="S19" i="8"/>
  <c r="R19" i="8"/>
  <c r="Q19" i="8"/>
  <c r="P19" i="8"/>
  <c r="N19" i="8"/>
  <c r="M19" i="8"/>
  <c r="L19" i="8"/>
  <c r="K19" i="8"/>
  <c r="J19" i="8"/>
  <c r="AN12" i="8"/>
  <c r="AM12" i="8"/>
  <c r="AL12" i="8"/>
  <c r="AK12" i="8"/>
  <c r="AJ12" i="8"/>
  <c r="AI12" i="8"/>
  <c r="AH12" i="8"/>
  <c r="AG12" i="8"/>
  <c r="AF12" i="8"/>
  <c r="AE12" i="8"/>
  <c r="AD12" i="8"/>
  <c r="AC12" i="8"/>
  <c r="AB12" i="8"/>
  <c r="AA12" i="8"/>
  <c r="Z12" i="8"/>
  <c r="Y12" i="8"/>
  <c r="X12" i="8"/>
  <c r="W12" i="8"/>
  <c r="V12" i="8"/>
  <c r="U12" i="8"/>
  <c r="T12" i="8"/>
  <c r="S12" i="8"/>
  <c r="R12" i="8"/>
  <c r="Q12" i="8"/>
  <c r="P12" i="8"/>
  <c r="N12" i="8"/>
  <c r="M12" i="8"/>
  <c r="L12" i="8"/>
  <c r="K12" i="8"/>
  <c r="J12" i="8"/>
  <c r="K6" i="8"/>
  <c r="L6" i="8"/>
  <c r="M6" i="8"/>
  <c r="N6" i="8"/>
  <c r="P6" i="8"/>
  <c r="Q6" i="8"/>
  <c r="R6" i="8"/>
  <c r="S6" i="8"/>
  <c r="T6" i="8"/>
  <c r="U6" i="8"/>
  <c r="V6" i="8"/>
  <c r="W6" i="8"/>
  <c r="X6" i="8"/>
  <c r="Y6" i="8"/>
  <c r="Z6" i="8"/>
  <c r="AA6" i="8"/>
  <c r="AB6" i="8"/>
  <c r="AC6" i="8"/>
  <c r="AD6" i="8"/>
  <c r="AE6" i="8"/>
  <c r="AF6" i="8"/>
  <c r="AG6" i="8"/>
  <c r="AH6" i="8"/>
  <c r="AI6" i="8"/>
  <c r="AJ6" i="8"/>
  <c r="AK6" i="8"/>
  <c r="AL6" i="8"/>
  <c r="AM6" i="8"/>
  <c r="AN6" i="8"/>
  <c r="J6" i="8"/>
  <c r="S5" i="8"/>
  <c r="T5" i="8"/>
  <c r="U5" i="8"/>
  <c r="V5" i="8"/>
  <c r="W5" i="8"/>
  <c r="X5" i="8"/>
  <c r="Y5" i="8"/>
  <c r="Z5" i="8"/>
  <c r="AA5" i="8"/>
  <c r="AB5" i="8"/>
  <c r="AC5" i="8"/>
  <c r="AD5" i="8"/>
  <c r="AE5" i="8"/>
  <c r="AF5" i="8"/>
  <c r="AG5" i="8"/>
  <c r="AH5" i="8"/>
  <c r="AI5" i="8"/>
  <c r="AJ5" i="8"/>
  <c r="AK5" i="8"/>
  <c r="AL5" i="8"/>
  <c r="AM5" i="8"/>
  <c r="AN5" i="8"/>
  <c r="K5" i="8"/>
  <c r="L5" i="8"/>
  <c r="M5" i="8"/>
  <c r="N5" i="8"/>
  <c r="P5" i="8"/>
  <c r="Q5" i="8"/>
  <c r="R5" i="8"/>
  <c r="J5" i="8"/>
  <c r="I151" i="9" l="1"/>
  <c r="F50" i="7"/>
  <c r="I60" i="9"/>
  <c r="I134" i="9"/>
  <c r="I16" i="9"/>
  <c r="I109" i="9"/>
  <c r="I120" i="9"/>
  <c r="I6" i="9" l="1"/>
  <c r="I6" i="8" l="1"/>
  <c r="I12" i="8"/>
  <c r="I19" i="8"/>
  <c r="I42" i="8"/>
  <c r="I53" i="8"/>
  <c r="I59" i="8"/>
  <c r="I75" i="8"/>
  <c r="I82" i="8"/>
  <c r="I103" i="8"/>
  <c r="I109" i="8"/>
  <c r="B218" i="12"/>
  <c r="B217" i="12"/>
  <c r="B216" i="12"/>
  <c r="B215" i="12"/>
  <c r="B214" i="12"/>
  <c r="B213" i="12"/>
  <c r="B212" i="12"/>
  <c r="B211" i="12"/>
  <c r="B210" i="12"/>
  <c r="B209" i="12"/>
  <c r="B208" i="12"/>
  <c r="B207" i="12"/>
  <c r="H206" i="12"/>
  <c r="F206" i="12"/>
  <c r="B205" i="12"/>
  <c r="B204" i="12"/>
  <c r="B203" i="12"/>
  <c r="B202" i="12"/>
  <c r="B201" i="12"/>
  <c r="B200" i="12"/>
  <c r="B199" i="12"/>
  <c r="B198" i="12"/>
  <c r="B197" i="12"/>
  <c r="B196" i="12"/>
  <c r="B192" i="12"/>
  <c r="B191" i="12"/>
  <c r="B190" i="12"/>
  <c r="B189" i="12"/>
  <c r="B188" i="12"/>
  <c r="B187" i="12"/>
  <c r="B186" i="12"/>
  <c r="B185" i="12"/>
  <c r="B184" i="12"/>
  <c r="B183" i="12"/>
  <c r="B182" i="12"/>
  <c r="B180" i="12"/>
  <c r="B179" i="12"/>
  <c r="B178" i="12"/>
  <c r="B177" i="12"/>
  <c r="B176" i="12"/>
  <c r="B175" i="12"/>
  <c r="B173" i="12"/>
  <c r="B172" i="12"/>
  <c r="B171" i="12"/>
  <c r="B170" i="12"/>
  <c r="B167" i="12"/>
  <c r="B166" i="12"/>
  <c r="B165" i="12"/>
  <c r="B164" i="12"/>
  <c r="B161" i="12"/>
  <c r="B160" i="12"/>
  <c r="B159" i="12"/>
  <c r="B158" i="12"/>
  <c r="B157" i="12"/>
  <c r="B156" i="12"/>
  <c r="B155" i="12"/>
  <c r="B153" i="12"/>
  <c r="B152" i="12"/>
  <c r="B151" i="12"/>
  <c r="B150" i="12"/>
  <c r="B149" i="12"/>
  <c r="B148" i="12"/>
  <c r="B147" i="12"/>
  <c r="B146" i="12"/>
  <c r="B145" i="12"/>
  <c r="B144" i="12"/>
  <c r="B143" i="12"/>
  <c r="B142" i="12"/>
  <c r="B141" i="12"/>
  <c r="B140" i="12"/>
  <c r="H139" i="12"/>
  <c r="F139" i="12"/>
  <c r="B138" i="12"/>
  <c r="B137" i="12"/>
  <c r="B136" i="12"/>
  <c r="B135" i="12"/>
  <c r="B133" i="12"/>
  <c r="B132" i="12"/>
  <c r="B131" i="12"/>
  <c r="B130" i="12"/>
  <c r="B129" i="12"/>
  <c r="B128" i="12"/>
  <c r="B127" i="12"/>
  <c r="B126" i="12"/>
  <c r="B125" i="12"/>
  <c r="B123" i="12"/>
  <c r="B122" i="12"/>
  <c r="B121" i="12"/>
  <c r="B120" i="12"/>
  <c r="B119" i="12"/>
  <c r="B118" i="12"/>
  <c r="B117" i="12"/>
  <c r="B116" i="12"/>
  <c r="B115" i="12"/>
  <c r="B113" i="12"/>
  <c r="B112" i="12"/>
  <c r="B111" i="12"/>
  <c r="B110" i="12"/>
  <c r="B109" i="12"/>
  <c r="B108" i="12"/>
  <c r="B106" i="12"/>
  <c r="B105" i="12"/>
  <c r="B104" i="12"/>
  <c r="B103" i="12"/>
  <c r="B102" i="12"/>
  <c r="B101" i="12"/>
  <c r="B100" i="12"/>
  <c r="B98" i="12"/>
  <c r="B97" i="12"/>
  <c r="B96" i="12"/>
  <c r="B95" i="12"/>
  <c r="B94" i="12"/>
  <c r="B93" i="12"/>
  <c r="B92" i="12"/>
  <c r="B91" i="12"/>
  <c r="B90" i="12"/>
  <c r="B89" i="12"/>
  <c r="B88" i="12"/>
  <c r="B87" i="12"/>
  <c r="B86" i="12"/>
  <c r="B85" i="12"/>
  <c r="B84" i="12"/>
  <c r="B83" i="12"/>
  <c r="B82" i="12"/>
  <c r="B81" i="12"/>
  <c r="B80" i="12"/>
  <c r="B79" i="12"/>
  <c r="B78" i="12"/>
  <c r="B77" i="12"/>
  <c r="B76" i="12"/>
  <c r="B74" i="12"/>
  <c r="B73" i="12"/>
  <c r="B72" i="12"/>
  <c r="B71" i="12"/>
  <c r="B70" i="12"/>
  <c r="B69" i="12"/>
  <c r="B68" i="12"/>
  <c r="B67" i="12"/>
  <c r="B66" i="12"/>
  <c r="B65" i="12"/>
  <c r="B64" i="12"/>
  <c r="B63" i="12"/>
  <c r="B62" i="12"/>
  <c r="B61" i="12"/>
  <c r="B59" i="12"/>
  <c r="B58" i="12"/>
  <c r="B57" i="12"/>
  <c r="B56" i="12"/>
  <c r="B55" i="12"/>
  <c r="B54" i="12"/>
  <c r="B53" i="12"/>
  <c r="B52" i="12"/>
  <c r="B51"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0" i="12"/>
  <c r="B19" i="12"/>
  <c r="B18" i="12"/>
  <c r="B17" i="12"/>
  <c r="B16" i="12"/>
  <c r="B15" i="12"/>
  <c r="B14" i="12"/>
  <c r="B13" i="12"/>
  <c r="B12" i="12"/>
  <c r="B11" i="12"/>
  <c r="B10" i="12"/>
  <c r="B9" i="12"/>
  <c r="B8" i="12"/>
  <c r="B7" i="12"/>
  <c r="I122" i="8"/>
  <c r="I121" i="8"/>
  <c r="I107" i="8"/>
  <c r="I105" i="8"/>
  <c r="I102" i="8"/>
  <c r="I101" i="8"/>
  <c r="I100" i="8"/>
  <c r="I99" i="8"/>
  <c r="I98" i="8"/>
  <c r="I97" i="8"/>
  <c r="I96" i="8"/>
  <c r="I88" i="8"/>
  <c r="I87" i="8"/>
  <c r="I86" i="8"/>
  <c r="I85" i="8"/>
  <c r="I80" i="8"/>
  <c r="I77" i="8" s="1"/>
  <c r="I73" i="8"/>
  <c r="I70" i="8" s="1"/>
  <c r="I67" i="8"/>
  <c r="I66" i="8"/>
  <c r="I40" i="8"/>
  <c r="I35" i="8"/>
  <c r="F204" i="7"/>
  <c r="F193" i="7"/>
  <c r="F205" i="7"/>
  <c r="F172" i="7"/>
  <c r="F158" i="7"/>
  <c r="F148" i="7"/>
  <c r="F147" i="7"/>
  <c r="F146" i="7"/>
  <c r="F144" i="7"/>
  <c r="F143" i="7"/>
  <c r="F141" i="7"/>
  <c r="F140" i="7"/>
  <c r="F142" i="7"/>
  <c r="F132" i="7"/>
  <c r="F131" i="7"/>
  <c r="F130" i="7"/>
  <c r="F129" i="7"/>
  <c r="F125" i="7"/>
  <c r="F120" i="7"/>
  <c r="F118" i="7"/>
  <c r="F115" i="7" s="1"/>
  <c r="F99" i="7"/>
  <c r="F97" i="7"/>
  <c r="F94" i="7" s="1"/>
  <c r="F92" i="7"/>
  <c r="F84" i="7" s="1"/>
  <c r="F33" i="7"/>
  <c r="F76" i="7"/>
  <c r="F75" i="7"/>
  <c r="F48" i="7"/>
  <c r="F43" i="7"/>
  <c r="F16" i="7"/>
  <c r="F6" i="7"/>
  <c r="I116" i="8" l="1"/>
  <c r="I27" i="8"/>
  <c r="F199" i="7"/>
  <c r="I65" i="8"/>
  <c r="I84" i="8"/>
  <c r="I95" i="8"/>
  <c r="I5" i="8" s="1"/>
  <c r="F35" i="7"/>
  <c r="F150" i="7"/>
  <c r="F139" i="7"/>
  <c r="F128" i="7"/>
  <c r="F74" i="7"/>
  <c r="C4" i="2" l="1"/>
  <c r="C5" i="2"/>
  <c r="C6" i="2"/>
  <c r="C8" i="2"/>
  <c r="C9" i="2"/>
  <c r="C10" i="2"/>
  <c r="C11" i="2"/>
  <c r="C12" i="2"/>
  <c r="C13" i="2"/>
  <c r="C14" i="2"/>
  <c r="C15" i="2"/>
  <c r="C16" i="2"/>
  <c r="C17" i="2"/>
  <c r="C18" i="2"/>
  <c r="C19" i="2"/>
  <c r="C20" i="2"/>
  <c r="C21" i="2"/>
  <c r="C22" i="2"/>
  <c r="C23" i="2"/>
  <c r="C24" i="2"/>
  <c r="C25" i="2"/>
  <c r="C26" i="2"/>
  <c r="C27" i="2"/>
  <c r="C28" i="2"/>
  <c r="C29" i="2"/>
  <c r="C30" i="2"/>
  <c r="C31" i="2"/>
  <c r="C3" i="2"/>
  <c r="DM30" i="6"/>
  <c r="DP30" i="6" s="1"/>
  <c r="W30" i="6" s="1"/>
  <c r="DL30" i="6"/>
  <c r="DO30" i="6" s="1"/>
  <c r="V30" i="6" s="1"/>
  <c r="W29" i="2" s="1"/>
  <c r="DK30" i="6"/>
  <c r="DR30" i="6" s="1"/>
  <c r="U30" i="6" s="1"/>
  <c r="CD14" i="6"/>
  <c r="H14" i="6" s="1"/>
  <c r="I13" i="2" s="1"/>
  <c r="BY14" i="6"/>
  <c r="CB14" i="6" s="1"/>
  <c r="J14" i="6" s="1"/>
  <c r="K13" i="2" s="1"/>
  <c r="BX14" i="6"/>
  <c r="CE14" i="6" s="1"/>
  <c r="I14" i="6" s="1"/>
  <c r="J13" i="2" s="1"/>
  <c r="D41" i="6"/>
  <c r="D42" i="6" s="1"/>
  <c r="Z35" i="6"/>
  <c r="Z34" i="6"/>
  <c r="Z33" i="6"/>
  <c r="EX32" i="6"/>
  <c r="EZ32" i="6" s="1"/>
  <c r="EW32" i="6"/>
  <c r="EY32" i="6" s="1"/>
  <c r="EK32" i="6"/>
  <c r="EJ32" i="6"/>
  <c r="EN32" i="6" s="1"/>
  <c r="EQ32" i="6" s="1"/>
  <c r="AF32" i="6" s="1"/>
  <c r="DX32" i="6"/>
  <c r="DZ32" i="6" s="1"/>
  <c r="DW32" i="6"/>
  <c r="DY32" i="6" s="1"/>
  <c r="CZ32" i="6"/>
  <c r="CX32" i="6"/>
  <c r="DA32" i="6" s="1"/>
  <c r="CW32" i="6"/>
  <c r="CY32" i="6" s="1"/>
  <c r="DD32" i="6" s="1"/>
  <c r="P32" i="6" s="1"/>
  <c r="Q31" i="2" s="1"/>
  <c r="CK32" i="6"/>
  <c r="CM32" i="6" s="1"/>
  <c r="CJ32" i="6"/>
  <c r="CL32" i="6" s="1"/>
  <c r="BX32" i="6"/>
  <c r="BZ32" i="6" s="1"/>
  <c r="BW32" i="6"/>
  <c r="AO32" i="6"/>
  <c r="AN32" i="6"/>
  <c r="Z32" i="6"/>
  <c r="W32" i="6"/>
  <c r="X31" i="2" s="1"/>
  <c r="V32" i="6"/>
  <c r="W31" i="2" s="1"/>
  <c r="U32" i="6"/>
  <c r="V31" i="2" s="1"/>
  <c r="T32" i="6"/>
  <c r="U31" i="2" s="1"/>
  <c r="Z31" i="6"/>
  <c r="W31" i="6"/>
  <c r="X30" i="2" s="1"/>
  <c r="V31" i="6"/>
  <c r="W30" i="2" s="1"/>
  <c r="U31" i="6"/>
  <c r="V30" i="2" s="1"/>
  <c r="T31" i="6"/>
  <c r="U30" i="2" s="1"/>
  <c r="S31" i="6"/>
  <c r="T30" i="2" s="1"/>
  <c r="R31" i="6"/>
  <c r="S30" i="2" s="1"/>
  <c r="Q31" i="6"/>
  <c r="R30" i="2" s="1"/>
  <c r="P31" i="6"/>
  <c r="Q30" i="2" s="1"/>
  <c r="O31" i="6"/>
  <c r="P30" i="2" s="1"/>
  <c r="N31" i="6"/>
  <c r="O30" i="2" s="1"/>
  <c r="M31" i="6"/>
  <c r="L31" i="6"/>
  <c r="M30" i="2" s="1"/>
  <c r="K31" i="6"/>
  <c r="J31" i="6"/>
  <c r="I31" i="6"/>
  <c r="J30" i="2" s="1"/>
  <c r="H31" i="6"/>
  <c r="FM30" i="6"/>
  <c r="FP30" i="6" s="1"/>
  <c r="FL30" i="6"/>
  <c r="FO30" i="6" s="1"/>
  <c r="FK30" i="6"/>
  <c r="FR30" i="6" s="1"/>
  <c r="AO30" i="6" s="1"/>
  <c r="FJ30" i="6"/>
  <c r="FQ30" i="6" s="1"/>
  <c r="AN30" i="6" s="1"/>
  <c r="DJ30" i="6"/>
  <c r="DQ30" i="6" s="1"/>
  <c r="T30" i="6" s="1"/>
  <c r="U29" i="2" s="1"/>
  <c r="AK30" i="6"/>
  <c r="AJ30" i="6"/>
  <c r="AG30" i="6"/>
  <c r="AF30" i="6"/>
  <c r="AC30" i="6"/>
  <c r="AB30" i="6"/>
  <c r="Z30" i="6"/>
  <c r="S30" i="6"/>
  <c r="T29" i="2" s="1"/>
  <c r="R30" i="6"/>
  <c r="S29" i="2" s="1"/>
  <c r="Q30" i="6"/>
  <c r="R29" i="2" s="1"/>
  <c r="P30" i="6"/>
  <c r="Q29" i="2" s="1"/>
  <c r="O30" i="6"/>
  <c r="P29" i="2" s="1"/>
  <c r="N30" i="6"/>
  <c r="O29" i="2" s="1"/>
  <c r="M30" i="6"/>
  <c r="N29" i="2" s="1"/>
  <c r="L30" i="6"/>
  <c r="M29" i="2" s="1"/>
  <c r="K30" i="6"/>
  <c r="L29" i="2" s="1"/>
  <c r="J30" i="6"/>
  <c r="K29" i="2" s="1"/>
  <c r="I30" i="6"/>
  <c r="J29" i="2" s="1"/>
  <c r="H30" i="6"/>
  <c r="CA29" i="6"/>
  <c r="CD29" i="6" s="1"/>
  <c r="H29" i="6" s="1"/>
  <c r="BX29" i="6"/>
  <c r="BW29" i="6"/>
  <c r="BY29" i="6" s="1"/>
  <c r="AO29" i="6"/>
  <c r="AN29" i="6"/>
  <c r="AK29" i="6"/>
  <c r="AJ29" i="6"/>
  <c r="AG29" i="6"/>
  <c r="AF29" i="6"/>
  <c r="AC29" i="6"/>
  <c r="AB29" i="6"/>
  <c r="Z29" i="6"/>
  <c r="W29" i="6"/>
  <c r="V29" i="6"/>
  <c r="U29" i="6"/>
  <c r="T29" i="6"/>
  <c r="S29" i="6"/>
  <c r="R29" i="6"/>
  <c r="Q29" i="6"/>
  <c r="P29" i="6"/>
  <c r="O29" i="6"/>
  <c r="N29" i="6"/>
  <c r="M29" i="6"/>
  <c r="L29" i="6"/>
  <c r="AO28" i="6"/>
  <c r="AN28" i="6"/>
  <c r="AK28" i="6"/>
  <c r="AJ28" i="6"/>
  <c r="AG28" i="6"/>
  <c r="AF28" i="6"/>
  <c r="AC28" i="6"/>
  <c r="AB28" i="6"/>
  <c r="Z28" i="6"/>
  <c r="W28" i="6"/>
  <c r="V28" i="6"/>
  <c r="U28" i="6"/>
  <c r="T28" i="6"/>
  <c r="U23" i="2" s="1"/>
  <c r="S28" i="6"/>
  <c r="R28" i="6"/>
  <c r="Q28" i="6"/>
  <c r="P28" i="6"/>
  <c r="O28" i="6"/>
  <c r="N28" i="6"/>
  <c r="M28" i="6"/>
  <c r="L28" i="6"/>
  <c r="K28" i="6"/>
  <c r="J28" i="6"/>
  <c r="I28" i="6"/>
  <c r="H28" i="6"/>
  <c r="I23" i="2" s="1"/>
  <c r="AO27" i="6"/>
  <c r="AN27" i="6"/>
  <c r="AK27" i="6"/>
  <c r="AJ27" i="6"/>
  <c r="AG27" i="6"/>
  <c r="AF27" i="6"/>
  <c r="AC27" i="6"/>
  <c r="AB27" i="6"/>
  <c r="Z27" i="6"/>
  <c r="W27" i="6"/>
  <c r="V27" i="6"/>
  <c r="W22" i="2" s="1"/>
  <c r="U27" i="6"/>
  <c r="V22" i="2" s="1"/>
  <c r="T27" i="6"/>
  <c r="S27" i="6"/>
  <c r="R27" i="6"/>
  <c r="Q27" i="6"/>
  <c r="P27" i="6"/>
  <c r="O27" i="6"/>
  <c r="N27" i="6"/>
  <c r="O22" i="2" s="1"/>
  <c r="M27" i="6"/>
  <c r="N22" i="2" s="1"/>
  <c r="L27" i="6"/>
  <c r="K27" i="6"/>
  <c r="J27" i="6"/>
  <c r="I27" i="6"/>
  <c r="H27" i="6"/>
  <c r="AO26" i="6"/>
  <c r="AN26" i="6"/>
  <c r="AK26" i="6"/>
  <c r="AJ26" i="6"/>
  <c r="AG26" i="6"/>
  <c r="AF26" i="6"/>
  <c r="AC26" i="6"/>
  <c r="AB26" i="6"/>
  <c r="Z26" i="6"/>
  <c r="W26" i="6"/>
  <c r="X21" i="2" s="1"/>
  <c r="V26" i="6"/>
  <c r="W21" i="2" s="1"/>
  <c r="U26" i="6"/>
  <c r="T26" i="6"/>
  <c r="S26" i="6"/>
  <c r="R26" i="6"/>
  <c r="Q26" i="6"/>
  <c r="P26" i="6"/>
  <c r="O26" i="6"/>
  <c r="P21" i="2" s="1"/>
  <c r="N26" i="6"/>
  <c r="O21" i="2" s="1"/>
  <c r="M26" i="6"/>
  <c r="L26" i="6"/>
  <c r="K26" i="6"/>
  <c r="J26" i="6"/>
  <c r="I26" i="6"/>
  <c r="H26" i="6"/>
  <c r="X28" i="2"/>
  <c r="W28" i="2"/>
  <c r="V28" i="2"/>
  <c r="U28" i="2"/>
  <c r="T28" i="2"/>
  <c r="S28" i="2"/>
  <c r="R28" i="2"/>
  <c r="Q28" i="2"/>
  <c r="P28" i="2"/>
  <c r="O28" i="2"/>
  <c r="N28" i="2"/>
  <c r="M28" i="2"/>
  <c r="L28" i="2"/>
  <c r="AO25" i="6"/>
  <c r="AN25" i="6"/>
  <c r="AK25" i="6"/>
  <c r="AJ25" i="6"/>
  <c r="AG25" i="6"/>
  <c r="AF25" i="6"/>
  <c r="AC25" i="6"/>
  <c r="AB25" i="6"/>
  <c r="Z25" i="6"/>
  <c r="W25" i="6"/>
  <c r="X20" i="2" s="1"/>
  <c r="V25" i="6"/>
  <c r="W20" i="2" s="1"/>
  <c r="U25" i="6"/>
  <c r="V20" i="2" s="1"/>
  <c r="T25" i="6"/>
  <c r="U20" i="2" s="1"/>
  <c r="S25" i="6"/>
  <c r="T20" i="2" s="1"/>
  <c r="R25" i="6"/>
  <c r="S20" i="2" s="1"/>
  <c r="Q25" i="6"/>
  <c r="R20" i="2" s="1"/>
  <c r="P25" i="6"/>
  <c r="Q20" i="2" s="1"/>
  <c r="O25" i="6"/>
  <c r="P20" i="2" s="1"/>
  <c r="N25" i="6"/>
  <c r="O20" i="2" s="1"/>
  <c r="M25" i="6"/>
  <c r="N20" i="2" s="1"/>
  <c r="L25" i="6"/>
  <c r="M20" i="2" s="1"/>
  <c r="K25" i="6"/>
  <c r="L20" i="2" s="1"/>
  <c r="J25" i="6"/>
  <c r="I25" i="6"/>
  <c r="H25" i="6"/>
  <c r="AO24" i="6"/>
  <c r="AN24" i="6"/>
  <c r="AK24" i="6"/>
  <c r="AJ24" i="6"/>
  <c r="AG24" i="6"/>
  <c r="AF24" i="6"/>
  <c r="AC24" i="6"/>
  <c r="AB24" i="6"/>
  <c r="Z24" i="6"/>
  <c r="W24" i="6"/>
  <c r="X19" i="2" s="1"/>
  <c r="V24" i="6"/>
  <c r="W19" i="2" s="1"/>
  <c r="U24" i="6"/>
  <c r="V19" i="2" s="1"/>
  <c r="T24" i="6"/>
  <c r="U19" i="2" s="1"/>
  <c r="S24" i="6"/>
  <c r="T19" i="2" s="1"/>
  <c r="R24" i="6"/>
  <c r="S19" i="2" s="1"/>
  <c r="Q24" i="6"/>
  <c r="R19" i="2" s="1"/>
  <c r="P24" i="6"/>
  <c r="Q19" i="2" s="1"/>
  <c r="O24" i="6"/>
  <c r="P19" i="2" s="1"/>
  <c r="N24" i="6"/>
  <c r="O19" i="2" s="1"/>
  <c r="M24" i="6"/>
  <c r="N19" i="2" s="1"/>
  <c r="L24" i="6"/>
  <c r="M19" i="2" s="1"/>
  <c r="K24" i="6"/>
  <c r="L19" i="2" s="1"/>
  <c r="J24" i="6"/>
  <c r="K19" i="2" s="1"/>
  <c r="I24" i="6"/>
  <c r="J19" i="2" s="1"/>
  <c r="H24" i="6"/>
  <c r="I19" i="2" s="1"/>
  <c r="AO23" i="6"/>
  <c r="AN23" i="6"/>
  <c r="AK23" i="6"/>
  <c r="AJ23" i="6"/>
  <c r="AG23" i="6"/>
  <c r="AF23" i="6"/>
  <c r="AC23" i="6"/>
  <c r="AB23" i="6"/>
  <c r="Z23" i="6"/>
  <c r="W23" i="6"/>
  <c r="X27" i="2" s="1"/>
  <c r="V23" i="6"/>
  <c r="W27" i="2" s="1"/>
  <c r="U23" i="6"/>
  <c r="V27" i="2" s="1"/>
  <c r="T23" i="6"/>
  <c r="U27" i="2" s="1"/>
  <c r="S23" i="6"/>
  <c r="T27" i="2" s="1"/>
  <c r="R23" i="6"/>
  <c r="S27" i="2" s="1"/>
  <c r="Q23" i="6"/>
  <c r="R27" i="2" s="1"/>
  <c r="P23" i="6"/>
  <c r="Q27" i="2" s="1"/>
  <c r="O23" i="6"/>
  <c r="P27" i="2" s="1"/>
  <c r="N23" i="6"/>
  <c r="O27" i="2" s="1"/>
  <c r="M23" i="6"/>
  <c r="N27" i="2" s="1"/>
  <c r="L23" i="6"/>
  <c r="M27" i="2" s="1"/>
  <c r="K23" i="6"/>
  <c r="L27" i="2" s="1"/>
  <c r="J23" i="6"/>
  <c r="K27" i="2" s="1"/>
  <c r="I23" i="6"/>
  <c r="H23" i="6"/>
  <c r="AO22" i="6"/>
  <c r="AN22" i="6"/>
  <c r="AK22" i="6"/>
  <c r="AJ22" i="6"/>
  <c r="AG22" i="6"/>
  <c r="AF22" i="6"/>
  <c r="AC22" i="6"/>
  <c r="AB22" i="6"/>
  <c r="Z22" i="6"/>
  <c r="W22" i="6"/>
  <c r="X26" i="2" s="1"/>
  <c r="V22" i="6"/>
  <c r="W26" i="2" s="1"/>
  <c r="U22" i="6"/>
  <c r="V26" i="2" s="1"/>
  <c r="T22" i="6"/>
  <c r="U26" i="2" s="1"/>
  <c r="S22" i="6"/>
  <c r="T26" i="2" s="1"/>
  <c r="R22" i="6"/>
  <c r="S26" i="2" s="1"/>
  <c r="Q22" i="6"/>
  <c r="R26" i="2" s="1"/>
  <c r="P22" i="6"/>
  <c r="Q26" i="2" s="1"/>
  <c r="O22" i="6"/>
  <c r="P26" i="2" s="1"/>
  <c r="N22" i="6"/>
  <c r="O26" i="2" s="1"/>
  <c r="M22" i="6"/>
  <c r="N26" i="2" s="1"/>
  <c r="L22" i="6"/>
  <c r="M26" i="2" s="1"/>
  <c r="K22" i="6"/>
  <c r="J22" i="6"/>
  <c r="K26" i="2" s="1"/>
  <c r="I22" i="6"/>
  <c r="J26" i="2" s="1"/>
  <c r="H22" i="6"/>
  <c r="I26" i="2" s="1"/>
  <c r="EX21" i="6"/>
  <c r="FE21" i="6" s="1"/>
  <c r="AK21" i="6" s="1"/>
  <c r="EW21" i="6"/>
  <c r="FD21" i="6" s="1"/>
  <c r="AJ21" i="6" s="1"/>
  <c r="CX21" i="6"/>
  <c r="DE21" i="6" s="1"/>
  <c r="Q21" i="6" s="1"/>
  <c r="R18" i="2" s="1"/>
  <c r="CW21" i="6"/>
  <c r="DD21" i="6" s="1"/>
  <c r="P21" i="6" s="1"/>
  <c r="AO21" i="6"/>
  <c r="AN21" i="6"/>
  <c r="AG21" i="6"/>
  <c r="AF21" i="6"/>
  <c r="AC21" i="6"/>
  <c r="AB21" i="6"/>
  <c r="Z21" i="6"/>
  <c r="W21" i="6"/>
  <c r="X18" i="2" s="1"/>
  <c r="V21" i="6"/>
  <c r="W18" i="2" s="1"/>
  <c r="U21" i="6"/>
  <c r="V18" i="2" s="1"/>
  <c r="T21" i="6"/>
  <c r="U18" i="2" s="1"/>
  <c r="O21" i="6"/>
  <c r="P18" i="2" s="1"/>
  <c r="N21" i="6"/>
  <c r="O18" i="2" s="1"/>
  <c r="M21" i="6"/>
  <c r="N18" i="2" s="1"/>
  <c r="L21" i="6"/>
  <c r="M18" i="2" s="1"/>
  <c r="K21" i="6"/>
  <c r="J21" i="6"/>
  <c r="K18" i="2" s="1"/>
  <c r="I21" i="6"/>
  <c r="J18" i="2" s="1"/>
  <c r="H21" i="6"/>
  <c r="I18" i="2" s="1"/>
  <c r="AO20" i="6"/>
  <c r="AN20" i="6"/>
  <c r="AK20" i="6"/>
  <c r="AJ20" i="6"/>
  <c r="AG20" i="6"/>
  <c r="AF20" i="6"/>
  <c r="AC20" i="6"/>
  <c r="AB20" i="6"/>
  <c r="Z20" i="6"/>
  <c r="W20" i="6"/>
  <c r="X17" i="2" s="1"/>
  <c r="V20" i="6"/>
  <c r="W17" i="2" s="1"/>
  <c r="U20" i="6"/>
  <c r="V17" i="2" s="1"/>
  <c r="T20" i="6"/>
  <c r="U17" i="2" s="1"/>
  <c r="S20" i="6"/>
  <c r="T17" i="2" s="1"/>
  <c r="R20" i="6"/>
  <c r="S17" i="2" s="1"/>
  <c r="Q20" i="6"/>
  <c r="R17" i="2" s="1"/>
  <c r="P20" i="6"/>
  <c r="Q17" i="2" s="1"/>
  <c r="O20" i="6"/>
  <c r="P17" i="2" s="1"/>
  <c r="N20" i="6"/>
  <c r="O17" i="2" s="1"/>
  <c r="M20" i="6"/>
  <c r="L20" i="6"/>
  <c r="M17" i="2" s="1"/>
  <c r="K20" i="6"/>
  <c r="J20" i="6"/>
  <c r="I20" i="6"/>
  <c r="J17" i="2" s="1"/>
  <c r="H20" i="6"/>
  <c r="I17" i="2" s="1"/>
  <c r="BX19" i="6"/>
  <c r="BZ19" i="6" s="1"/>
  <c r="CC19" i="6" s="1"/>
  <c r="K19" i="6" s="1"/>
  <c r="BW19" i="6"/>
  <c r="CD19" i="6" s="1"/>
  <c r="H19" i="6" s="1"/>
  <c r="AO19" i="6"/>
  <c r="AN19" i="6"/>
  <c r="AK19" i="6"/>
  <c r="AJ19" i="6"/>
  <c r="AG19" i="6"/>
  <c r="AF19" i="6"/>
  <c r="AC19" i="6"/>
  <c r="AB19" i="6"/>
  <c r="Z19" i="6"/>
  <c r="W19" i="6"/>
  <c r="X16" i="2" s="1"/>
  <c r="V19" i="6"/>
  <c r="W16" i="2" s="1"/>
  <c r="U19" i="6"/>
  <c r="V16" i="2" s="1"/>
  <c r="T19" i="6"/>
  <c r="U16" i="2" s="1"/>
  <c r="S19" i="6"/>
  <c r="T16" i="2" s="1"/>
  <c r="R19" i="6"/>
  <c r="S16" i="2" s="1"/>
  <c r="Q19" i="6"/>
  <c r="R16" i="2" s="1"/>
  <c r="P19" i="6"/>
  <c r="Q16" i="2" s="1"/>
  <c r="O19" i="6"/>
  <c r="P16" i="2" s="1"/>
  <c r="N19" i="6"/>
  <c r="O16" i="2" s="1"/>
  <c r="M19" i="6"/>
  <c r="N16" i="2" s="1"/>
  <c r="L19" i="6"/>
  <c r="M16" i="2" s="1"/>
  <c r="AO18" i="6"/>
  <c r="AN18" i="6"/>
  <c r="AK18" i="6"/>
  <c r="AJ18" i="6"/>
  <c r="AG18" i="6"/>
  <c r="AF18" i="6"/>
  <c r="AC18" i="6"/>
  <c r="AB18" i="6"/>
  <c r="Z18" i="6"/>
  <c r="W18" i="6"/>
  <c r="X25" i="2" s="1"/>
  <c r="V18" i="6"/>
  <c r="W25" i="2" s="1"/>
  <c r="U18" i="6"/>
  <c r="V25" i="2" s="1"/>
  <c r="T18" i="6"/>
  <c r="U25" i="2" s="1"/>
  <c r="S18" i="6"/>
  <c r="T25" i="2" s="1"/>
  <c r="R18" i="6"/>
  <c r="S25" i="2" s="1"/>
  <c r="Q18" i="6"/>
  <c r="R25" i="2" s="1"/>
  <c r="P18" i="6"/>
  <c r="Q25" i="2" s="1"/>
  <c r="O18" i="6"/>
  <c r="P25" i="2" s="1"/>
  <c r="N18" i="6"/>
  <c r="O25" i="2" s="1"/>
  <c r="M18" i="6"/>
  <c r="N25" i="2" s="1"/>
  <c r="L18" i="6"/>
  <c r="M25" i="2" s="1"/>
  <c r="K18" i="6"/>
  <c r="J18" i="6"/>
  <c r="I18" i="6"/>
  <c r="H18" i="6"/>
  <c r="AO17" i="6"/>
  <c r="AN17" i="6"/>
  <c r="AK17" i="6"/>
  <c r="AJ17" i="6"/>
  <c r="AG17" i="6"/>
  <c r="AF17" i="6"/>
  <c r="AC17" i="6"/>
  <c r="AB17" i="6"/>
  <c r="Z17" i="6"/>
  <c r="W17" i="6"/>
  <c r="X15" i="2" s="1"/>
  <c r="V17" i="6"/>
  <c r="W15" i="2" s="1"/>
  <c r="U17" i="6"/>
  <c r="V15" i="2" s="1"/>
  <c r="T17" i="6"/>
  <c r="U15" i="2" s="1"/>
  <c r="S17" i="6"/>
  <c r="T15" i="2" s="1"/>
  <c r="R17" i="6"/>
  <c r="S15" i="2" s="1"/>
  <c r="Q17" i="6"/>
  <c r="R15" i="2" s="1"/>
  <c r="P17" i="6"/>
  <c r="Q15" i="2" s="1"/>
  <c r="O17" i="6"/>
  <c r="P15" i="2" s="1"/>
  <c r="N17" i="6"/>
  <c r="O15" i="2" s="1"/>
  <c r="M17" i="6"/>
  <c r="N15" i="2" s="1"/>
  <c r="L17" i="6"/>
  <c r="M15" i="2" s="1"/>
  <c r="K17" i="6"/>
  <c r="L15" i="2" s="1"/>
  <c r="J17" i="6"/>
  <c r="I17" i="6"/>
  <c r="H17" i="6"/>
  <c r="AO16" i="6"/>
  <c r="AN16" i="6"/>
  <c r="AK16" i="6"/>
  <c r="AJ16" i="6"/>
  <c r="AG16" i="6"/>
  <c r="AF16" i="6"/>
  <c r="AC16" i="6"/>
  <c r="AB16" i="6"/>
  <c r="Z16" i="6"/>
  <c r="W16" i="6"/>
  <c r="X24" i="2" s="1"/>
  <c r="V16" i="6"/>
  <c r="W24" i="2" s="1"/>
  <c r="U16" i="6"/>
  <c r="V24" i="2" s="1"/>
  <c r="T16" i="6"/>
  <c r="U24" i="2" s="1"/>
  <c r="S16" i="6"/>
  <c r="T24" i="2" s="1"/>
  <c r="R16" i="6"/>
  <c r="S24" i="2" s="1"/>
  <c r="Q16" i="6"/>
  <c r="R24" i="2" s="1"/>
  <c r="P16" i="6"/>
  <c r="Q24" i="2" s="1"/>
  <c r="O16" i="6"/>
  <c r="P24" i="2" s="1"/>
  <c r="N16" i="6"/>
  <c r="O24" i="2" s="1"/>
  <c r="M16" i="6"/>
  <c r="N24" i="2" s="1"/>
  <c r="L16" i="6"/>
  <c r="M24" i="2" s="1"/>
  <c r="K16" i="6"/>
  <c r="L24" i="2" s="1"/>
  <c r="J16" i="6"/>
  <c r="K24" i="2" s="1"/>
  <c r="I16" i="6"/>
  <c r="H16" i="6"/>
  <c r="CA15" i="6"/>
  <c r="CE15" i="6" s="1"/>
  <c r="I15" i="6" s="1"/>
  <c r="J14" i="2" s="1"/>
  <c r="BZ15" i="6"/>
  <c r="CC15" i="6" s="1"/>
  <c r="K15" i="6" s="1"/>
  <c r="BY15" i="6"/>
  <c r="CB15" i="6" s="1"/>
  <c r="J15" i="6" s="1"/>
  <c r="AO15" i="6"/>
  <c r="AN15" i="6"/>
  <c r="AK15" i="6"/>
  <c r="AJ15" i="6"/>
  <c r="AG15" i="6"/>
  <c r="AF15" i="6"/>
  <c r="AC15" i="6"/>
  <c r="AB15" i="6"/>
  <c r="Z15" i="6"/>
  <c r="W15" i="6"/>
  <c r="X14" i="2" s="1"/>
  <c r="V15" i="6"/>
  <c r="W14" i="2" s="1"/>
  <c r="U15" i="6"/>
  <c r="V14" i="2" s="1"/>
  <c r="T15" i="6"/>
  <c r="U14" i="2" s="1"/>
  <c r="S15" i="6"/>
  <c r="T14" i="2" s="1"/>
  <c r="R15" i="6"/>
  <c r="S14" i="2" s="1"/>
  <c r="Q15" i="6"/>
  <c r="R14" i="2" s="1"/>
  <c r="P15" i="6"/>
  <c r="Q14" i="2" s="1"/>
  <c r="O15" i="6"/>
  <c r="P14" i="2" s="1"/>
  <c r="N15" i="6"/>
  <c r="O14" i="2" s="1"/>
  <c r="M15" i="6"/>
  <c r="N14" i="2" s="1"/>
  <c r="L15" i="6"/>
  <c r="M14" i="2" s="1"/>
  <c r="AO14" i="6"/>
  <c r="AN14" i="6"/>
  <c r="AK14" i="6"/>
  <c r="AJ14" i="6"/>
  <c r="AG14" i="6"/>
  <c r="AF14" i="6"/>
  <c r="AC14" i="6"/>
  <c r="AB14" i="6"/>
  <c r="Z14" i="6"/>
  <c r="W14" i="6"/>
  <c r="X13" i="2" s="1"/>
  <c r="V14" i="6"/>
  <c r="W13" i="2" s="1"/>
  <c r="U14" i="6"/>
  <c r="V13" i="2" s="1"/>
  <c r="T14" i="6"/>
  <c r="U13" i="2" s="1"/>
  <c r="S14" i="6"/>
  <c r="T13" i="2" s="1"/>
  <c r="R14" i="6"/>
  <c r="S13" i="2" s="1"/>
  <c r="Q14" i="6"/>
  <c r="R13" i="2" s="1"/>
  <c r="P14" i="6"/>
  <c r="Q13" i="2" s="1"/>
  <c r="O14" i="6"/>
  <c r="P13" i="2" s="1"/>
  <c r="N14" i="6"/>
  <c r="O13" i="2" s="1"/>
  <c r="M14" i="6"/>
  <c r="N13" i="2" s="1"/>
  <c r="L14" i="6"/>
  <c r="M13" i="2" s="1"/>
  <c r="AO13" i="6"/>
  <c r="AN13" i="6"/>
  <c r="AK13" i="6"/>
  <c r="AJ13" i="6"/>
  <c r="AG13" i="6"/>
  <c r="AF13" i="6"/>
  <c r="AC13" i="6"/>
  <c r="AB13" i="6"/>
  <c r="Z13" i="6"/>
  <c r="W13" i="6"/>
  <c r="X12" i="2" s="1"/>
  <c r="V13" i="6"/>
  <c r="W12" i="2" s="1"/>
  <c r="U13" i="6"/>
  <c r="V12" i="2" s="1"/>
  <c r="T13" i="6"/>
  <c r="U12" i="2" s="1"/>
  <c r="S13" i="6"/>
  <c r="T12" i="2" s="1"/>
  <c r="R13" i="6"/>
  <c r="S12" i="2" s="1"/>
  <c r="Q13" i="6"/>
  <c r="R12" i="2" s="1"/>
  <c r="P13" i="6"/>
  <c r="Q12" i="2" s="1"/>
  <c r="O13" i="6"/>
  <c r="P12" i="2" s="1"/>
  <c r="N13" i="6"/>
  <c r="M13" i="6"/>
  <c r="L13" i="6"/>
  <c r="M12" i="2" s="1"/>
  <c r="K13" i="6"/>
  <c r="J13" i="6"/>
  <c r="K12" i="2" s="1"/>
  <c r="I13" i="6"/>
  <c r="J12" i="2" s="1"/>
  <c r="H13" i="6"/>
  <c r="AO12" i="6"/>
  <c r="AN12" i="6"/>
  <c r="AK12" i="6"/>
  <c r="AJ12" i="6"/>
  <c r="AG12" i="6"/>
  <c r="AF12" i="6"/>
  <c r="AC12" i="6"/>
  <c r="AB12" i="6"/>
  <c r="Z12" i="6"/>
  <c r="W12" i="6"/>
  <c r="X11" i="2" s="1"/>
  <c r="V12" i="6"/>
  <c r="W11" i="2" s="1"/>
  <c r="U12" i="6"/>
  <c r="V11" i="2" s="1"/>
  <c r="T12" i="6"/>
  <c r="U11" i="2" s="1"/>
  <c r="S12" i="6"/>
  <c r="T11" i="2" s="1"/>
  <c r="R12" i="6"/>
  <c r="S11" i="2" s="1"/>
  <c r="Q12" i="6"/>
  <c r="R11" i="2" s="1"/>
  <c r="P12" i="6"/>
  <c r="Q11" i="2" s="1"/>
  <c r="O12" i="6"/>
  <c r="P11" i="2" s="1"/>
  <c r="N12" i="6"/>
  <c r="O11" i="2" s="1"/>
  <c r="M12" i="6"/>
  <c r="L12" i="6"/>
  <c r="M11" i="2" s="1"/>
  <c r="K12" i="6"/>
  <c r="J12" i="6"/>
  <c r="I12" i="6"/>
  <c r="J11" i="2" s="1"/>
  <c r="H12" i="6"/>
  <c r="I11" i="2" s="1"/>
  <c r="FE11" i="6"/>
  <c r="AK11" i="6" s="1"/>
  <c r="FD11" i="6"/>
  <c r="AJ11" i="6" s="1"/>
  <c r="EZ11" i="6"/>
  <c r="FC11" i="6" s="1"/>
  <c r="EY11" i="6"/>
  <c r="FB11" i="6" s="1"/>
  <c r="ER11" i="6"/>
  <c r="AG11" i="6" s="1"/>
  <c r="EQ11" i="6"/>
  <c r="AF11" i="6" s="1"/>
  <c r="EM11" i="6"/>
  <c r="EL11" i="6"/>
  <c r="DX11" i="6"/>
  <c r="DZ11" i="6" s="1"/>
  <c r="EC11" i="6" s="1"/>
  <c r="DW11" i="6"/>
  <c r="ED11" i="6" s="1"/>
  <c r="AB11" i="6" s="1"/>
  <c r="CX11" i="6"/>
  <c r="CZ11" i="6" s="1"/>
  <c r="CW11" i="6"/>
  <c r="CY11" i="6" s="1"/>
  <c r="CM11" i="6"/>
  <c r="CP11" i="6" s="1"/>
  <c r="O11" i="6" s="1"/>
  <c r="P10" i="2" s="1"/>
  <c r="CL11" i="6"/>
  <c r="CO11" i="6" s="1"/>
  <c r="N11" i="6" s="1"/>
  <c r="O10" i="2" s="1"/>
  <c r="BX11" i="6"/>
  <c r="BZ11" i="6" s="1"/>
  <c r="BW11" i="6"/>
  <c r="AO11" i="6"/>
  <c r="AN11" i="6"/>
  <c r="Z11" i="6"/>
  <c r="W11" i="6"/>
  <c r="X10" i="2" s="1"/>
  <c r="V11" i="6"/>
  <c r="W10" i="2" s="1"/>
  <c r="U11" i="6"/>
  <c r="V10" i="2" s="1"/>
  <c r="T11" i="6"/>
  <c r="U10" i="2" s="1"/>
  <c r="EA10" i="6"/>
  <c r="DX10" i="6"/>
  <c r="DZ10" i="6" s="1"/>
  <c r="DW10" i="6"/>
  <c r="CA10" i="6"/>
  <c r="CD10" i="6" s="1"/>
  <c r="H10" i="6" s="1"/>
  <c r="BX10" i="6"/>
  <c r="BZ10" i="6" s="1"/>
  <c r="CC10" i="6" s="1"/>
  <c r="K10" i="6" s="1"/>
  <c r="BW10" i="6"/>
  <c r="BY10" i="6" s="1"/>
  <c r="AO10" i="6"/>
  <c r="AN10" i="6"/>
  <c r="AK10" i="6"/>
  <c r="AJ10" i="6"/>
  <c r="AG10" i="6"/>
  <c r="AF10" i="6"/>
  <c r="Z10" i="6"/>
  <c r="W10" i="6"/>
  <c r="X9" i="2" s="1"/>
  <c r="V10" i="6"/>
  <c r="W9" i="2" s="1"/>
  <c r="U10" i="6"/>
  <c r="V9" i="2" s="1"/>
  <c r="T10" i="6"/>
  <c r="U9" i="2" s="1"/>
  <c r="S10" i="6"/>
  <c r="T9" i="2" s="1"/>
  <c r="R10" i="6"/>
  <c r="S9" i="2" s="1"/>
  <c r="Q10" i="6"/>
  <c r="R9" i="2" s="1"/>
  <c r="P10" i="6"/>
  <c r="Q9" i="2" s="1"/>
  <c r="O10" i="6"/>
  <c r="P9" i="2" s="1"/>
  <c r="N10" i="6"/>
  <c r="O9" i="2" s="1"/>
  <c r="M10" i="6"/>
  <c r="N9" i="2" s="1"/>
  <c r="L10" i="6"/>
  <c r="M9" i="2" s="1"/>
  <c r="EA9" i="6"/>
  <c r="DX9" i="6"/>
  <c r="DW9" i="6"/>
  <c r="DY9" i="6" s="1"/>
  <c r="CA9" i="6"/>
  <c r="BX9" i="6"/>
  <c r="BZ9" i="6" s="1"/>
  <c r="BW9" i="6"/>
  <c r="BY9" i="6" s="1"/>
  <c r="AO9" i="6"/>
  <c r="AN9" i="6"/>
  <c r="AK9" i="6"/>
  <c r="AJ9" i="6"/>
  <c r="AG9" i="6"/>
  <c r="AF9" i="6"/>
  <c r="Z9" i="6"/>
  <c r="W9" i="6"/>
  <c r="X8" i="2" s="1"/>
  <c r="V9" i="6"/>
  <c r="W8" i="2" s="1"/>
  <c r="U9" i="6"/>
  <c r="V8" i="2" s="1"/>
  <c r="T9" i="6"/>
  <c r="U8" i="2" s="1"/>
  <c r="S9" i="6"/>
  <c r="T8" i="2" s="1"/>
  <c r="R9" i="6"/>
  <c r="S8" i="2" s="1"/>
  <c r="Q9" i="6"/>
  <c r="R8" i="2" s="1"/>
  <c r="P9" i="6"/>
  <c r="Q8" i="2" s="1"/>
  <c r="O9" i="6"/>
  <c r="P8" i="2" s="1"/>
  <c r="N9" i="6"/>
  <c r="O8" i="2" s="1"/>
  <c r="M9" i="6"/>
  <c r="N8" i="2" s="1"/>
  <c r="L9" i="6"/>
  <c r="M8" i="2" s="1"/>
  <c r="AO8" i="6"/>
  <c r="AN8" i="6"/>
  <c r="AK8" i="6"/>
  <c r="AJ8" i="6"/>
  <c r="AG8" i="6"/>
  <c r="AF8" i="6"/>
  <c r="AC8" i="6"/>
  <c r="AB8" i="6"/>
  <c r="Z8" i="6"/>
  <c r="W8" i="6"/>
  <c r="V8" i="6"/>
  <c r="U8" i="6"/>
  <c r="T8" i="6"/>
  <c r="S8" i="6"/>
  <c r="R8" i="6"/>
  <c r="Q8" i="6"/>
  <c r="P8" i="6"/>
  <c r="O8" i="6"/>
  <c r="N8" i="6"/>
  <c r="M8" i="6"/>
  <c r="L8" i="6"/>
  <c r="K8" i="6"/>
  <c r="J8" i="6"/>
  <c r="I8" i="6"/>
  <c r="H8" i="6"/>
  <c r="ER7" i="6"/>
  <c r="EQ7" i="6"/>
  <c r="AF7" i="6" s="1"/>
  <c r="EP7" i="6"/>
  <c r="EO7" i="6"/>
  <c r="CR7" i="6"/>
  <c r="M7" i="6" s="1"/>
  <c r="N6" i="2" s="1"/>
  <c r="CQ7" i="6"/>
  <c r="L7" i="6" s="1"/>
  <c r="M6" i="2" s="1"/>
  <c r="CP7" i="6"/>
  <c r="O7" i="6" s="1"/>
  <c r="P6" i="2" s="1"/>
  <c r="CO7" i="6"/>
  <c r="N7" i="6" s="1"/>
  <c r="O6" i="2" s="1"/>
  <c r="AO7" i="6"/>
  <c r="AN7" i="6"/>
  <c r="AK7" i="6"/>
  <c r="AJ7" i="6"/>
  <c r="AG7" i="6"/>
  <c r="AC7" i="6"/>
  <c r="AB7" i="6"/>
  <c r="Z7" i="6"/>
  <c r="W7" i="6"/>
  <c r="X6" i="2" s="1"/>
  <c r="V7" i="6"/>
  <c r="W6" i="2" s="1"/>
  <c r="U7" i="6"/>
  <c r="V6" i="2" s="1"/>
  <c r="T7" i="6"/>
  <c r="U6" i="2" s="1"/>
  <c r="S7" i="6"/>
  <c r="T6" i="2" s="1"/>
  <c r="R7" i="6"/>
  <c r="S6" i="2" s="1"/>
  <c r="Q7" i="6"/>
  <c r="R6" i="2" s="1"/>
  <c r="P7" i="6"/>
  <c r="Q6" i="2" s="1"/>
  <c r="K7" i="6"/>
  <c r="J7" i="6"/>
  <c r="K6" i="2" s="1"/>
  <c r="I7" i="6"/>
  <c r="J6" i="2" s="1"/>
  <c r="H7" i="6"/>
  <c r="I6" i="2" s="1"/>
  <c r="DX6" i="6"/>
  <c r="DZ6" i="6" s="1"/>
  <c r="DW6" i="6"/>
  <c r="CR6" i="6"/>
  <c r="M6" i="6" s="1"/>
  <c r="N5" i="2" s="1"/>
  <c r="CQ6" i="6"/>
  <c r="L6" i="6" s="1"/>
  <c r="M5" i="2" s="1"/>
  <c r="CP6" i="6"/>
  <c r="O6" i="6" s="1"/>
  <c r="P5" i="2" s="1"/>
  <c r="CO6" i="6"/>
  <c r="N6" i="6" s="1"/>
  <c r="O5" i="2" s="1"/>
  <c r="BX6" i="6"/>
  <c r="BZ6" i="6" s="1"/>
  <c r="BW6" i="6"/>
  <c r="AO6" i="6"/>
  <c r="AN6" i="6"/>
  <c r="AK6" i="6"/>
  <c r="AJ6" i="6"/>
  <c r="AG6" i="6"/>
  <c r="AF6" i="6"/>
  <c r="Z6" i="6"/>
  <c r="W6" i="6"/>
  <c r="X5" i="2" s="1"/>
  <c r="V6" i="6"/>
  <c r="W5" i="2" s="1"/>
  <c r="U6" i="6"/>
  <c r="V5" i="2" s="1"/>
  <c r="T6" i="6"/>
  <c r="U5" i="2" s="1"/>
  <c r="S6" i="6"/>
  <c r="T5" i="2" s="1"/>
  <c r="R6" i="6"/>
  <c r="S5" i="2" s="1"/>
  <c r="Q6" i="6"/>
  <c r="R5" i="2" s="1"/>
  <c r="P6" i="6"/>
  <c r="Q5" i="2" s="1"/>
  <c r="EA5" i="6"/>
  <c r="DX5" i="6"/>
  <c r="EE5" i="6" s="1"/>
  <c r="AC5" i="6" s="1"/>
  <c r="DW5" i="6"/>
  <c r="DY5" i="6" s="1"/>
  <c r="DA5" i="6"/>
  <c r="CX5" i="6"/>
  <c r="CZ5" i="6" s="1"/>
  <c r="DC5" i="6" s="1"/>
  <c r="S5" i="6" s="1"/>
  <c r="T4" i="2" s="1"/>
  <c r="CW5" i="6"/>
  <c r="CY5" i="6" s="1"/>
  <c r="DB5" i="6" s="1"/>
  <c r="R5" i="6" s="1"/>
  <c r="S4" i="2" s="1"/>
  <c r="CR5" i="6"/>
  <c r="M5" i="6" s="1"/>
  <c r="N4" i="2" s="1"/>
  <c r="CQ5" i="6"/>
  <c r="L5" i="6" s="1"/>
  <c r="M4" i="2" s="1"/>
  <c r="CP5" i="6"/>
  <c r="O5" i="6" s="1"/>
  <c r="P4" i="2" s="1"/>
  <c r="CO5" i="6"/>
  <c r="N5" i="6" s="1"/>
  <c r="O4" i="2" s="1"/>
  <c r="CA5" i="6"/>
  <c r="BX5" i="6"/>
  <c r="BZ5" i="6" s="1"/>
  <c r="CC5" i="6" s="1"/>
  <c r="K5" i="6" s="1"/>
  <c r="L4" i="2" s="1"/>
  <c r="BW5" i="6"/>
  <c r="BY5" i="6" s="1"/>
  <c r="CB5" i="6" s="1"/>
  <c r="J5" i="6" s="1"/>
  <c r="AO5" i="6"/>
  <c r="AN5" i="6"/>
  <c r="AK5" i="6"/>
  <c r="AJ5" i="6"/>
  <c r="AG5" i="6"/>
  <c r="AF5" i="6"/>
  <c r="Z5" i="6"/>
  <c r="W5" i="6"/>
  <c r="X4" i="2" s="1"/>
  <c r="V5" i="6"/>
  <c r="W4" i="2" s="1"/>
  <c r="U5" i="6"/>
  <c r="V4" i="2" s="1"/>
  <c r="T5" i="6"/>
  <c r="U4" i="2" s="1"/>
  <c r="EN4" i="6"/>
  <c r="EK4" i="6"/>
  <c r="EM4" i="6" s="1"/>
  <c r="EJ4" i="6"/>
  <c r="EL4" i="6" s="1"/>
  <c r="EA4" i="6"/>
  <c r="DX4" i="6"/>
  <c r="DZ4" i="6" s="1"/>
  <c r="EC4" i="6" s="1"/>
  <c r="AE4" i="6" s="1"/>
  <c r="DW4" i="6"/>
  <c r="DY4" i="6" s="1"/>
  <c r="EB4" i="6" s="1"/>
  <c r="AD4" i="6" s="1"/>
  <c r="CN4" i="6"/>
  <c r="CK4" i="6"/>
  <c r="CM4" i="6" s="1"/>
  <c r="CJ4" i="6"/>
  <c r="CL4" i="6" s="1"/>
  <c r="CA4" i="6"/>
  <c r="BX4" i="6"/>
  <c r="BZ4" i="6" s="1"/>
  <c r="BW4" i="6"/>
  <c r="BY4" i="6" s="1"/>
  <c r="AS4" i="6"/>
  <c r="AR4" i="6" s="1"/>
  <c r="AO4" i="6"/>
  <c r="AN4" i="6"/>
  <c r="AK4" i="6"/>
  <c r="AJ4" i="6"/>
  <c r="W4" i="6"/>
  <c r="X3" i="2" s="1"/>
  <c r="V4" i="6"/>
  <c r="U4" i="6"/>
  <c r="T4" i="6"/>
  <c r="S4" i="6"/>
  <c r="T3" i="2" s="1"/>
  <c r="R4" i="6"/>
  <c r="S3" i="2" s="1"/>
  <c r="Q4" i="6"/>
  <c r="R3" i="2" s="1"/>
  <c r="P4" i="6"/>
  <c r="Q3" i="2" s="1"/>
  <c r="K21" i="2" l="1"/>
  <c r="S21" i="2"/>
  <c r="J22" i="2"/>
  <c r="R22" i="2"/>
  <c r="N23" i="2"/>
  <c r="V23" i="2"/>
  <c r="L21" i="2"/>
  <c r="T21" i="2"/>
  <c r="S22" i="2"/>
  <c r="I21" i="2"/>
  <c r="Q21" i="2"/>
  <c r="P22" i="2"/>
  <c r="X22" i="2"/>
  <c r="CB4" i="6"/>
  <c r="J4" i="6" s="1"/>
  <c r="K3" i="2" s="1"/>
  <c r="CB29" i="6"/>
  <c r="J29" i="6" s="1"/>
  <c r="CC4" i="6"/>
  <c r="K4" i="6" s="1"/>
  <c r="L3" i="2" s="1"/>
  <c r="CC9" i="6"/>
  <c r="K9" i="6" s="1"/>
  <c r="EC10" i="6"/>
  <c r="J21" i="2"/>
  <c r="N21" i="2"/>
  <c r="R21" i="2"/>
  <c r="V21" i="2"/>
  <c r="I22" i="2"/>
  <c r="Q22" i="2"/>
  <c r="I133" i="15" s="1"/>
  <c r="U22" i="2"/>
  <c r="T23" i="2"/>
  <c r="CE29" i="6"/>
  <c r="I29" i="6" s="1"/>
  <c r="J23" i="2" s="1"/>
  <c r="BZ14" i="6"/>
  <c r="CC14" i="6" s="1"/>
  <c r="K14" i="6" s="1"/>
  <c r="L13" i="2" s="1"/>
  <c r="O23" i="2"/>
  <c r="W23" i="2"/>
  <c r="EE4" i="6"/>
  <c r="AC4" i="6" s="1"/>
  <c r="P23" i="2"/>
  <c r="X23" i="2"/>
  <c r="CE4" i="6"/>
  <c r="I4" i="6" s="1"/>
  <c r="J3" i="2" s="1"/>
  <c r="Q23" i="2"/>
  <c r="CN32" i="6"/>
  <c r="CO32" i="6" s="1"/>
  <c r="N32" i="6" s="1"/>
  <c r="O31" i="2" s="1"/>
  <c r="CO4" i="6"/>
  <c r="N4" i="6" s="1"/>
  <c r="O3" i="2" s="1"/>
  <c r="EE10" i="6"/>
  <c r="AC10" i="6" s="1"/>
  <c r="EE11" i="6"/>
  <c r="AC11" i="6" s="1"/>
  <c r="CD15" i="6"/>
  <c r="H15" i="6" s="1"/>
  <c r="D15" i="6" s="1"/>
  <c r="Y14" i="2" s="1"/>
  <c r="R23" i="2"/>
  <c r="EL32" i="6"/>
  <c r="CP4" i="6"/>
  <c r="O4" i="6" s="1"/>
  <c r="P3" i="2" s="1"/>
  <c r="EP4" i="6"/>
  <c r="ER4" i="6" s="1"/>
  <c r="AG4" i="6" s="1"/>
  <c r="Y4" i="6" s="1"/>
  <c r="CB10" i="6"/>
  <c r="J10" i="6" s="1"/>
  <c r="M21" i="2"/>
  <c r="U21" i="2"/>
  <c r="T22" i="2"/>
  <c r="K23" i="2"/>
  <c r="S23" i="2"/>
  <c r="EZ21" i="6"/>
  <c r="FC21" i="6" s="1"/>
  <c r="EQ4" i="6"/>
  <c r="AF4" i="6" s="1"/>
  <c r="CE10" i="6"/>
  <c r="I10" i="6" s="1"/>
  <c r="ED10" i="6"/>
  <c r="AB10" i="6" s="1"/>
  <c r="CE19" i="6"/>
  <c r="I19" i="6" s="1"/>
  <c r="J16" i="2" s="1"/>
  <c r="EA32" i="6"/>
  <c r="EB32" i="6" s="1"/>
  <c r="DZ5" i="6"/>
  <c r="EC5" i="6" s="1"/>
  <c r="CD5" i="6"/>
  <c r="H5" i="6" s="1"/>
  <c r="I4" i="2" s="1"/>
  <c r="CN11" i="6"/>
  <c r="CQ11" i="6" s="1"/>
  <c r="L11" i="6" s="1"/>
  <c r="M10" i="2" s="1"/>
  <c r="DD5" i="6"/>
  <c r="P5" i="6" s="1"/>
  <c r="Q4" i="2" s="1"/>
  <c r="EB5" i="6"/>
  <c r="DA11" i="6"/>
  <c r="DE11" i="6" s="1"/>
  <c r="Q11" i="6" s="1"/>
  <c r="R10" i="2" s="1"/>
  <c r="BY19" i="6"/>
  <c r="CB19" i="6" s="1"/>
  <c r="J19" i="6" s="1"/>
  <c r="F19" i="6" s="1"/>
  <c r="AA16" i="2" s="1"/>
  <c r="CZ21" i="6"/>
  <c r="DC21" i="6" s="1"/>
  <c r="S21" i="6" s="1"/>
  <c r="T18" i="2" s="1"/>
  <c r="I14" i="15"/>
  <c r="F36" i="13"/>
  <c r="I73" i="15"/>
  <c r="I13" i="14"/>
  <c r="I16" i="15"/>
  <c r="I147" i="15"/>
  <c r="I157" i="15"/>
  <c r="I89" i="15"/>
  <c r="I150" i="15"/>
  <c r="F85" i="13"/>
  <c r="I66" i="15"/>
  <c r="F129" i="13"/>
  <c r="I109" i="15"/>
  <c r="I78" i="14"/>
  <c r="I96" i="14"/>
  <c r="I45" i="15"/>
  <c r="I60" i="14"/>
  <c r="I20" i="14"/>
  <c r="I69" i="15"/>
  <c r="I84" i="15"/>
  <c r="I120" i="15"/>
  <c r="F100" i="13"/>
  <c r="I54" i="14"/>
  <c r="I53" i="15"/>
  <c r="I83" i="14"/>
  <c r="I126" i="14"/>
  <c r="I28" i="14"/>
  <c r="F126" i="13"/>
  <c r="I91" i="15"/>
  <c r="I85" i="14"/>
  <c r="G8" i="6"/>
  <c r="DC32" i="6"/>
  <c r="S32" i="6" s="1"/>
  <c r="T31" i="2" s="1"/>
  <c r="DB32" i="6"/>
  <c r="R32" i="6" s="1"/>
  <c r="S31" i="2" s="1"/>
  <c r="Y12" i="6"/>
  <c r="Y19" i="6"/>
  <c r="E21" i="6"/>
  <c r="Z18" i="2" s="1"/>
  <c r="E26" i="6"/>
  <c r="CB9" i="6"/>
  <c r="J9" i="6" s="1"/>
  <c r="K8" i="2" s="1"/>
  <c r="E8" i="6"/>
  <c r="X8" i="6"/>
  <c r="G16" i="6"/>
  <c r="AB24" i="2" s="1"/>
  <c r="F31" i="6"/>
  <c r="AA30" i="2" s="1"/>
  <c r="Y7" i="6"/>
  <c r="F23" i="6"/>
  <c r="AA27" i="2" s="1"/>
  <c r="X23" i="6"/>
  <c r="E25" i="6"/>
  <c r="Z20" i="2" s="1"/>
  <c r="X13" i="6"/>
  <c r="Y17" i="6"/>
  <c r="ER32" i="6"/>
  <c r="AG32" i="6" s="1"/>
  <c r="X28" i="6"/>
  <c r="D29" i="6"/>
  <c r="Y30" i="6"/>
  <c r="G30" i="6"/>
  <c r="AB29" i="2" s="1"/>
  <c r="G31" i="6"/>
  <c r="AB30" i="2" s="1"/>
  <c r="G28" i="6"/>
  <c r="X12" i="6"/>
  <c r="X16" i="6"/>
  <c r="G17" i="6"/>
  <c r="AB15" i="2" s="1"/>
  <c r="D26" i="6"/>
  <c r="G23" i="6"/>
  <c r="AB27" i="2" s="1"/>
  <c r="Y23" i="6"/>
  <c r="Y24" i="6"/>
  <c r="X30" i="6"/>
  <c r="E31" i="6"/>
  <c r="Z30" i="2" s="1"/>
  <c r="Y15" i="6"/>
  <c r="G22" i="6"/>
  <c r="AB26" i="2" s="1"/>
  <c r="K30" i="2"/>
  <c r="X14" i="6"/>
  <c r="E15" i="6"/>
  <c r="Z14" i="2" s="1"/>
  <c r="X15" i="6"/>
  <c r="E23" i="6"/>
  <c r="Z27" i="2" s="1"/>
  <c r="DE32" i="6"/>
  <c r="Q32" i="6" s="1"/>
  <c r="R31" i="2" s="1"/>
  <c r="I163" i="15" s="1"/>
  <c r="D8" i="6"/>
  <c r="Y14" i="6"/>
  <c r="F24" i="6"/>
  <c r="AA19" i="2" s="1"/>
  <c r="G15" i="6"/>
  <c r="AB14" i="2" s="1"/>
  <c r="L14" i="2"/>
  <c r="F15" i="6"/>
  <c r="AA14" i="2" s="1"/>
  <c r="K14" i="2"/>
  <c r="D23" i="6"/>
  <c r="Y27" i="2" s="1"/>
  <c r="I27" i="2"/>
  <c r="CR32" i="6"/>
  <c r="M32" i="6" s="1"/>
  <c r="N31" i="2" s="1"/>
  <c r="CQ32" i="6"/>
  <c r="L32" i="6" s="1"/>
  <c r="M31" i="2" s="1"/>
  <c r="T33" i="6"/>
  <c r="U3" i="2"/>
  <c r="U32" i="2" s="1"/>
  <c r="D7" i="6"/>
  <c r="Y6" i="2" s="1"/>
  <c r="F8" i="6"/>
  <c r="E10" i="6"/>
  <c r="Z9" i="2" s="1"/>
  <c r="J9" i="2"/>
  <c r="G12" i="6"/>
  <c r="AB11" i="2" s="1"/>
  <c r="L11" i="2"/>
  <c r="D17" i="6"/>
  <c r="Y15" i="2" s="1"/>
  <c r="I15" i="2"/>
  <c r="F20" i="6"/>
  <c r="AA17" i="2" s="1"/>
  <c r="K17" i="2"/>
  <c r="Y20" i="6"/>
  <c r="L26" i="2"/>
  <c r="Z28" i="2"/>
  <c r="J28" i="2"/>
  <c r="E28" i="6"/>
  <c r="F29" i="6"/>
  <c r="D13" i="6"/>
  <c r="Y12" i="2" s="1"/>
  <c r="I12" i="2"/>
  <c r="F95" i="13" s="1"/>
  <c r="F10" i="6"/>
  <c r="AA9" i="2" s="1"/>
  <c r="K9" i="2"/>
  <c r="Y11" i="6"/>
  <c r="D14" i="6"/>
  <c r="Y13" i="2" s="1"/>
  <c r="E17" i="6"/>
  <c r="Z15" i="2" s="1"/>
  <c r="J15" i="2"/>
  <c r="D18" i="6"/>
  <c r="Y25" i="2" s="1"/>
  <c r="I25" i="2"/>
  <c r="D19" i="6"/>
  <c r="Y16" i="2" s="1"/>
  <c r="I16" i="2"/>
  <c r="G20" i="6"/>
  <c r="AB17" i="2" s="1"/>
  <c r="L17" i="2"/>
  <c r="E22" i="6"/>
  <c r="Z26" i="2" s="1"/>
  <c r="X22" i="6"/>
  <c r="X25" i="6"/>
  <c r="E27" i="6"/>
  <c r="F12" i="6"/>
  <c r="AA11" i="2" s="1"/>
  <c r="K11" i="2"/>
  <c r="K28" i="2"/>
  <c r="G10" i="6"/>
  <c r="AB9" i="2" s="1"/>
  <c r="L9" i="2"/>
  <c r="E12" i="6"/>
  <c r="Z11" i="2" s="1"/>
  <c r="G13" i="6"/>
  <c r="AB12" i="2" s="1"/>
  <c r="L12" i="2"/>
  <c r="E14" i="6"/>
  <c r="Z13" i="2" s="1"/>
  <c r="Y16" i="6"/>
  <c r="F17" i="6"/>
  <c r="AA15" i="2" s="1"/>
  <c r="K15" i="2"/>
  <c r="E18" i="6"/>
  <c r="Z25" i="2" s="1"/>
  <c r="X18" i="6"/>
  <c r="G19" i="6"/>
  <c r="AB16" i="2" s="1"/>
  <c r="L16" i="2"/>
  <c r="F22" i="6"/>
  <c r="AA26" i="2" s="1"/>
  <c r="G24" i="6"/>
  <c r="AB19" i="2" s="1"/>
  <c r="N30" i="2"/>
  <c r="I133" i="14" s="1"/>
  <c r="F25" i="6"/>
  <c r="AA20" i="2" s="1"/>
  <c r="K20" i="2"/>
  <c r="D27" i="6"/>
  <c r="M22" i="2"/>
  <c r="I109" i="14" s="1"/>
  <c r="X29" i="2"/>
  <c r="X32" i="2" s="1"/>
  <c r="X11" i="6"/>
  <c r="U33" i="6"/>
  <c r="V3" i="2"/>
  <c r="E7" i="6"/>
  <c r="Z6" i="2" s="1"/>
  <c r="V33" i="6"/>
  <c r="F7" i="6"/>
  <c r="AA6" i="2" s="1"/>
  <c r="EB9" i="6"/>
  <c r="D10" i="6"/>
  <c r="Y9" i="2" s="1"/>
  <c r="I9" i="2"/>
  <c r="DB11" i="6"/>
  <c r="R11" i="6" s="1"/>
  <c r="S10" i="2" s="1"/>
  <c r="F14" i="6"/>
  <c r="AA13" i="2" s="1"/>
  <c r="F16" i="6"/>
  <c r="AA24" i="2" s="1"/>
  <c r="F18" i="6"/>
  <c r="AA25" i="2" s="1"/>
  <c r="K25" i="2"/>
  <c r="Y18" i="6"/>
  <c r="E20" i="6"/>
  <c r="Z17" i="2" s="1"/>
  <c r="G21" i="6"/>
  <c r="AB18" i="2" s="1"/>
  <c r="L18" i="2"/>
  <c r="F28" i="6"/>
  <c r="W3" i="2"/>
  <c r="W32" i="2" s="1"/>
  <c r="L30" i="2"/>
  <c r="J27" i="2"/>
  <c r="J20" i="2"/>
  <c r="N11" i="2"/>
  <c r="I71" i="14" s="1"/>
  <c r="G7" i="6"/>
  <c r="AB6" i="2" s="1"/>
  <c r="L6" i="2"/>
  <c r="G9" i="6"/>
  <c r="AB8" i="2" s="1"/>
  <c r="L8" i="2"/>
  <c r="F5" i="6"/>
  <c r="AA4" i="2" s="1"/>
  <c r="K4" i="2"/>
  <c r="X10" i="6"/>
  <c r="D12" i="6"/>
  <c r="Y11" i="2" s="1"/>
  <c r="E13" i="6"/>
  <c r="Z12" i="2" s="1"/>
  <c r="N12" i="2"/>
  <c r="I76" i="14" s="1"/>
  <c r="G18" i="6"/>
  <c r="AB25" i="2" s="1"/>
  <c r="L25" i="2"/>
  <c r="D21" i="6"/>
  <c r="Y18" i="2" s="1"/>
  <c r="Q18" i="2"/>
  <c r="I97" i="15" s="1"/>
  <c r="X24" i="6"/>
  <c r="D25" i="6"/>
  <c r="Y20" i="2" s="1"/>
  <c r="I20" i="2"/>
  <c r="F27" i="6"/>
  <c r="K22" i="2"/>
  <c r="Y27" i="6"/>
  <c r="E30" i="6"/>
  <c r="Z29" i="2" s="1"/>
  <c r="V29" i="2"/>
  <c r="N17" i="2"/>
  <c r="E16" i="6"/>
  <c r="Z24" i="2" s="1"/>
  <c r="J24" i="2"/>
  <c r="Y10" i="6"/>
  <c r="Y5" i="6"/>
  <c r="F13" i="6"/>
  <c r="AA12" i="2" s="1"/>
  <c r="O12" i="2"/>
  <c r="D16" i="6"/>
  <c r="Y24" i="2" s="1"/>
  <c r="I24" i="2"/>
  <c r="X17" i="6"/>
  <c r="D20" i="6"/>
  <c r="Y17" i="2" s="1"/>
  <c r="Y28" i="2"/>
  <c r="I28" i="2"/>
  <c r="G27" i="6"/>
  <c r="L22" i="2"/>
  <c r="D31" i="6"/>
  <c r="Y30" i="2" s="1"/>
  <c r="I30" i="2"/>
  <c r="F194" i="13" s="1"/>
  <c r="J25" i="2"/>
  <c r="X29" i="6"/>
  <c r="F30" i="6"/>
  <c r="AA29" i="2" s="1"/>
  <c r="EO32" i="6"/>
  <c r="D22" i="6"/>
  <c r="Y26" i="2" s="1"/>
  <c r="D24" i="6"/>
  <c r="Y19" i="2" s="1"/>
  <c r="Y25" i="6"/>
  <c r="F26" i="6"/>
  <c r="Y26" i="6"/>
  <c r="D28" i="6"/>
  <c r="E24" i="6"/>
  <c r="Z19" i="2" s="1"/>
  <c r="G25" i="6"/>
  <c r="AB20" i="2" s="1"/>
  <c r="G26" i="6"/>
  <c r="X27" i="6"/>
  <c r="D30" i="6"/>
  <c r="Y29" i="2" s="1"/>
  <c r="I29" i="2"/>
  <c r="F187" i="13" s="1"/>
  <c r="M23" i="2"/>
  <c r="I121" i="14" s="1"/>
  <c r="F4" i="6"/>
  <c r="AA3" i="2" s="1"/>
  <c r="G5" i="6"/>
  <c r="AB4" i="2" s="1"/>
  <c r="DE5" i="6"/>
  <c r="Q5" i="6" s="1"/>
  <c r="CD4" i="6"/>
  <c r="H4" i="6" s="1"/>
  <c r="I3" i="2" s="1"/>
  <c r="F7" i="13" s="1"/>
  <c r="CQ4" i="6"/>
  <c r="L4" i="6" s="1"/>
  <c r="EO4" i="6"/>
  <c r="X21" i="6"/>
  <c r="Y22" i="6"/>
  <c r="Y28" i="6"/>
  <c r="EE9" i="6"/>
  <c r="AC9" i="6" s="1"/>
  <c r="Y9" i="6" s="1"/>
  <c r="CR4" i="6"/>
  <c r="M4" i="6" s="1"/>
  <c r="N3" i="2" s="1"/>
  <c r="ED4" i="6"/>
  <c r="AB4" i="6" s="1"/>
  <c r="DY6" i="6"/>
  <c r="DZ9" i="6"/>
  <c r="EC9" i="6" s="1"/>
  <c r="DY10" i="6"/>
  <c r="EB10" i="6" s="1"/>
  <c r="BY11" i="6"/>
  <c r="Y21" i="6"/>
  <c r="CY21" i="6"/>
  <c r="DB21" i="6" s="1"/>
  <c r="R21" i="6" s="1"/>
  <c r="EA6" i="6"/>
  <c r="EE6" i="6" s="1"/>
  <c r="AC6" i="6" s="1"/>
  <c r="Y6" i="6" s="1"/>
  <c r="CA11" i="6"/>
  <c r="CE11" i="6" s="1"/>
  <c r="I11" i="6" s="1"/>
  <c r="J10" i="2" s="1"/>
  <c r="Y29" i="6"/>
  <c r="CA6" i="6"/>
  <c r="BY6" i="6"/>
  <c r="X7" i="6"/>
  <c r="ED9" i="6"/>
  <c r="AB9" i="6" s="1"/>
  <c r="X9" i="6" s="1"/>
  <c r="DY11" i="6"/>
  <c r="EB11" i="6" s="1"/>
  <c r="EM32" i="6"/>
  <c r="EP32" i="6" s="1"/>
  <c r="Y8" i="6"/>
  <c r="CE9" i="6"/>
  <c r="I9" i="6" s="1"/>
  <c r="Y13" i="6"/>
  <c r="X19" i="6"/>
  <c r="BZ29" i="6"/>
  <c r="CC29" i="6" s="1"/>
  <c r="K29" i="6" s="1"/>
  <c r="L23" i="2" s="1"/>
  <c r="W33" i="6"/>
  <c r="CE5" i="6"/>
  <c r="I5" i="6" s="1"/>
  <c r="J4" i="2" s="1"/>
  <c r="F17" i="13" s="1"/>
  <c r="ED5" i="6"/>
  <c r="AB5" i="6" s="1"/>
  <c r="X5" i="6" s="1"/>
  <c r="CD9" i="6"/>
  <c r="H9" i="6" s="1"/>
  <c r="X20" i="6"/>
  <c r="EY21" i="6"/>
  <c r="FB21" i="6" s="1"/>
  <c r="X26" i="6"/>
  <c r="CA32" i="6"/>
  <c r="BY32" i="6"/>
  <c r="FA32" i="6"/>
  <c r="G32" i="2"/>
  <c r="F31" i="2"/>
  <c r="F32" i="2" s="1"/>
  <c r="E31" i="2"/>
  <c r="D31" i="2"/>
  <c r="E6" i="2"/>
  <c r="F6" i="2"/>
  <c r="D6" i="2"/>
  <c r="D10" i="2"/>
  <c r="F20" i="2"/>
  <c r="E20" i="2"/>
  <c r="D20" i="2"/>
  <c r="D19" i="2"/>
  <c r="D11" i="2"/>
  <c r="D12" i="2"/>
  <c r="EC32" i="6" l="1"/>
  <c r="EE32" i="6"/>
  <c r="AC32" i="6" s="1"/>
  <c r="ED32" i="6"/>
  <c r="AB32" i="6" s="1"/>
  <c r="I14" i="2"/>
  <c r="F108" i="13" s="1"/>
  <c r="X4" i="6"/>
  <c r="CP32" i="6"/>
  <c r="O32" i="6" s="1"/>
  <c r="P31" i="2" s="1"/>
  <c r="AB21" i="2"/>
  <c r="F151" i="13"/>
  <c r="G14" i="6"/>
  <c r="AB13" i="2" s="1"/>
  <c r="AA23" i="2"/>
  <c r="Y23" i="2"/>
  <c r="F159" i="13"/>
  <c r="F173" i="13"/>
  <c r="G4" i="6"/>
  <c r="AB3" i="2" s="1"/>
  <c r="E29" i="6"/>
  <c r="I104" i="14"/>
  <c r="AB22" i="2"/>
  <c r="AA21" i="2"/>
  <c r="E32" i="2"/>
  <c r="D32" i="2"/>
  <c r="P32" i="2"/>
  <c r="Z22" i="2"/>
  <c r="E4" i="6"/>
  <c r="Z3" i="2" s="1"/>
  <c r="AA22" i="2"/>
  <c r="AB28" i="2"/>
  <c r="AA28" i="2"/>
  <c r="Z23" i="2"/>
  <c r="Y22" i="2"/>
  <c r="Y21" i="2"/>
  <c r="Z21" i="2"/>
  <c r="K16" i="2"/>
  <c r="DC11" i="6"/>
  <c r="S11" i="6" s="1"/>
  <c r="S33" i="6" s="1"/>
  <c r="DD11" i="6"/>
  <c r="P11" i="6" s="1"/>
  <c r="Q10" i="2" s="1"/>
  <c r="I60" i="15" s="1"/>
  <c r="CR11" i="6"/>
  <c r="M11" i="6" s="1"/>
  <c r="N10" i="2" s="1"/>
  <c r="I66" i="14" s="1"/>
  <c r="D5" i="6"/>
  <c r="Y4" i="2" s="1"/>
  <c r="E19" i="6"/>
  <c r="Z16" i="2" s="1"/>
  <c r="F121" i="13"/>
  <c r="F9" i="6"/>
  <c r="AA8" i="2" s="1"/>
  <c r="I139" i="14"/>
  <c r="F116" i="13"/>
  <c r="F140" i="13"/>
  <c r="CB6" i="6"/>
  <c r="J6" i="6" s="1"/>
  <c r="F6" i="6" s="1"/>
  <c r="AA5" i="2" s="1"/>
  <c r="O33" i="6"/>
  <c r="ED6" i="6"/>
  <c r="AB6" i="6" s="1"/>
  <c r="X6" i="6" s="1"/>
  <c r="EC6" i="6"/>
  <c r="EB6" i="6"/>
  <c r="CB32" i="6"/>
  <c r="J32" i="6" s="1"/>
  <c r="F32" i="6" s="1"/>
  <c r="AA31" i="2" s="1"/>
  <c r="O32" i="2"/>
  <c r="G29" i="6"/>
  <c r="L33" i="6"/>
  <c r="M3" i="2"/>
  <c r="V32" i="2"/>
  <c r="D9" i="6"/>
  <c r="Y8" i="2" s="1"/>
  <c r="I8" i="2"/>
  <c r="N33" i="6"/>
  <c r="F21" i="6"/>
  <c r="AA18" i="2" s="1"/>
  <c r="S18" i="2"/>
  <c r="S32" i="2" s="1"/>
  <c r="E9" i="6"/>
  <c r="Z8" i="2" s="1"/>
  <c r="J8" i="2"/>
  <c r="Q33" i="6"/>
  <c r="R4" i="2"/>
  <c r="FC32" i="6"/>
  <c r="FE32" i="6"/>
  <c r="AK32" i="6" s="1"/>
  <c r="Y32" i="6" s="1"/>
  <c r="Y35" i="6" s="1"/>
  <c r="CE6" i="6"/>
  <c r="I6" i="6" s="1"/>
  <c r="CD6" i="6"/>
  <c r="H6" i="6" s="1"/>
  <c r="CE32" i="6"/>
  <c r="I32" i="6" s="1"/>
  <c r="CD32" i="6"/>
  <c r="H32" i="6" s="1"/>
  <c r="FB32" i="6"/>
  <c r="E5" i="6"/>
  <c r="Z4" i="2" s="1"/>
  <c r="D4" i="6"/>
  <c r="Y3" i="2" s="1"/>
  <c r="CC11" i="6"/>
  <c r="K11" i="6" s="1"/>
  <c r="R33" i="6"/>
  <c r="FD32" i="6"/>
  <c r="AJ32" i="6" s="1"/>
  <c r="X32" i="6" s="1"/>
  <c r="CC6" i="6"/>
  <c r="K6" i="6" s="1"/>
  <c r="L5" i="2" s="1"/>
  <c r="CB11" i="6"/>
  <c r="J11" i="6" s="1"/>
  <c r="CD11" i="6"/>
  <c r="H11" i="6" s="1"/>
  <c r="CC32" i="6"/>
  <c r="K32" i="6" s="1"/>
  <c r="BD112" i="1"/>
  <c r="A112" i="1" s="1"/>
  <c r="BD113" i="1"/>
  <c r="A113" i="1" s="1"/>
  <c r="BD114" i="1"/>
  <c r="A114" i="1" s="1"/>
  <c r="BD115" i="1"/>
  <c r="A115" i="1" s="1"/>
  <c r="BD116" i="1"/>
  <c r="A116" i="1" s="1"/>
  <c r="BD100" i="1"/>
  <c r="A100" i="1" s="1"/>
  <c r="BD101" i="1"/>
  <c r="A101" i="1" s="1"/>
  <c r="BD102" i="1"/>
  <c r="A102" i="1" s="1"/>
  <c r="BD103" i="1"/>
  <c r="A103" i="1" s="1"/>
  <c r="BD104" i="1"/>
  <c r="A104" i="1" s="1"/>
  <c r="BD105" i="1"/>
  <c r="A105" i="1" s="1"/>
  <c r="BD106" i="1"/>
  <c r="A106" i="1" s="1"/>
  <c r="BD107" i="1"/>
  <c r="A107" i="1" s="1"/>
  <c r="BD108" i="1"/>
  <c r="A108" i="1" s="1"/>
  <c r="BD109" i="1"/>
  <c r="A109" i="1" s="1"/>
  <c r="BD110" i="1"/>
  <c r="A110" i="1" s="1"/>
  <c r="BD111" i="1"/>
  <c r="A111" i="1" s="1"/>
  <c r="BD88" i="1"/>
  <c r="A88" i="1" s="1"/>
  <c r="BD89" i="1"/>
  <c r="A89" i="1" s="1"/>
  <c r="BD90" i="1"/>
  <c r="A90" i="1" s="1"/>
  <c r="BD91" i="1"/>
  <c r="A91" i="1" s="1"/>
  <c r="BD92" i="1"/>
  <c r="A92" i="1" s="1"/>
  <c r="BD93" i="1"/>
  <c r="A93" i="1" s="1"/>
  <c r="BD94" i="1"/>
  <c r="A94" i="1" s="1"/>
  <c r="BD95" i="1"/>
  <c r="A95" i="1" s="1"/>
  <c r="BD96" i="1"/>
  <c r="A96" i="1" s="1"/>
  <c r="BD97" i="1"/>
  <c r="A97" i="1" s="1"/>
  <c r="BD98" i="1"/>
  <c r="A98" i="1" s="1"/>
  <c r="BD99" i="1"/>
  <c r="A99" i="1" s="1"/>
  <c r="BD87" i="1"/>
  <c r="A87" i="1" s="1"/>
  <c r="BD58" i="1"/>
  <c r="A58" i="1" s="1"/>
  <c r="BD59" i="1"/>
  <c r="A59" i="1" s="1"/>
  <c r="BD60" i="1"/>
  <c r="A60" i="1" s="1"/>
  <c r="BD61" i="1"/>
  <c r="A61" i="1" s="1"/>
  <c r="BD62" i="1"/>
  <c r="A62" i="1" s="1"/>
  <c r="BD63" i="1"/>
  <c r="A63" i="1" s="1"/>
  <c r="BD64" i="1"/>
  <c r="A64" i="1" s="1"/>
  <c r="BD65" i="1"/>
  <c r="A65" i="1" s="1"/>
  <c r="BD66" i="1"/>
  <c r="A66" i="1" s="1"/>
  <c r="BD67" i="1"/>
  <c r="A67" i="1" s="1"/>
  <c r="BD68" i="1"/>
  <c r="A68" i="1" s="1"/>
  <c r="BD69" i="1"/>
  <c r="A69" i="1" s="1"/>
  <c r="BD70" i="1"/>
  <c r="A70" i="1" s="1"/>
  <c r="BD71" i="1"/>
  <c r="A71" i="1" s="1"/>
  <c r="BD72" i="1"/>
  <c r="A72" i="1" s="1"/>
  <c r="BD73" i="1"/>
  <c r="A73" i="1" s="1"/>
  <c r="BD74" i="1"/>
  <c r="A74" i="1" s="1"/>
  <c r="BD75" i="1"/>
  <c r="A75" i="1" s="1"/>
  <c r="BD76" i="1"/>
  <c r="A76" i="1" s="1"/>
  <c r="BD77" i="1"/>
  <c r="A77" i="1" s="1"/>
  <c r="BD78" i="1"/>
  <c r="A78" i="1" s="1"/>
  <c r="BD79" i="1"/>
  <c r="A79" i="1" s="1"/>
  <c r="BD80" i="1"/>
  <c r="A80" i="1" s="1"/>
  <c r="BD81" i="1"/>
  <c r="A81" i="1" s="1"/>
  <c r="BD82" i="1"/>
  <c r="A82" i="1" s="1"/>
  <c r="BD83" i="1"/>
  <c r="A83" i="1" s="1"/>
  <c r="BD84" i="1"/>
  <c r="A84" i="1" s="1"/>
  <c r="BD85" i="1"/>
  <c r="A85" i="1" s="1"/>
  <c r="BD86" i="1"/>
  <c r="A86" i="1" s="1"/>
  <c r="BD49" i="1"/>
  <c r="A49" i="1" s="1"/>
  <c r="BD50" i="1"/>
  <c r="A50" i="1" s="1"/>
  <c r="BD51" i="1"/>
  <c r="A51" i="1" s="1"/>
  <c r="BD52" i="1"/>
  <c r="A52" i="1" s="1"/>
  <c r="BD53" i="1"/>
  <c r="A53" i="1" s="1"/>
  <c r="BD54" i="1"/>
  <c r="A54" i="1" s="1"/>
  <c r="BD55" i="1"/>
  <c r="A55" i="1" s="1"/>
  <c r="BD56" i="1"/>
  <c r="A56" i="1" s="1"/>
  <c r="BD57" i="1"/>
  <c r="A57" i="1" s="1"/>
  <c r="BD43" i="1"/>
  <c r="A43" i="1" s="1"/>
  <c r="BD44" i="1"/>
  <c r="A44" i="1" s="1"/>
  <c r="BD45" i="1"/>
  <c r="A45" i="1" s="1"/>
  <c r="BD46" i="1"/>
  <c r="A46" i="1" s="1"/>
  <c r="BD47" i="1"/>
  <c r="A47" i="1" s="1"/>
  <c r="BD48" i="1"/>
  <c r="A48" i="1" s="1"/>
  <c r="BD28" i="1"/>
  <c r="A28" i="1" s="1"/>
  <c r="BD29" i="1"/>
  <c r="A29" i="1" s="1"/>
  <c r="BD30" i="1"/>
  <c r="A30" i="1" s="1"/>
  <c r="BD31" i="1"/>
  <c r="A31" i="1" s="1"/>
  <c r="BD32" i="1"/>
  <c r="A32" i="1" s="1"/>
  <c r="BD33" i="1"/>
  <c r="A33" i="1" s="1"/>
  <c r="BD34" i="1"/>
  <c r="A34" i="1" s="1"/>
  <c r="BD35" i="1"/>
  <c r="A35" i="1" s="1"/>
  <c r="BD36" i="1"/>
  <c r="A36" i="1" s="1"/>
  <c r="BD37" i="1"/>
  <c r="A37" i="1" s="1"/>
  <c r="BD38" i="1"/>
  <c r="A38" i="1" s="1"/>
  <c r="BD39" i="1"/>
  <c r="A39" i="1" s="1"/>
  <c r="BD40" i="1"/>
  <c r="A40" i="1" s="1"/>
  <c r="BD41" i="1"/>
  <c r="A41" i="1" s="1"/>
  <c r="BD42" i="1"/>
  <c r="A42" i="1" s="1"/>
  <c r="BD20" i="1"/>
  <c r="A20" i="1" s="1"/>
  <c r="BD21" i="1"/>
  <c r="A21" i="1" s="1"/>
  <c r="BD22" i="1"/>
  <c r="A22" i="1" s="1"/>
  <c r="BD23" i="1"/>
  <c r="A23" i="1" s="1"/>
  <c r="BD24" i="1"/>
  <c r="A24" i="1" s="1"/>
  <c r="BD25" i="1"/>
  <c r="A25" i="1" s="1"/>
  <c r="BD26" i="1"/>
  <c r="A26" i="1" s="1"/>
  <c r="BD27" i="1"/>
  <c r="A27" i="1" s="1"/>
  <c r="BD3" i="1"/>
  <c r="A3" i="1" s="1"/>
  <c r="BD4" i="1"/>
  <c r="A4" i="1" s="1"/>
  <c r="BD5" i="1"/>
  <c r="A5" i="1" s="1"/>
  <c r="BD6" i="1"/>
  <c r="A6" i="1" s="1"/>
  <c r="BD7" i="1"/>
  <c r="A7" i="1" s="1"/>
  <c r="BD8" i="1"/>
  <c r="A8" i="1" s="1"/>
  <c r="BD9" i="1"/>
  <c r="A9" i="1" s="1"/>
  <c r="BD10" i="1"/>
  <c r="A10" i="1" s="1"/>
  <c r="BD11" i="1"/>
  <c r="A11" i="1" s="1"/>
  <c r="BD12" i="1"/>
  <c r="A12" i="1" s="1"/>
  <c r="BD13" i="1"/>
  <c r="A13" i="1" s="1"/>
  <c r="BD14" i="1"/>
  <c r="A14" i="1" s="1"/>
  <c r="BD15" i="1"/>
  <c r="A15" i="1" s="1"/>
  <c r="BD16" i="1"/>
  <c r="A16" i="1" s="1"/>
  <c r="BD17" i="1"/>
  <c r="A17" i="1" s="1"/>
  <c r="BD18" i="1"/>
  <c r="A18" i="1" s="1"/>
  <c r="BD19" i="1"/>
  <c r="A19" i="1" s="1"/>
  <c r="BD2" i="1"/>
  <c r="A2" i="1" s="1"/>
  <c r="F790" i="27" l="1"/>
  <c r="F773" i="27"/>
  <c r="F758" i="27"/>
  <c r="F731" i="27"/>
  <c r="F702" i="27"/>
  <c r="F684" i="27"/>
  <c r="F663" i="27"/>
  <c r="F638" i="27"/>
  <c r="F611" i="27"/>
  <c r="F589" i="27"/>
  <c r="F564" i="27"/>
  <c r="F548" i="27"/>
  <c r="F526" i="27"/>
  <c r="F492" i="27"/>
  <c r="F458" i="27"/>
  <c r="F441" i="27"/>
  <c r="F406" i="27"/>
  <c r="F378" i="27"/>
  <c r="F361" i="27"/>
  <c r="F342" i="27"/>
  <c r="F319" i="27"/>
  <c r="F281" i="27"/>
  <c r="F241" i="27"/>
  <c r="F202" i="27"/>
  <c r="F168" i="27"/>
  <c r="F134" i="27"/>
  <c r="F102" i="27"/>
  <c r="F45" i="27"/>
  <c r="F769" i="27"/>
  <c r="F751" i="27"/>
  <c r="F723" i="27"/>
  <c r="F699" i="27"/>
  <c r="F660" i="27"/>
  <c r="F631" i="27"/>
  <c r="F583" i="27"/>
  <c r="F540" i="27"/>
  <c r="F480" i="27"/>
  <c r="F436" i="27"/>
  <c r="F400" i="27"/>
  <c r="F358" i="27"/>
  <c r="F312" i="27"/>
  <c r="F228" i="27"/>
  <c r="F163" i="27"/>
  <c r="F94" i="27"/>
  <c r="F781" i="27"/>
  <c r="F677" i="27"/>
  <c r="F623" i="27"/>
  <c r="F578" i="27"/>
  <c r="F557" i="27"/>
  <c r="F509" i="27"/>
  <c r="F449" i="27"/>
  <c r="F389" i="27"/>
  <c r="F352" i="27"/>
  <c r="F305" i="27"/>
  <c r="F217" i="27"/>
  <c r="F157" i="27"/>
  <c r="F70" i="27"/>
  <c r="F762" i="27"/>
  <c r="F529" i="27"/>
  <c r="F446" i="27"/>
  <c r="F366" i="27"/>
  <c r="F298" i="27"/>
  <c r="F178" i="27"/>
  <c r="F784" i="27"/>
  <c r="F682" i="27"/>
  <c r="F608" i="27"/>
  <c r="F560" i="27"/>
  <c r="F518" i="27"/>
  <c r="F453" i="27"/>
  <c r="F372" i="27"/>
  <c r="F338" i="27"/>
  <c r="F267" i="27"/>
  <c r="F190" i="27"/>
  <c r="F129" i="27"/>
  <c r="F16" i="27"/>
  <c r="F765" i="27"/>
  <c r="F742" i="27"/>
  <c r="F715" i="27"/>
  <c r="F694" i="27"/>
  <c r="F651" i="27"/>
  <c r="F600" i="27"/>
  <c r="F535" i="27"/>
  <c r="F476" i="27"/>
  <c r="F431" i="27"/>
  <c r="F369" i="27"/>
  <c r="F330" i="27"/>
  <c r="F253" i="27"/>
  <c r="F183" i="27"/>
  <c r="F119" i="27"/>
  <c r="F3" i="27"/>
  <c r="F798" i="27"/>
  <c r="F737" i="27"/>
  <c r="F707" i="27"/>
  <c r="F689" i="27"/>
  <c r="F641" i="27"/>
  <c r="F617" i="27"/>
  <c r="F552" i="27"/>
  <c r="F463" i="27"/>
  <c r="F385" i="27"/>
  <c r="F324" i="27"/>
  <c r="F207" i="27"/>
  <c r="F55" i="27"/>
  <c r="F802" i="27"/>
  <c r="F777" i="27"/>
  <c r="F668" i="27"/>
  <c r="F595" i="27"/>
  <c r="F504" i="27"/>
  <c r="F409" i="27"/>
  <c r="F348" i="27"/>
  <c r="F245" i="27"/>
  <c r="F149" i="27"/>
  <c r="F571" i="27"/>
  <c r="F109" i="27"/>
  <c r="X35" i="6"/>
  <c r="T10" i="2"/>
  <c r="T32" i="2" s="1"/>
  <c r="P33" i="6"/>
  <c r="AB23" i="2"/>
  <c r="K5" i="2"/>
  <c r="S8" i="21"/>
  <c r="V9" i="21"/>
  <c r="T11" i="21"/>
  <c r="W12" i="21"/>
  <c r="U14" i="21"/>
  <c r="S16" i="21"/>
  <c r="V17" i="21"/>
  <c r="T19" i="21"/>
  <c r="W20" i="21"/>
  <c r="U22" i="21"/>
  <c r="S24" i="21"/>
  <c r="V25" i="21"/>
  <c r="T27" i="21"/>
  <c r="W28" i="21"/>
  <c r="U30" i="21"/>
  <c r="S32" i="21"/>
  <c r="V33" i="21"/>
  <c r="T35" i="21"/>
  <c r="W36" i="21"/>
  <c r="U38" i="21"/>
  <c r="S40" i="21"/>
  <c r="V41" i="21"/>
  <c r="T43" i="21"/>
  <c r="W44" i="21"/>
  <c r="U46" i="21"/>
  <c r="S48" i="21"/>
  <c r="V49" i="21"/>
  <c r="T51" i="21"/>
  <c r="W52" i="21"/>
  <c r="U54" i="21"/>
  <c r="S56" i="21"/>
  <c r="V57" i="21"/>
  <c r="T59" i="21"/>
  <c r="W60" i="21"/>
  <c r="U62" i="21"/>
  <c r="S64" i="21"/>
  <c r="V65" i="21"/>
  <c r="T67" i="21"/>
  <c r="W68" i="21"/>
  <c r="U70" i="21"/>
  <c r="S72" i="21"/>
  <c r="V73" i="21"/>
  <c r="T75" i="21"/>
  <c r="W76" i="21"/>
  <c r="U78" i="21"/>
  <c r="S80" i="21"/>
  <c r="V81" i="21"/>
  <c r="T83" i="21"/>
  <c r="W84" i="21"/>
  <c r="U86" i="21"/>
  <c r="S88" i="21"/>
  <c r="V89" i="21"/>
  <c r="T91" i="21"/>
  <c r="W92" i="21"/>
  <c r="U94" i="21"/>
  <c r="S96" i="21"/>
  <c r="V97" i="21"/>
  <c r="T99" i="21"/>
  <c r="W100" i="21"/>
  <c r="U102" i="21"/>
  <c r="S104" i="21"/>
  <c r="V105" i="21"/>
  <c r="T107" i="21"/>
  <c r="W108" i="21"/>
  <c r="U110" i="21"/>
  <c r="S112" i="21"/>
  <c r="V113" i="21"/>
  <c r="T115" i="21"/>
  <c r="W116" i="21"/>
  <c r="U118" i="21"/>
  <c r="S120" i="21"/>
  <c r="V121" i="21"/>
  <c r="T123" i="21"/>
  <c r="W124" i="21"/>
  <c r="U126" i="21"/>
  <c r="S128" i="21"/>
  <c r="V129" i="21"/>
  <c r="T131" i="21"/>
  <c r="W132" i="21"/>
  <c r="U3" i="21"/>
  <c r="S5" i="21"/>
  <c r="V6" i="21"/>
  <c r="V2" i="21"/>
  <c r="O7" i="21"/>
  <c r="V10" i="21"/>
  <c r="T8" i="21"/>
  <c r="W9" i="21"/>
  <c r="U11" i="21"/>
  <c r="S13" i="21"/>
  <c r="V14" i="21"/>
  <c r="T16" i="21"/>
  <c r="W17" i="21"/>
  <c r="U19" i="21"/>
  <c r="S21" i="21"/>
  <c r="V22" i="21"/>
  <c r="T24" i="21"/>
  <c r="W25" i="21"/>
  <c r="U27" i="21"/>
  <c r="S29" i="21"/>
  <c r="V30" i="21"/>
  <c r="T32" i="21"/>
  <c r="W33" i="21"/>
  <c r="U35" i="21"/>
  <c r="S37" i="21"/>
  <c r="V38" i="21"/>
  <c r="T40" i="21"/>
  <c r="W41" i="21"/>
  <c r="U43" i="21"/>
  <c r="S45" i="21"/>
  <c r="V46" i="21"/>
  <c r="T48" i="21"/>
  <c r="W49" i="21"/>
  <c r="U51" i="21"/>
  <c r="S53" i="21"/>
  <c r="V54" i="21"/>
  <c r="T56" i="21"/>
  <c r="W57" i="21"/>
  <c r="U59" i="21"/>
  <c r="S61" i="21"/>
  <c r="V62" i="21"/>
  <c r="T64" i="21"/>
  <c r="W65" i="21"/>
  <c r="U67" i="21"/>
  <c r="S69" i="21"/>
  <c r="V70" i="21"/>
  <c r="T72" i="21"/>
  <c r="W73" i="21"/>
  <c r="U75" i="21"/>
  <c r="S77" i="21"/>
  <c r="V78" i="21"/>
  <c r="T80" i="21"/>
  <c r="W81" i="21"/>
  <c r="U83" i="21"/>
  <c r="S85" i="21"/>
  <c r="V86" i="21"/>
  <c r="T88" i="21"/>
  <c r="W89" i="21"/>
  <c r="U91" i="21"/>
  <c r="S93" i="21"/>
  <c r="V94" i="21"/>
  <c r="T96" i="21"/>
  <c r="W97" i="21"/>
  <c r="U99" i="21"/>
  <c r="S101" i="21"/>
  <c r="V102" i="21"/>
  <c r="T104" i="21"/>
  <c r="W105" i="21"/>
  <c r="U107" i="21"/>
  <c r="S109" i="21"/>
  <c r="V110" i="21"/>
  <c r="T112" i="21"/>
  <c r="W113" i="21"/>
  <c r="U115" i="21"/>
  <c r="S117" i="21"/>
  <c r="V118" i="21"/>
  <c r="T120" i="21"/>
  <c r="W121" i="21"/>
  <c r="U123" i="21"/>
  <c r="S125" i="21"/>
  <c r="V126" i="21"/>
  <c r="T128" i="21"/>
  <c r="W129" i="21"/>
  <c r="U131" i="21"/>
  <c r="S133" i="21"/>
  <c r="V3" i="21"/>
  <c r="T5" i="21"/>
  <c r="W6" i="21"/>
  <c r="U2" i="21"/>
  <c r="O8" i="21"/>
  <c r="S9" i="21"/>
  <c r="U8" i="21"/>
  <c r="S10" i="21"/>
  <c r="V11" i="21"/>
  <c r="T13" i="21"/>
  <c r="W14" i="21"/>
  <c r="U16" i="21"/>
  <c r="S18" i="21"/>
  <c r="V19" i="21"/>
  <c r="T21" i="21"/>
  <c r="W22" i="21"/>
  <c r="U24" i="21"/>
  <c r="S26" i="21"/>
  <c r="V27" i="21"/>
  <c r="T29" i="21"/>
  <c r="W30" i="21"/>
  <c r="U32" i="21"/>
  <c r="S34" i="21"/>
  <c r="V35" i="21"/>
  <c r="T37" i="21"/>
  <c r="W38" i="21"/>
  <c r="U40" i="21"/>
  <c r="S42" i="21"/>
  <c r="V43" i="21"/>
  <c r="T45" i="21"/>
  <c r="W46" i="21"/>
  <c r="U48" i="21"/>
  <c r="S50" i="21"/>
  <c r="V51" i="21"/>
  <c r="T53" i="21"/>
  <c r="W54" i="21"/>
  <c r="U56" i="21"/>
  <c r="S58" i="21"/>
  <c r="V59" i="21"/>
  <c r="T61" i="21"/>
  <c r="W62" i="21"/>
  <c r="U64" i="21"/>
  <c r="S66" i="21"/>
  <c r="V67" i="21"/>
  <c r="T69" i="21"/>
  <c r="W70" i="21"/>
  <c r="U72" i="21"/>
  <c r="S74" i="21"/>
  <c r="V75" i="21"/>
  <c r="T77" i="21"/>
  <c r="W78" i="21"/>
  <c r="U80" i="21"/>
  <c r="S82" i="21"/>
  <c r="V83" i="21"/>
  <c r="T85" i="21"/>
  <c r="W86" i="21"/>
  <c r="U88" i="21"/>
  <c r="S90" i="21"/>
  <c r="V91" i="21"/>
  <c r="T93" i="21"/>
  <c r="W94" i="21"/>
  <c r="U96" i="21"/>
  <c r="S98" i="21"/>
  <c r="V99" i="21"/>
  <c r="T101" i="21"/>
  <c r="W102" i="21"/>
  <c r="U104" i="21"/>
  <c r="S106" i="21"/>
  <c r="V107" i="21"/>
  <c r="T109" i="21"/>
  <c r="W110" i="21"/>
  <c r="U112" i="21"/>
  <c r="S114" i="21"/>
  <c r="V115" i="21"/>
  <c r="T117" i="21"/>
  <c r="W118" i="21"/>
  <c r="U120" i="21"/>
  <c r="S122" i="21"/>
  <c r="V123" i="21"/>
  <c r="T125" i="21"/>
  <c r="W126" i="21"/>
  <c r="U128" i="21"/>
  <c r="S130" i="21"/>
  <c r="V131" i="21"/>
  <c r="T133" i="21"/>
  <c r="W3" i="21"/>
  <c r="U5" i="21"/>
  <c r="S7" i="21"/>
  <c r="T2" i="21"/>
  <c r="O9" i="21"/>
  <c r="T12" i="21"/>
  <c r="V8" i="21"/>
  <c r="T10" i="21"/>
  <c r="W11" i="21"/>
  <c r="U13" i="21"/>
  <c r="S15" i="21"/>
  <c r="V16" i="21"/>
  <c r="T18" i="21"/>
  <c r="W19" i="21"/>
  <c r="U21" i="21"/>
  <c r="S23" i="21"/>
  <c r="V24" i="21"/>
  <c r="T26" i="21"/>
  <c r="W27" i="21"/>
  <c r="U29" i="21"/>
  <c r="S31" i="21"/>
  <c r="V32" i="21"/>
  <c r="T34" i="21"/>
  <c r="W35" i="21"/>
  <c r="U37" i="21"/>
  <c r="S39" i="21"/>
  <c r="V40" i="21"/>
  <c r="T42" i="21"/>
  <c r="W43" i="21"/>
  <c r="U45" i="21"/>
  <c r="S47" i="21"/>
  <c r="V48" i="21"/>
  <c r="T50" i="21"/>
  <c r="W51" i="21"/>
  <c r="U53" i="21"/>
  <c r="S55" i="21"/>
  <c r="V56" i="21"/>
  <c r="T58" i="21"/>
  <c r="W59" i="21"/>
  <c r="U61" i="21"/>
  <c r="S63" i="21"/>
  <c r="V64" i="21"/>
  <c r="T66" i="21"/>
  <c r="W67" i="21"/>
  <c r="U69" i="21"/>
  <c r="S71" i="21"/>
  <c r="V72" i="21"/>
  <c r="T74" i="21"/>
  <c r="W75" i="21"/>
  <c r="U77" i="21"/>
  <c r="S79" i="21"/>
  <c r="V80" i="21"/>
  <c r="T82" i="21"/>
  <c r="W83" i="21"/>
  <c r="U85" i="21"/>
  <c r="S87" i="21"/>
  <c r="V88" i="21"/>
  <c r="T90" i="21"/>
  <c r="W91" i="21"/>
  <c r="U93" i="21"/>
  <c r="S95" i="21"/>
  <c r="V96" i="21"/>
  <c r="T98" i="21"/>
  <c r="W99" i="21"/>
  <c r="U101" i="21"/>
  <c r="S103" i="21"/>
  <c r="V104" i="21"/>
  <c r="T106" i="21"/>
  <c r="W107" i="21"/>
  <c r="U109" i="21"/>
  <c r="S111" i="21"/>
  <c r="V112" i="21"/>
  <c r="T114" i="21"/>
  <c r="W115" i="21"/>
  <c r="U117" i="21"/>
  <c r="S119" i="21"/>
  <c r="V120" i="21"/>
  <c r="T122" i="21"/>
  <c r="W123" i="21"/>
  <c r="U125" i="21"/>
  <c r="S127" i="21"/>
  <c r="V128" i="21"/>
  <c r="T130" i="21"/>
  <c r="W131" i="21"/>
  <c r="U133" i="21"/>
  <c r="S4" i="21"/>
  <c r="V5" i="21"/>
  <c r="T7" i="21"/>
  <c r="O2" i="21"/>
  <c r="O10" i="21"/>
  <c r="U15" i="21"/>
  <c r="W8" i="21"/>
  <c r="U10" i="21"/>
  <c r="S12" i="21"/>
  <c r="V13" i="21"/>
  <c r="T15" i="21"/>
  <c r="W16" i="21"/>
  <c r="U18" i="21"/>
  <c r="S20" i="21"/>
  <c r="V21" i="21"/>
  <c r="T23" i="21"/>
  <c r="W24" i="21"/>
  <c r="U26" i="21"/>
  <c r="S28" i="21"/>
  <c r="V29" i="21"/>
  <c r="T31" i="21"/>
  <c r="W32" i="21"/>
  <c r="U34" i="21"/>
  <c r="S36" i="21"/>
  <c r="V37" i="21"/>
  <c r="T39" i="21"/>
  <c r="W40" i="21"/>
  <c r="U42" i="21"/>
  <c r="S44" i="21"/>
  <c r="V45" i="21"/>
  <c r="T47" i="21"/>
  <c r="W48" i="21"/>
  <c r="U50" i="21"/>
  <c r="S52" i="21"/>
  <c r="V53" i="21"/>
  <c r="T55" i="21"/>
  <c r="W56" i="21"/>
  <c r="U58" i="21"/>
  <c r="S60" i="21"/>
  <c r="V61" i="21"/>
  <c r="T63" i="21"/>
  <c r="W64" i="21"/>
  <c r="U66" i="21"/>
  <c r="S68" i="21"/>
  <c r="V69" i="21"/>
  <c r="T71" i="21"/>
  <c r="W72" i="21"/>
  <c r="U74" i="21"/>
  <c r="S76" i="21"/>
  <c r="V77" i="21"/>
  <c r="T79" i="21"/>
  <c r="W80" i="21"/>
  <c r="U82" i="21"/>
  <c r="S84" i="21"/>
  <c r="V85" i="21"/>
  <c r="T87" i="21"/>
  <c r="W88" i="21"/>
  <c r="U90" i="21"/>
  <c r="S92" i="21"/>
  <c r="V93" i="21"/>
  <c r="T95" i="21"/>
  <c r="W96" i="21"/>
  <c r="U98" i="21"/>
  <c r="S100" i="21"/>
  <c r="V101" i="21"/>
  <c r="T103" i="21"/>
  <c r="W104" i="21"/>
  <c r="U106" i="21"/>
  <c r="S108" i="21"/>
  <c r="V109" i="21"/>
  <c r="T111" i="21"/>
  <c r="W112" i="21"/>
  <c r="U114" i="21"/>
  <c r="S116" i="21"/>
  <c r="V117" i="21"/>
  <c r="T119" i="21"/>
  <c r="W120" i="21"/>
  <c r="U122" i="21"/>
  <c r="S124" i="21"/>
  <c r="V125" i="21"/>
  <c r="T127" i="21"/>
  <c r="W128" i="21"/>
  <c r="U130" i="21"/>
  <c r="S132" i="21"/>
  <c r="V133" i="21"/>
  <c r="T4" i="21"/>
  <c r="W5" i="21"/>
  <c r="U7" i="21"/>
  <c r="O3" i="21"/>
  <c r="O11" i="21"/>
  <c r="U9" i="21"/>
  <c r="S11" i="21"/>
  <c r="V12" i="21"/>
  <c r="T14" i="21"/>
  <c r="W15" i="21"/>
  <c r="U17" i="21"/>
  <c r="S19" i="21"/>
  <c r="V20" i="21"/>
  <c r="T22" i="21"/>
  <c r="W23" i="21"/>
  <c r="U25" i="21"/>
  <c r="S27" i="21"/>
  <c r="V28" i="21"/>
  <c r="T30" i="21"/>
  <c r="W31" i="21"/>
  <c r="U33" i="21"/>
  <c r="S35" i="21"/>
  <c r="V36" i="21"/>
  <c r="T38" i="21"/>
  <c r="W39" i="21"/>
  <c r="U41" i="21"/>
  <c r="S43" i="21"/>
  <c r="V44" i="21"/>
  <c r="T46" i="21"/>
  <c r="W47" i="21"/>
  <c r="U49" i="21"/>
  <c r="S51" i="21"/>
  <c r="V52" i="21"/>
  <c r="T54" i="21"/>
  <c r="W55" i="21"/>
  <c r="U57" i="21"/>
  <c r="S59" i="21"/>
  <c r="V60" i="21"/>
  <c r="T62" i="21"/>
  <c r="W63" i="21"/>
  <c r="U65" i="21"/>
  <c r="S67" i="21"/>
  <c r="V68" i="21"/>
  <c r="T70" i="21"/>
  <c r="W71" i="21"/>
  <c r="U73" i="21"/>
  <c r="S75" i="21"/>
  <c r="V76" i="21"/>
  <c r="T78" i="21"/>
  <c r="W79" i="21"/>
  <c r="U81" i="21"/>
  <c r="S83" i="21"/>
  <c r="V84" i="21"/>
  <c r="T86" i="21"/>
  <c r="W87" i="21"/>
  <c r="U89" i="21"/>
  <c r="S91" i="21"/>
  <c r="V92" i="21"/>
  <c r="T94" i="21"/>
  <c r="W95" i="21"/>
  <c r="U97" i="21"/>
  <c r="S99" i="21"/>
  <c r="V100" i="21"/>
  <c r="T102" i="21"/>
  <c r="W103" i="21"/>
  <c r="U105" i="21"/>
  <c r="S107" i="21"/>
  <c r="V108" i="21"/>
  <c r="T110" i="21"/>
  <c r="W111" i="21"/>
  <c r="U113" i="21"/>
  <c r="S115" i="21"/>
  <c r="V116" i="21"/>
  <c r="T118" i="21"/>
  <c r="W119" i="21"/>
  <c r="U121" i="21"/>
  <c r="S123" i="21"/>
  <c r="V124" i="21"/>
  <c r="T126" i="21"/>
  <c r="W127" i="21"/>
  <c r="U129" i="21"/>
  <c r="S131" i="21"/>
  <c r="V132" i="21"/>
  <c r="T3" i="21"/>
  <c r="W4" i="21"/>
  <c r="U6" i="21"/>
  <c r="W2" i="21"/>
  <c r="O6" i="21"/>
  <c r="W13" i="21"/>
  <c r="T20" i="21"/>
  <c r="S110" i="21"/>
  <c r="U12" i="21"/>
  <c r="W21" i="21"/>
  <c r="T28" i="21"/>
  <c r="V34" i="21"/>
  <c r="S41" i="21"/>
  <c r="U47" i="21"/>
  <c r="W53" i="21"/>
  <c r="T60" i="21"/>
  <c r="V66" i="21"/>
  <c r="S73" i="21"/>
  <c r="U79" i="21"/>
  <c r="W85" i="21"/>
  <c r="T92" i="21"/>
  <c r="V98" i="21"/>
  <c r="S105" i="21"/>
  <c r="U111" i="21"/>
  <c r="W117" i="21"/>
  <c r="T124" i="21"/>
  <c r="V130" i="21"/>
  <c r="S6" i="21"/>
  <c r="S30" i="21"/>
  <c r="T49" i="21"/>
  <c r="U68" i="21"/>
  <c r="V87" i="21"/>
  <c r="W106" i="21"/>
  <c r="S126" i="21"/>
  <c r="T17" i="21"/>
  <c r="W37" i="21"/>
  <c r="S57" i="21"/>
  <c r="T76" i="21"/>
  <c r="U95" i="21"/>
  <c r="S121" i="21"/>
  <c r="O4" i="21"/>
  <c r="W26" i="21"/>
  <c r="U52" i="21"/>
  <c r="S78" i="21"/>
  <c r="V103" i="21"/>
  <c r="V4" i="21"/>
  <c r="S14" i="21"/>
  <c r="S22" i="21"/>
  <c r="U28" i="21"/>
  <c r="W34" i="21"/>
  <c r="T41" i="21"/>
  <c r="V47" i="21"/>
  <c r="S54" i="21"/>
  <c r="U60" i="21"/>
  <c r="W66" i="21"/>
  <c r="T73" i="21"/>
  <c r="V79" i="21"/>
  <c r="S86" i="21"/>
  <c r="U92" i="21"/>
  <c r="W98" i="21"/>
  <c r="T105" i="21"/>
  <c r="V111" i="21"/>
  <c r="S118" i="21"/>
  <c r="U124" i="21"/>
  <c r="W130" i="21"/>
  <c r="T6" i="21"/>
  <c r="U119" i="21"/>
  <c r="T132" i="21"/>
  <c r="S17" i="21"/>
  <c r="U36" i="21"/>
  <c r="W42" i="21"/>
  <c r="S62" i="21"/>
  <c r="T81" i="21"/>
  <c r="U100" i="21"/>
  <c r="V119" i="21"/>
  <c r="W7" i="21"/>
  <c r="U31" i="21"/>
  <c r="T44" i="21"/>
  <c r="U63" i="21"/>
  <c r="V82" i="21"/>
  <c r="W101" i="21"/>
  <c r="V114" i="21"/>
  <c r="W133" i="21"/>
  <c r="U20" i="21"/>
  <c r="S46" i="21"/>
  <c r="V71" i="21"/>
  <c r="W90" i="21"/>
  <c r="W122" i="21"/>
  <c r="V15" i="21"/>
  <c r="U23" i="21"/>
  <c r="W29" i="21"/>
  <c r="T36" i="21"/>
  <c r="V42" i="21"/>
  <c r="S49" i="21"/>
  <c r="U55" i="21"/>
  <c r="W61" i="21"/>
  <c r="T68" i="21"/>
  <c r="V74" i="21"/>
  <c r="S81" i="21"/>
  <c r="U87" i="21"/>
  <c r="W93" i="21"/>
  <c r="T100" i="21"/>
  <c r="V106" i="21"/>
  <c r="S113" i="21"/>
  <c r="W125" i="21"/>
  <c r="V7" i="21"/>
  <c r="V23" i="21"/>
  <c r="V55" i="21"/>
  <c r="W74" i="21"/>
  <c r="S94" i="21"/>
  <c r="T113" i="21"/>
  <c r="U132" i="21"/>
  <c r="S25" i="21"/>
  <c r="V50" i="21"/>
  <c r="W69" i="21"/>
  <c r="S89" i="21"/>
  <c r="T108" i="21"/>
  <c r="U127" i="21"/>
  <c r="U4" i="21"/>
  <c r="T33" i="21"/>
  <c r="W58" i="21"/>
  <c r="U84" i="21"/>
  <c r="U116" i="21"/>
  <c r="V18" i="21"/>
  <c r="T25" i="21"/>
  <c r="V31" i="21"/>
  <c r="S38" i="21"/>
  <c r="U44" i="21"/>
  <c r="W50" i="21"/>
  <c r="T57" i="21"/>
  <c r="V63" i="21"/>
  <c r="S70" i="21"/>
  <c r="U76" i="21"/>
  <c r="W82" i="21"/>
  <c r="T89" i="21"/>
  <c r="V95" i="21"/>
  <c r="S102" i="21"/>
  <c r="U108" i="21"/>
  <c r="W114" i="21"/>
  <c r="T121" i="21"/>
  <c r="V127" i="21"/>
  <c r="S3" i="21"/>
  <c r="O5" i="21"/>
  <c r="T9" i="21"/>
  <c r="W18" i="21"/>
  <c r="V26" i="21"/>
  <c r="S33" i="21"/>
  <c r="U39" i="21"/>
  <c r="W45" i="21"/>
  <c r="T52" i="21"/>
  <c r="V58" i="21"/>
  <c r="S65" i="21"/>
  <c r="U71" i="21"/>
  <c r="W77" i="21"/>
  <c r="T84" i="21"/>
  <c r="V90" i="21"/>
  <c r="S97" i="21"/>
  <c r="U103" i="21"/>
  <c r="W109" i="21"/>
  <c r="T116" i="21"/>
  <c r="V122" i="21"/>
  <c r="S129" i="21"/>
  <c r="W10" i="21"/>
  <c r="V39" i="21"/>
  <c r="T65" i="21"/>
  <c r="T97" i="21"/>
  <c r="T129" i="21"/>
  <c r="J39" i="21"/>
  <c r="J132" i="21"/>
  <c r="J81" i="21"/>
  <c r="J115" i="21"/>
  <c r="J69" i="21"/>
  <c r="J110" i="21"/>
  <c r="J66" i="21"/>
  <c r="J127" i="21"/>
  <c r="J38" i="21"/>
  <c r="J22" i="21"/>
  <c r="J42" i="21"/>
  <c r="J70" i="21"/>
  <c r="J62" i="21"/>
  <c r="J36" i="21"/>
  <c r="J95" i="21"/>
  <c r="J24" i="21"/>
  <c r="J63" i="21"/>
  <c r="J79" i="21"/>
  <c r="J23" i="21"/>
  <c r="J84" i="21"/>
  <c r="J85" i="21"/>
  <c r="J25" i="21"/>
  <c r="J17" i="21"/>
  <c r="J8" i="21"/>
  <c r="J109" i="21"/>
  <c r="J119" i="21"/>
  <c r="J121" i="21"/>
  <c r="J75" i="21"/>
  <c r="J64" i="21"/>
  <c r="J50" i="21"/>
  <c r="J45" i="21"/>
  <c r="J67" i="21"/>
  <c r="J12" i="21"/>
  <c r="J61" i="21"/>
  <c r="J71" i="21"/>
  <c r="J88" i="21"/>
  <c r="J89" i="21"/>
  <c r="J83" i="21"/>
  <c r="J108" i="21"/>
  <c r="J116" i="21"/>
  <c r="J107" i="21"/>
  <c r="J128" i="21"/>
  <c r="J52" i="21"/>
  <c r="J43" i="21"/>
  <c r="J53" i="21"/>
  <c r="J29" i="21"/>
  <c r="J72" i="21"/>
  <c r="J49" i="21"/>
  <c r="J96" i="21"/>
  <c r="J37" i="21"/>
  <c r="J11" i="21"/>
  <c r="J99" i="21"/>
  <c r="J47" i="21"/>
  <c r="J125" i="21"/>
  <c r="J133" i="21"/>
  <c r="J124" i="21"/>
  <c r="J111" i="21"/>
  <c r="J54" i="21"/>
  <c r="J16" i="21"/>
  <c r="J59" i="21"/>
  <c r="J60" i="21"/>
  <c r="J13" i="21"/>
  <c r="J4" i="21"/>
  <c r="J28" i="21"/>
  <c r="J21" i="21"/>
  <c r="J76" i="21"/>
  <c r="J26" i="21"/>
  <c r="J78" i="21"/>
  <c r="J131" i="21"/>
  <c r="J129" i="21"/>
  <c r="J106" i="21"/>
  <c r="J103" i="21"/>
  <c r="J58" i="21"/>
  <c r="J98" i="21"/>
  <c r="J101" i="21"/>
  <c r="J100" i="21"/>
  <c r="J30" i="21"/>
  <c r="J97" i="21"/>
  <c r="J80" i="21"/>
  <c r="J82" i="21"/>
  <c r="J44" i="21"/>
  <c r="J102" i="21"/>
  <c r="J77" i="21"/>
  <c r="J87" i="21"/>
  <c r="J34" i="21"/>
  <c r="J93" i="21"/>
  <c r="J51" i="21"/>
  <c r="J31" i="21"/>
  <c r="J19" i="21"/>
  <c r="J92" i="21"/>
  <c r="J33" i="21"/>
  <c r="J91" i="21"/>
  <c r="J46" i="21"/>
  <c r="J114" i="21"/>
  <c r="J112" i="21"/>
  <c r="J123" i="21"/>
  <c r="J120" i="21"/>
  <c r="J73" i="21"/>
  <c r="J74" i="21"/>
  <c r="J65" i="21"/>
  <c r="J2" i="21"/>
  <c r="J18" i="21"/>
  <c r="J20" i="21"/>
  <c r="J35" i="21"/>
  <c r="J14" i="21"/>
  <c r="J68" i="21"/>
  <c r="J5" i="21"/>
  <c r="J3" i="21"/>
  <c r="J113" i="21"/>
  <c r="J118" i="21"/>
  <c r="J105" i="21"/>
  <c r="J117" i="21"/>
  <c r="J7" i="21"/>
  <c r="J15" i="21"/>
  <c r="J56" i="21"/>
  <c r="J32" i="21"/>
  <c r="J57" i="21"/>
  <c r="J27" i="21"/>
  <c r="J10" i="21"/>
  <c r="J55" i="21"/>
  <c r="J86" i="21"/>
  <c r="J130" i="21"/>
  <c r="J122" i="21"/>
  <c r="J9" i="21"/>
  <c r="J48" i="21"/>
  <c r="J6" i="21"/>
  <c r="J40" i="21"/>
  <c r="J41" i="21"/>
  <c r="J94" i="21"/>
  <c r="J90" i="21"/>
  <c r="J126" i="21"/>
  <c r="J104" i="21"/>
  <c r="R5" i="21"/>
  <c r="R13" i="21"/>
  <c r="R21" i="21"/>
  <c r="R29" i="21"/>
  <c r="R37" i="21"/>
  <c r="R45" i="21"/>
  <c r="R53" i="21"/>
  <c r="R61" i="21"/>
  <c r="R69" i="21"/>
  <c r="R77" i="21"/>
  <c r="R85" i="21"/>
  <c r="R93" i="21"/>
  <c r="R101" i="21"/>
  <c r="R109" i="21"/>
  <c r="R117" i="21"/>
  <c r="R125" i="21"/>
  <c r="R133" i="21"/>
  <c r="R6" i="21"/>
  <c r="R14" i="21"/>
  <c r="R22" i="21"/>
  <c r="R30" i="21"/>
  <c r="R38" i="21"/>
  <c r="R46" i="21"/>
  <c r="R54" i="21"/>
  <c r="R62" i="21"/>
  <c r="R70" i="21"/>
  <c r="R78" i="21"/>
  <c r="R86" i="21"/>
  <c r="R94" i="21"/>
  <c r="R102" i="21"/>
  <c r="R110" i="21"/>
  <c r="R118" i="21"/>
  <c r="R126" i="21"/>
  <c r="L4" i="21"/>
  <c r="M7" i="21"/>
  <c r="K9" i="21"/>
  <c r="N10" i="21"/>
  <c r="L12" i="21"/>
  <c r="O13" i="21"/>
  <c r="M15" i="21"/>
  <c r="K17" i="21"/>
  <c r="N18" i="21"/>
  <c r="L20" i="21"/>
  <c r="O21" i="21"/>
  <c r="M23" i="21"/>
  <c r="K25" i="21"/>
  <c r="N26" i="21"/>
  <c r="L28" i="21"/>
  <c r="O29" i="21"/>
  <c r="M31" i="21"/>
  <c r="K33" i="21"/>
  <c r="N34" i="21"/>
  <c r="L36" i="21"/>
  <c r="O37" i="21"/>
  <c r="M39" i="21"/>
  <c r="K41" i="21"/>
  <c r="N42" i="21"/>
  <c r="L44" i="21"/>
  <c r="O45" i="21"/>
  <c r="M47" i="21"/>
  <c r="K49" i="21"/>
  <c r="N50" i="21"/>
  <c r="L52" i="21"/>
  <c r="O53" i="21"/>
  <c r="M55" i="21"/>
  <c r="K57" i="21"/>
  <c r="N58" i="21"/>
  <c r="L60" i="21"/>
  <c r="R8" i="21"/>
  <c r="R16" i="21"/>
  <c r="R24" i="21"/>
  <c r="R32" i="21"/>
  <c r="R40" i="21"/>
  <c r="R48" i="21"/>
  <c r="R56" i="21"/>
  <c r="R64" i="21"/>
  <c r="R72" i="21"/>
  <c r="R80" i="21"/>
  <c r="R88" i="21"/>
  <c r="R96" i="21"/>
  <c r="R104" i="21"/>
  <c r="R112" i="21"/>
  <c r="R120" i="21"/>
  <c r="R128" i="21"/>
  <c r="K3" i="21"/>
  <c r="N4" i="21"/>
  <c r="R9" i="21"/>
  <c r="R17" i="21"/>
  <c r="R25" i="21"/>
  <c r="R33" i="21"/>
  <c r="R41" i="21"/>
  <c r="R49" i="21"/>
  <c r="R57" i="21"/>
  <c r="R65" i="21"/>
  <c r="R73" i="21"/>
  <c r="R81" i="21"/>
  <c r="R89" i="21"/>
  <c r="R97" i="21"/>
  <c r="R105" i="21"/>
  <c r="R113" i="21"/>
  <c r="R121" i="21"/>
  <c r="R129" i="21"/>
  <c r="L3" i="21"/>
  <c r="M6" i="21"/>
  <c r="K8" i="21"/>
  <c r="N9" i="21"/>
  <c r="L11" i="21"/>
  <c r="O12" i="21"/>
  <c r="M14" i="21"/>
  <c r="K16" i="21"/>
  <c r="N17" i="21"/>
  <c r="L19" i="21"/>
  <c r="O20" i="21"/>
  <c r="M22" i="21"/>
  <c r="K24" i="21"/>
  <c r="N25" i="21"/>
  <c r="L27" i="21"/>
  <c r="O28" i="21"/>
  <c r="M30" i="21"/>
  <c r="K32" i="21"/>
  <c r="N33" i="21"/>
  <c r="L35" i="21"/>
  <c r="O36" i="21"/>
  <c r="M38" i="21"/>
  <c r="K40" i="21"/>
  <c r="N41" i="21"/>
  <c r="L43" i="21"/>
  <c r="O44" i="21"/>
  <c r="M46" i="21"/>
  <c r="K48" i="21"/>
  <c r="N49" i="21"/>
  <c r="L51" i="21"/>
  <c r="O52" i="21"/>
  <c r="M54" i="21"/>
  <c r="K56" i="21"/>
  <c r="N57" i="21"/>
  <c r="L59" i="21"/>
  <c r="O60" i="21"/>
  <c r="M62" i="21"/>
  <c r="S2" i="21"/>
  <c r="R10" i="21"/>
  <c r="R18" i="21"/>
  <c r="R26" i="21"/>
  <c r="R34" i="21"/>
  <c r="R42" i="21"/>
  <c r="R50" i="21"/>
  <c r="R58" i="21"/>
  <c r="R66" i="21"/>
  <c r="R74" i="21"/>
  <c r="R82" i="21"/>
  <c r="R90" i="21"/>
  <c r="R98" i="21"/>
  <c r="R106" i="21"/>
  <c r="R114" i="21"/>
  <c r="R122" i="21"/>
  <c r="R130" i="21"/>
  <c r="M3" i="21"/>
  <c r="K5" i="21"/>
  <c r="N6" i="21"/>
  <c r="L8" i="21"/>
  <c r="M11" i="21"/>
  <c r="K13" i="21"/>
  <c r="N14" i="21"/>
  <c r="L16" i="21"/>
  <c r="O17" i="21"/>
  <c r="M19" i="21"/>
  <c r="K21" i="21"/>
  <c r="N22" i="21"/>
  <c r="L24" i="21"/>
  <c r="O25" i="21"/>
  <c r="M27" i="21"/>
  <c r="K29" i="21"/>
  <c r="N30" i="21"/>
  <c r="L32" i="21"/>
  <c r="O33" i="21"/>
  <c r="M35" i="21"/>
  <c r="K37" i="21"/>
  <c r="N38" i="21"/>
  <c r="L40" i="21"/>
  <c r="O41" i="21"/>
  <c r="M43" i="21"/>
  <c r="K45" i="21"/>
  <c r="N46" i="21"/>
  <c r="L48" i="21"/>
  <c r="O49" i="21"/>
  <c r="M51" i="21"/>
  <c r="K53" i="21"/>
  <c r="N54" i="21"/>
  <c r="L56" i="21"/>
  <c r="O57" i="21"/>
  <c r="M59" i="21"/>
  <c r="K61" i="21"/>
  <c r="N62" i="21"/>
  <c r="R3" i="21"/>
  <c r="R11" i="21"/>
  <c r="R19" i="21"/>
  <c r="R27" i="21"/>
  <c r="R35" i="21"/>
  <c r="R43" i="21"/>
  <c r="R51" i="21"/>
  <c r="R59" i="21"/>
  <c r="R67" i="21"/>
  <c r="R75" i="21"/>
  <c r="R83" i="21"/>
  <c r="R91" i="21"/>
  <c r="R99" i="21"/>
  <c r="R107" i="21"/>
  <c r="R115" i="21"/>
  <c r="R123" i="21"/>
  <c r="R131" i="21"/>
  <c r="N3" i="21"/>
  <c r="L5" i="21"/>
  <c r="M8" i="21"/>
  <c r="K10" i="21"/>
  <c r="N11" i="21"/>
  <c r="L13" i="21"/>
  <c r="O14" i="21"/>
  <c r="M16" i="21"/>
  <c r="K18" i="21"/>
  <c r="N19" i="21"/>
  <c r="L21" i="21"/>
  <c r="O22" i="21"/>
  <c r="M24" i="21"/>
  <c r="K26" i="21"/>
  <c r="N27" i="21"/>
  <c r="L29" i="21"/>
  <c r="O30" i="21"/>
  <c r="M32" i="21"/>
  <c r="K34" i="21"/>
  <c r="N35" i="21"/>
  <c r="R4" i="21"/>
  <c r="R12" i="21"/>
  <c r="R20" i="21"/>
  <c r="R28" i="21"/>
  <c r="R36" i="21"/>
  <c r="R44" i="21"/>
  <c r="R52" i="21"/>
  <c r="R60" i="21"/>
  <c r="R68" i="21"/>
  <c r="R76" i="21"/>
  <c r="R84" i="21"/>
  <c r="R92" i="21"/>
  <c r="R100" i="21"/>
  <c r="R108" i="21"/>
  <c r="R116" i="21"/>
  <c r="R124" i="21"/>
  <c r="R132" i="21"/>
  <c r="M5" i="21"/>
  <c r="K7" i="21"/>
  <c r="N8" i="21"/>
  <c r="L10" i="21"/>
  <c r="M13" i="21"/>
  <c r="K15" i="21"/>
  <c r="N16" i="21"/>
  <c r="L18" i="21"/>
  <c r="O19" i="21"/>
  <c r="M21" i="21"/>
  <c r="K23" i="21"/>
  <c r="N24" i="21"/>
  <c r="L26" i="21"/>
  <c r="O27" i="21"/>
  <c r="M29" i="21"/>
  <c r="K31" i="21"/>
  <c r="N32" i="21"/>
  <c r="L34" i="21"/>
  <c r="R15" i="21"/>
  <c r="R79" i="21"/>
  <c r="M4" i="21"/>
  <c r="L9" i="21"/>
  <c r="N13" i="21"/>
  <c r="M17" i="21"/>
  <c r="K22" i="21"/>
  <c r="M26" i="21"/>
  <c r="L30" i="21"/>
  <c r="O34" i="21"/>
  <c r="N37" i="21"/>
  <c r="M40" i="21"/>
  <c r="O42" i="21"/>
  <c r="M45" i="21"/>
  <c r="O47" i="21"/>
  <c r="M50" i="21"/>
  <c r="L53" i="21"/>
  <c r="N55" i="21"/>
  <c r="L58" i="21"/>
  <c r="N60" i="21"/>
  <c r="K63" i="21"/>
  <c r="N64" i="21"/>
  <c r="L66" i="21"/>
  <c r="O67" i="21"/>
  <c r="M69" i="21"/>
  <c r="K71" i="21"/>
  <c r="N72" i="21"/>
  <c r="L74" i="21"/>
  <c r="O75" i="21"/>
  <c r="M77" i="21"/>
  <c r="K79" i="21"/>
  <c r="N80" i="21"/>
  <c r="L82" i="21"/>
  <c r="O83" i="21"/>
  <c r="M85" i="21"/>
  <c r="K87" i="21"/>
  <c r="N88" i="21"/>
  <c r="L90" i="21"/>
  <c r="O91" i="21"/>
  <c r="M93" i="21"/>
  <c r="K95" i="21"/>
  <c r="N96" i="21"/>
  <c r="L98" i="21"/>
  <c r="O99" i="21"/>
  <c r="M101" i="21"/>
  <c r="K103" i="21"/>
  <c r="N104" i="21"/>
  <c r="L106" i="21"/>
  <c r="O107" i="21"/>
  <c r="M109" i="21"/>
  <c r="K111" i="21"/>
  <c r="N112" i="21"/>
  <c r="L114" i="21"/>
  <c r="O115" i="21"/>
  <c r="M117" i="21"/>
  <c r="K119" i="21"/>
  <c r="N120" i="21"/>
  <c r="L122" i="21"/>
  <c r="O123" i="21"/>
  <c r="M125" i="21"/>
  <c r="K127" i="21"/>
  <c r="N128" i="21"/>
  <c r="L130" i="21"/>
  <c r="O131" i="21"/>
  <c r="M133" i="21"/>
  <c r="M2" i="21"/>
  <c r="R23" i="21"/>
  <c r="R87" i="21"/>
  <c r="N5" i="21"/>
  <c r="M9" i="21"/>
  <c r="K14" i="21"/>
  <c r="M18" i="21"/>
  <c r="L22" i="21"/>
  <c r="O26" i="21"/>
  <c r="L31" i="21"/>
  <c r="K35" i="21"/>
  <c r="K38" i="21"/>
  <c r="N40" i="21"/>
  <c r="K43" i="21"/>
  <c r="N45" i="21"/>
  <c r="M48" i="21"/>
  <c r="O50" i="21"/>
  <c r="M53" i="21"/>
  <c r="O55" i="21"/>
  <c r="M58" i="21"/>
  <c r="L61" i="21"/>
  <c r="L63" i="21"/>
  <c r="O64" i="21"/>
  <c r="M66" i="21"/>
  <c r="K68" i="21"/>
  <c r="N69" i="21"/>
  <c r="L71" i="21"/>
  <c r="O72" i="21"/>
  <c r="M74" i="21"/>
  <c r="K76" i="21"/>
  <c r="N77" i="21"/>
  <c r="L79" i="21"/>
  <c r="O80" i="21"/>
  <c r="M82" i="21"/>
  <c r="K84" i="21"/>
  <c r="N85" i="21"/>
  <c r="L87" i="21"/>
  <c r="O88" i="21"/>
  <c r="M90" i="21"/>
  <c r="K92" i="21"/>
  <c r="N93" i="21"/>
  <c r="L95" i="21"/>
  <c r="O96" i="21"/>
  <c r="M98" i="21"/>
  <c r="K100" i="21"/>
  <c r="N101" i="21"/>
  <c r="L103" i="21"/>
  <c r="O104" i="21"/>
  <c r="M106" i="21"/>
  <c r="K108" i="21"/>
  <c r="N109" i="21"/>
  <c r="L111" i="21"/>
  <c r="O112" i="21"/>
  <c r="M114" i="21"/>
  <c r="K116" i="21"/>
  <c r="N117" i="21"/>
  <c r="L119" i="21"/>
  <c r="O120" i="21"/>
  <c r="M122" i="21"/>
  <c r="K124" i="21"/>
  <c r="N125" i="21"/>
  <c r="L127" i="21"/>
  <c r="O128" i="21"/>
  <c r="M130" i="21"/>
  <c r="K132" i="21"/>
  <c r="N133" i="21"/>
  <c r="L2" i="21"/>
  <c r="R31" i="21"/>
  <c r="R95" i="21"/>
  <c r="K6" i="21"/>
  <c r="M10" i="21"/>
  <c r="L14" i="21"/>
  <c r="O18" i="21"/>
  <c r="L23" i="21"/>
  <c r="K27" i="21"/>
  <c r="N31" i="21"/>
  <c r="O35" i="21"/>
  <c r="L38" i="21"/>
  <c r="O40" i="21"/>
  <c r="N43" i="21"/>
  <c r="K46" i="21"/>
  <c r="N48" i="21"/>
  <c r="K51" i="21"/>
  <c r="N53" i="21"/>
  <c r="M56" i="21"/>
  <c r="O58" i="21"/>
  <c r="M61" i="21"/>
  <c r="M63" i="21"/>
  <c r="K65" i="21"/>
  <c r="N66" i="21"/>
  <c r="L68" i="21"/>
  <c r="O69" i="21"/>
  <c r="M71" i="21"/>
  <c r="K73" i="21"/>
  <c r="N74" i="21"/>
  <c r="L76" i="21"/>
  <c r="O77" i="21"/>
  <c r="M79" i="21"/>
  <c r="K81" i="21"/>
  <c r="N82" i="21"/>
  <c r="L84" i="21"/>
  <c r="O85" i="21"/>
  <c r="M87" i="21"/>
  <c r="K89" i="21"/>
  <c r="N90" i="21"/>
  <c r="L92" i="21"/>
  <c r="O93" i="21"/>
  <c r="M95" i="21"/>
  <c r="K97" i="21"/>
  <c r="N98" i="21"/>
  <c r="L100" i="21"/>
  <c r="O101" i="21"/>
  <c r="M103" i="21"/>
  <c r="K105" i="21"/>
  <c r="N106" i="21"/>
  <c r="L108" i="21"/>
  <c r="O109" i="21"/>
  <c r="M111" i="21"/>
  <c r="K113" i="21"/>
  <c r="N114" i="21"/>
  <c r="L116" i="21"/>
  <c r="O117" i="21"/>
  <c r="M119" i="21"/>
  <c r="K121" i="21"/>
  <c r="N122" i="21"/>
  <c r="L124" i="21"/>
  <c r="O125" i="21"/>
  <c r="M127" i="21"/>
  <c r="K129" i="21"/>
  <c r="N130" i="21"/>
  <c r="L132" i="21"/>
  <c r="O133" i="21"/>
  <c r="K2" i="21"/>
  <c r="R39" i="21"/>
  <c r="R103" i="21"/>
  <c r="L6" i="21"/>
  <c r="L15" i="21"/>
  <c r="K19" i="21"/>
  <c r="N23" i="21"/>
  <c r="K28" i="21"/>
  <c r="O31" i="21"/>
  <c r="K36" i="21"/>
  <c r="O38" i="21"/>
  <c r="L41" i="21"/>
  <c r="O43" i="21"/>
  <c r="L46" i="21"/>
  <c r="O48" i="21"/>
  <c r="N51" i="21"/>
  <c r="K54" i="21"/>
  <c r="N56" i="21"/>
  <c r="K59" i="21"/>
  <c r="N61" i="21"/>
  <c r="N63" i="21"/>
  <c r="L65" i="21"/>
  <c r="O66" i="21"/>
  <c r="M68" i="21"/>
  <c r="K70" i="21"/>
  <c r="N71" i="21"/>
  <c r="L73" i="21"/>
  <c r="O74" i="21"/>
  <c r="M76" i="21"/>
  <c r="K78" i="21"/>
  <c r="N79" i="21"/>
  <c r="L81" i="21"/>
  <c r="O82" i="21"/>
  <c r="M84" i="21"/>
  <c r="K86" i="21"/>
  <c r="N87" i="21"/>
  <c r="L89" i="21"/>
  <c r="O90" i="21"/>
  <c r="M92" i="21"/>
  <c r="K94" i="21"/>
  <c r="N95" i="21"/>
  <c r="L97" i="21"/>
  <c r="O98" i="21"/>
  <c r="M100" i="21"/>
  <c r="K102" i="21"/>
  <c r="N103" i="21"/>
  <c r="L105" i="21"/>
  <c r="O106" i="21"/>
  <c r="M108" i="21"/>
  <c r="K110" i="21"/>
  <c r="N111" i="21"/>
  <c r="L113" i="21"/>
  <c r="O114" i="21"/>
  <c r="M116" i="21"/>
  <c r="K118" i="21"/>
  <c r="N119" i="21"/>
  <c r="L121" i="21"/>
  <c r="O122" i="21"/>
  <c r="M124" i="21"/>
  <c r="K126" i="21"/>
  <c r="N127" i="21"/>
  <c r="L129" i="21"/>
  <c r="O130" i="21"/>
  <c r="M132" i="21"/>
  <c r="R2" i="21"/>
  <c r="R47" i="21"/>
  <c r="R111" i="21"/>
  <c r="L7" i="21"/>
  <c r="K11" i="21"/>
  <c r="N15" i="21"/>
  <c r="K20" i="21"/>
  <c r="O23" i="21"/>
  <c r="M28" i="21"/>
  <c r="O32" i="21"/>
  <c r="M36" i="21"/>
  <c r="K39" i="21"/>
  <c r="M41" i="21"/>
  <c r="K44" i="21"/>
  <c r="O46" i="21"/>
  <c r="L49" i="21"/>
  <c r="O51" i="21"/>
  <c r="L54" i="21"/>
  <c r="O56" i="21"/>
  <c r="N59" i="21"/>
  <c r="O61" i="21"/>
  <c r="O63" i="21"/>
  <c r="M65" i="21"/>
  <c r="K67" i="21"/>
  <c r="N68" i="21"/>
  <c r="L70" i="21"/>
  <c r="O71" i="21"/>
  <c r="M73" i="21"/>
  <c r="K75" i="21"/>
  <c r="N76" i="21"/>
  <c r="L78" i="21"/>
  <c r="O79" i="21"/>
  <c r="M81" i="21"/>
  <c r="K83" i="21"/>
  <c r="N84" i="21"/>
  <c r="L86" i="21"/>
  <c r="O87" i="21"/>
  <c r="M89" i="21"/>
  <c r="K91" i="21"/>
  <c r="N92" i="21"/>
  <c r="L94" i="21"/>
  <c r="O95" i="21"/>
  <c r="M97" i="21"/>
  <c r="K99" i="21"/>
  <c r="N100" i="21"/>
  <c r="L102" i="21"/>
  <c r="O103" i="21"/>
  <c r="M105" i="21"/>
  <c r="K107" i="21"/>
  <c r="N108" i="21"/>
  <c r="L110" i="21"/>
  <c r="O111" i="21"/>
  <c r="M113" i="21"/>
  <c r="K115" i="21"/>
  <c r="N116" i="21"/>
  <c r="L118" i="21"/>
  <c r="O119" i="21"/>
  <c r="M121" i="21"/>
  <c r="K123" i="21"/>
  <c r="N124" i="21"/>
  <c r="L126" i="21"/>
  <c r="O127" i="21"/>
  <c r="M129" i="21"/>
  <c r="K131" i="21"/>
  <c r="N132" i="21"/>
  <c r="N2" i="21"/>
  <c r="R55" i="21"/>
  <c r="R119" i="21"/>
  <c r="N7" i="21"/>
  <c r="K12" i="21"/>
  <c r="O15" i="21"/>
  <c r="M20" i="21"/>
  <c r="O24" i="21"/>
  <c r="N28" i="21"/>
  <c r="L33" i="21"/>
  <c r="N36" i="21"/>
  <c r="L39" i="21"/>
  <c r="K42" i="21"/>
  <c r="M44" i="21"/>
  <c r="K47" i="21"/>
  <c r="M49" i="21"/>
  <c r="K52" i="21"/>
  <c r="O54" i="21"/>
  <c r="L57" i="21"/>
  <c r="O59" i="21"/>
  <c r="K62" i="21"/>
  <c r="K64" i="21"/>
  <c r="N65" i="21"/>
  <c r="L67" i="21"/>
  <c r="O68" i="21"/>
  <c r="M70" i="21"/>
  <c r="K72" i="21"/>
  <c r="N73" i="21"/>
  <c r="L75" i="21"/>
  <c r="O76" i="21"/>
  <c r="M78" i="21"/>
  <c r="K80" i="21"/>
  <c r="N81" i="21"/>
  <c r="L83" i="21"/>
  <c r="O84" i="21"/>
  <c r="M86" i="21"/>
  <c r="K88" i="21"/>
  <c r="N89" i="21"/>
  <c r="L91" i="21"/>
  <c r="O92" i="21"/>
  <c r="M94" i="21"/>
  <c r="K96" i="21"/>
  <c r="N97" i="21"/>
  <c r="L99" i="21"/>
  <c r="O100" i="21"/>
  <c r="M102" i="21"/>
  <c r="K104" i="21"/>
  <c r="N105" i="21"/>
  <c r="L107" i="21"/>
  <c r="O108" i="21"/>
  <c r="M110" i="21"/>
  <c r="K112" i="21"/>
  <c r="N113" i="21"/>
  <c r="L115" i="21"/>
  <c r="O116" i="21"/>
  <c r="M118" i="21"/>
  <c r="K120" i="21"/>
  <c r="N121" i="21"/>
  <c r="L123" i="21"/>
  <c r="O124" i="21"/>
  <c r="M126" i="21"/>
  <c r="K128" i="21"/>
  <c r="N129" i="21"/>
  <c r="L131" i="21"/>
  <c r="O132" i="21"/>
  <c r="R7" i="21"/>
  <c r="R71" i="21"/>
  <c r="K4" i="21"/>
  <c r="N12" i="21"/>
  <c r="L17" i="21"/>
  <c r="N21" i="21"/>
  <c r="M25" i="21"/>
  <c r="K30" i="21"/>
  <c r="M34" i="21"/>
  <c r="M37" i="21"/>
  <c r="O39" i="21"/>
  <c r="M42" i="21"/>
  <c r="L45" i="21"/>
  <c r="N47" i="21"/>
  <c r="L50" i="21"/>
  <c r="N52" i="21"/>
  <c r="L55" i="21"/>
  <c r="K58" i="21"/>
  <c r="M60" i="21"/>
  <c r="O62" i="21"/>
  <c r="M64" i="21"/>
  <c r="K66" i="21"/>
  <c r="N67" i="21"/>
  <c r="L69" i="21"/>
  <c r="O70" i="21"/>
  <c r="M72" i="21"/>
  <c r="K74" i="21"/>
  <c r="N75" i="21"/>
  <c r="L77" i="21"/>
  <c r="O78" i="21"/>
  <c r="M80" i="21"/>
  <c r="K82" i="21"/>
  <c r="N83" i="21"/>
  <c r="L85" i="21"/>
  <c r="O86" i="21"/>
  <c r="M88" i="21"/>
  <c r="K90" i="21"/>
  <c r="N91" i="21"/>
  <c r="L93" i="21"/>
  <c r="O94" i="21"/>
  <c r="M96" i="21"/>
  <c r="K98" i="21"/>
  <c r="N99" i="21"/>
  <c r="L101" i="21"/>
  <c r="O102" i="21"/>
  <c r="M104" i="21"/>
  <c r="K106" i="21"/>
  <c r="N107" i="21"/>
  <c r="L109" i="21"/>
  <c r="O110" i="21"/>
  <c r="M112" i="21"/>
  <c r="K114" i="21"/>
  <c r="N115" i="21"/>
  <c r="L117" i="21"/>
  <c r="O118" i="21"/>
  <c r="M120" i="21"/>
  <c r="K122" i="21"/>
  <c r="N123" i="21"/>
  <c r="L125" i="21"/>
  <c r="O126" i="21"/>
  <c r="M128" i="21"/>
  <c r="K130" i="21"/>
  <c r="N131" i="21"/>
  <c r="L133" i="21"/>
  <c r="O16" i="21"/>
  <c r="N44" i="21"/>
  <c r="L64" i="21"/>
  <c r="K77" i="21"/>
  <c r="O89" i="21"/>
  <c r="N102" i="21"/>
  <c r="M115" i="21"/>
  <c r="L128" i="21"/>
  <c r="I8" i="21"/>
  <c r="I16" i="21"/>
  <c r="I24" i="21"/>
  <c r="I32" i="21"/>
  <c r="I40" i="21"/>
  <c r="I48" i="21"/>
  <c r="I56" i="21"/>
  <c r="I64" i="21"/>
  <c r="I72" i="21"/>
  <c r="I80" i="21"/>
  <c r="I88" i="21"/>
  <c r="I96" i="21"/>
  <c r="I104" i="21"/>
  <c r="I112" i="21"/>
  <c r="I120" i="21"/>
  <c r="I128" i="21"/>
  <c r="B3" i="21"/>
  <c r="A6" i="21"/>
  <c r="C8" i="21"/>
  <c r="B11" i="21"/>
  <c r="A14" i="21"/>
  <c r="C16" i="21"/>
  <c r="B19" i="21"/>
  <c r="A22" i="21"/>
  <c r="C24" i="21"/>
  <c r="B27" i="21"/>
  <c r="A30" i="21"/>
  <c r="C32" i="21"/>
  <c r="B35" i="21"/>
  <c r="A38" i="21"/>
  <c r="C40" i="21"/>
  <c r="B43" i="21"/>
  <c r="A46" i="21"/>
  <c r="C48" i="21"/>
  <c r="B51" i="21"/>
  <c r="A54" i="21"/>
  <c r="C56" i="21"/>
  <c r="B59" i="21"/>
  <c r="A62" i="21"/>
  <c r="C64" i="21"/>
  <c r="B67" i="21"/>
  <c r="A70" i="21"/>
  <c r="C72" i="21"/>
  <c r="B75" i="21"/>
  <c r="A78" i="21"/>
  <c r="C80" i="21"/>
  <c r="B83" i="21"/>
  <c r="A86" i="21"/>
  <c r="C88" i="21"/>
  <c r="B91" i="21"/>
  <c r="A94" i="21"/>
  <c r="C96" i="21"/>
  <c r="B99" i="21"/>
  <c r="A102" i="21"/>
  <c r="C104" i="21"/>
  <c r="B107" i="21"/>
  <c r="A110" i="21"/>
  <c r="C112" i="21"/>
  <c r="B115" i="21"/>
  <c r="A118" i="21"/>
  <c r="C120" i="21"/>
  <c r="B123" i="21"/>
  <c r="A126" i="21"/>
  <c r="N20" i="21"/>
  <c r="L47" i="21"/>
  <c r="O65" i="21"/>
  <c r="N78" i="21"/>
  <c r="M91" i="21"/>
  <c r="L104" i="21"/>
  <c r="K117" i="21"/>
  <c r="O129" i="21"/>
  <c r="I9" i="21"/>
  <c r="I17" i="21"/>
  <c r="I25" i="21"/>
  <c r="I33" i="21"/>
  <c r="I41" i="21"/>
  <c r="I49" i="21"/>
  <c r="I57" i="21"/>
  <c r="I65" i="21"/>
  <c r="I73" i="21"/>
  <c r="I81" i="21"/>
  <c r="I89" i="21"/>
  <c r="I97" i="21"/>
  <c r="I105" i="21"/>
  <c r="I113" i="21"/>
  <c r="I121" i="21"/>
  <c r="I129" i="21"/>
  <c r="C3" i="21"/>
  <c r="B6" i="21"/>
  <c r="A9" i="21"/>
  <c r="C11" i="21"/>
  <c r="B14" i="21"/>
  <c r="A17" i="21"/>
  <c r="C19" i="21"/>
  <c r="B22" i="21"/>
  <c r="A25" i="21"/>
  <c r="C27" i="21"/>
  <c r="B30" i="21"/>
  <c r="A33" i="21"/>
  <c r="C35" i="21"/>
  <c r="B38" i="21"/>
  <c r="A41" i="21"/>
  <c r="C43" i="21"/>
  <c r="B46" i="21"/>
  <c r="A49" i="21"/>
  <c r="L25" i="21"/>
  <c r="K50" i="21"/>
  <c r="M67" i="21"/>
  <c r="L80" i="21"/>
  <c r="K93" i="21"/>
  <c r="O105" i="21"/>
  <c r="N118" i="21"/>
  <c r="M131" i="21"/>
  <c r="I10" i="21"/>
  <c r="I18" i="21"/>
  <c r="I26" i="21"/>
  <c r="I34" i="21"/>
  <c r="I42" i="21"/>
  <c r="I50" i="21"/>
  <c r="I58" i="21"/>
  <c r="I66" i="21"/>
  <c r="I74" i="21"/>
  <c r="I82" i="21"/>
  <c r="I90" i="21"/>
  <c r="I98" i="21"/>
  <c r="I106" i="21"/>
  <c r="I114" i="21"/>
  <c r="I122" i="21"/>
  <c r="I130" i="21"/>
  <c r="A4" i="21"/>
  <c r="C6" i="21"/>
  <c r="B9" i="21"/>
  <c r="A12" i="21"/>
  <c r="C14" i="21"/>
  <c r="B17" i="21"/>
  <c r="A20" i="21"/>
  <c r="C22" i="21"/>
  <c r="B25" i="21"/>
  <c r="A28" i="21"/>
  <c r="C30" i="21"/>
  <c r="B33" i="21"/>
  <c r="A36" i="21"/>
  <c r="C38" i="21"/>
  <c r="B41" i="21"/>
  <c r="A44" i="21"/>
  <c r="C46" i="21"/>
  <c r="B49" i="21"/>
  <c r="A52" i="21"/>
  <c r="C54" i="21"/>
  <c r="B57" i="21"/>
  <c r="A60" i="21"/>
  <c r="C62" i="21"/>
  <c r="B65" i="21"/>
  <c r="A68" i="21"/>
  <c r="C70" i="21"/>
  <c r="B73" i="21"/>
  <c r="A76" i="21"/>
  <c r="C78" i="21"/>
  <c r="B81" i="21"/>
  <c r="A84" i="21"/>
  <c r="C86" i="21"/>
  <c r="B89" i="21"/>
  <c r="A92" i="21"/>
  <c r="C94" i="21"/>
  <c r="B97" i="21"/>
  <c r="A100" i="21"/>
  <c r="C102" i="21"/>
  <c r="B105" i="21"/>
  <c r="A108" i="21"/>
  <c r="C110" i="21"/>
  <c r="B113" i="21"/>
  <c r="A116" i="21"/>
  <c r="C118" i="21"/>
  <c r="B121" i="21"/>
  <c r="A124" i="21"/>
  <c r="C126" i="21"/>
  <c r="B129" i="21"/>
  <c r="A132" i="21"/>
  <c r="R63" i="21"/>
  <c r="N29" i="21"/>
  <c r="M52" i="21"/>
  <c r="K69" i="21"/>
  <c r="O81" i="21"/>
  <c r="N94" i="21"/>
  <c r="M107" i="21"/>
  <c r="L120" i="21"/>
  <c r="K133" i="21"/>
  <c r="I3" i="21"/>
  <c r="I11" i="21"/>
  <c r="I19" i="21"/>
  <c r="I27" i="21"/>
  <c r="I35" i="21"/>
  <c r="I43" i="21"/>
  <c r="I51" i="21"/>
  <c r="I59" i="21"/>
  <c r="I67" i="21"/>
  <c r="I75" i="21"/>
  <c r="I83" i="21"/>
  <c r="I91" i="21"/>
  <c r="I99" i="21"/>
  <c r="I107" i="21"/>
  <c r="I115" i="21"/>
  <c r="I123" i="21"/>
  <c r="I131" i="21"/>
  <c r="B4" i="21"/>
  <c r="A7" i="21"/>
  <c r="C9" i="21"/>
  <c r="B12" i="21"/>
  <c r="A15" i="21"/>
  <c r="C17" i="21"/>
  <c r="B20" i="21"/>
  <c r="A23" i="21"/>
  <c r="C25" i="21"/>
  <c r="B28" i="21"/>
  <c r="A31" i="21"/>
  <c r="C33" i="21"/>
  <c r="B36" i="21"/>
  <c r="A39" i="21"/>
  <c r="C41" i="21"/>
  <c r="B44" i="21"/>
  <c r="A47" i="21"/>
  <c r="C49" i="21"/>
  <c r="B52" i="21"/>
  <c r="A55" i="21"/>
  <c r="C57" i="21"/>
  <c r="B60" i="21"/>
  <c r="A63" i="21"/>
  <c r="C65" i="21"/>
  <c r="B68" i="21"/>
  <c r="A71" i="21"/>
  <c r="C73" i="21"/>
  <c r="B76" i="21"/>
  <c r="A79" i="21"/>
  <c r="C81" i="21"/>
  <c r="B84" i="21"/>
  <c r="A87" i="21"/>
  <c r="C89" i="21"/>
  <c r="B92" i="21"/>
  <c r="A95" i="21"/>
  <c r="C97" i="21"/>
  <c r="B100" i="21"/>
  <c r="A103" i="21"/>
  <c r="C105" i="21"/>
  <c r="B108" i="21"/>
  <c r="A111" i="21"/>
  <c r="C113" i="21"/>
  <c r="B116" i="21"/>
  <c r="A119" i="21"/>
  <c r="C121" i="21"/>
  <c r="B124" i="21"/>
  <c r="A127" i="21"/>
  <c r="C129" i="21"/>
  <c r="R127" i="21"/>
  <c r="M33" i="21"/>
  <c r="K55" i="21"/>
  <c r="N70" i="21"/>
  <c r="M83" i="21"/>
  <c r="L96" i="21"/>
  <c r="K109" i="21"/>
  <c r="O121" i="21"/>
  <c r="I4" i="21"/>
  <c r="I12" i="21"/>
  <c r="I20" i="21"/>
  <c r="I28" i="21"/>
  <c r="I36" i="21"/>
  <c r="I44" i="21"/>
  <c r="I52" i="21"/>
  <c r="I60" i="21"/>
  <c r="I68" i="21"/>
  <c r="I76" i="21"/>
  <c r="I84" i="21"/>
  <c r="I92" i="21"/>
  <c r="I100" i="21"/>
  <c r="I108" i="21"/>
  <c r="I116" i="21"/>
  <c r="I124" i="21"/>
  <c r="I132" i="21"/>
  <c r="C4" i="21"/>
  <c r="B7" i="21"/>
  <c r="A10" i="21"/>
  <c r="C12" i="21"/>
  <c r="B15" i="21"/>
  <c r="A18" i="21"/>
  <c r="C20" i="21"/>
  <c r="B23" i="21"/>
  <c r="A26" i="21"/>
  <c r="C28" i="21"/>
  <c r="B31" i="21"/>
  <c r="A34" i="21"/>
  <c r="C36" i="21"/>
  <c r="B39" i="21"/>
  <c r="A42" i="21"/>
  <c r="C44" i="21"/>
  <c r="B47" i="21"/>
  <c r="A50" i="21"/>
  <c r="C52" i="21"/>
  <c r="B55" i="21"/>
  <c r="A58" i="21"/>
  <c r="C60" i="21"/>
  <c r="B63" i="21"/>
  <c r="A66" i="21"/>
  <c r="C68" i="21"/>
  <c r="B71" i="21"/>
  <c r="A74" i="21"/>
  <c r="C76" i="21"/>
  <c r="B79" i="21"/>
  <c r="A82" i="21"/>
  <c r="C84" i="21"/>
  <c r="B87" i="21"/>
  <c r="A90" i="21"/>
  <c r="C92" i="21"/>
  <c r="B95" i="21"/>
  <c r="A98" i="21"/>
  <c r="C100" i="21"/>
  <c r="B103" i="21"/>
  <c r="A106" i="21"/>
  <c r="C108" i="21"/>
  <c r="B111" i="21"/>
  <c r="A114" i="21"/>
  <c r="C116" i="21"/>
  <c r="B119" i="21"/>
  <c r="A122" i="21"/>
  <c r="C124" i="21"/>
  <c r="B127" i="21"/>
  <c r="L37" i="21"/>
  <c r="M57" i="21"/>
  <c r="L72" i="21"/>
  <c r="K85" i="21"/>
  <c r="O97" i="21"/>
  <c r="N110" i="21"/>
  <c r="M123" i="21"/>
  <c r="I5" i="21"/>
  <c r="I13" i="21"/>
  <c r="I21" i="21"/>
  <c r="I29" i="21"/>
  <c r="I37" i="21"/>
  <c r="I45" i="21"/>
  <c r="I53" i="21"/>
  <c r="I61" i="21"/>
  <c r="I69" i="21"/>
  <c r="I77" i="21"/>
  <c r="I85" i="21"/>
  <c r="I93" i="21"/>
  <c r="I101" i="21"/>
  <c r="I109" i="21"/>
  <c r="I117" i="21"/>
  <c r="I125" i="21"/>
  <c r="I133" i="21"/>
  <c r="A5" i="21"/>
  <c r="C7" i="21"/>
  <c r="B10" i="21"/>
  <c r="A13" i="21"/>
  <c r="C15" i="21"/>
  <c r="B18" i="21"/>
  <c r="A21" i="21"/>
  <c r="C23" i="21"/>
  <c r="B26" i="21"/>
  <c r="A29" i="21"/>
  <c r="C31" i="21"/>
  <c r="B34" i="21"/>
  <c r="A37" i="21"/>
  <c r="C39" i="21"/>
  <c r="B42" i="21"/>
  <c r="A45" i="21"/>
  <c r="C47" i="21"/>
  <c r="B50" i="21"/>
  <c r="A53" i="21"/>
  <c r="C55" i="21"/>
  <c r="B58" i="21"/>
  <c r="A61" i="21"/>
  <c r="C63" i="21"/>
  <c r="B66" i="21"/>
  <c r="A69" i="21"/>
  <c r="C71" i="21"/>
  <c r="B74" i="21"/>
  <c r="A77" i="21"/>
  <c r="C79" i="21"/>
  <c r="B82" i="21"/>
  <c r="A85" i="21"/>
  <c r="C87" i="21"/>
  <c r="B90" i="21"/>
  <c r="A93" i="21"/>
  <c r="C95" i="21"/>
  <c r="B98" i="21"/>
  <c r="A101" i="21"/>
  <c r="C103" i="21"/>
  <c r="B106" i="21"/>
  <c r="A109" i="21"/>
  <c r="C111" i="21"/>
  <c r="N39" i="21"/>
  <c r="K60" i="21"/>
  <c r="O73" i="21"/>
  <c r="N86" i="21"/>
  <c r="M99" i="21"/>
  <c r="L112" i="21"/>
  <c r="K125" i="21"/>
  <c r="I6" i="21"/>
  <c r="I14" i="21"/>
  <c r="I22" i="21"/>
  <c r="I30" i="21"/>
  <c r="I38" i="21"/>
  <c r="I46" i="21"/>
  <c r="I54" i="21"/>
  <c r="I62" i="21"/>
  <c r="I70" i="21"/>
  <c r="I78" i="21"/>
  <c r="I86" i="21"/>
  <c r="I94" i="21"/>
  <c r="I102" i="21"/>
  <c r="I110" i="21"/>
  <c r="I118" i="21"/>
  <c r="I126" i="21"/>
  <c r="I2" i="21"/>
  <c r="B5" i="21"/>
  <c r="A8" i="21"/>
  <c r="C10" i="21"/>
  <c r="B13" i="21"/>
  <c r="A16" i="21"/>
  <c r="C18" i="21"/>
  <c r="B21" i="21"/>
  <c r="A24" i="21"/>
  <c r="C26" i="21"/>
  <c r="B29" i="21"/>
  <c r="A32" i="21"/>
  <c r="C34" i="21"/>
  <c r="B37" i="21"/>
  <c r="A40" i="21"/>
  <c r="C42" i="21"/>
  <c r="B45" i="21"/>
  <c r="A48" i="21"/>
  <c r="C50" i="21"/>
  <c r="B53" i="21"/>
  <c r="A56" i="21"/>
  <c r="C58" i="21"/>
  <c r="B61" i="21"/>
  <c r="A64" i="21"/>
  <c r="C66" i="21"/>
  <c r="B69" i="21"/>
  <c r="A72" i="21"/>
  <c r="C74" i="21"/>
  <c r="B77" i="21"/>
  <c r="A80" i="21"/>
  <c r="C82" i="21"/>
  <c r="B85" i="21"/>
  <c r="A88" i="21"/>
  <c r="C90" i="21"/>
  <c r="B93" i="21"/>
  <c r="A96" i="21"/>
  <c r="C98" i="21"/>
  <c r="B101" i="21"/>
  <c r="A104" i="21"/>
  <c r="C106" i="21"/>
  <c r="B109" i="21"/>
  <c r="A112" i="21"/>
  <c r="C114" i="21"/>
  <c r="B117" i="21"/>
  <c r="A120" i="21"/>
  <c r="C122" i="21"/>
  <c r="B125" i="21"/>
  <c r="A128" i="21"/>
  <c r="M12" i="21"/>
  <c r="I23" i="21"/>
  <c r="I87" i="21"/>
  <c r="B8" i="21"/>
  <c r="C29" i="21"/>
  <c r="A51" i="21"/>
  <c r="C61" i="21"/>
  <c r="B72" i="21"/>
  <c r="A83" i="21"/>
  <c r="C93" i="21"/>
  <c r="B104" i="21"/>
  <c r="B114" i="21"/>
  <c r="A121" i="21"/>
  <c r="B128" i="21"/>
  <c r="C131" i="21"/>
  <c r="C2" i="21"/>
  <c r="E10" i="21"/>
  <c r="E18" i="21"/>
  <c r="E26" i="21"/>
  <c r="E34" i="21"/>
  <c r="E42" i="21"/>
  <c r="E50" i="21"/>
  <c r="E58" i="21"/>
  <c r="E66" i="21"/>
  <c r="E74" i="21"/>
  <c r="E82" i="21"/>
  <c r="E90" i="21"/>
  <c r="E98" i="21"/>
  <c r="E106" i="21"/>
  <c r="E114" i="21"/>
  <c r="E122" i="21"/>
  <c r="E130" i="21"/>
  <c r="E123" i="21"/>
  <c r="I39" i="21"/>
  <c r="A35" i="21"/>
  <c r="A75" i="21"/>
  <c r="C115" i="21"/>
  <c r="E4" i="21"/>
  <c r="E44" i="21"/>
  <c r="E60" i="21"/>
  <c r="E100" i="21"/>
  <c r="E132" i="21"/>
  <c r="L42" i="21"/>
  <c r="I31" i="21"/>
  <c r="I95" i="21"/>
  <c r="A11" i="21"/>
  <c r="B32" i="21"/>
  <c r="C51" i="21"/>
  <c r="B62" i="21"/>
  <c r="A73" i="21"/>
  <c r="C83" i="21"/>
  <c r="B94" i="21"/>
  <c r="A105" i="21"/>
  <c r="A115" i="21"/>
  <c r="B122" i="21"/>
  <c r="C128" i="21"/>
  <c r="B132" i="21"/>
  <c r="E3" i="21"/>
  <c r="E11" i="21"/>
  <c r="E19" i="21"/>
  <c r="E27" i="21"/>
  <c r="E35" i="21"/>
  <c r="E43" i="21"/>
  <c r="E51" i="21"/>
  <c r="E59" i="21"/>
  <c r="E67" i="21"/>
  <c r="E75" i="21"/>
  <c r="E83" i="21"/>
  <c r="E91" i="21"/>
  <c r="E99" i="21"/>
  <c r="E107" i="21"/>
  <c r="E115" i="21"/>
  <c r="E131" i="21"/>
  <c r="C53" i="21"/>
  <c r="A107" i="21"/>
  <c r="C132" i="21"/>
  <c r="E28" i="21"/>
  <c r="E68" i="21"/>
  <c r="E116" i="21"/>
  <c r="L62" i="21"/>
  <c r="M75" i="21"/>
  <c r="I47" i="21"/>
  <c r="I111" i="21"/>
  <c r="B16" i="21"/>
  <c r="C37" i="21"/>
  <c r="B54" i="21"/>
  <c r="A65" i="21"/>
  <c r="C75" i="21"/>
  <c r="B86" i="21"/>
  <c r="A97" i="21"/>
  <c r="C107" i="21"/>
  <c r="A117" i="21"/>
  <c r="C123" i="21"/>
  <c r="A130" i="21"/>
  <c r="A133" i="21"/>
  <c r="E5" i="21"/>
  <c r="E13" i="21"/>
  <c r="E21" i="21"/>
  <c r="E29" i="21"/>
  <c r="E37" i="21"/>
  <c r="E45" i="21"/>
  <c r="E53" i="21"/>
  <c r="E61" i="21"/>
  <c r="E69" i="21"/>
  <c r="E77" i="21"/>
  <c r="E85" i="21"/>
  <c r="E93" i="21"/>
  <c r="E101" i="21"/>
  <c r="E109" i="21"/>
  <c r="E117" i="21"/>
  <c r="E125" i="21"/>
  <c r="E133" i="21"/>
  <c r="E102" i="21"/>
  <c r="E126" i="21"/>
  <c r="A2" i="21"/>
  <c r="E32" i="21"/>
  <c r="E64" i="21"/>
  <c r="E104" i="21"/>
  <c r="C127" i="21"/>
  <c r="E17" i="21"/>
  <c r="E49" i="21"/>
  <c r="E81" i="21"/>
  <c r="E113" i="21"/>
  <c r="C13" i="21"/>
  <c r="C85" i="21"/>
  <c r="A123" i="21"/>
  <c r="E12" i="21"/>
  <c r="E52" i="21"/>
  <c r="E76" i="21"/>
  <c r="E124" i="21"/>
  <c r="L88" i="21"/>
  <c r="I55" i="21"/>
  <c r="I119" i="21"/>
  <c r="A19" i="21"/>
  <c r="B40" i="21"/>
  <c r="B56" i="21"/>
  <c r="A67" i="21"/>
  <c r="C77" i="21"/>
  <c r="B88" i="21"/>
  <c r="A99" i="21"/>
  <c r="C109" i="21"/>
  <c r="C117" i="21"/>
  <c r="A125" i="21"/>
  <c r="B130" i="21"/>
  <c r="B133" i="21"/>
  <c r="E6" i="21"/>
  <c r="E14" i="21"/>
  <c r="E22" i="21"/>
  <c r="E30" i="21"/>
  <c r="E38" i="21"/>
  <c r="E46" i="21"/>
  <c r="E54" i="21"/>
  <c r="E62" i="21"/>
  <c r="E70" i="21"/>
  <c r="E78" i="21"/>
  <c r="E86" i="21"/>
  <c r="E94" i="21"/>
  <c r="E110" i="21"/>
  <c r="E118" i="21"/>
  <c r="E2" i="21"/>
  <c r="E24" i="21"/>
  <c r="E56" i="21"/>
  <c r="E88" i="21"/>
  <c r="E120" i="21"/>
  <c r="B131" i="21"/>
  <c r="E25" i="21"/>
  <c r="E57" i="21"/>
  <c r="E89" i="21"/>
  <c r="E121" i="21"/>
  <c r="I103" i="21"/>
  <c r="B96" i="21"/>
  <c r="A129" i="21"/>
  <c r="E36" i="21"/>
  <c r="E84" i="21"/>
  <c r="E108" i="21"/>
  <c r="K101" i="21"/>
  <c r="I63" i="21"/>
  <c r="I127" i="21"/>
  <c r="C21" i="21"/>
  <c r="A43" i="21"/>
  <c r="A57" i="21"/>
  <c r="C67" i="21"/>
  <c r="B78" i="21"/>
  <c r="A89" i="21"/>
  <c r="C99" i="21"/>
  <c r="B110" i="21"/>
  <c r="B118" i="21"/>
  <c r="C125" i="21"/>
  <c r="C130" i="21"/>
  <c r="C133" i="21"/>
  <c r="E7" i="21"/>
  <c r="E15" i="21"/>
  <c r="E23" i="21"/>
  <c r="E31" i="21"/>
  <c r="E39" i="21"/>
  <c r="E47" i="21"/>
  <c r="E55" i="21"/>
  <c r="E63" i="21"/>
  <c r="E71" i="21"/>
  <c r="E79" i="21"/>
  <c r="E87" i="21"/>
  <c r="E95" i="21"/>
  <c r="E103" i="21"/>
  <c r="E111" i="21"/>
  <c r="E119" i="21"/>
  <c r="E127" i="21"/>
  <c r="B112" i="21"/>
  <c r="A131" i="21"/>
  <c r="E16" i="21"/>
  <c r="E40" i="21"/>
  <c r="E72" i="21"/>
  <c r="E96" i="21"/>
  <c r="E128" i="21"/>
  <c r="E9" i="21"/>
  <c r="E41" i="21"/>
  <c r="E73" i="21"/>
  <c r="E105" i="21"/>
  <c r="E20" i="21"/>
  <c r="E92" i="21"/>
  <c r="O113" i="21"/>
  <c r="I7" i="21"/>
  <c r="I71" i="21"/>
  <c r="A3" i="21"/>
  <c r="B24" i="21"/>
  <c r="C45" i="21"/>
  <c r="A59" i="21"/>
  <c r="C69" i="21"/>
  <c r="B80" i="21"/>
  <c r="A91" i="21"/>
  <c r="C101" i="21"/>
  <c r="C119" i="21"/>
  <c r="B126" i="21"/>
  <c r="E8" i="21"/>
  <c r="E48" i="21"/>
  <c r="E80" i="21"/>
  <c r="E112" i="21"/>
  <c r="B2" i="21"/>
  <c r="E33" i="21"/>
  <c r="E65" i="21"/>
  <c r="E97" i="21"/>
  <c r="E129" i="21"/>
  <c r="N126" i="21"/>
  <c r="I15" i="21"/>
  <c r="I79" i="21"/>
  <c r="C5" i="21"/>
  <c r="A27" i="21"/>
  <c r="B48" i="21"/>
  <c r="C59" i="21"/>
  <c r="B70" i="21"/>
  <c r="A81" i="21"/>
  <c r="C91" i="21"/>
  <c r="B102" i="21"/>
  <c r="A113" i="21"/>
  <c r="B120" i="21"/>
  <c r="B64" i="21"/>
  <c r="K31" i="2"/>
  <c r="M33" i="6"/>
  <c r="N32" i="2"/>
  <c r="E11" i="6"/>
  <c r="Z10" i="2" s="1"/>
  <c r="Q32" i="2"/>
  <c r="C50" i="7"/>
  <c r="F157" i="15"/>
  <c r="F147" i="15"/>
  <c r="F120" i="15"/>
  <c r="F45" i="15"/>
  <c r="F85" i="14"/>
  <c r="F84" i="15"/>
  <c r="F126" i="14"/>
  <c r="F104" i="14"/>
  <c r="F20" i="14"/>
  <c r="F150" i="15"/>
  <c r="F66" i="15"/>
  <c r="F96" i="14"/>
  <c r="F76" i="14"/>
  <c r="F66" i="14"/>
  <c r="F13" i="14"/>
  <c r="F133" i="15"/>
  <c r="F97" i="15"/>
  <c r="F31" i="15"/>
  <c r="F109" i="14"/>
  <c r="F78" i="14"/>
  <c r="F69" i="15"/>
  <c r="F14" i="15"/>
  <c r="F89" i="15"/>
  <c r="F60" i="15"/>
  <c r="F16" i="15"/>
  <c r="F121" i="14"/>
  <c r="F60" i="14"/>
  <c r="F43" i="14"/>
  <c r="F7" i="14"/>
  <c r="F109" i="15"/>
  <c r="F91" i="15"/>
  <c r="F7" i="15"/>
  <c r="F139" i="14"/>
  <c r="F71" i="14"/>
  <c r="F54" i="14"/>
  <c r="F163" i="15"/>
  <c r="F73" i="15"/>
  <c r="F53" i="15"/>
  <c r="F133" i="14"/>
  <c r="F83" i="14"/>
  <c r="F28" i="14"/>
  <c r="F116" i="8"/>
  <c r="F84" i="8"/>
  <c r="F42" i="8"/>
  <c r="F84" i="9"/>
  <c r="F16" i="9"/>
  <c r="F82" i="8"/>
  <c r="F27" i="8"/>
  <c r="F136" i="9"/>
  <c r="F73" i="9"/>
  <c r="F14" i="9"/>
  <c r="F109" i="8"/>
  <c r="F77" i="8"/>
  <c r="F19" i="8"/>
  <c r="F134" i="9"/>
  <c r="F69" i="9"/>
  <c r="F7" i="9"/>
  <c r="B7" i="2"/>
  <c r="F75" i="8"/>
  <c r="F12" i="8"/>
  <c r="F120" i="9"/>
  <c r="F66" i="9"/>
  <c r="F107" i="8"/>
  <c r="F70" i="8"/>
  <c r="F6" i="8"/>
  <c r="F109" i="9"/>
  <c r="F60" i="9"/>
  <c r="F105" i="8"/>
  <c r="F65" i="8"/>
  <c r="F151" i="9"/>
  <c r="F97" i="9"/>
  <c r="F53" i="9"/>
  <c r="F103" i="8"/>
  <c r="F59" i="8"/>
  <c r="F145" i="9"/>
  <c r="F91" i="9"/>
  <c r="F45" i="9"/>
  <c r="F95" i="8"/>
  <c r="F53" i="8"/>
  <c r="F138" i="9"/>
  <c r="F89" i="9"/>
  <c r="F31" i="9"/>
  <c r="B168" i="12"/>
  <c r="B162" i="12"/>
  <c r="B174" i="12"/>
  <c r="B134" i="12"/>
  <c r="B6" i="12"/>
  <c r="B181" i="12"/>
  <c r="B21" i="12"/>
  <c r="B206" i="12"/>
  <c r="B163" i="12"/>
  <c r="B154" i="12"/>
  <c r="B124" i="12"/>
  <c r="B60" i="12"/>
  <c r="B267" i="12"/>
  <c r="B220" i="12"/>
  <c r="B139" i="12"/>
  <c r="B107" i="12"/>
  <c r="B99" i="12"/>
  <c r="B75" i="12"/>
  <c r="B219" i="12"/>
  <c r="B243" i="12"/>
  <c r="B114" i="12"/>
  <c r="B50" i="12"/>
  <c r="B194" i="12"/>
  <c r="B229" i="12"/>
  <c r="B195" i="12"/>
  <c r="B169" i="12"/>
  <c r="B193" i="12"/>
  <c r="B8" i="2"/>
  <c r="B16" i="2"/>
  <c r="B31" i="2"/>
  <c r="B3" i="2"/>
  <c r="B23" i="2"/>
  <c r="B9" i="2"/>
  <c r="B17" i="2"/>
  <c r="B24" i="2"/>
  <c r="B6" i="2"/>
  <c r="B30" i="2"/>
  <c r="B10" i="2"/>
  <c r="B18" i="2"/>
  <c r="B25" i="2"/>
  <c r="B15" i="2"/>
  <c r="B11" i="2"/>
  <c r="B19" i="2"/>
  <c r="B26" i="2"/>
  <c r="B12" i="2"/>
  <c r="B27" i="2"/>
  <c r="B13" i="2"/>
  <c r="B28" i="2"/>
  <c r="B20" i="2"/>
  <c r="B4" i="2"/>
  <c r="B21" i="2"/>
  <c r="B5" i="2"/>
  <c r="B14" i="2"/>
  <c r="B22" i="2"/>
  <c r="B29" i="2"/>
  <c r="M32" i="2"/>
  <c r="I7" i="14"/>
  <c r="I6" i="14" s="1"/>
  <c r="R32" i="2"/>
  <c r="I7" i="15"/>
  <c r="I6" i="15" s="1"/>
  <c r="I33" i="6"/>
  <c r="F35" i="6"/>
  <c r="G11" i="6"/>
  <c r="AB10" i="2" s="1"/>
  <c r="L10" i="2"/>
  <c r="G32" i="6"/>
  <c r="AB31" i="2" s="1"/>
  <c r="L31" i="2"/>
  <c r="E32" i="6"/>
  <c r="Z31" i="2" s="1"/>
  <c r="J31" i="2"/>
  <c r="D6" i="6"/>
  <c r="Y5" i="2" s="1"/>
  <c r="I5" i="2"/>
  <c r="E6" i="6"/>
  <c r="Z5" i="2" s="1"/>
  <c r="J5" i="2"/>
  <c r="D11" i="6"/>
  <c r="Y10" i="2" s="1"/>
  <c r="I10" i="2"/>
  <c r="F75" i="13" s="1"/>
  <c r="H33" i="6"/>
  <c r="D32" i="6"/>
  <c r="I31" i="2"/>
  <c r="F11" i="6"/>
  <c r="AA10" i="2" s="1"/>
  <c r="AA32" i="2" s="1"/>
  <c r="K10" i="2"/>
  <c r="Y33" i="6"/>
  <c r="J33" i="6"/>
  <c r="X33" i="6"/>
  <c r="G6" i="6"/>
  <c r="K33" i="6"/>
  <c r="K32" i="2" l="1"/>
  <c r="F200" i="13"/>
  <c r="F34" i="13"/>
  <c r="I32" i="2"/>
  <c r="J32" i="2"/>
  <c r="L32" i="2"/>
  <c r="Z32" i="2"/>
  <c r="E35" i="6"/>
  <c r="E33" i="6"/>
  <c r="E34" i="6" s="1"/>
  <c r="F33" i="6"/>
  <c r="D33" i="6"/>
  <c r="D34" i="6" s="1"/>
  <c r="G33" i="6"/>
  <c r="AB5" i="2"/>
  <c r="AB32" i="2" s="1"/>
  <c r="D35" i="6"/>
  <c r="Y31" i="2"/>
  <c r="Y32" i="2" s="1"/>
  <c r="G35" i="6"/>
  <c r="F6" i="13" l="1"/>
</calcChain>
</file>

<file path=xl/sharedStrings.xml><?xml version="1.0" encoding="utf-8"?>
<sst xmlns="http://schemas.openxmlformats.org/spreadsheetml/2006/main" count="19751" uniqueCount="3041">
  <si>
    <t>M 1.1</t>
  </si>
  <si>
    <t>M 1.2</t>
  </si>
  <si>
    <t>M 1.3</t>
  </si>
  <si>
    <t>M 1.4</t>
  </si>
  <si>
    <t>M 1.5</t>
  </si>
  <si>
    <t>M 1.6</t>
  </si>
  <si>
    <t>M 1.7</t>
  </si>
  <si>
    <t>M 1.8</t>
  </si>
  <si>
    <t>M 1.9</t>
  </si>
  <si>
    <t>M 1.10</t>
  </si>
  <si>
    <t>M 1.11</t>
  </si>
  <si>
    <t>M 1.12</t>
  </si>
  <si>
    <t>M 1.13</t>
  </si>
  <si>
    <t>M 1.14</t>
  </si>
  <si>
    <t>M 1.15</t>
  </si>
  <si>
    <t>M 1.16</t>
  </si>
  <si>
    <t>M 1.17</t>
  </si>
  <si>
    <t>PORT DE BXLS</t>
  </si>
  <si>
    <t>M 1.18</t>
  </si>
  <si>
    <t>M 1.19</t>
  </si>
  <si>
    <t>M 1.20</t>
  </si>
  <si>
    <t>M 1.21</t>
  </si>
  <si>
    <t>M 1.22</t>
  </si>
  <si>
    <t>SBGE</t>
  </si>
  <si>
    <t>M 1.23</t>
  </si>
  <si>
    <t>M 1.24</t>
  </si>
  <si>
    <t>M 1.25</t>
  </si>
  <si>
    <t>M 1.26</t>
  </si>
  <si>
    <t>Fiche #</t>
  </si>
  <si>
    <t>Description</t>
  </si>
  <si>
    <t>Axe</t>
  </si>
  <si>
    <t>OS</t>
  </si>
  <si>
    <t>OO</t>
  </si>
  <si>
    <t>Sécheresse</t>
  </si>
  <si>
    <t>GiEP</t>
  </si>
  <si>
    <t>Participation Citoyenne</t>
  </si>
  <si>
    <t>M 2.1</t>
  </si>
  <si>
    <t>M 2.2</t>
  </si>
  <si>
    <t>M 2.3</t>
  </si>
  <si>
    <t>M 2.4</t>
  </si>
  <si>
    <t>M 2.5</t>
  </si>
  <si>
    <t>VIVAQUA</t>
  </si>
  <si>
    <t>M 2.6</t>
  </si>
  <si>
    <t>M 2.7</t>
  </si>
  <si>
    <t>M 2.8</t>
  </si>
  <si>
    <t>M 2.9</t>
  </si>
  <si>
    <t>M 2.10</t>
  </si>
  <si>
    <t>M 2.11</t>
  </si>
  <si>
    <t>M 2.12</t>
  </si>
  <si>
    <t>M 2.13</t>
  </si>
  <si>
    <t>M 2.14</t>
  </si>
  <si>
    <t>M 2.15</t>
  </si>
  <si>
    <t>OS 1.1</t>
  </si>
  <si>
    <t>OO 1.1.1</t>
  </si>
  <si>
    <t>X</t>
  </si>
  <si>
    <t>OO 1.1.2</t>
  </si>
  <si>
    <t>OO 1.1.3</t>
  </si>
  <si>
    <t>OO 1.1.4</t>
  </si>
  <si>
    <t>OO 1.1.5</t>
  </si>
  <si>
    <t>OS 1.2</t>
  </si>
  <si>
    <t>OO 1.2.1</t>
  </si>
  <si>
    <t>M 3.1</t>
  </si>
  <si>
    <t>M 3.2</t>
  </si>
  <si>
    <t>M 3.3</t>
  </si>
  <si>
    <t>M 3.4</t>
  </si>
  <si>
    <t>M 3.5</t>
  </si>
  <si>
    <t>M 3.6</t>
  </si>
  <si>
    <t>M 3.7</t>
  </si>
  <si>
    <t>M 4.1</t>
  </si>
  <si>
    <t>M 4.2</t>
  </si>
  <si>
    <t>M 4.3</t>
  </si>
  <si>
    <t>M 4.4</t>
  </si>
  <si>
    <t>M 4.5</t>
  </si>
  <si>
    <t>M 4.6</t>
  </si>
  <si>
    <t>M 4.7</t>
  </si>
  <si>
    <t>M 4.8</t>
  </si>
  <si>
    <t>M 5.1</t>
  </si>
  <si>
    <t>M 5.2</t>
  </si>
  <si>
    <t>M 5.3</t>
  </si>
  <si>
    <t>M 5.4</t>
  </si>
  <si>
    <t>M 5.5</t>
  </si>
  <si>
    <t>M 5.6</t>
  </si>
  <si>
    <t>M 5.7</t>
  </si>
  <si>
    <t>M 5.8</t>
  </si>
  <si>
    <t>M 5.9</t>
  </si>
  <si>
    <t>M 5.10</t>
  </si>
  <si>
    <t>M 5.11</t>
  </si>
  <si>
    <t>SBGE
VIVAQUA</t>
  </si>
  <si>
    <t>M 5.12</t>
  </si>
  <si>
    <t>M 5.13</t>
  </si>
  <si>
    <t>M 5.14</t>
  </si>
  <si>
    <t>M 5.15</t>
  </si>
  <si>
    <t>M 5.16</t>
  </si>
  <si>
    <t>M 5.17</t>
  </si>
  <si>
    <t>M 5.18</t>
  </si>
  <si>
    <t>M 5.19</t>
  </si>
  <si>
    <t>M 5.20</t>
  </si>
  <si>
    <t>M 5.21</t>
  </si>
  <si>
    <t>M 5.22</t>
  </si>
  <si>
    <t>M 5.23</t>
  </si>
  <si>
    <t>M 5.24</t>
  </si>
  <si>
    <t>M 5.25</t>
  </si>
  <si>
    <t>M 5.26</t>
  </si>
  <si>
    <t>M 5.27</t>
  </si>
  <si>
    <t>BPS</t>
  </si>
  <si>
    <t>M 5.28</t>
  </si>
  <si>
    <t>M 5.29</t>
  </si>
  <si>
    <t>M 5.30</t>
  </si>
  <si>
    <t>OS 5.1</t>
  </si>
  <si>
    <t>OO 5.1.2</t>
  </si>
  <si>
    <t>M 6.1</t>
  </si>
  <si>
    <t>M 6.2</t>
  </si>
  <si>
    <t>M 6.3</t>
  </si>
  <si>
    <t>M 6.4</t>
  </si>
  <si>
    <t>M 6.5</t>
  </si>
  <si>
    <t>M 6.6</t>
  </si>
  <si>
    <t>M 6.7</t>
  </si>
  <si>
    <t>M 6.8</t>
  </si>
  <si>
    <t>M 6.9</t>
  </si>
  <si>
    <t>M 6.10</t>
  </si>
  <si>
    <t>M 6.11</t>
  </si>
  <si>
    <t>M 6.12</t>
  </si>
  <si>
    <t>M 7.1</t>
  </si>
  <si>
    <t>M 7.2</t>
  </si>
  <si>
    <t>M 7.3</t>
  </si>
  <si>
    <t>M 7.4</t>
  </si>
  <si>
    <t>M 7.5</t>
  </si>
  <si>
    <t>M 7.6</t>
  </si>
  <si>
    <t>M 7.7</t>
  </si>
  <si>
    <t>M 7.8</t>
  </si>
  <si>
    <t>M 7.9</t>
  </si>
  <si>
    <t>M 7.10</t>
  </si>
  <si>
    <t>M 7.11</t>
  </si>
  <si>
    <t>M 7.12</t>
  </si>
  <si>
    <t>M 8.1</t>
  </si>
  <si>
    <t>M 8.2</t>
  </si>
  <si>
    <t>M 8.3</t>
  </si>
  <si>
    <t>M 8.4</t>
  </si>
  <si>
    <t>AQUABRU</t>
  </si>
  <si>
    <t>M 8.5</t>
  </si>
  <si>
    <t>OS 2.1</t>
  </si>
  <si>
    <t>OO 2.1.1</t>
  </si>
  <si>
    <t>OO 2.1.2</t>
  </si>
  <si>
    <t>OO 2.1.3</t>
  </si>
  <si>
    <t>OO 2.1.4</t>
  </si>
  <si>
    <t>OS 2.2</t>
  </si>
  <si>
    <t>OO 2.2.1</t>
  </si>
  <si>
    <t>OO 2.2.2</t>
  </si>
  <si>
    <t>OS 3.1</t>
  </si>
  <si>
    <t>OO 3.1.1</t>
  </si>
  <si>
    <t>OO 3.1.2</t>
  </si>
  <si>
    <t>OO 3.1.3</t>
  </si>
  <si>
    <t>OO 3.1.4</t>
  </si>
  <si>
    <t>OO 3.1.5</t>
  </si>
  <si>
    <t>OS 3.2</t>
  </si>
  <si>
    <t>-</t>
  </si>
  <si>
    <t>OS 4.1</t>
  </si>
  <si>
    <t>OS 4.2</t>
  </si>
  <si>
    <t>OO 5.1.1</t>
  </si>
  <si>
    <t>OS 5.2</t>
  </si>
  <si>
    <t>OO 5.2.1</t>
  </si>
  <si>
    <t>OO 5.2.2</t>
  </si>
  <si>
    <t>OO 5.2.3</t>
  </si>
  <si>
    <t>OS 5.3</t>
  </si>
  <si>
    <t>OO 5.3.1</t>
  </si>
  <si>
    <t>OS 5.4</t>
  </si>
  <si>
    <t>OO 5.4.1</t>
  </si>
  <si>
    <t>OO 5.4.2</t>
  </si>
  <si>
    <t>OS 5.5</t>
  </si>
  <si>
    <t>OS 5.6</t>
  </si>
  <si>
    <t>OO 5.6.2</t>
  </si>
  <si>
    <t>OO 5.6.1</t>
  </si>
  <si>
    <t>OS 6.1</t>
  </si>
  <si>
    <t>OO 6.1.1</t>
  </si>
  <si>
    <t>OO 6.1.2</t>
  </si>
  <si>
    <t>OO 6.1.3</t>
  </si>
  <si>
    <t>OS 6.2</t>
  </si>
  <si>
    <t>OS 7.1</t>
  </si>
  <si>
    <t>OO  7.1.1</t>
  </si>
  <si>
    <t>OO  7.1.2</t>
  </si>
  <si>
    <t>OS 7.2</t>
  </si>
  <si>
    <t>OS 7.3</t>
  </si>
  <si>
    <t>OO 7.3.1</t>
  </si>
  <si>
    <t>OO 7.3.2</t>
  </si>
  <si>
    <t>OS 8.1</t>
  </si>
  <si>
    <t>OS 8.2</t>
  </si>
  <si>
    <t xml:space="preserve">Interdire les rejets directs de polluants dans les masses d’eau souterraine notamment pour l'ammonium et renforcer les contrôles </t>
  </si>
  <si>
    <t>PGE3_Axe1_FP_M1.1</t>
  </si>
  <si>
    <t>PGE3_Axe1_FP_M1.2</t>
  </si>
  <si>
    <t>PGE3_Axe1_FP_M1.3</t>
  </si>
  <si>
    <t>PGE3_Axe1_FP_M1.4</t>
  </si>
  <si>
    <t>PGE3_Axe1_FP_M1.5</t>
  </si>
  <si>
    <t>PGE3_Axe1_FP_M1.6</t>
  </si>
  <si>
    <t>PGE3_Axe1_FP_M1.7</t>
  </si>
  <si>
    <t>PGE3_Axe1_FP_M1.8</t>
  </si>
  <si>
    <t>PGE3_Axe1_FP_M1.9</t>
  </si>
  <si>
    <t>PGE3_Axe1_FP_M1.10</t>
  </si>
  <si>
    <t>PGE3_Axe1_FP_M1.11</t>
  </si>
  <si>
    <t>PGE3_Axe1_FP_M1.12</t>
  </si>
  <si>
    <t>PGE3_Axe1_FP_M1.13</t>
  </si>
  <si>
    <t>PGE3_Axe1_FP_M1.14</t>
  </si>
  <si>
    <t>PGE3_Axe1_FP_M1.15</t>
  </si>
  <si>
    <t>PGE3_Axe1_FP_M1.16</t>
  </si>
  <si>
    <t>PGE3_Axe1_FP_M1.17</t>
  </si>
  <si>
    <t>PGE3_Axe1_FP_M1.18</t>
  </si>
  <si>
    <t>PGE3_Axe1_FP_M1.19</t>
  </si>
  <si>
    <t>PGE3_Axe1_FP_M1.20</t>
  </si>
  <si>
    <t>PGE3_Axe1_FP_M1.21</t>
  </si>
  <si>
    <t>PGE3_Axe1_FP_M1.22</t>
  </si>
  <si>
    <t>PGE3_Axe1_FP_M1.24</t>
  </si>
  <si>
    <t>PGE3_Axe1_FP_M1.25</t>
  </si>
  <si>
    <t>PGE3_Axe1_FP_M1.26</t>
  </si>
  <si>
    <t>Gérer les autorisations de captages et en assurer les contrôles</t>
  </si>
  <si>
    <t>Minimiser l'impact des infrastructures souterraines sur l'écoulement des nappes phréatiques</t>
  </si>
  <si>
    <t xml:space="preserve">Approfondir l’analyse de la problématique des nitrates d’origine agricole et assimilés, mettre en œuvre les mesures d’atténuation nécessaires et sensibiliser à une bonne pratique agricole et maraichère </t>
  </si>
  <si>
    <t xml:space="preserve">Rénover et étendre le réseau d'assainissement afin de réduire les concentrations en nitrates d’origine non agricole </t>
  </si>
  <si>
    <t>Améliorer l'état des connaissances des masses d'eau souterraine et poursuivre l’identification des pressions anthropiques</t>
  </si>
  <si>
    <t xml:space="preserve"> Identifier les opportunités de connexion au réseau hydrographique des eaux claires actuellement perdues par temps sec dans le réseau d’égouttage et définir un débit minimum écologique et une hauteur d'eau minimale pour les masses d'eau</t>
  </si>
  <si>
    <t>Assurer la gestion des pollutions transfrontalières</t>
  </si>
  <si>
    <t xml:space="preserve"> Sensibiliser les Bruxellois.e.s à l’assainissement des eaux usées.</t>
  </si>
  <si>
    <t>Assurer et développer le réseau de monitoring qualitatif et quantitatif en continu FlowBru</t>
  </si>
  <si>
    <t>Assurer la surveillance de la qualité de colonne d’eau, des sédiments, du biote, de la biologie et de l’hydromorphologie</t>
  </si>
  <si>
    <t xml:space="preserve">Actualiser les objectifs de qualité des eaux de surface dans l’arrêté NQE </t>
  </si>
  <si>
    <t xml:space="preserve">Lutter contre les décharges de matériaux dans le Canal et poursuivre le dragage et l'élimination des sédiments pollués </t>
  </si>
  <si>
    <t xml:space="preserve"> Diminuer les sources de matières en suspension vers le canal par l’optimisation de la dérivation d’Aa</t>
  </si>
  <si>
    <t xml:space="preserve"> Réaliser le curage sur les derniers tronçons du réseau hydrographique pour enlever la pollution «historique »</t>
  </si>
  <si>
    <t>Assurer un contrôle réglementaire sur le respect des normes de rejet en eaux de surface et en égout</t>
  </si>
  <si>
    <t xml:space="preserve"> Améliorer le rendement épuratoire des stations d'épuration</t>
  </si>
  <si>
    <t>Assurer la gestion des déchets flottants dans les masses d'eau, en particulier après les épisodes de déversement</t>
  </si>
  <si>
    <t xml:space="preserve"> Réaliser les raccordements manquants entre le réseau d’égouttage et les collecteurs</t>
  </si>
  <si>
    <t>Mettre en place un système de régulation des débits circulant dans le réseau d’assainissement pour réduire la fréquence des déversements au niveau des déversoirs d’orage et assurer un meilleur traitement des eaux usées</t>
  </si>
  <si>
    <t>Réaliser l'état de l'art des déversoirs d'orages actuels et optimaliser leur conception pour réduire le transfert de polluants vers les masses d’eau de surface</t>
  </si>
  <si>
    <t xml:space="preserve"> Gérer les rejets non raccordables aux stations d'épuration collectives</t>
  </si>
  <si>
    <t xml:space="preserve">Assurer le raccordement effectif des points de rejet d’eaux usées domestiques et non domestiques vers le réseau d’égouttage </t>
  </si>
  <si>
    <t xml:space="preserve"> Inventorier les rejets directs dans une base de données dynamique </t>
  </si>
  <si>
    <t>Lutter contre les espèces invasives qui portent atteinte ou présentent un risque pour le bon potentiel écologique des masses d'eau de surface</t>
  </si>
  <si>
    <t>Supprimer les obstacles à la libre circulation des poissons</t>
  </si>
  <si>
    <t>Améliorer la qualité des berges et des lits du réseau hydrographique, créer des méandres et aménager des zones propices au développement de la faune et de la flore aquatiques</t>
  </si>
  <si>
    <t xml:space="preserve">Remettre à ciel ouvert le réseau hydrographique </t>
  </si>
  <si>
    <t>Assurer la surveillance qualitative et quantitative des zones de protection de captage et identifier leurs sources potentielles de pollution</t>
  </si>
  <si>
    <t xml:space="preserve">Elaborer et mettre en œuvre un programme spécifique de protection des captages </t>
  </si>
  <si>
    <t>Assurer le traitement des eaux résiduaires urbaines conformément à la directive 91/271/CEE</t>
  </si>
  <si>
    <t xml:space="preserve">S’assurer du respect du principe de récupération des coûts liés aux services de l'eau tout en maintenant des tarifs socialement abordables </t>
  </si>
  <si>
    <t>Evaluer les coûts environnementaux et pour la ressource des services liés à l’utilisation de l'eau et étudier l'opportunité de les intégrer dans le prix de l’eau</t>
  </si>
  <si>
    <t>Evaluer le mode de facturation du coût du service d'assainissement auprès des entreprises</t>
  </si>
  <si>
    <t>Mettre en place et assurer le suivi de mesures préventives permettant de lutter contre la précarité hydrique</t>
  </si>
  <si>
    <t>Evaluer et adapter le mécanisme d'utilisation du Fonds Social Eau</t>
  </si>
  <si>
    <t>Evaluer la mise en place des mesures sociales visant à lutter contre la précarité hydrique</t>
  </si>
  <si>
    <t>PGE3_Axe2_FP_M2.1</t>
  </si>
  <si>
    <t>PGE3_Axe2_FP_M2.2</t>
  </si>
  <si>
    <t>PGE3_Axe2_FP_M2.3</t>
  </si>
  <si>
    <t>PGE3_Axe2_FP_M2.4</t>
  </si>
  <si>
    <t>PGE3_Axe2_FP_M2.5</t>
  </si>
  <si>
    <t>PGE3_Axe2_FP_M2.6</t>
  </si>
  <si>
    <t>PGE3_Axe2_FP_M2.7</t>
  </si>
  <si>
    <t>PGE3_Axe2_FP_M2.8</t>
  </si>
  <si>
    <t>PGE3_Axe2_FP_M2.9</t>
  </si>
  <si>
    <t>PGE3_Axe2_FP_M2.10</t>
  </si>
  <si>
    <t>PGE3_Axe2_FP_M2.11</t>
  </si>
  <si>
    <t>PGE3_Axe2_FP_M2.12</t>
  </si>
  <si>
    <t>PGE3_Axe2_FP_M2.13</t>
  </si>
  <si>
    <t>PGE3_Axe2_FP_M2.14</t>
  </si>
  <si>
    <t>PGE3_Axe2_FP_M2.15</t>
  </si>
  <si>
    <t>PGE3_Axe3_FP_M3.1</t>
  </si>
  <si>
    <t>PGE3_Axe3_FP_M3.2</t>
  </si>
  <si>
    <t>PGE3_Axe3_FP_M3.3</t>
  </si>
  <si>
    <t>PGE3_Axe3_FP_M3.4</t>
  </si>
  <si>
    <t>PGE3_Axe3_FP_M3.5</t>
  </si>
  <si>
    <t>PGE3_Axe3_FP_M3.6</t>
  </si>
  <si>
    <t>PGE3_Axe3_FP_M3.7</t>
  </si>
  <si>
    <t>PGE3_Axe4_FP_M4.1</t>
  </si>
  <si>
    <t>PGE3_Axe4_FP_M4.2</t>
  </si>
  <si>
    <t>PGE3_Axe4_FP_M4.3</t>
  </si>
  <si>
    <t>PGE3_Axe4_FP_M4.4</t>
  </si>
  <si>
    <t>PGE3_Axe4_FP_M4.5</t>
  </si>
  <si>
    <t>PGE3_Axe4_FP_M4.6</t>
  </si>
  <si>
    <t>PGE3_Axe4_FP_M4.7</t>
  </si>
  <si>
    <t>PGE3_Axe4_FP_M4.8</t>
  </si>
  <si>
    <t>Intégrer la GiEP dans les outils de l’aménagement du territoire</t>
  </si>
  <si>
    <t>Inventorier et mettre en place un système de contrôle  des performances des aménagements GiEP</t>
  </si>
  <si>
    <t>Assurer la temporisation des eaux pluviales ainsi que leur valorisation optimale en cas de contraintes menant à leurs rejets hors de la parcelle</t>
  </si>
  <si>
    <t>Etablir une carte des zones inondables répondant aux critères de l'arrêté royal du 12 octobre 2005</t>
  </si>
  <si>
    <t xml:space="preserve">Mettre en place une gestion raisonnée de l’eau dans les espaces verts régionaux et communaux </t>
  </si>
  <si>
    <t>PGE3_Axe5_FP_M5.1</t>
  </si>
  <si>
    <t>PGE3_Axe5_FP_M5.2</t>
  </si>
  <si>
    <t>PGE3_Axe5_FP_M5.3</t>
  </si>
  <si>
    <t>PGE3_Axe5_FP_M5.4</t>
  </si>
  <si>
    <t>PGE3_Axe5_FP_M5.5</t>
  </si>
  <si>
    <t>PGE3_Axe5_FP_M5.6</t>
  </si>
  <si>
    <t>PGE3_Axe5_FP_M5.7</t>
  </si>
  <si>
    <t>PGE3_Axe5_FP_M5.8</t>
  </si>
  <si>
    <t>PGE3_Axe5_FP_M5.9</t>
  </si>
  <si>
    <t>PGE3_Axe5_FP_M5.10</t>
  </si>
  <si>
    <t>PGE3_Axe5_FP_M5.11</t>
  </si>
  <si>
    <t>PGE3_Axe5_FP_M5.12</t>
  </si>
  <si>
    <t>PGE3_Axe5_FP_M5.13</t>
  </si>
  <si>
    <t>PGE3_Axe5_FP_M5.14</t>
  </si>
  <si>
    <t>PGE3_Axe5_FP_M5.15</t>
  </si>
  <si>
    <t>PGE3_Axe5_FP_M5.16</t>
  </si>
  <si>
    <t>PGE3_Axe5_FP_M5.17</t>
  </si>
  <si>
    <t>PGE3_Axe5_FP_M5.18</t>
  </si>
  <si>
    <t>PGE3_Axe5_FP_M5.19</t>
  </si>
  <si>
    <t>PGE3_Axe5_FP_M5.20</t>
  </si>
  <si>
    <t>PGE3_Axe5_FP_M5.21</t>
  </si>
  <si>
    <t>PGE3_Axe5_FP_M5.22</t>
  </si>
  <si>
    <t>PGE3_Axe5_FP_M5.23</t>
  </si>
  <si>
    <t>PGE3_Axe5_FP_M5.24</t>
  </si>
  <si>
    <t>PGE3_Axe5_FP_M5.25</t>
  </si>
  <si>
    <t>PGE3_Axe5_FP_M5.26</t>
  </si>
  <si>
    <t>PGE3_Axe5_FP_M5.27</t>
  </si>
  <si>
    <t>PGE3_Axe5_FP_M5.28</t>
  </si>
  <si>
    <t>PGE3_Axe5_FP_M5.29</t>
  </si>
  <si>
    <t>PGE3_Axe5_FP_M5.30</t>
  </si>
  <si>
    <t xml:space="preserve">Analyser les possibilités de stockage dans les aquifères profonds lors de la période de recharge des nappes afin d’augmenter la disponibilité en eau brute </t>
  </si>
  <si>
    <t>Elaborer un plan de gestion des cours d’eau par sous-bassin versant</t>
  </si>
  <si>
    <t xml:space="preserve">Etablir un plan de gestion spécifique pour les étangs régionaux </t>
  </si>
  <si>
    <t>Assurer le contrôle de la législation en vigueur en matière de protection du réseau hydrographique</t>
  </si>
  <si>
    <t xml:space="preserve">Développer des promenades en lien avec le patrimoine naturel et culturel lié à l’eau </t>
  </si>
  <si>
    <t>Encadrer la pratique de la baignade dans un étang régional</t>
  </si>
  <si>
    <t>Réglementer et contrôler la pratique de la pêche en Région de Bruxelles-Capitale</t>
  </si>
  <si>
    <t>Mettre en place et entretenir des jeux d’eau dans les plaines de jeu régionales et communales</t>
  </si>
  <si>
    <t>Encadrer les activités nautiques et récréatives sur et aux abords du Canal</t>
  </si>
  <si>
    <t>Actualiser l’Atlas des cours d’eau non navigables et en assurer la diffusion</t>
  </si>
  <si>
    <t>PGE3_Axe6_FP_M6.1</t>
  </si>
  <si>
    <t>PGE3_Axe6_FP_M6.2</t>
  </si>
  <si>
    <t>PGE3_Axe6_FP_M6.3</t>
  </si>
  <si>
    <t>PGE3_Axe6_FP_M6.4</t>
  </si>
  <si>
    <t>PGE3_Axe6_FP_M6.5</t>
  </si>
  <si>
    <t>PGE3_Axe6_FP_M6.6</t>
  </si>
  <si>
    <t>PGE3_Axe6_FP_M6.7</t>
  </si>
  <si>
    <t>PGE3_Axe6_FP_M6.8</t>
  </si>
  <si>
    <t>PGE3_Axe6_FP_M6.9</t>
  </si>
  <si>
    <t>PGE3_Axe6_FP_M6.10</t>
  </si>
  <si>
    <t>PGE3_Axe6_FP_M6.11</t>
  </si>
  <si>
    <t>PGE3_Axe6_FP_M6.12</t>
  </si>
  <si>
    <t>PGE3_Axe7_FP_M7.1</t>
  </si>
  <si>
    <t>PGE3_Axe7_FP_M7.2</t>
  </si>
  <si>
    <t>PGE3_Axe7_FP_M7.3</t>
  </si>
  <si>
    <t>PGE3_Axe7_FP_M7.4</t>
  </si>
  <si>
    <t>PGE3_Axe7_FP_M7.5</t>
  </si>
  <si>
    <t>PGE3_Axe7_FP_M7.6</t>
  </si>
  <si>
    <t>PGE3_Axe7_FP_M7.7</t>
  </si>
  <si>
    <t>PGE3_Axe7_FP_M7.8</t>
  </si>
  <si>
    <t>PGE3_Axe7_FP_M7.9</t>
  </si>
  <si>
    <t>PGE3_Axe7_FP_M7.10</t>
  </si>
  <si>
    <t>PGE3_Axe7_FP_M7.11</t>
  </si>
  <si>
    <t>PGE3_Axe7_FP_M7.12</t>
  </si>
  <si>
    <t>PGE3_Axe8_FP_M8.1</t>
  </si>
  <si>
    <t>PGE3_Axe8_FP_M8.2</t>
  </si>
  <si>
    <t>PGE3_Axe8_FP_M8.3</t>
  </si>
  <si>
    <t>PGE3_Axe8_FP_M8.4</t>
  </si>
  <si>
    <t>PGE3_Axe8_FP_M8.5</t>
  </si>
  <si>
    <t>Promouvoir, auprès des ménages, les comportements et équipements économes en eau ainsi que le recours à un approvisionnement en eau alternatif</t>
  </si>
  <si>
    <t>Mettre en place un audit portant sur l’utilisation rationnelle de l’ eau dans les bâtiments du secteur tertiaire</t>
  </si>
  <si>
    <t>Encadrer et développer la réutilisation d'eaux de « deuxième circuit »  ("re-use")</t>
  </si>
  <si>
    <t>Encadrer et réglementer l’usage des eaux provenant de sources</t>
  </si>
  <si>
    <t>Adapter le cadre juridico-technique relatif aux systèmes géothermiques</t>
  </si>
  <si>
    <t>Assurer une coordination interrégionale pour la gestion des masses d'eau transrégionales</t>
  </si>
  <si>
    <t xml:space="preserve">Assurer une gestion de l’eau cohérente et coordonnée au sein de la Région de Bruxelles-Capitale  (coordination intrarégionale) </t>
  </si>
  <si>
    <t>Encourager la participation d'acteurs bruxellois de l'eau aux associations européennes de l'eau</t>
  </si>
  <si>
    <t>Mettre en œuvre la GiEP dans l'espace public et privé, ainsi que les autres mesures de résilience climatique liées à la gestion de l’eau</t>
  </si>
  <si>
    <t>Poursuivre et améliorer la surveillance quantitative pour caractériser l'état des masses d'eau</t>
  </si>
  <si>
    <t>Modéliser la géologie et l'hydrogéologie du sous-sol bruxellois</t>
  </si>
  <si>
    <t>Développer une stratégie de gestion des captages d’eau souterraine</t>
  </si>
  <si>
    <t>Veiller au drainage des nappes à l'occasion des travaux de rénovation du réseau d'assainissement public</t>
  </si>
  <si>
    <t>Assurer le bon potentiel écologique des étangs régionaux afin de leur permettre d’atteindre leurs objectifs et d’exprimer pleinement et durablement leurs services écosystémiques</t>
  </si>
  <si>
    <t xml:space="preserve">Garantir un accès à l’eau potable et à des services sanitaires pour tous dans l’espace et les bâtiments publics </t>
  </si>
  <si>
    <t>Accompagner les acteurs dans le développement des compétences</t>
  </si>
  <si>
    <t>Délester la Senne  en cas de crue pour protéger le centre-ville</t>
  </si>
  <si>
    <t xml:space="preserve">Poursuivre le programme d’entretien du réseau d'assainissement </t>
  </si>
  <si>
    <t xml:space="preserve">Prendre les mesures de protection à l’égard de certaines infrastructures ou installations sensibles et/ou à risque localisées en zone d'aléa fort (ex: cabine à haute tension, stockage de substances dangereuses...)   </t>
  </si>
  <si>
    <t>Adapter le bâti situé en zone inondable</t>
  </si>
  <si>
    <t>Mettre en place un système de prévision des pics de consommation d’eau potable</t>
  </si>
  <si>
    <t xml:space="preserve">Renforcer la surveillance des masses d'eau et prendre des mesures de prévention et de sauvegarde en cas de sécheresse dans les zones stratégiques </t>
  </si>
  <si>
    <t xml:space="preserve">Déterminer et assurer les niveaux d’eau minimaux de sécurité pour la navigation sur le Canal et les infrastructures portuaires  </t>
  </si>
  <si>
    <t>Tenir compte de l’évolution des prélèvements et restitutions d’eau dans le Canal pour répondre au besoin sans compromettre la navigation et la qualité de la masse d’eau</t>
  </si>
  <si>
    <t>Adopter les mesures de prévention contre les crises écologiques (dont les algues bleues et chutes d’oxygène dissous dans l’eau) de manière coordonnée entre gestionnaires</t>
  </si>
  <si>
    <t>Garantir une utilisation rationnelle de l’eau dans l’agriculture urbaine, optimiser l’arrosage et privilégier des sources d’approvisionnement en eau alternatives à l’eau potable</t>
  </si>
  <si>
    <t xml:space="preserve">Réaliser et exploiter un système de prédiction et d'alerte en matière d’inondation et de sécheresse  </t>
  </si>
  <si>
    <t>Instaurer une cellule « sécheresse » dans le cadre de la plateforme de coordination des opérateurs et acteurs de l’eau afin de coordonner l’action et la communication de la Région en cas de (risque de) crise</t>
  </si>
  <si>
    <t xml:space="preserve">Modéliser hydrauliquement les axes d’écoulements principaux (cours d’eau, grands collecteurs et leurs bassins d’orage) et leurs interactions pour affiner l’établissement des zones inondables et servir à la gestion dynamique.  </t>
  </si>
  <si>
    <t>Poursuivre les recherches sur la disponibilité et l’exploitation possible d’aquifères plus profonds, d’eaux de carrière ou d’autres zones exploitables comme sources d’approvisionnement d’eau potable</t>
  </si>
  <si>
    <t xml:space="preserve">Mener une politique de recherche et développement portant sur les différents sujets destinés à améliorer la résilience de la RBC face au changement climatique </t>
  </si>
  <si>
    <t>Mener une politique de communication portant sur le changement climatique et les sujets impactés en lien avec la thématique de l’eau</t>
  </si>
  <si>
    <t xml:space="preserve">Réaliser les travaux de gestion ordinaire des cours d’eau non navigables et des étangs </t>
  </si>
  <si>
    <t>Inventorier et cartographier les sources dans un souci de préservation du patrimoine naturel et d’éventuelles reconnexions au réseau hydrographique</t>
  </si>
  <si>
    <t xml:space="preserve">Poursuivre et étendre l'ensemble des actions lancées par le Port de Bruxelles, par les contrats de quartier et autres acteurs publics dans la zone du Canal </t>
  </si>
  <si>
    <t>Promouvoir la consommation d'eau de distribution pour les besoins en eau potable</t>
  </si>
  <si>
    <t xml:space="preserve">Encadrer et valoriser l'eau issue des rabattements de nappe </t>
  </si>
  <si>
    <t>Informer les maitres d'ouvrage et maitres d'œuvre sur le potentiel géothermique et développer des outils numériques d'aide à l'analyse de faisabilité et au pré-dimensionnement d’installations géothermiques..</t>
  </si>
  <si>
    <t xml:space="preserve">Analyser la reproductibilité des projets pilotes mis en place visant à récupérer la chaleur à partir des eaux usées transitant dans le réseau d’égouttage </t>
  </si>
  <si>
    <t>Assurer et renforcer la coordination internationale au niveau du district hydrographique international de l'Escaut</t>
  </si>
  <si>
    <t>Mesure #</t>
  </si>
  <si>
    <t>Mesure
Description</t>
  </si>
  <si>
    <t>Total</t>
  </si>
  <si>
    <t>Investissement</t>
  </si>
  <si>
    <t>Coût variable</t>
  </si>
  <si>
    <t>Coût</t>
  </si>
  <si>
    <t>Annuel</t>
  </si>
  <si>
    <t>Exploitation</t>
  </si>
  <si>
    <t>Réf 1</t>
  </si>
  <si>
    <t>Réf 2</t>
  </si>
  <si>
    <t>Minimum</t>
  </si>
  <si>
    <t>Maximum</t>
  </si>
  <si>
    <t>annuel</t>
  </si>
  <si>
    <t>min</t>
  </si>
  <si>
    <t>max</t>
  </si>
  <si>
    <t>Unité</t>
  </si>
  <si>
    <t>Coût d'exploitation</t>
  </si>
  <si>
    <t>Somme de Total</t>
  </si>
  <si>
    <t>5</t>
  </si>
  <si>
    <t>Total général</t>
  </si>
  <si>
    <t>Mesure#</t>
  </si>
  <si>
    <t>Action #</t>
  </si>
  <si>
    <t>CAN</t>
  </si>
  <si>
    <t>SEN</t>
  </si>
  <si>
    <t>WOL</t>
  </si>
  <si>
    <t>5.4.1</t>
  </si>
  <si>
    <t>5.4.2</t>
  </si>
  <si>
    <t>5.4.3</t>
  </si>
  <si>
    <t>5.4.4</t>
  </si>
  <si>
    <t>5.4.5</t>
  </si>
  <si>
    <t>5.4.6</t>
  </si>
  <si>
    <t>5.4.7</t>
  </si>
  <si>
    <t>5.4.A</t>
  </si>
  <si>
    <t>5.4.B</t>
  </si>
  <si>
    <t>5.4.C</t>
  </si>
  <si>
    <t>5.4.D</t>
  </si>
  <si>
    <t>Code</t>
  </si>
  <si>
    <t>DESCRIPTION</t>
  </si>
  <si>
    <t>Assurer la gestion qualitative des masses d'eau de surface</t>
  </si>
  <si>
    <t>OO. 1.1.1</t>
  </si>
  <si>
    <t xml:space="preserve">Améliorer la qualité hydromorphologique et biologique des masses d'eau de surface </t>
  </si>
  <si>
    <t>Réduire les rejets directs dans les masses d'eau</t>
  </si>
  <si>
    <t>Réduire l’impact du réseau d’assainissement sur la qualité des masses d’eau de surface</t>
  </si>
  <si>
    <t>Réduire les émissions de polluants à la source (sources ponctuelles et diffuses)</t>
  </si>
  <si>
    <t>Améliorer les connaissances et adapter la règlementation en vue de pouvoir proposer des mesures adéquates de réduction et/ou de suppression des rejets problématiques et sensibiliser les Bruxellois.es afin de diminuer ces pollutions</t>
  </si>
  <si>
    <t xml:space="preserve">OS 1.2  </t>
  </si>
  <si>
    <t>Soutenir le débit par temps sec du réseau hydrographique</t>
  </si>
  <si>
    <t>Assurer un débit minimum écologique des cours d'eau</t>
  </si>
  <si>
    <t>Assurer la gestion qualitative des masses d'eau souterraine</t>
  </si>
  <si>
    <t>Améliorer l'état des connaissances, adapter le programme de surveillance et modifier la réglementation</t>
  </si>
  <si>
    <t>Restaurer la qualité chimique de la masse d’eau des sables du Bruxellien</t>
  </si>
  <si>
    <t>Inverser la tendance à la hausse significative et durable à l'égard des polluants présents dans les masses d’eau souterraine</t>
  </si>
  <si>
    <t>Prévenir et limiter la détérioration des masses d’eau souterraine</t>
  </si>
  <si>
    <t xml:space="preserve"> Gérer quantitativement la ressource en eau souterraine</t>
  </si>
  <si>
    <t>Gérer de façon durable la ressource en eau souterraine</t>
  </si>
  <si>
    <t xml:space="preserve">Gérer les remontées de  nappes phréatiques et assurer le drainage des eaux souterraines </t>
  </si>
  <si>
    <t>Assurer la gestion spécifique des zones protégées et leur surveillance</t>
  </si>
  <si>
    <t>Veiller à la protection des captages d'eau destinée à la production d'eau potable</t>
  </si>
  <si>
    <t>Assurer la protection de la zone vulnérable aux nitrates d'origine agricole</t>
  </si>
  <si>
    <t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t>
  </si>
  <si>
    <t>Veiller à la protection des zones sensibles à l'égard des nutriments</t>
  </si>
  <si>
    <t>Veiller à la protection des zones sensibles à risques accrus et des zones tampons à l'égard des pesticides</t>
  </si>
  <si>
    <t>Assurer et contrôler le potentiel écologique des étangs régionaux afin de soutenir les objectifs de conservation des sites Natura 2000</t>
  </si>
  <si>
    <t>Assurer l'application du principe du pollueur-payeur</t>
  </si>
  <si>
    <t>Assurer l'accès à des services d’approvisionnement en eau et d’assainissement adéquats, durables et  à des conditions abordables</t>
  </si>
  <si>
    <t>OS 5.1: Gérer les eaux de pluie de façon intégrée  // Alternative : Replacer les eaux de pluie dans leur cycle naturel</t>
  </si>
  <si>
    <t>OO 5.1.1: Encadrer la mise en œuvre de la gestion intégrée des eaux pluviales « GiEP » et développer des solutions innovantes</t>
  </si>
  <si>
    <t>OO 5.1.2: Mettre en œuvre la GiEP et en assurer la pérennisation</t>
  </si>
  <si>
    <t xml:space="preserve">OS 5.2: Diminuer la fréquence et l’ampleur des inondations  </t>
  </si>
  <si>
    <r>
      <t>OO 5.2.1: Gérer à la parcelle les eaux de pluies exceptionnelles</t>
    </r>
    <r>
      <rPr>
        <strike/>
        <sz val="10"/>
        <color theme="3" tint="-0.499984740745262"/>
        <rFont val="Arial"/>
        <family val="2"/>
      </rPr>
      <t xml:space="preserve"> pour ne les renvoyer vers l’aval qu’à débit nul ou limité </t>
    </r>
    <r>
      <rPr>
        <sz val="10"/>
        <color theme="3" tint="-0.499984740745262"/>
        <rFont val="Arial"/>
        <family val="2"/>
      </rPr>
      <t xml:space="preserve"> </t>
    </r>
  </si>
  <si>
    <t>OO 5.2.2 : Assurer un écoulement optimum dans le réseau hydrographique</t>
  </si>
  <si>
    <t>OO 5.2.3 : Assurer un écoulement optimum dans le réseau d’assainissement</t>
  </si>
  <si>
    <t xml:space="preserve">OS 5.3 : Diminuer la vulnérabilité du territoire face aux inondations </t>
  </si>
  <si>
    <t xml:space="preserve">OO 5.3.1 : Eviter les nouvelles constructions dans les zones inondables et proposer des mesures d’adaptation pour le bâti existant </t>
  </si>
  <si>
    <t>OS 5.4 : Diminuer la vulnérabilité des habitants et du territoire face aux épisodes de sécheresse</t>
  </si>
  <si>
    <t xml:space="preserve">OO 5.4.1 : Garantir la sécurité d’approvisionnement en eau potable de la Région </t>
  </si>
  <si>
    <t xml:space="preserve">OO 5.4.2 : Préserver les ressources en eau en fonction des usages et des bénéfices écosystémiques qu’elles nous rendent  </t>
  </si>
  <si>
    <t>OS 5.5 : Assurer la gestion de crise</t>
  </si>
  <si>
    <t>OS 5.6 : Informer, sensibiliser et améliorer l'état des connaissances</t>
  </si>
  <si>
    <t>OO 5.6.1 : Informer et sensibiliser les citoyens à la gestion des risques liés aux inondations et à la sécheresse</t>
  </si>
  <si>
    <t>OO 5.6.2 : Mener une politique de recherche visant l’amélioration de la résilience du territoire.</t>
  </si>
  <si>
    <t xml:space="preserve">OS 6.1  </t>
  </si>
  <si>
    <t>Préserver, développer et mettre en valeur le patrimoine naturel lié à l'eau  </t>
  </si>
  <si>
    <t>Mettre en valeur les cours d'eau, les étangs, les zones humides d'un point de vue écologique et paysager</t>
  </si>
  <si>
    <t>Développer et encadrer la pratique de loisirs et activités récréatives liés à l’eau</t>
  </si>
  <si>
    <t xml:space="preserve">Valoriser le Canal en tant qu’axe structurant du territoire régional   </t>
  </si>
  <si>
    <t xml:space="preserve">Renforcer l’éducation, la sensibilisation et la pédagogie autour de la thématique de l’eau </t>
  </si>
  <si>
    <t>Préserver et valoriser les ressources stratégiques en eau</t>
  </si>
  <si>
    <t xml:space="preserve">OO 7.1.1 </t>
  </si>
  <si>
    <t>Lutter contre les pertes dans le réseau de distribution d'eau potable</t>
  </si>
  <si>
    <t>OO 7.1.2</t>
  </si>
  <si>
    <t>Promouvoir une utilisation rationnelle et durable de l'eau potable</t>
  </si>
  <si>
    <t>Valoriser les ressources en eau jusqu'à présent inexploitées</t>
  </si>
  <si>
    <t>Promouvoir la production d'énergie renouvelable à partir de l'eau</t>
  </si>
  <si>
    <t>Encadrer et promouvoir la géothermie pour le chauffage et le refroidissement des bâtiments bruxellois (/du bâti ou parc immobilier bruxellois)</t>
  </si>
  <si>
    <t>Promouvoir la récupération des calories présentes dans les eaux usées</t>
  </si>
  <si>
    <t>Assurer une mise en œuvre coordonnée de la politique de l’eau</t>
  </si>
  <si>
    <t>Echanger les expériences et les informations au niveau d’associations d’acteurs publics et privés bruxellois, belges et internationaux</t>
  </si>
  <si>
    <t>OS 8.3</t>
  </si>
  <si>
    <t>Contribuer à la protection de la mer du Nord et des zones côtières</t>
  </si>
  <si>
    <t>Budget Efficace</t>
  </si>
  <si>
    <t>Budget Maximaliste</t>
  </si>
  <si>
    <t>Eaux Souterraines</t>
  </si>
  <si>
    <t>Taux d'actualisation</t>
  </si>
  <si>
    <t>Mesures/Actions</t>
  </si>
  <si>
    <t>Maximaliste Total</t>
  </si>
  <si>
    <t>Senne</t>
  </si>
  <si>
    <t>Woluwe</t>
  </si>
  <si>
    <t>Canal</t>
  </si>
  <si>
    <t>Eau Souterraine</t>
  </si>
  <si>
    <t>Efficace Total</t>
  </si>
  <si>
    <t>CV</t>
  </si>
  <si>
    <t>Min</t>
  </si>
  <si>
    <t xml:space="preserve">Max </t>
  </si>
  <si>
    <t>Annuel Min</t>
  </si>
  <si>
    <t>Annuel Max</t>
  </si>
  <si>
    <t xml:space="preserve">Annuel Min </t>
  </si>
  <si>
    <t>Max</t>
  </si>
  <si>
    <t>Annuel  Max</t>
  </si>
  <si>
    <t xml:space="preserve">Min </t>
  </si>
  <si>
    <t>Durée de vie</t>
  </si>
  <si>
    <t>durée de vie</t>
  </si>
  <si>
    <t>PP</t>
  </si>
  <si>
    <t>AP 1.19</t>
  </si>
  <si>
    <t>AP17</t>
  </si>
  <si>
    <t>Senne: 
10 km voûtés dont 7 pourraient techniquement être remis à ciel ouvert</t>
  </si>
  <si>
    <t>le coût des travaux est compris entre 12 et 16 M€ du km</t>
  </si>
  <si>
    <t>l'entretien des berges est de 10.000€ du km chaque année, soit un total de 30.000€</t>
  </si>
  <si>
    <t xml:space="preserve">WOLUWE: 
Remise à ciel ouvert complète: 10 km </t>
  </si>
  <si>
    <t>le coût des travaux est compris entre 12 et 16 M€ du km,</t>
  </si>
  <si>
    <t>l'entretien des berges est de 10.000€ du km chaque année</t>
  </si>
  <si>
    <t xml:space="preserve">Senne: 
10 km voûtés dont 4 pourraient techniquement être remis à ciel ouvert
Ces 4 km viendrait s'ajouter au 6 m du parc ME (7M€) </t>
  </si>
  <si>
    <t xml:space="preserve">le coût des travaux est compris entre 12 et 16 M€ du km, </t>
  </si>
  <si>
    <t xml:space="preserve">WOLUWE: 
Remise à ciel ouvert complète: 3km </t>
  </si>
  <si>
    <t>AP 1.20
AP 1.22</t>
  </si>
  <si>
    <t>AP18
AP20</t>
  </si>
  <si>
    <t>4 km sont actuellement à ciel ouvert</t>
  </si>
  <si>
    <t>On estime entre 1 et 2,5 M€ par km le coût de l'aménagement</t>
  </si>
  <si>
    <t>Amélioration passe par un entretien plus poussé, à savoir doubler le coût actuel, ce qui représente un montant de {10 ; 15} k€ par km chaque année</t>
  </si>
  <si>
    <t>1000 m2 de radeaux végétalisés 
700 m de réaménagement de berges du canal</t>
  </si>
  <si>
    <t xml:space="preserve">- L'installation de radeaux végétalisés sont estimés à 750€/m²
- On estime entre 0,5 et 2 M€ par km le coût de l'aménagement
</t>
  </si>
  <si>
    <t>Actuellement 4 km de la Senne sont à ciel ouvert mais seuls deux nécessitent d'être aménagés</t>
  </si>
  <si>
    <t>On estime entre 1 et 2,5 M€ par km le coût de l'aménagement, soit un total de 2 à 5 M€</t>
  </si>
  <si>
    <t>Entretien intensif des berges pour un montant de {10 ; 15} k€ par km chaque année, soit un total de 30.000€</t>
  </si>
  <si>
    <t>AP 1.21</t>
  </si>
  <si>
    <t>AP19</t>
  </si>
  <si>
    <t>10 obstacles (vanne, tuyaux, chutte d'eau) empêchant la bonne migration des poissons sont recensés sur la Senne</t>
  </si>
  <si>
    <t>On estime entre 50 et 100 k€ par obstacle le coût de l'aménagement,</t>
  </si>
  <si>
    <t>On estime l'entretien annuel du système à 2% de l'investissement min total</t>
  </si>
  <si>
    <t>9 obstacles (vanne, tuyaux, chutte d'eau) empêchant la bonne migration des poissons sont recensés sur la Senne</t>
  </si>
  <si>
    <t>On estime entre 50 et 100 k€ par obstacle le coût de l'aménagement, soit un total de 0,5 à 1 M€</t>
  </si>
  <si>
    <t xml:space="preserve">On estime l'entretien annuel du système à 2% de l'investissement min total, soit 20 k€ </t>
  </si>
  <si>
    <t>AP 1.30</t>
  </si>
  <si>
    <t>AP28</t>
  </si>
  <si>
    <t>Il y a lieu de surveiller la propagation de certaines espèces dans nos cours d'eau (écrevisses,…)</t>
  </si>
  <si>
    <t>Prévention et intervention entre 100.000€ par an</t>
  </si>
  <si>
    <t>AP 1.15</t>
  </si>
  <si>
    <t>AP13B</t>
  </si>
  <si>
    <t>Environ 5000 EH doivent (et peuvent) être raccordés au réseau de collecte.</t>
  </si>
  <si>
    <t>Le prix moyen d'un raccordement en zone urbaine pour un bâtiment collectif est de 500 à 600 € par EH</t>
  </si>
  <si>
    <t>En divisant les coûts d'exploitation d'HYDROBRU assainissement par le nombre d'habitant, on estime un coût unitaire de {15 ; 20}€ par EH</t>
  </si>
  <si>
    <t>AP 1.14</t>
  </si>
  <si>
    <t>AP13</t>
  </si>
  <si>
    <t>On estime que 1.000 ménages ne peuvent pas être raccordés à une des 2 STEP's collectives</t>
  </si>
  <si>
    <t xml:space="preserve">le prix moyen d'une STEP individuelle est compris entre {5000 ; 6000}€, soit </t>
  </si>
  <si>
    <t>Le coût d'entretien annuel est compris entre {30;100}€ par installation</t>
  </si>
  <si>
    <t>AP 1.3
AP 1.26
AP 1.33</t>
  </si>
  <si>
    <t>AP3
AP 23+24
AP 29+30</t>
  </si>
  <si>
    <t>Sur 59 déversoirs recensés, seuls 13 déversoirs des égoûts vers la Senne sont importants.</t>
  </si>
  <si>
    <t>Relever le seuil et construire un bassin d'orage de 36.000 m³ coûtent entre {20 ; 40} M€ par déversoir,</t>
  </si>
  <si>
    <t>On estime l'entretien annuel des BO à 2% de l'investissement total, soit 30 M€ sur l'ensemble du PGE</t>
  </si>
  <si>
    <t>Sur 37 déversoirs recensés, 4 déversoirs des égoûts vers la Woluwe sont importants.</t>
  </si>
  <si>
    <t xml:space="preserve">Relever le seuil et construire un bassin d'orage de 36.000 m³ coûtent entre {20 ; 40} M€ par déversoir, </t>
  </si>
  <si>
    <t xml:space="preserve">On estime l'entretien annuel des BO à 2% de l'investissement total, soit 2 M€ </t>
  </si>
  <si>
    <t>Sur 11 déversoirs recensés, 7 déversoirs des égoûts vers la Canal sont importants.</t>
  </si>
  <si>
    <t>Relever le seuil et construire un bassin d'orage de 36.000 m³ coûtent entre {20 ; 40} M€ par déversoir</t>
  </si>
  <si>
    <t>On estime l'entretien annuel des BO à 2% de l'investissement total</t>
  </si>
  <si>
    <t>Sur 59 déversoirs recensés, seuls 5 déversoirs sont significatifs (90 à 95%).</t>
  </si>
  <si>
    <t>Relever le seuil de déversement de 60 à 120 cm coûte entre {30 ; 100} k€ par déversoir, soit 5 * {30 ; 100} entre 150.000 et 500.000 €</t>
  </si>
  <si>
    <t>le frais d'entretien sont les mêmes que précedemment, donc l'augmentation est de 0 €</t>
  </si>
  <si>
    <t>Sur 37 déversoirs recensés, 1 déversement des égoûts vers la Woluwe est significatifs.</t>
  </si>
  <si>
    <t>Relever le seuil de déversement de 60 à 120 cm coûte entre {30 ; 100} k€ par déversoir, soit  75000 €</t>
  </si>
  <si>
    <t>Sur 11 déversoirs recensés, 1 déversement des égoûts vers la Canal est significatif.</t>
  </si>
  <si>
    <t>Relever le seuil de déversement de 60 à 120 cm coûte entre {30 ; 100} k€ par déversoir, soit 75000</t>
  </si>
  <si>
    <t>AP31</t>
  </si>
  <si>
    <t>AP 1.5</t>
  </si>
  <si>
    <t>AP 5</t>
  </si>
  <si>
    <t>En RBC, deux STEP déverse vers la Senne.  La Step Sud étant déjà equipée d'un système plus poussé, seule la STEP Nord sera considérée.  Capacité de la Step Nord 1.100.000 EH.</t>
  </si>
  <si>
    <t>Jugement d'expert Hydria</t>
  </si>
  <si>
    <t>Le coût est de {3 ; 4}€ par EH. Sachant que la STEP Nord équivaut à 1.100.000 habitants</t>
  </si>
  <si>
    <t xml:space="preserve">M 1.13 : Actualiser les conditions de déversement d’eaux usées </t>
  </si>
  <si>
    <t xml:space="preserve">M 1.15 : Mettre en œuvre à l’échelle régionale les plans d’actions visant des substances polluantes, émergentes ou non </t>
  </si>
  <si>
    <t>AP 1.10
AP 1.17
AP 1.38</t>
  </si>
  <si>
    <t>AP9
AP15
AP35</t>
  </si>
  <si>
    <t>Reste deux tronçons (Aquiris et Buda) 800 m à curer 1 fois sur ce PGE. Les 9 km restant sont sous pertuis et doivent être idéalement curés tous les 3 ans. Donc le total à curer est de 18,8 km.
Sachant qu'en moyenne, on récupère 6.250 m³ de sédiments par km et que 1m³=1,5 T de sédiments, le total à curer est de 176,000T</t>
  </si>
  <si>
    <t>Sachant que le coût (transport + traitement compris) oscille entre 20 et 110€ la tonne, en fonction de la toxicité des sédiments, l'investissement total est compris entre 5 et 20 millions d'€.</t>
  </si>
  <si>
    <t>AP 1.36</t>
  </si>
  <si>
    <t>AP 33</t>
  </si>
  <si>
    <t xml:space="preserve">-330.000 Tonnes de sédiments se sont accumulées dans le lit du bassin
-Création d'un piège à sédiment de 7.000 m³ à proximité des écluses, soit 2 infrastructures
</t>
  </si>
  <si>
    <t>-Sachant que le coût (transport + traitement compris) oscille entre 75 et 100€ la tonne, en fonction de la toxicité des sédiments, 
-L'investissement est compris entre 5 et 6 M€ par piège, soit environ 11 M€</t>
  </si>
  <si>
    <t xml:space="preserve">-Pas d'entretien nécessaire
-On estime l'entretien annuel du système à 2% de l'investissement total, soit un total de 200 k€ </t>
  </si>
  <si>
    <t xml:space="preserve">Sont raccordés à des collecteurs:
- Ukkelbeek (2*km / débit 12 l/s) 
- Maelbeek -raccordé au collecteur (impossibilité de le raccorder à la Senne)
- Molenbeek (4 km et débit 96 l/s)
On estime la distance à reconnecter à 6000 mètres </t>
  </si>
  <si>
    <t>On estime l'investissement entre 1000 et 3000 € par mètre</t>
  </si>
  <si>
    <t>On estime l'entretien annuel des berges à 5€ par mètre</t>
  </si>
  <si>
    <t>Rénover et étendre le réseau d'assainissement afin de réduire les concentrations en nitrates d’origine non agricole</t>
  </si>
  <si>
    <t>AP46
AP47</t>
  </si>
  <si>
    <r>
      <rPr>
        <u/>
        <sz val="11"/>
        <color theme="6"/>
        <rFont val="Calibri"/>
        <family val="2"/>
        <scheme val="minor"/>
      </rPr>
      <t>Rénovation</t>
    </r>
    <r>
      <rPr>
        <sz val="11"/>
        <color theme="6"/>
        <rFont val="Calibri"/>
        <family val="2"/>
        <scheme val="minor"/>
      </rPr>
      <t>:
Sur les1900 km d'égoût que compte la RBC, 25% sont en mauvais état et nécessitent d'être rénovés</t>
    </r>
    <r>
      <rPr>
        <sz val="11"/>
        <color theme="1"/>
        <rFont val="Calibri"/>
        <family val="2"/>
        <scheme val="minor"/>
      </rPr>
      <t xml:space="preserve">
</t>
    </r>
    <r>
      <rPr>
        <u/>
        <sz val="11"/>
        <color theme="1"/>
        <rFont val="Calibri"/>
        <family val="2"/>
        <scheme val="minor"/>
      </rPr>
      <t>Extension</t>
    </r>
    <r>
      <rPr>
        <sz val="11"/>
        <color theme="1"/>
        <rFont val="Calibri"/>
        <family val="2"/>
        <scheme val="minor"/>
      </rPr>
      <t xml:space="preserve">: 50 km de réseau supplémentaires
</t>
    </r>
  </si>
  <si>
    <r>
      <rPr>
        <u/>
        <sz val="11"/>
        <color theme="6"/>
        <rFont val="Calibri"/>
        <family val="2"/>
        <scheme val="minor"/>
      </rPr>
      <t>Révovation</t>
    </r>
    <r>
      <rPr>
        <sz val="11"/>
        <color theme="6"/>
        <rFont val="Calibri"/>
        <family val="2"/>
        <scheme val="minor"/>
      </rPr>
      <t xml:space="preserve">
D'après VVQ le coût est compris entre 2,5 et 3,5 M€ par km
</t>
    </r>
    <r>
      <rPr>
        <u/>
        <sz val="11"/>
        <color theme="1"/>
        <rFont val="Calibri"/>
        <family val="2"/>
        <scheme val="minor"/>
      </rPr>
      <t>Extension</t>
    </r>
    <r>
      <rPr>
        <sz val="11"/>
        <color theme="1"/>
        <rFont val="Calibri"/>
        <family val="2"/>
        <scheme val="minor"/>
      </rPr>
      <t>: D'après VVQ, le coût est compris entre 2,5 et 3,5 M€ par km</t>
    </r>
  </si>
  <si>
    <r>
      <rPr>
        <u/>
        <sz val="11"/>
        <color theme="6"/>
        <rFont val="Calibri"/>
        <family val="2"/>
        <scheme val="minor"/>
      </rPr>
      <t>Rénovation</t>
    </r>
    <r>
      <rPr>
        <sz val="11"/>
        <color theme="1"/>
        <rFont val="Calibri"/>
        <family val="2"/>
        <scheme val="minor"/>
      </rPr>
      <t>:</t>
    </r>
    <r>
      <rPr>
        <sz val="11"/>
        <color theme="6"/>
        <rFont val="Calibri"/>
        <family val="2"/>
        <scheme val="minor"/>
      </rPr>
      <t xml:space="preserve"> Il n'y a pas d'entretien supplémentaire à effectuer</t>
    </r>
    <r>
      <rPr>
        <sz val="11"/>
        <color theme="1"/>
        <rFont val="Calibri"/>
        <family val="2"/>
        <scheme val="minor"/>
      </rPr>
      <t xml:space="preserve">
</t>
    </r>
    <r>
      <rPr>
        <u/>
        <sz val="11"/>
        <color theme="1"/>
        <rFont val="Calibri"/>
        <family val="2"/>
        <scheme val="minor"/>
      </rPr>
      <t>Extension</t>
    </r>
    <r>
      <rPr>
        <sz val="11"/>
        <color theme="1"/>
        <rFont val="Calibri"/>
        <family val="2"/>
        <scheme val="minor"/>
      </rPr>
      <t>: Le coût variable est estimé à 15€/m</t>
    </r>
  </si>
  <si>
    <r>
      <rPr>
        <u/>
        <sz val="11"/>
        <color theme="6"/>
        <rFont val="Calibri"/>
        <family val="2"/>
        <scheme val="minor"/>
      </rPr>
      <t>Rénovation</t>
    </r>
    <r>
      <rPr>
        <sz val="11"/>
        <color theme="6"/>
        <rFont val="Calibri"/>
        <family val="2"/>
        <scheme val="minor"/>
      </rPr>
      <t>: 20</t>
    </r>
    <r>
      <rPr>
        <sz val="11"/>
        <color theme="1"/>
        <rFont val="Calibri"/>
        <family val="2"/>
        <scheme val="minor"/>
      </rPr>
      <t xml:space="preserve">
</t>
    </r>
    <r>
      <rPr>
        <u/>
        <sz val="11"/>
        <color theme="1"/>
        <rFont val="Calibri"/>
        <family val="2"/>
        <scheme val="minor"/>
      </rPr>
      <t>Extension</t>
    </r>
    <r>
      <rPr>
        <sz val="11"/>
        <color theme="1"/>
        <rFont val="Calibri"/>
        <family val="2"/>
        <scheme val="minor"/>
      </rPr>
      <t>: 75</t>
    </r>
  </si>
  <si>
    <r>
      <rPr>
        <u/>
        <sz val="11"/>
        <color theme="6"/>
        <rFont val="Calibri"/>
        <family val="2"/>
        <scheme val="minor"/>
      </rPr>
      <t>Rénovation</t>
    </r>
    <r>
      <rPr>
        <sz val="11"/>
        <color theme="6"/>
        <rFont val="Calibri"/>
        <family val="2"/>
        <scheme val="minor"/>
      </rPr>
      <t>:
Sur les 2000 km d'égoût que compte la RBC, 25% sont en mauvais état et nécessitent d'être rénovés
Rénovation de la moitié des 25%</t>
    </r>
    <r>
      <rPr>
        <sz val="11"/>
        <color theme="1"/>
        <rFont val="Calibri"/>
        <family val="2"/>
        <scheme val="minor"/>
      </rPr>
      <t xml:space="preserve">
</t>
    </r>
    <r>
      <rPr>
        <u/>
        <sz val="11"/>
        <color theme="1"/>
        <rFont val="Calibri"/>
        <family val="2"/>
        <scheme val="minor"/>
      </rPr>
      <t>Extension</t>
    </r>
    <r>
      <rPr>
        <sz val="11"/>
        <color theme="1"/>
        <rFont val="Calibri"/>
        <family val="2"/>
        <scheme val="minor"/>
      </rPr>
      <t xml:space="preserve">: 25 km de réseau supplémentaires
</t>
    </r>
  </si>
  <si>
    <t>M 3.5: Identifier les sources et causes de pollution par les nitrates et prendre des mesures ciblées afin de les éliminer</t>
  </si>
  <si>
    <t>Mettre en œuvre la GiEP dans l'espace public et privé, ainsi que les autres mesures de résilience climatique liées à la gestion de l’eau.</t>
  </si>
  <si>
    <t>AP1
AP23</t>
  </si>
  <si>
    <t xml:space="preserve"> La vallée de la Senne couvre 67% de la Région. On fait l'hypothèse que l'ensemble des eaux ruissellent sur les parkings, la voirie et les toitures des maisons. Nous prenons alors les 4 mesures les moins coûteuses afin d'estimer l'investissement, à savoir les revêtements poreux pour les parking, les chaussées à structure réservoir + noues plantées pour la voirie et les toitures vertes pour les bâtiments.
Ainsi, ce seront 1 Mm³ d'eau de pluie stockée dans les chaussées et 1.200 km de voirie réadaptés.</t>
  </si>
  <si>
    <r>
      <rPr>
        <i/>
        <u/>
        <sz val="11"/>
        <color theme="1"/>
        <rFont val="Calibri"/>
        <family val="2"/>
        <scheme val="minor"/>
      </rPr>
      <t>Etude interne</t>
    </r>
    <r>
      <rPr>
        <sz val="11"/>
        <color theme="1"/>
        <rFont val="Calibri"/>
        <family val="2"/>
        <scheme val="minor"/>
      </rPr>
      <t xml:space="preserve">
- Parking: 150 M€
- Toiture: 250 M€
</t>
    </r>
    <r>
      <rPr>
        <i/>
        <u/>
        <sz val="11"/>
        <color theme="1"/>
        <rFont val="Calibri"/>
        <family val="2"/>
        <scheme val="minor"/>
      </rPr>
      <t>Chaussées:</t>
    </r>
    <r>
      <rPr>
        <sz val="11"/>
        <color theme="1"/>
        <rFont val="Calibri"/>
        <family val="2"/>
        <scheme val="minor"/>
      </rPr>
      <t xml:space="preserve">
- Stockage {50 ; 100}€ du m³, soit {50 ; 100} M€
- Revêtement, 300€ du mètre linéaire, soit environ 270 M€ (pour 900km) 
- Noues plantées: 900km*1,6m=1,440km² de noues à 100€/m²=  144 M€
</t>
    </r>
    <r>
      <rPr>
        <i/>
        <u/>
        <sz val="11"/>
        <color theme="1"/>
        <rFont val="Calibri"/>
        <family val="2"/>
        <scheme val="minor"/>
      </rPr>
      <t>Total:</t>
    </r>
    <r>
      <rPr>
        <sz val="11"/>
        <color theme="1"/>
        <rFont val="Calibri"/>
        <family val="2"/>
        <scheme val="minor"/>
      </rPr>
      <t xml:space="preserve">
150 + 250 + {50 ; 100}+270 + 144 = {864M€;914m€}
</t>
    </r>
    <r>
      <rPr>
        <i/>
        <u/>
        <sz val="11"/>
        <color theme="1"/>
        <rFont val="Calibri"/>
        <family val="2"/>
        <scheme val="minor"/>
      </rPr>
      <t>Total Senne:</t>
    </r>
    <r>
      <rPr>
        <sz val="11"/>
        <color theme="1"/>
        <rFont val="Calibri"/>
        <family val="2"/>
        <scheme val="minor"/>
      </rPr>
      <t xml:space="preserve">
864* 0,67 =578,88 M€
914*067=612,88 M€</t>
    </r>
  </si>
  <si>
    <t xml:space="preserve">On estime l'entretien annuel à 1% de l'investissement 
</t>
  </si>
  <si>
    <t xml:space="preserve"> La vallée de la Woluwe couvre 28% de la Région. On fait l'hypothèse que l'ensemble des eaux ruissellent sur les parkings, la voirie et les toitures des maisons. Nous prenons alorsles 4 mesures les moins coûteuses afin d'estimer l'investissement, à savoir les revêtements poreux pour les parking, les chaussées à structure réservoir + noues plantées pour la voirie et les toitures vertes pour les bâtiments.
Ainsi, ce seront 0,4 Mm³ d'eau de pluie stockée dans les chaussées et 500 km de voirie réadaptés.</t>
  </si>
  <si>
    <r>
      <rPr>
        <i/>
        <u/>
        <sz val="11"/>
        <color theme="1"/>
        <rFont val="Calibri"/>
        <family val="2"/>
        <scheme val="minor"/>
      </rPr>
      <t>Etude interne</t>
    </r>
    <r>
      <rPr>
        <sz val="11"/>
        <color theme="1"/>
        <rFont val="Calibri"/>
        <family val="2"/>
        <scheme val="minor"/>
      </rPr>
      <t xml:space="preserve">
- Parking: 150 M€
- Toiture: 250 M€
</t>
    </r>
    <r>
      <rPr>
        <i/>
        <u/>
        <sz val="11"/>
        <color theme="1"/>
        <rFont val="Calibri"/>
        <family val="2"/>
        <scheme val="minor"/>
      </rPr>
      <t>Chaussées:</t>
    </r>
    <r>
      <rPr>
        <sz val="11"/>
        <color theme="1"/>
        <rFont val="Calibri"/>
        <family val="2"/>
        <scheme val="minor"/>
      </rPr>
      <t xml:space="preserve">
- Stockage {50 ; 100}€ du m³, soit {50 ; 100} M€
- Revêtement, 300€ du mètre linéaire, soit environ 270 M€ (pour 900km) 
- Noues plantées: 900km*1,6m=1,440km² de noues à 100€/m²=  144 M€
</t>
    </r>
    <r>
      <rPr>
        <i/>
        <u/>
        <sz val="11"/>
        <color theme="1"/>
        <rFont val="Calibri"/>
        <family val="2"/>
        <scheme val="minor"/>
      </rPr>
      <t>Total:</t>
    </r>
    <r>
      <rPr>
        <sz val="11"/>
        <color theme="1"/>
        <rFont val="Calibri"/>
        <family val="2"/>
        <scheme val="minor"/>
      </rPr>
      <t xml:space="preserve">
150 + 250 + {50 ; 100}+270 + 144 = {864M€;914m€}
</t>
    </r>
    <r>
      <rPr>
        <i/>
        <u/>
        <sz val="11"/>
        <color theme="1"/>
        <rFont val="Calibri"/>
        <family val="2"/>
        <scheme val="minor"/>
      </rPr>
      <t>Total Woluwe:</t>
    </r>
    <r>
      <rPr>
        <sz val="11"/>
        <color theme="1"/>
        <rFont val="Calibri"/>
        <family val="2"/>
        <scheme val="minor"/>
      </rPr>
      <t xml:space="preserve">
864* 0,28 =578,88 M€
914*0,28=612,88 M€</t>
    </r>
  </si>
  <si>
    <t xml:space="preserve"> La vallée du Canal couvre 5% de la Région. On fait l'hypothèse que l'ensemble des eaux ruissellent sur les parkings, la voirie et les toitures des maisons. les 4 mesures les moins coûteuses afin d'estimer l'investissement, à savoir les revêtements poreux pour les parking, les chaussées à structure réservoir + noues plantées pour la voirie et les toitures vertes pour les bâtiments.
Ainsi, ce seront 0,1 Mm³ d'eau de pluie stockée dans les chaussées et 100 km de voirie à réadapter.</t>
  </si>
  <si>
    <r>
      <rPr>
        <i/>
        <u/>
        <sz val="11"/>
        <color theme="1"/>
        <rFont val="Calibri"/>
        <family val="2"/>
        <scheme val="minor"/>
      </rPr>
      <t>Etude interne</t>
    </r>
    <r>
      <rPr>
        <sz val="11"/>
        <color theme="1"/>
        <rFont val="Calibri"/>
        <family val="2"/>
        <scheme val="minor"/>
      </rPr>
      <t xml:space="preserve">
- Parking: 150 M€
- Toiture: 250 M€
</t>
    </r>
    <r>
      <rPr>
        <i/>
        <u/>
        <sz val="11"/>
        <color theme="1"/>
        <rFont val="Calibri"/>
        <family val="2"/>
        <scheme val="minor"/>
      </rPr>
      <t>Chaussées:</t>
    </r>
    <r>
      <rPr>
        <sz val="11"/>
        <color theme="1"/>
        <rFont val="Calibri"/>
        <family val="2"/>
        <scheme val="minor"/>
      </rPr>
      <t xml:space="preserve">
- Stockage {50 ; 100}€ du m³, soit {50 ; 100} M€
- Revêtement, 300€ du mètre linéaire, soit environ 270 M€ (pour 900km) 
- Noues plantées: 900km*1,6m=1,440km² de noues à 100€/m²=  144 M€
</t>
    </r>
    <r>
      <rPr>
        <i/>
        <u/>
        <sz val="11"/>
        <color theme="1"/>
        <rFont val="Calibri"/>
        <family val="2"/>
        <scheme val="minor"/>
      </rPr>
      <t>Total:</t>
    </r>
    <r>
      <rPr>
        <sz val="11"/>
        <color theme="1"/>
        <rFont val="Calibri"/>
        <family val="2"/>
        <scheme val="minor"/>
      </rPr>
      <t xml:space="preserve">
150 + 250 + {50 ; 100}+270 + 144 = {864M€;914m€}
</t>
    </r>
    <r>
      <rPr>
        <i/>
        <u/>
        <sz val="11"/>
        <color theme="1"/>
        <rFont val="Calibri"/>
        <family val="2"/>
        <scheme val="minor"/>
      </rPr>
      <t>Total Canal:</t>
    </r>
    <r>
      <rPr>
        <sz val="11"/>
        <color theme="1"/>
        <rFont val="Calibri"/>
        <family val="2"/>
        <scheme val="minor"/>
      </rPr>
      <t xml:space="preserve">
864* 0,28 =578,88 M€
914*0,28=612,88 M€</t>
    </r>
  </si>
  <si>
    <t>Etude interne
- Parking: 150 M€
- Toiture: 250 M€
Chaussées:
- Stockage {50 ; 100}€ du m³, soit {50 ; 100} M€
- Revêtement, 300€ du mètre linéaire, soit environ 270 M€ (pour 900km) 
- Noues plantées: 900km*1,6m=1,440km² de noues à 100€/m²=  144 M€
Total:
150 + 250 + {50 ; 100}+270 + 144 = {864M€;914m€}
Total Senne:
864* 0,67 =578,88 M€
914*067=612,88 M€
Eff= 30% est réalisé</t>
  </si>
  <si>
    <t>Etude interne
- Parking: 150 M€
- Toiture: 250 M€
Chaussées:
- Stockage {50 ; 100}€ du m³, soit {50 ; 100} M€
- Revêtement, 300€ du mètre linéaire, soit environ 270 M€ (pour 900km) 
- Noues plantées: 900km*1,6m=1,440km² de noues à 100€/m²=  144 M€
Total:
150 + 250 + {50 ; 100}+270 + 144 = {864M€;914m€}
Total Woluwe:
864* 0,28 =578,88 M€
914*0,28=612,88 M€
30% est réalisé</t>
  </si>
  <si>
    <t>Etude interne
- Parking: 150 M€
- Toiture: 250 M€
Chaussées:
- Stockage {50 ; 100}€ du m³, soit {50 ; 100} M€
- Revêtement, 300€ du mètre linéaire, soit environ 270 M€ (pour 900km) 
- Noues plantées: 900km*1,6m=1,440km² de noues à 100€/m²=  144 M€
Total:
150 + 250 + {50 ; 100}+270 + 144 = {864M€;914m€}
Total Canal:
864* 0,28 =578,88 M€
914*0,28=612,88 M€
Eff: 30% est réalisé</t>
  </si>
  <si>
    <t>SEN
max</t>
  </si>
  <si>
    <t>SEN
min</t>
  </si>
  <si>
    <t>SEN
annuel min</t>
  </si>
  <si>
    <t>SEN
annuel max</t>
  </si>
  <si>
    <t>WOL
min</t>
  </si>
  <si>
    <t>WOL
max</t>
  </si>
  <si>
    <t>WOL
annuel min</t>
  </si>
  <si>
    <t>WOL
annuel max</t>
  </si>
  <si>
    <t>CAN
min</t>
  </si>
  <si>
    <t>CAN
max</t>
  </si>
  <si>
    <t>CAN
annuel min</t>
  </si>
  <si>
    <t>CAN
annuel max</t>
  </si>
  <si>
    <t>TOTAL
min</t>
  </si>
  <si>
    <t>TOTAL
max</t>
  </si>
  <si>
    <t>TOTAL
annuel min</t>
  </si>
  <si>
    <t>TOTAL
annuel max</t>
  </si>
  <si>
    <t>ESO
min</t>
  </si>
  <si>
    <t>ESO
max</t>
  </si>
  <si>
    <t>ESO
annuel min</t>
  </si>
  <si>
    <t>ESO
annuel max</t>
  </si>
  <si>
    <t>1.1.1</t>
  </si>
  <si>
    <t>1.1.10</t>
  </si>
  <si>
    <t>1.1.11</t>
  </si>
  <si>
    <t>1.1.12</t>
  </si>
  <si>
    <t>1.1.2</t>
  </si>
  <si>
    <t>1.1.3</t>
  </si>
  <si>
    <t>1.1.4</t>
  </si>
  <si>
    <t>1.1.5</t>
  </si>
  <si>
    <t>1.1.6</t>
  </si>
  <si>
    <t>1.1.7</t>
  </si>
  <si>
    <t>1.1.8</t>
  </si>
  <si>
    <t>1.1.9</t>
  </si>
  <si>
    <t>1.1.A</t>
  </si>
  <si>
    <t>1.1.B</t>
  </si>
  <si>
    <t>1.10.1</t>
  </si>
  <si>
    <t>1.10.2</t>
  </si>
  <si>
    <t>1.10.3</t>
  </si>
  <si>
    <t>1.10.4</t>
  </si>
  <si>
    <t>1.11.1</t>
  </si>
  <si>
    <t>1.11.10</t>
  </si>
  <si>
    <t>1.11.11</t>
  </si>
  <si>
    <t>1.11.2</t>
  </si>
  <si>
    <t>1.11.3</t>
  </si>
  <si>
    <t>1.11.4</t>
  </si>
  <si>
    <t>1.11.5</t>
  </si>
  <si>
    <t>1.11.6</t>
  </si>
  <si>
    <t>1.11.7</t>
  </si>
  <si>
    <t>1.11.8</t>
  </si>
  <si>
    <t>1.11.9</t>
  </si>
  <si>
    <t>1.11.A</t>
  </si>
  <si>
    <t>1.11.B</t>
  </si>
  <si>
    <t>1.11.C</t>
  </si>
  <si>
    <t>1.12.2</t>
  </si>
  <si>
    <t>1.12.3</t>
  </si>
  <si>
    <t>1.12.4</t>
  </si>
  <si>
    <t>1.12.5</t>
  </si>
  <si>
    <t>1.12.6</t>
  </si>
  <si>
    <t>1.12.7</t>
  </si>
  <si>
    <t>1.12.8</t>
  </si>
  <si>
    <t>1.14.1</t>
  </si>
  <si>
    <t>1.14.2</t>
  </si>
  <si>
    <t>1.14.3</t>
  </si>
  <si>
    <t>1.14.A</t>
  </si>
  <si>
    <t>1.16.1</t>
  </si>
  <si>
    <t>1.16.2</t>
  </si>
  <si>
    <t>1.16.3</t>
  </si>
  <si>
    <t>1.16.4</t>
  </si>
  <si>
    <t>1.17.1</t>
  </si>
  <si>
    <t>1.17.2</t>
  </si>
  <si>
    <t>1.17.3</t>
  </si>
  <si>
    <t>1.17.4</t>
  </si>
  <si>
    <t>1.17.5</t>
  </si>
  <si>
    <t>1.17.6</t>
  </si>
  <si>
    <t>1.18.1</t>
  </si>
  <si>
    <t>1.18.10</t>
  </si>
  <si>
    <t>1.18.2</t>
  </si>
  <si>
    <t>1.18.3</t>
  </si>
  <si>
    <t>1.18.4</t>
  </si>
  <si>
    <t>1.18.5</t>
  </si>
  <si>
    <t>1.18.6</t>
  </si>
  <si>
    <t>1.18.7</t>
  </si>
  <si>
    <t>1.18.8</t>
  </si>
  <si>
    <t>1.18.9</t>
  </si>
  <si>
    <t>1.18.A</t>
  </si>
  <si>
    <t>1.2.1</t>
  </si>
  <si>
    <t>1.2.10</t>
  </si>
  <si>
    <t>1.2.11</t>
  </si>
  <si>
    <t>1.2.12</t>
  </si>
  <si>
    <t>1.2.13</t>
  </si>
  <si>
    <t>1.2.14</t>
  </si>
  <si>
    <t>1.2.15</t>
  </si>
  <si>
    <t>1.2.16</t>
  </si>
  <si>
    <t>1.2.17</t>
  </si>
  <si>
    <t>1.2.18</t>
  </si>
  <si>
    <t>1.2.19</t>
  </si>
  <si>
    <t>1.2.2</t>
  </si>
  <si>
    <t>1.2.20</t>
  </si>
  <si>
    <t>1.2.21</t>
  </si>
  <si>
    <t>1.2.22</t>
  </si>
  <si>
    <t>1.2.23</t>
  </si>
  <si>
    <t>1.2.24</t>
  </si>
  <si>
    <t>1.2.25</t>
  </si>
  <si>
    <t>1.2.26</t>
  </si>
  <si>
    <t>1.2.27</t>
  </si>
  <si>
    <t>1.2.28</t>
  </si>
  <si>
    <t>1.2.3</t>
  </si>
  <si>
    <t>1.2.4</t>
  </si>
  <si>
    <t>1.2.5</t>
  </si>
  <si>
    <t>1.2.6</t>
  </si>
  <si>
    <t>1.2.7</t>
  </si>
  <si>
    <t>1.2.8</t>
  </si>
  <si>
    <t>1.2.9</t>
  </si>
  <si>
    <t>1.21.1</t>
  </si>
  <si>
    <t>1.21.10</t>
  </si>
  <si>
    <t>1.21.2</t>
  </si>
  <si>
    <t>1.21.3</t>
  </si>
  <si>
    <t>1.21.4</t>
  </si>
  <si>
    <t>1.21.5</t>
  </si>
  <si>
    <t>1.21.6</t>
  </si>
  <si>
    <t>1.21.7</t>
  </si>
  <si>
    <t>1.21.8</t>
  </si>
  <si>
    <t>1.21.9</t>
  </si>
  <si>
    <t>1.22.1</t>
  </si>
  <si>
    <t>1.22.10</t>
  </si>
  <si>
    <t>1.22.11</t>
  </si>
  <si>
    <t xml:space="preserve">1.22.12 </t>
  </si>
  <si>
    <t>1.22.2</t>
  </si>
  <si>
    <t>1.22.3</t>
  </si>
  <si>
    <t>1.22.4</t>
  </si>
  <si>
    <t>1.22.5</t>
  </si>
  <si>
    <t>1.22.6</t>
  </si>
  <si>
    <t>1.22.7</t>
  </si>
  <si>
    <t>1.22.8</t>
  </si>
  <si>
    <t>1.22.9</t>
  </si>
  <si>
    <t>1.24.1</t>
  </si>
  <si>
    <t>1.24.2</t>
  </si>
  <si>
    <t>1.24.3</t>
  </si>
  <si>
    <t>1.24.4</t>
  </si>
  <si>
    <t>1.24.5</t>
  </si>
  <si>
    <t>1.25.1</t>
  </si>
  <si>
    <t>1.25.2</t>
  </si>
  <si>
    <t>1.25.3</t>
  </si>
  <si>
    <t>1.25.4</t>
  </si>
  <si>
    <t>1.25.5</t>
  </si>
  <si>
    <t>1.25.6</t>
  </si>
  <si>
    <t>1.25.7</t>
  </si>
  <si>
    <t>1.25.8</t>
  </si>
  <si>
    <t>1.26.1</t>
  </si>
  <si>
    <t>1.26.10</t>
  </si>
  <si>
    <t>1.26.11</t>
  </si>
  <si>
    <t>1.26.12</t>
  </si>
  <si>
    <t>1.26.2</t>
  </si>
  <si>
    <t>1.26.3</t>
  </si>
  <si>
    <t>1.26.4</t>
  </si>
  <si>
    <t>1.26.5</t>
  </si>
  <si>
    <t>1.26.6</t>
  </si>
  <si>
    <t>1.26.7</t>
  </si>
  <si>
    <t>1.26.8</t>
  </si>
  <si>
    <t>1.26.9</t>
  </si>
  <si>
    <t>1.3.1</t>
  </si>
  <si>
    <t>1.3.2</t>
  </si>
  <si>
    <t>1.3.3</t>
  </si>
  <si>
    <t>1.3.4</t>
  </si>
  <si>
    <t>1.3.5</t>
  </si>
  <si>
    <t>1.3.6</t>
  </si>
  <si>
    <t>1.3.7</t>
  </si>
  <si>
    <t>1.3.8</t>
  </si>
  <si>
    <t>1.3.A</t>
  </si>
  <si>
    <t>1.4.1</t>
  </si>
  <si>
    <t>1.4.10</t>
  </si>
  <si>
    <t>1.4.11</t>
  </si>
  <si>
    <t>1.4.12</t>
  </si>
  <si>
    <t>1.4.13</t>
  </si>
  <si>
    <t>1.4.2</t>
  </si>
  <si>
    <t>1.4.3</t>
  </si>
  <si>
    <t>1.4.4</t>
  </si>
  <si>
    <t>1.4.5</t>
  </si>
  <si>
    <t>1.4.6</t>
  </si>
  <si>
    <t>1.4.7</t>
  </si>
  <si>
    <t>1.4.8</t>
  </si>
  <si>
    <t>1.4.9</t>
  </si>
  <si>
    <t>1.4.A</t>
  </si>
  <si>
    <t>1.5.1</t>
  </si>
  <si>
    <t>1.5.10</t>
  </si>
  <si>
    <t>1.5.11</t>
  </si>
  <si>
    <t>1.5.12</t>
  </si>
  <si>
    <t>1.5.13</t>
  </si>
  <si>
    <t>1.5.14</t>
  </si>
  <si>
    <t>1.5.15</t>
  </si>
  <si>
    <t>1.5.16</t>
  </si>
  <si>
    <t>1.5.17</t>
  </si>
  <si>
    <t>1.5.18</t>
  </si>
  <si>
    <t>1.5.19</t>
  </si>
  <si>
    <t>1.5.2</t>
  </si>
  <si>
    <t>1.5.20</t>
  </si>
  <si>
    <t>1.5.21</t>
  </si>
  <si>
    <t>1.5.22</t>
  </si>
  <si>
    <t>1.5.23</t>
  </si>
  <si>
    <t>1.5.3</t>
  </si>
  <si>
    <t>1.5.4</t>
  </si>
  <si>
    <t>1.5.5</t>
  </si>
  <si>
    <t>1.5.6</t>
  </si>
  <si>
    <t>1.5.7</t>
  </si>
  <si>
    <t>1.5.8</t>
  </si>
  <si>
    <t>1.5.9</t>
  </si>
  <si>
    <t>1.6.1</t>
  </si>
  <si>
    <t>1.6.2</t>
  </si>
  <si>
    <t>1.6.3</t>
  </si>
  <si>
    <t>1.6.4</t>
  </si>
  <si>
    <t>1.6.5</t>
  </si>
  <si>
    <t>1.6.6</t>
  </si>
  <si>
    <t>1.6.7</t>
  </si>
  <si>
    <t>1.7.1</t>
  </si>
  <si>
    <t>1.7.2</t>
  </si>
  <si>
    <t>1.7.3</t>
  </si>
  <si>
    <t>1.7.4</t>
  </si>
  <si>
    <t>1.7.5</t>
  </si>
  <si>
    <t>1.7.6</t>
  </si>
  <si>
    <t>1.8.1</t>
  </si>
  <si>
    <t>1.8.2</t>
  </si>
  <si>
    <t>1.8.3</t>
  </si>
  <si>
    <t>1.8.4</t>
  </si>
  <si>
    <t>1.8.5</t>
  </si>
  <si>
    <t>1.8.6</t>
  </si>
  <si>
    <t>1.8.7</t>
  </si>
  <si>
    <t>1.8.8</t>
  </si>
  <si>
    <t>1.8.A</t>
  </si>
  <si>
    <t>1.9.1</t>
  </si>
  <si>
    <t>1.9.2</t>
  </si>
  <si>
    <t>1.9.3</t>
  </si>
  <si>
    <t>1.9.4</t>
  </si>
  <si>
    <t>1.9.5</t>
  </si>
  <si>
    <t>1.9.6</t>
  </si>
  <si>
    <t>1.9.7</t>
  </si>
  <si>
    <t>1.9.8</t>
  </si>
  <si>
    <t>1.9.A</t>
  </si>
  <si>
    <t>2.1.1</t>
  </si>
  <si>
    <t>2.1.10</t>
  </si>
  <si>
    <t>2.1.11</t>
  </si>
  <si>
    <t>2.1.12</t>
  </si>
  <si>
    <t>2.1.13</t>
  </si>
  <si>
    <t>2.1.14</t>
  </si>
  <si>
    <t>2.1.15</t>
  </si>
  <si>
    <t>2.1.16</t>
  </si>
  <si>
    <t>2.1.2</t>
  </si>
  <si>
    <t>2.1.3</t>
  </si>
  <si>
    <t>2.1.4</t>
  </si>
  <si>
    <t>2.1.5</t>
  </si>
  <si>
    <t>2.1.6</t>
  </si>
  <si>
    <t>2.1.7</t>
  </si>
  <si>
    <t>2.1.8.</t>
  </si>
  <si>
    <t>2.1.9</t>
  </si>
  <si>
    <t>2.10.1</t>
  </si>
  <si>
    <t>2.10.2</t>
  </si>
  <si>
    <t>2.10.3</t>
  </si>
  <si>
    <t>2.11.1</t>
  </si>
  <si>
    <t>2.11.2</t>
  </si>
  <si>
    <t>2.11.3</t>
  </si>
  <si>
    <t>2.11.4</t>
  </si>
  <si>
    <t>2.11.5</t>
  </si>
  <si>
    <t>2.12.1</t>
  </si>
  <si>
    <t>2.12.2</t>
  </si>
  <si>
    <t>2.13.1</t>
  </si>
  <si>
    <t>2.13.2</t>
  </si>
  <si>
    <t>2.13.3</t>
  </si>
  <si>
    <t>2.13.4</t>
  </si>
  <si>
    <t>2.14.1</t>
  </si>
  <si>
    <t>2.14.2</t>
  </si>
  <si>
    <t>2.15.1</t>
  </si>
  <si>
    <t>2.15.2</t>
  </si>
  <si>
    <t>2.2.1</t>
  </si>
  <si>
    <t>2.2.2</t>
  </si>
  <si>
    <t>2.2.3</t>
  </si>
  <si>
    <t>2.2.4</t>
  </si>
  <si>
    <t>2.2.5</t>
  </si>
  <si>
    <t>2.2.6</t>
  </si>
  <si>
    <t>2.3.1</t>
  </si>
  <si>
    <t>2.3.2</t>
  </si>
  <si>
    <t>2.3.3</t>
  </si>
  <si>
    <t>2.3.4</t>
  </si>
  <si>
    <t>2.3.5</t>
  </si>
  <si>
    <t>2.3.6</t>
  </si>
  <si>
    <t>2.4.1</t>
  </si>
  <si>
    <t>2.4.2</t>
  </si>
  <si>
    <t>2.4.3</t>
  </si>
  <si>
    <t>2.4.4</t>
  </si>
  <si>
    <t>2.4.5</t>
  </si>
  <si>
    <t>2.4.6</t>
  </si>
  <si>
    <t>2.5.1</t>
  </si>
  <si>
    <t>2.5.2</t>
  </si>
  <si>
    <t>2.5.3</t>
  </si>
  <si>
    <t>2.5.4</t>
  </si>
  <si>
    <t>2.6.1</t>
  </si>
  <si>
    <t>2.6.2</t>
  </si>
  <si>
    <t>2.6.3</t>
  </si>
  <si>
    <t>2.6.A</t>
  </si>
  <si>
    <t>2.6.B</t>
  </si>
  <si>
    <t>2.7.1</t>
  </si>
  <si>
    <t>2.7.2</t>
  </si>
  <si>
    <t>2.7.3</t>
  </si>
  <si>
    <t>2.7.4</t>
  </si>
  <si>
    <t>2.7.5</t>
  </si>
  <si>
    <t>2.7.6</t>
  </si>
  <si>
    <t>2.7.A</t>
  </si>
  <si>
    <t>2.8.1</t>
  </si>
  <si>
    <t>2.8.2</t>
  </si>
  <si>
    <t>2.8.A</t>
  </si>
  <si>
    <t>2.9.1</t>
  </si>
  <si>
    <t>2.9.2</t>
  </si>
  <si>
    <t>2.9.3</t>
  </si>
  <si>
    <t>2.9.4</t>
  </si>
  <si>
    <t>2.9.5</t>
  </si>
  <si>
    <t>3.1.1</t>
  </si>
  <si>
    <t>3.1.2</t>
  </si>
  <si>
    <t>3.1.3</t>
  </si>
  <si>
    <t>3.1.4</t>
  </si>
  <si>
    <t>3.1.A</t>
  </si>
  <si>
    <t>3.2.1</t>
  </si>
  <si>
    <t>3.2.2</t>
  </si>
  <si>
    <t>3.2.3</t>
  </si>
  <si>
    <t>3.2.4</t>
  </si>
  <si>
    <t>3.2.5</t>
  </si>
  <si>
    <t>3.2.A</t>
  </si>
  <si>
    <t>3.3.1</t>
  </si>
  <si>
    <t>3.3.2</t>
  </si>
  <si>
    <t>3.3.A</t>
  </si>
  <si>
    <t>3.4.1</t>
  </si>
  <si>
    <t>3.4.2</t>
  </si>
  <si>
    <t>3.4.3</t>
  </si>
  <si>
    <t>3.4.4</t>
  </si>
  <si>
    <t>3.4.5</t>
  </si>
  <si>
    <t>3.4.6</t>
  </si>
  <si>
    <t>3.4.7</t>
  </si>
  <si>
    <t>3.4.A</t>
  </si>
  <si>
    <t>3.4.B</t>
  </si>
  <si>
    <t>3.4.C</t>
  </si>
  <si>
    <t>3.5.1</t>
  </si>
  <si>
    <t>3.5.2</t>
  </si>
  <si>
    <t>3.5.3</t>
  </si>
  <si>
    <t>3.5.4</t>
  </si>
  <si>
    <t>3.5.5</t>
  </si>
  <si>
    <t>3.6.1</t>
  </si>
  <si>
    <t>3.6.2</t>
  </si>
  <si>
    <t>3.7.1</t>
  </si>
  <si>
    <t>3.7.10</t>
  </si>
  <si>
    <t>3.7.11</t>
  </si>
  <si>
    <t>3.7.12</t>
  </si>
  <si>
    <t>3.7.13</t>
  </si>
  <si>
    <t>3.7.14</t>
  </si>
  <si>
    <t>3.7.15</t>
  </si>
  <si>
    <t>3.7.16</t>
  </si>
  <si>
    <t>3.7.17</t>
  </si>
  <si>
    <t>3.7.18</t>
  </si>
  <si>
    <t>3.7.19</t>
  </si>
  <si>
    <t>3.7.2</t>
  </si>
  <si>
    <t>3.7.20</t>
  </si>
  <si>
    <t>3.7.3</t>
  </si>
  <si>
    <t>3.7.4</t>
  </si>
  <si>
    <t>3.7.5</t>
  </si>
  <si>
    <t>3.7.6</t>
  </si>
  <si>
    <t>3.7.7</t>
  </si>
  <si>
    <t>3.7.8</t>
  </si>
  <si>
    <t>3.7.9</t>
  </si>
  <si>
    <t>3.7.A</t>
  </si>
  <si>
    <t>4.1.1</t>
  </si>
  <si>
    <t>4.1.2</t>
  </si>
  <si>
    <t>4.1.3</t>
  </si>
  <si>
    <t>4.1.4</t>
  </si>
  <si>
    <t>4.2.1</t>
  </si>
  <si>
    <t>4.2.2</t>
  </si>
  <si>
    <t>4.2.3</t>
  </si>
  <si>
    <t>4.2.4</t>
  </si>
  <si>
    <t>4.3.1</t>
  </si>
  <si>
    <t>4.3.2</t>
  </si>
  <si>
    <t>4.3.3</t>
  </si>
  <si>
    <t>4.3.4</t>
  </si>
  <si>
    <t>4.4.1</t>
  </si>
  <si>
    <t>4.4.2</t>
  </si>
  <si>
    <t>4.5.1</t>
  </si>
  <si>
    <t>4.5.2</t>
  </si>
  <si>
    <t>4.5.3</t>
  </si>
  <si>
    <t>4.6.1</t>
  </si>
  <si>
    <t>4.6.2</t>
  </si>
  <si>
    <t>4.6.3</t>
  </si>
  <si>
    <t>4.6.4</t>
  </si>
  <si>
    <t>4.8.1</t>
  </si>
  <si>
    <t>4.8.2</t>
  </si>
  <si>
    <t>4.8.3</t>
  </si>
  <si>
    <t>4.8.4</t>
  </si>
  <si>
    <t>5.1.1</t>
  </si>
  <si>
    <t>5.1.10</t>
  </si>
  <si>
    <t>5.1.11</t>
  </si>
  <si>
    <t>5.1.12</t>
  </si>
  <si>
    <t>5.1.2</t>
  </si>
  <si>
    <t>5.1.3</t>
  </si>
  <si>
    <t>5.1.4</t>
  </si>
  <si>
    <t>5.1.5</t>
  </si>
  <si>
    <t>5.1.6</t>
  </si>
  <si>
    <t>5.1.7</t>
  </si>
  <si>
    <t>5.1.8</t>
  </si>
  <si>
    <t>5.1.9</t>
  </si>
  <si>
    <t>5.10.1</t>
  </si>
  <si>
    <t>5.10.2</t>
  </si>
  <si>
    <t>5.10.3</t>
  </si>
  <si>
    <t>5.10.4</t>
  </si>
  <si>
    <t>5.11.1</t>
  </si>
  <si>
    <t>5.11.2</t>
  </si>
  <si>
    <t>5.11.3</t>
  </si>
  <si>
    <t>5.11.4</t>
  </si>
  <si>
    <t>5.11.5</t>
  </si>
  <si>
    <t>5.11.6</t>
  </si>
  <si>
    <t>5.11.7</t>
  </si>
  <si>
    <t>5.12.1</t>
  </si>
  <si>
    <t>5.12.2</t>
  </si>
  <si>
    <t>5.12.3</t>
  </si>
  <si>
    <t>5.13.1</t>
  </si>
  <si>
    <t>5.13.2</t>
  </si>
  <si>
    <t>5.13.3</t>
  </si>
  <si>
    <t>5.13.4</t>
  </si>
  <si>
    <t>5.14.1</t>
  </si>
  <si>
    <t>5.14.2</t>
  </si>
  <si>
    <t>5.15.1</t>
  </si>
  <si>
    <t>5.15.2</t>
  </si>
  <si>
    <t>5.15.3</t>
  </si>
  <si>
    <t>5.16.1</t>
  </si>
  <si>
    <t>5.16.2</t>
  </si>
  <si>
    <t>5.16.3</t>
  </si>
  <si>
    <t>5.16.4</t>
  </si>
  <si>
    <t>5.16.5</t>
  </si>
  <si>
    <t>5.16.6</t>
  </si>
  <si>
    <t>5.17.1</t>
  </si>
  <si>
    <t>5.17.2</t>
  </si>
  <si>
    <t>5.17.3</t>
  </si>
  <si>
    <t>5.17.4</t>
  </si>
  <si>
    <t>5.17.5</t>
  </si>
  <si>
    <t>5.17.A</t>
  </si>
  <si>
    <t>5.18.1</t>
  </si>
  <si>
    <t>5.18.2</t>
  </si>
  <si>
    <t>5.18.3</t>
  </si>
  <si>
    <t>5.18.A</t>
  </si>
  <si>
    <t>5.19.1</t>
  </si>
  <si>
    <t>5.19.2</t>
  </si>
  <si>
    <t>5.19.3</t>
  </si>
  <si>
    <t>5.19.4</t>
  </si>
  <si>
    <t>5.19.5</t>
  </si>
  <si>
    <t>5.2.1</t>
  </si>
  <si>
    <t>5.2.2</t>
  </si>
  <si>
    <t>5.2.3</t>
  </si>
  <si>
    <t>5.20.1</t>
  </si>
  <si>
    <t>5.20.2</t>
  </si>
  <si>
    <t>5.20.3</t>
  </si>
  <si>
    <t>5.20.4</t>
  </si>
  <si>
    <t>5.20.5</t>
  </si>
  <si>
    <t>5.21.1</t>
  </si>
  <si>
    <t>5.21.2</t>
  </si>
  <si>
    <t>5.21.3</t>
  </si>
  <si>
    <t>5.21.A</t>
  </si>
  <si>
    <t>5.22.1</t>
  </si>
  <si>
    <t>5.22.2</t>
  </si>
  <si>
    <t>5.22.3</t>
  </si>
  <si>
    <t>5.22.4</t>
  </si>
  <si>
    <t>5.22.5</t>
  </si>
  <si>
    <t>5.22.6</t>
  </si>
  <si>
    <t>5.22.7</t>
  </si>
  <si>
    <t>5.23.1</t>
  </si>
  <si>
    <t>5.23.2</t>
  </si>
  <si>
    <t>5.24.1</t>
  </si>
  <si>
    <t>5.24.2</t>
  </si>
  <si>
    <t>5.24.3</t>
  </si>
  <si>
    <t>5.24.4</t>
  </si>
  <si>
    <t>5.24.5</t>
  </si>
  <si>
    <t>5.25.1</t>
  </si>
  <si>
    <t>5.25.2</t>
  </si>
  <si>
    <t>5.25.3</t>
  </si>
  <si>
    <t>5.25.4</t>
  </si>
  <si>
    <t>5.25.5</t>
  </si>
  <si>
    <t>5.26.1</t>
  </si>
  <si>
    <t>5.26.2</t>
  </si>
  <si>
    <t>5.26.3</t>
  </si>
  <si>
    <t>5.26.4</t>
  </si>
  <si>
    <t>5.26.5</t>
  </si>
  <si>
    <t>5.26.6</t>
  </si>
  <si>
    <t>5.26.7</t>
  </si>
  <si>
    <t>5.27.1</t>
  </si>
  <si>
    <t>5.27.2</t>
  </si>
  <si>
    <t>5.27.3</t>
  </si>
  <si>
    <t>5.27.4</t>
  </si>
  <si>
    <t>5.27.5</t>
  </si>
  <si>
    <t>5.27.6</t>
  </si>
  <si>
    <t>5.28.1</t>
  </si>
  <si>
    <t>5.28.2</t>
  </si>
  <si>
    <t>5.29.1</t>
  </si>
  <si>
    <t>5.29.2</t>
  </si>
  <si>
    <t>5.29.3</t>
  </si>
  <si>
    <t>5.29.4</t>
  </si>
  <si>
    <t>5.29.5</t>
  </si>
  <si>
    <t>5.29.6</t>
  </si>
  <si>
    <t>5.29.7</t>
  </si>
  <si>
    <t>5.29.8</t>
  </si>
  <si>
    <t>5.29.9</t>
  </si>
  <si>
    <t>5.3.1</t>
  </si>
  <si>
    <t>5.3.10</t>
  </si>
  <si>
    <t>5.3.11</t>
  </si>
  <si>
    <t>5.3.2</t>
  </si>
  <si>
    <t>5.3.3</t>
  </si>
  <si>
    <t>5.3.4</t>
  </si>
  <si>
    <t>5.3.5</t>
  </si>
  <si>
    <t>5.3.6</t>
  </si>
  <si>
    <t>5.3.7</t>
  </si>
  <si>
    <t>5.3.8</t>
  </si>
  <si>
    <t>5.3.9</t>
  </si>
  <si>
    <t>5.30.1</t>
  </si>
  <si>
    <t>5.30.2</t>
  </si>
  <si>
    <t>5.30.3</t>
  </si>
  <si>
    <t>5.30.4</t>
  </si>
  <si>
    <t>5.30.5</t>
  </si>
  <si>
    <t>5.30.6</t>
  </si>
  <si>
    <t>5.30.7</t>
  </si>
  <si>
    <t>5.30.8</t>
  </si>
  <si>
    <t>5.5.1</t>
  </si>
  <si>
    <t>5.5.2</t>
  </si>
  <si>
    <t>5.5.3</t>
  </si>
  <si>
    <t>5.5.4</t>
  </si>
  <si>
    <t>5.6.1</t>
  </si>
  <si>
    <t>5.6.2</t>
  </si>
  <si>
    <t>5.6.3</t>
  </si>
  <si>
    <t>5.6.4</t>
  </si>
  <si>
    <t>5.6.5</t>
  </si>
  <si>
    <t>5.6.6</t>
  </si>
  <si>
    <t>5.6.7</t>
  </si>
  <si>
    <t>5.6.8</t>
  </si>
  <si>
    <t>5.7.1</t>
  </si>
  <si>
    <t>5.7.2</t>
  </si>
  <si>
    <t>5.7.3</t>
  </si>
  <si>
    <t>5.7.4</t>
  </si>
  <si>
    <t>5.7.5</t>
  </si>
  <si>
    <t>5.7.6</t>
  </si>
  <si>
    <t>5.7.7</t>
  </si>
  <si>
    <t>5.8.1</t>
  </si>
  <si>
    <t>5.8.2</t>
  </si>
  <si>
    <t>5.9.1</t>
  </si>
  <si>
    <t>5.9.2</t>
  </si>
  <si>
    <t>5.9.3</t>
  </si>
  <si>
    <t>5.9.4</t>
  </si>
  <si>
    <t>5.9.5</t>
  </si>
  <si>
    <t>6.1.1</t>
  </si>
  <si>
    <t>6.1.2</t>
  </si>
  <si>
    <t>6.10.1</t>
  </si>
  <si>
    <t>6.10.2</t>
  </si>
  <si>
    <t>6.11.1</t>
  </si>
  <si>
    <t>6.11.2</t>
  </si>
  <si>
    <t>6.11.3</t>
  </si>
  <si>
    <t>6.11.4</t>
  </si>
  <si>
    <t>6.12.1</t>
  </si>
  <si>
    <t>6.12.2</t>
  </si>
  <si>
    <t>6.12.3</t>
  </si>
  <si>
    <t>6.12.4</t>
  </si>
  <si>
    <t>6.12.5</t>
  </si>
  <si>
    <t>6.12.6</t>
  </si>
  <si>
    <t>6.12.7</t>
  </si>
  <si>
    <t>6.2.1</t>
  </si>
  <si>
    <t>6.2.2</t>
  </si>
  <si>
    <t>6.2.3</t>
  </si>
  <si>
    <t>6.2.4</t>
  </si>
  <si>
    <t>6.3.1</t>
  </si>
  <si>
    <t>6.3.2</t>
  </si>
  <si>
    <t>6.3.3</t>
  </si>
  <si>
    <t>6.3.4</t>
  </si>
  <si>
    <t>6.3.5</t>
  </si>
  <si>
    <t>6.3.6</t>
  </si>
  <si>
    <t>6.3.7</t>
  </si>
  <si>
    <t>6.3.8</t>
  </si>
  <si>
    <t>6.4.1</t>
  </si>
  <si>
    <t>6.4.2</t>
  </si>
  <si>
    <t>6.4.3</t>
  </si>
  <si>
    <t>6.4.4</t>
  </si>
  <si>
    <t>6.5.1</t>
  </si>
  <si>
    <t>6.7.1</t>
  </si>
  <si>
    <t>6.7.2</t>
  </si>
  <si>
    <t>6.7.3</t>
  </si>
  <si>
    <t>6.7.4</t>
  </si>
  <si>
    <t>6.8.1</t>
  </si>
  <si>
    <t>6.8.2</t>
  </si>
  <si>
    <t>6.8.3</t>
  </si>
  <si>
    <t>6.8.4</t>
  </si>
  <si>
    <t>6.9.1</t>
  </si>
  <si>
    <t>6.9.2</t>
  </si>
  <si>
    <t>6.9.3</t>
  </si>
  <si>
    <t>6.9.4</t>
  </si>
  <si>
    <t>7.1.1</t>
  </si>
  <si>
    <t>7.1.2</t>
  </si>
  <si>
    <t>7.1.3</t>
  </si>
  <si>
    <t>7.1.4</t>
  </si>
  <si>
    <t>7.1.5</t>
  </si>
  <si>
    <t>7.1.6</t>
  </si>
  <si>
    <t>7.1.7</t>
  </si>
  <si>
    <t>7.10.1</t>
  </si>
  <si>
    <t>7.10.2</t>
  </si>
  <si>
    <t>7.10.3</t>
  </si>
  <si>
    <t>7.11.1</t>
  </si>
  <si>
    <t>7.11.2</t>
  </si>
  <si>
    <t>7.11.3</t>
  </si>
  <si>
    <t>7.12.1</t>
  </si>
  <si>
    <t>7.12.2</t>
  </si>
  <si>
    <t>7.12.3</t>
  </si>
  <si>
    <t>7.2.1</t>
  </si>
  <si>
    <t>7.2.2</t>
  </si>
  <si>
    <t>7.2.3</t>
  </si>
  <si>
    <t>7.2.4</t>
  </si>
  <si>
    <t>7.2.5</t>
  </si>
  <si>
    <t>7.2.6</t>
  </si>
  <si>
    <t>7.2.7</t>
  </si>
  <si>
    <t>7.3.1</t>
  </si>
  <si>
    <t>7.3.2</t>
  </si>
  <si>
    <t>7.3.3</t>
  </si>
  <si>
    <t>7.3.4</t>
  </si>
  <si>
    <t>7.3.5</t>
  </si>
  <si>
    <t>7.4.1</t>
  </si>
  <si>
    <t>7.4.2</t>
  </si>
  <si>
    <t>7.4.3</t>
  </si>
  <si>
    <t>7.4.4</t>
  </si>
  <si>
    <t>7.5.1</t>
  </si>
  <si>
    <t>7.5.2</t>
  </si>
  <si>
    <t>7.5.3</t>
  </si>
  <si>
    <t>7.5.4</t>
  </si>
  <si>
    <t>7.5.5</t>
  </si>
  <si>
    <t>7.5.6</t>
  </si>
  <si>
    <t>7.5.7</t>
  </si>
  <si>
    <t>7.5.8</t>
  </si>
  <si>
    <t>7.6.1</t>
  </si>
  <si>
    <t>7.6.2</t>
  </si>
  <si>
    <t>7.6.3</t>
  </si>
  <si>
    <t>7.6.4</t>
  </si>
  <si>
    <t>7.6.5</t>
  </si>
  <si>
    <t>7.6.A</t>
  </si>
  <si>
    <t>7.7.1</t>
  </si>
  <si>
    <t>7.7.2</t>
  </si>
  <si>
    <t>7.7.3</t>
  </si>
  <si>
    <t>7.8.1</t>
  </si>
  <si>
    <t>7.8.2</t>
  </si>
  <si>
    <t>7.9.1</t>
  </si>
  <si>
    <t>7.9.2</t>
  </si>
  <si>
    <t>7.9.3</t>
  </si>
  <si>
    <t>8.1.1</t>
  </si>
  <si>
    <t>8.1.2</t>
  </si>
  <si>
    <t>8.2.1</t>
  </si>
  <si>
    <t>8.2.2</t>
  </si>
  <si>
    <t>8.2.3</t>
  </si>
  <si>
    <t>8.2.4</t>
  </si>
  <si>
    <t>8.2.5</t>
  </si>
  <si>
    <t>8.3.1</t>
  </si>
  <si>
    <t>8.3.2</t>
  </si>
  <si>
    <t>8.3.3</t>
  </si>
  <si>
    <t>8.3.4</t>
  </si>
  <si>
    <t>8.3.5</t>
  </si>
  <si>
    <t>8.3.6</t>
  </si>
  <si>
    <t>8.3.7</t>
  </si>
  <si>
    <t>8.4.1</t>
  </si>
  <si>
    <t>8.4.2</t>
  </si>
  <si>
    <t>8.4.3</t>
  </si>
  <si>
    <t>8.5.1</t>
  </si>
  <si>
    <t>8.5.10</t>
  </si>
  <si>
    <t>8.5.11</t>
  </si>
  <si>
    <t>8.5.2</t>
  </si>
  <si>
    <t>8.5.3</t>
  </si>
  <si>
    <t>8.5.4</t>
  </si>
  <si>
    <t>8.5.5</t>
  </si>
  <si>
    <t>8.5.6</t>
  </si>
  <si>
    <t>8.5.7</t>
  </si>
  <si>
    <t>8.5.8</t>
  </si>
  <si>
    <t>8.5.9</t>
  </si>
  <si>
    <t>SEN / CAN</t>
  </si>
  <si>
    <t>SEN / CAN / WOL</t>
  </si>
  <si>
    <t>SEN / WOL</t>
  </si>
  <si>
    <t>SEN / WOL / CAN</t>
  </si>
  <si>
    <t>Projet « Max-sur-Senne » : réaménagement du parc Maximilien avec mise à ciel ouvert de la Senne sur une longueur de 580 …</t>
  </si>
  <si>
    <t>Mise à ciel ouvert du Roodkloosterbeek dans le parc Bergoge sur 100m - Travaux (également sur M1.2)…</t>
  </si>
  <si>
    <t>Établir et mettre en œuvre une stratégie de déminéralisation et de végétalisation (plantation et entretien)  en voirie t…</t>
  </si>
  <si>
    <t>Intégrer les prescriptions techniques des ouvrages et revêtements nécessaires à la mise en œuvre de la GIEP dans le Cahi…</t>
  </si>
  <si>
    <t>Rédiger et diffuser un Vademecum sur la gestion des eaux pluviales dans les espaces publics…</t>
  </si>
  <si>
    <t>Mise en œuvre d’une gestion intégrée des eaux pluviales dans les chantiers publics en suivant les lignes directrices d’u…</t>
  </si>
  <si>
    <t>Se doter d’une Assistance à Maîtrise d’ouvrage pour garantir la bonne réalisation des chantiers/travaux dans le domaine …</t>
  </si>
  <si>
    <t>Mettre en œuvre des projets de déconnexion et déminéralisation sur les espaces gérés par BE (Parc, espaces verts,...) co…</t>
  </si>
  <si>
    <t>Remise à ciel ouvert complète de la Woluwe…</t>
  </si>
  <si>
    <t>Étude de faisabilité de mise à ciel ouvert du Kerkebeek sur 800 m au niveau du Moeraske …</t>
  </si>
  <si>
    <t>Etude Étude de faisabilité de mise à ciel ouvert du Hollebeek sur 100 m au niveau du site Citydev, rue du Bruel – Etude …</t>
  </si>
  <si>
    <t>Projet Schaerbeek Formation : mise à ciel ouvert de la Senne sur le site de Schaerbeek Formation – Etude (également sur …</t>
  </si>
  <si>
    <t>Projet Schaerbeek Formation : mise à ciel ouvert de la Senne sur le site de Schaerbeek Formation –Travaux (également sur…</t>
  </si>
  <si>
    <t>Projet Poincaré : mise en perspective de la Senne au niveau du musée des égouts - Etude (fait partie de l’action C12_4 B…</t>
  </si>
  <si>
    <t>Projet Poincaré : mise en perspective de la Senne au niveau du musée des égouts – Travaux…</t>
  </si>
  <si>
    <t>Projet site « Royale Belge » : Mise à ciel ouvert de la Woluwe sur une longueur de 250 m – Etude (voir également fiche M…</t>
  </si>
  <si>
    <t>Projet site « Royale Belge »: Mise à ciel ouvert de la Woluwe sur une longueur de 250 m – Travaux (financés par des char…</t>
  </si>
  <si>
    <t>Mise à ciel ouvert du Roodkloosterbeek dans le parc Bergoge sur 100m – Etude (également sur M1.2)…</t>
  </si>
  <si>
    <t>Remise à ciel ouvert complète de la Senne…</t>
  </si>
  <si>
    <t>Pour les 4 points de rejets identifiés, procéder à la finalisation des études, à l’obtention des autorisations et aux tr…</t>
  </si>
  <si>
    <t xml:space="preserve"> Identifier d’autres chainons manquants du réseau d’assainissement public (« égouts orphelins ») sur base de pollution é…</t>
  </si>
  <si>
    <t>Procéder aux études et travaux de raccordement  aux réseaux d’égouttage connectés aux STEPs d’autres égouts orphelins qu…</t>
  </si>
  <si>
    <t>Actualiser la carte des zones égouttées, mais non raccordées aux stations d’épuration dans l’inventaire BE des émissions…</t>
  </si>
  <si>
    <t>Poursuivre le nettoyage régulier des macro-déchets flottants du Canal au moyen des bateaux et des litter traps, et des é…</t>
  </si>
  <si>
    <t>Entretenir le système de dégrillage de la Senne au niveau de la rue des Vétérinaires à Anderlecht…</t>
  </si>
  <si>
    <t>Etudier et expérimenter la mise en place de systèmes de rétention des macro-déchets flottants sur les affluents de la Se…</t>
  </si>
  <si>
    <t>Identifier les zones d’accumulation de macro-déchets flottants dans le Canal, et des conditions et voies d’entrée princi…</t>
  </si>
  <si>
    <t>Réaliser une étude sur la gestion actuelle des macro-déchets flottants dans le Canal (évaluation sur une éventuelle opti…</t>
  </si>
  <si>
    <t>Installer de nouveaux dispositifs de capture des macro-déchets flottants au niveau du Canal et mettre en œuvre de nouvel…</t>
  </si>
  <si>
    <t>Faire l’acquisition d’un troisième bateau de ramassage de déchets…</t>
  </si>
  <si>
    <t>Créer un pool de nettoyage à l’écluse d’Anderlecht…</t>
  </si>
  <si>
    <t>Assurer le dégrillage des eaux du Neerpedebeek en amont de sa confluence avec le Canal…</t>
  </si>
  <si>
    <t>Etudier les meilleures solutions de rétention ou de collecte des macro-déchets flottants au niveau des déversoirs…</t>
  </si>
  <si>
    <t>Équiper les déversoirs des dispositifs retenus (lien vers la mesure M 1.8)…</t>
  </si>
  <si>
    <t>Etudier la possibilité de reconnecter le Neerpedebeek à la Senne via un siphon existant (cf. M 1.27).…</t>
  </si>
  <si>
    <t>Installer un système de dégrillage en aval de la Senne (au niveau de la STEP Nord) pour diminuer la quantité de macro-dé…</t>
  </si>
  <si>
    <t>Continuer la sensibilisation des citoyens pour limiter l’abandon des déchets (cf. M 1.25)…</t>
  </si>
  <si>
    <t>Etablir une liste de paramètres à étudier sur base de leur caractère problématique pour les eaux de surface (notamment c…</t>
  </si>
  <si>
    <t>Réaliser une étude indépendante de faisabilité de l’amélioration du rendement épuratoire des STEPs Bruxelles-Nord et Sud…</t>
  </si>
  <si>
    <t>Evaluer l’impact de la mise en œuvre des solutions proposées sur le prix de l’eau…</t>
  </si>
  <si>
    <t>Etude de définition de détails et rédaction du cahier des charges des travaux…</t>
  </si>
  <si>
    <t>Procédure d’obtention des permis d’environnement et d’urbanisme associés au projet…</t>
  </si>
  <si>
    <t>Attribution du marché de travaux…</t>
  </si>
  <si>
    <t>Réalisation des travaux sur l’usine en fonctionnement…</t>
  </si>
  <si>
    <t>Identifier les entreprises qui rejettent directement des eaux non domestiques dans les eaux de surface et encoder l’info…</t>
  </si>
  <si>
    <t>Recenser, dans la base de données des permis d’environnement, les installations classées dont les rejets sont potentiell…</t>
  </si>
  <si>
    <t>Etablissement d’un programme d’inspection spécifique pour ces installations classées en tenant compte des priorités prop…</t>
  </si>
  <si>
    <t>Sur base des résultats de l’analyse de secteurs (mesure 1.13.2), sélection des secteurs les plus problématiques et propo…</t>
  </si>
  <si>
    <t>Mener une étude des sédiments présents sur les 2 tronçons de la Senne qui n’ont pas encore été curés : Aquiris et Buda (…</t>
  </si>
  <si>
    <t>Curer le tronçon ‘Aquiris’ et éliminer les boues polluées (Senne)…</t>
  </si>
  <si>
    <t>Curer le tronçon ‘Buda’ et éliminer les boues polluées (Senne)…</t>
  </si>
  <si>
    <t>Etablir une base de données des curages réalisés (en tant qu’outil de planification future)…</t>
  </si>
  <si>
    <t>Évaluer le besoin réel de déviation d’eau de la Senne vers le Canal, déterminer les règles d’activation des vannes en te…</t>
  </si>
  <si>
    <t>Remplacer les vannes en bois par des vannes métalliques…</t>
  </si>
  <si>
    <t>Installation des systèmes de surveillance des paramètres principaux sur base des résultats de l’étude hydraulique (nivea…</t>
  </si>
  <si>
    <t>Aménager les vannes et implémenter les nouvelles règles de déviation d’eaux en fonction des étapes M 1.17.1 à M1.17.3…</t>
  </si>
  <si>
    <t>Assurer la veille des niveaux d’eau
Mesures de sécurité additionnelle à prendre en compte…</t>
  </si>
  <si>
    <t>Assurer le fonctionnement des vannes…</t>
  </si>
  <si>
    <t>Bathymétrie, localisation et mesure du volume de boue…</t>
  </si>
  <si>
    <t>Identifier les décharges clandestines le long du canal, les éliminer et poursuivre les auteurs, et prévenir ces décharge…</t>
  </si>
  <si>
    <t>Poursuivre le dragage mécanique et l'élimination des sédiments pollués du Canal…</t>
  </si>
  <si>
    <t>Mettre en évidence des zones préférentielles d’accumulation des sédiments pour en faciliter le curage, et pour alimenter…</t>
  </si>
  <si>
    <t>Suivre la problématique des sédiments et de leur curage dans la voie navigable du Canal Bruxelles-Escaut avec les région…</t>
  </si>
  <si>
    <t>Etude de l'efficacité de méthodes alternatives au curage mécanique (ex. : bio-dragage, précipitation du phosphore sous f…</t>
  </si>
  <si>
    <t>Valoriser les données de bathymétrie ainsi que les données de pollution des boues curées du Port et les données de monit…</t>
  </si>
  <si>
    <t>Sensibiliser les usagers quant aux pollutions diffuses des navires et bateaux caractérisées dans la mesure M1.5…</t>
  </si>
  <si>
    <t>Émettre des recommandations pour limiter les pollutions diffuses des navires et bateaux caractérisées dans la mesure M1.…</t>
  </si>
  <si>
    <t>Contrôler le respect de l'arrêté pour le transport et la manutention des marchandises dangereuses ou non dans le Canal…</t>
  </si>
  <si>
    <t>Curer la totalité des sédiments du Canal pour retirer la pollution historique. Scénario Maximaliste…</t>
  </si>
  <si>
    <t>Amélioration de la berge et l’aménagement d’une annexe hydraulique abritée (frayère) à hauteur du site d’Aquiris (action…</t>
  </si>
  <si>
    <t>Améliorer l’hydromorphologie de la Senne entre la Rue du Rupel (aval du Pont Van Praet) et la Rampe du Lion (état actuel…</t>
  </si>
  <si>
    <t>Aménager les berges et lit naturels entre la Chaussée de Buda et la sortie de la région, tenant compte du curage prévu d…</t>
  </si>
  <si>
    <t>Aménager les berges et lit naturels entre la Chaussée de Buda et la sortie de la région, tenant compte du curage de ce t…</t>
  </si>
  <si>
    <t>Aménager de berges naturelles entre la Rue de la Bienvenue et le Boulevard International - Etude…</t>
  </si>
  <si>
    <t>Travaux pour aménager une zone humide le long de la Woluwe au niveau de l’étang rond, Parc de la Woluwe – Etude…</t>
  </si>
  <si>
    <t>Travaux pour aménager une zone humide le long de la Woluwe au niveau de l’étang rond, Parc de la Woluwe – Travaux…</t>
  </si>
  <si>
    <t>Réaliser une étude pour l’aménagement de berges naturelles sur la Woluwe entre l’Avenue Debecker et l’Avenue Vandervelde…</t>
  </si>
  <si>
    <t>Aménager des berges naturelles sur la Woluwe entre l’Avenue Debecker et l’Avenue Vandervelde…</t>
  </si>
  <si>
    <t>Analyser les perspectives d’adoucissement de la pente des berges et d’augmentation de la sinuosité de la Woluwe entre le…</t>
  </si>
  <si>
    <t>Analyser les perspectives d’adoucissement de la pente des berges et d’augmentation de la sinuosité de la Woluwe au nivea…</t>
  </si>
  <si>
    <t>Aménager la berge et une annexe hydraulique abritée (frayère) à hauteur d’Aquiris (action C12_2 Belini) – Travaux (*)…</t>
  </si>
  <si>
    <t>Réaliser une étude de faisabilité pour l’installation d’un dispositif-test d’île flottante/radeaux végétalisés (cf. auss…</t>
  </si>
  <si>
    <t>Installer un dispositif-test d’île flottante (en cours à hauteur du BRYC)…</t>
  </si>
  <si>
    <t>Réaliser une étude de faisabilité pour l’aménagement d’une berge naturelle avec zone de lagunage et éventuelle annexe hy…</t>
  </si>
  <si>
    <t>Evaluer le résultat et l’expérience acquise avec le dispositif-test d’île flottante pour orienter l’extension de ce type…</t>
  </si>
  <si>
    <t>Installer des aménagements de berges (tels que des îles flottantes) à d’autres endroits, en fonction du résultat et de l…</t>
  </si>
  <si>
    <t>Aménager la berge en rive gauche du bassin de batelage en fonction des résultats de l’étude de faisabilité (actuellement…</t>
  </si>
  <si>
    <t>Mise en valeur des berges du Zuunbeek dans le cadre de l’aménagement du parc du Zuun - Travaux…</t>
  </si>
  <si>
    <t>Aménagement des berges du Molenbeek au niveau du Marais de Jette…</t>
  </si>
  <si>
    <t>Création de zone refuge en cas d’étiage du Molenbeek au niveau du Parc Roi Baudouin…</t>
  </si>
  <si>
    <t>Aménager un lit et des berges naturelles en rives gauche et droite au niveau de l’Avenue de Vilvorde (action C13_4 Belin…</t>
  </si>
  <si>
    <t>Poursuivre l’aménagement de berges et lit naturels et d’un bras mort à hauteur de la Rue du Charroi (île Sainte Hélène, …</t>
  </si>
  <si>
    <t>Aménager des berges naturelles entre la Dérivation d’Aa et la Rue Bollinckx – Etude (voir également fiche M6.6)…</t>
  </si>
  <si>
    <t>Aménager des berges naturelles entre la Dérivation d’Aa et la Rue Bollinckx – Travaux (voir également fiche M6.6)…</t>
  </si>
  <si>
    <t>Aménager des berges naturelles et d’une promenade entre la Rue du Charroi et la Rue des Vétérinaires – Etude (voir égale…</t>
  </si>
  <si>
    <t>Monitoring biologique dans les cours d'eau et étangs…</t>
  </si>
  <si>
    <t>Actualisation du potentiel écologique et de l'état chimique des eaux de surface…</t>
  </si>
  <si>
    <t>Monitoring mensuel de la qualité de la colonne d'eau des eaux de surface…</t>
  </si>
  <si>
    <t>Monitoring de la qualité des sédiments des eaux de surface …</t>
  </si>
  <si>
    <t>Monitoring de la qualité du biote des eaux de surface…</t>
  </si>
  <si>
    <t>Intégrer et valider les données de chaque nouvelle année de qualité de la colonne d'eau dans la base de données des eaux…</t>
  </si>
  <si>
    <t>Intégrer les données de qualité des sédiments et les données de qualité du biote dans la base de données des eaux de sur…</t>
  </si>
  <si>
    <t>Diffuser librement les données de surveillance de la qualité de l'eau…</t>
  </si>
  <si>
    <t>Inventorier les modifications hydromorphologiques des eaux de surface…</t>
  </si>
  <si>
    <t>Communiquer sur les états biologiques et hydromorphologiques via des publications de l'état de l'environnement…</t>
  </si>
  <si>
    <t>Entretien et réparation/remplacement des sondes du réseau Flowbru existantes et nouvellement installées…</t>
  </si>
  <si>
    <t>Développer des alertes automatiques pour une liste de contacts (dont SBGE, Port, BE) en cas de modification alarmante de…</t>
  </si>
  <si>
    <t>Déployer 1-2 sondes supplémentaires, en amont/aval de la première sonde (prévue au niveau du bassin Béco), si celle-ci d…</t>
  </si>
  <si>
    <t>Extension du réseau Flowbru avec le déploiement de sondes (débit, hauteur d'eau, fréquence) surveillant en continu (via …</t>
  </si>
  <si>
    <t>Extension du réseau Flowbru avec le déploiement/renouvellement de sondes de mesures en continu (via un FTP ou webservice…</t>
  </si>
  <si>
    <t>Intégration des sondes déployées dans le site web de diffusion des données Flowbru et diffusion des données de toutes le…</t>
  </si>
  <si>
    <t>Poursuivre la validation des nouvelles données pluviométriques, poursuivre la validation des données…</t>
  </si>
  <si>
    <t>Etude, au moyen de sondes mobiles (de qualité température-conductivité au niveau de déversoirs et de leurs points de con…</t>
  </si>
  <si>
    <t>Etude d'utilisation des données du réseau Flowbru afin d'améliorer la prédiction de la maintenance des sondes et la gest…</t>
  </si>
  <si>
    <t>Amélioration du site web de diffusion des données mesurées Flowbru (https://www.Flowbru.be/fr) et développement d'une ap…</t>
  </si>
  <si>
    <t>Développement d'une API du site Flowbru pour faciliter la diffusion des données…</t>
  </si>
  <si>
    <t>Campagne de mesures des nutriments dans les étangs bruxellois pour initialiser et valider le modèle…</t>
  </si>
  <si>
    <t>Développement d’un modèle d’efflorescence de cyanobactéries en RBC…</t>
  </si>
  <si>
    <t>Développer par vallée une vision des offres potentielles d'eau supplémentaire actuellement perdues à l'égout et des beso…</t>
  </si>
  <si>
    <t>Vérifier l'étanchéité des moines vers les collecteurs présents sur certains étangs spécifiques…</t>
  </si>
  <si>
    <t>Établir une méthodologie de calcul des débits minimums écologiques (ecological flows), l'appliquer aux différents tronço…</t>
  </si>
  <si>
    <t>Réflexions sur la reconnexion du Watermaelbeek à la Woluwe + analyse du coûts-bénéfices…</t>
  </si>
  <si>
    <t>Réaliser une étude de faisabilité pour l’aménagement d’une 1ère série d’obstacles sur la Woluwe (4 obstacles dans partie…</t>
  </si>
  <si>
    <t>Mener une étude de projet pour l’aménagement d’une 1ère série de 4 obstacles sur la Woluwe (partie aval) + 1 obstacle su…</t>
  </si>
  <si>
    <t>Travaux d’aménagement de 2 obstacles parmi la 1ère série de 4 sur la Woluwe (partie aval)…</t>
  </si>
  <si>
    <t>Travaux d’aménagement des 2 derniers obstacles parmi la 1ère série de 4 sur la Woluwe (partie aval)…</t>
  </si>
  <si>
    <t>Travaux d’aménagement de l’obstacle sur la Senne…</t>
  </si>
  <si>
    <t>Réaliser une étude de faisabilité pour l’aménagement d’une 2ème série de 5 obstacles sur la Woluwe (partie amont)…</t>
  </si>
  <si>
    <t>Réaliser une étude de projet pour l’aménagement d’une 2ème série de 5 obstacles sur la Woluwe (partie amont)…</t>
  </si>
  <si>
    <t>Travaux d’aménagement des 5 obstacles de la 2ème série sur la Woluwe (partie amont)…</t>
  </si>
  <si>
    <t>Aménager les écluses du Canal de passes à poissons…</t>
  </si>
  <si>
    <t>Réaliser un diagnostic global de l’état d’invasion et risque d’invasion des milieux aquatiques et ripariens dans la régi…</t>
  </si>
  <si>
    <t>Porter  auprès des instances compétentes la problématique de la vente des EEE (pépinières, animaleries, etc.) de la list…</t>
  </si>
  <si>
    <t>Sensibiliser les Bruxellois quant aux impacts des EEE dans l’environnement aquatique et à ce qu’il faut faire s'ils iden…</t>
  </si>
  <si>
    <t>Sensibiliser les entités publiques susceptibles de faire des plantations (structures régionales, fédérales, communales) …</t>
  </si>
  <si>
    <t>Actions de confinement de certaines plantes aquatiques et ripicoles envahissantes dans des zones spécifiques …</t>
  </si>
  <si>
    <t>Élaboration d’une stratégie de gestion des EEE :
- rassembler des informations bibliographiques pour chaque EEE sur les …</t>
  </si>
  <si>
    <t>Mise en place d’une stratégie de surveillance des EEE liées à l’eau et de signalement précoce (early warning) de l’appar…</t>
  </si>
  <si>
    <t>Appliquer les techniques de prévention usuelles :
    - respecter des clauses bio-sanitaires spécifiques selon les espèc…</t>
  </si>
  <si>
    <t>Développer et valider des « zones-tests » afin d’expérimenter des techniques nouvelles :
- d’éradication précoce,
- de c…</t>
  </si>
  <si>
    <t>Pour les techniques de gestion déjà connues pour être efficaces, poursuivre les opérations de régulation visant à élimin…</t>
  </si>
  <si>
    <t>Coopérer avec les régions flamande et wallonne dans la lutte contre les EEE aquatiques et ripariennes
- comparer les tec…</t>
  </si>
  <si>
    <t>Etendre les mesures de lutte contre les EEE aquatiques sur le territoire de la région en fonction des résultats des zone…</t>
  </si>
  <si>
    <t>Identifier les structures d’accueil pour les tortues de Floride (et éventuellement d’autres EEE) extraits de l’environne…</t>
  </si>
  <si>
    <t>Sensibiliser et contrôler l’interdiction de nourrissage des animaux sauvages (oiseaux, poissons) à proximité des étangs …</t>
  </si>
  <si>
    <t>Définir les informations à récolter par point de rejet et créer un format permettant l’encodage dans la base de données …</t>
  </si>
  <si>
    <t>Réaliser une enquête, auprès des usagers de toutes les catégories de bateaux/navires empruntant le canal en RBC (l’ensem…</t>
  </si>
  <si>
    <t>Compiler les données des points de rejets des bateaux/navires permanents dans la base de données BE des rejets …</t>
  </si>
  <si>
    <t>Inventorier le réseau d'écoulement (égouts/réseau séparatif/rejets vers le Canal ou la Senne) sur les parcelles privées …</t>
  </si>
  <si>
    <t>Récupérer les données complémentaires disponibles auprès des opérateurs (chainons manquants, zones non raccordées…)…</t>
  </si>
  <si>
    <t>Compiler les données relatives au réseau d’écoulement des parcelles privées du domaine portuaire dans la base de données…</t>
  </si>
  <si>
    <t>Compiler les données du Port relatives aux autorisations de rejet dans le Canal dans la base de données BE des rejets…</t>
  </si>
  <si>
    <t>Faire un relevé sur terrain des rejets vers la Woluwe et les étangs de la Woluwe (y compris l’égout qui déborderait ponc…</t>
  </si>
  <si>
    <t>Finir les investigations des sources des rejets vers le Zwanewijdebeek qui ont été relevés sur terrain et les compiler d…</t>
  </si>
  <si>
    <t>Dresser une carte des rejets avec les informations de la base de données …</t>
  </si>
  <si>
    <t>Mettre la carte des rejets et les résultats à disposition du Port, de VVQ et de la SBGE…</t>
  </si>
  <si>
    <t>Mettre à disposition les données pertinentes (masse d’eau réceptrice, localisation du point de rejet, source/propriétair…</t>
  </si>
  <si>
    <t>Mener des investigations sur l’origine des rejets non identifiés en remontant les tuyaux…</t>
  </si>
  <si>
    <t>Caractériser la qualité d'effluents/rejets quand cela s’avère nécessaire pour déterminer la solution à privilégier pour …</t>
  </si>
  <si>
    <t>Implémenter les rejets ponctuels de la base de données géographique BE dans l’inventaire BE des émissions polluantes ver…</t>
  </si>
  <si>
    <t>Identifier et prioriser les travaux d’extension et de raccordement au réseau d’égouttage sur base de l’inventaire visé p…</t>
  </si>
  <si>
    <t>Identifier et prioriser les travaux d’extension et de raccordement au réseau d’égouttage  sur les parcelles privées du d…</t>
  </si>
  <si>
    <t>Sur base de la DB reprenant les rejets directs d’eaux usées dans les cours d’eau (M1.5) procéder, lorsque c’est possible…</t>
  </si>
  <si>
    <t>Définir et mettre en place une procédure de « raccordement »  permettant de coordonner les actions de chaque acteur et d…</t>
  </si>
  <si>
    <t>Informer les habitants, les entreprises et promoteurs immobiliers (qui déversent actuellement dans les eaux de surface),…</t>
  </si>
  <si>
    <t>Actualiser la carte des zones égouttées raccordées aux stations d’épuration dans l’inventaire des émissions polluantes v…</t>
  </si>
  <si>
    <t>Etudier l’opportunité de mettre en place un système de certification des installations privées à l’instar du système PEB…</t>
  </si>
  <si>
    <t>Informer les communes quant à l’obligation d’installation et de contrôle  d’une épuration autonome pour les habitations …</t>
  </si>
  <si>
    <t>Informer les habitants, entreprises et promoteurs immobiliers de leurs obligations en termes d’installation d’un système…</t>
  </si>
  <si>
    <t>Assurer le contrôle des systèmes d’épuration individuels…</t>
  </si>
  <si>
    <t>Offrir un soutien technique aux communes dans le cadre de la mise en œuvre de cette mesure M1.7…</t>
  </si>
  <si>
    <t>Suite à l’étude visée dans la mesure M 1.5, mettre en place les solutions et/ou infrastructures retenues pour permettre …</t>
  </si>
  <si>
    <t>Actualiser la carte des zones non égouttées soumises à épuration autonome dans l’inventaire BE des émissions polluantes …</t>
  </si>
  <si>
    <t>Réaliser les plans des déversoirs d’orage principaux sous gestion de Vivaqua…</t>
  </si>
  <si>
    <t>Réaliser les plans des déversoirs d’orage principaux sous gestion de la SBGE…</t>
  </si>
  <si>
    <t>Installer des capteurs de fréquence ou de débit sur les déversoirs principaux et les ajouter à Flowbru (voir la mesure M…</t>
  </si>
  <si>
    <t>Calculer les fréquences et débit de déversements…</t>
  </si>
  <si>
    <t>Déterminer les niveaux idéaux des seuils de déversements des déversoirs sous gestion de Vivaqua et procéder à leur rehau…</t>
  </si>
  <si>
    <t>Déterminer les niveaux idéaux des seuils de déversements des déversoirs sous gestion de SBGE  et procéder à leur rehauss…</t>
  </si>
  <si>
    <t>Adaptation des interceptions orifices limitant l’évacuation des flux vers les STEPS  dans le cadre de l’optimisation des…</t>
  </si>
  <si>
    <t>Réévaluer l’impact, sur le milieu récepteur, de l’activation des déversoirs après optimisation (en parallèle de l’implém…</t>
  </si>
  <si>
    <t>Réaménager les déversoirs en "déversoirs améliorés" pour retenir le maximum de charge polluante à l’aval des  déversoirs…</t>
  </si>
  <si>
    <t>Coordonner les acteurs de l'eau autour de cette thématique …</t>
  </si>
  <si>
    <t>Analyser les modifications des règles de fonctionnement des bassins d'orage…</t>
  </si>
  <si>
    <t>Procéder à la mise en œuvre d’un projet-pilote dans la vallée du Maelbeek …</t>
  </si>
  <si>
    <t>Assurer la surveillance et le bon fonctionnement du système mis place (1.9.4), établir un retour d’expérience pour l’éla…</t>
  </si>
  <si>
    <t>Etudier et élaborer un système de prévisions du comportement du réseau et une stratégie de régulation des débits dans la…</t>
  </si>
  <si>
    <t>Mettre en place des dispositifs de contrôle des débits  (Projet-pilote dans la vallée de la Senne (Bruxelles-centre)…</t>
  </si>
  <si>
    <t>Assurer la surveillance et le bon fonctionnement du système mis en place (1.9.7), établir un retour d’expérience pour l’…</t>
  </si>
  <si>
    <t>Procéder à la mise en œuvre dans d’autres vallées sur base du retour d’expérience dans la vallée du Maelbeek (si pertine…</t>
  </si>
  <si>
    <t>Etudier le fonctionnement des réseaux et leurs interactions, par le biais d’actions de modélisation (cf. M 5.29)…</t>
  </si>
  <si>
    <t>Finaliser et adopter la cartographie des zones égouttables et non égouttables prévue par l’article 40/1 de l’Ordonnance …</t>
  </si>
  <si>
    <t>Poursuivre l’inventaire de l’état des lieux et le cartographier (projet ETAL)…</t>
  </si>
  <si>
    <t>Planifier les travaux de rénovation du réseau d’égouttage à l’horizon 2027 en maintenant un objectif de taux de rénovati…</t>
  </si>
  <si>
    <t>Réaliser les travaux de rénovation du réseau d’égouttage (à concurrence de 0.8 à 1.1% /an)…</t>
  </si>
  <si>
    <t>Etendre le réseau d’égouttage sur base de la cartographie des zones d’assainissement collectif et autonome.…</t>
  </si>
  <si>
    <t>Etablir une programmation des investissements pour la réhabilitation de certains collecteurs avec une priorisation dans …</t>
  </si>
  <si>
    <t>Assurer le traitement tertiaire des deux stations d'épuration situées en Région de Bruxelles-Capitale…</t>
  </si>
  <si>
    <t>Contrôler le respect des performances épuratoires et des normes de déversement des effluents par les STEP collectives ré…</t>
  </si>
  <si>
    <t>Contrôler les rejets des stations d’épuration collectives et autonomes au regard des permis d’environnement couvrant cha…</t>
  </si>
  <si>
    <t>Contrôler le bon raccordement des particuliers et entreprises au réseau d'égouttage…</t>
  </si>
  <si>
    <t>Imposer l'installation de stations d'épuration individuelles performantes lorsque le raccordement au réseau d'égouttage …</t>
  </si>
  <si>
    <t>Etablir un cadre régional pour faciliter et inciter les déconnexions de particuliers…</t>
  </si>
  <si>
    <t>Cette mesure se fera également via l’accompagnement des acteurs concernés (M 5.3)…</t>
  </si>
  <si>
    <t>Les différents acteurs et privés feront en outre l’objet de mesures de soutien telles que  Subventions, primes, labels e…</t>
  </si>
  <si>
    <t>Des mesures de communication et de sensibilisation seront également prévues (M 5.29)…</t>
  </si>
  <si>
    <t>L’intégration de la GIEP dans les outils de l’aménagement du territoire est prévu (M 5.1)…</t>
  </si>
  <si>
    <t>Installer un système de dégrillage en aval de la Senne (au niveau de la STEP Nord) pour diminuer la quantité de macro-déchets flottants sur la Senne en aval des déversoirs principaux de la région</t>
  </si>
  <si>
    <t xml:space="preserve">Estimation VVQ :3 M€-5M€ </t>
  </si>
  <si>
    <t>Catégorie</t>
  </si>
  <si>
    <t>Cours d'eau</t>
  </si>
  <si>
    <t>Mesure check</t>
  </si>
  <si>
    <t>10</t>
  </si>
  <si>
    <t>11</t>
  </si>
  <si>
    <t>12</t>
  </si>
  <si>
    <t>14</t>
  </si>
  <si>
    <t>16</t>
  </si>
  <si>
    <t>17</t>
  </si>
  <si>
    <t>18</t>
  </si>
  <si>
    <t>21</t>
  </si>
  <si>
    <t>22</t>
  </si>
  <si>
    <t>24</t>
  </si>
  <si>
    <t>25</t>
  </si>
  <si>
    <t>13</t>
  </si>
  <si>
    <t>15</t>
  </si>
  <si>
    <t>19</t>
  </si>
  <si>
    <t>20</t>
  </si>
  <si>
    <t>23</t>
  </si>
  <si>
    <t xml:space="preserve">Description </t>
  </si>
  <si>
    <t>ACE-PP</t>
  </si>
  <si>
    <t>ACE-</t>
  </si>
  <si>
    <t>ACE-CV</t>
  </si>
  <si>
    <t>Action check</t>
  </si>
  <si>
    <t>1</t>
  </si>
  <si>
    <t>2</t>
  </si>
  <si>
    <t>3</t>
  </si>
  <si>
    <t>4</t>
  </si>
  <si>
    <t>6</t>
  </si>
  <si>
    <t>7</t>
  </si>
  <si>
    <t>8</t>
  </si>
  <si>
    <t>9</t>
  </si>
  <si>
    <t>A</t>
  </si>
  <si>
    <t>B</t>
  </si>
  <si>
    <t>C</t>
  </si>
  <si>
    <t>D</t>
  </si>
  <si>
    <t>Qualité chimique (RBSP / SP(D) dans col d'eau/biote/sédim)</t>
  </si>
  <si>
    <t>Qualité physico-chimique</t>
  </si>
  <si>
    <t>Qualité hydromorphologique</t>
  </si>
  <si>
    <t>Qualité biologique</t>
  </si>
  <si>
    <t>Métaux</t>
  </si>
  <si>
    <t>HAP</t>
  </si>
  <si>
    <t>Autres RBSP
RBSpecific Pollutant</t>
  </si>
  <si>
    <t>Pesticides/précurseurs</t>
  </si>
  <si>
    <t>Autres SP(D)
Substances Prioritaires Dangeureuses ou pas</t>
  </si>
  <si>
    <t>Nickel</t>
  </si>
  <si>
    <t>Zinc</t>
  </si>
  <si>
    <t>Cadmium</t>
  </si>
  <si>
    <t>Mercure</t>
  </si>
  <si>
    <t>Plomb</t>
  </si>
  <si>
    <t>HUIL MIN</t>
  </si>
  <si>
    <t>PCBs</t>
  </si>
  <si>
    <t>Heptachlore (et époxyde d’heptachlore)</t>
  </si>
  <si>
    <t>Nonylphénols</t>
  </si>
  <si>
    <t>Tributylétain</t>
  </si>
  <si>
    <t>HBCDD</t>
  </si>
  <si>
    <t>PBDE</t>
  </si>
  <si>
    <t>PFOS</t>
  </si>
  <si>
    <t>Dioxines</t>
  </si>
  <si>
    <t>DEHP</t>
  </si>
  <si>
    <t>N (NO2 / NO3 / TKN / NH4 / Ntot)</t>
  </si>
  <si>
    <t>P (PO4 / Ptot)</t>
  </si>
  <si>
    <t>DBO</t>
  </si>
  <si>
    <t>DCO</t>
  </si>
  <si>
    <t>MS</t>
  </si>
  <si>
    <t>OXYG</t>
  </si>
  <si>
    <t>COND</t>
  </si>
  <si>
    <t>Lit mineur (quantitatif, faciès, obstacles…)</t>
  </si>
  <si>
    <t>Lit majeur</t>
  </si>
  <si>
    <t>Berges</t>
  </si>
  <si>
    <t>PB</t>
  </si>
  <si>
    <t>MP</t>
  </si>
  <si>
    <t>MI</t>
  </si>
  <si>
    <t>POIS</t>
  </si>
  <si>
    <t>3-6</t>
  </si>
  <si>
    <t>++</t>
  </si>
  <si>
    <t>+++</t>
  </si>
  <si>
    <t>HAPs (Acénaphtène / Pyrène / Anthracène / Benzo(a)pyrène / Fluoranthène)</t>
  </si>
  <si>
    <t>SEN/WOL</t>
  </si>
  <si>
    <t>Masse d'eau</t>
  </si>
  <si>
    <t>&lt;3% / 3-10% / 10-25% / &gt;25%</t>
  </si>
  <si>
    <t>Budget (Scénario Efficace)</t>
  </si>
  <si>
    <t>maximaliste (hors scénario efficace)</t>
  </si>
  <si>
    <t>Physico-Chimie</t>
  </si>
  <si>
    <t>Hydromorphologie</t>
  </si>
  <si>
    <t>Biologie</t>
  </si>
  <si>
    <t>(vide)</t>
  </si>
  <si>
    <t>Remarques</t>
  </si>
  <si>
    <t>logKow</t>
  </si>
  <si>
    <t>ACE</t>
  </si>
  <si>
    <t>+</t>
  </si>
  <si>
    <t>++++</t>
  </si>
  <si>
    <t>impact inférieur à la M1.6</t>
  </si>
  <si>
    <t>actuellement pas connaissance d'une marge d'amélioration des surverses vers la Woluwe</t>
  </si>
  <si>
    <t>estiamtion grosse louche réduction 40% des déversements ne fut-ce que pour valéle du Maelbeek</t>
  </si>
  <si>
    <t>abattement fraction fine MES restante + macromolécules + substances hydrophiles par charbon actif</t>
  </si>
  <si>
    <t>*</t>
  </si>
  <si>
    <t>1.22.12</t>
  </si>
  <si>
    <t>pris en compte : ruissellement direct, risque de déversement par obstructions, et temps sec des STEPs</t>
  </si>
  <si>
    <t>1.26.13</t>
  </si>
  <si>
    <t>REACH, POP, PRRP, NAPAN, NAPED, NAPAMR, plan ACE, mercure</t>
  </si>
  <si>
    <t>sont envisagés pour être ciblés par la fiche : PFOS, métaux lourds et PCBs, avec les conséquences des études sols et des monitoring STEPs et activités</t>
  </si>
  <si>
    <t>Mettre en œuvre des projets de déconnexion et déminéralisation sur les espaces gérés par BE (Parc, espaces verts,...) comme lieux exemplaires de gestion intégrée et d’autres mesures de résilience</t>
  </si>
  <si>
    <t>Finaliser et adopter la cartographie des zones égouttables et non égouttables prévue par l’article 40/1 de l’Ordonnance Cadre Eau</t>
  </si>
  <si>
    <t>Poursuivre l’inventaire de l’état des lieux et le cartographier (projet ETAL)</t>
  </si>
  <si>
    <t>Planifier les travaux de rénovation du réseau d’égouttage à l’horizon 2027 en maintenant un objectif de taux de rénovation entre 0.8% et 1.1% par an en priorisant la rénovation dans les zones de vulnérabilité élevée de la masse d’eau des sables du Bruxellien fortement urbanisée et dans les zones de protection des captages d’eau destinée à la consommation humaine</t>
  </si>
  <si>
    <t>Réaliser les travaux de rénovation du réseau d’égouttage (à concurrence de 0.8 à 1.1% /an)</t>
  </si>
  <si>
    <t>Etendre le réseau d’égouttage sur base de la cartographie des zones d’assainissement collectif et autonome.</t>
  </si>
  <si>
    <t xml:space="preserve">Etablir une programmation des investissements pour la réhabilitation de certains collecteurs avec une priorisation dans les zones à enjeux environnementaux </t>
  </si>
  <si>
    <t>Action Description</t>
  </si>
  <si>
    <t>M</t>
  </si>
  <si>
    <t>Autres</t>
  </si>
  <si>
    <t>HAPs (*)</t>
  </si>
  <si>
    <t xml:space="preserve"> (*) Acénaphtène / Pyrène / Anthracène / Benzo(a)pyrène / Fluoranthène</t>
  </si>
  <si>
    <t>Paramètres déclassants</t>
  </si>
  <si>
    <t>Paramètres non déclassants</t>
  </si>
  <si>
    <t xml:space="preserve">HAPs (*)
</t>
  </si>
  <si>
    <t xml:space="preserve">Définir les informations à récolter par point de rejet et créer un format permettant l’encodage dans la base de données géographique BE des rejets </t>
  </si>
  <si>
    <t>Récupérer les données complémentaires disponibles auprès des opérateurs (chainons manquants, zones non raccordées…)</t>
  </si>
  <si>
    <t xml:space="preserve">Dresser une carte des rejets avec les informations de la base de données </t>
  </si>
  <si>
    <t>Mettre la carte des rejets et les résultats à disposition du Port, de VVQ et de la SBGE</t>
  </si>
  <si>
    <t>Mettre à disposition les données pertinentes (masse d’eau réceptrice, localisation du point de rejet, source/propriétaire, éléments permettant d’estimer la charge et le débit de rejet, traitement d’épuration éventuel) des autorisations de rejet vers les eaux de surface</t>
  </si>
  <si>
    <t>Mener des investigations sur l’origine des rejets non identifiés en remontant les tuyaux</t>
  </si>
  <si>
    <t>Caractériser la qualité d'effluents/rejets quand cela s’avère nécessaire pour déterminer la solution à privilégier pour le traiter</t>
  </si>
  <si>
    <t>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t>
  </si>
  <si>
    <t>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t>
  </si>
  <si>
    <t xml:space="preserve">Compiler les données relatives au réseau d’écoulement des parcelles privées du domaine portuaire et les fournir à BE afin qu’elles soient intégrées dans la base de données BE des rejets </t>
  </si>
  <si>
    <t>Étudier la possibilité de caractériser un point noir (débit, charge EH, sources potentielles, photos…)</t>
  </si>
  <si>
    <t>Mise à jour du relevé sur terrain des rejets vers la Senne, notamment en s’aidant des connaissances déjà disponibles, et les compiler dans la base de données BE des rejets</t>
  </si>
  <si>
    <t>Faire un relevé sur terrain des rejets vers le Hollebeek, notamment en s’aidant des connaissances déjà disponibles, et les compiler dans la base de données BE des rejets</t>
  </si>
  <si>
    <t>Faire un relevé sur terrain des rejets vers le Vogelzangbeek, notamment en s’aidant des connaissances déjà disponibles, et les compiler dans la base de données BE des rejets</t>
  </si>
  <si>
    <t>Faire un relevé sur terrain des rejets vers le Verrewinkelbeek, notamment en s’aidant des connaissances déjà disponibles, et les compiler dans la base de données BE des rejets</t>
  </si>
  <si>
    <t>Mise à jour du relevé sur terrain des rejets vers le Neerpedebeek, notamment en s’aidant des connaissances déjà disponibles, et les compiler dans la base de données BE des rejets</t>
  </si>
  <si>
    <t>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t>
  </si>
  <si>
    <t xml:space="preserve">Compiler les données des points de rejets des bateaux/navires permanents dans la base de données BE des rejets </t>
  </si>
  <si>
    <t>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t>
  </si>
  <si>
    <t xml:space="preserve">Compiler les données relatives au réseau d’écoulement des parcelles privées du domaine portuaire dans la base de données BE des rejets </t>
  </si>
  <si>
    <t>Compiler les données du Port relatives aux autorisations de rejet dans le Canal dans la base de données BE des rejets</t>
  </si>
  <si>
    <t>Faire un relevé sur terrain des rejets vers la Woluwe et les étangs de la Woluwe (y compris l’égout qui déborderait ponctuellement au Parc des Sources), notamment en s’aidant des connaissances déjà disponibles, et les compiler dans la base de données BE des rejets</t>
  </si>
  <si>
    <t>Finir les investigations des sources des rejets vers le Zwanewijdebeek qui ont été relevés sur terrain et les compiler dans la base de données BE des rejets</t>
  </si>
  <si>
    <t>Budget MAX 
Mediane</t>
  </si>
  <si>
    <t>Intégrer les principes de gestion développés au niveau de la CIE dans les procédures de gestion de pollution au niveau bruxellois (Voir plan faitier CIE)</t>
  </si>
  <si>
    <t>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t>
  </si>
  <si>
    <t>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t>
  </si>
  <si>
    <t>Appliquer les recommandations délivrées par la CIE en vue d’améliorer le fonctionnement et la communication au sein du SAAE (Voir plan faitier CIE)</t>
  </si>
  <si>
    <t>Intégrer le Port de Bruxelles dans le marché de Bruxelles Environnement pour le CPA du Système d’alarme et d’alerte pour le district hydrographique de l’Escaut (Voir plan faitier CIE)</t>
  </si>
  <si>
    <t>Clarifier la procédure de gestion de crise pour prendre les mesures rapides et efficaces en cas de pollution, notamment via la Protection civile</t>
  </si>
  <si>
    <t>Etudier la faisabilité et définir les besoins de Bruxelles Environnement en vue de basculer vers un système de garde 24h/24 et 7j/7 commun aux thématiques de l’Eau et Seveso</t>
  </si>
  <si>
    <t>Définir le cadre du service de garde en lien avec la thématique de l'eau et en coordination avec les opérateurs de l'eau</t>
  </si>
  <si>
    <t>Organiser les procédures et contacts avec les services d’urgence en collaboration avec Bruxelles Prévention et Sécurité</t>
  </si>
  <si>
    <t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t>
  </si>
  <si>
    <t xml:space="preserve">Mener des actions contre la récurrence des pollutions aux hydrocarbures dans les égouts. </t>
  </si>
  <si>
    <t>Etendre le réseau de monitoring en continu FlowBru et créer des alertes automatiques sur de potentielles pollutions/crises (voir M 1.22)</t>
  </si>
  <si>
    <t>Budget MAX 
Médiane</t>
  </si>
  <si>
    <t>Budget MAX
Médiane</t>
  </si>
  <si>
    <t xml:space="preserve">Total </t>
  </si>
  <si>
    <t>Index</t>
  </si>
  <si>
    <t>Onglet</t>
  </si>
  <si>
    <t>Mesures</t>
  </si>
  <si>
    <t>#</t>
  </si>
  <si>
    <t>1.</t>
  </si>
  <si>
    <t>2.</t>
  </si>
  <si>
    <t>3.</t>
  </si>
  <si>
    <t>4.</t>
  </si>
  <si>
    <t>4.1</t>
  </si>
  <si>
    <t>4.2</t>
  </si>
  <si>
    <t>4.3</t>
  </si>
  <si>
    <t>4.4</t>
  </si>
  <si>
    <t xml:space="preserve">Liste des mesures reprises dans les 8 axes du PdM avec le lien vers la fiche projet. Elle reprend également la référence à l'OS et OO. </t>
  </si>
  <si>
    <t>Mesures_Budget_Eff_tot</t>
  </si>
  <si>
    <t>Liste reprenant les budgets repris dans de toutes les fiches projet ainsi qu'une référence à la masse d'eau ainsi qu'une indication mentionnant si la mesure a été prise en considération dans l'analyse coût bénéfice et si les budgets entrent dans la détermination du Coût Vérité</t>
  </si>
  <si>
    <t>Efficace</t>
  </si>
  <si>
    <t>Maximaliste</t>
  </si>
  <si>
    <t>OS#</t>
  </si>
  <si>
    <t>OO#</t>
  </si>
  <si>
    <t>Description Mesure</t>
  </si>
  <si>
    <t>Description OS</t>
  </si>
  <si>
    <t>Description OO</t>
  </si>
  <si>
    <t>Description Action short</t>
  </si>
  <si>
    <t>Analyser les données recueillies et les mettre à disposition du Port pour communiquer vers les usagers du Canal.</t>
  </si>
  <si>
    <t>EFFICACE</t>
  </si>
  <si>
    <t>MAXIMALISTE</t>
  </si>
  <si>
    <t>Légende</t>
  </si>
  <si>
    <t>Action#</t>
  </si>
  <si>
    <t>Commentaires</t>
  </si>
  <si>
    <t xml:space="preserve">Mesure
Description
</t>
  </si>
  <si>
    <t>Action
Description</t>
  </si>
  <si>
    <t>VIDE</t>
  </si>
  <si>
    <t>Adéterminer</t>
  </si>
  <si>
    <t>?</t>
  </si>
  <si>
    <t>après2027</t>
  </si>
  <si>
    <t>Etudedéjàbudgétéeen2022</t>
  </si>
  <si>
    <t>Vérifierunereventilationpossibleavecleport</t>
  </si>
  <si>
    <t>1.3.9</t>
  </si>
  <si>
    <t xml:space="preserve">65000€(éradicationrapidedecertainesplantesinvasivescibléesparleprojetLIFERIPARIAS)+
100000€(éradicationrapided’écrevissesinvasivescibléesparleprojetLIFERIPARIAS)
</t>
  </si>
  <si>
    <t>120000€(confinementdecertainesplantesaquatiquescibléesparleprojetLIFERIPARIASdansdeszones-clé)+45000€(confinementdeplantesripicolescibléesparleprojetLIFERIPARIASàl’extérieurdezonesindemnes)</t>
  </si>
  <si>
    <t>Voir5.22.2?</t>
  </si>
  <si>
    <t>RessourcesinternesetbudgetdelamesureM6.14</t>
  </si>
  <si>
    <t>Budgétisédanslamesure1.22</t>
  </si>
  <si>
    <t>Ressourcesinternes?</t>
  </si>
  <si>
    <t>1.9.8.1</t>
  </si>
  <si>
    <t>1.9.8.2</t>
  </si>
  <si>
    <t>Prévudanslamesure5,2*9</t>
  </si>
  <si>
    <t>FraisdefonctionnementordinairesdeBE</t>
  </si>
  <si>
    <t>Mesure1.27</t>
  </si>
  <si>
    <t>2-3M€enscénariomaximaliste</t>
  </si>
  <si>
    <t>Mesure1.25</t>
  </si>
  <si>
    <t>1.12.1</t>
  </si>
  <si>
    <t>BudgétisédanslamesureM1.21.2</t>
  </si>
  <si>
    <t>2023-2025</t>
  </si>
  <si>
    <t>2024-2025</t>
  </si>
  <si>
    <t>2027-2030</t>
  </si>
  <si>
    <t>Mesure1.13.2</t>
  </si>
  <si>
    <t>ScénarioMaximaliste</t>
  </si>
  <si>
    <t>RessourcesinternesàBruxellesEnvironnementetlaSBGE</t>
  </si>
  <si>
    <t>ProjetSWAMPetressourcesinternessurgestionFlowbru</t>
  </si>
  <si>
    <t>Voir fiche M 1,22</t>
  </si>
  <si>
    <t>après 2027</t>
  </si>
  <si>
    <t>…</t>
  </si>
  <si>
    <t>Repris dans les coûts d’aménagement du réseau hydrographique des M 1.1 à M 1.4.</t>
  </si>
  <si>
    <t>Budget hors période PGE</t>
  </si>
  <si>
    <t>Monitorings de la qualité de la colonne d’eau, des sédiments et de la qualité biologique d’étangs : budgets intégrés dans la surveillance de la qualité des eaux de surface (M1.21)</t>
  </si>
  <si>
    <t>Budget interne</t>
  </si>
  <si>
    <t>Budget Vivaqua</t>
  </si>
  <si>
    <t>Non encore budgété</t>
  </si>
  <si>
    <t>En fonction des projets qui seront développés sur la période du Plan </t>
  </si>
  <si>
    <t>7.1.8</t>
  </si>
  <si>
    <t>10 000€</t>
  </si>
  <si>
    <t>Cette action générera des recettes supplémentaires pour les opérateurs de l’eau, justifiées par l’usage de leurs infrastructures d’assainissement (égouttage, collecte et épuration)</t>
  </si>
  <si>
    <t>Internalisé dans les coûts de fonctionnement de BE</t>
  </si>
  <si>
    <t xml:space="preserve">Budget repris dans la mesure M 2.16 </t>
  </si>
  <si>
    <t>BudgetàéquilibreraveclaM8.5.1</t>
  </si>
  <si>
    <t>Actions</t>
  </si>
  <si>
    <r>
      <rPr>
        <b/>
        <sz val="10"/>
        <color theme="0"/>
        <rFont val="Arial"/>
        <family val="2"/>
      </rPr>
      <t>R</t>
    </r>
    <r>
      <rPr>
        <sz val="10"/>
        <color theme="0"/>
        <rFont val="Arial"/>
        <family val="2"/>
      </rPr>
      <t>esponsible</t>
    </r>
  </si>
  <si>
    <r>
      <rPr>
        <b/>
        <sz val="10"/>
        <color theme="0"/>
        <rFont val="Arial"/>
        <family val="2"/>
      </rPr>
      <t>A</t>
    </r>
    <r>
      <rPr>
        <sz val="10"/>
        <color theme="0"/>
        <rFont val="Arial"/>
        <family val="2"/>
      </rPr>
      <t>ccountable</t>
    </r>
  </si>
  <si>
    <r>
      <t>C</t>
    </r>
    <r>
      <rPr>
        <sz val="10"/>
        <color theme="0"/>
        <rFont val="Arial"/>
        <family val="2"/>
      </rPr>
      <t>onsulted</t>
    </r>
  </si>
  <si>
    <r>
      <rPr>
        <b/>
        <sz val="10"/>
        <color theme="0"/>
        <rFont val="Arial"/>
        <family val="2"/>
      </rPr>
      <t>I</t>
    </r>
    <r>
      <rPr>
        <sz val="10"/>
        <color theme="0"/>
        <rFont val="Arial"/>
        <family val="2"/>
      </rPr>
      <t>nformed</t>
    </r>
  </si>
  <si>
    <t xml:space="preserve">Description (short) </t>
  </si>
  <si>
    <t>BE</t>
  </si>
  <si>
    <t>Projet « Max-sur-Senne » : réaménagement du parc Maximilien avec mise à ciel ouvert de la Senne sur une longueur de 580 m minimum – Etude (également sur M6.6) (action C13_6 Belini)</t>
  </si>
  <si>
    <t>Projet « Max-sur-Senne » : réaménagement du parc Maximilien avec mise à ciel ouvert de la Senne sur une longueur de 580 m minimum – Travaux (également sur M6.6)</t>
  </si>
  <si>
    <t>Projet Schaerbeek Formation : mise à ciel ouvert de la Senne sur le site de Schaerbeek Formation – Etude (également sur M6.6)</t>
  </si>
  <si>
    <t>Projet Schaerbeek Formation : mise à ciel ouvert de la Senne sur le site de Schaerbeek Formation –Travaux (également sur M6.6)</t>
  </si>
  <si>
    <t>Projet Poincaré : mise en perspective de la Senne au niveau du musée des égouts - Etude (fait partie de l’action C12_4 Belini)</t>
  </si>
  <si>
    <t>BE
BM</t>
  </si>
  <si>
    <t>Projet Poincaré : mise en perspective de la Senne au niveau du musée des égouts – Travaux</t>
  </si>
  <si>
    <t>Projet site « Royale Belge » : Mise à ciel ouvert de la Woluwe sur une longueur de 250 m – Etude (voir également fiche M1.2)</t>
  </si>
  <si>
    <t>Projet site « Royale Belge »: Mise à ciel ouvert de la Woluwe sur une longueur de 250 m – Travaux (financés par des charges d’urbanisme) (voir également fiche M1.2)</t>
  </si>
  <si>
    <t>Mise à ciel ouvert du Roodkloosterbeek dans le parc Bergoge sur 100m – Etude (également sur M1.2)</t>
  </si>
  <si>
    <t>Mise à ciel ouvert du Roodkloosterbeek dans le parc Bergoge sur 100m - Travaux (également sur M1.2)</t>
  </si>
  <si>
    <t xml:space="preserve">Étude de faisabilité de mise à ciel ouvert du Kerkebeek sur 800 m au niveau du Moeraske </t>
  </si>
  <si>
    <t xml:space="preserve">Etude Étude de faisabilité de mise à ciel ouvert du Hollebeek sur 100 m au niveau du site Citydev, rue du Bruel – Etude </t>
  </si>
  <si>
    <t>Amélioration de la berge et l’aménagement d’une annexe hydraulique abritée (frayère) à hauteur du site d’Aquiris (action C12_2 Belini) – Etude (*)</t>
  </si>
  <si>
    <t>Aménager la berge et une annexe hydraulique abritée (frayère) à hauteur d’Aquiris (action C12_2 Belini) – Travaux (*)</t>
  </si>
  <si>
    <t>Aménager un lit et des berges naturelles en rives gauche et droite au niveau de l’Avenue de Vilvorde (action C13_4 Belini) - Travaux</t>
  </si>
  <si>
    <t>Poursuivre l’aménagement de berges et lit naturels et d’un bras mort à hauteur de la Rue du Charroi (île Sainte Hélène, en aval du Boulevard Paepsem) – Etude (cf. aussi M 6.6) (*)</t>
  </si>
  <si>
    <t>Poursuivre l’aménagement de berges et lit naturels et d’un bras mort à hauteur de la Rue du Charroi (île Sainte Hélène, en aval du Boulevard Paepsem) – Travaux (également sur Mesure 6.6)</t>
  </si>
  <si>
    <t>Aménager des berges naturelles entre la Dérivation d’Aa et la Rue Bollinckx – Etude (voir également fiche M6.6)</t>
  </si>
  <si>
    <t>Aménager des berges naturelles entre la Dérivation d’Aa et la Rue Bollinckx – Travaux (voir également fiche M6.6)</t>
  </si>
  <si>
    <t>Aménager des berges naturelles et d’une promenade entre la Rue du Charroi et la Rue des Vétérinaires – Etude (voir également fiche M6.6)</t>
  </si>
  <si>
    <t>Améliorer l’hydromorphologie de la Senne entre la Rue du Rupel (aval du Pont Van Praet) et la Rampe du Lion (état actuel : berges bétonnées au niveau d’Elia, voire également le lit) - Etude</t>
  </si>
  <si>
    <t>Améliorer l’hydromorphologie de la Senne entre la Rue du Rupel (aval du Pont Van Praet) et la Rampe du Lion (état actuel : berges bétonnées au niveau d’Elia, voire également le lit) - Travaux</t>
  </si>
  <si>
    <t>Aménager les berges et lit naturels entre la Chaussée de Buda et la sortie de la région, tenant compte du curage prévu de ce tronçon - Etude</t>
  </si>
  <si>
    <t>Aménager les berges et lit naturels entre la Chaussée de Buda et la sortie de la région, tenant compte du curage de ce tronçon - Travaux</t>
  </si>
  <si>
    <t>Aménager de berges naturelles entre la Rue de la Bienvenue et le Boulevard International - Etude</t>
  </si>
  <si>
    <t>Travaux pour aménager une zone humide le long de la Woluwe au niveau de l’étang rond, Parc de la Woluwe – Etude</t>
  </si>
  <si>
    <t>Travaux pour aménager une zone humide le long de la Woluwe au niveau de l’étang rond, Parc de la Woluwe – Travaux</t>
  </si>
  <si>
    <t xml:space="preserve">Réaliser une étude pour l’aménagement de berges naturelles sur la Woluwe entre l’Avenue Debecker et l’Avenue Vandervelde </t>
  </si>
  <si>
    <t>Aménager des berges naturelles sur la Woluwe entre l’Avenue Debecker et l’Avenue Vandervelde</t>
  </si>
  <si>
    <t>Analyser les perspectives d’adoucissement de la pente des berges et d’augmentation de la sinuosité de la Woluwe entre le tronçon Vandervelde et l’Avenue Chapelle-aux-Champs</t>
  </si>
  <si>
    <t xml:space="preserve">Analyser les perspectives d’adoucissement de la pente des berges et d’augmentation de la sinuosité de la Woluwe au niveau du domaine de Val Duchesse </t>
  </si>
  <si>
    <t>Réaliser une étude de faisabilité pour l’installation d’un dispositif-test d’île flottante/radeaux végétalisés (cf. aussi M 5.21)</t>
  </si>
  <si>
    <t>Port de Bruxelles (en collaboration avec BE)</t>
  </si>
  <si>
    <t>PDB</t>
  </si>
  <si>
    <t>Installer un dispositif-test d’île flottante (en cours à hauteur du BRYC)</t>
  </si>
  <si>
    <t>Réaliser une étude de faisabilité pour l’aménagement d’une berge naturelle avec zone de lagunage et éventuelle annexe hydraulique en rive gauche du bassin de batelage</t>
  </si>
  <si>
    <t>Evaluer le résultat et l’expérience acquise avec le dispositif-test d’île flottante pour orienter l’extension de ce type d’aménagements à d’autres zones</t>
  </si>
  <si>
    <t xml:space="preserve">Installer des aménagements de berges (tels que des îles flottantes) à d’autres endroits, en fonction du résultat et de l’expérience acquise avec le dispositif-test d’île flottante </t>
  </si>
  <si>
    <t>Aménager la berge en rive gauche du bassin de batelage en fonction des résultats de l’étude de faisabilité (actuellement envisagé : berge naturelle avec zone de lagunage protégée des remous)</t>
  </si>
  <si>
    <t>Mise en valeur des berges du Zuunbeek dans le cadre de l’aménagement du parc du Zuun - Travaux</t>
  </si>
  <si>
    <t>Aménagement des berges du Molenbeek au niveau du Marais de Jette</t>
  </si>
  <si>
    <t>Création de zone refuge en cas d’étiage du Molenbeek au niveau du Parc Roi Baudouin</t>
  </si>
  <si>
    <r>
      <t>Réaliser une étude de faisabilité pour l’aménagement d’une 1</t>
    </r>
    <r>
      <rPr>
        <vertAlign val="superscript"/>
        <sz val="9"/>
        <color theme="2" tint="-0.749992370372631"/>
        <rFont val="Arial"/>
        <family val="2"/>
      </rPr>
      <t>ère</t>
    </r>
    <r>
      <rPr>
        <sz val="9"/>
        <color theme="2" tint="-0.749992370372631"/>
        <rFont val="Arial"/>
        <family val="2"/>
      </rPr>
      <t xml:space="preserve"> série d’obstacles sur la Woluwe (4 obstacles dans partie aval) et la Senne (action C12_1 Belini pour la Senne)</t>
    </r>
  </si>
  <si>
    <t xml:space="preserve">BE (R. Bocquet, B. Thiebaux)
Accompagnement L. Dohet/A. Marescaux
</t>
  </si>
  <si>
    <r>
      <t>Mener une étude de projet pour l’aménagement d’une 1</t>
    </r>
    <r>
      <rPr>
        <vertAlign val="superscript"/>
        <sz val="9"/>
        <color theme="2" tint="-0.749992370372631"/>
        <rFont val="Arial"/>
        <family val="2"/>
      </rPr>
      <t>ère</t>
    </r>
    <r>
      <rPr>
        <sz val="9"/>
        <color theme="2" tint="-0.749992370372631"/>
        <rFont val="Arial"/>
        <family val="2"/>
      </rPr>
      <t xml:space="preserve"> série de 4 obstacles sur la Woluwe (partie aval) + 1 obstacle sur la Senne</t>
    </r>
  </si>
  <si>
    <t xml:space="preserve">BE (R. Bocquet)
Accompagnement L. Dohet/A. Marescaux
</t>
  </si>
  <si>
    <r>
      <t>Travaux d’aménagement de 2 obstacles parmi la 1</t>
    </r>
    <r>
      <rPr>
        <vertAlign val="superscript"/>
        <sz val="9"/>
        <color theme="2" tint="-0.749992370372631"/>
        <rFont val="Arial"/>
        <family val="2"/>
      </rPr>
      <t>ère</t>
    </r>
    <r>
      <rPr>
        <sz val="9"/>
        <color theme="2" tint="-0.749992370372631"/>
        <rFont val="Arial"/>
        <family val="2"/>
      </rPr>
      <t xml:space="preserve"> série de 4 sur la Woluwe (partie aval)</t>
    </r>
  </si>
  <si>
    <r>
      <t>Travaux d’aménagement des 2 derniers obstacles parmi la 1</t>
    </r>
    <r>
      <rPr>
        <vertAlign val="superscript"/>
        <sz val="9"/>
        <color theme="2" tint="-0.749992370372631"/>
        <rFont val="Arial"/>
        <family val="2"/>
      </rPr>
      <t>ère</t>
    </r>
    <r>
      <rPr>
        <sz val="9"/>
        <color theme="2" tint="-0.749992370372631"/>
        <rFont val="Arial"/>
        <family val="2"/>
      </rPr>
      <t xml:space="preserve"> série de 4 sur la Woluwe (partie aval)</t>
    </r>
  </si>
  <si>
    <t>Travaux d’aménagement de l’obstacle sur la Senne</t>
  </si>
  <si>
    <t>BE (B. Thiebaux)
Accompagnement L. Dohet/A. Marescaux</t>
  </si>
  <si>
    <r>
      <t>Réaliser une étude de faisabilité pour l’aménagement d’une 2</t>
    </r>
    <r>
      <rPr>
        <vertAlign val="superscript"/>
        <sz val="9"/>
        <color theme="2" tint="-0.749992370372631"/>
        <rFont val="Arial"/>
        <family val="2"/>
      </rPr>
      <t>ème</t>
    </r>
    <r>
      <rPr>
        <sz val="9"/>
        <color theme="2" tint="-0.749992370372631"/>
        <rFont val="Arial"/>
        <family val="2"/>
      </rPr>
      <t xml:space="preserve"> série de 5 obstacles sur la Woluwe (partie amont)</t>
    </r>
  </si>
  <si>
    <r>
      <t>Réaliser une étude de projet pour l’aménagement d’une 2</t>
    </r>
    <r>
      <rPr>
        <vertAlign val="superscript"/>
        <sz val="9"/>
        <color theme="2" tint="-0.749992370372631"/>
        <rFont val="Arial"/>
        <family val="2"/>
      </rPr>
      <t>ème</t>
    </r>
    <r>
      <rPr>
        <sz val="9"/>
        <color theme="2" tint="-0.749992370372631"/>
        <rFont val="Arial"/>
        <family val="2"/>
      </rPr>
      <t xml:space="preserve"> série de 5 obstacles sur la Woluwe (partie amont)</t>
    </r>
  </si>
  <si>
    <r>
      <t>Travaux d’aménagement des 5 obstacles de la 2</t>
    </r>
    <r>
      <rPr>
        <vertAlign val="superscript"/>
        <sz val="9"/>
        <color theme="2" tint="-0.749992370372631"/>
        <rFont val="Arial"/>
        <family val="2"/>
      </rPr>
      <t>ème</t>
    </r>
    <r>
      <rPr>
        <sz val="9"/>
        <color theme="2" tint="-0.749992370372631"/>
        <rFont val="Arial"/>
        <family val="2"/>
      </rPr>
      <t xml:space="preserve"> série sur la Woluwe (partie amont)</t>
    </r>
  </si>
  <si>
    <t>Aménager les écluses du Canal de passes à poissons</t>
  </si>
  <si>
    <t>Port de BXL</t>
  </si>
  <si>
    <t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t>
  </si>
  <si>
    <t xml:space="preserve">BE Serv. Biodiversité (O. Beck/X. Vermeersch)
BE Serv. Biodiversité (O. Beck/X. Vermeersch)
Collaboration BE Dpt. Eau (L. Dohet/A. Marescaux, N. Van Weyenbergh) et Port (A. Augem)
</t>
  </si>
  <si>
    <t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t>
  </si>
  <si>
    <t xml:space="preserve">BE Serv. Biodiversité (O. Beck/X. Vermeersch)
BE Dpt. Eau (L. Dohet/A. Marescaux, N. Van Weyenbergh)
Collaboration Port (A. Augem) 
</t>
  </si>
  <si>
    <t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t>
  </si>
  <si>
    <t xml:space="preserve">BE Dpt. Eau (L. Dohet/A. Marescaux, N. Van Weyenbergh)
BE Serv. Biodiversité (O. Beck/X. Vermeersch)
Collaboration Port (A. Augem), BE éco-cantonniers
</t>
  </si>
  <si>
    <t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t>
  </si>
  <si>
    <t xml:space="preserve">BE Dpt. Eau (N. Van Weyenbergh)
BE Serv. Biodiversité (O. Beck/X. Vermeersch) 
Dpt.  Sol et Inspectorat
Port
</t>
  </si>
  <si>
    <t xml:space="preserve">Développer et valider des « zones-tests » afin d’expérimenter des techniques nouvelles :
- d’éradication précoce,
- de contrôle (notamment biologique),
- de confinement.
Ex : pièges à écrevisses, plantation de plantes indigènes compétitrices, éco-pâturage
</t>
  </si>
  <si>
    <t xml:space="preserve">BE Serv. Biodiversité (O. Beck/X. Vermeersch)
BE Dpt. Eau (N. Van Weyenbergh)
Port
</t>
  </si>
  <si>
    <t>Pour les techniques de gestion déjà connues pour être efficaces, poursuivre les opérations de régulation visant à éliminer directement les individus/patches/propagules d’EEE (ex : destruction des œufs de bernaches du Canada et d’ouettes d’Egypte, enlèvement de tortues de Floride)</t>
  </si>
  <si>
    <t xml:space="preserve">BE Dpt. Eau (N. Van Weyenbergh)
BE Serv. Biodiversité (O. Beck/X. Vermeersch)
</t>
  </si>
  <si>
    <t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t>
  </si>
  <si>
    <t xml:space="preserve">BE Serv. Biodiversité (O. Beck/X. Vermeersch)
BE Dpt. Eau (N. Van Weyenbergh, L. Dohet/A. Marescaux)
</t>
  </si>
  <si>
    <t>Etendre les mesures de lutte contre les EEE aquatiques sur le territoire de la région en fonction des résultats des zones-tests</t>
  </si>
  <si>
    <t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t>
  </si>
  <si>
    <t xml:space="preserve">BE Serv. Biodiversité (O. Beck/X. Vermeersch)
BE Dpt. Eau (N. Van Weyenbergh)
</t>
  </si>
  <si>
    <t>Porter  auprès des instances compétentes la problématique de la vente des EEE (pépinières, animaleries, etc.) de la liste européenne pour réaliser les contrôles nécessaires à faire appliquer l’interdiction. Sensibiliser les commerces quant à cette interdiction</t>
  </si>
  <si>
    <t>BE Serv. Biodiversité (O. Beck/X. Vermeersch)</t>
  </si>
  <si>
    <t>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t>
  </si>
  <si>
    <t xml:space="preserve">BE Serv. Biodiversité (O. Beck/X. Vermeersch)
BE Dpt. Eau (N. Van Weyenbergh)
Collaboration Port (A. Augem)
</t>
  </si>
  <si>
    <t>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t>
  </si>
  <si>
    <t xml:space="preserve">BE Serv. Biodiversité (O. Beck/X. Vermeersch)
BE Dpt. Eau (N. Van Weyenbergh
</t>
  </si>
  <si>
    <t xml:space="preserve">Actions de confinement de certaines plantes aquatiques et ripicoles envahissantes dans des zones spécifiques </t>
  </si>
  <si>
    <t xml:space="preserve">BE
Port de Bruxelles
</t>
  </si>
  <si>
    <t>F. Mayer (BE),
E. Beke (BE)</t>
  </si>
  <si>
    <t xml:space="preserve">F. Mayer (BE) avec la collaboration de la SBGE et  de VVQ </t>
  </si>
  <si>
    <t>E. Beke (BE)</t>
  </si>
  <si>
    <t>A. Verbist (BE)</t>
  </si>
  <si>
    <t>Communes</t>
  </si>
  <si>
    <t>B.Thiebaux (BE)
R.Bocquet (BE)
Accompagnement 
L. Dohet (BE)
A.Marescaux (BE)</t>
  </si>
  <si>
    <t>L. Dohet
A.Marescaux (BE)</t>
  </si>
  <si>
    <t>A. PETITJEAN (PORT DE BXLS)
AccompagnementF.Mayer (BE)</t>
  </si>
  <si>
    <t xml:space="preserve">A.PETITJEAN (PORT DE BXLS)
Accompagnement F.Mayer (BE) </t>
  </si>
  <si>
    <t xml:space="preserve">F.Mayer, L. DOHET, A. MARESCAUX (BE) </t>
  </si>
  <si>
    <t>B.Thiebaux  (BE)</t>
  </si>
  <si>
    <t>B. Heuze (BE)</t>
  </si>
  <si>
    <t>B.ThiebauX  (BE)</t>
  </si>
  <si>
    <t>A.AUGEM (PORT DE BXLS)
Accompagnement L. Dohet
A.Marescaux (BE)</t>
  </si>
  <si>
    <t>A.AUGEM (PORT DE BXLS)
Accompagnement F.MAYER (BE)</t>
  </si>
  <si>
    <t>R. Bocquet (BE)
N. Van Weyenbergh (BE)
Accompagnement C. Gaulier (BE)</t>
  </si>
  <si>
    <t xml:space="preserve">Identifier et prioriser les travaux d’extension et de raccordement au réseau d’égouttage sur base de l’inventaire visé par la M  1.5 et de la cartographie des zones égouttables et des opportunités </t>
  </si>
  <si>
    <t>VIVAQUA
 (en coordination avec BE)</t>
  </si>
  <si>
    <t>Identifier et prioriser les travaux d’extension et de raccordement au réseau d’égouttage  sur les parcelles privées du domaine portuaire sur base de l’inventaire visé par la M  1.5 pour les concessions du Port de Bruxelles</t>
  </si>
  <si>
    <t>Sur base de la DB reprenant les rejets directs d’eaux usées dans les cours d’eau (M1.5) procéder, lorsque c’est possible au niveau du cours d’eau, aux correctifs pour remédier à ces mauvaises connexions</t>
  </si>
  <si>
    <t xml:space="preserve">BE  </t>
  </si>
  <si>
    <t>Définir et mettre en place une procédure de « raccordement »  permettant de coordonner les actions de chaque acteur et d’en clarifier les responsabilités</t>
  </si>
  <si>
    <t xml:space="preserve">BE </t>
  </si>
  <si>
    <t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t>
  </si>
  <si>
    <t>BE 
Communes
PORT DE BXLS</t>
  </si>
  <si>
    <t>Actualiser la carte des zones égouttées raccordées aux stations d’épuration dans l’inventaire des émissions polluantes vers les eaux de surface (WEISS)</t>
  </si>
  <si>
    <t xml:space="preserve">Etudier l’opportunité de mettre en place un système de certification des installations privées à l’instar du système PEB existant pour l’énergie </t>
  </si>
  <si>
    <t>Informer les communes quant à l’obligation d’installation et de contrôle  d’une épuration autonome pour les habitations et entreprises situées en zones non-égouttables, et de la possibilité qu’ils demandent l’exonération de la partie assainissement de la facture d’eau dans ce cas</t>
  </si>
  <si>
    <t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t>
  </si>
  <si>
    <t>Assurer le contrôle des systèmes d’épuration individuels</t>
  </si>
  <si>
    <t>Offrir un soutien technique aux communes dans le cadre de la mise en œuvre de cette mesure M1.7</t>
  </si>
  <si>
    <t>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t>
  </si>
  <si>
    <t>Port de Bruxelles (A. AUGEM)
BE (Accompagnement
L. Dohet/ A.Marescaux/ F.Mayer)</t>
  </si>
  <si>
    <t>Actualiser la carte des zones non égouttées soumises à épuration autonome dans l’inventaire BE des émissions polluantes vers les eaux de surface (WEISS), y compris les rejets ponctuels des bateaux/navires</t>
  </si>
  <si>
    <t>BE (L. Dohet, A.Marescaux)</t>
  </si>
  <si>
    <t>Réaliser les plans des déversoirs d’orage principaux sous gestion de Vivaqua</t>
  </si>
  <si>
    <t>Vivaqua</t>
  </si>
  <si>
    <t>Réaliser les plans des déversoirs d’orage principaux sous gestion de la SBGE</t>
  </si>
  <si>
    <t>Installer des capteurs de fréquence ou de débit sur les déversoirs principaux et les ajouter à Flowbru (voir la mesure M1.22)</t>
  </si>
  <si>
    <t>Calculer les fréquences et débit de déversements</t>
  </si>
  <si>
    <t>Déterminer les niveaux idéaux des seuils de déversements des déversoirs sous gestion de Vivaqua et procéder à leur rehausse et/ou optimisation par la mise en place de vannes modulables et siphons/barrières aux flottants</t>
  </si>
  <si>
    <t>Déterminer les niveaux idéaux des seuils de déversements des déversoirs sous gestion de SBGE  et procéder à leur rehausse  et/ou optimisation par la mise en place de vannes modulables et  siphons/barrières aux flottants</t>
  </si>
  <si>
    <t>Adaptation des interceptions orifices limitant l’évacuation des flux vers les STEPS  dans le cadre de l’optimisation des déversoirs.</t>
  </si>
  <si>
    <t>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t>
  </si>
  <si>
    <t xml:space="preserve">BE
A.MARESCAUX
M. ANTOINE 
</t>
  </si>
  <si>
    <t>Réaménager les déversoirs en "déversoirs améliorés" pour retenir le maximum de charge polluante à l’aval des  déversoirs (création de zone de rétention des sédiments et des flottants).   Scénario maximaliste</t>
  </si>
  <si>
    <t xml:space="preserve">Coordonner les acteurs de l'eau autour de cette thématique </t>
  </si>
  <si>
    <t>Analyser les modifications des règles de fonctionnement des bassins d'orage</t>
  </si>
  <si>
    <t>SBGE/VVQ</t>
  </si>
  <si>
    <t xml:space="preserve">Procéder à la mise en œuvre d’un projet-pilote dans la vallée du Maelbeek </t>
  </si>
  <si>
    <t>Assurer la surveillance et le bon fonctionnement du système mis place (1.9.4), établir un retour d’expérience pour l’élargir à d’autres vallées</t>
  </si>
  <si>
    <t>Etudier et élaborer un système de prévisions du comportement du réseau et une stratégie de régulation des débits dans la vallée de la Senne (Bruxelles-centre)</t>
  </si>
  <si>
    <t>Mettre en place des dispositifs de contrôle des débits  (Projet-pilote dans la vallée de la Senne (Bruxelles-centre)</t>
  </si>
  <si>
    <t>Assurer la surveillance et le bon fonctionnement du système mis en place (1.9.7), établir un retour d’expérience pour l’élargir à d’autres vallées</t>
  </si>
  <si>
    <t>Procéder à la mise en œuvre dans d’autres vallées sur base du retour d’expérience dans la vallée du Maelbeek (si pertinent)</t>
  </si>
  <si>
    <t>Pour les 4 points de rejets identifiés, procéder à la finalisation des études, à l’obtention des autorisations et aux travaux de raccordement de ces égouts orphelins aux réseaux d’égouttage connectés aux STEPs</t>
  </si>
  <si>
    <t xml:space="preserve"> Identifier d’autres chainons manquants du réseau d’assainissement public (« égouts orphelins ») sur base de pollution éventuelle et de la mesure M1.5</t>
  </si>
  <si>
    <t>Procéder aux études et travaux de raccordement  aux réseaux d’égouttage connectés aux STEPs d’autres égouts orphelins qui auraient été identifiés</t>
  </si>
  <si>
    <t>Actualiser la carte des zones égouttées, mais non raccordées aux stations d’épuration dans l’inventaire BE des émissions polluantes vers les eaux de surface (WEISS)</t>
  </si>
  <si>
    <t>L. DOHET
A.MARESCAUX (BE)</t>
  </si>
  <si>
    <t>Poursuivre le nettoyage régulier des macro-déchets flottants du Canal au moyen des bateaux et des litter traps, et des éventuels nouveaux dispositifs installés au niveau du Canal</t>
  </si>
  <si>
    <t>Port de Bruxelles / P. Herman  pilote le ramassage des déchets flottants sur le Canal</t>
  </si>
  <si>
    <t>Identifier les zones d’accumulation de macro-déchets flottants dans le Canal, et des conditions et voies d’entrée principales</t>
  </si>
  <si>
    <t>Port de Bruxelles accompagnement BE (M. Antoine)</t>
  </si>
  <si>
    <t>Réaliser une étude sur la gestion actuelle des macro-déchets flottants dans le Canal (évaluation sur une éventuelle optimisation de cette gestion par de nouveaux dispositifs et le choix de ceux-ci)</t>
  </si>
  <si>
    <t>Port de Bruxelles / A. Goriya et A. Augem accompagnement BE (M. Antoine)</t>
  </si>
  <si>
    <t>Installer de nouveaux dispositifs de capture des macro-déchets flottants au niveau du Canal et mettre en œuvre de nouvelles mesures de gestion, suivant les recommandations de l’étude (1.11.3)</t>
  </si>
  <si>
    <t>Faire l’acquisition d’un troisième bateau de ramassage de déchets</t>
  </si>
  <si>
    <t>Port de Bruxelles</t>
  </si>
  <si>
    <t>Créer un pool de nettoyage à l’écluse d’Anderlecht</t>
  </si>
  <si>
    <t>Assurer le dégrillage des eaux du Neerpedebeek en amont de sa confluence avec le Canal</t>
  </si>
  <si>
    <t>Etudier les meilleures solutions de rétention ou de collecte des macro-déchets flottants au niveau des déversoirs</t>
  </si>
  <si>
    <t>VIVAQUA (toutes eaux de surface)
PORT (A. Goriya) pour le Canal
accompagnement BE (M. Antoine)</t>
  </si>
  <si>
    <t>Équiper les déversoirs des dispositifs retenus (lien vers la mesure M 1.8)</t>
  </si>
  <si>
    <t>Entretenir le système de dégrillage de la Senne au niveau de la rue des Vétérinaires à Anderlecht</t>
  </si>
  <si>
    <t xml:space="preserve">Etudier et expérimenter la mise en place de systèmes de rétention des macro-déchets flottants sur les affluents de la Senne, en coordination avec les éco-cantonniers de BE </t>
  </si>
  <si>
    <t>BE (M. Ohsé ?, M. Antoine ?), BE écocantonniers</t>
  </si>
  <si>
    <t>Continuer la sensibilisation des citoyens pour limiter l’abandon des déchets (cf. M 1.25)</t>
  </si>
  <si>
    <t>BE - Port de Bruxelles</t>
  </si>
  <si>
    <t>Mener une campagne de mesures pour déterminer de manière précise les rendements épuratoires actuels de la filière temps sec des STEPs Bruxelles-Nord et Sud pour une large gamme de paramètres établie sur base des données de monitoring de la qualité de la Senne</t>
  </si>
  <si>
    <t>BE Dpt. Eau (Loïc Dohet/A. Marescaux)</t>
  </si>
  <si>
    <t>PAS DANS LE FICHIER PGE EFFICACITE?</t>
  </si>
  <si>
    <t>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t>
  </si>
  <si>
    <t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t>
  </si>
  <si>
    <t>SBGE (D. Pireaux)
Accompagnement BE Dpt. Eau (Loïc Dohet/A. Marescaux)</t>
  </si>
  <si>
    <t>Evaluer l’impact de la mise en œuvre des solutions proposées sur le prix de l’eau</t>
  </si>
  <si>
    <t>SBGE (D. Pireaux) Brugel
Accompagnement BE Dpt. Eau (P. Fragapane)</t>
  </si>
  <si>
    <t>Etude de définition de détails et rédaction du cahier des charges des travaux</t>
  </si>
  <si>
    <t>Procédure d’obtention des permis d’environnement et d’urbanisme associés au projet</t>
  </si>
  <si>
    <t>Attribution du marché de travaux</t>
  </si>
  <si>
    <t>Réalisation des travaux sur l’usine en fonctionnement</t>
  </si>
  <si>
    <t>Identifier les entreprises qui rejettent directement des eaux non domestiques dans les eaux de surface et encoder l’information dans la base de données des permis d’environnement</t>
  </si>
  <si>
    <t>BE (Inspectorat) et BE (Permis)</t>
  </si>
  <si>
    <t>Sur base des résultats de l’analyse de secteurs (mesure 1.13.2), sélection des secteurs les plus problématiques et proposition de priorisation par secteur</t>
  </si>
  <si>
    <t>BE Permis (A. Verbist) et Dpt. Eau (L. Dohet/A. Marescaux)</t>
  </si>
  <si>
    <t xml:space="preserve">Recenser, dans la base de données des permis d’environnement, les installations classées dont les rejets sont potentiellement problématiques au regard des objectifs de qualité des eaux de surface afin de permettre un contrôle ciblé de celles-ci.  </t>
  </si>
  <si>
    <t>Etablissement d’un programme d’inspection spécifique pour ces installations classées en tenant compte des priorités proposées et réalise progressivement le contrôle les rejets.</t>
  </si>
  <si>
    <t>BE (Inspectorat)</t>
  </si>
  <si>
    <t>Mener une étude des sédiments présents sur les 2 tronçons de la Senne qui n’ont pas encore été curés : Aquiris et Buda (bathymétrie et qualité des sédiments)</t>
  </si>
  <si>
    <t>BE
Accompagnement L. Dohet/A. Marescaux</t>
  </si>
  <si>
    <t>Curer le tronçon ‘Aquiris’ et éliminer les boues polluées (Senne)</t>
  </si>
  <si>
    <t>Curer le tronçon ‘Buda’ et éliminer les boues polluées (Senne)</t>
  </si>
  <si>
    <t>Etablir une base de données des curages réalisés (en tant qu’outil de planification future)</t>
  </si>
  <si>
    <t>Évaluer le besoin réel de déviation d’eau de la Senne vers le Canal, déterminer les règles d’activation des vannes en tenant compte des risques d’inondation (lien avec la M5.8) et de la surveillance des paramètres principaux (niveau d’eau)</t>
  </si>
  <si>
    <t>M.ANTOINE
(BE) en collaboration avec le Port de Bxl (P. Herman/J. Opsomer) pour la faisabilité/analyse des risques</t>
  </si>
  <si>
    <t>Remplacer les vannes en bois par des vannes métalliques</t>
  </si>
  <si>
    <t>PORT DE BXLS (J. OPSOMER)</t>
  </si>
  <si>
    <t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t>
  </si>
  <si>
    <t>PORT DE BXLS (J. OPSOMER pour étude remplacement système cric par système oléo-hydraulique)
Installation système de surveillance (camera ou sondes)</t>
  </si>
  <si>
    <t>Aménager les vannes et implémenter les nouvelles règles de déviation d’eaux en fonction des étapes M 1.17.1 à M1.17.3</t>
  </si>
  <si>
    <t>Assurer la veille des niveaux d’eau
Mesures de sécurité additionnelle à prendre en compte</t>
  </si>
  <si>
    <t>Assurer le fonctionnement des vannes</t>
  </si>
  <si>
    <t>PORT DE BXLS (P. HERMAN)</t>
  </si>
  <si>
    <t>Bathymétrie, localisation et mesure du volume de boue</t>
  </si>
  <si>
    <t>Haven van Brussel J.Opsomer</t>
  </si>
  <si>
    <t>Poursuivre le dragage mécanique et l'élimination des sédiments pollués du Canal</t>
  </si>
  <si>
    <t>Port de BXL (J.Opsomer)</t>
  </si>
  <si>
    <t>Mettre en évidence des zones préférentielles d’accumulation des sédiments pour en faciliter le curage, et pour alimenter l’étude des zones privilégiées d’accumulation des pollutions afin d’aider à identifier les sources et voies d’entrée des polluants dans le Canal</t>
  </si>
  <si>
    <t>Port de BXL (J. Opsome)</t>
  </si>
  <si>
    <t>Suivre la problématique des sédiments et de leur curage dans la voie navigable du Canal Bruxelles-Escaut avec les régions flamande et wallonne pour une gestion cohérente de part et d’autre des frontières</t>
  </si>
  <si>
    <t>Port de BXL Consultation interrégionale Capitaine, J.Opsomer</t>
  </si>
  <si>
    <t>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t>
  </si>
  <si>
    <t>Port de BXL (E. Claeys)
Accompagnement BE (L. Dohet/A. Marescaux)</t>
  </si>
  <si>
    <t>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t>
  </si>
  <si>
    <t>Port de BXL (Johan/ Ewout / Amélie )
accompagnement BE (L. Dohet/A. Marescaux)</t>
  </si>
  <si>
    <t>Curer la totalité des sédiments du Canal pour retirer la pollution historique. Scénario Maximaliste</t>
  </si>
  <si>
    <t>Sensibiliser les usagers quant aux pollutions diffuses des navires et bateaux caractérisées dans la mesure M1.5</t>
  </si>
  <si>
    <t>Port de BXL (A. Augem) accompagnement BE (L. Dohet/A. Marescaux)</t>
  </si>
  <si>
    <t>Émettre des recommandations pour limiter les pollutions diffuses des navires et bateaux caractérisées dans la mesure M1.5</t>
  </si>
  <si>
    <t>Port de BXL (A. Augem) et BE</t>
  </si>
  <si>
    <t>Contrôler le respect de l'arrêté pour le transport et la manutention des marchandises dangereuses ou non dans le Canal</t>
  </si>
  <si>
    <t>Port de BXL (Capitaine, autorité de la police)</t>
  </si>
  <si>
    <t>Identifier les décharges clandestines le long du canal, les éliminer et poursuivre les auteurs, et prévenir ces décharges (ex : surveillance des zones fortement sujettes, affichages)</t>
  </si>
  <si>
    <t>Port de Bruxelles (A. Augem), BE Inspectorat (K. Van Den Bruel), communes</t>
  </si>
  <si>
    <t>Monitoring biologique dans les cours d'eau et étangs</t>
  </si>
  <si>
    <t>BE Dpt. Eau (L. Dohet/A. Marescaux)</t>
  </si>
  <si>
    <t>Monitoring mensuel de la qualité de la colonne d'eau des eaux de surface</t>
  </si>
  <si>
    <t xml:space="preserve">Monitoring de la qualité des sédiments des eaux de surface </t>
  </si>
  <si>
    <t xml:space="preserve">BE Dpt. Eau (L. Dohet/A. Marescaux)
</t>
  </si>
  <si>
    <t>Monitoring de la qualité du biote des eaux de surface</t>
  </si>
  <si>
    <t>Intégrer et valider les données de chaque nouvelle année de qualité de la colonne d'eau dans la base de données des eaux de surface</t>
  </si>
  <si>
    <t>Intégrer les données de qualité des sédiments et les données de qualité du biote dans la base de données des eaux de surface</t>
  </si>
  <si>
    <t>Diffuser librement les données de surveillance de la qualité de l'eau</t>
  </si>
  <si>
    <t>BE Dpt. Eau (E.Beke/L. Dohet/A. Marescaux)</t>
  </si>
  <si>
    <t>Inventorier les modifications hydromorphologiques des eaux de surface</t>
  </si>
  <si>
    <t>BE (réseau hydro)</t>
  </si>
  <si>
    <t>Communiquer sur les états biologiques et hydromorphologiques via des publications de l'état de l'environnement</t>
  </si>
  <si>
    <t>BE (S. Davesne)</t>
  </si>
  <si>
    <t>Actualisation du potentiel écologique et de l'état chimique des eaux de surface</t>
  </si>
  <si>
    <t>Entretien et réparation/remplacement des sondes du réseau Flowbru existantes et nouvellement installées</t>
  </si>
  <si>
    <t>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t>
  </si>
  <si>
    <t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t>
  </si>
  <si>
    <t>SBGE
Port de Bruxelles (Canal), Accompagnement L. DOHET A.MARESCAUX (BE)</t>
  </si>
  <si>
    <t>Intégration des sondes déployées dans le site web de diffusion des données Flowbru et diffusion des données de toutes les sondes</t>
  </si>
  <si>
    <t>Poursuivre la validation des nouvelles données pluviométriques, poursuivre la validation des données</t>
  </si>
  <si>
    <t>SBGE Accompagnement BE (L. DOHET/A.MARESCAUX)</t>
  </si>
  <si>
    <t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t>
  </si>
  <si>
    <t xml:space="preserve">BE (L. DOHET/A.MARESCAUX)
Accompagnement SBGE (B. VERBEIREN) </t>
  </si>
  <si>
    <t>Etude d'utilisation des données du réseau Flowbru afin d'améliorer la prédiction de la maintenance des sondes et la gestion dynamique.</t>
  </si>
  <si>
    <t>Amélioration du site web de diffusion des données mesurées Flowbru (https://www.Flowbru.be/fr) et développement d'une application mobile.</t>
  </si>
  <si>
    <t>Développement d'une API du site Flowbru pour faciliter la diffusion des données</t>
  </si>
  <si>
    <t>Développer des alertes automatiques pour une liste de contacts (dont SBGE, Port, BE) en cas de modification alarmante de paramètres mesurés par les sondes Flowbru, en particulier concernant des chutes d'oxygène, ou hausses de conductivité ou de pigments de cyanobactéries</t>
  </si>
  <si>
    <t>SBGE / BE</t>
  </si>
  <si>
    <t>Déployer 1-2 sondes supplémentaires, en amont/aval de la première sonde (prévue au niveau du bassin Béco), si celle-ci démontre que cela s'avère utile (dans la M 1.22.3)</t>
  </si>
  <si>
    <t>Port et SBGE</t>
  </si>
  <si>
    <t>SBGE, BE</t>
  </si>
  <si>
    <t>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t>
  </si>
  <si>
    <t>BE Dpt. Déchet (C. Riffont), BE Dpt. Eau (P. Place/E. Beke, L. Dohet/A. Marescaux), BE Sous-Div. Information (T. Nguyen), SBGE, Vivaqua.
Collaboration BE Serv. Dév. Nature (H. Caulier/J. Ruelle)</t>
  </si>
  <si>
    <t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t>
  </si>
  <si>
    <t>BE Dpt. Déchet (C.Riffont), BE Dpt. Eau (P. Place/E. Beke), Sous-Div. Information (J. Hairson et M. Cavelier), SBGE, Vivaqua,Communes</t>
  </si>
  <si>
    <t>Fournir des informations au Musée des égouts (et autres lieux culturels relayant la préservation de l’environnement) en tant que lieu de sensibilisation</t>
  </si>
  <si>
    <t>BE Dpt. Eau (P. Place/E. Beke)
Collaboration Musée des égouts (Ville de Bruxelles).</t>
  </si>
  <si>
    <t>Promouvoir l’interdiction d’utilisation des objets en plastique à usage unique et favoriser les alternatives réutilisables/durables.
Cette mesure s’établira en synergie également avec la M.7.2 sur la promotion de l’eau de distribution pour les besoins potables.</t>
  </si>
  <si>
    <t xml:space="preserve">BE Dpt. Déchet (C.Riffont) </t>
  </si>
  <si>
    <t xml:space="preserve">Renforcer les campagnes existantes sur la promotion de la propreté urbaine via différents outils et canaux de communication </t>
  </si>
  <si>
    <t>Bruxelles Propreté (ARP)
Port de Bruxelles</t>
  </si>
  <si>
    <t xml:space="preserve">Poursuivre et renforcer la campagne « Ici commence la mer » tout en considérant l’opportunité d’en étendre le périmètre. </t>
  </si>
  <si>
    <t xml:space="preserve">BE Dpt. Eau (P. Place)
ASBL
en collaboration  SBGE, Vivaqua </t>
  </si>
  <si>
    <t>Développement d’une application de sensibilisation et de participation citoyenne à l’observation de pollution des eaux de surface</t>
  </si>
  <si>
    <t xml:space="preserve">BE Dpt. Eau (C. Gaulier/A. Marescaux)
Accompagnement projet SmartWater </t>
  </si>
  <si>
    <t>Sensibiliser les acteurs de l’aménagement et de l’entretien des voiries à tenir compte des problématiques posées par le sel de déneigement (surconsommation, …)</t>
  </si>
  <si>
    <t>BE Dpt. Eau (P. Place/E. Beke, F. Mayer). 
Collaboration Bruxelles Mobilité et Communes</t>
  </si>
  <si>
    <t>Inspectorat et inspecteurs eau du Dpt Eau (réseau hydro)</t>
  </si>
  <si>
    <t>Inspectorat</t>
  </si>
  <si>
    <t>SBGE accompagnement BE</t>
  </si>
  <si>
    <t xml:space="preserve">BE (Inspectorat et réseau hydrographique)
Acteurs et opérateurs de l’eau </t>
  </si>
  <si>
    <t>BE Dpt. Eau (M. Ohsé)
Collaboration Vivaqua (accès SIGASS)</t>
  </si>
  <si>
    <t>BE (Inspectorat et réseau hydrographique)
Acteurs et opérateurs de l’eau</t>
  </si>
  <si>
    <t>Développer par vallée une vision des offres potentielles d'eau supplémentaire actuellement perdues à l'égout et des besoins des milieux récepteurs en aval qui pourraient bénéficier de ces eaux supplémentaires</t>
  </si>
  <si>
    <t>Etude de faisabilité de reconnexion du Molenbeek à la Senne (action C13_1 Belini) + analyse du coûts-bénéfices</t>
  </si>
  <si>
    <t>Etude de faisabilité de reconnexion du Neerpedebeek à la Senne + analyse du coûts-bénéfices</t>
  </si>
  <si>
    <t>Réflexions sur la reconnexion du Watermaelbeek à la Woluwe + analyse du coûts-bénéfices</t>
  </si>
  <si>
    <t>Etude de faisabilité de reconnexion du Ru du Zeyp à Ganshoren (étang Rivieren et Clos des tarins) au Marais de Jette et au Molenbeek + analyse du coûts-bénéfices</t>
  </si>
  <si>
    <t>Investigation et Etude de faisabilité de reconnexion de l'Ukkelbeek à la Senne + analyse du coûts-bénéfices</t>
  </si>
  <si>
    <t>Réflexions sur la récupération vers le réseau hydrographique des eaux claires de drainage s'infiltrant dans les collecteurs + analyse du coûts-bénéfices. (dont le collecteur passant dans le marais de Jette et Ganshoren)</t>
  </si>
  <si>
    <t>BE (réseau hydro)- Vivaqua</t>
  </si>
  <si>
    <t>Programme Brusseau-Bis dans la vallée du Molenbeek</t>
  </si>
  <si>
    <t>Co-construction
(Communes/ citoyens)</t>
  </si>
  <si>
    <t>Pq pas de budget ? Smart water a lui bien ses budgets dans le pge</t>
  </si>
  <si>
    <t>Vérifier l'étanchéité des moines vers les collecteurs présents sur certains étangs spécifiques</t>
  </si>
  <si>
    <t>Établir une méthodologie de calcul des débits minimums écologiques (ecological flows), l'appliquer aux différents tronçons du réseau hydrographique</t>
  </si>
  <si>
    <t>BE (MAT)</t>
  </si>
  <si>
    <t>Poursuivre et élargir les programmes qualitatifs  de surveillance des eaux souterraines à d’autres sites de surveillance et à d’autres paramètres</t>
  </si>
  <si>
    <t>Améliorer l’estimation des concentrations de référence des paramètres présents naturellement dans les eaux souterraines et la compréhension aux processus chimiques influençant la composition géochimique de chacune des masses d’eau et de la présence de certains paramètres présents dans les masses d’eau souterraine, notamment pour l’ammonium, les chlorures et les sulfates des masses d’eau concernées</t>
  </si>
  <si>
    <t>Suite à l’acquisition de nouvelles données, renforcer les conclusions de l’étude réalisée sur l’identification des sources de pollution nitrique quant aux facteurs de pollution exerçant une pression sur la masse d’eau des sables du Bruxellien et renforcer la capacité de discrimination des sources de pollution nitriques provenant des eaux usées et des fertilisants organiques.</t>
  </si>
  <si>
    <t>Identifier les sources de pollution des sites présentant des contaminations aux pesticides, en particulier ceux qui présentent des tendances à la hausse de pesticides interdits d’usage</t>
  </si>
  <si>
    <t>Identification les sources de la pollution au tétrachloroéthylène et autres composés organochlorés volatils (trichloroéthylène, chloroforme et chlorure de vinyl) (cf. aussi M.2.6 et M.3.2)</t>
  </si>
  <si>
    <t>Identifier les pressions ayant un impact sur la salinisation de la masse d’eau souterraine des sables du Bruxellien</t>
  </si>
  <si>
    <t>En cas de contamination mise en évidence dans les résultats des programmes de surveillance, croiser la cartographie des sols pollués avec les résultats des analyses des programmes de surveillance et identifier les activités à risque actuelles ou passées dans les zones d’influence des sites de surveillance contaminés en vue d’identifier les sources de pollutioni</t>
  </si>
  <si>
    <t>Poursuivre les études d’évaluation des risques de transfert de polluants sur sols pollués ou potentiellement non pollués par lessivage et transport latéral lors de réaffectation des sols dans le cadre de la gestion des sols pollués</t>
  </si>
  <si>
    <t xml:space="preserve">Poursuivre la caractérisation de l’état physico-chimique des eaux pluviales et de ruissellement en l’étendant à d’autres polluants et d’autres types de surface de ruissellement, notamment les toitures </t>
  </si>
  <si>
    <t>Poursuivre la cartographie de la vulnérabilité intrinsèque et spécifique du système phréatique bruxellois pour les polluants pertinents pour les eaux souterraines ayant été caractérisés dans les eaux pluviales de ruissellement et dans les eaux usées domestiques</t>
  </si>
  <si>
    <t>Développer un modèle de transfert de risques de dissémination de la pollution par lessivage et transport latéral vers les eaux souterraines phréatiques et les écosystèmes associés pour tout dispositif d’infiltration des eaux tant des eaux pluviales que des eaux usées domestiques</t>
  </si>
  <si>
    <t>Développer la carte des sols bruxellois en tenant compte de la teneur en matière organique des sols</t>
  </si>
  <si>
    <t>Mettre à jour l’inventaire des sources des émissions de la pollution, l’élargir à d’autres polluants pertinents pour les eaux souterraines et modéliser leur cheminement vers les eaux souterraines</t>
  </si>
  <si>
    <t xml:space="preserve">Evaluer les impacts d’une variation de température des eaux souterraines résultant de la présence de forte densité d’exploitations géothermiques en milieu urbain sur la qualité des eaux souterraines et les conflits d’usage susceptibles d’être engendrés. </t>
  </si>
  <si>
    <t>Renforcer les programmes de surveillance par l’extension des réseaux à de nouveaux sites de contrôle au sein des 5 masses d’eau et plus particulièrement au sein de la masse d’eau du système du Socle et des craies du Crétacé</t>
  </si>
  <si>
    <t>Renforcer la pérennité des sites de contrôle existants et futurs faisant partie des programmes de surveillance de l’état chimique</t>
  </si>
  <si>
    <t>Réviser les critères d’évaluation de l’état chimique des masses d’eau souterraine de l’annexe II de l’AGRBC du 10 juin 2010 en ce qui concerne les paramètres à risque et leurs valeurs</t>
  </si>
  <si>
    <t>Réviser l’annexe II de l’AGRBC du 10 juin 2010 en y précisant les valeurs seuils des critères d’évaluation de qualité plus stricts considérés au sein des zones d’alimentation hydrogéologiques des écosystèmes aquatiques et terrestres associés à la masse d’eau souterraine des sables du Bruxellien pour les nitrates, chlorures et sulfates (cf. aussi M 3.8)</t>
  </si>
  <si>
    <t>Compléter l’annexe II de l’AGRBC du 10 juin 2010 en y joignant les valeurs des concentrations de référence des paramètres présents naturellement dans les masses d’eau souterraine par paramètre et par masse d’eau</t>
  </si>
  <si>
    <t>Compléter l’annexe II de l’AGRBC du 10 juin 2010 en y joignant la liste des métabolites considérés comme pertinents et non-pertinents suivis dans le cadre du programme de surveillance mené au cours du Plan de Gestion (2016-2021)</t>
  </si>
  <si>
    <t>Réaliser une veille juridique et transposer en droit bruxellois, le cas échéant, les révisions qui seraient aux annexes I et/ou II de la Directive 2006/118/CE en ce qui concerne notamment l’ajout de polluants émergents (PFAS, substances pharmaceutiques, métabolites de pesticides non pertinents) et leurs valeurs</t>
  </si>
  <si>
    <t>Réviser la liste et les valeurs seuils des critères d’évaluation de la qualité des masses d’eau de l’annexe II de l’AGRBC du 10 juin 2010 compte tenu de la révision des exigences minimales relatives aux valeurs paramétriques utilisées pour évaluer la qualité des eaux destinées à la consommation humaine</t>
  </si>
  <si>
    <t>Vivaqua
BE</t>
  </si>
  <si>
    <t>(In)former et soutenir les communes dans leur mise à jour des règlements communaux relatifs à l’égouttage et assurer la cohérence régionale.</t>
  </si>
  <si>
    <t xml:space="preserve">Vivaqua
BE
</t>
  </si>
  <si>
    <t>Informer les habitants de leur obligation de raccordement, en priorité là où des tronçons d’égouttage ont été récemment installés ou sont en cours de pose, et à terme, à toute la zone d’assainissement collectif</t>
  </si>
  <si>
    <t>Contrôler le raccordement effectif au réseau d’égouttage en priorité pour les tronçons récemment égouttés et à terme pour l’ensemble du réseau d’assainissement collectif présent sur le territoire bruxellois</t>
  </si>
  <si>
    <t>Communes
 Vivaqua</t>
  </si>
  <si>
    <t>Etablir l’inventaire des systèmes d’épuration et de dispersion dans les zones non égouttées et non égouttables, faisant l’objet d’un permis d’environnement</t>
  </si>
  <si>
    <t>Mettre en place un cadre règlementaire précis pour les systèmes d’épuration individuels et un système de contrôle et d’entretien de ces systèmes</t>
  </si>
  <si>
    <t xml:space="preserve">BE
Communes 
</t>
  </si>
  <si>
    <t>Informer et contraindre tout habitant se trouvant dans la zone d’assainissement autonome à la mise en place d’un système d’épuration individuel performant et supprimer si possible les puits perdants, en priorité dans les zones de protection des captages destinées à la consommation humaine et où des écosystèmes aquatiques et terrestres sont présents</t>
  </si>
  <si>
    <t xml:space="preserve">BE
Communes </t>
  </si>
  <si>
    <t xml:space="preserve">Approfondir l’analyse liée à la légère augmentation statistique en nitrates des zones faiblement urbanisée et analyser des pressions qui pourraient y être liées </t>
  </si>
  <si>
    <t>Si nécessaire sur base de l’analyse en 2.5.1, contrôler le respect des conditions d’exploiter pour les exploitations à risques nitriques autorisées par permis d’environnement</t>
  </si>
  <si>
    <t>BE / INSP</t>
  </si>
  <si>
    <t>Si nécessaire, revoir l’AGRBC du 19 novembre afin d’en garantir une meilleure applicabilité par les activités agricoles présentes sur le territoire bruxellois et y adapter le code de Bonnes Pratiques</t>
  </si>
  <si>
    <t>BE / AUTO</t>
  </si>
  <si>
    <t>Editer une brochure de sensibilisation à l’égard des exploitants, notamment sur base du Code de Bonnes Pratiques</t>
  </si>
  <si>
    <t>BE (cellule agri urbaine)</t>
  </si>
  <si>
    <t>Identifier les sources de la pollution au tétrachloroéthylène (cf. M.2.1 et M.3.3)</t>
  </si>
  <si>
    <t>Poursuivre l’inventaire de l’état des sols pollués en matière de tétrachloroéthylène et les composés organochlorés volatils et le cartographier (cf. M.2.1 et M.3.3)</t>
  </si>
  <si>
    <t>Poursuivre  l’assainissement des sols pollués au tétrachloroéthylène et des composés organochlorés tel que prévu à l’OSOL (cf.  M 2.13 et M 3.3)</t>
  </si>
  <si>
    <t>Contrôler les conditions d’exploiter des permis d’environnement liés à des activités  utilisant du tétrachloroéthylène (cf. aussi M. 3.3)</t>
  </si>
  <si>
    <t>Promouvoir l’usage de substances alternatives au tétrachloroéthylène, pour en réduire l’usage et à terme l’interdire</t>
  </si>
  <si>
    <t>Contrôler l’absence de rejets directs dans les prises d’eau autorisées, en priorité pour les activités à risque de pollution autorisées et présentes à proximité des prises d’eau</t>
  </si>
  <si>
    <t>BE 
INSP</t>
  </si>
  <si>
    <t>Contrôler l’application de l’interdiction d’usages des pesticides dans les zones à risque accrus délimités dans l’ordonnance du 20 juin 2013 relative à l’utilisation des pesticides compatible avec le développement durable, en particulier dans les zones de protection des zones de prises d’eau des installation de captages en activité ou non</t>
  </si>
  <si>
    <t>BE 
Communes</t>
  </si>
  <si>
    <t>Contrôler la mise en œuvre des conditions imposées dans les permis lors de la réalisation de l’installation de prise d’eau et des piézomètres mis en place pour le suivi de chantiers (imposition d’une hauteur de l’ouvrage, d’une fermeture) et dans le cadre des études de reconnaissance de l’état des sols (M.2.8)</t>
  </si>
  <si>
    <t>BE </t>
  </si>
  <si>
    <t>Assurer une gestion appropriée des ouvrages soumis à permis d’environnement en contrôlant le respect des conditions liées à la cessation de l’activité, à savoir le rebouchage de l’ouvrage ou, le cas échéant, l’intégration dans un programme de surveillance tant pour les puits que pour les piézomètres (contrôle via attestation)</t>
  </si>
  <si>
    <t>Etablir un inventaire des ouvrages et des piézomètres dont le permis d’environnement est échu ou non autorisés sur le territoire bruxellois et contraindre leur rebouchage ou le cas échéant l’intégration dans un programme de surveillance</t>
  </si>
  <si>
    <t>Évaluer les incidences particulièrement pour la réinjection d’eau utilisée à des fins géothermiques au sein d’une même masse d’eau</t>
  </si>
  <si>
    <t>Poursuivre la gestion et l’assainissement des sols pollués</t>
  </si>
  <si>
    <t>Assurer un contrôle approprié des piézomètres mis en place lors des études de reconnaissance de l’état des sols et suivi de leur assainissement ; imposer et contrôler en fin de procédure le rebouchage des piézomètres (cf M 2.7)</t>
  </si>
  <si>
    <t>Evaluer la pertinence de revoir les normes d’intervention de façon à l’adapter aux paramètres problématiques pour les masses d’eau souterraines, en lien avec la DCE</t>
  </si>
  <si>
    <t>Inventorier les activités critiques autour des zones de protection de captages d’eau, grader les risques, et procéder à des aménagements spécifiques pour les contrer</t>
  </si>
  <si>
    <t>BE
Vivaqua</t>
  </si>
  <si>
    <t>Renforcer les conditions d’exploiter des permis d’environnement proches de points critiques</t>
  </si>
  <si>
    <t>Contrôler la mise en place des conditions d’exploitation renforcées dans les permis environnement</t>
  </si>
  <si>
    <t>Développer un système de signalement de pollution accidentelle à usage de la population vers les acteurs concernés</t>
  </si>
  <si>
    <t>Mettre en place un plan d’intervention d’urgence de gestion de pollution avec tous les acteurs concernés</t>
  </si>
  <si>
    <t>Vivaqua, BE</t>
  </si>
  <si>
    <t>Poursuivre la surveillance quantitative (piézomètres et sources pérennes)</t>
  </si>
  <si>
    <t>Améliorer la surveillance quantitative, en intégrant de nouveaux sites de surveillance piézométriques au réseau existant</t>
  </si>
  <si>
    <t>Assurer et renforcer la pérennité des sites de surveillance</t>
  </si>
  <si>
    <t>Upgrade BrugeoTool (v2+)</t>
  </si>
  <si>
    <t>Upgrade Brustrati3D (v2+)</t>
  </si>
  <si>
    <t>Upgrade BPSM (v2+)</t>
  </si>
  <si>
    <t>Upgrade Hydroland (v2+)</t>
  </si>
  <si>
    <t>Simulations prédictives prioritaires (BPSM, Hydroland)</t>
  </si>
  <si>
    <t>Opérationnaliser cette stratégie dans le cadre des futures autorisations de captage et révision d’autorisation.</t>
  </si>
  <si>
    <t>Effectuer un recensement annuel de tous les captages permanents et temporaires existants et dresser un état des lieux des captages actifs, inactifs et hors service</t>
  </si>
  <si>
    <t>Tenir à jour la base de données reprenant l’ensemble des données technico-administratives relatives aux captages et à leur autorisation</t>
  </si>
  <si>
    <t>Evaluer l’application de l’arrêté du Gouvernement de la Région de Bruxelles-Capitale du 8 novembre 2018 règlementant les captages d’eau souterraine et les systèmes géothermiques en circuit ouvert quant à sa mise en œuvre et son efficacité, proposer un agrément des entreprises de forage et faire référence à des conditions de type BATNEEC, le cas échéant.</t>
  </si>
  <si>
    <t>Assurer un contrôle spécifique des exploitants de captage, en particulier les captages temporaires (rabattements de nappe)</t>
  </si>
  <si>
    <t>Assurer la maintenance de la carte des profondeurs de nappe pouvant servir de base pour l’indentification des zones où les collecteurs seraient en contact avec la nappe.</t>
  </si>
  <si>
    <t>Lors de chantier d’étanchéification d’égout, dans les zones à risque, identifier le risque local de remontée de nappe post-rénovation et étudier la faisabilité de mettre en œuvre, dans le cadre du chantier, dun système de drainage adapté, le cas échéant</t>
  </si>
  <si>
    <t>BE
 VIVAQUA</t>
  </si>
  <si>
    <t>Poursuivre la surveillance qualitative et quantitative dans les zones de protection de captages sur les eaux brutes souterraines destinées à la consommation humaine</t>
  </si>
  <si>
    <t>Poursuivre la surveillance quantitative dans les zones de protection de captages sur les eaux brutes souterraines destinées à la consommation humaine</t>
  </si>
  <si>
    <t>Etendre la surveillance qualitative des eaux souterraines brutes destinées à la consommation humaine aux substances polluantes émergentes, aux biocides et aux paramètres repris dans la nouvelle directive « eau potable » (2020/2184/UE)</t>
  </si>
  <si>
    <t>Evaluer l’état qualitatif de la masse d’eau des Sables du Bruxellien en zone de protection des captages et identifier des tendances globales et individuelles à la hausse pour certains paramètres</t>
  </si>
  <si>
    <t>Etablir un inventaire des activités à risques sur base des permis environnement en cours et échus et les contrôler</t>
  </si>
  <si>
    <t>Elaborer un programme de mesures en vue de protéger les captages d’eau destinée à la consommation humaine intégrant les mesures de restauration de la zone de captage en matière de nitrates et de prévention et de protection globales de façon à éviter la dégradation de la qualité chimique vis-à-vis des autres substances</t>
  </si>
  <si>
    <t>Poursuivre et renforcer la surveillance préventive et de gestion des risques liés à la contamination malveillante ou accidentelle des eaux souterraines en zone de protection effectuée par les cantonniers de VIVAQUA</t>
  </si>
  <si>
    <t>Poursuivre et renforcer la sensibilisation des occupants de la zone de captages par la distribution de brochure à l’existence de la zone de captage et à sa protection en matière des risques liés aux pesticides et aux hydrocarbures</t>
  </si>
  <si>
    <t>Sensibiliser la population sur la présence de captages d’eaux destinés à la consommation humaine et à sa protection par la pose de panneaux de signalisation</t>
  </si>
  <si>
    <t>Renforcer les contrôles pour les réservoirs d’hydrocarbures situés dans la zone de protection III.</t>
  </si>
  <si>
    <t>Renforcer le contrôle des obligations et interdictions relatives à l’utilisation, le stockage et la manipulation des pesticides dans les zones de protection des captages</t>
  </si>
  <si>
    <t>Poursuivre la surveillance des eaux souterraines, en ce compris dans la zone vulnérable aux nitrates</t>
  </si>
  <si>
    <t>Poursuivre la surveillance des composés azotés dans les eaux brutes souterraines prélevées par l’exploitant, VIVAQUA, en application de l’arrêté du Gouvernement du 19 novembre 1998</t>
  </si>
  <si>
    <t>Poursuivre et élargir l’identification des sources et cause de pollution nitrique (en lien avec M.2.1) dans la zone vulnérable</t>
  </si>
  <si>
    <t>Renforcer et adapter la surveillance des eaux souterraines aux écosystèmes terrestres et aquatiques en interaction hydraulique avec la masse d’eau des sables du Bruxellien,</t>
  </si>
  <si>
    <t>Poursuivre le réseau de surveillance et opérationnel des monitorings physico-chimique et chimique de la colonne d’eau, du biote, des sédiments et de la biologie pour la Woluwe (M1.21)</t>
  </si>
  <si>
    <t>Identifier les sources des pollutions de la Woluwe (M1.20)</t>
  </si>
  <si>
    <t>Poursuivre l’identification des écosystèmes dépendants des eaux souterraines et établir une typologie des interactions eau souterraine, eau de surface et écosystèmes terrestres</t>
  </si>
  <si>
    <t>Affiner le développement des outils de modélisation hydrogéologiques existant BPSM en tenant compte de la présence des écosystèmes aquatiques et terrestres dépendants des eaux souterraines</t>
  </si>
  <si>
    <t>Etudier l’impact de variations quantitatives de niveau des eaux souterraines sur les écosystèmes terrestres et caractériser les risques d’altération du bon état de conservation des écosystèmes dépendants</t>
  </si>
  <si>
    <t>Evaluer le potentiel de migration de polluants des eaux souterraines vers les eaux de surface et écosystèmes aquatiques et terrestres – et inversement – ainsi que leur potentiel d’atténuation.</t>
  </si>
  <si>
    <t>Etendre l’identification des écosystèmes dépendants à la masse d’eau du système nord-ouest des sables du Bruxellien et de Tielt</t>
  </si>
  <si>
    <t>Identifier les pressions exercées par les eaux souterraines dans les zones d’alimentation hydrogéologiques sur les écosystèmes aquatiques et terrestres en matière de nitrates, sulfates et chlorures pour y apporter les mesures adéquates de restauration et de prévention</t>
  </si>
  <si>
    <t>Mettre en œuvre les mesures de restauration de la qualité des écosystèmes terrestres dépendants de l’eau souterraine et/ou aquatiques en matière de nitrates, sulfates, ammonium, chlorures pour les habitats Natura 2000 au travers des plans de gestion ‘Natura 2000’</t>
  </si>
  <si>
    <t>Assurer le traitement tertiaire des deux stations d'épuration situées en Région de Bruxelles-Capitale</t>
  </si>
  <si>
    <t>Contrôler le respect des performances épuratoires et des normes de déversement des effluents par les STEP collectives régionales</t>
  </si>
  <si>
    <t>Contrôler les rejets des stations d’épuration collectives et autonomes au regard des permis d’environnement couvrant chaque installation (cf aussi M 1.12)</t>
  </si>
  <si>
    <t>BE Communes</t>
  </si>
  <si>
    <t>Contrôler le bon raccordement des particuliers et entreprises au réseau d'égouttage</t>
  </si>
  <si>
    <t>Communes
VIVAQUA</t>
  </si>
  <si>
    <t>Imposer l'installation de stations d'épuration individuelles performantes lorsque le raccordement au réseau d'égouttage n'est techniquement et/ou économiquement pas réalisable (cf. M 2.4)</t>
  </si>
  <si>
    <t>Communes  BE</t>
  </si>
  <si>
    <t>Assurer la surveillance qualitative des masses d’eau en lien avec les pesticides</t>
  </si>
  <si>
    <t>Mettre en œuvre le Programme Régional de Réduction des pesticides</t>
  </si>
  <si>
    <r>
      <t xml:space="preserve">Valoriser une zone humide au niveau du </t>
    </r>
    <r>
      <rPr>
        <b/>
        <sz val="10"/>
        <color rgb="FF007268"/>
        <rFont val="Arial"/>
        <family val="2"/>
      </rPr>
      <t>grand étang Mellaerts</t>
    </r>
    <r>
      <rPr>
        <sz val="10"/>
        <color rgb="FF007268"/>
        <rFont val="Arial"/>
        <family val="2"/>
      </rPr>
      <t xml:space="preserve"> – Etude et Travaux</t>
    </r>
  </si>
  <si>
    <r>
      <t>Réaménagement</t>
    </r>
    <r>
      <rPr>
        <b/>
        <sz val="10"/>
        <color rgb="FF007268"/>
        <rFont val="Arial"/>
        <family val="2"/>
      </rPr>
      <t xml:space="preserve"> étang Sobieski </t>
    </r>
    <r>
      <rPr>
        <sz val="10"/>
        <color rgb="FF007268"/>
        <rFont val="Arial"/>
        <family val="2"/>
      </rPr>
      <t>- Travaux</t>
    </r>
  </si>
  <si>
    <r>
      <t>Réhabilitation et assainissement étang</t>
    </r>
    <r>
      <rPr>
        <b/>
        <sz val="10"/>
        <color rgb="FF007268"/>
        <rFont val="Arial"/>
        <family val="2"/>
      </rPr>
      <t xml:space="preserve"> Parc Roi Baudouin phase 1 </t>
    </r>
    <r>
      <rPr>
        <sz val="10"/>
        <color rgb="FF007268"/>
        <rFont val="Arial"/>
        <family val="2"/>
      </rPr>
      <t>– Etude et Travaux</t>
    </r>
  </si>
  <si>
    <r>
      <t>Réhabilitation et assainissement étangs</t>
    </r>
    <r>
      <rPr>
        <b/>
        <sz val="10"/>
        <color rgb="FF007268"/>
        <rFont val="Arial"/>
        <family val="2"/>
      </rPr>
      <t xml:space="preserve"> Tournay Solvay </t>
    </r>
    <r>
      <rPr>
        <sz val="10"/>
        <color rgb="FF007268"/>
        <rFont val="Arial"/>
        <family val="2"/>
      </rPr>
      <t>– Etude et Travaux</t>
    </r>
  </si>
  <si>
    <r>
      <t>Réhabilitation et assainissement étang</t>
    </r>
    <r>
      <rPr>
        <b/>
        <sz val="10"/>
        <color rgb="FF007268"/>
        <rFont val="Arial"/>
        <family val="2"/>
      </rPr>
      <t xml:space="preserve"> Marius Renard </t>
    </r>
    <r>
      <rPr>
        <sz val="10"/>
        <color rgb="FF007268"/>
        <rFont val="Arial"/>
        <family val="2"/>
      </rPr>
      <t>– Etude et Travaux</t>
    </r>
  </si>
  <si>
    <r>
      <t xml:space="preserve">Réhabilitation mare </t>
    </r>
    <r>
      <rPr>
        <b/>
        <sz val="10"/>
        <color rgb="FF007268"/>
        <rFont val="Arial"/>
        <family val="2"/>
      </rPr>
      <t>Sauvagère</t>
    </r>
    <r>
      <rPr>
        <sz val="10"/>
        <color rgb="FF007268"/>
        <rFont val="Arial"/>
        <family val="2"/>
      </rPr>
      <t xml:space="preserve"> (naturalisation, patrimoine, berge, cascades, ...) – Etude et Travaux</t>
    </r>
  </si>
  <si>
    <r>
      <t xml:space="preserve">Réhabilitation et assainissement étang </t>
    </r>
    <r>
      <rPr>
        <b/>
        <sz val="10"/>
        <color rgb="FF007268"/>
        <rFont val="Arial"/>
        <family val="2"/>
      </rPr>
      <t xml:space="preserve">Ten Reuken </t>
    </r>
    <r>
      <rPr>
        <sz val="10"/>
        <color rgb="FF007268"/>
        <rFont val="Arial"/>
        <family val="2"/>
      </rPr>
      <t>- Travaux</t>
    </r>
  </si>
  <si>
    <r>
      <t xml:space="preserve">Remplacement moine </t>
    </r>
    <r>
      <rPr>
        <b/>
        <sz val="10"/>
        <color rgb="FF007268"/>
        <rFont val="Arial"/>
        <family val="2"/>
      </rPr>
      <t>Rouge Cloître</t>
    </r>
    <r>
      <rPr>
        <sz val="10"/>
        <color rgb="FF007268"/>
        <rFont val="Arial"/>
        <family val="2"/>
      </rPr>
      <t xml:space="preserve"> Woluwe – Etude et Travaux</t>
    </r>
  </si>
  <si>
    <r>
      <t xml:space="preserve">Aménagement et naturalisation du </t>
    </r>
    <r>
      <rPr>
        <b/>
        <sz val="10"/>
        <color rgb="FF007268"/>
        <rFont val="Arial"/>
        <family val="2"/>
      </rPr>
      <t>Marais Wiels</t>
    </r>
    <r>
      <rPr>
        <sz val="10"/>
        <color rgb="FF007268"/>
        <rFont val="Arial"/>
        <family val="2"/>
      </rPr>
      <t xml:space="preserve"> – Etude et Travaux</t>
    </r>
  </si>
  <si>
    <t>BE
Beliris</t>
  </si>
  <si>
    <r>
      <t>Aménagement et naturalisation de l’</t>
    </r>
    <r>
      <rPr>
        <b/>
        <sz val="10"/>
        <color rgb="FF007268"/>
        <rFont val="Arial"/>
        <family val="2"/>
      </rPr>
      <t xml:space="preserve">étangs Moyen et Mayfair </t>
    </r>
    <r>
      <rPr>
        <sz val="10"/>
        <color rgb="FF007268"/>
        <rFont val="Arial"/>
        <family val="2"/>
      </rPr>
      <t>au parc de la Pede (pour la partie baignade, voir également M 6.7) – Etude et Travaux</t>
    </r>
  </si>
  <si>
    <r>
      <t xml:space="preserve">Réaliser une étude pour l’aménagement de berges naturelles aux </t>
    </r>
    <r>
      <rPr>
        <b/>
        <sz val="10"/>
        <color rgb="FF007268"/>
        <rFont val="Arial"/>
        <family val="2"/>
      </rPr>
      <t>Etangs Bémel, Long, Denis et Rond</t>
    </r>
    <r>
      <rPr>
        <sz val="10"/>
        <color rgb="FF007268"/>
        <rFont val="Arial"/>
        <family val="2"/>
      </rPr>
      <t xml:space="preserve"> du Parc de Woluwe (état actuel : berges en palplanches de bois) tel que prévu dans le Plan de Gestion de site Natura 2000</t>
    </r>
  </si>
  <si>
    <r>
      <t xml:space="preserve">Aménager des berges naturelles aux </t>
    </r>
    <r>
      <rPr>
        <b/>
        <sz val="10"/>
        <color rgb="FF007268"/>
        <rFont val="Arial"/>
        <family val="2"/>
      </rPr>
      <t>Etangs Bémel, Long, Denis et Rond</t>
    </r>
    <r>
      <rPr>
        <sz val="10"/>
        <color rgb="FF007268"/>
        <rFont val="Arial"/>
        <family val="2"/>
      </rPr>
      <t xml:space="preserve"> du Parc de Woluwe (état actuel : berges en palplanches de bois) tel que prévu dans le Plan de Gestion de site Natura 2000</t>
    </r>
  </si>
  <si>
    <r>
      <t xml:space="preserve">Réaliser une étude pour l’aménagement de berges naturelles à l’Etang </t>
    </r>
    <r>
      <rPr>
        <b/>
        <sz val="10"/>
        <color rgb="FF007268"/>
        <rFont val="Arial"/>
        <family val="2"/>
      </rPr>
      <t>Grand Mellaerts</t>
    </r>
    <r>
      <rPr>
        <sz val="10"/>
        <color rgb="FF007268"/>
        <rFont val="Arial"/>
        <family val="2"/>
      </rPr>
      <t> (état actuel : berges en palplanches en bois) tel que prévu dans le Plan de Gestion de site Natura 2000</t>
    </r>
  </si>
  <si>
    <r>
      <t xml:space="preserve">Aménager de berges naturelles à l’Etang </t>
    </r>
    <r>
      <rPr>
        <b/>
        <sz val="10"/>
        <color rgb="FF007268"/>
        <rFont val="Arial"/>
        <family val="2"/>
      </rPr>
      <t>Grand Mellaerts</t>
    </r>
    <r>
      <rPr>
        <sz val="10"/>
        <color rgb="FF007268"/>
        <rFont val="Arial"/>
        <family val="2"/>
      </rPr>
      <t xml:space="preserve"> (état actuel : berges en palplanches en bois) tel que prévu dans le Plan de Gestion de site Natura 2000</t>
    </r>
  </si>
  <si>
    <t>Mener une gestion alternative des étangs, Mise en assec, Culture des vases, Bio-dragage, Installation d’îles flottantes (radeaux végétalisés) (voir également M 1.2 et M 6.2.3).</t>
  </si>
  <si>
    <t>Mener une campagne de mesures des nutriments dans les étangs bruxellois pour initialiser et valider un modèle</t>
  </si>
  <si>
    <t xml:space="preserve">Développer un modèle de prédiction des crises cyanobactéries afin de guider la gestion des étangs </t>
  </si>
  <si>
    <t>BE (en partenariat avec l’ULB)</t>
  </si>
  <si>
    <t>Ajuster les niveaux des étangs en fonction des saisons</t>
  </si>
  <si>
    <t>Gérer les populations de poissons</t>
  </si>
  <si>
    <t>Mener des campagnes d’information quant à l’interdiction de nourrissage des animaux sauvages (oiseaux, poissons) à proximité des étangs et du Canal</t>
  </si>
  <si>
    <t>Analyse et comparaison des deux approches tarifaires (basée sur le seul volume vs. sur la charge polluante) par rapport au respect du principe Pollueur-Payeur</t>
  </si>
  <si>
    <t>Benchmark/analyse des approches mise en place dans les pays européens</t>
  </si>
  <si>
    <t>Présentation de nouvelles pistes de réflexion aux parties prenantes et discussion au sein d’un groupe de travail</t>
  </si>
  <si>
    <t>BE
SBGE
VIVAQUA
BRUGEL</t>
  </si>
  <si>
    <t>Détermination d’une nouvelle modalité de tarification</t>
  </si>
  <si>
    <t>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t>
  </si>
  <si>
    <t>Déterminer les coûts liés à l’assainissement des eaux pluviales et à la lutte contre les inondations supportés par les opérateurs et répercutés sur la facturation en se basant sur leurs données de comptabilité analytique (ventilation des coûts sur les différents étiers des opérateurs)</t>
  </si>
  <si>
    <t>Mener une étude sur la faisabilité de mettre en place de nouveaux mécanismes de financement via une analyse comparative dans le cadre de la gestion des eaux pluviales et identifier celui/ceux qui répondraient au mieux aux spécifiés du contexte Bruxellois</t>
  </si>
  <si>
    <t>Identifier les modifications d’ordre réglementaire, administratif et opérationnel à réaliser aux différentes échelles administratives (régionales et communales) pour permettre la mise en œuvre des nouveaux mécanismes de financement.</t>
  </si>
  <si>
    <t>Mettre en œuvre toutes les actions nécessaires au déploiement du niveau mécanisme de financement et en assurer la bonne communication auprès des différents publics cibles</t>
  </si>
  <si>
    <t>Mener une évaluation monétaire des impacts environnementaux et pour la ressources liés à l’utilisation de l’eau en s’appuyant notamment sur la modélisation WEISS qui inventorie les sources majeures des polluants impactant les masses d’eau en RBC</t>
  </si>
  <si>
    <t>Inventorier et évaluer les mesures de mitigation/prévention des impacts environnementaux à mettre en place</t>
  </si>
  <si>
    <t>Réaliser une analyse coût-bénéfice visant à prioriser les infrastructures ou les mesures encore à mettre en œuvre pour prévenir /atténuer les impacts environnementaux et influer positivement sur la qualité des masses d’eau</t>
  </si>
  <si>
    <t>Intégrer dans la tarification de l’eau les besoins financiers pour la mise en œuvre des infrastructures ou mesures de prévention/mitigation</t>
  </si>
  <si>
    <t>Brugel</t>
  </si>
  <si>
    <t>Fournir annuellement les données relatives aux soldes tarifaires à BE</t>
  </si>
  <si>
    <t>Calculer les indicateurs de récupération des coûts nécessaires et assurer le reporting auprès des institutions européennes</t>
  </si>
  <si>
    <t>GT PH</t>
  </si>
  <si>
    <t>Vivaqua
CPAS
Acteurs Sociaux</t>
  </si>
  <si>
    <t>Brugel et/ou FDSS</t>
  </si>
  <si>
    <t>Réaliser une analyse multicritère permettant d’évaluer l’efficience du fonds quant à l’atteinte des objectifs visés par l’Ordonnance</t>
  </si>
  <si>
    <t>CPAS
VIVAQUA</t>
  </si>
  <si>
    <t>Mettre en place de nouveaux indicateurs permettant de produire une analyse plus fine des usages du fonds à la fois au niveau quantitatif et qualitatif</t>
  </si>
  <si>
    <t>Produire un rapport faisant état de l'adéquation du fonds social de l'eau en regard des missions et des moyens des CPAS, ainsi que de l'objectif visé par l'ordonnance tel que spécifié dans l’arrêté</t>
  </si>
  <si>
    <t>Définir et mettre en place les nouvelles de modalités de fonctionnement afin d’en améliorer l’accès (amoindrir le non recours), la flexibilité (élargir le droit de tirage) et la répartition des usages (ex : définir un « fonds d’améliorations techniques »)</t>
  </si>
  <si>
    <t>Réaliser un état des lieux précis des points d’accès d’eau potable en RBC et des installations sanitaires accessibles aux publics plus vulnérables(*). Cet état des lieux permettraient de géoréférencer ces points d’accès afin d’être communiqués auprès du grand public sous la forme d’une carte numérique interactive.</t>
  </si>
  <si>
    <t>A définir</t>
  </si>
  <si>
    <t>Analyser les besoins au regard des objectifs sociaux, environnementaux et d’adaptation au changement climatique</t>
  </si>
  <si>
    <t>Définir une stratégie coordonnée de déploiement d’équipements intérieurs et extérieurs dans les espaces publics (voirie, place, parc,..) avec l’ensemble des acteurs en charge (Institutions communales, régionales et le monde associatif)</t>
  </si>
  <si>
    <t>Réaliser l’installation et l’entretien des fontaines publiques sur le territoire de la RBC</t>
  </si>
  <si>
    <t>BM
Communes
VIVAQUA
BE (facilities et DEV)</t>
  </si>
  <si>
    <t>Accompagner les acteurs (administrations et auteurs de projets) dans le développement de leurs compétences (voir M.5.3)</t>
  </si>
  <si>
    <t>Règlement régional d’urbanisme (RRU) – réviser les prescriptions existantes et en ajouter de nouvelles relatives à la gestion des eaux tant pour les espaces privés que publics(*)</t>
  </si>
  <si>
    <t>Urban</t>
  </si>
  <si>
    <t>Mettre en place une procédure permettant d’imposer la mise en œuvre de la GiEP aux travers des permis d’environnement et/ou d’urbanisme</t>
  </si>
  <si>
    <t>Urban
BE</t>
  </si>
  <si>
    <t>COBAT- adapter le cadre législatif et procédures établies au 5.1.3, le cas échéant.</t>
  </si>
  <si>
    <t>Plan régional d’affectation des sols (PRAS) –
·        Dans le cadre de la révision du nouveau PRAS, tenir compte de la gestion intégrée des eaux pluviales et de ses objectifs en termes de perméabilités des sols et végétalisation (lutte contre les îlots de chaleur urbain) au niveau des différents documents constitutifs, notamment au niveau des  prescriptions générales et le cas échéant, des prescriptions particulières de certaines zones. Il conviendrait notamment d’assurer un ratio suffisant de pleine terre dans toutes les zones constructibles.
.   Lors de révisions ponctuelles du PRAS actuel (changement d’affectation, inscription de nouveaux tracés…) tenir compte de l’impact des différents scenarios sur la gestion des eaux de ruissellement et assurer des mesures d’atténuation complètes ou à défaut, des compensations basées sur les principes de gestion intégrée des eaux pluviales pour en limiter les incidences au minimum</t>
  </si>
  <si>
    <t>Perspective Brussels</t>
  </si>
  <si>
    <t>Plans d’aménagement directeur (PAD) – obliger l’auteur de projet à réaliser une étude hydrologique dans le cadre de l’établissement de la situation existante et à établir les prescriptions générales sur la base de celle-ci.</t>
  </si>
  <si>
    <t>Perspective.Brussels</t>
  </si>
  <si>
    <t>Plans particuliers d’affectation des sols (PPAS) – intégrer des prescriptions pour garantir la gestion intégrée des eaux pluviales et le cas échéant, compléter les prescriptions des outils de normes supérieures (PAD,…).</t>
  </si>
  <si>
    <t>Faire des études du potentiel de déconnexion (% de surfaces déconnectées) via un outil qui soutiendra les différents plans de développement territorial.
Cette mesure pourra à termes s’appuyer sur un outil cartographique que Bruxelles Environnement compte mettre en place via la M.5.6</t>
  </si>
  <si>
    <t>Etudier la gestion et le placement des impétrants dans l’espace public afin d’établir, le cas échéant, des lignes directrices pour assurer la bonne compatibilité entre GIEP et impétrants.
Actuellement le manque d’information concrète sur leur positionnement, les exigences aléatoires liées à leur placement, le manque de prise en charge de certaines anciennes installations devenues obsolètes, représentent un obstacle à la GIEP et à la végétalisation des espaces publics.</t>
  </si>
  <si>
    <t>Dans l’expectative de cette intégration généralisée d’une bonne prise en compte de la gestion durable de l’eau, remettre des avis et conditions dans les permis d’urbanisme et selon demande, lors des procédures liées à délivrance de permis d’urbanisme (Commission de concertation, Avis d’instance,…)</t>
  </si>
  <si>
    <t>Veiller à la bonne mise en œuvre des principes de gestion de l’eau édictés dans le BKP
Beeldkwaliteitsplan ou plan de qualité paysagère et urbanistique) qui s’appliquent à tout projet d’aménagement et de rénovation d’espace public sur le territoire du Canal dont le périmètre s’étend sur différentes zones administratives aux niveaux de pouvoir multiples( il s’agit du périmètre du Plan Canal de 2012 repris à la page 24 du BKP )</t>
  </si>
  <si>
    <t>Perspective</t>
  </si>
  <si>
    <t>Etablir une veille de tous  les plans, programmes et règlementations  développant d’autres thématiques afin que, lorsque cela s’avère pertinent, les principes qui sous-tendent le PGE (GiEP, préservation de la ressource, réseau hydrographique,…) soient pris en compte
Liste d'exemples (non-exhaustif) : les plans climat communaux, plans de mobilité, etc.</t>
  </si>
  <si>
    <t>BE
Communes</t>
  </si>
  <si>
    <t>Evaluer les coûts d’investissement et opérationnels qu’implique le déploiement d’une politique de GiEP visant à protéger la Région contre les risques d’inondation (pluies TR20) en complément du réseau d’assainissement.</t>
  </si>
  <si>
    <t>Définir un ou plusieurs mécanismes de financement équitables et incitatifs créant une source de fonds permettant le déploiement pérenne d’ouvrages de GiEP dans l’espace privé et public du territoire de la RBC</t>
  </si>
  <si>
    <t>Apporter les modifications légales nécessaires relatives à la mise en œuvre opérationnelle de ces nouveaux mécanismes de prélèvement qui permettront le financement des projets GiEP, par exemple via la mise en place d’un fonds de financement.</t>
  </si>
  <si>
    <t>Définir les rôles et répartition des compétences de la gestion des eaux de pluie entre les acteurs(*).
Tous les acteurs de la mise en œuvre sont déjà identifiés pour la GiEP (car implique le 0 rejet), et les responsabilités sont établies dans la plupart des cas. Il reste cependant des éléments de réseaux pluviaux (séparatif,…) pour lesquels des clarifications de prise en charge doivent être spécifiées.
Il faut ensuite vérifier si l’OCE doit être modifiée pour intégrer les résultats de ces travaux d’identification ou si un arrêté d’exécution doit être rédigé.</t>
  </si>
  <si>
    <t>Tenir à jour un inventaire de tous les acteurs concernés (Stakeholder Management Plan), identifier leurs freins, craintes et intérêts afin de cibler au mieux les actions qui leur permettront de passer le seuil de résistance au changement.</t>
  </si>
  <si>
    <t>Accompagner les acteurs concernés (stakeholders) dans la mise en place du changement au sein de leur organisme, en commençant par identifier des personnes relais au sein de chacune d’elles.</t>
  </si>
  <si>
    <t>Emettre des conseils et des guidances techniques dans le cadre de nouveaux projets d’aménagement du territoire : espaces public (communes, STIB, Bruxelles Mobilité, Perspectives, Urban…) et privé (lotisseurs, bureau d’étude, entrepreneurs,…) en collaboration avec le Facilitateur Eau.
Offrir aux professionnels un accès facilité à des réponses techniques « sur mesure ».</t>
  </si>
  <si>
    <t>Concevoir, diffuser des outils (tableurs de calcul, guide de conception,…) et le cas échéant, revoir en collaboration les outils régionaux existants (ex. Manuels de conception) ou en développer de nouveaux pour aider les questions de mise en œuvre de la GIEP  et autres mesures de résilience climatique liées à la gestion de l’eau.</t>
  </si>
  <si>
    <t>Rédiger, diffuser et mettre à jour des fiches techniques pour aider les questions de mise en œuvre de la GIEP et autres mesures de résilience climatique liée à la gestion de l’eau (via le site internet du Guide Bâtiment durable et des FAQ disponibles sur le site EAU de BE).</t>
  </si>
  <si>
    <t>Mettre en place un accompagnement spécifique avec Bruxelles Mobilité pour que les porteurs de projet et le service entretien systématisent la prise en compte de la GiEP et autres mesures de résilience climatique liées à la gestion de l’eau.</t>
  </si>
  <si>
    <t>Poursuivre et amplifier l’effet de réseau d’expertise en développement des conseillers communaux « Eau », avec une représentation dans chaque commune et avec un rôle légitimé auprès des autres agents communaux, et notamment :
·        Poursuivre la mise en réseau pour partage d’expériences
·        Mettre en place un accompagnement rapproché (ateliers sur les projets concrets, retour des expériences réalisées avec le facilitateur, construction d’outils répondant aux besoins) pour que les porteurs de projet systématisent la prise en compte de la GIEP et autres mesures de résilience climatique liées à la gestion de l’eau.</t>
  </si>
  <si>
    <t>Accompagner les pouvoirs organisateurs des écoles dans une stratégie de végétalisation et de gestion durable des eaux pluviales (déminéralisation,…), notamment par :
-        Diffusion des bonnes pratiques (Guide,…)
-        Formation aux associations actives à l’appui aux écoles ;
-        Soutien financier via appel à projet dédié pour le  (ré) aménagements des cours d’école (« Ré-création ») « Voir M.8.5 »
-        Accompagnement des bureaux d’études mandatés par les pouvoirs organisateurs d’une 20aine d’écoles via un pool multiexperts
Il s’agit de poursuivre les actions en cours de soutien aux écoles pour de la déminéralisation.</t>
  </si>
  <si>
    <t>Intégrer la thématique « GIEP-résilience climatique » dans les programmes existants qui visent la mise à niveau des secteurs professionnels et métiers de la construction-rénovation-parcs et jardins (entrepreneurs, jardiniers, architectes,…)</t>
  </si>
  <si>
    <t>Envisager la mise en place d’un service gratuit de conseils ou d’accompagnement technique à la mise en œuvre de la GIEP (et à la gestion durable de l’eau) à destination des particuliers (*).</t>
  </si>
  <si>
    <t>Établir et mettre en œuvre une stratégie de déminéralisation et de végétalisation (plantation et entretien)  en voirie tenant compte de la gestion de l’eau</t>
  </si>
  <si>
    <t>BM 
Communes</t>
  </si>
  <si>
    <t>Intégrer les prescriptions techniques des ouvrages et revêtements nécessaires à la mise en œuvre de la GIEP dans le Cahier des Charges Type Travaux (CCT)</t>
  </si>
  <si>
    <t>BM</t>
  </si>
  <si>
    <t>Etablir un cadre régional pour faciliter et inciter les déconnexions de particuliers</t>
  </si>
  <si>
    <t>Rédiger et diffuser un Vademecum sur la gestion des eaux pluviales dans les espaces publics</t>
  </si>
  <si>
    <t>Les différents acteurs et privés feront en outre l’objet de mesures de soutien telles que  Subventions, primes, labels et autres mesures de soutien (M 8.3)</t>
  </si>
  <si>
    <t>Mise en œuvre d’une gestion intégrée des eaux pluviales dans les chantiers publics en suivant les lignes directrices d’un Vademecum « gestion des eaux pluviales »</t>
  </si>
  <si>
    <t>BM Communes</t>
  </si>
  <si>
    <t>Se doter d’une Assistance à Maîtrise d’ouvrage pour garantir la bonne réalisation des chantiers/travaux dans le domaine de la gestion des eaux pluviales</t>
  </si>
  <si>
    <t>Cette mesure se fera également via l’accompagnement des acteurs concernés (M 5.3)</t>
  </si>
  <si>
    <t>Des mesures de communication et de sensibilisation seront également prévues (M 5.29)</t>
  </si>
  <si>
    <t>L’intégration de la GIEP dans les outils de l’aménagement du territoire est prévu (M 5.1)</t>
  </si>
  <si>
    <t>Poursuivre et améliorer la cartographie du « Maillage Pluie » répertoriant les dispositifs GiEP déployés dans les communes bruxelloises
Au fur et à mesure de la mise en place de dispositifs, il s’agit d’en établir un cadastre géo référencé robuste, pour ensuite maitriser l’information relative à leur efficacité, leur entretien,…en bref : permettre une gestion patrimoniale efficace.
Une gestion patrimoniale efficace des dispositifs implique un inventaire précis des installations en les catégorisant par typologie et en définissant les gestionnaires de chaque dispositif.</t>
  </si>
  <si>
    <t>Mettre en place un tableau de bord permettant d’assurer un suivi optimal de la performance des dispositifs GiEP déployés en RBC
Ancré sur le cadastre géo référencé, et dans le but de suivre l’efficacité de la mise en œuvre de l’ensemble de la politique de l’eau, les mesures nécessaires seront prises pour mettre en place les moyens de relever les indicateurs de performance.
Ce tableau de bord permettra également  de planifier les entretiens  des ouvrages, ainsi que leur réhabilitation éventuelle avec une budgétisation des coûts.
Les critères décrivant la performance devront être définis par rapport à plusieurs paramètres : comme par exemple celui de la capacité d’infiltration mais également la protection des eaux souterraines.</t>
  </si>
  <si>
    <t>Sur base de l’inventaire détaillé des dispositifs GIEP, mettre en place un contrôle de leur efficacité/performance dans le temps. A la fois pour s’assurer de leur efficacité hydraulique et de résilience climatique, ainsi que pour bénéficier des retours d’expériences dans un objectif d’amélioration continue.
Rédiger le règlement utile à la mise en œuvre de cette mesure, et mettre en place un mécanisme et une cellule de contrôle des dispositifs.
Ce type de mesure nécessite de nouvelles ressources humaines.</t>
  </si>
  <si>
    <t>Assurer un suivi des ouvrages de gestion d’eau et leur alimentation via notamment des sondes dans les plantations (tensiométriques et qualité)</t>
  </si>
  <si>
    <t xml:space="preserve">BM
 BE
</t>
  </si>
  <si>
    <t>Réaliser des études et projets « pilotes » pour cartographier progressivement sur chaque parcelle le potentiel de déconnexion par bassins versants sur l’ensemble de la Région et rendre les résultats accessibles pour en faire un outil d’aide à la décision de mise en œuvre accélérée de la GiEP (M 5.5.)</t>
  </si>
  <si>
    <t>Sur base de ces études et d’un inventaire de l’existant (voir M 5.5), évaluer l’impact attendu de différents scenarios d’ambition de déconnexion sur une série d’indicateurs de performance (volumes pouvant être soustraits des réseaux, …) et des bénéfices écosystémiques (îlots de chaleur urbains)</t>
  </si>
  <si>
    <t>Développer un outil permettant, à l’instar de BEST (Benefits Estimation Tool), d’évaluer et monétiser les avantages écosystémiques des aménagements GiEP, en les comparant à leurs coûts de mise en œuvre et d’entretien tout au long de leur cycle de vie.</t>
  </si>
  <si>
    <t>Mieux caractériser dans le contexte bruxellois les risques posés par les ouvrages de gestion en se basant sur les résultats de monitoring et d’études complémentaires, notamment modélisation de la vulnérabilité des eaux souterraines dans le contexte bruxellois, et sur cette base, revoir les outils d’aide à la décision (lignes directrices, vademecums, outils de calculs,…).</t>
  </si>
  <si>
    <t>Etudier l’impact environnemental de différents revêtements, notamment par rapport aux ilots de chaleur urbains afin d’objectiver les stratégies de pose (choix des matériaux, emplacement, modalités de mise en œuvre,…)</t>
  </si>
  <si>
    <t>BE
CRR</t>
  </si>
  <si>
    <t>Sur base des mesures précédentes, établir une balance risque/bénéfice pour aboutir à la meilleure stratégie de gestion possible</t>
  </si>
  <si>
    <t>Afin de mieux catégoriser le risque spécifique posé pour les ouvrages de gestion, réaliser un diagnostic à l’échelle communale et régionale dans l’usage du sel comme fondant chimique</t>
  </si>
  <si>
    <t>BE
BM
Communes</t>
  </si>
  <si>
    <t>Actualiser la cartographie régionale du taux d’imperméabilisation des sols</t>
  </si>
  <si>
    <r>
      <t>Intégrer dans les outils règlementaires</t>
    </r>
    <r>
      <rPr>
        <b/>
        <sz val="10"/>
        <color rgb="FF75B626"/>
        <rFont val="Arial"/>
        <family val="2"/>
      </rPr>
      <t xml:space="preserve"> </t>
    </r>
    <r>
      <rPr>
        <sz val="10"/>
        <color rgb="FF75B626"/>
        <rFont val="Arial"/>
        <family val="2"/>
      </rPr>
      <t>des mesures dérogatoires menant au recours à une simple temporisation avec débit limité, lorsque la solution GIEP est démontrée avoir atteint sa limite, pour gérer en tout ou en partie les eaux de ruissellement de la parcelle privée ou publique considérée.</t>
    </r>
  </si>
  <si>
    <r>
      <t xml:space="preserve">Intégrer dans les nouvelles </t>
    </r>
    <r>
      <rPr>
        <b/>
        <sz val="10"/>
        <color rgb="FF75B626"/>
        <rFont val="Arial"/>
        <family val="2"/>
      </rPr>
      <t>Conditions générales « eaux pluviales » du Permis d’Environnement</t>
    </r>
    <r>
      <rPr>
        <sz val="10"/>
        <color rgb="FF75B626"/>
        <rFont val="Arial"/>
        <family val="2"/>
      </rPr>
      <t>, des mesures dérogatoires menant au recours à une simple temporisation avec débit limité, lorsque la solution GIEP est démontrée avoir atteint sa limite, pour gérer en tout ou en partie les eaux de ruissellement de la parcelle privée ou publique considérée.</t>
    </r>
  </si>
  <si>
    <t>Poursuivre le recensement des bassins d’orage visés par l’arrêté du Gouvernement du 23 mai 2019</t>
  </si>
  <si>
    <t>BE communes</t>
  </si>
  <si>
    <t>Etablir un guide « exploitant » pour ces installations classées</t>
  </si>
  <si>
    <t>Assurer les contrôles prévus par l’arrêté du Gouvernement de la région de Bruxelles-Capitale du 23 mai 2019 ou délégués par Bruxelles Environnement sur base des données transmises par Bruxelles Environnement, Urban et/ou les communes</t>
  </si>
  <si>
    <t>Evaluer la bonne effectivité de la règlementation au regard des objectifs poursuivis et proposer d’éventuelles améliorations</t>
  </si>
  <si>
    <r>
      <t xml:space="preserve">Favoriser l’utilisation des méthodes de tamponnage avec débit limité qui ont le </t>
    </r>
    <r>
      <rPr>
        <b/>
        <sz val="10"/>
        <color rgb="FF75B626"/>
        <rFont val="Arial"/>
        <family val="2"/>
      </rPr>
      <t>moindre impact négatif environnemental</t>
    </r>
    <r>
      <rPr>
        <sz val="10"/>
        <color rgb="FF75B626"/>
        <rFont val="Arial"/>
        <family val="2"/>
      </rPr>
      <t>.
Certains types de matériaux (plastic, béton, résines,…) ou mise en œuvre (profondeur, surface imperméable supplémentaire) présentent un impact environnemental plus négatif que d’autres. Une sensibilisation sur l’importance de ces choix doit être réalisée.</t>
    </r>
  </si>
  <si>
    <t>Entretenir la déviation d’Aa et les vannes vers le Canal</t>
  </si>
  <si>
    <t>Assurer la surveillance pour activer au besoin la déviation</t>
  </si>
  <si>
    <r>
      <t xml:space="preserve">Analyser cartographiquement les besoin de libération d’emprise, surveiller les opportunités dans le lit majeur des cours d’eau et faire respecter la zone </t>
    </r>
    <r>
      <rPr>
        <i/>
        <sz val="10"/>
        <color rgb="FF75B626"/>
        <rFont val="Arial"/>
        <family val="2"/>
      </rPr>
      <t>non aedificandi</t>
    </r>
  </si>
  <si>
    <t>Intégrer l'objectif hydraulique lors de réaménagements des cours d’eau et des berges</t>
  </si>
  <si>
    <t>Renforcer le tamponnage dans les étangs (adaptation des moines), pièces d’eau et dans le lit majeur des cours d’eau</t>
  </si>
  <si>
    <t>Reprendre les eaux de ruissellement, les réseaux séparatifs dans le réseau hydrographique, quand le ratio coûts-bénéfices est favorable.</t>
  </si>
  <si>
    <t>Mettre en place des mesures visant l'utilisation du Canal comme milieu récepteur potentiel des eaux de ruissellement en provenance des zones limitrophes
-         Etablir un inventaire des réseaux d’eaux claires existants dans les berges/quais du Canal. Ils présentent un atout d’opportunité de branchements dont le rejet est déjà percé dans le mur de quai (cfr M1.5.9).
-         Définir les conditions applicables aux rejets d'eaux claires dans le Canal (qualité, débit)
-         Proposer une procédure facilitée au demandeur (formulaire de  demande, dossier-type…)</t>
  </si>
  <si>
    <t>Poursuivre le programme d’état des lieux des égouts permettant d’identifier les tronçons nécessitant des travaux d’entretien.</t>
  </si>
  <si>
    <t>Définition d’un plan structurel d’entretien pour les réseaux Identifier les zones sensibles pour les atterrissements</t>
  </si>
  <si>
    <t>Entretenir les infrastructures hydrauliques existantes (pompes,…)</t>
  </si>
  <si>
    <t>Procéder au curage régulier des cunettes en zone sensible sur base du programme d’entretien des infrastructures</t>
  </si>
  <si>
    <t xml:space="preserve">Vivaqua
SBGE </t>
  </si>
  <si>
    <t>Vallée de la Woluwe aval</t>
  </si>
  <si>
    <t>Vallée du Molenbeek-aval/Heyselbeek</t>
  </si>
  <si>
    <t>Versant de Forest/Saint Gilles</t>
  </si>
  <si>
    <t>Vallée du Broeckbeek</t>
  </si>
  <si>
    <t>Vallée du Verrewinkelbeek</t>
  </si>
  <si>
    <t>Vallée du Paruck</t>
  </si>
  <si>
    <t>Ten Reuken</t>
  </si>
  <si>
    <t>Finaliser la carte répondant aux critères de l’arrêté royal du 12 octobre 2005 à partir des données de VIVAQUA</t>
  </si>
  <si>
    <t>BE
VIVAQUA</t>
  </si>
  <si>
    <t>Valider en plateforme de coordination  la carte</t>
  </si>
  <si>
    <t>Faire acter la cartographie par le Gouvernement bruxellois avant de l’envoyer au service fédéral compétent pour modifier l’arrêté royal du 28 février 2007 portant délimitation des zones à risque visées à l'article 129, § 1er, de la loi du 4 avril 2014 relative aux assurances</t>
  </si>
  <si>
    <t>Gouvernement</t>
  </si>
  <si>
    <t>Croiser la carte des zones inondables avec la localisation des activités dangereuses (DB permis, Seveso,…)</t>
  </si>
  <si>
    <t>Informer les propriétaires du risque d’inondation, impliquer la cellule refoulement d’égout de Vivaqua</t>
  </si>
  <si>
    <t>Etudier la faisabilité juridique d’intégrer des mesures spéciales de préservation dans les permis dans les zones inondables</t>
  </si>
  <si>
    <t>Informer le centre de crise des infrastructures sensibles</t>
  </si>
  <si>
    <t>Intégrer dans la réglementation urbanistique des prescriptions :
· visant une conception adaptée du bâti en zone inondable pour minimiser les conséquences néfastes en cas d'inondation (au moins démontrer une réflexion sur le risque que court le bâti considéré et les solutions envisagées) ;
· faisant de la carte des zones inondables un outil à portée réglementaire ;
· imposant un avis relatif à la thématique de l'eau à toute construction d'infrastructures et bâtiments situés en zone inondable.</t>
  </si>
  <si>
    <t>Mettre en place une cellule "conseils" :
Délivrer des conseils techniques aux habitants dont l’habitation est fréquemment touchée par des inondations du fait de la non étanchéité du système d’évacuation des eaux usées jusqu’au niveau de la voirie.</t>
  </si>
  <si>
    <t>Assurer un suivi régulier des prévisions météorologiques et des consommations en eau en période de sécheresse prolongée</t>
  </si>
  <si>
    <t>Pourvoir à une alimentation optimale des réservoirs d’eau alimentant la Région de Bruxelles-Capitale, par la mise en service de captages de réserve, le cas échéant</t>
  </si>
  <si>
    <t>Sensibiliser la population en cas de risque de pénuries d’eau lors des périodes de pics de consommation</t>
  </si>
  <si>
    <t>Déterminer les seuils en-deçà desquels des restrictions de captages et de prélèvement d’eau doivent pouvoir être imposées, notamment dans ou à proximité immédiate de zones protégées.</t>
  </si>
  <si>
    <t>Définir les règles de priorisation des usages de l’eau en cas de risque de pénurie.</t>
  </si>
  <si>
    <t>Adapter les conditions fixées dans les nouvelles autorisations de captages d’eau souterraine  pour tenir compte des épisodes de sécheresse ou de pénurie d’eau.</t>
  </si>
  <si>
    <t>Imposer de nouvelles conditions dans les autorisations de prélèvements d’eau dans les cours d’eau non navigables</t>
  </si>
  <si>
    <t>Etablir un registre des prélèvements autorisés dans les cours d’eau non navigables</t>
  </si>
  <si>
    <t>Assurer le contrôle du respect des mesures de restriction et de priorisation.</t>
  </si>
  <si>
    <t>Dresser un inventaire des éléments et sites naturels les plus vulnérables aux épisodes de sécheresse, pour fonder et prioriser les actions qui permettront d’assurer les différents critères de conservation (taux d’humidité, niveaux des pièces d’eau, ecological flow,…) en cas de crise sècheresse</t>
  </si>
  <si>
    <t>Renforcer  le suivi des niveaux piézométriques  (fréquence des mesures, densité des sites mesurés,…), du débit des sources, dans les zones d’alimentation hydrogéologiques de certains écosystèmes terrestres et aquatiques associés en cas de crise sécheresse (cf. aussi M 3.4)</t>
  </si>
  <si>
    <t>Etablir des seuils critiques de niveaux piézométriques en lien avec les observations faites in situ et les valeurs de référence des critères hydrologiques de bon état de conservation des habitats Natura 2000 associés aux eaux souterraines et les résultats des simulations faites qui déclenchent la mise en œuvre de mesures de sauvegarde pour les écosystèmes associés (cf. aussi M 3.4)</t>
  </si>
  <si>
    <t>Mettre en place des mesures de prévention (aménagements limitant le ruissellement, …) et de sauvegarde des écosystèmes dépendants (irrigation ciblée, gestion spécifique des captages, …), et de la faune en péril (création de zones refuges, déplacement temporaire des poissons,..)</t>
  </si>
  <si>
    <t>Assurer un monitoring renforcé (recours à la télémétrie du réseau de piézomètres) des nappes wallonnes et rivière alimentant la Région de Bruxelles-Capitale en eau potable</t>
  </si>
  <si>
    <t>Détecter les signes précoces de manque d’eau dans les zones d’approvisionnement en eau potable, dont la Meuse</t>
  </si>
  <si>
    <t>Poursuivre la surveillance continue des niveaux permettant la sécurité de la navigation</t>
  </si>
  <si>
    <t>Entretenir les systèmes de pompage des écluses permettant de réguler le niveau d’eau</t>
  </si>
  <si>
    <t>Mettre en oeuvre des mesures permettant de limiter la diminution du niveau d’eau dans les biefs (ex: activation des vannes, regroupement des bateaux lors des éclusages en période de sécheresse)</t>
  </si>
  <si>
    <t>Equiper le Canal de nouvelles sondes de pression raccordées au réseau Flowbru (Bassin Béco, Pont de Buda) = M.1.22</t>
  </si>
  <si>
    <t>Tenir à jour l’inventaire annuel des prises d’eau et restitutions dans le Canal et effectuer une visite de contrôle annuelle</t>
  </si>
  <si>
    <t>Equiper les prises d’eau dans le Canal de compteurs connectés permettant un suivi régulier des prélèvements et effectuer une visite de contrôle annuelle</t>
  </si>
  <si>
    <t>Examiner les nouvelles demandes de prises d’eau dans le Canal</t>
  </si>
  <si>
    <t>Adapter la politique de captage d’eau dans le Canal en cas d’augmentation notable de la demande en eau, ou de modification substantielle de son utilisation (en particulier : avec ou sans restitution) ou de ses conditions de rejet (notamment température)</t>
  </si>
  <si>
    <t>Port de Bruxelles /</t>
  </si>
  <si>
    <t>Poursuivre l’imposition de conditions environnementales sur les rejets de prélèvements et restitution en fonction de l’usage de ceux-ci</t>
  </si>
  <si>
    <t>Mener des campagnes d’information sur le phénomène d’algues bleues</t>
  </si>
  <si>
    <t>BE 
 Port de Bruxelles</t>
  </si>
  <si>
    <t>Prise de mesures ponctuelles au moyen de la sonde multiparamètres mobile et de tests immuno-enzymatiques ELISA quand cela s’avère pertinent (par ex : suspicion de bloom de cyanobactéries, surmortalité de poissons)</t>
  </si>
  <si>
    <t>Port de Bruxelles
BE</t>
  </si>
  <si>
    <t>Etudier les phénomènes de surmortalité de poissons  : analyse de données qualité de la (les) sonde(s) en continu FlowBru sur le Canal, analyse de données ponctuelles de la sonde qualité mobile et des tests immuno-enzymatiques ELISA récoltées dans le Canal, installation et analyse de données qualité des robots du projet Smart Water, et modélisation des blooms d’algues bleues, dans l’optique de comprendre les phénomènes à l’origine de la surmortalité des poissons de rechercher des solutions permettant d’en réduire les effets</t>
  </si>
  <si>
    <t>BE
Smart Water
 Port de Bruxelles</t>
  </si>
  <si>
    <t>Etudier la faisabilité de mettre en œuvre des actions ou d’installer des dispositifs sur le Canal permettant d’apporter de l’oxygène en période d’hypoxie (ou de risque d’hypoxie, comme lors de blooms d’algues bleues ou de sécheresse) (tels que, de façon non-exhaustive : renouvellement d’eau, aérateur, barrière à bulles, installation locale de radeaux végétalisés)</t>
  </si>
  <si>
    <t xml:space="preserve">Port de Bruxelles
BE </t>
  </si>
  <si>
    <t>Étudier la possibilité d’ouvrir les écluses pour renouveler les eaux du Canal en cas de besoin (canicule/sécheresse/manque de passage de bateau/présence de blooms de cyanobactéries/eau très turbide/hypoxie/animaux en détresse ou morts)</t>
  </si>
  <si>
    <t>Port de Bruxelles BE</t>
  </si>
  <si>
    <t>Revoir le choix des végétaux à mettre en place dans les espaces verts bruxellois</t>
  </si>
  <si>
    <t>Concevoir les espaces verts et apporter les aménagements nécessaires à une gestion plus rationnelle de l’eau</t>
  </si>
  <si>
    <t>Prendre les mesures visant à diminuer le recours à l’eau potable en favorisant l’eau pluviale et en limitant les besoins en eau</t>
  </si>
  <si>
    <t>Communication et sensibilisation à cette gestion raisonnée des espaces verts via un référentiel de gestion écologique</t>
  </si>
  <si>
    <t>Tous publics :
Accompagner les différentes catégories de public par le développement d’outils techniques notamment pour estimer les besoins en eaux (calculateur) et pour identifier les solutions à mettre en place au cas par cas.</t>
  </si>
  <si>
    <t>Facilitateur AU, FédéAU
-Citoyens : réseaux des Maîtres maraîchers
-Potagers collectifs : asbl le début des haricots</t>
  </si>
  <si>
    <t>Maraîchers/cultures Professionnels
- Mise en place d’un soutien dédicacé pour une transition vers des pratiques plus exemplaires en s’appuyant sur les structures existantes (primes à la récupération, pour la réalisation d’audits…);
- Prise en  compte de la question de la gestion de l’eau lors de l’attribution de subsides (ex. appel à projets en agriculture durable, économie et emploi)  et lors de l’acquisition de foncier ou création infrastructures (conditionnalités de certaines aides à étudier)
Ces actions s’établissent en coordination avec la Stratégie Good Food vers un système alimentaire durable en Région de Bruxelles-Capitale</t>
  </si>
  <si>
    <t>BE 
SPRB</t>
  </si>
  <si>
    <t>Potagers collectifs :
encourager le placement et le raccordement des citernes de récupération d’eau de pluie et pratiques agricoles économes en eaux par de de l’accompagnement via :
a)     via formations (voir M 5.4), et développement de contenus didactiques ;
b)     l’adoption et révision des Chartes et pratiques associées, notamment en incitant à une mise en commun des ressources (citerne enterrée de récupération de grande capacité, mise en place d’un référent Eau, constitution de stocks communs en hiver sur une parcelle,…) ;
c)) Soutien à la mise en place de projets exemplaires via appel à projet Inspirons le quartier (projets collectifs citoyens) ou Actions Climat (projets communaux) – voir M.8.5</t>
  </si>
  <si>
    <t>BE 
Communes</t>
  </si>
  <si>
    <t>Dans les potagers sous gestion de Bruxelles Environnement, étudier au regard des contraintes éventuelles (enjeux paysagers,…) des alternatives (techniques ou de mise en œuvre) à l’utilisation d’eau potable (bornes fontaines) pour l’irrigation</t>
  </si>
  <si>
    <t>Lors de projet d’urbanisation ou de revitalisation urbaine, analyser systématiquement la possibilité de répondre aux besoins en eau de l’agriculture urbaine à proximité via la récupération d’eaux de toitures (convention pour alimenter les potagers)</t>
  </si>
  <si>
    <t xml:space="preserve">Communes </t>
  </si>
  <si>
    <t>Tous publics :
Développer des lignes directrices permettant d’assurer l’équilibre entre enjeux socio-économiques (continuité d’approvisionnement en eau) et environnementaux (préservation de la ressource) en se basant sur quelques cas d’étude (10 aine)</t>
  </si>
  <si>
    <t>Tous publics :
Etudier le coût-bénéfice d’alternatives à l’eau potable aux regards notamment des aspects sanitaires et traitements possibles (eaux grises, eaux d’exhaure, …) et intégrer le cas échéant aux lignes directrices, en coordination avec les instances fédérales (Afsca,…)</t>
  </si>
  <si>
    <t>BE  
Innoviris
SPRB</t>
  </si>
  <si>
    <t>Mise en place formelle et officielle de la cellule « sécheresse », groupe de travail initialement mis en place pour l’élaboration de ces mesures, en identifiant et attribuant les rôles à chaque intervenant.</t>
  </si>
  <si>
    <t>Assurer une communication cohérente à travers cette cellule « sécheresse »</t>
  </si>
  <si>
    <t>Cellule sécheresse</t>
  </si>
  <si>
    <t>Au sein de la cellule Sécheresse (cf. M 5.23), créer une groupe de travail impliquant les différents acteurs de l’eau, les services météorologiques et les autorités gérant les crises sur le terrain afin de s’accorder sur un indicateur « sécheresse » permettant de déterminer les phases d’alerte</t>
  </si>
  <si>
    <t>Mettre en place un premier système d'alerte pour les inondations fluviales. Préalablement, les démarches auprès des autorités flamandes seront entreprises pour établir un partenariat dans le cadre de waterinfo, et adapter le cas échéant le format et le traitement de nos données d’observations et de simulations</t>
  </si>
  <si>
    <t>BE-SBGE-Port de Bruxelles</t>
  </si>
  <si>
    <t>Opérationaliser le « nowcasting » orage et le déclenchement de phase d’alerte « sécheresse » sur base de l’indicateur développé et des échanges avec les centre de crise wallon et commission sécheresse de Flandre</t>
  </si>
  <si>
    <t>BE-IRM-CIRB</t>
  </si>
  <si>
    <t>Etendre le système d’alerte fluvial en y intégrant les inondations pluviales, sur base de l’expérience acquise avec le système fluvial.</t>
  </si>
  <si>
    <t>BE-VIVAQUA-SBGE-Port de Bruxelles</t>
  </si>
  <si>
    <t>Valoriser le système dans le cadre de la gestion dynamique visant à limiter les déversements d’orage (cf. M 1.9)</t>
  </si>
  <si>
    <t>SBGE-Vivaqua-BE</t>
  </si>
  <si>
    <r>
      <t>Etablir une évaluation de la planification d’intervention d’urgence</t>
    </r>
    <r>
      <rPr>
        <b/>
        <sz val="10"/>
        <color theme="2" tint="-0.749992370372631"/>
        <rFont val="Arial"/>
        <family val="2"/>
      </rPr>
      <t xml:space="preserve"> </t>
    </r>
    <r>
      <rPr>
        <sz val="10"/>
        <color theme="2" tint="-0.749992370372631"/>
        <rFont val="Arial"/>
        <family val="2"/>
      </rPr>
      <t>telle qu’actuellement en vigueur en Région de Bruxelles-Capitale, dresser un état des lieux sur le fonctionnement propre des intervenants (opérateur de l’eau, services d'intervention), les moyens particuliers d'intervention disponibles, les coordonnées des personnes spécifiquement concernées par le risque, et se nourrir des outils existants dans les autres Régions ou mis en place suite aux expériences récentes de gestion de crise.</t>
    </r>
  </si>
  <si>
    <t xml:space="preserve"> BPS
 BE</t>
  </si>
  <si>
    <t>Sur base de l’évaluation, établir une « fiche-réflexe » ou un « schéma d’alerte » qui serait adapté pour une situation de crise (inondation ou sécheresse) comme prémisse au Plan Particulier d’Urgence et d’intervention (PPUI)</t>
  </si>
  <si>
    <t>Réaliser un Plan Particulier d'Urgence et d'Intervention consacré au risque spécifique d’inondation et de sécheresse, qui :
-  décrit les risques et détermine les zones de planification d'urgence, distingue les différents scénarios possibles et les procédures d'intervention spécifiques à chacun d’eux, détermine l'organisation de la coordination des opérations et la chaine de commandement sous la direction de BPS;
- détermine les mesures de protection des biens et des personnes (notamment des intervenants), les localisations pouvant être intégrée dans un dispositif opérationnel (établissement d’un poste de commandement opérationnel multidisciplinaire, d’un éventuel poste médical avancé, d’un centre d’accueil pour personnes impliquées, d’un centre d’accueil pour la presse, etc.)d) détermine les procédures d'information des services de secours et de la population.</t>
  </si>
  <si>
    <t>BPS
Communes
BE</t>
  </si>
  <si>
    <t>Intégrer aux Plans d'Intervention Psychosociale existants la prise en compte spécifique du risque d'inondation et de sécheresse et préparer notamment l'accompagnement psychologique des victimes, ainsi que leur éventuel relogement temporaire (recensement de la population potentiellement concernée, identification des possibilités de relogement et de catering existantes, prise des contacts préalables nécessaires)</t>
  </si>
  <si>
    <t>Organiser à fréquence régulière des exercices spécifiquement consacrés à la problématique des inondations en vue notamment de :
- sensibiliser les participants,
- favoriser et tester la gestion tant mono- que multidisciplinaire de l’intervention portant sur divers aspects tels que la mise en alerte, le commandement, la communication ou encore la coordination,
- améliorer les connaissances, savoir, savoir-faire et savoir être sur le terrain,- connaitre et faire connaitre l’ensemble des acteurs concernés,- rendre chaque intervenant capable de réagir à l’imprévu et de faire face à la situation d’urgence et de stress,- évaluer l’application des différents plans et procédures existants, leur interaction et, le cas échéant, les adapter aux conclusions de l’évaluation consécutive à l'exercice.</t>
  </si>
  <si>
    <t>Harmoniser et valider les données ‘quantité’ de Flowbru</t>
  </si>
  <si>
    <t>Harmoniser les données géométriques des réseaux</t>
  </si>
  <si>
    <t>GT Carto (BE)</t>
  </si>
  <si>
    <t>Faire évoluer le GT Carto vers un GT Modélisation, harmoniser les outils de modélisation</t>
  </si>
  <si>
    <t>Réalisation des modèles hydrauliques interconnectés simplifiés</t>
  </si>
  <si>
    <t>SBGE-Vivaqua</t>
  </si>
  <si>
    <t>Réalisation des modèles hydrologiques simplifiés</t>
  </si>
  <si>
    <t>Identifier les zones de débordement, améliorer les cartes d’aléa d’inondation pluviale</t>
  </si>
  <si>
    <t>Analyser virtuellement les scénarios de gestion dynamiques</t>
  </si>
  <si>
    <t>Optimiser les captages actuellement exploités par VIVAQUA où certaines portions, bien qu’autorisées, sont en décharge permanente à cause d’une grande sensibilité aux évènements pluvieux. Une modernisation de ces captages (avec ou sans traitement selon les cas) permettrait d’adduire des volumes supplémentaires</t>
  </si>
  <si>
    <t>Optimiser les captages actuellement exploités par VIVAQUA où un fonctionnement alternatif est possible moyennant une adaptation des autorisations ou des captages où les autorisations permettent le prélèvement de volumes supplémentaires moyennant de nouvelles installations</t>
  </si>
  <si>
    <t>Réhabiliter les anciens captages ou la mise en adduction des eaux de dalots (des drains construits sous certaines portions des collecteurs d’amenée des eaux et dont les eaux sont mises en décharge) est également une piste que VIVAQUA investigue depuis qu’un monitoring de ces eaux, initié dans le Water Quantity Plan, a montré qu’elles étaient potables ou potabilisables</t>
  </si>
  <si>
    <t>Valoriser les eaux d’exhaure de carrières, eaux qui sont aujourd’hui rejetées dans les eaux de surface alors qu’elles sont potables ou potabilisables. VIVAQUA étudie d’ores et déjà une piste très concrète</t>
  </si>
  <si>
    <t>Prospecter de nouveaux sites de captage le long du réseau d’adduction de VIVAQUA, tant pour des besoins d’eau en continu que pour satisfaire à des pics de consommation. Un exemple est l’aquifère du socle paléozoïque présent sous Bruxelles à plus grande profondeur ou dans le Nord Namurois et le Brabant Wallon</t>
  </si>
  <si>
    <t>Mettre en place l’entretien et la régénération des ouvrages de captage au niveau de Bruxelles. La prospection du socle paléozoïque est également une piste envisagée pour le prélèvement ponctuel d’eau potable ou potabilisable lors de pics de consommation.</t>
  </si>
  <si>
    <t>Analyse de l’opportunité de recourir à la recharge artificielle et/ou à des aménagements favorisant l’infiltration des eaux de pluie (à plus large échelle que la GiEP)</t>
  </si>
  <si>
    <t>VIVAQUA-BE</t>
  </si>
  <si>
    <t>Identifier les lieux qui s’y disposent, le cas échéant</t>
  </si>
  <si>
    <t>Mener une politique de communication portant sur la culture du risque lié aux inondations et aux épisodes de sécheresse pour la Région via les canaux appropriés.</t>
  </si>
  <si>
    <t>Prévenir et accompagner les personnes sinistrées en cas de survenance d’inondation ou de sécheresse</t>
  </si>
  <si>
    <t>BPS
Communes</t>
  </si>
  <si>
    <t>GiEP et mesures de protection 
Proposer des séances de sensibilisation, de partage d’expériences et d’échanges de connaissance sous forme de visites, de conférences ou d’atelier dirigées vers tous les publics professionnels ou privés.</t>
  </si>
  <si>
    <t>GiEP et mesures de protection
Offrir une gamme de formations adaptées aux différents publics (régionaux, communaux, bâti, espace public, professionnels, sensibilisation, avancés,…). Les formations sont assurées par le Facilitateur Eau (avec sous-traitants selon besoin) et co-organisées soit par le Département Eau, soit par le Service Formation de BE.</t>
  </si>
  <si>
    <t>GiEP et mesures de protection
Développer et diffuser du contenu à destination des particuliers en vue de les informer/sensibiliser au mieux sur leur rôle et les actions qui sont entre leurs mains, via tous les canaux de communication de BE mais aussi  via nos partenaires externes dans leurs missions quotidiennes (homegrade.brussels, le Réseau Habitat, associations proches des citoyens,…). Des FAQs seraient également développées dans cet objectif et un canal de communication ad hoc identifié pour répondre de manière personnalisée aux questions plus spécifiques.</t>
  </si>
  <si>
    <t>BE
Réseau Habitat -Homegrade.brussels- ASBLs</t>
  </si>
  <si>
    <t>GiEP et mesures de protection
Envoi vers M 5.5 : carte du Maillage Pluie</t>
  </si>
  <si>
    <t>GiEP et mesures de protection
Développer des contenus en commun et intégrer aux outils existants un focus sur des réalisations exemplaires (success-story)  en espaces publics pour les mettre en avant et leur offrir une visibilité plus pérenne</t>
  </si>
  <si>
    <t>BE-BM-Communes-STIB</t>
  </si>
  <si>
    <t>Sécheresse
Communiquer sur l’effet d’Îlots de chaleur urbain (ICU) et la manière de limiter localement cet effet</t>
  </si>
  <si>
    <t>Inondation
Conscientiser les habitants sur l’impact favorable de l’adaptation du bâti.</t>
  </si>
  <si>
    <t>Finaliser le projet prioritaire 25 - Water Quantity Plan (phase 2 : 2025-2040)</t>
  </si>
  <si>
    <t xml:space="preserve">VIVAQUA </t>
  </si>
  <si>
    <t>Communiquer sur le Water Quantity Plan</t>
  </si>
  <si>
    <t>Assurer une veille scientifique et poursuivre la collecte de données utiles</t>
  </si>
  <si>
    <t>Évaluer (sur base de modélisation et de scénarios climatiques) l’impact du changement climatique sur les eaux souterraines : baisse piézométrique, baisse de débit de la galerie VIVAQUA et de l’alimentation des eaux de surface, impact sur les écosystèmes dépendants des eaux souterraines, incidence sur les usages des eaux souterraines (captages et géothermie)</t>
  </si>
  <si>
    <t>Evaluer l’impact du changement climatique sur les étangs en termes budgétaire afin de pouvoir anticiper l’ampleur des surcoûts à prévoir</t>
  </si>
  <si>
    <t>Évaluer l’impact du changement climatique sur la qualité des masses d’eau de surface</t>
  </si>
  <si>
    <t>Encourager les projets d’innovation en matière de résilience de la Région face aux perturbations du cycle de l’eau</t>
  </si>
  <si>
    <t>BE Innoviris</t>
  </si>
  <si>
    <t>Prendre part aux appels à projets menant à des partenariats européens d’innovation</t>
  </si>
  <si>
    <t>Etablir une vision programmatique par sous-bassin versant pour les travaux extraordinaires à réaliser sur le réseau hydrographique</t>
  </si>
  <si>
    <t>Etablir un plan d’entretien par sous-bassin versant pour les travaux ordinaires et de lutte contre les espèces invasives</t>
  </si>
  <si>
    <t>Finalisation et approbation du plan de gestion des étangs</t>
  </si>
  <si>
    <t>Mener à bien le Projet « SmartWater », projet de sciences citoyennes de monitoring pour optimiser l'état des eaux de surface et comprenant un volet de modélisation des cyanobactéries, pour orienter la gestion des étangs selon les résultats observés</t>
  </si>
  <si>
    <t>BE 
SmartWater</t>
  </si>
  <si>
    <t>Intégration du plan de gestion des étangs dans les différents plans de gestion des sites Natura 2000</t>
  </si>
  <si>
    <t>Mesure de suivi de la qualité des étangs et du degré d’envasement : monitoring de la qualité de la colonne d’eau, des sédiments et de la qualité biologique, bathymétries, et autres suivis réguliers ou ponctuels</t>
  </si>
  <si>
    <t>Réaliser les entretiens des siphons</t>
  </si>
  <si>
    <t>Mener des actions ponctuelles d’investigation et de débouchage</t>
  </si>
  <si>
    <t>Réaliser les travaux  d’entretien hydraulique sur les cours d’eau et étangs (y compris curage des cours d’eau en plein air ou en pertuis)</t>
  </si>
  <si>
    <t>Réaliser des plantations, débroussaillages, des actions d’éco-pâturage, de nettoyage et d’élagage</t>
  </si>
  <si>
    <t>Assurer les curages  d’entretien nécessaires des étangs et mares</t>
  </si>
  <si>
    <t>Evaluer les rôles et responsabilités des gestionnaires présumés (évacuation des produits de fauches, plan de plantation avec des plantes indigènes, ….)</t>
  </si>
  <si>
    <t>Entretenir le pertuis de la Senne (ouvrage)</t>
  </si>
  <si>
    <t>Vivaqua-BM-Port de Bruxelles</t>
  </si>
  <si>
    <t>Evacuer préventivement les sources d’embâcles le long des cours d’eau (branchages,…)</t>
  </si>
  <si>
    <t xml:space="preserve">BE-Vivaqua </t>
  </si>
  <si>
    <t>Identification et géolocalisation des résurgences</t>
  </si>
  <si>
    <t>Secteur associatif</t>
  </si>
  <si>
    <t>Validation hydrogéologique et intégration dans une base de données et outils cartographiques (atlas, geodata)</t>
  </si>
  <si>
    <t>Communication et mise à disposition des cartes de sensibilisation au public</t>
  </si>
  <si>
    <t>BE -Secteur associatif</t>
  </si>
  <si>
    <t>Envisager la mise en valeur des sources par l’amélioration de leur visibilité dans l’espace public</t>
  </si>
  <si>
    <t>BE-Secteur associatif</t>
  </si>
  <si>
    <t>Assurer une présence sur terrain pour sensibiliser, contrôler et, le cas échéant, sanctionner les personnes qui contreviendraient aux règles établies pour la préservation du réseau hydrographique (y compris formation des agents)</t>
  </si>
  <si>
    <t>Mener une étude projet d’aménagement d’un étang de baignade et ses abords (pour les parties qui ne concernent pas l’étang de baignade, voir également fiche M 3.7)</t>
  </si>
  <si>
    <t>Adapter le cadre réglementaire des piscines</t>
  </si>
  <si>
    <t>Réaliser les travaux d’aménagement d’un étang de baignade et de ses abords (pour les parties qui ne concernent pas l’étang de baignade, voir également fiche M 3.7)</t>
  </si>
  <si>
    <t>BE-Beliris</t>
  </si>
  <si>
    <t>Gestion de l’étang de baignade</t>
  </si>
  <si>
    <t>A déterminer</t>
  </si>
  <si>
    <t xml:space="preserve">Etablir une vision interne et partagée de la pratique de la pêche en Région de Bruxelles-Capitale </t>
  </si>
  <si>
    <t xml:space="preserve">Rédiger et adopter un arrêté fixant la réglementation et le contrôle de la pratique de la pêche en Région de Bruxelles-Capitale </t>
  </si>
  <si>
    <t>Mettre en œuvre les instruments définis dans l’arrêté</t>
  </si>
  <si>
    <t>Rédiger un cadre de bonnes pratiques pour la promotion d’une pratique plus durable de la pêche dans les espaces privés et communaux</t>
  </si>
  <si>
    <t>Etudier les différents traitements d’eau permettant d’assurer une recirculation d’eau tout en facilitant la gestion et l’entretien des installations</t>
  </si>
  <si>
    <t>Mettre en œuvre la plaine de jeu d’eau de l’hippodrome d’Uccle-Boitsfort</t>
  </si>
  <si>
    <t>Etudier et mettre en œuvre un pôle récréatif au niveau du parc régional de la Pede comprenant des jeux d’eau</t>
  </si>
  <si>
    <t>Assurer l’entretien des installations</t>
  </si>
  <si>
    <t>Réaliser des aménagements divers pour renforcer la place du Canal dans l’environnement urbain en fonction de développements de projets portés par le Port de Bruxelles, les entreprises portuaires ou par d’autres acteurs publics (par exemple : création de connexions cyclo-piétonnes, d’espaces accessibles au public, d’abaissements de quais...) </t>
  </si>
  <si>
    <t>Port de Bruxelles-SAU-BM-BE</t>
  </si>
  <si>
    <t>Mise en place d’une dynamique de communication avec les habitants/riverains</t>
  </si>
  <si>
    <t>Organisation par le Port d’événements tout public, comme la « fête du Port »</t>
  </si>
  <si>
    <t>Encadrer les activités nautiques et récréatives sur la voie d’eau et assurer l’entretien des quais, pontons et berges pour en permettre la pratique en toute sécurité</t>
  </si>
  <si>
    <t>Autoriser, sous forme de convention, l’organisation d’activités ponctuelles, festives et/ou récréatives</t>
  </si>
  <si>
    <t xml:space="preserve">Port de Bruxelles </t>
  </si>
  <si>
    <t>Communiquer adéquatement sur les activités autorisées ou interdites sur la voie d’eau (pêche, navimodélisme, baignade)</t>
  </si>
  <si>
    <t xml:space="preserve">Recenser les cours d’eau non navigables classés / non classés pouvant faire l’objet d’un statut particulier de protection et valider cette proposition de classement auprès des communes. </t>
  </si>
  <si>
    <t>Recenser et désigner les étangs régionaux</t>
  </si>
  <si>
    <t>Faire les relevés topographiques par des géomètres pour les tronçons du réseau hydrographique qui n'ont pas encore fait l'objet d'un relevé récent ou qui ont fait l'objet de travaux d’aménagement ou de rénovation pour la mise à jour continue de l’Atlas.</t>
  </si>
  <si>
    <t xml:space="preserve">Introduire l’ensemble des données relevées dans une base de données informatique géoréférencée, valider ces données et définir la forme, le contenu et la présentation de l'Atlas. </t>
  </si>
  <si>
    <t>Rédiger et adopter l’arrêté du Gouvernement opérant le classement des cours d’eau non navigables et approuvant l’Atlas</t>
  </si>
  <si>
    <t>Enquête publique auprès des communes</t>
  </si>
  <si>
    <t>Assurer la diffusion de l’Atlas</t>
  </si>
  <si>
    <t>Sectorisation accrue des réseaux.
1er Objectif: obtenir 65 zones DMA pour fin 2024 
2ème Objectif: obtenir 72 zones DMA pour fin 2027</t>
  </si>
  <si>
    <t>Campagne de détection de fuites via images par satellite . Vision des 2380 km de réseau en RBC tous les 3 ans</t>
  </si>
  <si>
    <t>Réaliser une veille technologique sur les compteurs d’eau  à l’'aide du programme de monitoring Leakredux Totalement opérationnel en 2022 puis maintenance et mise à niveau annuelle en fonction de l’avancée de la sectorisation</t>
  </si>
  <si>
    <t>Assurer des équipes compétentes et efficaces permettant de réagir rapidement en cas de problèmes constatés (fuites, …) et apporter les correctifs nécessaires</t>
  </si>
  <si>
    <t>Tenir à jour une cartographie des réseaux localisant les conduites et leurs caractéristiques et leur état de vétusté</t>
  </si>
  <si>
    <t>Réaliser les travaux de renouvellement des canalisations de distribution et répartition</t>
  </si>
  <si>
    <t>Assurer un contrôle et entretien régulier des hydrants (à charge des communes après  2022)</t>
  </si>
  <si>
    <t>Encourager la fourniture de l’eau du robinet, à titre gratuit ou moyennant des frais de services peu élevés, dans l’HORECA, les cantines, les centres sportifs, les centres culturels et dans tous les types de services de restauration ainsi que lors d’événement organisés par ces services.
Pour les écoles, cet encouragement peut passer par la mise à disposition de dossiers pédagogiques par exemple.</t>
  </si>
  <si>
    <t>Dans les secteurs momentanément non concernés par l’interdiction décrite dans le Brudalex : promouvoir dans tous les labels et chartes (Good Food, eco-schools, bubble, etc.) une utilisation rationnelle de l’eau et une utilisation de l’eau de distribution comme critère.</t>
  </si>
  <si>
    <t>Promotion et sensibilisation de l’utilisation de l’eau du robinet dans les établissements scolaires par l’installation de fontaines d’eau potable avec des  soutiens technique à la maintenance et pédagogique à la sensibilisation.</t>
  </si>
  <si>
    <t>Imposer l’abandon du recours à l’eau en bouteille au profit de l’eau de distribution lors d’événements subventionnés par les pouvoirs publics.</t>
  </si>
  <si>
    <t>Communiquer auprès des citoyens concernant la qualité de l’eau du robinet (via les réseaux sociaux, newsletter client, site web, stands pédagogiques, etc.).</t>
  </si>
  <si>
    <t>Encourager l’utilisation de l’eau de distribution dans les espaces privés dans les communications régionales et communales (site Internet par exemple)</t>
  </si>
  <si>
    <r>
      <t xml:space="preserve">Proposition de mesures de Brudalex :
interdire aux autorités régionales  de servir des boissons dans des récipients à usage unique dans leurs propres activités et lors des événements qu'elles organisent
interdire la consommation des bouteilles d’eau au sein des bâtiments dépendants des pouvoirs publics régionaux et communaux, tout comme lors d’événements sponsorisés par ceux-ci.
</t>
    </r>
    <r>
      <rPr>
        <i/>
        <sz val="10"/>
        <color theme="2" tint="-0.749992370372631"/>
        <rFont val="Arial"/>
        <family val="2"/>
      </rPr>
      <t>Après, une première phase de mise en œuvre, élargir l’interdiction à tous les évènements accessibles au public tant en intérieur qu’en extérieur, en impliquant en particulier les fédérations sportives et les organisateurs d’évènements.</t>
    </r>
  </si>
  <si>
    <t>Actualiser et améliorer le matériel et contenu existants</t>
  </si>
  <si>
    <t>Optimaliser la promotion de ce matériel et contenu</t>
  </si>
  <si>
    <t>Renforcer la promotion des équipements et aménagements sur les canaux BE</t>
  </si>
  <si>
    <t>Renforcer la promotion des équipements et aménagements via les partenaires externes</t>
  </si>
  <si>
    <t>Permettre aux usagers de l’eau de faire réaliser un « Audit Eau » de leurs installations (// waterscan)</t>
  </si>
  <si>
    <t>Evaluer la faisabilité d’introduire la thématique « eau » dans le programme PLAGE et son efficacité quant à son impact environnemental par rapport aux investissements consentis.</t>
  </si>
  <si>
    <t>Préparer l’intégration à la démarche PLAGE en menant des projets pilotes de sensibilisation à la prise en compte de la performance en matière de consommation d’eau sur une base volontaire notamment via le réseau des « agents eau » communaux et les acteurs du PLAGE « énergie »</t>
  </si>
  <si>
    <t>Modifier le Code bruxellois de l'Air, du Climat et de la Maîtrise de l'Energie</t>
  </si>
  <si>
    <t xml:space="preserve">Appliquer la législation révisée et complétée à la </t>
  </si>
  <si>
    <t>Actualiser, regrouper et améliorer le matériel et contenu existants relatifs aux bonnes pratiques, selon les secteurs cibles</t>
  </si>
  <si>
    <t>Préparer des contenus, matériels, et formats adaptés, sur base des retours d’expérience</t>
  </si>
  <si>
    <t>Veiller à un partage large de ces recommandations concrètes</t>
  </si>
  <si>
    <t>Diffuser plus largement le  matériel existant à destination des écoles, le développer et soutenir les associations travaillant sur la thématique de l’utilisation rationnelle d’eau dans ce secteur.</t>
  </si>
  <si>
    <t>Placer des compteurs « col de cygne » dans les communes partenaires pour identifier les consommations d’eau de certaines activités (marchés, …) en vue de chercher des approvisionnements alternatifs</t>
  </si>
  <si>
    <t>Assurer un suivi systématique des consommations d’eau dans les potagers gérés par Bruxelles Environnement</t>
  </si>
  <si>
    <t>Mettre en place en partenariat avec notamment les universités (écoles d’été), centre agro-écologique et FédéAU des formations sur l’utilisation rationnelle d’eau et bonnes pratiques agricoles (agro-écologiques,…) </t>
  </si>
  <si>
    <t xml:space="preserve">Sensibiliser et/ou soutenir les projets d’innovation visant à valoriser les eaux issues des rabattements de nappe (cf. aussi M 8.5) </t>
  </si>
  <si>
    <t xml:space="preserve">Mettre en place un mécanisme financier incitatif à la valorisation des eaux de rabattement (telle une redevance ‘assainissement’ spécifique) </t>
  </si>
  <si>
    <t>Sensibiliser/informer les exploitants de chantier à la valorisation des eaux issues des rabattements de nappe</t>
  </si>
  <si>
    <t>Prévoir des conditions spécifiques dans les autorisations de captage visant à encourager une valorisation des eaux de rabattements et encadrant cette valorisation.</t>
  </si>
  <si>
    <t xml:space="preserve">Lever les éventuels freins pour le rejet des eaux de rabattement vers le réseau hydrographique :
- Faire évoluer les procédures permettant une valorisation de l’eau issue de rabattement temporaires et permanents en eau de surface ;
- Assurer la cohérence entre les  normes de qualité des eaux de surface avec celles des eaux du sol en cas de rabattement effectué dans le cadre d’un assainissement de sol pollué ;
- Prévoir ensuite les conditions spécifiques en cas de de rejet direct dans le réseau hydrographique (respect des berges et des normes de rejet) </t>
  </si>
  <si>
    <t>Envisager une clause particulière dans les marchés publics de travaux des autorités publiques impliquant un rabattement de nappe afin de valoriser les eaux de rabattement et assurer un rôle d’exemplarité(*)</t>
  </si>
  <si>
    <t>Mise en place d’une installation pilote d’eau de "re-use" industrielle</t>
  </si>
  <si>
    <r>
      <t>Adoption d’un arrêté spécifique à la réutilisation de l’eau de 2</t>
    </r>
    <r>
      <rPr>
        <vertAlign val="superscript"/>
        <sz val="10"/>
        <color theme="2" tint="-0.749992370372631"/>
        <rFont val="Arial"/>
        <family val="2"/>
      </rPr>
      <t>ème</t>
    </r>
    <r>
      <rPr>
        <sz val="10"/>
        <color theme="2" tint="-0.749992370372631"/>
        <rFont val="Arial"/>
        <family val="2"/>
      </rPr>
      <t xml:space="preserve"> circuit (water reuse) </t>
    </r>
  </si>
  <si>
    <t>Encourager le développement et le recours à l’eau de "re-use"</t>
  </si>
  <si>
    <t>Déterminer les usages qui peuvent être faits des sources inventoriées en fonction de leur productivité et de la qualité des eaux</t>
  </si>
  <si>
    <t>Mettre en place une signalétique adéquate en fonction des usages autorisés, lorsque l’usage de l’eau est autorisé.</t>
  </si>
  <si>
    <t>Consultation des experts et du secteur sur la règlementation à mettre en place pour les systèmes géothermiques fermés</t>
  </si>
  <si>
    <t xml:space="preserve"> Rédaction d’un arrêté relatif aux systèmes géothermiques fermés</t>
  </si>
  <si>
    <t>Adoption d’un arrêté déterminant des conditions-types pour les systèmes géothermiques fermés</t>
  </si>
  <si>
    <t>Recensement des installations géothermiques en Région de Bruxelles-Capitale</t>
  </si>
  <si>
    <r>
      <t>Régularisation des installations mises en service avant le 1</t>
    </r>
    <r>
      <rPr>
        <vertAlign val="superscript"/>
        <sz val="10"/>
        <color theme="2" tint="-0.749992370372631"/>
        <rFont val="Arial"/>
        <family val="2"/>
      </rPr>
      <t>er</t>
    </r>
    <r>
      <rPr>
        <sz val="10"/>
        <color theme="2" tint="-0.749992370372631"/>
        <rFont val="Arial"/>
        <family val="2"/>
      </rPr>
      <t xml:space="preserve"> avril 2019 et n’ayant pas rempli une déclaration environnementale ne disposant pas d’un permis d’environnement pour exploiter</t>
    </r>
  </si>
  <si>
    <t>BE
(la demande est à charge de l’exploitant)</t>
  </si>
  <si>
    <t>Mise à jour continue du cadastre des installations géothermiques</t>
  </si>
  <si>
    <t>Procéder aux upgrades de BrugeoTool (v2+) – fonctionnalité « analyse géothermique »</t>
  </si>
  <si>
    <t>Pérenniser le réseau institutionnel et académique bruxellois constitué d’experts en géothermie</t>
  </si>
  <si>
    <t>Réaliser des missions de facilitation et de formations sur le thème de la géothermie</t>
  </si>
  <si>
    <t>Assurer un monitoring du premier projet à Uccle afin de pouvoir évaluer les performances du système</t>
  </si>
  <si>
    <t>Mise en œuvre d’un dispositif de riothermie pour le futur centre administratif de Bruxelles-Ville et assurer un monitoring de ce projet afin de pouvoir évaluer les performances du système</t>
  </si>
  <si>
    <t>Assurer une veille technologique et collaborer avec les bureaux d’études et maitres d’ouvrage intéressés afin de développer différents projets et déterminer les avantages et limites de cette technique</t>
  </si>
  <si>
    <t xml:space="preserve">Rédaction coordonnée et concertée du plan faîtier </t>
  </si>
  <si>
    <t>CIE</t>
  </si>
  <si>
    <t>Coordination et partage d’informations entre les Etats membres du DHI de l’Escaut</t>
  </si>
  <si>
    <t xml:space="preserve">Participer aux réunions CCPIE </t>
  </si>
  <si>
    <t>Participer à la concertation transfrontière au niveau local (‘GOW’) (+- 1/an)</t>
  </si>
  <si>
    <t>Mener à terme les actions bruxelloises inscrites dans le projet inter-régional LIFE Belini d’ici fin 2026 </t>
  </si>
  <si>
    <t>Faciliter l'échange d'informations et en améliorer la transparence</t>
  </si>
  <si>
    <t>Poursuivre les échanges interrégionaux menant à une gestion coordonnée des voies navigables</t>
  </si>
  <si>
    <t>Coordonner les missions de service public des opérateurs et acteurs dans la mise en œuvre de la politique de l’eau.</t>
  </si>
  <si>
    <t>Plateforme des opérateurs de l’eau</t>
  </si>
  <si>
    <r>
      <t xml:space="preserve">Renforcer la coordination thématique au sein de groupes de travail </t>
    </r>
    <r>
      <rPr>
        <i/>
        <sz val="10"/>
        <color theme="2" tint="-0.749992370372631"/>
        <rFont val="Arial"/>
        <family val="2"/>
      </rPr>
      <t xml:space="preserve">ad hoc </t>
    </r>
    <r>
      <rPr>
        <sz val="10"/>
        <color theme="2" tint="-0.749992370372631"/>
        <rFont val="Arial"/>
        <family val="2"/>
      </rPr>
      <t>créés dans le cadre de la Plateforme de coordination.</t>
    </r>
  </si>
  <si>
    <r>
      <t xml:space="preserve">Renforcer la coordination par bassin versant au sein de groupes de travail </t>
    </r>
    <r>
      <rPr>
        <i/>
        <sz val="10"/>
        <color theme="2" tint="-0.749992370372631"/>
        <rFont val="Arial"/>
        <family val="2"/>
      </rPr>
      <t xml:space="preserve">ad hoc </t>
    </r>
    <r>
      <rPr>
        <sz val="10"/>
        <color theme="2" tint="-0.749992370372631"/>
        <rFont val="Arial"/>
        <family val="2"/>
      </rPr>
      <t>créés dans le cadre de la Plateforme de coordination.</t>
    </r>
  </si>
  <si>
    <t>Renforcer la coordination et l’échange entre les différents groupes de travail thématiques et par bassin versant avec les acteurs de l’eau (administrations régionales, associations, monde académique et de la recherche, etc.).</t>
  </si>
  <si>
    <t>Faciliter l'échange d'informations en améliorant la transparence de la Plateforme de coordination et en intensifiant les échanges avec les autres acteurs régionaux concernés.</t>
  </si>
  <si>
    <t>Émettre des avis coordonnés dans le cadre de modifications réglementaires, sur des projets d’aménagement du territoire, le développement d’outils, de méthodes ayant un impact sur le secteur de l’eau. Mais également émettre des réponses coordonnées suite à des interpellations d’un ou plusieurs opérateurs de l’eau.</t>
  </si>
  <si>
    <t>Organiser des événements d’échanges de connaissance :
avec les associations et le monde académique (les rencontres bruxelloises de l’eau) ;
avec les professionnels (la journée mondiale de l’eau)
avec les citoyens (les journées bruxelloises de l’eau)</t>
  </si>
  <si>
    <t>Assurer l’organisation de séminaires/colloques sur les différentes thématiques de l’eau afin de permettre l’échange de bonnes pratiques et/ou de savoirs scientifiques.</t>
  </si>
  <si>
    <t>Aquabru</t>
  </si>
  <si>
    <t>Participer en tant qu’observateur ou orateur aux séminaires/colloques/forums sur les différentes thématiques de l’eau pour veiller à ce que la RBC reste parfaitement informée des bonnes pratiques et/ou savoirs scientifiques internationaux, ou veiller en tant qu’orateur à partager/informer sur les bonnes pratiques et/ou savoirs scientifiques développés au sein de la Région.</t>
  </si>
  <si>
    <t>Aquabru
BE</t>
  </si>
  <si>
    <t>Valoriser toujours davantage l’expérience de la RBC en matière de gestion de l’eau spécifique au milieu urbain au travers de la participation aux séminaires/colloques/forums sur les différentes thématiques de l’eau.</t>
  </si>
  <si>
    <r>
      <t xml:space="preserve">Continuer l’« appel à projets » auprès des communes et CPAS bruxellois afin d’encourager prioritairement à réaliser des travaux d’aménagement « nature-based solutions » ou des études préalables. Les subsides ainsi octroyés sont de l’ordre de 400.000€/an pour les travaux et de 200.000€/an pour les études.
</t>
    </r>
    <r>
      <rPr>
        <i/>
        <sz val="10"/>
        <color theme="2" tint="-0.749992370372631"/>
        <rFont val="Arial"/>
        <family val="2"/>
      </rPr>
      <t>Les objectifs de l’appel à projets recouvrent également l’ensemble des mesures du PGE (donc lutte contre les inondations, utilisation rationnelle des ressources, etc.)
A noter l’existence d’un soutien complémentaire de Bruxelles Mobilité aux communes, via appel à projet pour petits projets de déminéralisation.</t>
    </r>
  </si>
  <si>
    <r>
      <t>Mettre en place ou étendre l’appel à projet 
- à d’autres institutions régionales (ex : STIB, BM,…) pour développer des projets « GIEP » d’aménagement du territoire ;
- vers des acteurs privés pour développer des initiatives GIEP sur leurs parcelles 
A</t>
    </r>
    <r>
      <rPr>
        <i/>
        <sz val="10"/>
        <color theme="2" tint="-0.749992370372631"/>
        <rFont val="Arial"/>
        <family val="2"/>
      </rPr>
      <t>ction à développer dans l’appel à projets « Inspirons le quartier ».</t>
    </r>
  </si>
  <si>
    <t>Introduire la thématique Eau dans l’appel à projets           « Inspirons Le Quartier».</t>
  </si>
  <si>
    <t>Soutenir les Pouvoirs organisateurs des écoles pour des projets de déminéralisation et végétalisation via l’appel à projet ‘Ré-création’.</t>
  </si>
  <si>
    <t>Evaluer l’opportunité d’octroyer des primes aux communes plutôt que des subventions, pour faciliter leurs actions positives.</t>
  </si>
  <si>
    <t xml:space="preserve">Promouvoir un label visant à encourager et valoriser les projets GiEP « exemplaires » dans le domaine public ou privé en RBC.  </t>
  </si>
  <si>
    <t>Soutenir les mouvements citoyens et associatifs qui mettent en œuvre le PGE 2022-2027 et plus large (comme par exemple le soutien à l’éducation à l’eau sur la qualité de l’eau du robinet).</t>
  </si>
  <si>
    <t>Réaliser un diagnostic des mécanismes financiers existants au sein des institutions régionales et communales  et assurer la promotion et diffusion large de cet existant via leurs canaux de communication, les différents canaux de communication de Bruxelles Environnement ainsi que ceux des autres organismes pour lesquels la thématique s’inscrit dans les missions quotidiennes (e.g. réseau habitat, Homegrade,…).</t>
  </si>
  <si>
    <t>Réaliser un diagnostic des besoins spécifiques identifiés (e.g. demandes récurrentes, manques, raisons derrière le fait que certaines primes fonctionnement et d’autres moins, analyse des situations socio-économiques…).</t>
  </si>
  <si>
    <r>
      <t xml:space="preserve">Mettre en place des primes ou des ajouts/extensions de champ d’application pour des primes existantes à destination des particuliers et des professionnels, avec les informations sur les étapes juridiques à établir et les couts liés à l’encadrement RH.
</t>
    </r>
    <r>
      <rPr>
        <i/>
        <sz val="10"/>
        <color theme="2" tint="-0.749992370372631"/>
        <rFont val="Arial"/>
        <family val="2"/>
      </rPr>
      <t>Cette mesure devra être accompagnée d’une réflexion sur la situation socio-économique du public-cible (locataire ou propriétaire par exemple).</t>
    </r>
  </si>
  <si>
    <t>Assurer l’actualisation régulière des informations disponibles sur les canaux de communication des instances délivrantes, les différents canaux de communication de Bruxelles Environnement ainsi que sur ceux des autres organismes pour lesquels la thématique s’inscrit dans les missions quotidiennes (e.g. réseau habitat, Homegrade,…).</t>
  </si>
  <si>
    <t>Tableau croisé dynamique permettant de réaliser des recherches sur l'ensemble des critères/dimensions repris dans l'onglet Consolidation</t>
  </si>
  <si>
    <t>Mesures _ACE_Budget</t>
  </si>
  <si>
    <t xml:space="preserve">Budget Efficace et Maximaliste pour les mesures prises en considération dans l'analyse coût efficacité. Les budgets sont présentés par masse d'eau </t>
  </si>
  <si>
    <t>ACE EFF SEN</t>
  </si>
  <si>
    <t>ACE EFF WOL</t>
  </si>
  <si>
    <t>ACE EFF CAN</t>
  </si>
  <si>
    <t>ACE MAX SEN</t>
  </si>
  <si>
    <t>ACE MAX WOL</t>
  </si>
  <si>
    <t>ACE MAX CAN</t>
  </si>
  <si>
    <t>4.5</t>
  </si>
  <si>
    <t>4.6</t>
  </si>
  <si>
    <t>Analyse coût efficacité pour la Senne en utilisant le budget efficace défini au niveau des actions/mesures</t>
  </si>
  <si>
    <t>Analyse coût efficacité pour la Woluwe en utilisant le budget efficace défini au niveau des actions/mesures</t>
  </si>
  <si>
    <t>Analyse coût efficacité pour le Canal en utilisant le budget efficace défini au niveau des actions/mesures</t>
  </si>
  <si>
    <t>Analyse coût efficacité pour la Senne en utilisant le budget maximaliste défini au niveau des actions/mesures</t>
  </si>
  <si>
    <t>Analyse coût efficacité pour la Woluwe en utilisant le budget maximaliste défini au niveau des actions/mesures</t>
  </si>
  <si>
    <t>Analyse coût efficacité pour le Canal en utilisant le budget maximaliste défini au niveau des actions/mesures</t>
  </si>
  <si>
    <t>Source Data</t>
  </si>
  <si>
    <t>Consolidation</t>
  </si>
  <si>
    <t>5.</t>
  </si>
  <si>
    <t>Budget</t>
  </si>
  <si>
    <t>Informations des tableaux "budget" des fiches projet</t>
  </si>
  <si>
    <t>Informations des tableaux "Mise en œuvre" des fiches projet</t>
  </si>
  <si>
    <t>5.1</t>
  </si>
  <si>
    <t>5.2</t>
  </si>
  <si>
    <t>6.</t>
  </si>
  <si>
    <t>7.</t>
  </si>
  <si>
    <t>8.</t>
  </si>
  <si>
    <t>Mesures _Budget_maximaliste</t>
  </si>
  <si>
    <t>Détermination du budget maximaliste par mesure/masses d'eau sur base des hypothèses de calcul reprises du PGE 2 et mises jour lorsque nécessaire sur base des informations disponibles. Le résultat des calculs est repris dans l'onglet "Mesures_ACE_Budget</t>
  </si>
  <si>
    <t>PGE_Efficacité</t>
  </si>
  <si>
    <t>Analyse effficacité par masse d'eau pour l'ensemble des paramètres pris en considération dans la définition du bon état (chimie, physcico-chimie, hydromorphologie, biologie). Ces données sont reprises dans les onglets "ACE_###_###"</t>
  </si>
  <si>
    <t>Hiérachie</t>
  </si>
  <si>
    <t>Hiérachie OS-OO</t>
  </si>
  <si>
    <t>K:\16_EAU_WATER\01_PLAN\PGE 2022-2027\03 Rédaction\Version finale FR</t>
  </si>
  <si>
    <t>1.13.1</t>
  </si>
  <si>
    <t>Réaliser un benchmarking des conditions générales et sectorielles de déversement d’eaux usées en Flandre et en Wallonie</t>
  </si>
  <si>
    <t>1.13.2</t>
  </si>
  <si>
    <t xml:space="preserve">Réaliser une campagne de mesures des polluants problématiques (pour une large gamme de paramètres, connus et potentiels) émis dans les eaux usées par les principaux secteurs d’activités de la Région, dont les secteurs industriels et les hôpitaux. </t>
  </si>
  <si>
    <t>1.13.3</t>
  </si>
  <si>
    <t xml:space="preserve">Sur base des résultats de l’action 1.13.2, analyser les possibilités de réduction à la source pour l’utilisation et le rejet de certaines substances et évaluer les améliorations possibles de leur traitement  pour fixer des normes acceptables environnementalement et pouvant être respectées techniquement </t>
  </si>
  <si>
    <t>1.13.4</t>
  </si>
  <si>
    <t>Proposer un arrêté du Gouvernement actualisant les conditions générales de déversement d’eaux usées, en établissant un lien avec les objectifs de qualité des eaux de surface lorsque le rejet a lieu dans une eau de surface</t>
  </si>
  <si>
    <t>1.13.5</t>
  </si>
  <si>
    <t>Actualiser les normes de rejet spécifiques dans le cadre des permis d’environnement et inclure l’obligation d’un automonitoring des eaux usées déversées dans les permis d’environnement pour certaines substances et industries pertinentes</t>
  </si>
  <si>
    <t>Modifier la réglementation relative à la qualité des eaux souterraines</t>
  </si>
  <si>
    <t>Mener des investigations et des actions ciblées pour les paramètres chimiques et physico-chimiques qui peuvent s’avérer problématiques pour les eaux de surface</t>
  </si>
  <si>
    <t>Développer un modèle de qualité physico-chimique de la Senne pour déterminer les objectifs réalisables à long terme pour cette masse d’eau</t>
  </si>
  <si>
    <t xml:space="preserve">Prévenir et gérer les pollutions accidentelles </t>
  </si>
  <si>
    <t xml:space="preserve">Assurer l’entretien du réseau et optimiser son fonctionnement afin de  lutter contre les fuites du réseau de distribution d'eau potable </t>
  </si>
  <si>
    <t>Régulariser l'ensemble des installations géothermiques soumises à permis d'environnement et les cartographier au sein d'un cadastre</t>
  </si>
  <si>
    <t xml:space="preserve">Inventorier les rejets directs dans une base de données dynamique </t>
  </si>
  <si>
    <t>Réaliser le curage sur les derniers tronçons du réseau hydrographique pour enlever la pollution «historique »</t>
  </si>
  <si>
    <t>Diminuer les sources de matières en suspension vers le canal par l’optimisation de la dérivation d’Aa</t>
  </si>
  <si>
    <t xml:space="preserve">Remettre à ciel ouvert le réseau hydrographique  </t>
  </si>
  <si>
    <t>Sensibiliser les Bruxellois.e.s à l’assainissement des eaux usées.</t>
  </si>
  <si>
    <t>Autres SP(D)
Substances Prioritaires Dangereuses ou pas</t>
  </si>
  <si>
    <t>Qualité chimique (RBSP / SP(D) dans colonne d'eau/biote/sédiments)</t>
  </si>
  <si>
    <r>
      <t xml:space="preserve">Autres RBSP
</t>
    </r>
    <r>
      <rPr>
        <b/>
        <sz val="9"/>
        <color theme="0"/>
        <rFont val="Arial"/>
        <family val="2"/>
      </rPr>
      <t>Specific Pollutants</t>
    </r>
  </si>
  <si>
    <t>Pesticides/         précurseurs</t>
  </si>
  <si>
    <r>
      <t xml:space="preserve">Autres RBSP
</t>
    </r>
    <r>
      <rPr>
        <b/>
        <sz val="9"/>
        <color theme="0"/>
        <rFont val="Arial"/>
        <family val="2"/>
      </rPr>
      <t>RB Specific Pollutants</t>
    </r>
  </si>
  <si>
    <r>
      <t xml:space="preserve">Autres RBSP
</t>
    </r>
    <r>
      <rPr>
        <b/>
        <sz val="10"/>
        <color theme="0"/>
        <rFont val="Arial"/>
        <family val="2"/>
      </rPr>
      <t>Specific Pollutants</t>
    </r>
  </si>
  <si>
    <t>1.23.1</t>
  </si>
  <si>
    <t>1.23.2</t>
  </si>
  <si>
    <t>1.23.3</t>
  </si>
  <si>
    <t>1.24.6</t>
  </si>
  <si>
    <t>1.24.7</t>
  </si>
  <si>
    <t>1.24.8</t>
  </si>
  <si>
    <t>1.25.9</t>
  </si>
  <si>
    <t>1.25.A </t>
  </si>
  <si>
    <t>1.25.11</t>
  </si>
  <si>
    <t>1.25.12</t>
  </si>
  <si>
    <t xml:space="preserve">Mener des investigations et des actions ciblées contre certains polluants chimiques et physico-chimiques des eaux de surface </t>
  </si>
  <si>
    <t>BAU Total</t>
  </si>
  <si>
    <t>Poursuivre le programme pluriannuel d’installation de bassins d’orage tenant compte des développements urbanistiques futurs, dont les aménagements mis en œuvre ou étudiés dans le cadre de la GiEP</t>
  </si>
  <si>
    <t>HYDRIA</t>
  </si>
  <si>
    <t>Actualiser les objectifs de qualité des eaux de surface dans l’arrêté "NQE"</t>
  </si>
  <si>
    <t>Identifier les opportunités de connexion au réseau hydrographique des eaux claires actuellement perdues par temps sec dans le réseau d’égouttage et définir un débit minimum écologique et une hauteur d'eau minimale pour les masses d'eau</t>
  </si>
  <si>
    <t>Identifier les sources et causes de pollution par les nitrates dans la zone vulnérable aux nitrates d’origine agricole et prendre des mesures ciblées afin de les éliminer</t>
  </si>
  <si>
    <t>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t>
  </si>
  <si>
    <t>Promouvoir, auprès des consommateurs non-domestiques, les comportements et équipements économes en eau ainsi que le recours à un approvisionnement en eau alternatif</t>
  </si>
  <si>
    <t>Mener des projets pilotes ouvrant la voie à l’innovation et des études permettant d'objectiver l'impact des mesures liées aux changements climatiques</t>
  </si>
  <si>
    <t>Aménager le réseau hydrographique (eaux de surface, étangs et zones humides) afin d'améliorer sa capacité de tamponnage des crues et son rôle d’exutoire d’eaux claires.</t>
  </si>
  <si>
    <t>Organisme</t>
  </si>
  <si>
    <t>Liste des parties prenantes</t>
  </si>
  <si>
    <t>Bruxelles Environnement</t>
  </si>
  <si>
    <t>SPRB-Economie et emploi</t>
  </si>
  <si>
    <t>Perspectives</t>
  </si>
  <si>
    <t>Contact</t>
  </si>
  <si>
    <t>Nom</t>
  </si>
  <si>
    <t>Prénom</t>
  </si>
  <si>
    <t>Nom. Prénom</t>
  </si>
  <si>
    <t>Mail</t>
  </si>
  <si>
    <t>AGNIEL</t>
  </si>
  <si>
    <t>Mathieu</t>
  </si>
  <si>
    <t>ANTOINE</t>
  </si>
  <si>
    <t>Michaël</t>
  </si>
  <si>
    <t>BEKE</t>
  </si>
  <si>
    <t>Elise</t>
  </si>
  <si>
    <t>BINON</t>
  </si>
  <si>
    <t>Martin</t>
  </si>
  <si>
    <t xml:space="preserve">BOCQUET </t>
  </si>
  <si>
    <t>Renaud</t>
  </si>
  <si>
    <t>DAUPHIN</t>
  </si>
  <si>
    <t>Carole</t>
  </si>
  <si>
    <t>DEWAELE</t>
  </si>
  <si>
    <t>Sofie</t>
  </si>
  <si>
    <t>DEWEZ</t>
  </si>
  <si>
    <t>Anne-Claire</t>
  </si>
  <si>
    <t>Saïd</t>
  </si>
  <si>
    <t>Pietro</t>
  </si>
  <si>
    <t>FRANCOIS</t>
  </si>
  <si>
    <t>Arnout</t>
  </si>
  <si>
    <t>LAVENDER</t>
  </si>
  <si>
    <t>Emilie</t>
  </si>
  <si>
    <t>LIETAR</t>
  </si>
  <si>
    <t>Arlette</t>
  </si>
  <si>
    <t>MAYER</t>
  </si>
  <si>
    <t>François</t>
  </si>
  <si>
    <t>OHSE</t>
  </si>
  <si>
    <t>CAULIER</t>
  </si>
  <si>
    <t>Henri</t>
  </si>
  <si>
    <t>MARESCAUX</t>
  </si>
  <si>
    <t>Audrey</t>
  </si>
  <si>
    <t>HEUZE</t>
  </si>
  <si>
    <t>Bruno</t>
  </si>
  <si>
    <t>DOHET</t>
  </si>
  <si>
    <t>Loic</t>
  </si>
  <si>
    <t>THIEBAUX</t>
  </si>
  <si>
    <t>Benjamin</t>
  </si>
  <si>
    <t>GAULIER</t>
  </si>
  <si>
    <t>Camille</t>
  </si>
  <si>
    <t>cgaulier@environnement.brussels</t>
  </si>
  <si>
    <t>MARTINEZ</t>
  </si>
  <si>
    <t>Nicolas</t>
  </si>
  <si>
    <t>Alice</t>
  </si>
  <si>
    <t>PLACE</t>
  </si>
  <si>
    <t>Pauline</t>
  </si>
  <si>
    <t>DAVESNE</t>
  </si>
  <si>
    <t>Sandrine</t>
  </si>
  <si>
    <t>AUGEM</t>
  </si>
  <si>
    <t>Amélie</t>
  </si>
  <si>
    <t>OPSOMER</t>
  </si>
  <si>
    <t>PIREYN</t>
  </si>
  <si>
    <t>Olivier</t>
  </si>
  <si>
    <t>ROBERT</t>
  </si>
  <si>
    <t>Tanguy</t>
  </si>
  <si>
    <t>DERICK</t>
  </si>
  <si>
    <t>Marie</t>
  </si>
  <si>
    <t>CULLUS</t>
  </si>
  <si>
    <t>Chris</t>
  </si>
  <si>
    <t>BEN KHALIFA</t>
  </si>
  <si>
    <t>El Moez</t>
  </si>
  <si>
    <t>LAGNEAU</t>
  </si>
  <si>
    <t>PIREAUX</t>
  </si>
  <si>
    <t>David</t>
  </si>
  <si>
    <t>AERTS</t>
  </si>
  <si>
    <t>Marc</t>
  </si>
  <si>
    <t>GEESSELS</t>
  </si>
  <si>
    <t>Geert</t>
  </si>
  <si>
    <t>VERBEIREN</t>
  </si>
  <si>
    <t xml:space="preserve">Axe </t>
  </si>
  <si>
    <t>Mesure</t>
  </si>
  <si>
    <t>Intitulé</t>
  </si>
  <si>
    <t>Objet</t>
  </si>
  <si>
    <t>Motivation</t>
  </si>
  <si>
    <t>Objectifs</t>
  </si>
  <si>
    <t>Pilote</t>
  </si>
  <si>
    <t>Particpation Citoyenne</t>
  </si>
  <si>
    <t>Axe 2</t>
  </si>
  <si>
    <t>Axe 3</t>
  </si>
  <si>
    <t>Axe 4</t>
  </si>
  <si>
    <t>Axe 5</t>
  </si>
  <si>
    <t>Axe 6</t>
  </si>
  <si>
    <t>Axe 7</t>
  </si>
  <si>
    <t>Axe 8</t>
  </si>
  <si>
    <t>Etat d'avancement
Statut</t>
  </si>
  <si>
    <t>Etat d'avancement
Pourcentage</t>
  </si>
  <si>
    <t>NOT STARTED</t>
  </si>
  <si>
    <t xml:space="preserve">
Le réseau d’égouttage de la Région de Bruxelles-Capitale est étendu et compte près de 1.800 kilomètres de canalisation, auxquels s’ajoutent 103,9 kilomètres de collecteurs. Toutefois, il subsiste quelques zones où ce réseau est manquant pour différentes raisons : l’absence d’un raccordement privé à l’égout public (zones égouttées), l’égouttage en domaine public doit encore être réalisé (zones égouttables), ou la création d’un égouttage public ne serait pas financièrement et/ou techniquement faisable à moyen terme (zones non égouttables). Ces zones qu’on qualifie de « points noirs » font l’objet d’une attention depuis quelques années. Les opérateurs de l’eau, VIVAQUA et la SBGE, veillent à réaliser progressivement ces raccordements manquants. 
L’ordonnance du 20 octobre 2006 établissant un cadre pour la politique de l’eau (« OCE ») a clarifié l’obligation de raccordement au réseau d’égouttage et a chargé les opérateurs d’établir une cartographie des zones égouttables. Le respect de cette obligation et l’application concrète de ce nouvel outil cartographique doivent permettre de supprimer ces rejets directs d’eaux usées vers les eaux de surface. Les rejets en provenance de zones d’industries urbaines doivent être supprimés par la mise en place d’un raccordement à l’égout.
Une carte des zones non égouttables identifie les zones où le raccordement au réseau d’égouttage n’est, actuellement, techniquement pas possible ou engendre des coûts disproportionnés, et où un système d’épuration individuel doit par conséquent être mis en place. C’est l’objet de la mesure suivante : M 1.7 
La Senne est la masse d’eau la plus particulièrement affectée par cet état de fait. Sur l’ensemble de la Région, on estime qu’environ 5.000 équivalent-habitants demeurent non raccordés au réseau d’égouttage public en zones égouttable et non égouttable. S’ajoutent à cela les rejets directs en zone égouttée dont l’ampleur est difficilement quantifiable. Un relevé exhaustif des rejets sur le terrain est nécessaire (objet de la mesure M1.5) Ce relevé doit permettre d’intégrer de mauvais raccordements au réseau d’égouttage). 
Dans tous les cas, comme exposé dans la motivation de la mesure M1.5), les rejets directs vers les eaux de surface ont de multiples impacts sur l’écosystème aquatique (oxygène dissous, eutrophisation, transparence de l’eau, micropolluants), ceux-ci limitant l’atteinte du bon état dans les masses d’eau concernées. Ces impacts sont très fortement réduits lorsque les rejets sont réorientés vers une épuration collective.
</t>
  </si>
  <si>
    <t xml:space="preserve">
L’objectif de la présente mesure est de déconnecter les rejets directs (points noirs) des eaux de surface, lorsqu’ils sont présents en zone égouttée ou égouttable, pour les raccorder au réseau public d’assainissement de la Région de Bruxelles-Capitale comme établi par l’article 40/1 de l’OCE, afin de supprimer la pollution ponctuelle qu’ils représentent vis-à-vis des eaux de surface (particulièrement lorsque celles-ci ont un débit faible) et ainsi d’améliorer la qualité physico-chimique, chimique et biologique de ces dernières.
</t>
  </si>
  <si>
    <t xml:space="preserve">Bien que la quasi-totalité du territoire de la Région de Bruxelles-Capitale soit en zone d’assainissement collectif, il demeure des cas marginaux où des eaux usées, domestiques ou non, ne pourront pas, à court et moyen termes, être collectées et traitées dans l’une des deux stations d’épuration, en raison de l’impossibilité technique ou de coûts disproportionnés d’un raccordement aux égouts. Contrairement à la mesure 1.6 où un raccordement effectif au réseau d’assainissement est possible, cette mesure entend proposer des solutions lorsque ce n’est pas le cas (zone d’assainissement autonome). 
Sont dès lors visées par cette mesure les habitations, entreprises ou parcelles urbanisables qui ne seront jamais raccordées au réseau public d’assainissement ou alors à très long terme. 
Dans la même idée, les rejets dans le Canal par les navires et bateaux empruntant la voie navigable sont également visés. 
Cette mesure a la même finalité pour les eaux de surface que la mesure M 2.4 qui entend rencontrer la problématique de l’impact des rejets d’eaux usées non traitées pour la masse d’eau souterraine des Sables du Bruxellien.
</t>
  </si>
  <si>
    <t xml:space="preserve">En Région bruxelloise, le raccordement à l’égout doit toujours être privilégié lorsqu’il est techniquement et économiquement possible dans la mesure où il permet un traitement des eaux usées en stations d’épuration collectives (mesure M 1.6) et que ces dernières offrent un rendement d’épuration très supérieur aux techniques d’épuration individuelle. Il reste toutefois quelques petites zones où le raccordement à l’égout n’est pas possible pour des raisons techniques (absence de réseau d’égouttage à proximité par exemple), et/ou financières (coût du raccordement excessif par rapport au gain environnemental). Dans ces cas, il existe alors une obligation d’épuration individuelle (qui permet déjà de réduire substantiellement la charge polluante rejetée), par ailleurs soumise désormais à permis d’environnement dès le 1er Equivalent-Habitant (E.-H). Une cartographie des zones non-égouttables, établie sur base de l’article 40/1 de l’ordonnance du 20 octobre 2006 établissant un cadre pour la politique de l’eau, doit permettre à tout un chacun (habitations ou entreprises existantes, promoteur de projets immobiliers futurs, autorités qui délivrent des permis d’urbanisme et d’environnement…) de connaitre ses obligations en matière d’épuration de ses eaux usées ; des mesures d’information et de sensibilisation sont également prévues en ce sens. 
Sur l’ensemble de la RBC, on estime que les zones non égouttables représentent une charge d’environ 5000 équivalent-habitants ; ces eaux usées sont actuellement déversées dans le milieu naturel (eaux de surface, sol, puits perdants …), après éventuel traitement, ou dans des fosses septiques. Bien qu’elles ne présentent pas de rejet continu vers le milieu naturel en fonctionnement normal, les fosses septiques sont souvent pourvues d’un déversoir de sécurité vers celui-ci en cas de débordement, ce qui représente un risque de pollution accidentelle qui est d’autant plus important en cas de défaut de vidange ou d’entretien de la fosse (outre le risque de fuite) ; cette situation est donc également problématique. Les rejets directs en direction des eaux de surface (« points noirs »), identifiés par la mesure M1.5, sont aussi visés par la présente mesure lorsqu’ils sont situés en zones non égouttables, mais la charge polluante qu’ils représentent actuellement est difficilement quantifiable dans l’attente des inventaires qui les visent. 
Le régime d’assainissement autonome doit être clarifié. L’application de la rubrique 56 des installations classées soumises à permis d’environnement doit permettre d’éviter les atteintes à l’environnement en général, et au milieu aquatique en particulier en prévoyant des normes de rejet acceptables. Dans cette idée, le sort des fosses septiques existantes dans les zones dépourvues de réseau d’égouttage sera réglé par arrêté (cf. aussi M 2.4). Cette mesure implique une bonne communication vers les communes concernées par ces zones afin qu’elles puissent faire appliquer ces règles. 
Rappelons qu’il n’est pas question d’octroyer des primes pour les personnes désireuses de se mettre en conformité avec la législation sur le traitement des eaux résiduaires, mais elles auront la possibilité d’être exonérées de la partie « assainissement » de la facture d’eau en cas d’assainissement respectant les normes.  
On estime qu’actuellement 20 à 30 navires/bateaux, essentiellement résidentiels, sont amarrés de manière (quasi-)permanente dans la partie bruxelloise du Canal ; l’éventuel traitement et la destination de leurs eaux usées, de cale et de ballast fait l’objet d’une étude (dans la mesure M 1.5), et il en va de même pour les bateaux/navires non permanents. S’agissant de ces rejets– qui par nature ne sont pas directement raccordables à l’une ou l’autre station d’épuration –, il y a lieu de mettre en place des solutions alternatives (telles que l’installation d’une épuration autonome ou la collecte par des stations/camions/bateaux de vidange), techniquement et économiquement possibles, permettant de réduire au maximum la pollution qu’ils génèrent dans la masse d’eau
</t>
  </si>
  <si>
    <t xml:space="preserve">Améliorer la qualité physico-chimique, chimique et biologique des masses d’eau de surface.
• Pour tous les rejets d’eaux usées en zones non égouttables, passer à une épuration autonome – extensive quand c’est techniquement possible, sinon par petite unité d’épuration individuelle – avec de préférence le sol comme exutoire, afin de réduire au maximum la charge polluante émise vers les eaux de surface et autres milieux naturels. Les fosses septiques (anciennes) devront être remplacées dans un certain délai afin de réduire au maximum les risques de pollution accidentelle à destination des eaux de surface et autres milieux naturels. 
• Pour les rejets d’eaux usées, de cale et de ballast de bateaux/navires vers le Canal, mettre en œuvre les solutions techniquement et économiquement possibles, éventuellement identifiées à la suite de l’étude visée dans la mesure M 1.5, pour réduire au maximum la charge polluante émise vers cette eau de surface. 
Tout ceci dans l’optique d’améliorer la qualité physico-chimique, chimique et biologique des eaux de surface. 
</t>
  </si>
  <si>
    <t xml:space="preserve">Sur un réseau unitaire, la fonction principale des déversoirs est d’évacuer vers le milieu naturel les pointes de ruissellement de manière à protéger les infrastructures tant publiques que privées contre les inondations. Ceci engendre inévitablement un déversement direct plus ou moins important de polluants dans les eaux de surface.
En temps de pluie, on constate trop souvent une pollution de la Senne et du Canal suite au rejet d’eau non-traitée au niveau des déversoirs d’orage. On estime que 48% de la matière organique (demande biochimique en oxygène) renvoyée à la Senne et au Canal arrive via ces déversoirs (49% pour l’ensemble des eaux de surface bruxelloises). La biodégradation de cette matière organique engendre alors des chutes brutales d’oxygène qui n’est plus disponible pour la vie aquatique, ce qui met en péril la survie de ces organismes ou induit leur fuite (temporaire). Bien qu’indispensables lors des fortes averses pour lutter contre les inondations, les déversoirs d’orage dans leur conception simpliste et sécuritaire actuelle s’activent bien plus que nécessaire. 66 à 87 chutes d’oxygène par an ont ainsi été observées entre 2013 et 2016 dans la Senne. Les déversoirs occasionnent également un relargage important de nutriments (eutrophisation) et de micropolluants (en particulier ceux liés à la matière en suspension tels que les métaux lourds et HAP) dans le milieu naturel. Dans un premier temps, des optimisations sont possibles en étudiant au cas par cas le fonctionnement des déversoirs et en procédant à des adaptations locales. Ces adaptations au cas par cas sont couvertes par l'action Belini C1_1 pour les déversoirs du Nouveau Maelbeek, du Paruck et du Molenbeek. 
</t>
  </si>
  <si>
    <t xml:space="preserve">L’objectif est de documenter le fonctionnement de l’ensemble des déversoirs d’orages principaux (une vingtaine, en rouge sur la carte ci-dessous), en particulier leur fréquence d’activation, le volume déversé annuellement et leur géométrie détaillée, et de procéder aux adaptations pour ne déverser qu’en cas de besoin avéré pour la lutte contre les inondations, et de retenir un maximum de déchets flottants du côté de l’égout.
La stratégie visant à limiter les épisodes de fonctionnement de déversoirs est bien plus large que la modification locale des déversoirs qui ne sont que des soupapes de sécurité.  
• L’action première est de limiter les entrées d’eau de pluie dans le réseau d’égouttage (travail sur la désimperméabilisation et GIEP – voir fiches M1.27 et M 5.4);
• Le second point très important est de s’assurer que le réseau d’égouttage aval ne constitue pas un frein mais puisse accepter un maximum de débit;
• Ensuite, le tamponnage dans le réseau et ses équipements (bassins d’orage en particulier) est également un élément important visant à limiter l’intensité du flux arrivant aux déversoirs; Il faut ici faire le lien avec les fiches M1.9 (régulation des flux) et M5.11 (poursuite du programme de construction des BO)
• Et enfin, et c’est l’objet de cette fiche, l’optimisation des soupapes de sécurité que constituent les déversoirs afin de s’assurer qu’ils ne fonctionnent que quand c’est indispensable.
</t>
  </si>
  <si>
    <t xml:space="preserve">Faire un usage plus intensif, plus régulier et de façon contrôlée (gestion dynamique) des capacités de stockage existantes des bassins d’orage et du réseau d'égouttage, de sorte à réduire la fréquence des déversements d’orage, augmenter la fraction des eaux usées envoyée aux stations d’épuration, sans compromettre la lutte contre les inondations lors des plus grandes pluies.
</t>
  </si>
  <si>
    <t xml:space="preserve">En temps de pluie, on constate trop souvent une pollution de la Senne et du Canal suite au rejet d’eau non-traitée au niveau des déversoirs d’orage. On estime que 48% de la matière organique (demande biochimique en oxygène) renvoyée à la Senne et au Canal arrive via ces déversoirs (49% pour l’ensemble des eaux de surface bruxelloises). La biodégradation de cette matière organique engendre alors des chutes brutales d’oxygène qui n’est plus disponible pour la vie aquatique, ce qui met en péril la survie de ces organismes ou induit leur fuite (temporaire). Bien qu’indispensables lors des fortes averses pour lutter contre les inondations, on constate également des déversements fréquents et inutiles lors de pluie plus courantes (moins intenses). 66 à 87 chutes d’oxygène par an ont ainsi été observées entre 2013 et 2016 dans la Senne. Les déversoirs occasionnent également un relargage important de nutriments (eutrophisation) et de micropolluants (en particulier ceux liés à la matière en suspension tels que les métaux lourds et HAP) dans le milieu naturel. Les capacités de stockage dans le réseau d’égouttage — notamment celles des bassins d’orage — ne sont pas toujours exploitées au maximum, en particulier lors des petites pluies courantes, alors que celles-ci génèrent déjà des déversements d’orage. 
Par la mise en place d’une gestion dynamique, c’est-à-dire en modulant en temps réel les règles d’écoulement dans le réseau d’égouttage en fonction de l’état (actuel ou, plus compliqué, prévu) de saturation de celui-ci, on peut mieux utiliser la capacité actuelle de stockage du réseau. 
La régulation des écoulements dans les différents réseaux doit être dynamique en ce sens que le contrôle artificiel des débits doit être modulable en fonction de l’état de saturation hydraulique de ces réseaux. Des vannes peuvent être rendues mobiles notamment aux niveaux des bassins d’orage pour optimiser leur taux de remplissage, ou sur certains déversoirs bas (lorsque complétés par des déversoirs hauts, pour éviter tout risque en cas de disfonctionnement). Les conduites les plus surdimensionnées peuvent-être équipées de régulateur de débit permettant d’exploiter au mieux leur propre capacité de stockage, tout en évitant leur débordement.
La régulation des écoulements dans les différents réseaux doit être anticipative en ce sens que le contrôle artificiel des débits doit intégrer l’état hydraulique des réseaux durant les prochaines heures (d’où la nécessité de disposer d’un système de prévision d’inondation pluviale), pour mobiliser les capacités de stockage au bon endroit, au bon moment et au maximum de leur capacité.
L’optimisation des déversoirs est prévue dans la fiche de la M 1.8.
</t>
  </si>
  <si>
    <t xml:space="preserve">Augmenter le taux et la fréquence de remplissage du réseau d’assainissement (en particulier des bassins d’orages) pour réduire la fréquence de fonctionnement des déversoirs d’orage au strict nécessaire pour la gestion du risque d’inondation, sans augmenter ce dernier.
</t>
  </si>
  <si>
    <t xml:space="preserve">
Au-delà des déversoirs d’orage, le réseau d’assainissement peut aussi constituer une pression sur les eaux de surface lorsqu’il existe des rejets d’eaux usées résultant d’un manque de connexion entre l’égout et un collecteur d’amenée des eaux résiduaires urbaines  aux stations d’épuration collectives (STEPs) . Cette mesure vise ainsi les cas marginaux –  mais néanmoins impactant pour les masses d’eau de surface – où c’est le réseau d’égouttage qui se déverse dans les eaux de surface, sans épuration préalable. Les rejets directs en provenance de parcelles privées (sans raccordement à l’égout) sont quant à eux visés par les mesures M1.6 et M1.7.
</t>
  </si>
  <si>
    <t xml:space="preserve">La zone centrale de la Région, correspondant à la vallée de la Senne, doit constituer le point d’attention principal de cette mesure. Des chainons manquants entre le réseau d’égouttage historique et les collecteurs plus récents occasionnent encore des rejets d’eaux usées dans la Senne. Cette situation résulte généralement du contexte historique où la Senne recevait directement les eaux usées des égouts, avant l’installation des STEPs. Le cas du quartier dit « Upsite » – pourtant récemment réaménagé et urbanisé – entre le Canal et la Senne a mis en évidence ces lacunes du réseau d’assainissement. Une estimation fait état de +- 5000 équivalent-habitants au total qui seraient égouttés, mais dont les eaux usées n’aboutiraient pas en station d’épuration, mais bien dans la Senne, comme exutoire à proximité.  Les investigations menées par  l’opérateur Vivaqua ont permis d’identifier six points de rejet principaux d’égouts vers le pertuis de la Senne: 2 ont été résolus par la mise en place de stations de pompage: il s’agit des points de rejet place des Armateurs (Quartier Up-site) et Porte de Ninove.  Des études sont en cours pour résoudre les 4 points restants.
Il est possible que d’autres investigations, en particulier celles menées dans le cadre de la mesure M1.5 visant des inventaires de rejets directs vers les eaux de surface, révèlent d’autres zones égouttées non raccordées aux collecteurs, auquel cas ces zones seraient également visées par la présente mesure en vue d’une reconnexion aux STEPs. 
Cette situation qui pèse encore un peu plus sur la mauvaise qualité de la Senne ne peut plus perdurer. En effet, comme mentionné dans la motivation de la mesure M1.5,  les rejets d’eaux usées non épurées vers les eaux de surface ont de multiples impacts sur l’écosystème aquatique (oxygène dissous, eutrophisation, transparence de l’eau, micropolluants). Ceux-ci limitent l’atteinte du bon état dans les masses d’eau concernées. Ces impacts sont très fortement réduits lorsque les rejets sont réorientés vers une épuration collective.
</t>
  </si>
  <si>
    <t xml:space="preserve">
Raccorder les zones égouttées se rejetant actuellement dans les eaux de surface aux collecteurs à destination des STEPs, afin de supprimer la pollution ponctuelle qu’ils représentent vis-à-vis des eaux de surface et d’en améliorer ainsi la qualité physico-chimique, chimique et biologique, avec une attention particulière pour la Senne.    
</t>
  </si>
  <si>
    <t>Responsible</t>
  </si>
  <si>
    <t>Accountable</t>
  </si>
  <si>
    <t>Consulted</t>
  </si>
  <si>
    <t>Informed</t>
  </si>
  <si>
    <t>Etat d'avancement (statut)</t>
  </si>
  <si>
    <t>Etat d'avancement (%tage)</t>
  </si>
  <si>
    <t>Début</t>
  </si>
  <si>
    <t>Fin</t>
  </si>
  <si>
    <t>Ricochet</t>
  </si>
  <si>
    <t>KTM</t>
  </si>
  <si>
    <t>Type de Mesure</t>
  </si>
  <si>
    <t>Measure Type</t>
  </si>
  <si>
    <t>Basic Measure</t>
  </si>
  <si>
    <t>AM</t>
  </si>
  <si>
    <t>Supplementary Measure</t>
  </si>
  <si>
    <t>SM</t>
  </si>
  <si>
    <t>Additional Measure</t>
  </si>
  <si>
    <t>MT description</t>
  </si>
  <si>
    <t>KTM desciption</t>
  </si>
  <si>
    <t>KTM Merge</t>
  </si>
  <si>
    <t>Construction or upgrades of wastewater treatment plants.</t>
  </si>
  <si>
    <t>Reduce nutrient pollution from agriculture.</t>
  </si>
  <si>
    <t>Reduce pesticides pollution from agriculture.</t>
  </si>
  <si>
    <t>Remediation of contaminated sites (historical pollution including sediments, groundwater, soil).</t>
  </si>
  <si>
    <t>Improving longitudinal continuity (e.g. establishing fish passes, demolishing old dams).</t>
  </si>
  <si>
    <t>Improving hydromorphological conditions of water bodies other than longitudinal continuity.</t>
  </si>
  <si>
    <t>Improvements in flow regime and/or establishment of ecological flows.</t>
  </si>
  <si>
    <t>Water efficiency, technical measures for irrigation, industry, energy and households.</t>
  </si>
  <si>
    <t>Water pricing policy measures for the implementation of the recovery of cost of water services from households.</t>
  </si>
  <si>
    <t>Water pricing policy measures for the implementation of the recovery of cost of water services from industry.</t>
  </si>
  <si>
    <t>Water pricing policy measures for the implementation of the recovery of cost of water services from agriculture.</t>
  </si>
  <si>
    <t>Advisory services for agriculture.</t>
  </si>
  <si>
    <t>Drinking water protection measures (e.g. establishment of safeguard zones, buffer zones etc).</t>
  </si>
  <si>
    <t>Research, improvement of knowledge base reducing uncertainty.</t>
  </si>
  <si>
    <t>Measures for the phasing-out of emissions, discharges and losses of Priority Hazardous Substances or for the reduction of emissions, discharges and losses of Priority Substances.</t>
  </si>
  <si>
    <t>Upgrades or improvements of industrial wastewater treatment plants (including farms).</t>
  </si>
  <si>
    <t>Measures to reduce sediment from soil erosion and surface run-off.</t>
  </si>
  <si>
    <t>Measures to prevent or control the adverse impacts of invasive alien species and introduced diseases.</t>
  </si>
  <si>
    <t>Measures to prevent or control the adverse impacts of recreation including angling.</t>
  </si>
  <si>
    <t>Measures to prevent or control the adverse impacts of fishing and other exploitation/removal of animal and plants.</t>
  </si>
  <si>
    <t>Measures to prevent or control the input of pollution from urban areas, transport and built infrastructure.</t>
  </si>
  <si>
    <t>Measures to prevent or control the input of pollution from forestry.</t>
  </si>
  <si>
    <t>Natural water retention measures.</t>
  </si>
  <si>
    <t>Adaptation to climate change.</t>
  </si>
  <si>
    <t>Measures to counteract acidification.</t>
  </si>
  <si>
    <t>Basic Measure Type</t>
  </si>
  <si>
    <t>GW/SW</t>
  </si>
  <si>
    <t>GW</t>
  </si>
  <si>
    <t>SW</t>
  </si>
  <si>
    <t>GW
SW</t>
  </si>
  <si>
    <t>Basic measure type</t>
  </si>
  <si>
    <t>PGE3_Axe1_FP_M1.23</t>
  </si>
  <si>
    <t>SCHMIT</t>
  </si>
  <si>
    <t>Flore</t>
  </si>
  <si>
    <t>EL FADILI</t>
  </si>
  <si>
    <t>THOMAS</t>
  </si>
  <si>
    <t>SHIFTEconomy</t>
  </si>
  <si>
    <t>Boud</t>
  </si>
  <si>
    <t>Johan</t>
  </si>
  <si>
    <t>T</t>
  </si>
  <si>
    <t>ToBeDefined</t>
  </si>
  <si>
    <t>SANTAMARIA</t>
  </si>
  <si>
    <t>Miguel Sebastian</t>
  </si>
  <si>
    <t>CUSTERS</t>
  </si>
  <si>
    <t>Kurt</t>
  </si>
  <si>
    <t>Sensibiliser et contrôler l’interdiction de nourrissage des animaux sauvages (oiseaux, poissons) à proximité des étangs et du Canal, car le nourrissage favorise les espèces invasives (= M 5.22.2)</t>
  </si>
  <si>
    <t>Etudier le fonctionnement des réseaux et leurs interactions, par le biais d’actions de modélisation (cf. M 5.29)</t>
  </si>
  <si>
    <t>Etudier la possibilité de reconnecter le Neerpedebeek à la Senne via un siphon existant (cf. M 1.27).</t>
  </si>
  <si>
    <t>1.15.1</t>
  </si>
  <si>
    <t xml:space="preserve">Dans le cadre de REACH : 
• Mise en œuvre de la législation REACH : Contrôle et encadrement de l’utilisation/stockage des substances reprises à l’annexe 14 de REACH dans le cadre des permis d’environnement ;
• Identifier les données des permis d’environnement, notamment pour les substances suivantes : Anthracène ; Benzo(a)pyrène ; Benzo(g,h,i)perylène ; Fluoranthène ; Pyrène ; Plomb ; 4-n-nonylphénol ;Di(2-ethylhexyle)-phthalate ; Cadmium ; 1,2,5,6,9,10-hexabromocyclododécane (= alpha- + bêta- + gamma-HBCDD) ; procéder systématiquement à une analyse de risque et fixer les conditions adéquates dans les nouveaux permis ou prolongation de permis.
</t>
  </si>
  <si>
    <t>1.15.2</t>
  </si>
  <si>
    <t xml:space="preserve">Dans le cadre du NAPED : 
• Mise en œuvre des mesures du NAPED qui sont du ressort de la Région (lorsqu’il sera adopté). 
• Veiller plus précisément à celles concernant le nonylphénols et le di(2-ethylhexyle)-phthalate 
</t>
  </si>
  <si>
    <t>1.15.3</t>
  </si>
  <si>
    <t xml:space="preserve">Dans le cadre de la Convention de Stockholm et du règlement UE en matière de POP et du NIP belge : 
• Soutenir et appliquer les mesures de la convention par le biais des permis d’environnement et des inventaires des émissions (E-PRTR). 
• Veiller plus précisément à celles concernant l’heptachlore et époxyde d’heptachlore ; l’acide perfluorooctane-sulfonique et ses dérivés PCB ; les diphényléthers bromés (= PBDE28 + 47 + 99 + 100 + 153 + 154) ; 1,2,5,6,9,10-l’hexabromocyclododécane (= alpha- + bêta- + gamma-HBCDD) et les dioxines et composés de type dioxine.
</t>
  </si>
  <si>
    <t>1.15.4</t>
  </si>
  <si>
    <t xml:space="preserve">Dans le cadre du NAP-AMR : 
• Mise en œuvre des mesures du NAP-AMR. 
</t>
  </si>
  <si>
    <t>1.15.5</t>
  </si>
  <si>
    <t xml:space="preserve">Dans le cadre du PRRP et du NAPAN : 
• Mise en œuvre des mesures du PRRP et NAPAN (cf. aussi M 3.6)
• Définition d’une stratégie de monitoring et mise en œuvre d’une campagne de mesure spécifique:
• Définition d’une liste de substances à analyser, au-delà des listes de substances prioritaires et de vigilance européennes faisant déjà l’objet de monitoring, notamment au regard des données disponibles dans les autres régions ;
• Définition des sites les plus à risque (proximité des zones agricoles, proximité des voies ferrées, proximité de terrains de sport engazonnés, etc.)
• Définition du protocole d’échantillonnage (périodes de prélèvement, répétition dans le temps,…)
En cas de pollutions constatées dans les eaux souterraines ou de surface, les causes de celles-ci seront recherchées afin de proposer d’éventuelles mesures de remédiation.
</t>
  </si>
  <si>
    <t>1.15.6</t>
  </si>
  <si>
    <t xml:space="preserve">Dans le cadre du PRRP et du NAPAN : 
• Géolocaliser les données d’utilisation des pesticides 
• Analyser ces données avec celles des concentrations dans les eaux
</t>
  </si>
  <si>
    <t>1.15.7</t>
  </si>
  <si>
    <t xml:space="preserve">Dans le cadre du PRRP et du NAPAN : 
• Analyser des données scientifiques récentes sur l’efficacité de différentes modalités de zones tampons pour la protection du milieu aquatique ;
• Evaluer des mesures applicables dans d’autres pays et régions ; 
• Uniformiser, dans la mesure du possible, les mesures de réduction du risque pour les organismes aquatiques non cibles à l’échelle du pays, conformément à l’action belge 3.6.1 du NAPAN (Charte pour la lutte contre les dépassements des valeurs de référence des produits phytopharmaceutiques dans les eaux de surface en Belgique, mise en œuvre par le secteur de plans de réduction des émissions (PRE) pour certaines substances actives ;
• Évaluer la pertinence des zones tampons régionales actuellement d’application pour la protection du milieu aquatique pour les adapter, le cas échéant. (en complément de l’action belge 3.6.2 du NAPAN)
</t>
  </si>
  <si>
    <t>1.15.8</t>
  </si>
  <si>
    <t xml:space="preserve">Dans le cadre du Plan Climat Energie bruxellois:
• Faire le suivi de la mise en œuvre quant à l’impact sur la qualité des masses d’eau
• Réduire sur le territoire régional la combustion de pétrole (essence, diesel, mazout), de charbon et de bois ou encore l’incinération de déchets - contribuera à réduire les émissions de substances déclassant l’état chimique : les HAPs (Benzo(g,h,i)perylène, le fluoranthène, le benzo(a)pyrène, l'anthracène et le pyrène) et les métaux lourds (cadmium, plomb, nickel, cadmium, zinc) 
En addition de ce Plan Climat Energie, une analyse croisée des données de l’inventaire des émissions atmosphériques couvrant la période 1990-2019 réalisé par le département Evaluation Air Climat Energie et de celles de la qualité des eaux de surface pourrait être réalisée.
</t>
  </si>
  <si>
    <t>1.15.9</t>
  </si>
  <si>
    <t xml:space="preserve">Dans le cadre du règlement UE sur le mercure
Si à ce jour, aucune activité industrielle présente sur le territoire bruxellois n’est sujette au règlement UE, il y a lieu de suivre l’exploitation de l’incinérateur de déchets urbains au niveau des émissions et des meilleures techniques disponibles au sens de l’article 8 de la Convention de Minamata.
</t>
  </si>
  <si>
    <t>1.19.1</t>
  </si>
  <si>
    <t xml:space="preserve">Analyser les paramètres et normes de l’arrêté NQE devant être actualisés ou inclus (paramètres chimiques et physico-chimiques) </t>
  </si>
  <si>
    <t>1.19.2</t>
  </si>
  <si>
    <t>Identifier les polluants spécifiques au bassin versant (‘river basin specific pollutants’) dans l’arrêté NQE et les normes qui leur sont applicables</t>
  </si>
  <si>
    <t>1.19.3</t>
  </si>
  <si>
    <t>Intégrer les objectifs de qualité écologique dans l’arrêté NQE (en ce compris les objectifs de potentiel hydromorphologique) et y expliciter la méthode d’évaluation du potentiel écologique</t>
  </si>
  <si>
    <t>1.19.4</t>
  </si>
  <si>
    <t>Rédiger un projet d’arrêté actualisant l’ensemble des objectifs de qualité applicables aux masses d’eau de surface et le soumettre aux autres régions (consultations transfrontalières au sein du CCPIE) et le faire adopter</t>
  </si>
  <si>
    <t>1.20.1</t>
  </si>
  <si>
    <t xml:space="preserve">Rassembler dans une base de données les informations renseignées dans les permis d’environnement (entre autre via les directives et législations comme REACH ou IED) et les inventaires sols et de pollution de l’air concernant les sources et les quantités émises de chaque substance déclassant l’état des masses d’eau pour alimenter l’inventaire des émissions, pertes et rejets des substances prioritaires et prioritaires dangereuses et d’autres polluants.  </t>
  </si>
  <si>
    <t>1.20.2</t>
  </si>
  <si>
    <t xml:space="preserve">Faire une analyse comparative des résultats des campagnes de mesures prévues aux M 1.12 et M 1.13 au regard de données d’E-PRTR afin de valider les émissions prédites dans WEISS </t>
  </si>
  <si>
    <t>1.20.3</t>
  </si>
  <si>
    <t>Identifier les sources lacunaires et estimer les émissions des paramètres déclassant  via une revue de la littérature</t>
  </si>
  <si>
    <t>1.20.4</t>
  </si>
  <si>
    <t xml:space="preserve">Identifier les sources lacunaires et estimer les émissions des métaux déclassant l’état chimique de la Senne et du Canal (plomb, nickel, mercure, cadmium, zinc) via une campagne de mesures.
Cette campagne s’intéressera à l’apport de polluants via les affluents ainsi qu’aux rejets diffus issus du lessivage des parcelles portuaires.
</t>
  </si>
  <si>
    <t xml:space="preserve">BE 
Accompagnement Port de Bruxelles
</t>
  </si>
  <si>
    <t>1.20.5</t>
  </si>
  <si>
    <t>Comprendre la dynamique des nutriments et plus spécifiquement, du phosphore dans la vallée de la Woluwe via une campagne de mesures</t>
  </si>
  <si>
    <t>BE - SmartWater</t>
  </si>
  <si>
    <t>1.20.6</t>
  </si>
  <si>
    <t>Actualiser er améliorer l’outil de modélisation des émissions « WEISS »</t>
  </si>
  <si>
    <t>1.20.7</t>
  </si>
  <si>
    <t>Valider les données physico-chimiques et chimiques des eaux de surface de 2000 à 2027 et les analyser spatio-temporellement</t>
  </si>
  <si>
    <t>1.20.8</t>
  </si>
  <si>
    <t>Identifier les leviers d’action afin de diminuer les concentrations des paramètres déclassant l’état physico-chimique et chimique des masses d’eau de surface</t>
  </si>
  <si>
    <t>1.20.9</t>
  </si>
  <si>
    <t>Valoriser l’étude réalisée durant le PGE 2016-2021 portant sur la qualité des eaux de ruissellement (voiries, chemins de fer, trams, toitures)</t>
  </si>
  <si>
    <t>Réaliser une caractérisation fine des entrées de polluants physico-chimique dans la Senne</t>
  </si>
  <si>
    <t xml:space="preserve">SEN </t>
  </si>
  <si>
    <t>Utiliser un modèle biogéochimique adapté pour la Senne en collaboration avec la VMM</t>
  </si>
  <si>
    <t>BE, VMM</t>
  </si>
  <si>
    <t>Analyser les scénarios permettant d’améliorer la qualité physico-chimique de la Senne en collaboration avec la VMM et, le cas échéant, entamer l’argumentaire pour la formulation d’éventuels objectifs moins stricts)</t>
  </si>
  <si>
    <t>Assurer un contrôle approprié des piézomètres mis en place lors d’ études de reconnaissance de l’état des sols dans le cadre de la gestion de l’assainissement des sols pollués, en fin de procédure, imposer et contrôler le rebouchage des piézomètre selon la procédure reprise à l’AR du 8 novembre 2018 – art 11 § 6 3° réglementant les captages dans les eaux souterraines</t>
  </si>
  <si>
    <t>amélioration continue des cartes de risque d’effet barrage (fonction des upgrades de BPSM)</t>
  </si>
  <si>
    <t>amélioration et renforcement de l’analyse du risque d’effet barrage dans le cadre de la procédure d’instruction du permis d’environnement, voire d’urbanisme</t>
  </si>
  <si>
    <r>
      <t xml:space="preserve">Rendre au réseau hydrographique, y compris les étangs, sa fonction d’exutoire et de zone de débordement naturel, via la reconnexion des eaux claires et la gestion intégrée des eaux pluviales (GiEP), </t>
    </r>
    <r>
      <rPr>
        <sz val="10"/>
        <color rgb="FF007268"/>
        <rFont val="Calibri"/>
        <family val="2"/>
        <scheme val="minor"/>
      </rPr>
      <t>(</t>
    </r>
    <r>
      <rPr>
        <sz val="10"/>
        <color rgb="FF007268"/>
        <rFont val="Arial"/>
        <family val="2"/>
      </rPr>
      <t>voir également M 1.27 et 5.4)</t>
    </r>
  </si>
  <si>
    <t>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t>
  </si>
  <si>
    <t>Identifier les odifications d’ordre régleentaire, adinistratif et opérationnel à réaliser aux différentes échelles adinistratives (régionales et counales) pour perettre la ise en œuvre des nouveaux écanises de financeent.</t>
  </si>
  <si>
    <t>ettre en œuvre toutes les actions nécessaires au déploieent du niveau écanise de financeent et en assurer la bonne counication auprès des différents publics cibles</t>
  </si>
  <si>
    <t>Elaboration des indicateurs constituant le « tableau de bord PH » permettant d’assurer le suivi de la PH en RBC</t>
  </si>
  <si>
    <t>Production des indicateurs</t>
  </si>
  <si>
    <t>Consolidation et analyse des indicateurs et élaboration d’un reporting visant à guider l’action du gouvernement</t>
  </si>
  <si>
    <t>Flag Axe</t>
  </si>
  <si>
    <t xml:space="preserve">Flag Axe </t>
  </si>
  <si>
    <t>Axe 1</t>
  </si>
  <si>
    <t>1.25.10</t>
  </si>
  <si>
    <t>1.25.A</t>
  </si>
  <si>
    <t>Priorisation mesures PGRI</t>
  </si>
  <si>
    <t>Synergie Mesure</t>
  </si>
  <si>
    <t>Appréciation RH</t>
  </si>
  <si>
    <t>Urban Waste Water Treatment</t>
  </si>
  <si>
    <t>Nitrates</t>
  </si>
  <si>
    <t>IPPC IED</t>
  </si>
  <si>
    <t>Habitats or Birds</t>
  </si>
  <si>
    <t>Cost recovery water services</t>
  </si>
  <si>
    <t>Efficient water use</t>
  </si>
  <si>
    <t>Protection water abstraction</t>
  </si>
  <si>
    <t>Controls water abstraction</t>
  </si>
  <si>
    <t>Recharge or augmentation groundwaters</t>
  </si>
  <si>
    <t>Point source discharges</t>
  </si>
  <si>
    <t>Diffuse pollutants</t>
  </si>
  <si>
    <t>Hydromorphology</t>
  </si>
  <si>
    <t>Direct groundwater pollutants</t>
  </si>
  <si>
    <t>Surface water Priority Substances</t>
  </si>
  <si>
    <t>Accidental pollution</t>
  </si>
  <si>
    <t>Other</t>
  </si>
  <si>
    <t>P</t>
  </si>
  <si>
    <t>N</t>
  </si>
  <si>
    <t xml:space="preserve">Les cours d’eau bruxellois, de par leur histoire et leur parcours dans un tissu urbain dense, sont soumis à de multiples et fortes pressions (cf. chapitre 2 de ce Plan de Gestion de l’Eau). Au fil des aménagements et du développement de la ville, la qualité hydro morphologique (et par conséquent écologique) du réseau s’est, par endroits, dégradée. Ainsi, à partir de la fin du 19ème siècle, de nombreux cours d’eau ont été mis en pertuis. Il s’agit de la pire situation d’un point de vue hydro morphologique pour un cours d’eau puisque l’absence de lumière empêche la croissance de végétaux, ceux-ci constituant la base des écosystèmes. Ainsi, un pertuis n’héberge quasiment aucune vie aquatique. 
A contrario, la mise à ciel ouvert permet de sortir le cours d’eau d’un milieu fermé en recréant un écosystème exposé à la lumière naturelle, moteur de toute vie aquatique (production primaire). L’exposition à la lumière seule ne suffit pas, ces travaux sont donc systématiquement couplés à une (re)construction de berges les plus naturelles possibles (voir description en fiche M.1.2) afin de créer des faciès d’écoulement diversifiés, à la fois longitudinalement et transversalement. Ces interventions permettent l’installation et le développement de flore aquatique et rivulaire et fournissent la nourriture mais aussi les habitats indispensables à l’établissement d’un écosystème aquatique riche. En outre, la végétation aquatique, grâce au processus de photosynthèse, apporte de l’oxygène favorable au développement de la faune aquatique.
Les berges naturelles présentent des pentes plus ou moins douces avec une diversification et transition progressive des strates végétatives entre les milieux de plus à moins humides, une végétation indigène et diversifiée (cet objectif est décrit dans la fiche M 1.2). Ces aménagements permettent de diversifier les milieux naturels dans des espaces urbains contraints et limités, créant ainsi des zones refuges, de reproduction et de développement à la fois pour la faune et la flore terrestre.
Enfin, la mise à ciel ouvert va au-delà de la simple mise en valeur du cours d’eau pour le public, en jouant un rôle important dans le tissu urbain tant pour les aspects récréatifs et paysagers (cf. l’Axe 6 de ce programme de mesures). Par ailleurs, la présence d’eau en ville permet de renforcer sa résilience face au phénomène des îlots de chaleur urbain (cf. fiche M 5.4) ou d’augmenter la capacité de rétention des eaux sur le réseau hydrographique et ainsi lutter contre les risques d’inondations (cf. Fiche M 5.9).
Au sein de la Région de Bruxelles Capitale, on peut observer les effets bénéfiques d’une mise à ciel ouvert sur la Woluwe qui a fait l’objet d’une première phase de mise à ciel ouvert en 2000-2003.
La mise en service des stations d’épuration sur la région (STEP en entrée de RBC en 2000 et STEP en sortie de RBC en 2007) a permis l’amélioration de la qualité physico-chimique des cours d’eau. Cette amélioration de la qualité a constitué un prérequis important pour les projets de mises à ciel ouvert des cours d’eau sur la région qui sont depuis envisagées et réalisées par Bruxelles Environnement en fonction des opportunités et des possibilités. 
De nombreux tronçons des cours d’eau bruxellois sont encore souterrains. C’est particulièrement le cas pour la Senne pour laquelle 2/3 de son parcours en région bruxelloise sont voutés. Pour la Woluwe, c’est environ 1/3 du linéaire qui coule actuellement en souterrain. 
</t>
  </si>
  <si>
    <t xml:space="preserve">Une des mesures phares du Plan de gestion de l’eau bruxellois consiste à poursuivre les projets de remise à ciel ouvert de tronçons de cours d’eau voûtés. La Senne est particulièrement visée par cette mesure avec notamment un projet de remise à ciel ouvert au niveau du parc Maximilien. Cependant, des initiatives sont également prévues sur d’autres cours d’eau. Lorsqu’elle est possible, la mise à ciel ouvert des cours d’eau permet de réintégrer des tronçons couverts dans le maillage bleu et vert et d’améliorer globalement la qualité du réseau hydrographique bruxellois. Ces futurs projets se feront en fonction des possibilités et opportunités urbanistiques. 
</t>
  </si>
  <si>
    <t xml:space="preserve">L’objectif de cette mesure est donc de remettre à ciel ouvert les tronçons souterrains du réseau hydrographique où c’est possible, dans l’optique de fortement améliorer la qualité hydro morphologique de ces eaux de surface et leur potentiel écologique. Par la même occasion, l’amélioration de l’état écologique optimisera l’oxygénation et le processus d’autoépuration des cours d’eau (filtration des polluants par l’écosystème – Axe 1). 
L’accomplissement de cet objectif passe notamment par l’identification et le développement de toutes les opportunités de mise à ciel ouvert lors par exemple des projets urbains de redéveloppement. 
</t>
  </si>
  <si>
    <t xml:space="preserve">La qualité hydromorphologique est un des critères de détermination de la qualité écologique des cours d’eau. Il est dès lors primordial de naturaliser et d’améliorer la qualité des berges et du lit des eaux de surface bruxelloises dans l’optique d’atteindre le bon état des masses d’eau de surface.
Cette mesure s’applique en particulier à la Senne, à la Woluwe et au Canal, mais une attention est également portée à leurs affluents. 
</t>
  </si>
  <si>
    <t xml:space="preserve">Si une bonne qualité de l’eau (d’un point de vue chimique et physico-chimique) est requise pour le développement de la vie aquatique et pour atteindre le bon potentiel écologique, il en va de même pour la bonne qualité hydromorphologique des eaux de surface dans la mesure où cette dernière fournit les supports (habitats) au développement biologique. 
Le constat posé dans le chapitre 2 de ce Plan de gestion de l’eau démontre qu’aucune des trois masses d’eau de surface bruxelloises n’atteint actuellement une qualité hydromorphologique suffisante : 
• Senne : qualité hydromorphologique globale mauvaise (12,5%). Sa qualité reste très insuffisante pour les tronçons à ciel ouvert (qualité médiocre : 38,5%), principalement en raison du fait que les berges ont été rendues linéaires et verticales, au moyen de substrats artificiels ne permettant quasiment aucun développement de la vie. 
• Woluwe : qualité hydromorphologique globale médiocre (30,8%). Sa qualité reste insuffisante pour les tronçons à ciel ouvert (qualité moyenne : 48,4%), principalement en raison du fait que les berges ont été rendues linéaires et verticales, au moyen de substrats artificiels ne permettant quasiment aucun développement de la vie. De nombreux obstacles à la migration sont également présents (visés dans la mesure M1.3). 
• Canal : qualité hydromorphologique globale mauvaise (17,2%). Cette situation découle principalement du fait de l’urbanisation du lit majeur et que ses berges sont linéaires et verticales, dont les substrats artificiels ne permettent quasiment aucun développement de la vie.
La restauration du cycle naturel de l’eau dans le lit majeur passe par la gestion intégrée des eaux pluviales (cf. M 5.4) et la reconnexion d’eaux claires aux eaux de surface (cf. M 1.27) permettant de soutenir le débit de base des cours d’eau. L’amélioration des berges et du lit des eaux de surface fait quant à elle l’objet de la présente mesure. De plus, sur le Canal, l’installation de radeaux  végétalisés ne gênant ni la navigation, ni les activités portuaires et résistants aux variations du niveau d’eau, contribuerait à :
• améliorer la qualité de l’eau, grâce aux capacités phyto-épuratrices de certaines plantes et permettre notamment de lutter contre la prolifération d’algues bleues. 
• augmenter la biodiversité en apportant de nouveaux supports et abris pour la reproduction des espèces piscicoles et de la faune aquatique en général, ainsi que de nouvelles aires de nidification pour l’avifaune ;
• répondre aux objectifs du Plan Nature visant à améliorer le rôle de corridor écologique du Canal en restaurant certains tronçons artificialisés afin de permettre à la biodiversité de mieux y transiter,
• réduire les effets des îlots de chaleur en améliorant le micro-climat,
• améliorer l’aspect paysager du Canal, en variant les ambiances et les esthétiques
Outre l’amélioration de l’état écologique des eaux de surface, cette mesure participe également à un meilleur cadre de vie des bruxellois par exemple par l’aménagement d’un espace vert intégrant une rivière ou un ruisseau dont les berges sont ainsi renaturalisées. 
Cette mesure a fait l’objet de discussions lors des ateliers de participation citoyenne (*) 
</t>
  </si>
  <si>
    <t>Axe 5, Axe 6</t>
  </si>
  <si>
    <t xml:space="preserve">Améliorer la qualité hydromorphologique des eaux de surface dans les tronçons déjà à ciel ouvert afin de fournir les habitats écologiques qui supportent le développement d’un écosystème aquatique (principalement pour les masses d’eau de la Senne et de la Woluwe). Idéalement, la mise en œuvre de cette mesure doit permettre aux 3 masses d’eau de surface d’atteindre le potentiel écologique maximum (qui reste à définir via la mesure M 1.19) ; néanmoins de manière plus réaliste, elle devrait permettre à la qualité biologique d’atteindre le bon potentiel écologique. 
Bien que les autres cours d’eau présents dans la région ne soient pas des masses d’eau au sens de la directive cadre eau et faisant l’objet d’un reporting à l’Union européenne, ceux-ci font également l’objet d’actions visant à atteindre un bon potentiel écologique. 
</t>
  </si>
  <si>
    <t xml:space="preserve">
La qualité hydromorphologique du cours d’eau (cf. M 1.1 et 1.2) joue un rôle important dans la migration des poissons, les obstacles en constituant une composante spécifique. Cette mesure entend rencontrer la problématique spécifique des obstacles transversaux qui empêchent la libre circulation des poissons (en particulier de l’aval vers l’amont, ce qu’on appelle la montaison). 
De manière générale, ces obstacles peuvent être d’origine anthropique comme des barrages, des chutes artificielles, des écluses, des vannes, des seuils, des pompes ou des grillages, mais également d’origine naturelle comme une pente ou une cascade trop importante empêchant les poissons de remonter le cours d’eau à cet endroit.
La réalisation d’aménagements visant à supprimer les obstacles à la migration des poissons (tout en tenant compte des risques de migration d’espèces exotiques envahissantes (cf. M 1.4)) sera une priorité durant la période 2022-2027 (en particulier pour la Senne, et la Woluwe qui en est un affluent). Cette mesure s’inscrit également dans le cadre du Projet LIFE ‘Belini’ dont une action vise la suppression d’un obstacle à la migration des poissons sur la Senne en Région de Bruxelles-Capitale. 
Dans le cadre de la présente mesure, la possibilité de retirer les obstacles présents sur la Woluwe sera également étudiée. Les autres bénéficiaires associés du projet ‘Belini’ (régions wallonne et flamande) ayant plus d'expérience que Bruxelles Environnement dans la suppression de telles barrières à la migration des poissons, plusieurs moments d'échange et de partage d'expériences entre partenaires sont prévus. 
</t>
  </si>
  <si>
    <t xml:space="preserve">L’importance des poissons dans l’équilibre biologique et écologique des cours d’eau est connue et prouvée. C’est pour cette raison que la Directive-Cadre Eau (DCE – 2000/60/CE) impose d’évaluer les obstacles (continuité du cours d’eau) comme un des critères de l’hydromorphologie.
L’évaluation de la qualité hydromorphologique des masses d’eau de surface de la région a eu lieu en 2016 (cf. chapitre 5 de ce Plan de gestion de l’eau) et a permis de dresser un premier inventaire des obstacles présents.
Du point de vue des populations piscicoles, la qualité biologique de la Senne est passée de « morte » (absence de poisson) jusqu’en 2007 à « médiocre » en 2016 et 2019. Les améliorations de sa qualité physico-chimique portent donc leurs fruits (avec l’assainissement progressif des eaux résiduaires urbaines). Néanmoins, de multiples barrières à la migration des poissons y ont été dressées au fil du temps, en amont et en aval de la Région. Sur le territoire régional, un obstacle infranchissable est présent sur la Senne à hauteur de l’entrée du pertuis du centre-ville (chute artificielle).
La Woluwe, quant à elle, voit sa qualité biologique globale stagner depuis 2007 dans un état médiocre, malgré des efforts réalisés au niveau de la gestion des déversements d’orage. C’est en particulier l’état des populations piscicoles qui y pose problème, les autres éléments de qualité biologique se révélant constamment dans un meilleur état. La faiblesse des populations de poissons peut être reliée à la forte fragmentation de la Woluwe puisqu’on y dénombre 9 barrières totalement infranchissables et 1 épisodiquement franchissable rien que sur son tracé principal bruxellois entre l’étang de Boitsfort et la région flamande (17 autres obstacles étant présents en amont ou sur des affluents). Il s’agit essentiellement de chutes à la sortie des étangs, auxquelles il faut ajouter des déversoirs de crue, seuils, chutes artificielles et un moulin. La restauration de la continuité écologique est clairement une priorité pour la Woluwe afin qu’elle atteigne le bon potentiel écologique. 
Dans le Canal, on observe également une stagnation de la qualité biologique globale et de celle des poissons, cette fois à un niveau moyen. Les écluses d’Anderlecht et de Molenbeek constituent les 2 seuls obstacles potentiels (épisodiquement franchissables) sur le tronçon bruxellois de ce cours d’eau navigable. Les espèces actuellement présentes dans le canal ne sont pas migratrices, l’élimination de ces potentiels obstacles ne constitue donc pas une priorité.
En écho aux objectifs environnementaux de la DCE, la Décision M(2009)1 du Comité de ministres de l'Union économique Benelux  impose la réalisation d’une carte des obstacles à supprimer afin de garantir une libre circulation des poissons. En application de cette décision, certains obstacles appelés prioritaires doivent également être supprimés avant 2015, 2021 ou 2027. 
La Senne y est renseignée comme voie migratoire de deuxième priorité. Cela implique que 50% des barrières doivent y être supprimées pour le 31 décembre 2015, 25% pour le 31 décembre 2021, et les derniers 25% pour le 31 décembre 2027. 
Même si la Woluwe n’est pas une voie migratoire prioritaire au sens de la décision Benelux, si on souhaite réellement améliorer sa qualité biologique et atteindre les objectifs DCE, en particulier concernant les poissons, il est tout de même très important de travailler à la suppression systématique des barrières à la migration des poissons. 
L’investissement bruxellois dans la vallée de la Woluwe se justifie particulièrement par les aménagements hydromorphologiques réalisés en Flandre (dont la suppression d’obstacles) en aval de la région où le statut d’ « aandachtsgebied » lui est conféré (perspective d’atteinte du bon potentiel écologique en 2027). A ce titre, et comme recommandé dans les guidances internationales (restauration de la migration à la montaison), la suppression des obstacles bruxellois sur la Woluwe sera priorisée à partir de l’aval. Une 1ère étude portera ainsi sur le tronçon situé entre le Parc des Sources et la frontière flamande (le tronçon amont, situé entre l’étang de Boitsfort et le Parc des Sources, sera étudié ultérieurement). 
La continuité écologique étant une matière qui, par essence, dépasse les frontières, elle fait l’objet d’échanges spécifiques avec les autres entités belges, la France et les Pays-Bas au sein du groupe de projet Masterplan Poissons de la Commission Internationale de l’Escaut (cf. M 8.1) dans l’optique de restaurer la libre circulation des poissons dans le district hydrographique international de l’Escaut. A ce titre, une carte des obstacles du district a été réalisée et sert de base aux discussions entre partenaires par masse d’eau transfrontalière. 
</t>
  </si>
  <si>
    <t xml:space="preserve">Supprimer les obstacles transversaux des eaux de surface afin d’améliorer leur qualité biologique globale (en particulier les populations piscicoles) et leur qualité hydromorphologique, dans l’optique de la restauration de la continuité écologique et de l’atteinte du bon potentiel écologique pour les masses d’eau de surface. 
</t>
  </si>
  <si>
    <t xml:space="preserve">
L’actualisation des normes de rejet des eaux usées dans les égouts ou en eaux de surface – telle que planifiée dans la mesure M 1.13 – doit s’accompagner d’un contrôle effectif du respect de ces normes, à commencer par les entreprises susceptibles de rejeter des polluants pouvant porter atteinte au bon état des eaux réceptrices. 
Ce contrôle ne doit cependant pas attendre la révision des normes pour se poursuivre et ainsi s’assurer que les eaux déversées sont conformes aux normes de rejet, en ce compris les eaux de refroidissement.
Par ailleurs, il est à noter que la plupart des eaux usées non-domestiques sont collectées et traitées en station d’épuration (leur collecte faisant l’objet d’une priorisation, cf. M 1.6). Les contrôles qui doivent être effectués de manière ponctuelle dans le cadre de pollution accidentelle sont évoqués dans la M1.26.
</t>
  </si>
  <si>
    <t xml:space="preserve">
L’article 40 de l’ordonnance du 20 octobre 2006 établissant un cadre pour la politique de l’eau charge le Gouvernement – par l’entremise de Bruxelles Environnement – de contrôler tous les rejets d’eaux usées dans les eaux de surface. 
Une ordonnance modificatrice du 16 mai 2019 est venue clarifier la règle en matière de rejet. Dorénavant, tout rejet d'eaux usées et d'eaux de refroidissement dans les eaux de surface est interdit à moins qu'il n'ait été autorisé par un permis d'environnement délivré conformément à l'ordonnance du 5 juin 1997 relative aux permis d'environnement. Cette modification pourrait donner lieu à des cas de régularisation dans le cas où le rejet est effectué par une exploitation non soumise à permis d’environnement (pas d’installation classée recensée). Le contrôle doit donc également porter – dans certains cas – sur l’exigence même d’une autorisation de rejet et contraindre à l’obtention d’un permis d’environnement pour permettre la poursuite de l’activité sans compromettre la qualité de l’eau réceptrice. 
Si le permis d’environnement fixera les normes appropriées sur base des normes à actualiser dans le cadre de la mesure 1.13, il appartient à Bruxelles Environnement de s’assurer du bon respect de ces normes. Des contrôles ponctuels doivent dès lors être organisés auprès des entreprises susceptibles de porter atteinte au bon état des masses d’eau.
</t>
  </si>
  <si>
    <t xml:space="preserve">
S’assurer du bon respect des normes de rejet d’eaux usées afin que ces déversements autorisés dans le réseau d’égouttage ou en eau de surface (plus rare) ne compromettent l’atteinte des objectifs environnementaux fixés pour les masses d’eau de surface.
</t>
  </si>
  <si>
    <t xml:space="preserve">Cette mesure globale vise à prendre toutes les mesures qui sont du ressort de la Région de Bruxelles-Capitale pour réduire la pression par des substances préoccupantes (notamment pour les eaux de surface) telles que visées par des plans d’action adopté au niveau fédéral ou par des règlements européens, comme les polluants organiques persistants (POP), les substances agissant comme perturbateurs endocriniens ou encore développant une résistance anti-microbienne (AMR).
</t>
  </si>
  <si>
    <t xml:space="preserve">Comme exposé dans les chapitres 2.2.1 et 5.1, les masses d’eau de surface bruxelloises n’atteignent pas le bon état en raison notamment du mauvais état chimique pour l’année de référence, 2016. 
Les substances prioritaires (dangereuses) qui dépassent les normes européennes sont l’acide perfluorooctane-sulfonique et ses dérivés (PFOS) ; benzo(g,h,i)perylène ; fluoranthène, anthracène (HAP) ; le plomb ; tributylétain-cation ; 1,2,5,6,9,10-hexabromocyclododécane (= alpha- + bêta- + gamma-HBCDD) ; benzo(a)pyrène ; Di(2-ethylhexyle)-phthalate ; le nickel ; le cadmium ; le mercure (métaux lourds); heptachlore et époxyde d’heptachlore (pesticides) ; diphényléthers bromés (= PBDE28 + 47 + 99 + 100 + 153 + 154) (perturbateur endocrinien); des dioxines et composés de type dioxine (= SPD37 PCDD + SPD37 PCDF + SPD37 PCB-DL) ; les nonylphénols. De plus, les normes bruxelloises concernant les polluants spécifiques au district hydrographique (‘RBSP’) mettent en évidence des concentrations problématiques en zinc dissous; huiles minérales (fraction C10-C40) ; acénaphtène ; pyrène et PCB. 
La plupart de ces substances sont déjà soumises à des législations européennes ou visées par des plans d’action au niveau fédéral. Les mesures conseillées ou obligatoires contre ces substances présentes dans ces plans et législations doivent être appliquées à l’échelle de la Région de Bruxelles-Capitale dans le but de diminuer leurs concentrations dans l’eau. Cette mesure demande une coordination entre divers partenaires travaillant sur des thématiques différentes. 
Les règlementations et plans identifiés sont :
• Le règlement REACH («Registration, Evaluation and Authorisation of Chemicals») de l'Union européenne adopté pour mieux protéger la santé humaine et l'environnement contre les risques liés aux substances chimiques (Règlement (CE) 1907/2006).  Une substance dangereuse peut être interdite par les autorités si les risques qu'elle présente ne peuvent être maîtrisés. Les autorités peuvent également décider de restreindre une utilisation ou de la soumettre à une autorisation préalable. Dans les substances déclassant l’état chimique, les substances suivantes sont sujettes à enregistrement ‘REACH’ : anthracène ; benzo(a)pyrène ; benzo(g,h,i)perylène ; fluoranthène ; pyrène ; cadmium ; plomb ; Di(2-ethylhexyle)-phthalate ;1,2,5,6,9,10-hexabromocyclododécane (= alpha- + bêta- + gamma-HBCDD); 4-n-nonylphénol
• La Convention de Stockholm  concernant les polluants organiques persistants (POP) est un traité mondial qui a pour objectif de protéger la santé humaine et l’environnement des conséquences néfastes de ces POP. Elle vise à limiter et, à terme, à éliminer leurs production, utilisation, commerce, rejet et stockage intentionnels ou non intentionnels. Les substances déclassant l’état chimique suivantes sont visées par la convention de Stockholm : l’heptachlore et époxyde d’heptachlore ; l’acide perfluorooctane-sulfonique et ses dérivés PCB ; les diphényléthers bromés (= PBDE28 + 47 + 99 + 100 + 153 + 154) ; 1,2,5,6,9,10-l’hexabromocyclododécane (= alpha- + bêta- + gamma-HBCDD) et les dioxines et composés de type dioxine.  Le règlement (UE) 2019/1021 du 20 juin 2019 reprend les engagements de l’Union européenne dans la mise en œuvre de la convention de Stockholm et fixe le cadre d’action en matière de POP. Entretemps, la Belgique avait adopté le NIP 2014-2018 (National Implementation Plan) qui prévoit toute une série de mesures, dont certaines additionnelles proposées par les Régions .
• Le plan d’action national sur les perturbateurs endocriniens (NAPED – adoption prévue en 2022) a pour vocation d’établir un cadre global et cohérent permettant le développement d’actions concrètes et concertées au niveau belge, ayant pour objectif de diminuer l’exposition aux perturbateurs endocriniens et de réduire leurs conséquences au niveau de la santé et de l’environnement. Dans les substances déclassant l’état chimique, les substances sont considérées comme perturbateurs endocriniens et inscrits dans la liste européenne  et visées par le NAPED : le nonylphénols et le di(2-ethylhexyle)-phthalate. 
• La Belgique a adopté fin 2021 un plan d'action « One World, One Health » pour lutter contre la résistance antimicrobienne (AMR - 2020-2024) . Ce plan propose des actions concrètes pour lutter de façon globale et coordonnée contre l’AMR. Il vise à réduire et à améliorer l'utilisation des agents antimicrobiens (et des antibiotiques en particulier), en vue d’éviter le développement et la propagation de germes résistants. 
• Le programme régional de réduction des pesticides (PRRP de la Région de Bruxelles-Capitale - 2023-2027) aura pour objectif de réduire les risques et les effets des pesticides qui sont des produits phytopharmaceutiques. De plus, plusieurs actions concerneront également les biocides, notamment en matière de sensibilisation et d’information des différents publics exposés. Concernant les eaux, le PRRP a pour objectif de surveiller la contamination des eaux (de surface, souterraines et destinées à la consommation), remédier aux pollutions et protéger les eaux de surface.  Ce plan prévoit le lancement de campagnes exploratoires de mesure des résidus de pesticides (PPP et biocides) dans des zones à risque pour le milieu aquatique et selon la faisabilité, la mise en œuvre de mesures locales pour remédier aux contaminations constatées. Le PRRP étudiera les zones tampons régionales nécessaires pour la protection du milieu aquatique. De plus, le plan prévoit de la communication, sensibilisation et formation des utilisateurs. Ce plan devrait aider à la diminution de la substance déclassant l’état chimique du biote qui est un pesticide : l’heptachlore et l’époxyde d’heptachlore. (cf. aussi M 3.6)
Au niveau fédéral, le Programme du Plan d’Action National de Réduction des Pesticides (NAPAN - 2018-2022) vise à réduire l’utilisation et les risques liés aux pesticides (produits phytopharmaceutiques et biocides). Le NAPAN a, entre autre, pour objectif de protéger l’environnement des écosystèmes aquatiques, notamment via la mise en œuvre de zones tampons permanentes le long des cours d'eau, le soutien aux professionnels et la communication envers le public de l’importance de celles-ci. L’heptachlore et l’époxyde d’heptachlore est le pesticide qui déclasse actuellement l’état chimique de la Senne et du Canal, pourtant interdit depuis une vingtaine d’années, il s’agit d’un POP (polluant organique persistant). Le PRRP doit permettre de diminuer les concentrations pour certains pesticides de la liste de vigilance, et sur des problématiques émergentes : diflufenican, imidacloprid, flufenacet, terbuthylazine,…
• Le Plan Energie-Climat 2030 de la RBC (PNEC) couvre les aspects climat et énergie, mais il est demandé de chiffrer les impacts en termes de qualité de l’air également, vu les liens entre ces thématiques, notamment au niveau des secteurs émetteurs. Ce plan a 3 axes principaux :
• L’action pour le climat. Afin d’agir pour un avenir ‘décarboné’, cette dimension englobe la réduction des émissions de gaz à effet de serre et la poursuite du développement des énergies renouvelables.
• L’efficacité énergétique. Il s’agit d’abord d’économiser de l’énergie partout où c’est possible et de recourir tant que faire se peut aux processus de production d’énergie les plus efficaces.
• L’innovation. Par définition, la transition nécessite des mesures stimulant l’innovation qui permettra à la ville de développer une réponse appropriée aux défis climatique et énergétique. 
Les mesures de ce PNEC visant la réduction sur le territoire régional de la combustion de pétrole (essence, diesel, mazout), de charbon et de bois ou encore l’incinération de déchets - contribueront à réduire les émissions de ces polluants néfastes que l’on retrouve dans les milieux aquatiques. Parmi les substances déclassant l’état chimique, les HAPs (Benzo(g,h,i)perylène, le fluoranthène, le benzo(a)pyrène, l'anthracène et le pyrène) et les métaux lourds (cadmium, plomb, nickel, cadmium, zinc) devraient voir leur émission et concentration dans le milieu aquatique diminuer grâce à ces mesures. Une nouvelle version du Plan devrait voir le jour en 2023.
• La Convention de Minamata sur le mercure de 2013 et le règlement (UE) 2017/852 du Parlement européen et du Conseil du 17 mai 2017 relatif au mercure. Ce dernier fixe les mesures et conditions applicables à l'utilisation, au stockage et au commerce du mercure, des  composés  du  mercure  et  des  mélanges  à  base  de  mercure,  et  à  la  fabrication,  à  l'utilisation  et  au  commerce  des produits contenant du mercure ajouté ainsi qu'à la gestion des déchets de mercure afin de garantir  un niveau élevé de protection  de  la  santé  humaine  et  de  l'environnement  contre  les  émissions  et  rejets  anthropiques  de  mercure  et  de composés du mercure.
Cette mesure est également en lien avec la mesure visant l’identification des sources des substances qui déclassent l’état (M1.20) et celle relative à l’amélioration du rendement épuratoire des stations d’épuration en ce qui concerne les substances dites émergentes (campagne de mesures des effluents ; M 1.12).
</t>
  </si>
  <si>
    <t xml:space="preserve">Cette mesure a pour but d’identifier et de soutenir les législations ou mesures prises dans des plans d’action régionaux, fédéraux ou européens qui permettent de réduire les concentrations dans les eaux de surface des polluants qui déclassent l’état parmi lesquels plusieurs POP, pesticides, métaux lourds, HAP ou substances ayant un rôle de perturbateurs endocriniens ou d’agents résistants aux microbes (antibiotiques p. ex.). 
La synergie de ces différents plans permet une approche intégrée (santés humaine, végétale, animale, environnementale) agissant sur différents secteurs (social, économique, mobilité, éducation…) qu’il convient de mettre en œuvre à l’échelle de la Région afin de diminuer les concentrations de ces polluants dans les eaux.
</t>
  </si>
  <si>
    <t xml:space="preserve">
Sur base de la carte des zones égouttées et égouttables et de l’inventaire des points de rejet établi dans la mesure M.1.5, l’objet de cette mesure est de compléter le réseau d’égouttage lorsqu’il subsiste des rejets d’eaux usées (domestiques et non domestiques) se déversant directement (sans épuration collective, avec ou sans épuration individuelle) dans les masses d’eau de surface ou leurs affluents. Cette mesure se concrétise dès lors dans les zones pourvues d’égouts (zones dites « égouttées ») ou pouvant l’être à court ou moyen terme (zones dites « égouttables »). Dans ces zones un régime d’assainissement collectif est d’application. Certaines zones industrielles en bord de Senne sont particulièrement visées par cette mesure (île d’Aa, Boulevards Industriel et Paepsem à Anderlecht) ainsi que les concessions portuaires le long du Canal. Cette mesure s’inscrit également en continuité des travaux entamés dans les vallées du Neerpedebeek et du Verrewinkelbeek visant à raccorder ces vallées à la station d’épuration Sud (vallées désormais pourvues de collecteurs). 
Cette mesure vise également à mettre fin à ce qui est qualifié de « branchements parasites », c’est-à-dire les points de rejet dans les masses d’eau de surface qui ne sont censés déverser que des eaux claires (eaux pluviales), mais qui, par la suite de mauvais branchements, recueillent également des eaux usées.
On constate également que certaines parties du réseau d’égouttage bruxellois ne disposent pas d’un raccordement aux collecteurs (qui acheminent les eaux usées vers l’une des deux stations d’épuration régionales), ceux-ci ne sont quant à eux pas visés par la présente mesure, mais par celle M1.10. 
Les rejets d’eaux usées non raccordables aux stations d'épuration collectives seront, eux, traités dans la mesure M 1.7.
A noter que la rénovation et l’extension du réseau d’égouttage dans la partie sud-est de la Région sont aussi abordées dans la M 2.3 pour rencontrer la problématique des nitrates dans la masse d’eau des Sables du Bruxellien.
</t>
  </si>
  <si>
    <t xml:space="preserve">Caractériser les déversoirs principaux au niveau de leur emplacement, leur géométrie et leur fonctionnement et procéder à des adaptations locales pour réduire leur fréquence de fonctionnement au strict nécessaire dans le cadre de la lutte contre les inondations.
</t>
  </si>
  <si>
    <t>Hydria</t>
  </si>
  <si>
    <t xml:space="preserve">Cette mesure entend mettre en place des aménagements et solutions visant à diminuer les déchets flottants et macroscopiques dans les étangs, les rivières et le Canal et ainsi, éviter leur assimilation dans la chaîne trophique.
Cette mesure participe également à améliorer le cadre de vie des masses d’eaux de surface.
</t>
  </si>
  <si>
    <t xml:space="preserve">Les déchets jetés négligemment dans les rivières et Canal ou au voisinage de ceux-ci et emportés jusqu'à ceux-ci par le vent ou l’eau de ruissellement, constituent un problème pour la qualité des écosystèmes aquatiques. À Bruxelles, ces déchets flottants (parfois désignés OFNI pour « objets flottants non identifiés ») proviennent également des surverses des déversoirs d’orages.
Au cours de leur dégradation le long de l’hydrosystème, ces déchets peuvent servir de supports à d’autres polluants et/ou atteindre une taille (micro- et nanoplastiques, ci-après désignés microplastiques pour simplification) assimilable par la faune aquatique et s’accumuler le long de la chaine trophique. Ils peuvent également atteindre la mer et contribuer à la problématique des microplastiques dans les océans. Une élimination des macro-déchets menant à ces polluants microscopiques est indispensable.
Concernant la Senne, Vivaqua a équipé l’entrée du double pertuis (à hauteur de la Rue des Vétérinaires à Anderlecht) d’une grille permettant d’éviter que des flottants, ou autres objets macroscopiques pouvant être charriés par la rivière, ne soient emportés dans le pertuis où ils pourraient causer des embâcles ou endommager le pertuis. Ce dispositif doit être régulièrement nettoyé pour assurer sa fonction.
Pour le Canal, le Port de Bruxelles lutte de manière globale contre la présence de ces déchets. L’utilisation des deux bateaux nettoyeurs (le Castor et le Botia) est une mesure concrète pour diminuer la présence de déchets flottants sur le Canal. Ces deux bateaux sont affectés quasi quotidiennement à la collecte des déchets et permettent de récolter environ 200 m³ chaque année (notons qu’à l’heure actuelle, le ramassage des déchets par bateaux se concentre plus sur l’Avant-Port que sur la partie sud du Canal). Trois pièges à déchets flottants sont également présents sur le Canal. Deux d’entre eux sont situés sous le pont Jules de Trooz et le troisième est situé en rive gauche du Bassin Béco. Ils permettent de capturer, de manière passive, les déchets dérivants sur le canal et viennent ainsi renforcer le travail des bateaux nettoyeurs.
Le Port mène déjà, au quotidien, une action importante en matière de prévention, de gestion et d’évacuation des déchets produits et/ou récoltés sur le domaine dont il a la gestion, sur terre ou dans/sur l’eau. Afin de renforcer cette action, il souhaiterait pouvoir se doter de nouveaux outils de captage des déchets flottants, plus efficaces et à usage constant (ex : barrière à bulles, barrières flottantes mobiles, Sea Bin, River Skimmer). Plusieurs types de solutions existent ou sont en cours de développement et il convient que le Port, avant de s’engager sur le choix de l’une ou l’autre technologie, puisse objectiver les avantages et inconvénients des solutions, toutes innovantes, présentes sur le marché. Les éventuels impacts environnementaux « secondaires » de ces dispositifs seront également évalués (ex : apport d’oxygène dans l’eau par une barrière à bulles). 
Par ailleurs, le Neerpedebeek se rejette actuellement dans le Canal via un pertuis présent entre le parc des étangs à Anderlecht et le canal. Le nettoyage de la grille située en amont du pertuis est effectué de manière régulière par les Ecocantonniers. Une étude est en cours afin d’évaluer la faisabilité de reconnecter le Neerpedebeek vers la Senne à l’aide d’un siphon existant (cf. M1.27). 
Enfin, les décharges de matériaux dans le Canal sont spécifiquement traitées dans la mesure M 1.18. La sensibilisation des Bruxellois, quant aux impacts de diverses pratiques (notamment domestiques) sur les eaux de surface et l’utilisation d’objets en plastique à usage unique, est quant à elle abordée dans la mesure M 1.25.
</t>
  </si>
  <si>
    <t xml:space="preserve">Réduire les déchets macroscopiques dans les masses d’eau de surface et éviter que ceux-ci n’atteignent la mer.
Lutter contre ce type de pollution macroscopique, participe à l’amélioration la qualité de la masse d’eau et améliore la perception immédiate que les Bruxellois.es et touristes peuvent avoir de la masse d’eau.
</t>
  </si>
  <si>
    <t xml:space="preserve">
Etablir une liste de paramètres problématiques pour les eaux de surface et étudier la faisabilité (y compris la balance coût/bénéfices et impact prix de l’eau) de l’amélioration de leur abattement au niveau des STEPs Bruxelles-Nord et Sud. 
Préparer la mise en œuvre des travaux retenus d’amélioration du rendement épuratoire des STEPs Bruxelles-Nord et Sud. 
</t>
  </si>
  <si>
    <t xml:space="preserve">
Les eaux usées collectées des 19 communes bruxelloises et de 6 communes périphériques flamandes sont traitées au sein des STEPs Bruxelles-Nord et Sud. Ce sont les eaux usées de 1,10 et 0,36 million d’équivalents-habitants qui y sont traitées, respectivement, ce qui représente un débit médian de 3,5 m³/s (STEP-Nord + Sud entre 2007 et 2013) d’eaux épurées qui sont rejetées dans le milieu naturel, à savoir la Senne. Or ce cours d’eau possède un débit très modeste (1,3 m³/s de débit d’étiage et 3 m³/s de débit médian à l’entrée de la RBC entre 2007 et 2013) en regard des effluents des STEPs bruxelloises, ce qui implique que la dilution de leurs eaux (certes épurées conformément à la Directive 91/271/CEE ) est très faible dans le milieu naturel comparativement à de nombreuses grandes villes européennes (Brion et al. 2015 ). De ce fait, le respect des normes de rejet ou d’abattement des STEPs (découlant de la directive 91/271/CEE relative au traitement des eaux urbaines résiduaires) ne garantit pas la protection de la Senne et qu’elle soit sur les rails du bon état imposé par la DCE. En effet, les objectifs environnementaux de la Senne, et en particulier les normes de qualité environnementale touchant à la qualité de base (physico-chimique) et à la qualité chimique, doivent permettre à cette masse d’eau de surface d’atteindre le bon état, alors qu’elle en est actuellement encore loin : qualité physico-chimique mauvaise, qualité chimique mauvaise (à la fois pour les polluants spécifiques du bassin versant et pour les substances prioritaires et prioritaires dangereuses), et qualité biologique mauvaise. Or les eaux épurées des STEPs bruxelloises, malgré les très bons rendements d’abattement obtenus (et conformes à la directive Eaux Résiduaires Urbaines), représentent la principale voie d’entrée de polluants dans la Senne en RBC ; on estime par exemple que leurs filières temps sec et temps pluie contribuent à hauteur de 43 et 32%, respectivement, des émissions de phosphore (WEISS 2016 ). Outre les mesures importantes qui ciblent la réduction des pollutions à la source (notamment M1.13, 1.15, 1.20 et 1.27), l’amélioration du rendement épuratoire des STEPs Nord et Sud pourrait donc permettre à la Senne de se rapprocher de ses objectifs environnementaux, tant du point de vue physico-chimique que chimique, et de faciliter sa recolonisation par la vie aquatique. 
</t>
  </si>
  <si>
    <t xml:space="preserve">
Etudier le rendement épuratoire actuel des STEPs Bruxelles-Nord et Sud pour une sélection de paramètres identifiés comme problématiques pour les eaux de surface.
Analyser la nécessité et la faisabilité d’adapter les installations d’épuration, tout en prenant en compte la balance coût efficacité et dans le but d’atteindre les obligations européennes.  Réduire ainsi à terme la pression des eaux usées épurées que la Senne subit, la rapprocher de ses objectifs environnementaux de qualité physico-chimique et chimique, et de ce fait favoriser la vie aquatique qu’elle héberge dans l’optique de participer à l’atteinte du bon potentiel écologique. 
La définition des besoins est attendue pour 2023. Les étapes suivantes seront ensuite suivies pour la STEP NORD, vu sa contribution importante au débit de la Senne en aval de Bruxelles:
o Etude d’avant-projet et rédaction du cahier des charges des travaux 
o Procédure d’obtention des permis d’environnement et d’urbanisme associés au projet;
o Attribution du marché de travaux;
o Réalisation des travaux sur l’usine en fonctionnement de 2027 à 2030.
</t>
  </si>
  <si>
    <t xml:space="preserve">Sur base de l’article 40 de l’ordonnance du 20 octobre 2006 établissant un cadre pour la politique de l’eau, cette mesure entend revoir les normes de rejet pour les déversements d’eaux usées, domestiques ou non, dans le réseau d’égouttage et dans les eaux de surface. 
Cette mesure passe par l’adoption d’un arrêté du Gouvernement de la Région de Bruxelles-Capitale pour être mise en œuvre.
</t>
  </si>
  <si>
    <t xml:space="preserve">Les normes de rejet applicables en Région de Bruxelles-Capitale sont toujours celles de l’arrêté royal du 3 août 1976.  Or, le contexte bruxellois et les technologies utilisées ont fortement évolué depuis lors.  Les normes sectorielles sont devenues pour la plupart obsolètes et difficilement applicables en RBC. Une réévaluation des normes générales ainsi qu’une révision des normes sectorielles ou spécifiques par le biais des permis d’environnement apparait donc indispensable pour mieux coller à la réalité de terrain et tenir compte des évolutions technologiques.  
L’objectif est donc de réévaluer et d’actualiser ces normes afin de protéger davantage le milieu aquatique récepteur en tenant notamment compte du caractère prioritaire ou prioritaire dangereux de chaque substance et des paramètres qui causent actuellement le mauvais état des masses d’eau de surface (tels qu’ils sont mentionnés dans le chapitre 2.2.1 de ce Plan).
A côté des autres mesures proposées dans cet axe 1 (notamment M 1.6 à 1.12) et d’un renforcement des contrôles, l’atteinte de cet objectif passe également par l’application de normes de rejet révisées et calquées sur l’atteinte des objectifs environnementaux (normes de qualité environnementale) des masses d’eau de surface. Il sera tenu compte des meilleures techniques disponibles et de la réalité des entreprises.
Une attention particulière sera portée aux substances prioritaires et prioritaires dangereuses, ainsi qu’aux paramètres qui causent le déclassement des masses d’eau, c’est-à-dire ceux qui constituent un obstacle à l’atteinte du bon état sur base de la dernière évaluation de la qualité (années 2016-2017) (cf. tableau 5.XX de ce Plan). 
</t>
  </si>
  <si>
    <t xml:space="preserve">Réduire la pression sur la qualité des eaux de surface causée par certains polluants chimiques et paramètres physico-chimiques. </t>
  </si>
  <si>
    <t>1-Construction or upgrades of wastewater treatment plants.</t>
  </si>
  <si>
    <t>2-Reduce nutrient pollution from agriculture.</t>
  </si>
  <si>
    <t>3-Reduce pesticides pollution from agriculture.</t>
  </si>
  <si>
    <t>4-Remediation of contaminated sites (historical pollution including sediments, groundwater, soil).</t>
  </si>
  <si>
    <t>5-Improving longitudinal continuity (e.g. establishing fish passes, demolishing old dams).</t>
  </si>
  <si>
    <t>6-Improving hydromorphological conditions of water bodies other than longitudinal continuity.</t>
  </si>
  <si>
    <t>7-Improvements in flow regime and/or establishment of ecological flows.</t>
  </si>
  <si>
    <t>8-Water efficiency, technical measures for irrigation, industry, energy and households.</t>
  </si>
  <si>
    <t>9-Water pricing policy measures for the implementation of the recovery of cost of water services from households.</t>
  </si>
  <si>
    <t>10-Water pricing policy measures for the implementation of the recovery of cost of water services from industry.</t>
  </si>
  <si>
    <t>11-Water pricing policy measures for the implementation of the recovery of cost of water services from agriculture.</t>
  </si>
  <si>
    <t>12-Advisory services for agriculture.</t>
  </si>
  <si>
    <t>13-Drinking water protection measures (e.g. establishment of safeguard zones, buffer zones etc).</t>
  </si>
  <si>
    <t>14-Research, improvement of knowledge base reducing uncertainty.</t>
  </si>
  <si>
    <t>15-Measures for the phasing-out of emissions, discharges and losses of Priority Hazardous Substances or for the reduction of emissions, discharges and losses of Priority Substances.</t>
  </si>
  <si>
    <t>16-Upgrades or improvements of industrial wastewater treatment plants (including farms).</t>
  </si>
  <si>
    <t>17-Measures to reduce sediment from soil erosion and surface run-off.</t>
  </si>
  <si>
    <t>18-Measures to prevent or control the adverse impacts of invasive alien species and introduced diseases.</t>
  </si>
  <si>
    <t>19-Measures to prevent or control the adverse impacts of recreation including angling.</t>
  </si>
  <si>
    <t>20-Measures to prevent or control the adverse impacts of fishing and other exploitation/removal of animal and plants.</t>
  </si>
  <si>
    <t>21-Measures to prevent or control the input of pollution from urban areas, transport and built infrastructure.</t>
  </si>
  <si>
    <t>22-Measures to prevent or control the input of pollution from forestry.</t>
  </si>
  <si>
    <t>23-Natural water retention measures.</t>
  </si>
  <si>
    <t>24-Adaptation to climate change.</t>
  </si>
  <si>
    <t>25-Measures to counteract acidification.</t>
  </si>
  <si>
    <t>Somme de 2022</t>
  </si>
  <si>
    <t>Valeurs</t>
  </si>
  <si>
    <t>Somme de 2023</t>
  </si>
  <si>
    <t>Somme de 2024</t>
  </si>
  <si>
    <t>Somme de 2025</t>
  </si>
  <si>
    <t>Somme de 2026</t>
  </si>
  <si>
    <t>Somme de 2027</t>
  </si>
  <si>
    <t>STOOP</t>
  </si>
  <si>
    <t>Valérie</t>
  </si>
  <si>
    <t>THIENPONT</t>
  </si>
  <si>
    <t>Vanessa</t>
  </si>
  <si>
    <t>Lutter contre les espèces exotiques envahissantes qui portent atteinte ou présentent un risque pour le bon potentiel écologique des masses d'eau de surface</t>
  </si>
  <si>
    <t>Gérer les rejets d'eaux usées non raccordables aux stations d'épuration collectives</t>
  </si>
  <si>
    <t>Réaliser les chainons manquants entre le réseau public d'égouttage et les collecteurs (égouts "orphelins")</t>
  </si>
  <si>
    <t>Assurer la gestion des déchets macroscopiques dans les masses d'eau, en particulier après les épisodes de déversement</t>
  </si>
  <si>
    <t>Améliorer le rendement épuratoire des stations d'épuration collectives</t>
  </si>
  <si>
    <t xml:space="preserve">Actualiser les normes de rejets des eaux usées </t>
  </si>
  <si>
    <t xml:space="preserve">Mettre en œuvre à l’échelle régionale les règlements et plans d’actions visant des substances polluantes, émergentes ou non </t>
  </si>
  <si>
    <t xml:space="preserve">Lutter contre les décharges de matériaux autour et dans le Canal et assurer le dragage et l'élimination des sédiments pollués </t>
  </si>
  <si>
    <t>Assurer la surveillance de la qualité de la colonne d’eau, des sédiments, du biote, de la biologie et de l’hydromorphologie</t>
  </si>
  <si>
    <t>Sensibiliser les Bruxellois.e.s à l'impact des certaines pratiques sur les eaux de surface</t>
  </si>
  <si>
    <t>Assurer la gestion des pollutions intra régionales et transfrontalières</t>
  </si>
  <si>
    <t>Contraindre le raccordement au réseau d’égouttage existant ou à l'installation d'un système d'épuration  individuelle performant dans les zones non égouttées et renforcer le contrôle de ces obligations</t>
  </si>
  <si>
    <t>Interdire les rejets directs de tetrachloroéthylène, prévenir et limiter ses rejets indirects et renforcer son contrôle dans la masse d’eau des sables du Bruxellien</t>
  </si>
  <si>
    <t>Limiter l’impact des sols pollués sur les eaux souterraines</t>
  </si>
  <si>
    <t>Identifier les sources de financement pour réaliser et entretenir les dispositifs de gestion intégrée des eaux pluviales</t>
  </si>
  <si>
    <t>Adapter la gestion des captages d'eau souterraine et des prélèvements d'eau de surface en cas de sécheresse</t>
  </si>
  <si>
    <t>Assurer la mise en œuvre, la promotion et l'adéquation des outils et mécanismes de soutien et de sensibilisation liés à la gestion et à l’éducation à l’eau</t>
  </si>
  <si>
    <t>ENGELBEEN</t>
  </si>
  <si>
    <t>Mathias</t>
  </si>
  <si>
    <t>GT Carto PF Coordination</t>
  </si>
  <si>
    <t>Bruxelles Prévention &amp; Sécurité</t>
  </si>
  <si>
    <t>VERMEERSCH</t>
  </si>
  <si>
    <t>Xavier</t>
  </si>
  <si>
    <t>DOMANGE</t>
  </si>
  <si>
    <t>BEAUREPAIRE</t>
  </si>
  <si>
    <t>Florence</t>
  </si>
  <si>
    <t>Assurer la surveillance des milieux aquatiques sensibles à l'utilisation des pesticides, en lien avec la bonne application du programme régional de réduction des pesticides</t>
  </si>
  <si>
    <t>VERBIST</t>
  </si>
  <si>
    <t>Anneleen</t>
  </si>
  <si>
    <t>DELEUZE</t>
  </si>
  <si>
    <t>Nathalie</t>
  </si>
  <si>
    <t>MERTENS</t>
  </si>
  <si>
    <t>VAN BELLE</t>
  </si>
  <si>
    <t>Mirjam</t>
  </si>
  <si>
    <t>mirjam.vanbelle@bpv.brussels</t>
  </si>
  <si>
    <t>TRAN</t>
  </si>
  <si>
    <t>Tuan Khaï</t>
  </si>
  <si>
    <t>Bruxelles Environnement (INSP)</t>
  </si>
  <si>
    <t>DENECKER</t>
  </si>
  <si>
    <t>Corrinne</t>
  </si>
  <si>
    <t>Bruxelles Environnement (DEV)</t>
  </si>
  <si>
    <t>cdenecker@environnement.brussels</t>
  </si>
  <si>
    <t>Van Roosbroeck</t>
  </si>
  <si>
    <t xml:space="preserve">Nadia </t>
  </si>
  <si>
    <t>SOMME</t>
  </si>
  <si>
    <t>Laurent</t>
  </si>
  <si>
    <t>lsomme@environnement.brussels</t>
  </si>
  <si>
    <t>aussi KTM 16 ?</t>
  </si>
  <si>
    <t>aussi KTM 7 et 17 ?</t>
  </si>
  <si>
    <t>pas de KTM associée</t>
  </si>
  <si>
    <t>aussi KTM 12 et 14…</t>
  </si>
  <si>
    <t>et KTM 10</t>
  </si>
  <si>
    <t>et KTM 24</t>
  </si>
  <si>
    <t>basicType 13 aussi</t>
  </si>
  <si>
    <t>Other BasicMeasure car mesure prise sur base de la dir. Inondations</t>
  </si>
  <si>
    <t xml:space="preserve">Consolidation des données reprises dans l'onglet "budget" (informations des tableaux budget des fiches projet) et de l'onglet "actions" (informations des tableaux "Mise en œuvre" des fiches projet) </t>
  </si>
  <si>
    <t>Travaux de reconnexion du Molenbeek à la Senne : 
Ces travaux ne pourront être envisagés qu'après les résultats de l'étude de faisabilité (1.26.2)</t>
  </si>
  <si>
    <t>Travaux de reconnexion du Neerpedebeek à la Senne :
Ces travaux ne pourront être envisagés qu'après les résultats de l'étude de faisabilité (1.26.3)</t>
  </si>
  <si>
    <t>Travaux de reconnexion de l'Ukkelbeek à la Senne :
Ces travaux ne pourront être envisagés qu'après les résultats de l'étude de faisabilité (1.26.6)</t>
  </si>
  <si>
    <t xml:space="preserve">Mise en œuvre des mesures définies (voir 1.25.11)
</t>
  </si>
  <si>
    <t>Calculer la part de la tarification de l'eau liée à l’assainissement des eaux résiduaires urbaines sur base des volumes d'eau effectivement rejetés</t>
  </si>
  <si>
    <t>6.6.1</t>
  </si>
  <si>
    <t>6.6.2</t>
  </si>
  <si>
    <t>6.6.3</t>
  </si>
  <si>
    <t>6.6.4</t>
  </si>
  <si>
    <t>6.6.5</t>
  </si>
  <si>
    <t>6.6.6</t>
  </si>
  <si>
    <t>6.6.7</t>
  </si>
  <si>
    <t>6.6.8</t>
  </si>
  <si>
    <t>6.6.9</t>
  </si>
  <si>
    <t>6.6.10</t>
  </si>
  <si>
    <t>6.6.11</t>
  </si>
  <si>
    <t>6.6.12</t>
  </si>
  <si>
    <t>Réaliser une étude pour créer une promenade lors de l’aménagement de berges de la Senne et lit naturels et d’un bras mort à hauteur de la Rue du Charroi (île Sainte Hélène, en aval du Boulevard Paepsem) (partie balade - voir également fiche M1.2)</t>
  </si>
  <si>
    <t>Réaliser une étude de faisabilité pour l’aménagement d’une promenade le long de la Senne entre la Rue du Charroi et la Rue des Vétérinaires</t>
  </si>
  <si>
    <t>Mettre en valeur la Senne sur le site de Schaerbeek Formation par la création de promenade – phase travaux (partie promenade - voir également fiche M 1.1 pour la mise à ciel ouvert du cours d’eau)</t>
  </si>
  <si>
    <t>Mettre en valeur le réseau hydrographique et son histoire au travers de promenades thématiques</t>
  </si>
  <si>
    <t>Aménager des berges naturelles et d’une promenade entre la Rue du Charroi et la Rue des Vétérinaires – Etude (partie promenade - voir également fiche M1.2 pour la renaturation)</t>
  </si>
  <si>
    <t>Aménager des berges naturelles entre la Dérivation d’Aa et la Rue Bollinckx – Etude (voir également fiche M1.2 pour la renaturation)</t>
  </si>
  <si>
    <t>Aménager des berges naturelles entre la Dérivation d’Aa et la Rue Bollinckx – Travaux (voir également fiche M1.2 pour la renaturation)</t>
  </si>
  <si>
    <t>Réaliser une étude interne de faisabilité pour l’ouverture de la promenade existante du domaine de Val Duchesse  pour permettre la promenade le long de la Woluwe</t>
  </si>
  <si>
    <t>Mettre en valeur la Senne sur le site de Schaerbeek Formation par la création de promenade – phase étude (partie promenade  - voir également fiche M 1.1 pour la mise à ciel ouvert du cours d’eau)</t>
  </si>
  <si>
    <t>Projet « Max-sur-Senne » : réaménagement du parc Maximilien avec mise à ciel ouvert de la Senne sur une longueur de 580 m minimum – Travaux (partie promenade - voir également fiche M 1.1 pour la mise à ciel ouvert du cours d’eau)</t>
  </si>
  <si>
    <t>Projet « Max-sur-Senne » : réaménagement du parc Maximilien avec mise à ciel ouvert de la Senne sur une longueur de 580 m minimum – Etude (partie promenade - voir également fiche M 1.1 pour la mise à ciel ouvert du cours d’eau)</t>
  </si>
  <si>
    <t>Poursuivre l’aménagement de berges de la Senne et lit naturels et d’un bras mort à hauteur de la Rue du Charroi (île Sainte Hélène, en aval du Boulevard Paepsem)
(partie  promenade - voir également fiche M1.2 pour la renaturation)</t>
  </si>
  <si>
    <t>##</t>
  </si>
  <si>
    <t>###</t>
  </si>
  <si>
    <t xml:space="preserve">WOL </t>
  </si>
  <si>
    <t>(*) Acénaphtène / Pyrène / Anthracène / Benzo(a)pyrène / Fluoranthène)</t>
  </si>
  <si>
    <t>(*)  (Acénaphtène / Pyrène / Anthracène / Benzo(a)pyrène / Fluoranthène)</t>
  </si>
  <si>
    <t>Assurer le traitement des eaux résiduaires urbaines conformément à la directive 91/271/CEE et reprise de l’ensemble des ouvrages d’épuration par le secteur public</t>
  </si>
  <si>
    <t>Recherche Pivot</t>
  </si>
  <si>
    <t>Etablir et mettre en place un Plan particulier d’urgence et d'intervention propre aux  thématiques « inondation » et « sécheresse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</si>
</sst>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quot;€&quot;;[Red]\-#,##0\ &quot;€&quot;"/>
    <numFmt numFmtId="165" formatCode="#,##0.00\ &quot;€&quot;;[Red]\-#,##0.00\ &quot;€&quot;"/>
    <numFmt numFmtId="166" formatCode="_-* #,##0.00\ &quot;€&quot;_-;\-* #,##0.00\ &quot;€&quot;_-;_-* &quot;-&quot;??\ &quot;€&quot;_-;_-@_-"/>
    <numFmt numFmtId="167" formatCode="_-* #,##0\ _€_-;\-* #,##0\ _€_-;_-* &quot;-&quot;\ _€_-;_-@_-"/>
    <numFmt numFmtId="168" formatCode="_-* #,##0.00\ _€_-;\-* #,##0.00\ _€_-;_-* &quot;-&quot;??\ _€_-;_-@_-"/>
    <numFmt numFmtId="169" formatCode="General;;"/>
    <numFmt numFmtId="170" formatCode="_-* #,##0\ _€_-;\-* #,##0\ _€_-;_-* &quot;-&quot;??\ _€_-;_-@_-"/>
    <numFmt numFmtId="171" formatCode="0;;"/>
    <numFmt numFmtId="172" formatCode="_-* #,##0.000\ _€_-;\-* #,##0.000\ _€_-;_-* &quot;-&quot;??\ _€_-;_-@_-"/>
    <numFmt numFmtId="173" formatCode="_-* #,##0.000\ _€_-;\-* #,##0.000\ _€_-;_-* &quot;-&quot;???\ _€_-;_-@_-"/>
    <numFmt numFmtId="174" formatCode="#,##0;;"/>
    <numFmt numFmtId="175" formatCode="General\ ;;"/>
    <numFmt numFmtId="176" formatCode=";;"/>
  </numFmts>
  <fonts count="87" x14ac:knownFonts="1">
    <font>
      <sz val="11"/>
      <color theme="1"/>
      <name val="Calibri"/>
      <family val="2"/>
      <scheme val="minor"/>
    </font>
    <font>
      <sz val="11"/>
      <color theme="1"/>
      <name val="Arial"/>
      <family val="2"/>
    </font>
    <font>
      <sz val="10"/>
      <color theme="1"/>
      <name val="Arial"/>
      <family val="2"/>
    </font>
    <font>
      <sz val="11"/>
      <color theme="0"/>
      <name val="Arial"/>
      <family val="2"/>
    </font>
    <font>
      <u/>
      <sz val="11"/>
      <color theme="10"/>
      <name val="Calibri"/>
      <family val="2"/>
      <scheme val="minor"/>
    </font>
    <font>
      <sz val="11"/>
      <color theme="1"/>
      <name val="Calibri"/>
      <family val="2"/>
      <scheme val="minor"/>
    </font>
    <font>
      <sz val="11"/>
      <color theme="0"/>
      <name val="Calibri"/>
      <family val="2"/>
      <scheme val="minor"/>
    </font>
    <font>
      <sz val="10"/>
      <color theme="0"/>
      <name val="Arial"/>
      <family val="2"/>
    </font>
    <font>
      <sz val="10"/>
      <color theme="3" tint="-0.499984740745262"/>
      <name val="Arial"/>
      <family val="2"/>
    </font>
    <font>
      <sz val="10"/>
      <color theme="2" tint="-0.499984740745262"/>
      <name val="Arial"/>
      <family val="2"/>
    </font>
    <font>
      <strike/>
      <sz val="10"/>
      <color theme="3" tint="-0.499984740745262"/>
      <name val="Arial"/>
      <family val="2"/>
    </font>
    <font>
      <b/>
      <sz val="10"/>
      <color theme="0"/>
      <name val="Arial"/>
      <family val="2"/>
    </font>
    <font>
      <b/>
      <sz val="12"/>
      <color theme="0"/>
      <name val="Arial"/>
      <family val="2"/>
    </font>
    <font>
      <b/>
      <sz val="11"/>
      <color theme="1"/>
      <name val="Calibri"/>
      <family val="2"/>
      <scheme val="minor"/>
    </font>
    <font>
      <sz val="11"/>
      <color theme="2" tint="-0.749992370372631"/>
      <name val="Arial"/>
      <family val="2"/>
    </font>
    <font>
      <u/>
      <sz val="11"/>
      <color theme="6"/>
      <name val="Calibri"/>
      <family val="2"/>
      <scheme val="minor"/>
    </font>
    <font>
      <sz val="11"/>
      <color theme="6"/>
      <name val="Calibri"/>
      <family val="2"/>
      <scheme val="minor"/>
    </font>
    <font>
      <u/>
      <sz val="11"/>
      <color theme="1"/>
      <name val="Calibri"/>
      <family val="2"/>
      <scheme val="minor"/>
    </font>
    <font>
      <i/>
      <u/>
      <sz val="11"/>
      <color theme="1"/>
      <name val="Calibri"/>
      <family val="2"/>
      <scheme val="minor"/>
    </font>
    <font>
      <sz val="11"/>
      <color rgb="FF1F497D"/>
      <name val="Calibri"/>
      <family val="2"/>
      <scheme val="minor"/>
    </font>
    <font>
      <b/>
      <sz val="11"/>
      <color theme="0"/>
      <name val="Arial"/>
      <family val="2"/>
    </font>
    <font>
      <b/>
      <sz val="10"/>
      <color theme="3" tint="-0.499984740745262"/>
      <name val="Arial"/>
      <family val="2"/>
    </font>
    <font>
      <b/>
      <sz val="11"/>
      <color rgb="FFFF0000"/>
      <name val="Arial"/>
      <family val="2"/>
    </font>
    <font>
      <sz val="11"/>
      <color rgb="FFFF0000"/>
      <name val="Arial"/>
      <family val="2"/>
    </font>
    <font>
      <b/>
      <sz val="16"/>
      <color theme="0"/>
      <name val="Arial"/>
      <family val="2"/>
    </font>
    <font>
      <sz val="10"/>
      <color theme="5"/>
      <name val="Arial"/>
      <family val="2"/>
    </font>
    <font>
      <b/>
      <sz val="11"/>
      <color theme="0"/>
      <name val="Calibri"/>
      <family val="2"/>
      <scheme val="minor"/>
    </font>
    <font>
      <sz val="10"/>
      <color theme="2" tint="-0.749992370372631"/>
      <name val="Arial"/>
      <family val="2"/>
    </font>
    <font>
      <sz val="10"/>
      <color theme="9" tint="-0.499984740745262"/>
      <name val="Arial"/>
      <family val="2"/>
    </font>
    <font>
      <sz val="11"/>
      <color theme="5" tint="0.39997558519241921"/>
      <name val="Arial"/>
      <family val="2"/>
    </font>
    <font>
      <b/>
      <sz val="11"/>
      <color theme="5" tint="0.39997558519241921"/>
      <name val="Arial"/>
      <family val="2"/>
    </font>
    <font>
      <sz val="11"/>
      <color theme="8" tint="0.39997558519241921"/>
      <name val="Arial"/>
      <family val="2"/>
    </font>
    <font>
      <b/>
      <sz val="11"/>
      <color theme="8" tint="0.39997558519241921"/>
      <name val="Arial"/>
      <family val="2"/>
    </font>
    <font>
      <b/>
      <sz val="18"/>
      <color theme="0"/>
      <name val="Arial"/>
      <family val="2"/>
    </font>
    <font>
      <sz val="11"/>
      <color theme="8"/>
      <name val="Calibri"/>
      <family val="2"/>
      <scheme val="minor"/>
    </font>
    <font>
      <sz val="11"/>
      <color theme="8" tint="0.59999389629810485"/>
      <name val="Calibri"/>
      <family val="2"/>
      <scheme val="minor"/>
    </font>
    <font>
      <i/>
      <sz val="11"/>
      <color theme="1"/>
      <name val="Arial"/>
      <family val="2"/>
    </font>
    <font>
      <sz val="11"/>
      <color theme="5"/>
      <name val="Calibri"/>
      <family val="2"/>
      <scheme val="minor"/>
    </font>
    <font>
      <sz val="11"/>
      <color theme="6" tint="0.79998168889431442"/>
      <name val="Calibri"/>
      <family val="2"/>
      <scheme val="minor"/>
    </font>
    <font>
      <b/>
      <sz val="11"/>
      <color theme="6" tint="0.79998168889431442"/>
      <name val="Arial"/>
      <family val="2"/>
    </font>
    <font>
      <sz val="11"/>
      <color theme="6" tint="0.79998168889431442"/>
      <name val="Arial"/>
      <family val="2"/>
    </font>
    <font>
      <sz val="11"/>
      <color theme="5" tint="0.79998168889431442"/>
      <name val="Calibri"/>
      <family val="2"/>
      <scheme val="minor"/>
    </font>
    <font>
      <b/>
      <sz val="10"/>
      <color theme="5"/>
      <name val="Arial"/>
      <family val="2"/>
    </font>
    <font>
      <b/>
      <sz val="10"/>
      <color theme="6"/>
      <name val="Arial"/>
      <family val="2"/>
    </font>
    <font>
      <sz val="10"/>
      <color theme="6"/>
      <name val="Arial"/>
      <family val="2"/>
    </font>
    <font>
      <b/>
      <sz val="11"/>
      <color theme="6"/>
      <name val="Arial"/>
      <family val="2"/>
    </font>
    <font>
      <sz val="11"/>
      <color theme="6"/>
      <name val="Arial"/>
      <family val="2"/>
    </font>
    <font>
      <sz val="10"/>
      <name val="Arial"/>
      <family val="2"/>
    </font>
    <font>
      <sz val="11"/>
      <name val="Calibri"/>
      <family val="2"/>
      <scheme val="minor"/>
    </font>
    <font>
      <sz val="10"/>
      <color theme="6" tint="-0.499984740745262"/>
      <name val="Arial"/>
      <family val="2"/>
    </font>
    <font>
      <sz val="14"/>
      <color theme="0"/>
      <name val="Arial"/>
      <family val="2"/>
    </font>
    <font>
      <sz val="11"/>
      <color theme="6" tint="-0.499984740745262"/>
      <name val="Arial"/>
      <family val="2"/>
    </font>
    <font>
      <b/>
      <sz val="11"/>
      <color theme="6" tint="-0.499984740745262"/>
      <name val="Arial"/>
      <family val="2"/>
    </font>
    <font>
      <sz val="10"/>
      <color theme="1"/>
      <name val="Calibri"/>
      <family val="2"/>
      <scheme val="minor"/>
    </font>
    <font>
      <sz val="11"/>
      <color theme="0" tint="-0.499984740745262"/>
      <name val="Arial"/>
      <family val="2"/>
    </font>
    <font>
      <vertAlign val="superscript"/>
      <sz val="9"/>
      <color theme="2" tint="-0.749992370372631"/>
      <name val="Arial"/>
      <family val="2"/>
    </font>
    <font>
      <sz val="9"/>
      <color theme="2" tint="-0.749992370372631"/>
      <name val="Arial"/>
      <family val="2"/>
    </font>
    <font>
      <b/>
      <sz val="10"/>
      <color theme="2" tint="-0.499984740745262"/>
      <name val="Arial"/>
      <family val="2"/>
    </font>
    <font>
      <b/>
      <sz val="10"/>
      <color rgb="FF007268"/>
      <name val="Arial"/>
      <family val="2"/>
    </font>
    <font>
      <sz val="10"/>
      <color rgb="FF007268"/>
      <name val="Arial"/>
      <family val="2"/>
    </font>
    <font>
      <sz val="10"/>
      <color rgb="FF007268"/>
      <name val="Calibri"/>
      <family val="2"/>
      <scheme val="minor"/>
    </font>
    <font>
      <b/>
      <sz val="10"/>
      <color rgb="FF75B626"/>
      <name val="Arial"/>
      <family val="2"/>
    </font>
    <font>
      <sz val="10"/>
      <color rgb="FF75B626"/>
      <name val="Arial"/>
      <family val="2"/>
    </font>
    <font>
      <i/>
      <sz val="10"/>
      <color rgb="FF75B626"/>
      <name val="Arial"/>
      <family val="2"/>
    </font>
    <font>
      <b/>
      <sz val="10"/>
      <color theme="2" tint="-0.749992370372631"/>
      <name val="Arial"/>
      <family val="2"/>
    </font>
    <font>
      <i/>
      <sz val="10"/>
      <color theme="2" tint="-0.749992370372631"/>
      <name val="Arial"/>
      <family val="2"/>
    </font>
    <font>
      <vertAlign val="superscript"/>
      <sz val="10"/>
      <color theme="2" tint="-0.749992370372631"/>
      <name val="Arial"/>
      <family val="2"/>
    </font>
    <font>
      <b/>
      <sz val="14"/>
      <color theme="0"/>
      <name val="Arial"/>
      <family val="2"/>
    </font>
    <font>
      <u/>
      <sz val="10"/>
      <color theme="10"/>
      <name val="Arial"/>
      <family val="2"/>
    </font>
    <font>
      <sz val="18"/>
      <color theme="1"/>
      <name val="Arial"/>
      <family val="2"/>
    </font>
    <font>
      <b/>
      <sz val="10"/>
      <color theme="1"/>
      <name val="Arial"/>
      <family val="2"/>
    </font>
    <font>
      <b/>
      <sz val="11"/>
      <color theme="1"/>
      <name val="Arial"/>
      <family val="2"/>
    </font>
    <font>
      <b/>
      <sz val="9"/>
      <color theme="0"/>
      <name val="Arial"/>
      <family val="2"/>
    </font>
    <font>
      <sz val="10"/>
      <color rgb="FFFF0000"/>
      <name val="Arial"/>
      <family val="2"/>
    </font>
    <font>
      <strike/>
      <sz val="10"/>
      <color theme="2" tint="-0.749992370372631"/>
      <name val="Arial"/>
      <family val="2"/>
    </font>
    <font>
      <sz val="10"/>
      <color theme="2" tint="-0.749992370372631"/>
      <name val="Calibri Light"/>
      <family val="2"/>
      <scheme val="major"/>
    </font>
    <font>
      <b/>
      <sz val="10"/>
      <color rgb="FFFF0000"/>
      <name val="Arial"/>
      <family val="2"/>
    </font>
    <font>
      <b/>
      <sz val="12"/>
      <color theme="3" tint="-0.499984740745262"/>
      <name val="Arial"/>
      <family val="2"/>
    </font>
    <font>
      <b/>
      <sz val="11"/>
      <color theme="3" tint="-0.499984740745262"/>
      <name val="Arial"/>
      <family val="2"/>
    </font>
    <font>
      <sz val="12"/>
      <color theme="1"/>
      <name val="Calibri Light"/>
      <family val="2"/>
      <scheme val="major"/>
    </font>
    <font>
      <sz val="10"/>
      <color theme="3" tint="-0.499984740745262"/>
      <name val="Arial"/>
      <family val="2"/>
    </font>
    <font>
      <sz val="11"/>
      <color theme="1"/>
      <name val="Arial Narrow"/>
      <family val="2"/>
    </font>
    <font>
      <sz val="10"/>
      <color theme="3" tint="-0.499984740745262"/>
      <name val="Arial"/>
    </font>
    <font>
      <sz val="8"/>
      <name val="Calibri"/>
      <family val="2"/>
      <scheme val="minor"/>
    </font>
    <font>
      <i/>
      <sz val="11"/>
      <color theme="1"/>
      <name val="Calibri"/>
      <family val="2"/>
      <scheme val="minor"/>
    </font>
    <font>
      <sz val="22"/>
      <color theme="0"/>
      <name val="Arial"/>
      <family val="2"/>
    </font>
    <font>
      <sz val="9"/>
      <color theme="1"/>
      <name val="Calibri"/>
      <family val="2"/>
      <scheme val="minor"/>
    </font>
  </fonts>
  <fills count="31">
    <fill>
      <patternFill patternType="none"/>
    </fill>
    <fill>
      <patternFill patternType="gray125"/>
    </fill>
    <fill>
      <patternFill patternType="solid">
        <fgColor theme="7"/>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2"/>
        <bgColor indexed="64"/>
      </patternFill>
    </fill>
    <fill>
      <patternFill patternType="solid">
        <fgColor theme="9"/>
        <bgColor indexed="64"/>
      </patternFill>
    </fill>
    <fill>
      <patternFill patternType="solid">
        <fgColor theme="3"/>
        <bgColor indexed="64"/>
      </patternFill>
    </fill>
    <fill>
      <patternFill patternType="solid">
        <fgColor rgb="FF00B050"/>
        <bgColor indexed="64"/>
      </patternFill>
    </fill>
    <fill>
      <patternFill patternType="solid">
        <fgColor rgb="FFFF0000"/>
        <bgColor indexed="64"/>
      </patternFill>
    </fill>
    <fill>
      <patternFill patternType="solid">
        <fgColor theme="9" tint="-0.499984740745262"/>
        <bgColor indexed="64"/>
      </patternFill>
    </fill>
    <fill>
      <patternFill patternType="solid">
        <fgColor theme="0" tint="-4.9989318521683403E-2"/>
        <bgColor indexed="64"/>
      </patternFill>
    </fill>
    <fill>
      <patternFill patternType="solid">
        <fgColor theme="6"/>
        <bgColor theme="4" tint="0.79998168889431442"/>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bgColor theme="4" tint="0.79998168889431442"/>
      </patternFill>
    </fill>
    <fill>
      <patternFill patternType="solid">
        <fgColor theme="0" tint="-0.249977111117893"/>
        <bgColor indexed="64"/>
      </patternFill>
    </fill>
    <fill>
      <patternFill patternType="solid">
        <fgColor theme="7"/>
        <bgColor theme="4" tint="0.79998168889431442"/>
      </patternFill>
    </fill>
    <fill>
      <patternFill patternType="solid">
        <fgColor theme="8"/>
        <bgColor theme="4" tint="0.79998168889431442"/>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1" tint="0.89999084444715716"/>
        <bgColor indexed="64"/>
      </patternFill>
    </fill>
    <fill>
      <patternFill patternType="solid">
        <fgColor theme="1"/>
        <bgColor indexed="64"/>
      </patternFill>
    </fill>
    <fill>
      <patternFill patternType="solid">
        <fgColor theme="0"/>
        <bgColor indexed="64"/>
      </patternFill>
    </fill>
    <fill>
      <patternFill patternType="solid">
        <fgColor theme="4"/>
        <bgColor indexed="64"/>
      </patternFill>
    </fill>
  </fills>
  <borders count="7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bottom style="thin">
        <color theme="0"/>
      </bottom>
      <diagonal/>
    </border>
    <border>
      <left/>
      <right/>
      <top/>
      <bottom style="thin">
        <color theme="0"/>
      </bottom>
      <diagonal/>
    </border>
    <border>
      <left style="thin">
        <color theme="0" tint="-0.14996795556505021"/>
      </left>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theme="9" tint="0.79995117038483843"/>
      </left>
      <right style="thin">
        <color theme="9" tint="0.79995117038483843"/>
      </right>
      <top style="thin">
        <color theme="9" tint="0.79995117038483843"/>
      </top>
      <bottom style="thin">
        <color theme="9" tint="0.79995117038483843"/>
      </bottom>
      <diagonal/>
    </border>
    <border>
      <left style="thin">
        <color theme="9" tint="0.79995117038483843"/>
      </left>
      <right/>
      <top style="thin">
        <color theme="9" tint="0.79995117038483843"/>
      </top>
      <bottom style="thin">
        <color theme="9" tint="0.79995117038483843"/>
      </bottom>
      <diagonal/>
    </border>
    <border>
      <left style="thin">
        <color theme="9" tint="0.79989013336588644"/>
      </left>
      <right style="thin">
        <color theme="9" tint="0.79989013336588644"/>
      </right>
      <top style="thin">
        <color theme="9" tint="0.79989013336588644"/>
      </top>
      <bottom style="thin">
        <color theme="9" tint="0.79989013336588644"/>
      </bottom>
      <diagonal/>
    </border>
    <border>
      <left style="thin">
        <color theme="9" tint="0.79992065187536243"/>
      </left>
      <right/>
      <top style="thin">
        <color theme="9" tint="0.79992065187536243"/>
      </top>
      <bottom style="thin">
        <color theme="9" tint="0.79992065187536243"/>
      </bottom>
      <diagonal/>
    </border>
    <border>
      <left style="thin">
        <color theme="9" tint="0.79985961485641044"/>
      </left>
      <right style="thin">
        <color theme="9" tint="0.79985961485641044"/>
      </right>
      <top style="thin">
        <color theme="9" tint="0.79985961485641044"/>
      </top>
      <bottom style="thin">
        <color theme="9" tint="0.79985961485641044"/>
      </bottom>
      <diagonal/>
    </border>
    <border>
      <left style="thin">
        <color theme="9" tint="0.79989013336588644"/>
      </left>
      <right/>
      <top style="thin">
        <color theme="9" tint="0.79989013336588644"/>
      </top>
      <bottom style="thin">
        <color theme="9" tint="0.79989013336588644"/>
      </bottom>
      <diagonal/>
    </border>
    <border>
      <left style="thin">
        <color theme="9" tint="0.79982909634693444"/>
      </left>
      <right style="thin">
        <color theme="9" tint="0.79982909634693444"/>
      </right>
      <top style="thin">
        <color theme="9" tint="0.79982909634693444"/>
      </top>
      <bottom style="thin">
        <color theme="9" tint="0.79982909634693444"/>
      </bottom>
      <diagonal/>
    </border>
    <border>
      <left style="thin">
        <color theme="9" tint="0.79985961485641044"/>
      </left>
      <right/>
      <top style="thin">
        <color theme="9" tint="0.79985961485641044"/>
      </top>
      <bottom style="thin">
        <color theme="9" tint="0.79985961485641044"/>
      </bottom>
      <diagonal/>
    </border>
    <border>
      <left style="thin">
        <color theme="9" tint="0.79979857783745845"/>
      </left>
      <right style="thin">
        <color theme="9" tint="0.79979857783745845"/>
      </right>
      <top style="thin">
        <color theme="9" tint="0.79979857783745845"/>
      </top>
      <bottom style="thin">
        <color theme="9" tint="0.79979857783745845"/>
      </bottom>
      <diagonal/>
    </border>
    <border>
      <left style="thin">
        <color theme="9" tint="0.79982909634693444"/>
      </left>
      <right/>
      <top style="thin">
        <color theme="9" tint="0.79982909634693444"/>
      </top>
      <bottom style="thin">
        <color theme="9" tint="0.79982909634693444"/>
      </bottom>
      <diagonal/>
    </border>
    <border>
      <left style="thin">
        <color theme="9" tint="0.79976805932798245"/>
      </left>
      <right style="thin">
        <color theme="9" tint="0.79976805932798245"/>
      </right>
      <top style="thin">
        <color theme="9" tint="0.79976805932798245"/>
      </top>
      <bottom style="thin">
        <color theme="9" tint="0.79976805932798245"/>
      </bottom>
      <diagonal/>
    </border>
    <border>
      <left style="thin">
        <color theme="9" tint="0.79979857783745845"/>
      </left>
      <right/>
      <top style="thin">
        <color theme="9" tint="0.79979857783745845"/>
      </top>
      <bottom style="thin">
        <color theme="9" tint="0.79979857783745845"/>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9" tint="0.79995117038483843"/>
      </left>
      <right style="thin">
        <color theme="9" tint="0.79995117038483843"/>
      </right>
      <top style="thin">
        <color theme="9" tint="0.79995117038483843"/>
      </top>
      <bottom/>
      <diagonal/>
    </border>
    <border>
      <left style="thin">
        <color theme="9" tint="0.79995117038483843"/>
      </left>
      <right/>
      <top style="thin">
        <color theme="9" tint="0.79995117038483843"/>
      </top>
      <bottom/>
      <diagonal/>
    </border>
    <border>
      <left style="thin">
        <color theme="9" tint="0.79992065187536243"/>
      </left>
      <right/>
      <top style="thin">
        <color theme="9" tint="0.79992065187536243"/>
      </top>
      <bottom/>
      <diagonal/>
    </border>
    <border>
      <left style="thin">
        <color theme="9" tint="0.79989013336588644"/>
      </left>
      <right style="thin">
        <color theme="9" tint="0.79989013336588644"/>
      </right>
      <top style="thin">
        <color theme="9" tint="0.79989013336588644"/>
      </top>
      <bottom/>
      <diagonal/>
    </border>
    <border>
      <left style="thin">
        <color theme="9" tint="0.79989013336588644"/>
      </left>
      <right/>
      <top style="thin">
        <color theme="9" tint="0.79989013336588644"/>
      </top>
      <bottom/>
      <diagonal/>
    </border>
    <border>
      <left style="thin">
        <color theme="9" tint="0.79985961485641044"/>
      </left>
      <right style="thin">
        <color theme="9" tint="0.79985961485641044"/>
      </right>
      <top style="thin">
        <color theme="9" tint="0.79985961485641044"/>
      </top>
      <bottom/>
      <diagonal/>
    </border>
    <border>
      <left style="thin">
        <color theme="9" tint="0.79985961485641044"/>
      </left>
      <right/>
      <top style="thin">
        <color theme="9" tint="0.79985961485641044"/>
      </top>
      <bottom/>
      <diagonal/>
    </border>
    <border>
      <left style="thin">
        <color theme="9" tint="0.79982909634693444"/>
      </left>
      <right style="thin">
        <color theme="9" tint="0.79982909634693444"/>
      </right>
      <top style="thin">
        <color theme="9" tint="0.79982909634693444"/>
      </top>
      <bottom/>
      <diagonal/>
    </border>
    <border>
      <left style="thin">
        <color theme="9" tint="0.79982909634693444"/>
      </left>
      <right/>
      <top style="thin">
        <color theme="9" tint="0.79982909634693444"/>
      </top>
      <bottom/>
      <diagonal/>
    </border>
    <border>
      <left style="thin">
        <color theme="9" tint="0.79979857783745845"/>
      </left>
      <right style="thin">
        <color theme="9" tint="0.79979857783745845"/>
      </right>
      <top style="thin">
        <color theme="9" tint="0.79979857783745845"/>
      </top>
      <bottom/>
      <diagonal/>
    </border>
    <border>
      <left style="thin">
        <color theme="9" tint="0.79979857783745845"/>
      </left>
      <right/>
      <top style="thin">
        <color theme="9" tint="0.79979857783745845"/>
      </top>
      <bottom/>
      <diagonal/>
    </border>
    <border>
      <left style="thin">
        <color theme="9" tint="0.79976805932798245"/>
      </left>
      <right style="thin">
        <color theme="9" tint="0.79976805932798245"/>
      </right>
      <top style="thin">
        <color theme="9" tint="0.79976805932798245"/>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top style="thin">
        <color theme="0" tint="-0.14993743705557422"/>
      </top>
      <bottom style="thin">
        <color theme="0" tint="-0.14993743705557422"/>
      </bottom>
      <diagonal/>
    </border>
    <border>
      <left style="medium">
        <color auto="1"/>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bottom style="thin">
        <color theme="0" tint="-0.14996795556505021"/>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1536301767021"/>
      </left>
      <right/>
      <top style="thin">
        <color theme="0" tint="-0.14981536301767021"/>
      </top>
      <bottom style="thin">
        <color theme="0" tint="-0.14981536301767021"/>
      </bottom>
      <diagonal/>
    </border>
    <border>
      <left/>
      <right style="thin">
        <color theme="0" tint="-0.14978484450819421"/>
      </right>
      <top/>
      <bottom/>
      <diagonal/>
    </border>
    <border>
      <left style="thin">
        <color theme="0" tint="-0.1498458815271462"/>
      </left>
      <right/>
      <top style="thin">
        <color theme="0" tint="-0.1498458815271462"/>
      </top>
      <bottom style="thin">
        <color theme="0" tint="-0.1498458815271462"/>
      </bottom>
      <diagonal/>
    </border>
    <border>
      <left style="thin">
        <color theme="0" tint="-0.14981536301767021"/>
      </left>
      <right style="thin">
        <color theme="0" tint="-0.14981536301767021"/>
      </right>
      <top/>
      <bottom style="thin">
        <color theme="0" tint="-0.14981536301767021"/>
      </bottom>
      <diagonal/>
    </border>
    <border>
      <left style="thin">
        <color theme="0" tint="-0.1498458815271462"/>
      </left>
      <right style="thin">
        <color theme="0" tint="-0.1498458815271462"/>
      </right>
      <top/>
      <bottom style="thin">
        <color theme="0" tint="-0.1498458815271462"/>
      </bottom>
      <diagonal/>
    </border>
    <border>
      <left style="thin">
        <color theme="0" tint="-0.1498458815271462"/>
      </left>
      <right style="thin">
        <color theme="0" tint="-0.1498458815271462"/>
      </right>
      <top/>
      <bottom/>
      <diagonal/>
    </border>
    <border>
      <left style="thin">
        <color theme="0"/>
      </left>
      <right/>
      <top/>
      <bottom style="thin">
        <color theme="9" tint="0.79979857783745845"/>
      </bottom>
      <diagonal/>
    </border>
    <border>
      <left style="thin">
        <color theme="9" tint="0.79976805932798245"/>
      </left>
      <right style="thin">
        <color theme="9" tint="0.79976805932798245"/>
      </right>
      <top/>
      <bottom style="thin">
        <color theme="9" tint="0.79976805932798245"/>
      </bottom>
      <diagonal/>
    </border>
    <border>
      <left/>
      <right/>
      <top style="thin">
        <color theme="9" tint="0.79995117038483843"/>
      </top>
      <bottom/>
      <diagonal/>
    </border>
    <border>
      <left/>
      <right style="thin">
        <color theme="9" tint="0.79995117038483843"/>
      </right>
      <top style="thin">
        <color theme="9" tint="0.79995117038483843"/>
      </top>
      <bottom/>
      <diagonal/>
    </border>
    <border>
      <left style="thin">
        <color theme="9" tint="0.79995117038483843"/>
      </left>
      <right/>
      <top/>
      <bottom/>
      <diagonal/>
    </border>
    <border>
      <left style="thin">
        <color theme="0" tint="-0.14990691854609822"/>
      </left>
      <right style="thin">
        <color theme="0" tint="-0.14990691854609822"/>
      </right>
      <top/>
      <bottom style="thin">
        <color theme="0" tint="-0.14990691854609822"/>
      </bottom>
      <diagonal/>
    </border>
    <border>
      <left style="thin">
        <color theme="0" tint="-0.14996795556505021"/>
      </left>
      <right/>
      <top/>
      <bottom/>
      <diagonal/>
    </border>
    <border>
      <left style="medium">
        <color theme="0"/>
      </left>
      <right style="medium">
        <color theme="0"/>
      </right>
      <top style="medium">
        <color theme="0"/>
      </top>
      <bottom style="medium">
        <color theme="0"/>
      </bottom>
      <diagonal/>
    </border>
    <border>
      <left style="medium">
        <color auto="1"/>
      </left>
      <right style="thin">
        <color theme="0" tint="-0.14993743705557422"/>
      </right>
      <top/>
      <bottom style="thin">
        <color theme="0" tint="-0.14993743705557422"/>
      </bottom>
      <diagonal/>
    </border>
    <border>
      <left style="thin">
        <color theme="0" tint="-0.14993743705557422"/>
      </left>
      <right/>
      <top/>
      <bottom style="thin">
        <color theme="0" tint="-0.14993743705557422"/>
      </bottom>
      <diagonal/>
    </border>
    <border>
      <left style="thin">
        <color indexed="64"/>
      </left>
      <right style="thin">
        <color theme="0" tint="-0.14993743705557422"/>
      </right>
      <top/>
      <bottom style="thin">
        <color theme="0" tint="-0.14993743705557422"/>
      </bottom>
      <diagonal/>
    </border>
  </borders>
  <cellStyleXfs count="5">
    <xf numFmtId="0" fontId="0" fillId="0" borderId="0"/>
    <xf numFmtId="0" fontId="13"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168" fontId="5" fillId="0" borderId="0" applyFont="0" applyFill="0" applyBorder="0" applyAlignment="0" applyProtection="0"/>
  </cellStyleXfs>
  <cellXfs count="621">
    <xf numFmtId="0" fontId="0" fillId="0" borderId="0" xfId="0"/>
    <xf numFmtId="0" fontId="67" fillId="8" borderId="2"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4" fillId="0" borderId="0" xfId="3" applyAlignment="1">
      <alignment horizontal="left" vertical="center"/>
    </xf>
    <xf numFmtId="0" fontId="0" fillId="0" borderId="0" xfId="0" applyAlignment="1">
      <alignment wrapText="1"/>
    </xf>
    <xf numFmtId="170" fontId="0" fillId="0" borderId="0" xfId="0" applyNumberFormat="1"/>
    <xf numFmtId="0" fontId="0" fillId="0" borderId="0" xfId="0" pivotButton="1"/>
    <xf numFmtId="0" fontId="7" fillId="2" borderId="1" xfId="0" applyFont="1" applyFill="1" applyBorder="1"/>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0" fillId="0" borderId="1" xfId="0" applyBorder="1"/>
    <xf numFmtId="0" fontId="8" fillId="0" borderId="1" xfId="0" applyFont="1" applyBorder="1"/>
    <xf numFmtId="0" fontId="9" fillId="0" borderId="0" xfId="0" applyFont="1"/>
    <xf numFmtId="0" fontId="8" fillId="0" borderId="1" xfId="0" applyFont="1" applyBorder="1" applyAlignment="1">
      <alignment horizontal="left" vertical="top" wrapText="1"/>
    </xf>
    <xf numFmtId="0" fontId="11" fillId="4" borderId="3" xfId="0" applyFont="1" applyFill="1" applyBorder="1" applyAlignment="1">
      <alignment horizontal="center" wrapText="1"/>
    </xf>
    <xf numFmtId="0" fontId="6" fillId="4" borderId="0" xfId="0" applyFont="1" applyFill="1"/>
    <xf numFmtId="0" fontId="0" fillId="3" borderId="0" xfId="0" applyFill="1"/>
    <xf numFmtId="0" fontId="0" fillId="6" borderId="0" xfId="0" applyFill="1"/>
    <xf numFmtId="0" fontId="0" fillId="7" borderId="0" xfId="0" applyFill="1"/>
    <xf numFmtId="170" fontId="0" fillId="0" borderId="0" xfId="4" applyNumberFormat="1" applyFont="1"/>
    <xf numFmtId="165" fontId="0" fillId="0" borderId="0" xfId="0" applyNumberFormat="1"/>
    <xf numFmtId="0" fontId="0" fillId="0" borderId="0" xfId="0" applyAlignment="1">
      <alignment vertical="top" wrapText="1"/>
    </xf>
    <xf numFmtId="170" fontId="0" fillId="0" borderId="0" xfId="4" applyNumberFormat="1" applyFont="1" applyAlignment="1">
      <alignment vertical="top" wrapText="1"/>
    </xf>
    <xf numFmtId="0" fontId="2" fillId="0" borderId="5" xfId="0" applyFont="1" applyBorder="1" applyAlignment="1">
      <alignment horizontal="center" wrapText="1"/>
    </xf>
    <xf numFmtId="0" fontId="0" fillId="0" borderId="0" xfId="0" quotePrefix="1" applyAlignment="1">
      <alignment wrapText="1"/>
    </xf>
    <xf numFmtId="0" fontId="2" fillId="0" borderId="5" xfId="0" applyFont="1" applyBorder="1" applyAlignment="1">
      <alignment horizontal="center"/>
    </xf>
    <xf numFmtId="0" fontId="0" fillId="0" borderId="0" xfId="0" quotePrefix="1" applyAlignment="1">
      <alignment vertical="top" wrapText="1"/>
    </xf>
    <xf numFmtId="0" fontId="0" fillId="0" borderId="0" xfId="0" applyAlignment="1">
      <alignment vertical="top"/>
    </xf>
    <xf numFmtId="170" fontId="2" fillId="0" borderId="5" xfId="4" applyNumberFormat="1" applyFont="1" applyBorder="1"/>
    <xf numFmtId="0" fontId="2" fillId="0" borderId="5" xfId="0" applyFont="1" applyBorder="1"/>
    <xf numFmtId="168" fontId="0" fillId="0" borderId="0" xfId="4" applyFont="1"/>
    <xf numFmtId="172" fontId="0" fillId="0" borderId="0" xfId="4" applyNumberFormat="1" applyFont="1"/>
    <xf numFmtId="168" fontId="0" fillId="0" borderId="0" xfId="0" applyNumberFormat="1"/>
    <xf numFmtId="173" fontId="0" fillId="0" borderId="0" xfId="0" applyNumberFormat="1"/>
    <xf numFmtId="0" fontId="0" fillId="6" borderId="0" xfId="0" applyFill="1" applyAlignment="1">
      <alignment wrapText="1"/>
    </xf>
    <xf numFmtId="170" fontId="13" fillId="6" borderId="0" xfId="4" applyNumberFormat="1" applyFont="1" applyFill="1"/>
    <xf numFmtId="168" fontId="13" fillId="0" borderId="0" xfId="4" applyFont="1"/>
    <xf numFmtId="165" fontId="19" fillId="0" borderId="0" xfId="0" applyNumberFormat="1" applyFont="1"/>
    <xf numFmtId="4" fontId="19" fillId="0" borderId="0" xfId="0" applyNumberFormat="1" applyFont="1"/>
    <xf numFmtId="0" fontId="11" fillId="8" borderId="3" xfId="0" applyFont="1" applyFill="1" applyBorder="1" applyAlignment="1">
      <alignment horizontal="center" wrapText="1"/>
    </xf>
    <xf numFmtId="0" fontId="11" fillId="3" borderId="3" xfId="0" applyFont="1" applyFill="1" applyBorder="1" applyAlignment="1">
      <alignment horizontal="center" wrapText="1"/>
    </xf>
    <xf numFmtId="0" fontId="11" fillId="5" borderId="3" xfId="0" applyFont="1" applyFill="1" applyBorder="1" applyAlignment="1">
      <alignment horizontal="center" wrapText="1"/>
    </xf>
    <xf numFmtId="0" fontId="11" fillId="7" borderId="3" xfId="0" applyFont="1" applyFill="1" applyBorder="1" applyAlignment="1">
      <alignment horizontal="center" wrapText="1"/>
    </xf>
    <xf numFmtId="0" fontId="11" fillId="8" borderId="3" xfId="0" applyFont="1" applyFill="1" applyBorder="1" applyAlignment="1">
      <alignment horizontal="center"/>
    </xf>
    <xf numFmtId="171" fontId="13" fillId="12" borderId="1" xfId="0" applyNumberFormat="1" applyFont="1" applyFill="1" applyBorder="1"/>
    <xf numFmtId="175" fontId="0" fillId="0" borderId="0" xfId="0" applyNumberFormat="1"/>
    <xf numFmtId="2" fontId="0" fillId="0" borderId="0" xfId="4" applyNumberFormat="1" applyFont="1"/>
    <xf numFmtId="1" fontId="0" fillId="0" borderId="0" xfId="4" applyNumberFormat="1" applyFont="1"/>
    <xf numFmtId="175" fontId="8" fillId="0" borderId="1" xfId="0" applyNumberFormat="1" applyFont="1" applyBorder="1"/>
    <xf numFmtId="0" fontId="8" fillId="0" borderId="1" xfId="0" applyFont="1" applyBorder="1" applyAlignment="1">
      <alignment vertical="center"/>
    </xf>
    <xf numFmtId="0" fontId="24" fillId="4" borderId="11" xfId="0" applyFont="1" applyFill="1" applyBorder="1"/>
    <xf numFmtId="0" fontId="3" fillId="4" borderId="0" xfId="0" applyFont="1" applyFill="1"/>
    <xf numFmtId="0" fontId="3" fillId="4" borderId="12" xfId="0" applyFont="1" applyFill="1" applyBorder="1"/>
    <xf numFmtId="0" fontId="3" fillId="4" borderId="13" xfId="0" applyFont="1" applyFill="1" applyBorder="1"/>
    <xf numFmtId="0" fontId="3" fillId="4" borderId="0" xfId="0" applyFont="1" applyFill="1" applyAlignment="1">
      <alignment horizontal="center"/>
    </xf>
    <xf numFmtId="0" fontId="3" fillId="4" borderId="13" xfId="0" applyFont="1" applyFill="1" applyBorder="1" applyAlignment="1">
      <alignment horizontal="left"/>
    </xf>
    <xf numFmtId="0" fontId="3" fillId="4" borderId="13" xfId="0" applyFont="1" applyFill="1" applyBorder="1" applyAlignment="1">
      <alignment horizontal="center"/>
    </xf>
    <xf numFmtId="0" fontId="20" fillId="4" borderId="17" xfId="0" applyFont="1" applyFill="1" applyBorder="1" applyAlignment="1">
      <alignment horizontal="center"/>
    </xf>
    <xf numFmtId="0" fontId="3" fillId="4" borderId="20" xfId="0" applyFont="1" applyFill="1" applyBorder="1" applyAlignment="1">
      <alignment horizontal="center" textRotation="90"/>
    </xf>
    <xf numFmtId="175" fontId="0" fillId="0" borderId="26" xfId="0" applyNumberFormat="1" applyBorder="1"/>
    <xf numFmtId="175" fontId="0" fillId="14" borderId="26" xfId="0" applyNumberFormat="1" applyFill="1" applyBorder="1"/>
    <xf numFmtId="0" fontId="2" fillId="14" borderId="26" xfId="0" applyFont="1" applyFill="1" applyBorder="1" applyAlignment="1">
      <alignment horizontal="left"/>
    </xf>
    <xf numFmtId="175" fontId="2" fillId="0" borderId="26" xfId="0" applyNumberFormat="1" applyFont="1" applyBorder="1" applyAlignment="1">
      <alignment horizontal="left"/>
    </xf>
    <xf numFmtId="0" fontId="2" fillId="0" borderId="26" xfId="0" applyFont="1" applyBorder="1" applyAlignment="1">
      <alignment horizontal="left"/>
    </xf>
    <xf numFmtId="175" fontId="2" fillId="14" borderId="26" xfId="0" applyNumberFormat="1" applyFont="1" applyFill="1" applyBorder="1" applyAlignment="1">
      <alignment horizontal="left"/>
    </xf>
    <xf numFmtId="0" fontId="2" fillId="0" borderId="0" xfId="0" applyFont="1" applyAlignment="1">
      <alignment horizontal="left"/>
    </xf>
    <xf numFmtId="175" fontId="2" fillId="0" borderId="0" xfId="0" applyNumberFormat="1" applyFont="1" applyAlignment="1">
      <alignment horizontal="left"/>
    </xf>
    <xf numFmtId="0" fontId="0" fillId="0" borderId="0" xfId="0" applyAlignment="1">
      <alignment horizontal="right"/>
    </xf>
    <xf numFmtId="0" fontId="2" fillId="0" borderId="26" xfId="0" applyFont="1" applyBorder="1" applyAlignment="1">
      <alignment horizontal="right"/>
    </xf>
    <xf numFmtId="0" fontId="2" fillId="0" borderId="0" xfId="0" applyFont="1" applyAlignment="1">
      <alignment horizontal="right"/>
    </xf>
    <xf numFmtId="170" fontId="2" fillId="14" borderId="26" xfId="4" applyNumberFormat="1" applyFont="1" applyFill="1" applyBorder="1" applyAlignment="1">
      <alignment horizontal="right"/>
    </xf>
    <xf numFmtId="170" fontId="2" fillId="0" borderId="26" xfId="4" applyNumberFormat="1" applyFont="1" applyBorder="1" applyAlignment="1">
      <alignment horizontal="right"/>
    </xf>
    <xf numFmtId="0" fontId="3" fillId="3" borderId="0" xfId="0" applyFont="1" applyFill="1" applyAlignment="1">
      <alignment horizontal="center"/>
    </xf>
    <xf numFmtId="0" fontId="6" fillId="5" borderId="0" xfId="0" applyFont="1" applyFill="1"/>
    <xf numFmtId="0" fontId="2" fillId="15" borderId="26" xfId="0" applyFont="1" applyFill="1" applyBorder="1" applyAlignment="1">
      <alignment horizontal="left"/>
    </xf>
    <xf numFmtId="1" fontId="2" fillId="0" borderId="26" xfId="0" applyNumberFormat="1" applyFont="1" applyBorder="1" applyAlignment="1">
      <alignment horizontal="right"/>
    </xf>
    <xf numFmtId="170" fontId="2" fillId="15" borderId="26" xfId="4" applyNumberFormat="1" applyFont="1" applyFill="1" applyBorder="1" applyAlignment="1">
      <alignment horizontal="right"/>
    </xf>
    <xf numFmtId="0" fontId="14" fillId="0" borderId="0" xfId="0" applyFont="1"/>
    <xf numFmtId="0" fontId="14" fillId="0" borderId="0" xfId="0" applyFont="1" applyAlignment="1">
      <alignment wrapText="1"/>
    </xf>
    <xf numFmtId="0" fontId="3" fillId="2" borderId="0" xfId="0" applyFont="1" applyFill="1"/>
    <xf numFmtId="0" fontId="3" fillId="5" borderId="0" xfId="0" applyFont="1" applyFill="1"/>
    <xf numFmtId="0" fontId="3" fillId="7" borderId="0" xfId="0" applyFont="1" applyFill="1"/>
    <xf numFmtId="0" fontId="3" fillId="8" borderId="0" xfId="0" applyFont="1" applyFill="1"/>
    <xf numFmtId="0" fontId="3" fillId="3" borderId="0" xfId="0" applyFont="1" applyFill="1"/>
    <xf numFmtId="0" fontId="14" fillId="17" borderId="0" xfId="0" applyFont="1" applyFill="1" applyAlignment="1">
      <alignment wrapText="1"/>
    </xf>
    <xf numFmtId="0" fontId="3" fillId="8" borderId="0" xfId="0" applyFont="1" applyFill="1" applyAlignment="1">
      <alignment horizontal="center"/>
    </xf>
    <xf numFmtId="0" fontId="3" fillId="18" borderId="40" xfId="0" applyFont="1" applyFill="1" applyBorder="1" applyAlignment="1">
      <alignment wrapText="1"/>
    </xf>
    <xf numFmtId="0" fontId="3" fillId="18" borderId="40" xfId="0" applyFont="1" applyFill="1" applyBorder="1"/>
    <xf numFmtId="0" fontId="3" fillId="18" borderId="0" xfId="0" applyFont="1" applyFill="1" applyBorder="1"/>
    <xf numFmtId="0" fontId="3" fillId="19" borderId="0" xfId="0" applyFont="1" applyFill="1"/>
    <xf numFmtId="49" fontId="3" fillId="18" borderId="0" xfId="0" applyNumberFormat="1" applyFont="1" applyFill="1" applyAlignment="1">
      <alignment wrapText="1"/>
    </xf>
    <xf numFmtId="49" fontId="3" fillId="18" borderId="0" xfId="0" applyNumberFormat="1" applyFont="1" applyFill="1"/>
    <xf numFmtId="49" fontId="3" fillId="19" borderId="0" xfId="0" applyNumberFormat="1" applyFont="1" applyFill="1"/>
    <xf numFmtId="49" fontId="14" fillId="0" borderId="0" xfId="0" applyNumberFormat="1" applyFont="1"/>
    <xf numFmtId="3" fontId="27" fillId="0" borderId="4" xfId="0" applyNumberFormat="1" applyFont="1" applyBorder="1"/>
    <xf numFmtId="3" fontId="27" fillId="0" borderId="41" xfId="0" applyNumberFormat="1" applyFont="1" applyBorder="1"/>
    <xf numFmtId="49" fontId="14" fillId="0" borderId="42" xfId="0" applyNumberFormat="1" applyFont="1" applyBorder="1" applyAlignment="1">
      <alignment horizontal="center" vertical="center"/>
    </xf>
    <xf numFmtId="49" fontId="14" fillId="0" borderId="4" xfId="0" applyNumberFormat="1" applyFont="1" applyBorder="1" applyAlignment="1">
      <alignment horizontal="center" vertical="center"/>
    </xf>
    <xf numFmtId="49" fontId="14" fillId="0" borderId="41" xfId="0" applyNumberFormat="1" applyFont="1" applyBorder="1" applyAlignment="1">
      <alignment horizontal="center" vertical="center"/>
    </xf>
    <xf numFmtId="49" fontId="14" fillId="0" borderId="43" xfId="0" applyNumberFormat="1" applyFont="1" applyBorder="1" applyAlignment="1">
      <alignment horizontal="center" vertical="center"/>
    </xf>
    <xf numFmtId="49" fontId="14" fillId="17" borderId="43" xfId="0" applyNumberFormat="1" applyFont="1" applyFill="1" applyBorder="1" applyAlignment="1">
      <alignment horizontal="center" vertical="center"/>
    </xf>
    <xf numFmtId="49" fontId="14" fillId="17" borderId="4" xfId="0" applyNumberFormat="1" applyFont="1" applyFill="1" applyBorder="1" applyAlignment="1">
      <alignment horizontal="center" vertical="center"/>
    </xf>
    <xf numFmtId="49" fontId="14" fillId="17" borderId="41" xfId="0" applyNumberFormat="1" applyFont="1" applyFill="1" applyBorder="1" applyAlignment="1">
      <alignment horizontal="center" vertical="center"/>
    </xf>
    <xf numFmtId="49" fontId="14" fillId="0" borderId="43" xfId="0" applyNumberFormat="1" applyFont="1" applyFill="1" applyBorder="1" applyAlignment="1">
      <alignment horizontal="center" vertical="center"/>
    </xf>
    <xf numFmtId="49" fontId="14" fillId="0" borderId="4" xfId="0" applyNumberFormat="1" applyFont="1" applyFill="1" applyBorder="1" applyAlignment="1">
      <alignment horizontal="center" vertical="center"/>
    </xf>
    <xf numFmtId="49" fontId="14" fillId="0" borderId="41" xfId="0" applyNumberFormat="1" applyFont="1" applyFill="1" applyBorder="1" applyAlignment="1">
      <alignment horizontal="center" vertical="center"/>
    </xf>
    <xf numFmtId="49" fontId="14" fillId="17" borderId="42" xfId="0" applyNumberFormat="1" applyFont="1" applyFill="1" applyBorder="1" applyAlignment="1">
      <alignment horizontal="center" vertical="center"/>
    </xf>
    <xf numFmtId="49" fontId="14" fillId="0" borderId="42" xfId="0" applyNumberFormat="1" applyFont="1" applyFill="1" applyBorder="1" applyAlignment="1">
      <alignment horizontal="center" vertical="center"/>
    </xf>
    <xf numFmtId="3" fontId="27" fillId="0" borderId="0" xfId="0" applyNumberFormat="1" applyFont="1" applyBorder="1"/>
    <xf numFmtId="0" fontId="14" fillId="0" borderId="0" xfId="0" applyFont="1" applyFill="1"/>
    <xf numFmtId="0" fontId="14" fillId="0" borderId="13" xfId="0" applyFont="1" applyFill="1" applyBorder="1"/>
    <xf numFmtId="0" fontId="27" fillId="0" borderId="44" xfId="0" applyFont="1" applyBorder="1" applyAlignment="1">
      <alignment horizontal="center" vertical="center" wrapText="1"/>
    </xf>
    <xf numFmtId="0" fontId="0" fillId="0" borderId="0" xfId="0" applyFont="1"/>
    <xf numFmtId="0" fontId="7" fillId="11" borderId="6" xfId="0" applyFont="1" applyFill="1" applyBorder="1" applyAlignment="1">
      <alignment vertical="center" wrapText="1"/>
    </xf>
    <xf numFmtId="0" fontId="28" fillId="0" borderId="6" xfId="0" applyFont="1" applyBorder="1" applyAlignment="1">
      <alignment vertical="center" wrapText="1"/>
    </xf>
    <xf numFmtId="0" fontId="28" fillId="0" borderId="6" xfId="0" applyFont="1" applyFill="1" applyBorder="1" applyAlignment="1">
      <alignment vertical="center" wrapText="1"/>
    </xf>
    <xf numFmtId="0" fontId="7" fillId="11" borderId="6" xfId="0" applyFont="1" applyFill="1" applyBorder="1" applyAlignment="1"/>
    <xf numFmtId="0" fontId="28" fillId="0" borderId="6" xfId="0" applyFont="1" applyBorder="1" applyAlignment="1">
      <alignment wrapText="1"/>
    </xf>
    <xf numFmtId="0" fontId="14" fillId="0" borderId="11" xfId="0" applyFont="1" applyBorder="1"/>
    <xf numFmtId="0" fontId="14" fillId="0" borderId="13" xfId="0" applyFont="1" applyBorder="1"/>
    <xf numFmtId="0" fontId="3" fillId="3" borderId="46" xfId="0" applyFont="1" applyFill="1" applyBorder="1" applyAlignment="1">
      <alignment horizontal="center"/>
    </xf>
    <xf numFmtId="0" fontId="3" fillId="3" borderId="47" xfId="0" applyFont="1" applyFill="1" applyBorder="1" applyAlignment="1">
      <alignment horizontal="center"/>
    </xf>
    <xf numFmtId="0" fontId="12" fillId="3" borderId="45" xfId="0" applyFont="1" applyFill="1" applyBorder="1" applyAlignment="1">
      <alignment horizontal="center"/>
    </xf>
    <xf numFmtId="0" fontId="20" fillId="3" borderId="3" xfId="0" applyFont="1" applyFill="1" applyBorder="1" applyAlignment="1">
      <alignment horizontal="center"/>
    </xf>
    <xf numFmtId="0" fontId="3" fillId="16" borderId="0" xfId="0" applyFont="1" applyFill="1" applyBorder="1"/>
    <xf numFmtId="175" fontId="3" fillId="16" borderId="3" xfId="0" applyNumberFormat="1" applyFont="1" applyFill="1" applyBorder="1"/>
    <xf numFmtId="0" fontId="3" fillId="16" borderId="3" xfId="0" applyFont="1" applyFill="1" applyBorder="1"/>
    <xf numFmtId="0" fontId="20" fillId="3" borderId="3" xfId="0" applyFont="1" applyFill="1" applyBorder="1" applyAlignment="1">
      <alignment horizontal="center" textRotation="90"/>
    </xf>
    <xf numFmtId="0" fontId="3" fillId="3" borderId="3" xfId="0" applyFont="1" applyFill="1" applyBorder="1" applyAlignment="1">
      <alignment horizontal="center" textRotation="90"/>
    </xf>
    <xf numFmtId="0" fontId="29" fillId="3" borderId="3" xfId="0" applyFont="1" applyFill="1" applyBorder="1" applyAlignment="1">
      <alignment horizontal="center" textRotation="90"/>
    </xf>
    <xf numFmtId="0" fontId="30" fillId="3" borderId="3" xfId="0" applyFont="1" applyFill="1" applyBorder="1" applyAlignment="1">
      <alignment horizontal="center" textRotation="90"/>
    </xf>
    <xf numFmtId="0" fontId="8" fillId="0" borderId="48" xfId="0" applyFont="1" applyBorder="1" applyAlignment="1">
      <alignment vertical="center"/>
    </xf>
    <xf numFmtId="0" fontId="8" fillId="0" borderId="48" xfId="0" applyFont="1" applyBorder="1"/>
    <xf numFmtId="175" fontId="8" fillId="0" borderId="48" xfId="0" applyNumberFormat="1" applyFont="1" applyBorder="1"/>
    <xf numFmtId="170" fontId="8" fillId="0" borderId="9" xfId="0" applyNumberFormat="1" applyFont="1" applyBorder="1"/>
    <xf numFmtId="170" fontId="8" fillId="0" borderId="49" xfId="0" applyNumberFormat="1" applyFont="1" applyBorder="1"/>
    <xf numFmtId="0" fontId="0" fillId="0" borderId="4" xfId="0" applyBorder="1"/>
    <xf numFmtId="175" fontId="0" fillId="0" borderId="4" xfId="0" applyNumberFormat="1" applyBorder="1" applyAlignment="1">
      <alignment horizontal="center"/>
    </xf>
    <xf numFmtId="175" fontId="0" fillId="0" borderId="4" xfId="0" applyNumberFormat="1" applyBorder="1"/>
    <xf numFmtId="0" fontId="0" fillId="5" borderId="0" xfId="0" applyFill="1"/>
    <xf numFmtId="0" fontId="3" fillId="5" borderId="8" xfId="0" applyFont="1" applyFill="1" applyBorder="1" applyAlignment="1">
      <alignment horizontal="center"/>
    </xf>
    <xf numFmtId="0" fontId="3" fillId="5" borderId="52" xfId="0" applyFont="1" applyFill="1" applyBorder="1" applyAlignment="1">
      <alignment horizontal="center"/>
    </xf>
    <xf numFmtId="0" fontId="20" fillId="5" borderId="2" xfId="0" applyFont="1" applyFill="1" applyBorder="1" applyAlignment="1">
      <alignment horizontal="center" textRotation="90"/>
    </xf>
    <xf numFmtId="0" fontId="3" fillId="5" borderId="2" xfId="0" applyFont="1" applyFill="1" applyBorder="1" applyAlignment="1">
      <alignment horizontal="center" textRotation="90"/>
    </xf>
    <xf numFmtId="0" fontId="32" fillId="5" borderId="2" xfId="0" applyFont="1" applyFill="1" applyBorder="1" applyAlignment="1">
      <alignment horizontal="center" textRotation="90"/>
    </xf>
    <xf numFmtId="0" fontId="31" fillId="5" borderId="2" xfId="0" applyFont="1" applyFill="1" applyBorder="1" applyAlignment="1">
      <alignment horizontal="center" textRotation="90"/>
    </xf>
    <xf numFmtId="170" fontId="0" fillId="0" borderId="1" xfId="4" applyNumberFormat="1" applyFont="1" applyBorder="1"/>
    <xf numFmtId="175" fontId="0" fillId="0" borderId="1" xfId="0" applyNumberFormat="1" applyBorder="1"/>
    <xf numFmtId="0" fontId="34" fillId="0" borderId="0" xfId="0" applyFont="1"/>
    <xf numFmtId="0" fontId="26" fillId="5" borderId="0" xfId="0" applyFont="1" applyFill="1"/>
    <xf numFmtId="0" fontId="35" fillId="5" borderId="0" xfId="0" applyFont="1" applyFill="1"/>
    <xf numFmtId="170" fontId="3" fillId="16" borderId="3" xfId="0" applyNumberFormat="1" applyFont="1" applyFill="1" applyBorder="1"/>
    <xf numFmtId="0" fontId="1" fillId="0" borderId="0" xfId="0" applyFont="1"/>
    <xf numFmtId="0" fontId="36" fillId="0" borderId="0" xfId="0" applyFont="1" applyAlignment="1">
      <alignment wrapText="1"/>
    </xf>
    <xf numFmtId="0" fontId="2" fillId="14" borderId="26" xfId="0" applyFont="1" applyFill="1" applyBorder="1" applyAlignment="1">
      <alignment horizontal="left" wrapText="1"/>
    </xf>
    <xf numFmtId="0" fontId="2" fillId="14" borderId="26" xfId="0" applyFont="1" applyFill="1" applyBorder="1" applyAlignment="1">
      <alignment horizontal="center" vertical="center"/>
    </xf>
    <xf numFmtId="0" fontId="16" fillId="0" borderId="0" xfId="0" applyFont="1"/>
    <xf numFmtId="0" fontId="37" fillId="0" borderId="0" xfId="0" applyFont="1"/>
    <xf numFmtId="0" fontId="26" fillId="4" borderId="0" xfId="0" applyFont="1" applyFill="1"/>
    <xf numFmtId="0" fontId="0" fillId="4" borderId="0" xfId="0" applyFill="1"/>
    <xf numFmtId="0" fontId="38" fillId="4" borderId="0" xfId="0" applyFont="1" applyFill="1"/>
    <xf numFmtId="0" fontId="39" fillId="4" borderId="14" xfId="0" applyFont="1" applyFill="1" applyBorder="1" applyAlignment="1">
      <alignment horizontal="center" textRotation="90"/>
    </xf>
    <xf numFmtId="0" fontId="40" fillId="4" borderId="14" xfId="0" applyFont="1" applyFill="1" applyBorder="1" applyAlignment="1">
      <alignment horizontal="center" textRotation="90"/>
    </xf>
    <xf numFmtId="0" fontId="40" fillId="4" borderId="15" xfId="0" applyFont="1" applyFill="1" applyBorder="1" applyAlignment="1">
      <alignment horizontal="center" textRotation="90"/>
    </xf>
    <xf numFmtId="0" fontId="39" fillId="4" borderId="17" xfId="0" applyFont="1" applyFill="1" applyBorder="1" applyAlignment="1">
      <alignment horizontal="center" textRotation="90" wrapText="1"/>
    </xf>
    <xf numFmtId="0" fontId="40" fillId="4" borderId="16" xfId="0" applyFont="1" applyFill="1" applyBorder="1" applyAlignment="1">
      <alignment horizontal="center" textRotation="90"/>
    </xf>
    <xf numFmtId="0" fontId="40" fillId="4" borderId="19" xfId="0" applyFont="1" applyFill="1" applyBorder="1" applyAlignment="1">
      <alignment horizontal="center" textRotation="90"/>
    </xf>
    <xf numFmtId="0" fontId="40" fillId="4" borderId="18" xfId="0" applyFont="1" applyFill="1" applyBorder="1" applyAlignment="1">
      <alignment horizontal="center" textRotation="90"/>
    </xf>
    <xf numFmtId="0" fontId="40" fillId="4" borderId="21" xfId="0" applyFont="1" applyFill="1" applyBorder="1" applyAlignment="1">
      <alignment horizontal="center" textRotation="90"/>
    </xf>
    <xf numFmtId="0" fontId="40" fillId="4" borderId="20" xfId="0" applyFont="1" applyFill="1" applyBorder="1" applyAlignment="1">
      <alignment horizontal="center" textRotation="90"/>
    </xf>
    <xf numFmtId="0" fontId="40" fillId="4" borderId="23" xfId="0" applyFont="1" applyFill="1" applyBorder="1" applyAlignment="1">
      <alignment horizontal="center" textRotation="90"/>
    </xf>
    <xf numFmtId="0" fontId="39" fillId="4" borderId="22" xfId="0" applyFont="1" applyFill="1" applyBorder="1" applyAlignment="1">
      <alignment horizontal="center" textRotation="90"/>
    </xf>
    <xf numFmtId="0" fontId="40" fillId="4" borderId="22" xfId="0" applyFont="1" applyFill="1" applyBorder="1" applyAlignment="1">
      <alignment horizontal="center" textRotation="90"/>
    </xf>
    <xf numFmtId="0" fontId="40" fillId="4" borderId="25" xfId="0" applyFont="1" applyFill="1" applyBorder="1" applyAlignment="1">
      <alignment horizontal="center" textRotation="90"/>
    </xf>
    <xf numFmtId="0" fontId="40" fillId="4" borderId="24" xfId="0" applyFont="1" applyFill="1" applyBorder="1" applyAlignment="1">
      <alignment horizontal="center" textRotation="90"/>
    </xf>
    <xf numFmtId="0" fontId="3" fillId="4" borderId="24" xfId="0" applyFont="1" applyFill="1" applyBorder="1" applyAlignment="1">
      <alignment textRotation="90"/>
    </xf>
    <xf numFmtId="175" fontId="2" fillId="15" borderId="26" xfId="0" applyNumberFormat="1" applyFont="1" applyFill="1" applyBorder="1" applyAlignment="1">
      <alignment horizontal="left"/>
    </xf>
    <xf numFmtId="175" fontId="0" fillId="15" borderId="26" xfId="0" applyNumberFormat="1" applyFill="1" applyBorder="1"/>
    <xf numFmtId="175" fontId="2" fillId="21" borderId="26" xfId="0" applyNumberFormat="1" applyFont="1" applyFill="1" applyBorder="1" applyAlignment="1">
      <alignment horizontal="left"/>
    </xf>
    <xf numFmtId="175" fontId="0" fillId="21" borderId="26" xfId="0" applyNumberFormat="1" applyFill="1" applyBorder="1"/>
    <xf numFmtId="175" fontId="7" fillId="10" borderId="26" xfId="0" applyNumberFormat="1" applyFont="1" applyFill="1" applyBorder="1" applyAlignment="1">
      <alignment horizontal="left"/>
    </xf>
    <xf numFmtId="175" fontId="6" fillId="10" borderId="26" xfId="0" applyNumberFormat="1" applyFont="1" applyFill="1" applyBorder="1"/>
    <xf numFmtId="0" fontId="25" fillId="14" borderId="26" xfId="0" applyFont="1" applyFill="1" applyBorder="1" applyAlignment="1">
      <alignment horizontal="center" vertical="center"/>
    </xf>
    <xf numFmtId="0" fontId="25" fillId="14" borderId="26" xfId="0" applyFont="1" applyFill="1" applyBorder="1" applyAlignment="1">
      <alignment horizontal="left"/>
    </xf>
    <xf numFmtId="0" fontId="25" fillId="14" borderId="26" xfId="0" applyFont="1" applyFill="1" applyBorder="1" applyAlignment="1">
      <alignment horizontal="left" wrapText="1"/>
    </xf>
    <xf numFmtId="0" fontId="26" fillId="3" borderId="0" xfId="0" applyFont="1" applyFill="1"/>
    <xf numFmtId="0" fontId="41" fillId="3" borderId="0" xfId="0" applyFont="1" applyFill="1"/>
    <xf numFmtId="0" fontId="21" fillId="0" borderId="40" xfId="0" applyFont="1" applyBorder="1" applyAlignment="1">
      <alignment vertical="center"/>
    </xf>
    <xf numFmtId="0" fontId="8" fillId="0" borderId="40" xfId="0" applyFont="1" applyBorder="1"/>
    <xf numFmtId="175" fontId="8" fillId="0" borderId="40" xfId="0" applyNumberFormat="1" applyFont="1" applyBorder="1"/>
    <xf numFmtId="0" fontId="37" fillId="3" borderId="40" xfId="0" applyFont="1" applyFill="1" applyBorder="1"/>
    <xf numFmtId="175" fontId="0" fillId="0" borderId="54" xfId="0" applyNumberFormat="1" applyBorder="1"/>
    <xf numFmtId="0" fontId="21" fillId="12" borderId="4" xfId="0" applyFont="1" applyFill="1" applyBorder="1" applyAlignment="1">
      <alignment vertical="center"/>
    </xf>
    <xf numFmtId="0" fontId="8" fillId="12" borderId="4" xfId="0" applyFont="1" applyFill="1" applyBorder="1"/>
    <xf numFmtId="0" fontId="8" fillId="12" borderId="4" xfId="0" applyFont="1" applyFill="1" applyBorder="1" applyAlignment="1">
      <alignment wrapText="1"/>
    </xf>
    <xf numFmtId="175" fontId="8" fillId="12" borderId="4" xfId="0" applyNumberFormat="1" applyFont="1" applyFill="1" applyBorder="1"/>
    <xf numFmtId="170" fontId="8" fillId="12" borderId="4" xfId="4" applyNumberFormat="1" applyFont="1" applyFill="1" applyBorder="1"/>
    <xf numFmtId="0" fontId="8" fillId="0" borderId="4" xfId="0" applyFont="1" applyBorder="1" applyAlignment="1">
      <alignment vertical="center"/>
    </xf>
    <xf numFmtId="0" fontId="8" fillId="0" borderId="4" xfId="0" applyFont="1" applyBorder="1"/>
    <xf numFmtId="175" fontId="8" fillId="0" borderId="4" xfId="0" applyNumberFormat="1" applyFont="1" applyBorder="1"/>
    <xf numFmtId="170" fontId="8" fillId="0" borderId="4" xfId="0" applyNumberFormat="1" applyFont="1" applyBorder="1"/>
    <xf numFmtId="175" fontId="0" fillId="21" borderId="4" xfId="0" applyNumberFormat="1" applyFill="1" applyBorder="1" applyAlignment="1">
      <alignment horizontal="center"/>
    </xf>
    <xf numFmtId="175" fontId="0" fillId="15" borderId="4" xfId="0" applyNumberFormat="1" applyFill="1" applyBorder="1" applyAlignment="1">
      <alignment horizontal="center"/>
    </xf>
    <xf numFmtId="175" fontId="6" fillId="10" borderId="4" xfId="0" applyNumberFormat="1" applyFont="1" applyFill="1" applyBorder="1" applyAlignment="1">
      <alignment horizontal="center"/>
    </xf>
    <xf numFmtId="0" fontId="42" fillId="12" borderId="4" xfId="0" applyFont="1" applyFill="1" applyBorder="1" applyAlignment="1">
      <alignment vertical="center"/>
    </xf>
    <xf numFmtId="0" fontId="25" fillId="12" borderId="4" xfId="0" applyFont="1" applyFill="1" applyBorder="1"/>
    <xf numFmtId="0" fontId="25" fillId="12" borderId="4" xfId="0" applyFont="1" applyFill="1" applyBorder="1" applyAlignment="1">
      <alignment wrapText="1"/>
    </xf>
    <xf numFmtId="175" fontId="25" fillId="12" borderId="4" xfId="0" applyNumberFormat="1" applyFont="1" applyFill="1" applyBorder="1"/>
    <xf numFmtId="0" fontId="25" fillId="12" borderId="4" xfId="0" applyFont="1" applyFill="1" applyBorder="1" applyAlignment="1">
      <alignment horizontal="left"/>
    </xf>
    <xf numFmtId="175" fontId="0" fillId="15" borderId="1" xfId="0" applyNumberFormat="1" applyFill="1" applyBorder="1"/>
    <xf numFmtId="175" fontId="0" fillId="21" borderId="1" xfId="0" applyNumberFormat="1" applyFill="1" applyBorder="1"/>
    <xf numFmtId="175" fontId="6" fillId="10" borderId="1" xfId="0" applyNumberFormat="1" applyFont="1" applyFill="1" applyBorder="1"/>
    <xf numFmtId="1" fontId="43" fillId="4" borderId="27" xfId="0" applyNumberFormat="1" applyFont="1" applyFill="1" applyBorder="1" applyAlignment="1">
      <alignment horizontal="left"/>
    </xf>
    <xf numFmtId="1" fontId="44" fillId="4" borderId="27" xfId="0" applyNumberFormat="1" applyFont="1" applyFill="1" applyBorder="1" applyAlignment="1">
      <alignment horizontal="left"/>
    </xf>
    <xf numFmtId="1" fontId="44" fillId="4" borderId="28" xfId="0" applyNumberFormat="1" applyFont="1" applyFill="1" applyBorder="1" applyAlignment="1">
      <alignment horizontal="left"/>
    </xf>
    <xf numFmtId="49" fontId="43" fillId="4" borderId="29" xfId="0" applyNumberFormat="1" applyFont="1" applyFill="1" applyBorder="1" applyAlignment="1">
      <alignment horizontal="left"/>
    </xf>
    <xf numFmtId="49" fontId="44" fillId="4" borderId="30" xfId="0" applyNumberFormat="1" applyFont="1" applyFill="1" applyBorder="1" applyAlignment="1">
      <alignment horizontal="left"/>
    </xf>
    <xf numFmtId="0" fontId="44" fillId="4" borderId="31" xfId="0" applyNumberFormat="1" applyFont="1" applyFill="1" applyBorder="1" applyAlignment="1">
      <alignment horizontal="left"/>
    </xf>
    <xf numFmtId="0" fontId="44" fillId="4" borderId="32" xfId="0" applyNumberFormat="1" applyFont="1" applyFill="1" applyBorder="1" applyAlignment="1">
      <alignment horizontal="left"/>
    </xf>
    <xf numFmtId="0" fontId="44" fillId="4" borderId="33" xfId="0" applyNumberFormat="1" applyFont="1" applyFill="1" applyBorder="1" applyAlignment="1">
      <alignment horizontal="left"/>
    </xf>
    <xf numFmtId="0" fontId="44" fillId="4" borderId="34" xfId="0" applyNumberFormat="1" applyFont="1" applyFill="1" applyBorder="1" applyAlignment="1">
      <alignment horizontal="left" vertical="center"/>
    </xf>
    <xf numFmtId="49" fontId="44" fillId="4" borderId="34" xfId="0" applyNumberFormat="1" applyFont="1" applyFill="1" applyBorder="1" applyAlignment="1">
      <alignment horizontal="left" vertical="center"/>
    </xf>
    <xf numFmtId="0" fontId="44" fillId="4" borderId="35" xfId="0" applyNumberFormat="1" applyFont="1" applyFill="1" applyBorder="1" applyAlignment="1">
      <alignment horizontal="left" vertical="center"/>
    </xf>
    <xf numFmtId="49" fontId="45" fillId="4" borderId="36" xfId="0" applyNumberFormat="1" applyFont="1" applyFill="1" applyBorder="1" applyAlignment="1">
      <alignment horizontal="center" vertical="center"/>
    </xf>
    <xf numFmtId="49" fontId="46" fillId="4" borderId="36" xfId="0" applyNumberFormat="1" applyFont="1" applyFill="1" applyBorder="1" applyAlignment="1">
      <alignment horizontal="center" vertical="center"/>
    </xf>
    <xf numFmtId="49" fontId="46" fillId="4" borderId="37" xfId="0" applyNumberFormat="1" applyFont="1" applyFill="1" applyBorder="1" applyAlignment="1">
      <alignment horizontal="center" vertical="center"/>
    </xf>
    <xf numFmtId="49" fontId="46" fillId="4" borderId="38" xfId="0" applyNumberFormat="1" applyFont="1" applyFill="1" applyBorder="1" applyAlignment="1">
      <alignment horizontal="center" vertical="center"/>
    </xf>
    <xf numFmtId="175" fontId="7" fillId="21" borderId="26" xfId="0" applyNumberFormat="1" applyFont="1" applyFill="1" applyBorder="1" applyAlignment="1">
      <alignment horizontal="left"/>
    </xf>
    <xf numFmtId="175" fontId="6" fillId="21" borderId="26" xfId="0" applyNumberFormat="1" applyFont="1" applyFill="1" applyBorder="1"/>
    <xf numFmtId="0" fontId="0" fillId="0" borderId="56" xfId="0" applyBorder="1"/>
    <xf numFmtId="0" fontId="0" fillId="0" borderId="57" xfId="0" applyBorder="1"/>
    <xf numFmtId="0" fontId="0" fillId="0" borderId="58" xfId="0" applyBorder="1"/>
    <xf numFmtId="175" fontId="6" fillId="10" borderId="54" xfId="0" applyNumberFormat="1" applyFont="1" applyFill="1" applyBorder="1" applyAlignment="1">
      <alignment horizontal="center"/>
    </xf>
    <xf numFmtId="175" fontId="48" fillId="21" borderId="4" xfId="0" applyNumberFormat="1" applyFont="1" applyFill="1" applyBorder="1" applyAlignment="1">
      <alignment horizontal="center"/>
    </xf>
    <xf numFmtId="170" fontId="47" fillId="0" borderId="4" xfId="0" applyNumberFormat="1" applyFont="1" applyFill="1" applyBorder="1"/>
    <xf numFmtId="175" fontId="48" fillId="0" borderId="4" xfId="0" applyNumberFormat="1" applyFont="1" applyFill="1" applyBorder="1" applyAlignment="1">
      <alignment horizontal="center"/>
    </xf>
    <xf numFmtId="170" fontId="8" fillId="0" borderId="4" xfId="0" applyNumberFormat="1" applyFont="1" applyFill="1" applyBorder="1"/>
    <xf numFmtId="170" fontId="3" fillId="16" borderId="3" xfId="0" applyNumberFormat="1" applyFont="1" applyFill="1" applyBorder="1" applyAlignment="1">
      <alignment horizontal="center" wrapText="1"/>
    </xf>
    <xf numFmtId="175" fontId="0" fillId="15" borderId="53" xfId="0" applyNumberFormat="1" applyFill="1" applyBorder="1"/>
    <xf numFmtId="175" fontId="6" fillId="21" borderId="1" xfId="0" applyNumberFormat="1" applyFont="1" applyFill="1" applyBorder="1"/>
    <xf numFmtId="170" fontId="0" fillId="0" borderId="0" xfId="0" applyNumberFormat="1" applyAlignment="1">
      <alignment horizontal="right"/>
    </xf>
    <xf numFmtId="0" fontId="0" fillId="0" borderId="0" xfId="0" applyAlignment="1">
      <alignment vertical="center"/>
    </xf>
    <xf numFmtId="0" fontId="0" fillId="0" borderId="0" xfId="0" applyAlignment="1">
      <alignment vertical="center" wrapText="1"/>
    </xf>
    <xf numFmtId="0" fontId="7" fillId="24" borderId="40" xfId="0" applyFont="1" applyFill="1" applyBorder="1"/>
    <xf numFmtId="0" fontId="7" fillId="24" borderId="40" xfId="0" applyFont="1" applyFill="1" applyBorder="1" applyAlignment="1">
      <alignment horizontal="center"/>
    </xf>
    <xf numFmtId="0" fontId="7" fillId="25" borderId="40" xfId="0" applyFont="1" applyFill="1" applyBorder="1" applyAlignment="1">
      <alignment horizontal="center"/>
    </xf>
    <xf numFmtId="0" fontId="7" fillId="24" borderId="39" xfId="0" applyFont="1" applyFill="1" applyBorder="1" applyAlignment="1">
      <alignment horizontal="center"/>
    </xf>
    <xf numFmtId="0" fontId="49" fillId="0" borderId="55" xfId="0" applyFont="1" applyBorder="1"/>
    <xf numFmtId="0" fontId="49" fillId="0" borderId="55" xfId="0" applyFont="1" applyBorder="1" applyAlignment="1">
      <alignment horizontal="center" vertical="center" wrapText="1"/>
    </xf>
    <xf numFmtId="169" fontId="49" fillId="0" borderId="55" xfId="0" applyNumberFormat="1" applyFont="1" applyBorder="1"/>
    <xf numFmtId="164" fontId="49" fillId="0" borderId="55" xfId="0" applyNumberFormat="1" applyFont="1" applyBorder="1" applyAlignment="1">
      <alignment vertical="center" wrapText="1"/>
    </xf>
    <xf numFmtId="0" fontId="2" fillId="0" borderId="55" xfId="0" applyFont="1" applyBorder="1"/>
    <xf numFmtId="0" fontId="49" fillId="0" borderId="0" xfId="0" applyFont="1" applyBorder="1"/>
    <xf numFmtId="0" fontId="50" fillId="2" borderId="0" xfId="0" applyFont="1" applyFill="1" applyBorder="1" applyAlignment="1">
      <alignment horizontal="center"/>
    </xf>
    <xf numFmtId="0" fontId="7" fillId="8" borderId="63" xfId="0" applyFont="1" applyFill="1" applyBorder="1" applyAlignment="1">
      <alignment wrapText="1"/>
    </xf>
    <xf numFmtId="0" fontId="7" fillId="2" borderId="60" xfId="0" applyFont="1" applyFill="1" applyBorder="1" applyAlignment="1">
      <alignment horizontal="center" wrapText="1"/>
    </xf>
    <xf numFmtId="0" fontId="20" fillId="2" borderId="60" xfId="0" applyFont="1" applyFill="1" applyBorder="1" applyAlignment="1">
      <alignment horizontal="center" wrapText="1"/>
    </xf>
    <xf numFmtId="0" fontId="6" fillId="7" borderId="64" xfId="0" applyFont="1" applyFill="1" applyBorder="1" applyAlignment="1">
      <alignment wrapText="1"/>
    </xf>
    <xf numFmtId="0" fontId="20" fillId="7" borderId="64" xfId="0" applyFont="1" applyFill="1" applyBorder="1" applyAlignment="1">
      <alignment wrapText="1"/>
    </xf>
    <xf numFmtId="167" fontId="49" fillId="26" borderId="44" xfId="0" applyNumberFormat="1" applyFont="1" applyFill="1" applyBorder="1" applyAlignment="1">
      <alignment wrapText="1"/>
    </xf>
    <xf numFmtId="0" fontId="49" fillId="0" borderId="44" xfId="0" applyFont="1" applyBorder="1" applyAlignment="1">
      <alignment horizontal="center" vertical="center" wrapText="1"/>
    </xf>
    <xf numFmtId="3" fontId="51" fillId="0" borderId="65" xfId="0" applyNumberFormat="1" applyFont="1" applyBorder="1" applyAlignment="1">
      <alignment vertical="center" wrapText="1"/>
    </xf>
    <xf numFmtId="3" fontId="52" fillId="0" borderId="65" xfId="0" applyNumberFormat="1" applyFont="1" applyBorder="1" applyAlignment="1">
      <alignment vertical="center" wrapText="1"/>
    </xf>
    <xf numFmtId="167" fontId="20" fillId="2" borderId="65" xfId="0" applyNumberFormat="1" applyFont="1" applyFill="1" applyBorder="1" applyAlignment="1">
      <alignment horizontal="right" vertical="center" wrapText="1"/>
    </xf>
    <xf numFmtId="3" fontId="1" fillId="0" borderId="44" xfId="0" applyNumberFormat="1" applyFont="1" applyBorder="1" applyAlignment="1">
      <alignment wrapText="1"/>
    </xf>
    <xf numFmtId="167" fontId="20" fillId="7" borderId="65" xfId="0" applyNumberFormat="1" applyFont="1" applyFill="1" applyBorder="1" applyAlignment="1">
      <alignment wrapText="1"/>
    </xf>
    <xf numFmtId="167" fontId="53" fillId="27" borderId="44" xfId="0" applyNumberFormat="1" applyFont="1" applyFill="1" applyBorder="1" applyAlignment="1">
      <alignment wrapText="1"/>
    </xf>
    <xf numFmtId="3" fontId="52" fillId="0" borderId="44" xfId="0" applyNumberFormat="1" applyFont="1" applyBorder="1" applyAlignment="1">
      <alignment vertical="center" wrapText="1"/>
    </xf>
    <xf numFmtId="3" fontId="51" fillId="0" borderId="44" xfId="0" applyNumberFormat="1" applyFont="1" applyBorder="1" applyAlignment="1">
      <alignment vertical="center" wrapText="1"/>
    </xf>
    <xf numFmtId="167" fontId="20" fillId="2" borderId="44" xfId="0" applyNumberFormat="1" applyFont="1" applyFill="1" applyBorder="1" applyAlignment="1">
      <alignment horizontal="right" vertical="center" wrapText="1"/>
    </xf>
    <xf numFmtId="0" fontId="0" fillId="22" borderId="0" xfId="0" applyFill="1"/>
    <xf numFmtId="3" fontId="53" fillId="27" borderId="44" xfId="0" applyNumberFormat="1" applyFont="1" applyFill="1" applyBorder="1" applyAlignment="1">
      <alignment wrapText="1"/>
    </xf>
    <xf numFmtId="0" fontId="49" fillId="0" borderId="44" xfId="0" applyFont="1" applyFill="1" applyBorder="1" applyAlignment="1">
      <alignment horizontal="center" vertical="center" wrapText="1"/>
    </xf>
    <xf numFmtId="3" fontId="51" fillId="26" borderId="44" xfId="0" applyNumberFormat="1" applyFont="1" applyFill="1" applyBorder="1" applyAlignment="1">
      <alignment wrapText="1"/>
    </xf>
    <xf numFmtId="3" fontId="1" fillId="27" borderId="44" xfId="0" applyNumberFormat="1" applyFont="1" applyFill="1" applyBorder="1" applyAlignment="1">
      <alignment wrapText="1"/>
    </xf>
    <xf numFmtId="164" fontId="20" fillId="2" borderId="44" xfId="0" applyNumberFormat="1" applyFont="1" applyFill="1" applyBorder="1" applyAlignment="1">
      <alignment horizontal="right" vertical="center" wrapText="1"/>
    </xf>
    <xf numFmtId="3" fontId="51" fillId="26" borderId="44" xfId="0" applyNumberFormat="1" applyFont="1" applyFill="1" applyBorder="1" applyAlignment="1">
      <alignment vertical="center" wrapText="1"/>
    </xf>
    <xf numFmtId="3" fontId="52" fillId="26" borderId="44" xfId="0" applyNumberFormat="1" applyFont="1" applyFill="1" applyBorder="1" applyAlignment="1">
      <alignment vertical="center" wrapText="1"/>
    </xf>
    <xf numFmtId="167" fontId="3" fillId="2" borderId="44" xfId="0" applyNumberFormat="1" applyFont="1" applyFill="1" applyBorder="1" applyAlignment="1">
      <alignment horizontal="left" vertical="top" wrapText="1"/>
    </xf>
    <xf numFmtId="3" fontId="51" fillId="0" borderId="44" xfId="0" applyNumberFormat="1" applyFont="1" applyBorder="1" applyAlignment="1">
      <alignment horizontal="center" vertical="center" wrapText="1"/>
    </xf>
    <xf numFmtId="3" fontId="54" fillId="23" borderId="44" xfId="0" applyNumberFormat="1" applyFont="1" applyFill="1" applyBorder="1" applyAlignment="1">
      <alignment horizontal="center" vertical="center" wrapText="1"/>
    </xf>
    <xf numFmtId="3" fontId="51" fillId="23" borderId="44" xfId="0" applyNumberFormat="1" applyFont="1" applyFill="1" applyBorder="1" applyAlignment="1">
      <alignment horizontal="center" vertical="center" wrapText="1"/>
    </xf>
    <xf numFmtId="167" fontId="20" fillId="2" borderId="0" xfId="0" applyNumberFormat="1" applyFont="1" applyFill="1" applyBorder="1" applyAlignment="1">
      <alignment horizontal="right" vertical="center" wrapText="1"/>
    </xf>
    <xf numFmtId="0" fontId="49" fillId="0" borderId="44" xfId="0" applyFont="1" applyBorder="1" applyAlignment="1">
      <alignment horizontal="right" vertical="center" wrapText="1"/>
    </xf>
    <xf numFmtId="3" fontId="2" fillId="0" borderId="44" xfId="0" applyNumberFormat="1" applyFont="1" applyBorder="1" applyAlignment="1">
      <alignment wrapText="1"/>
    </xf>
    <xf numFmtId="3" fontId="1" fillId="14" borderId="44" xfId="0" applyNumberFormat="1" applyFont="1" applyFill="1" applyBorder="1" applyAlignment="1">
      <alignment wrapText="1"/>
    </xf>
    <xf numFmtId="3" fontId="1" fillId="20" borderId="44" xfId="0" applyNumberFormat="1" applyFont="1" applyFill="1" applyBorder="1" applyAlignment="1">
      <alignment wrapText="1"/>
    </xf>
    <xf numFmtId="0" fontId="0" fillId="0" borderId="0" xfId="0" applyAlignment="1">
      <alignment horizontal="center"/>
    </xf>
    <xf numFmtId="0" fontId="7" fillId="8" borderId="44" xfId="0" applyFont="1" applyFill="1" applyBorder="1" applyAlignment="1">
      <alignment horizontal="center" wrapText="1"/>
    </xf>
    <xf numFmtId="0" fontId="7" fillId="8" borderId="44" xfId="0" applyFont="1" applyFill="1" applyBorder="1" applyAlignment="1">
      <alignment wrapText="1"/>
    </xf>
    <xf numFmtId="0" fontId="7" fillId="8" borderId="44" xfId="0" applyFont="1" applyFill="1" applyBorder="1" applyAlignment="1">
      <alignment horizontal="left" vertical="center" wrapText="1"/>
    </xf>
    <xf numFmtId="0" fontId="7" fillId="8" borderId="66" xfId="0" applyFont="1" applyFill="1" applyBorder="1" applyAlignment="1">
      <alignment wrapText="1"/>
    </xf>
    <xf numFmtId="0" fontId="11" fillId="8" borderId="66" xfId="0" applyFont="1" applyFill="1" applyBorder="1" applyAlignment="1">
      <alignment wrapText="1"/>
    </xf>
    <xf numFmtId="0" fontId="27" fillId="0" borderId="44" xfId="0" applyFont="1" applyBorder="1" applyAlignment="1">
      <alignment vertical="center" wrapText="1"/>
    </xf>
    <xf numFmtId="0" fontId="27" fillId="0" borderId="44" xfId="0" applyFont="1" applyBorder="1" applyAlignment="1">
      <alignment horizontal="left" vertical="center" wrapText="1"/>
    </xf>
    <xf numFmtId="0" fontId="27" fillId="0" borderId="44" xfId="0" applyFont="1" applyBorder="1" applyAlignment="1">
      <alignment horizontal="left" vertical="top" wrapText="1"/>
    </xf>
    <xf numFmtId="3" fontId="27" fillId="0" borderId="4" xfId="0" applyNumberFormat="1" applyFont="1" applyFill="1" applyBorder="1" applyAlignment="1"/>
    <xf numFmtId="3" fontId="27" fillId="0" borderId="4" xfId="0" applyNumberFormat="1" applyFont="1" applyBorder="1" applyAlignment="1"/>
    <xf numFmtId="3" fontId="27" fillId="0" borderId="4" xfId="0" quotePrefix="1" applyNumberFormat="1" applyFont="1" applyBorder="1" applyAlignment="1"/>
    <xf numFmtId="0" fontId="27" fillId="0" borderId="44" xfId="0" quotePrefix="1" applyFont="1" applyBorder="1" applyAlignment="1">
      <alignment horizontal="left" vertical="center" wrapText="1"/>
    </xf>
    <xf numFmtId="0" fontId="27" fillId="0" borderId="44" xfId="0" quotePrefix="1" applyFont="1" applyFill="1" applyBorder="1" applyAlignment="1">
      <alignment horizontal="left" vertical="center" wrapText="1"/>
    </xf>
    <xf numFmtId="3" fontId="27" fillId="20" borderId="4" xfId="0" quotePrefix="1" applyNumberFormat="1" applyFont="1" applyFill="1" applyBorder="1" applyAlignment="1">
      <alignment horizontal="left" vertical="center"/>
    </xf>
    <xf numFmtId="0" fontId="27" fillId="20" borderId="44" xfId="0" quotePrefix="1" applyFont="1" applyFill="1" applyBorder="1" applyAlignment="1">
      <alignment horizontal="left" vertical="center" wrapText="1"/>
    </xf>
    <xf numFmtId="0" fontId="9" fillId="0" borderId="44" xfId="0" applyFont="1" applyBorder="1" applyAlignment="1">
      <alignment horizontal="center" vertical="center" wrapText="1"/>
    </xf>
    <xf numFmtId="0" fontId="9" fillId="0" borderId="44" xfId="0" quotePrefix="1" applyFont="1" applyBorder="1" applyAlignment="1">
      <alignment horizontal="left" vertical="center" wrapText="1"/>
    </xf>
    <xf numFmtId="0" fontId="57" fillId="0" borderId="44" xfId="0" quotePrefix="1" applyFont="1" applyBorder="1" applyAlignment="1">
      <alignment horizontal="left" vertical="center" wrapText="1"/>
    </xf>
    <xf numFmtId="0" fontId="9" fillId="0" borderId="44" xfId="0" applyFont="1" applyBorder="1" applyAlignment="1">
      <alignment horizontal="left" vertical="center" wrapText="1"/>
    </xf>
    <xf numFmtId="0" fontId="20" fillId="2" borderId="1" xfId="0" applyFont="1" applyFill="1" applyBorder="1" applyAlignment="1">
      <alignment horizontal="center"/>
    </xf>
    <xf numFmtId="0" fontId="20" fillId="2" borderId="1" xfId="0" applyFont="1" applyFill="1" applyBorder="1" applyAlignment="1">
      <alignment horizontal="center" wrapText="1"/>
    </xf>
    <xf numFmtId="0" fontId="68" fillId="0" borderId="1" xfId="3" applyFont="1" applyBorder="1" applyAlignment="1">
      <alignment horizontal="center"/>
    </xf>
    <xf numFmtId="0" fontId="27" fillId="0" borderId="1" xfId="0" applyFont="1" applyBorder="1" applyAlignment="1">
      <alignment vertical="center"/>
    </xf>
    <xf numFmtId="0" fontId="27" fillId="0" borderId="1" xfId="0" applyFont="1" applyBorder="1" applyAlignment="1">
      <alignment vertical="center" wrapText="1"/>
    </xf>
    <xf numFmtId="0" fontId="7" fillId="2" borderId="0" xfId="0" applyFont="1" applyFill="1"/>
    <xf numFmtId="0" fontId="68" fillId="0" borderId="40" xfId="3" applyFont="1" applyBorder="1" applyAlignment="1">
      <alignment horizontal="center"/>
    </xf>
    <xf numFmtId="0" fontId="27" fillId="0" borderId="40" xfId="0" applyFont="1" applyBorder="1" applyAlignment="1">
      <alignment vertical="center"/>
    </xf>
    <xf numFmtId="0" fontId="27" fillId="0" borderId="40" xfId="0" applyFont="1" applyBorder="1" applyAlignment="1">
      <alignment vertical="center" wrapText="1"/>
    </xf>
    <xf numFmtId="0" fontId="2" fillId="2" borderId="0" xfId="0" applyFont="1" applyFill="1"/>
    <xf numFmtId="0" fontId="2" fillId="2" borderId="0" xfId="0" applyFont="1" applyFill="1" applyAlignment="1">
      <alignment wrapText="1"/>
    </xf>
    <xf numFmtId="0" fontId="2" fillId="0" borderId="4" xfId="0" applyFont="1" applyBorder="1" applyAlignment="1">
      <alignment vertical="center"/>
    </xf>
    <xf numFmtId="0" fontId="2" fillId="0" borderId="4" xfId="0" applyFont="1" applyBorder="1" applyAlignment="1">
      <alignment vertical="center" wrapText="1"/>
    </xf>
    <xf numFmtId="0" fontId="4" fillId="0" borderId="4" xfId="3" applyBorder="1" applyAlignment="1">
      <alignment horizontal="center"/>
    </xf>
    <xf numFmtId="0" fontId="69" fillId="0" borderId="0" xfId="0" applyFont="1"/>
    <xf numFmtId="0" fontId="3" fillId="4" borderId="67" xfId="0" applyFont="1" applyFill="1" applyBorder="1" applyAlignment="1">
      <alignment horizontal="left"/>
    </xf>
    <xf numFmtId="0" fontId="3" fillId="4" borderId="67" xfId="0" applyFont="1" applyFill="1" applyBorder="1" applyAlignment="1">
      <alignment horizontal="center"/>
    </xf>
    <xf numFmtId="170" fontId="2" fillId="12" borderId="26" xfId="4" applyNumberFormat="1" applyFont="1" applyFill="1" applyBorder="1" applyAlignment="1">
      <alignment horizontal="right"/>
    </xf>
    <xf numFmtId="175" fontId="2" fillId="12" borderId="26" xfId="0" applyNumberFormat="1" applyFont="1" applyFill="1" applyBorder="1" applyAlignment="1">
      <alignment horizontal="left"/>
    </xf>
    <xf numFmtId="175" fontId="0" fillId="12" borderId="26" xfId="0" applyNumberFormat="1" applyFill="1" applyBorder="1"/>
    <xf numFmtId="0" fontId="3" fillId="7" borderId="0" xfId="0" applyFont="1" applyFill="1" applyAlignment="1">
      <alignment horizontal="center"/>
    </xf>
    <xf numFmtId="0" fontId="2" fillId="0" borderId="1" xfId="0" applyFont="1" applyBorder="1"/>
    <xf numFmtId="171" fontId="2" fillId="0" borderId="1" xfId="0" applyNumberFormat="1" applyFont="1" applyBorder="1" applyAlignment="1">
      <alignment wrapText="1"/>
    </xf>
    <xf numFmtId="0" fontId="2" fillId="0" borderId="1" xfId="0" applyFont="1" applyBorder="1" applyAlignment="1">
      <alignment vertical="center"/>
    </xf>
    <xf numFmtId="171" fontId="2" fillId="20" borderId="1" xfId="0" applyNumberFormat="1" applyFont="1" applyFill="1" applyBorder="1" applyAlignment="1">
      <alignment wrapText="1"/>
    </xf>
    <xf numFmtId="0" fontId="2" fillId="3" borderId="1" xfId="0" applyFont="1" applyFill="1" applyBorder="1"/>
    <xf numFmtId="0" fontId="70" fillId="12" borderId="1" xfId="0" applyFont="1" applyFill="1" applyBorder="1"/>
    <xf numFmtId="171" fontId="70" fillId="12" borderId="1" xfId="0" applyNumberFormat="1" applyFont="1" applyFill="1" applyBorder="1"/>
    <xf numFmtId="170" fontId="2" fillId="0" borderId="1" xfId="4" applyNumberFormat="1" applyFont="1" applyBorder="1" applyAlignment="1">
      <alignment vertical="center"/>
    </xf>
    <xf numFmtId="170" fontId="2" fillId="12" borderId="9" xfId="4" applyNumberFormat="1" applyFont="1" applyFill="1" applyBorder="1" applyAlignment="1">
      <alignment vertical="center"/>
    </xf>
    <xf numFmtId="174" fontId="2" fillId="0" borderId="4" xfId="4" applyNumberFormat="1" applyFont="1" applyBorder="1"/>
    <xf numFmtId="174" fontId="2" fillId="12" borderId="4" xfId="4" applyNumberFormat="1" applyFont="1" applyFill="1" applyBorder="1"/>
    <xf numFmtId="170" fontId="2" fillId="0" borderId="39" xfId="4" applyNumberFormat="1" applyFont="1" applyFill="1" applyBorder="1" applyAlignment="1">
      <alignment vertical="center"/>
    </xf>
    <xf numFmtId="170" fontId="2" fillId="12" borderId="9" xfId="0" applyNumberFormat="1" applyFont="1" applyFill="1" applyBorder="1" applyAlignment="1">
      <alignment vertical="center"/>
    </xf>
    <xf numFmtId="171" fontId="2" fillId="12" borderId="9" xfId="0" applyNumberFormat="1" applyFont="1" applyFill="1" applyBorder="1" applyAlignment="1">
      <alignment vertical="center"/>
    </xf>
    <xf numFmtId="170" fontId="70" fillId="12" borderId="1" xfId="4" applyNumberFormat="1" applyFont="1" applyFill="1" applyBorder="1"/>
    <xf numFmtId="170" fontId="70" fillId="12" borderId="9" xfId="0" applyNumberFormat="1" applyFont="1" applyFill="1" applyBorder="1" applyAlignment="1">
      <alignment vertical="center"/>
    </xf>
    <xf numFmtId="174" fontId="70" fillId="12" borderId="4" xfId="4" applyNumberFormat="1" applyFont="1" applyFill="1" applyBorder="1" applyAlignment="1">
      <alignment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169" fontId="2" fillId="0" borderId="1" xfId="0" applyNumberFormat="1" applyFont="1" applyBorder="1" applyAlignment="1">
      <alignment horizontal="center" vertical="center"/>
    </xf>
    <xf numFmtId="0" fontId="30" fillId="3" borderId="3" xfId="0" applyFont="1" applyFill="1" applyBorder="1" applyAlignment="1">
      <alignment horizontal="center" textRotation="90" wrapText="1"/>
    </xf>
    <xf numFmtId="0" fontId="1" fillId="5" borderId="0" xfId="0" applyFont="1" applyFill="1"/>
    <xf numFmtId="0" fontId="71" fillId="0" borderId="1" xfId="0" applyFont="1" applyBorder="1"/>
    <xf numFmtId="0" fontId="1" fillId="0" borderId="1" xfId="0" applyFont="1" applyBorder="1"/>
    <xf numFmtId="170" fontId="1" fillId="0" borderId="1" xfId="4" applyNumberFormat="1" applyFont="1" applyBorder="1"/>
    <xf numFmtId="175" fontId="1" fillId="0" borderId="1" xfId="0" applyNumberFormat="1" applyFont="1" applyBorder="1"/>
    <xf numFmtId="0" fontId="1" fillId="0" borderId="4" xfId="0" applyFont="1" applyBorder="1"/>
    <xf numFmtId="175" fontId="1" fillId="0" borderId="4" xfId="0" applyNumberFormat="1" applyFont="1" applyBorder="1"/>
    <xf numFmtId="0" fontId="2" fillId="12" borderId="1" xfId="0" applyFont="1" applyFill="1" applyBorder="1"/>
    <xf numFmtId="0" fontId="2" fillId="12" borderId="1" xfId="0" applyFont="1" applyFill="1" applyBorder="1" applyAlignment="1">
      <alignment wrapText="1"/>
    </xf>
    <xf numFmtId="170" fontId="2" fillId="12" borderId="1" xfId="4" applyNumberFormat="1" applyFont="1" applyFill="1" applyBorder="1"/>
    <xf numFmtId="175" fontId="2" fillId="15" borderId="1" xfId="0" applyNumberFormat="1" applyFont="1" applyFill="1" applyBorder="1"/>
    <xf numFmtId="170" fontId="2" fillId="0" borderId="1" xfId="4" applyNumberFormat="1" applyFont="1" applyBorder="1"/>
    <xf numFmtId="175" fontId="2" fillId="0" borderId="1" xfId="0" applyNumberFormat="1" applyFont="1" applyBorder="1"/>
    <xf numFmtId="175" fontId="2" fillId="21" borderId="1" xfId="0" applyNumberFormat="1" applyFont="1" applyFill="1" applyBorder="1"/>
    <xf numFmtId="175" fontId="7" fillId="10" borderId="1" xfId="0" applyNumberFormat="1" applyFont="1" applyFill="1" applyBorder="1"/>
    <xf numFmtId="0" fontId="2" fillId="12" borderId="53" xfId="0" applyFont="1" applyFill="1" applyBorder="1"/>
    <xf numFmtId="0" fontId="2" fillId="12" borderId="53" xfId="0" applyFont="1" applyFill="1" applyBorder="1" applyAlignment="1">
      <alignment wrapText="1"/>
    </xf>
    <xf numFmtId="170" fontId="2" fillId="12" borderId="53" xfId="4" applyNumberFormat="1" applyFont="1" applyFill="1" applyBorder="1"/>
    <xf numFmtId="175" fontId="2" fillId="21" borderId="53" xfId="0" applyNumberFormat="1" applyFont="1" applyFill="1" applyBorder="1"/>
    <xf numFmtId="0" fontId="8" fillId="12" borderId="4" xfId="0" applyFont="1" applyFill="1" applyBorder="1" applyAlignment="1">
      <alignment vertical="center"/>
    </xf>
    <xf numFmtId="170" fontId="1" fillId="0" borderId="0" xfId="4" applyNumberFormat="1" applyFont="1"/>
    <xf numFmtId="0" fontId="31" fillId="5" borderId="2" xfId="0" applyFont="1" applyFill="1" applyBorder="1" applyAlignment="1">
      <alignment horizontal="center" textRotation="90" wrapText="1"/>
    </xf>
    <xf numFmtId="0" fontId="32" fillId="5" borderId="2" xfId="0" applyFont="1" applyFill="1" applyBorder="1" applyAlignment="1">
      <alignment horizontal="center" textRotation="90" wrapText="1"/>
    </xf>
    <xf numFmtId="0" fontId="20" fillId="3" borderId="3" xfId="0" applyFont="1" applyFill="1" applyBorder="1" applyAlignment="1">
      <alignment horizontal="center" vertical="center" wrapText="1"/>
    </xf>
    <xf numFmtId="0" fontId="3" fillId="3" borderId="3" xfId="0" applyFont="1" applyFill="1" applyBorder="1" applyAlignment="1">
      <alignment horizontal="center" textRotation="90" wrapText="1"/>
    </xf>
    <xf numFmtId="0" fontId="20" fillId="3" borderId="3" xfId="0" applyFont="1" applyFill="1" applyBorder="1" applyAlignment="1">
      <alignment horizontal="center" textRotation="90" wrapText="1"/>
    </xf>
    <xf numFmtId="0" fontId="40" fillId="4" borderId="18" xfId="0" applyFont="1" applyFill="1" applyBorder="1" applyAlignment="1">
      <alignment horizontal="center" textRotation="90" wrapText="1"/>
    </xf>
    <xf numFmtId="0" fontId="20" fillId="4" borderId="18" xfId="0" applyFont="1" applyFill="1" applyBorder="1" applyAlignment="1">
      <alignment horizontal="center" vertical="center"/>
    </xf>
    <xf numFmtId="0" fontId="20" fillId="4" borderId="21" xfId="0" applyFont="1" applyFill="1" applyBorder="1" applyAlignment="1">
      <alignment horizontal="center" vertical="center"/>
    </xf>
    <xf numFmtId="0" fontId="39" fillId="4" borderId="22" xfId="0" applyFont="1" applyFill="1" applyBorder="1" applyAlignment="1">
      <alignment horizontal="center" textRotation="90" wrapText="1"/>
    </xf>
    <xf numFmtId="0" fontId="40" fillId="4" borderId="24" xfId="0" applyFont="1" applyFill="1" applyBorder="1" applyAlignment="1">
      <alignment horizontal="center" textRotation="90" wrapText="1"/>
    </xf>
    <xf numFmtId="0" fontId="29" fillId="3" borderId="3" xfId="0" applyFont="1" applyFill="1" applyBorder="1" applyAlignment="1">
      <alignment horizontal="center" textRotation="90" wrapText="1"/>
    </xf>
    <xf numFmtId="0" fontId="20" fillId="4" borderId="17" xfId="0" applyFont="1" applyFill="1" applyBorder="1" applyAlignment="1">
      <alignment horizontal="center" vertical="center"/>
    </xf>
    <xf numFmtId="0" fontId="20" fillId="3" borderId="3" xfId="0" applyFont="1" applyFill="1" applyBorder="1" applyAlignment="1">
      <alignment horizontal="center" vertical="center"/>
    </xf>
    <xf numFmtId="0" fontId="20" fillId="5" borderId="7" xfId="0" applyFont="1" applyFill="1" applyBorder="1" applyAlignment="1">
      <alignment horizontal="center"/>
    </xf>
    <xf numFmtId="0" fontId="20" fillId="5" borderId="8" xfId="0" applyFont="1" applyFill="1" applyBorder="1" applyAlignment="1">
      <alignment horizontal="center"/>
    </xf>
    <xf numFmtId="0" fontId="20" fillId="5" borderId="2" xfId="0" applyFont="1" applyFill="1" applyBorder="1" applyAlignment="1">
      <alignment horizontal="center" vertical="center"/>
    </xf>
    <xf numFmtId="0" fontId="20" fillId="5" borderId="2" xfId="0" applyFont="1" applyFill="1" applyBorder="1" applyAlignment="1">
      <alignment horizontal="center"/>
    </xf>
    <xf numFmtId="0" fontId="7" fillId="5" borderId="0" xfId="0" applyFont="1" applyFill="1"/>
    <xf numFmtId="0" fontId="7" fillId="5" borderId="0" xfId="0" applyFont="1" applyFill="1" applyAlignment="1">
      <alignment horizontal="center" wrapText="1"/>
    </xf>
    <xf numFmtId="0" fontId="70" fillId="0" borderId="1" xfId="0" applyFont="1" applyBorder="1"/>
    <xf numFmtId="0" fontId="27" fillId="0" borderId="4" xfId="0" applyFont="1" applyBorder="1" applyAlignment="1">
      <alignment horizontal="left"/>
    </xf>
    <xf numFmtId="0" fontId="27" fillId="9" borderId="4" xfId="0" applyFont="1" applyFill="1" applyBorder="1" applyAlignment="1">
      <alignment horizontal="left" wrapText="1"/>
    </xf>
    <xf numFmtId="0" fontId="75" fillId="10" borderId="4" xfId="0" applyFont="1" applyFill="1" applyBorder="1" applyAlignment="1">
      <alignment horizontal="center" vertical="top" wrapText="1"/>
    </xf>
    <xf numFmtId="0" fontId="53" fillId="0" borderId="4" xfId="0" applyFont="1" applyBorder="1" applyAlignment="1">
      <alignment horizontal="left" wrapText="1"/>
    </xf>
    <xf numFmtId="0" fontId="27" fillId="3" borderId="4" xfId="0" applyFont="1" applyFill="1" applyBorder="1" applyAlignment="1">
      <alignment horizontal="left" wrapText="1"/>
    </xf>
    <xf numFmtId="0" fontId="7" fillId="11" borderId="0" xfId="0" applyFont="1" applyFill="1" applyBorder="1" applyAlignment="1">
      <alignment vertical="center" wrapText="1"/>
    </xf>
    <xf numFmtId="0" fontId="28" fillId="0" borderId="0" xfId="0" applyFont="1" applyBorder="1" applyAlignment="1">
      <alignment vertical="center" wrapText="1"/>
    </xf>
    <xf numFmtId="0" fontId="27" fillId="0" borderId="4" xfId="0" applyFont="1" applyBorder="1" applyAlignment="1">
      <alignment horizontal="left" wrapText="1"/>
    </xf>
    <xf numFmtId="0" fontId="27" fillId="10" borderId="4" xfId="0" applyFont="1" applyFill="1" applyBorder="1" applyAlignment="1">
      <alignment horizontal="center" vertical="top" wrapText="1"/>
    </xf>
    <xf numFmtId="0" fontId="2" fillId="0" borderId="4" xfId="0" applyFont="1" applyBorder="1" applyAlignment="1">
      <alignment horizontal="left" wrapText="1"/>
    </xf>
    <xf numFmtId="0" fontId="2" fillId="3" borderId="4" xfId="0" applyFont="1" applyFill="1" applyBorder="1" applyAlignment="1">
      <alignment horizontal="left" wrapText="1"/>
    </xf>
    <xf numFmtId="0" fontId="2" fillId="0" borderId="4" xfId="0" applyFont="1" applyFill="1" applyBorder="1" applyAlignment="1">
      <alignment horizontal="left" wrapText="1"/>
    </xf>
    <xf numFmtId="0" fontId="27" fillId="0" borderId="4" xfId="0" applyFont="1" applyBorder="1" applyAlignment="1">
      <alignment horizontal="left" vertical="center"/>
    </xf>
    <xf numFmtId="0" fontId="27" fillId="9" borderId="4" xfId="0" applyFont="1" applyFill="1" applyBorder="1" applyAlignment="1">
      <alignment horizontal="left" vertical="center" wrapText="1"/>
    </xf>
    <xf numFmtId="0" fontId="74" fillId="0" borderId="4" xfId="0" applyFont="1" applyBorder="1" applyAlignment="1">
      <alignment horizontal="left" vertical="center"/>
    </xf>
    <xf numFmtId="0" fontId="74" fillId="9" borderId="4" xfId="0" applyFont="1" applyFill="1" applyBorder="1" applyAlignment="1">
      <alignment horizontal="left" vertical="center" wrapText="1"/>
    </xf>
    <xf numFmtId="0" fontId="27" fillId="10" borderId="4" xfId="0" applyFont="1" applyFill="1" applyBorder="1" applyAlignment="1">
      <alignment horizontal="center" vertical="center" wrapText="1"/>
    </xf>
    <xf numFmtId="0" fontId="2" fillId="0" borderId="4" xfId="0" applyFont="1" applyBorder="1" applyAlignment="1">
      <alignment horizontal="left" vertical="center" wrapText="1"/>
    </xf>
    <xf numFmtId="0" fontId="2" fillId="3" borderId="4"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7" fillId="3" borderId="4" xfId="0" applyFont="1" applyFill="1" applyBorder="1" applyAlignment="1">
      <alignment horizontal="left" vertical="center" wrapText="1"/>
    </xf>
    <xf numFmtId="0" fontId="27" fillId="0" borderId="0" xfId="0" applyFont="1" applyBorder="1" applyAlignment="1">
      <alignment vertical="center"/>
    </xf>
    <xf numFmtId="0" fontId="27" fillId="0" borderId="4" xfId="0" applyFont="1" applyBorder="1" applyAlignment="1">
      <alignment horizontal="left" vertical="center" wrapText="1"/>
    </xf>
    <xf numFmtId="0" fontId="3" fillId="2" borderId="0" xfId="0" applyFont="1" applyFill="1" applyAlignment="1">
      <alignment horizontal="center"/>
    </xf>
    <xf numFmtId="0" fontId="1" fillId="6" borderId="0" xfId="0" applyFont="1" applyFill="1"/>
    <xf numFmtId="0" fontId="20" fillId="3" borderId="0" xfId="0" applyFont="1" applyFill="1"/>
    <xf numFmtId="0" fontId="20" fillId="4" borderId="0" xfId="0" applyFont="1" applyFill="1"/>
    <xf numFmtId="0" fontId="3" fillId="28" borderId="0" xfId="0" applyFont="1" applyFill="1"/>
    <xf numFmtId="2" fontId="27" fillId="0" borderId="4" xfId="0" applyNumberFormat="1" applyFont="1" applyBorder="1" applyAlignment="1">
      <alignment horizontal="left" indent="1"/>
    </xf>
    <xf numFmtId="2" fontId="27" fillId="0" borderId="4" xfId="0" applyNumberFormat="1" applyFont="1" applyBorder="1" applyAlignment="1">
      <alignment horizontal="left" wrapText="1"/>
    </xf>
    <xf numFmtId="0" fontId="27" fillId="0" borderId="4" xfId="0" applyFont="1" applyBorder="1" applyAlignment="1">
      <alignment horizontal="left" indent="1"/>
    </xf>
    <xf numFmtId="0" fontId="27" fillId="0" borderId="4" xfId="0" applyFont="1" applyFill="1" applyBorder="1" applyAlignment="1">
      <alignment horizontal="left" wrapText="1"/>
    </xf>
    <xf numFmtId="0" fontId="27" fillId="20" borderId="4" xfId="0" applyFont="1" applyFill="1" applyBorder="1" applyAlignment="1">
      <alignment horizontal="left" wrapText="1"/>
    </xf>
    <xf numFmtId="0" fontId="27" fillId="0" borderId="4" xfId="0" applyNumberFormat="1" applyFont="1" applyBorder="1" applyAlignment="1">
      <alignment horizontal="left" indent="1"/>
    </xf>
    <xf numFmtId="0" fontId="27" fillId="0" borderId="4" xfId="0" applyNumberFormat="1" applyFont="1" applyBorder="1" applyAlignment="1">
      <alignment horizontal="left" wrapText="1"/>
    </xf>
    <xf numFmtId="0" fontId="27" fillId="0" borderId="0" xfId="0" applyFont="1"/>
    <xf numFmtId="0" fontId="77" fillId="0" borderId="0" xfId="0" applyFont="1" applyAlignment="1">
      <alignment horizontal="left" vertical="top"/>
    </xf>
    <xf numFmtId="0" fontId="0" fillId="0" borderId="0" xfId="0" applyBorder="1" applyAlignment="1">
      <alignment wrapText="1"/>
    </xf>
    <xf numFmtId="0" fontId="7" fillId="30" borderId="1" xfId="0" applyFont="1" applyFill="1" applyBorder="1" applyAlignment="1">
      <alignment horizontal="center" vertical="top" wrapText="1"/>
    </xf>
    <xf numFmtId="0" fontId="78" fillId="0" borderId="0" xfId="0" applyFont="1" applyAlignment="1">
      <alignment horizontal="left" vertical="top"/>
    </xf>
    <xf numFmtId="0" fontId="8" fillId="0" borderId="0" xfId="0" applyFont="1" applyBorder="1" applyAlignment="1">
      <alignment horizontal="left" vertical="top" wrapText="1"/>
    </xf>
    <xf numFmtId="0" fontId="0" fillId="0" borderId="0" xfId="0" applyBorder="1"/>
    <xf numFmtId="0" fontId="0" fillId="0" borderId="1" xfId="0" applyBorder="1" applyAlignment="1">
      <alignment wrapText="1"/>
    </xf>
    <xf numFmtId="0" fontId="0" fillId="2" borderId="39" xfId="0" applyFill="1" applyBorder="1"/>
    <xf numFmtId="0" fontId="0" fillId="5" borderId="39" xfId="0" applyFill="1" applyBorder="1"/>
    <xf numFmtId="0" fontId="0" fillId="2" borderId="0" xfId="0" applyFill="1"/>
    <xf numFmtId="169" fontId="2" fillId="0" borderId="1" xfId="0" applyNumberFormat="1" applyFont="1" applyBorder="1" applyAlignment="1">
      <alignment horizontal="center" vertical="center" wrapText="1"/>
    </xf>
    <xf numFmtId="166" fontId="0" fillId="0" borderId="0" xfId="0" applyNumberFormat="1" applyAlignment="1">
      <alignment wrapText="1"/>
    </xf>
    <xf numFmtId="0" fontId="0" fillId="3" borderId="40" xfId="0" applyFill="1" applyBorder="1"/>
    <xf numFmtId="0" fontId="0" fillId="2" borderId="40" xfId="0" applyFill="1" applyBorder="1"/>
    <xf numFmtId="166" fontId="0" fillId="2" borderId="40" xfId="0" applyNumberFormat="1" applyFill="1" applyBorder="1" applyAlignment="1">
      <alignment wrapText="1"/>
    </xf>
    <xf numFmtId="0" fontId="0" fillId="0" borderId="10" xfId="0" applyBorder="1"/>
    <xf numFmtId="0" fontId="2" fillId="0" borderId="10" xfId="0" applyFont="1" applyBorder="1" applyAlignment="1">
      <alignment horizontal="justify" vertical="center" wrapText="1"/>
    </xf>
    <xf numFmtId="166" fontId="0" fillId="0" borderId="10" xfId="0" applyNumberFormat="1" applyBorder="1" applyAlignment="1">
      <alignment wrapText="1"/>
    </xf>
    <xf numFmtId="0" fontId="0" fillId="0" borderId="10" xfId="0" applyFill="1" applyBorder="1"/>
    <xf numFmtId="0" fontId="0" fillId="0" borderId="1" xfId="0" applyFill="1" applyBorder="1"/>
    <xf numFmtId="0" fontId="79" fillId="0" borderId="1" xfId="0" applyFont="1" applyBorder="1" applyAlignment="1">
      <alignment horizontal="center" wrapText="1"/>
    </xf>
    <xf numFmtId="0" fontId="0" fillId="0" borderId="1" xfId="0" applyBorder="1" applyAlignment="1">
      <alignment vertical="top" wrapText="1"/>
    </xf>
    <xf numFmtId="9" fontId="0" fillId="0" borderId="1" xfId="0" applyNumberFormat="1" applyBorder="1" applyProtection="1"/>
    <xf numFmtId="0" fontId="0" fillId="0" borderId="1" xfId="0" applyBorder="1" applyAlignment="1">
      <alignment horizontal="left" wrapText="1"/>
    </xf>
    <xf numFmtId="0" fontId="0" fillId="0" borderId="1" xfId="0" applyBorder="1" applyAlignment="1">
      <alignment horizontal="left" vertical="top" wrapText="1"/>
    </xf>
    <xf numFmtId="0" fontId="79" fillId="0" borderId="1" xfId="0" applyFont="1" applyBorder="1" applyAlignment="1">
      <alignment horizontal="center" vertical="top" wrapText="1"/>
    </xf>
    <xf numFmtId="0" fontId="7" fillId="30" borderId="48" xfId="0" applyFont="1" applyFill="1" applyBorder="1" applyAlignment="1">
      <alignment horizontal="center" vertical="top" wrapText="1"/>
    </xf>
    <xf numFmtId="176" fontId="0" fillId="0" borderId="1" xfId="0" applyNumberFormat="1" applyBorder="1"/>
    <xf numFmtId="164" fontId="49" fillId="0" borderId="72" xfId="0" applyNumberFormat="1" applyFont="1" applyBorder="1" applyAlignment="1">
      <alignment vertical="center" wrapText="1"/>
    </xf>
    <xf numFmtId="0" fontId="49" fillId="0" borderId="1" xfId="0" applyFont="1" applyBorder="1"/>
    <xf numFmtId="0" fontId="49" fillId="0" borderId="1" xfId="0" applyFont="1" applyBorder="1" applyAlignment="1">
      <alignment horizontal="center" vertical="center" wrapText="1"/>
    </xf>
    <xf numFmtId="9" fontId="49" fillId="0" borderId="1" xfId="0" applyNumberFormat="1" applyFont="1" applyBorder="1"/>
    <xf numFmtId="164" fontId="49" fillId="0" borderId="1" xfId="0" applyNumberFormat="1" applyFont="1" applyBorder="1" applyAlignment="1">
      <alignment vertical="center" wrapText="1"/>
    </xf>
    <xf numFmtId="0" fontId="49" fillId="0" borderId="1" xfId="0" applyFont="1" applyFill="1" applyBorder="1" applyAlignment="1">
      <alignment horizontal="center" vertical="center" wrapText="1"/>
    </xf>
    <xf numFmtId="0" fontId="49" fillId="0" borderId="1" xfId="0" applyNumberFormat="1" applyFont="1" applyBorder="1" applyAlignment="1">
      <alignment horizontal="center"/>
    </xf>
    <xf numFmtId="0" fontId="0" fillId="0" borderId="1" xfId="0" applyNumberFormat="1" applyBorder="1" applyAlignment="1">
      <alignment horizontal="center"/>
    </xf>
    <xf numFmtId="0" fontId="7" fillId="2" borderId="40" xfId="0" applyFont="1" applyFill="1" applyBorder="1"/>
    <xf numFmtId="0" fontId="7" fillId="2" borderId="40" xfId="0" applyFont="1" applyFill="1" applyBorder="1" applyAlignment="1">
      <alignment wrapText="1"/>
    </xf>
    <xf numFmtId="0" fontId="7" fillId="2" borderId="40" xfId="0" applyFont="1" applyFill="1" applyBorder="1" applyAlignment="1">
      <alignment horizontal="center"/>
    </xf>
    <xf numFmtId="0" fontId="49" fillId="0" borderId="1" xfId="0" applyFont="1" applyBorder="1" applyAlignment="1">
      <alignment wrapText="1"/>
    </xf>
    <xf numFmtId="0" fontId="7" fillId="2" borderId="1" xfId="0" applyFont="1" applyFill="1" applyBorder="1" applyAlignment="1">
      <alignment horizontal="center" vertical="top" wrapText="1"/>
    </xf>
    <xf numFmtId="0" fontId="11" fillId="2" borderId="1" xfId="0" applyFont="1" applyFill="1" applyBorder="1" applyAlignment="1">
      <alignment horizontal="center" vertical="top" wrapText="1"/>
    </xf>
    <xf numFmtId="0" fontId="0" fillId="0" borderId="53" xfId="0" applyFill="1" applyBorder="1"/>
    <xf numFmtId="0" fontId="0" fillId="0" borderId="53" xfId="0" applyBorder="1"/>
    <xf numFmtId="0" fontId="0" fillId="0" borderId="53" xfId="0" applyBorder="1" applyAlignment="1">
      <alignment vertical="top" wrapText="1"/>
    </xf>
    <xf numFmtId="0" fontId="0" fillId="0" borderId="53" xfId="0" applyBorder="1" applyAlignment="1">
      <alignment wrapText="1"/>
    </xf>
    <xf numFmtId="176" fontId="0" fillId="0" borderId="53" xfId="0" applyNumberFormat="1" applyBorder="1"/>
    <xf numFmtId="9" fontId="0" fillId="0" borderId="53" xfId="0" applyNumberFormat="1" applyBorder="1" applyProtection="1"/>
    <xf numFmtId="0" fontId="80" fillId="0" borderId="1" xfId="0" applyFont="1" applyBorder="1" applyAlignment="1">
      <alignment horizontal="left" vertical="top" wrapText="1"/>
    </xf>
    <xf numFmtId="0" fontId="47" fillId="29" borderId="1" xfId="0" applyFont="1" applyFill="1" applyBorder="1" applyAlignment="1">
      <alignment horizontal="left" vertical="center" wrapText="1"/>
    </xf>
    <xf numFmtId="0" fontId="81" fillId="0" borderId="0" xfId="0" applyFont="1"/>
    <xf numFmtId="0" fontId="8" fillId="0" borderId="40" xfId="0" applyFont="1" applyBorder="1" applyAlignment="1">
      <alignment horizontal="left" vertical="top" wrapText="1"/>
    </xf>
    <xf numFmtId="0" fontId="82" fillId="0" borderId="1" xfId="0" applyFont="1" applyBorder="1" applyAlignment="1">
      <alignment horizontal="left" vertical="top" wrapText="1"/>
    </xf>
    <xf numFmtId="0" fontId="4" fillId="0" borderId="1" xfId="3" applyBorder="1" applyAlignment="1">
      <alignment horizontal="left" vertical="top" wrapText="1"/>
    </xf>
    <xf numFmtId="0" fontId="82" fillId="0" borderId="40" xfId="0" applyFont="1" applyBorder="1" applyAlignment="1">
      <alignment horizontal="left" vertical="top" wrapText="1"/>
    </xf>
    <xf numFmtId="169" fontId="2" fillId="0" borderId="39" xfId="0" applyNumberFormat="1" applyFont="1" applyFill="1" applyBorder="1" applyAlignment="1">
      <alignment horizontal="center" vertical="center"/>
    </xf>
    <xf numFmtId="169" fontId="2" fillId="0" borderId="39" xfId="0" applyNumberFormat="1" applyFont="1" applyFill="1" applyBorder="1" applyAlignment="1">
      <alignment horizontal="center" vertical="center" wrapText="1"/>
    </xf>
    <xf numFmtId="169" fontId="2" fillId="0" borderId="73" xfId="0" applyNumberFormat="1" applyFont="1" applyFill="1" applyBorder="1" applyAlignment="1">
      <alignment horizontal="center" vertical="center"/>
    </xf>
    <xf numFmtId="169" fontId="2" fillId="0" borderId="73" xfId="0" applyNumberFormat="1" applyFont="1" applyFill="1" applyBorder="1" applyAlignment="1">
      <alignment horizontal="center" vertical="center" wrapText="1"/>
    </xf>
    <xf numFmtId="0" fontId="3" fillId="18" borderId="40" xfId="0" applyFont="1" applyFill="1" applyBorder="1" applyAlignment="1">
      <alignment horizontal="center" wrapText="1"/>
    </xf>
    <xf numFmtId="170" fontId="0" fillId="0" borderId="0" xfId="4" applyNumberFormat="1" applyFont="1" applyAlignment="1">
      <alignment vertical="center"/>
    </xf>
    <xf numFmtId="176" fontId="0" fillId="0" borderId="0" xfId="0" applyNumberFormat="1" applyAlignment="1">
      <alignment vertical="center" wrapText="1"/>
    </xf>
    <xf numFmtId="0" fontId="13" fillId="0" borderId="0" xfId="1"/>
    <xf numFmtId="170" fontId="0" fillId="0" borderId="0" xfId="0" applyNumberFormat="1" applyAlignment="1">
      <alignment vertical="center"/>
    </xf>
    <xf numFmtId="0" fontId="84" fillId="0" borderId="0" xfId="2"/>
    <xf numFmtId="0" fontId="0" fillId="0" borderId="26" xfId="0" applyBorder="1" applyAlignment="1">
      <alignment vertical="center"/>
    </xf>
    <xf numFmtId="0" fontId="0" fillId="0" borderId="26" xfId="0" applyBorder="1" applyAlignment="1">
      <alignment vertical="center" wrapText="1"/>
    </xf>
    <xf numFmtId="170" fontId="0" fillId="0" borderId="26" xfId="4" applyNumberFormat="1" applyFont="1" applyBorder="1" applyAlignment="1">
      <alignment vertical="center"/>
    </xf>
    <xf numFmtId="176" fontId="0" fillId="0" borderId="26" xfId="0" applyNumberFormat="1" applyBorder="1" applyAlignment="1">
      <alignment vertical="center" wrapText="1"/>
    </xf>
    <xf numFmtId="175" fontId="6" fillId="13" borderId="26" xfId="0" applyNumberFormat="1" applyFont="1" applyFill="1" applyBorder="1"/>
    <xf numFmtId="0" fontId="1" fillId="27" borderId="26" xfId="2" applyFont="1" applyFill="1" applyBorder="1" applyAlignment="1">
      <alignment vertical="center"/>
    </xf>
    <xf numFmtId="0" fontId="1" fillId="27" borderId="26" xfId="2" applyFont="1" applyFill="1" applyBorder="1" applyAlignment="1">
      <alignment vertical="center" wrapText="1"/>
    </xf>
    <xf numFmtId="170" fontId="1" fillId="27" borderId="26" xfId="2" applyNumberFormat="1" applyFont="1" applyFill="1" applyBorder="1" applyAlignment="1">
      <alignment vertical="center"/>
    </xf>
    <xf numFmtId="176" fontId="1" fillId="27" borderId="26" xfId="2" applyNumberFormat="1" applyFont="1" applyFill="1" applyBorder="1" applyAlignment="1">
      <alignment vertical="center" wrapText="1"/>
    </xf>
    <xf numFmtId="0" fontId="71" fillId="0" borderId="26" xfId="1" applyFont="1" applyBorder="1" applyAlignment="1">
      <alignment vertical="center"/>
    </xf>
    <xf numFmtId="0" fontId="71" fillId="0" borderId="26" xfId="1" applyFont="1" applyBorder="1" applyAlignment="1">
      <alignment vertical="center" wrapText="1"/>
    </xf>
    <xf numFmtId="170" fontId="71" fillId="0" borderId="26" xfId="1" applyNumberFormat="1" applyFont="1" applyBorder="1" applyAlignment="1">
      <alignment vertical="center"/>
    </xf>
    <xf numFmtId="176" fontId="2" fillId="15" borderId="26" xfId="0" applyNumberFormat="1" applyFont="1" applyFill="1" applyBorder="1" applyAlignment="1">
      <alignment horizontal="left"/>
    </xf>
    <xf numFmtId="176" fontId="7" fillId="10" borderId="26" xfId="0" applyNumberFormat="1" applyFont="1" applyFill="1" applyBorder="1" applyAlignment="1">
      <alignment horizontal="left"/>
    </xf>
    <xf numFmtId="176" fontId="6" fillId="10" borderId="26" xfId="0" applyNumberFormat="1" applyFont="1" applyFill="1" applyBorder="1"/>
    <xf numFmtId="176" fontId="2" fillId="0" borderId="26" xfId="0" applyNumberFormat="1" applyFont="1" applyBorder="1" applyAlignment="1">
      <alignment horizontal="left"/>
    </xf>
    <xf numFmtId="176" fontId="0" fillId="0" borderId="26" xfId="0" applyNumberFormat="1" applyBorder="1"/>
    <xf numFmtId="176" fontId="2" fillId="21" borderId="26" xfId="0" applyNumberFormat="1" applyFont="1" applyFill="1" applyBorder="1" applyAlignment="1">
      <alignment horizontal="left"/>
    </xf>
    <xf numFmtId="176" fontId="0" fillId="21" borderId="26" xfId="0" applyNumberFormat="1" applyFill="1" applyBorder="1"/>
    <xf numFmtId="176" fontId="2" fillId="0" borderId="0" xfId="0" applyNumberFormat="1" applyFont="1" applyAlignment="1">
      <alignment horizontal="left"/>
    </xf>
    <xf numFmtId="176" fontId="0" fillId="0" borderId="0" xfId="0" applyNumberFormat="1"/>
    <xf numFmtId="49" fontId="14" fillId="0" borderId="75" xfId="0" applyNumberFormat="1" applyFont="1" applyBorder="1" applyAlignment="1">
      <alignment horizontal="center" vertical="center"/>
    </xf>
    <xf numFmtId="49" fontId="14" fillId="0" borderId="54" xfId="0" applyNumberFormat="1" applyFont="1" applyBorder="1" applyAlignment="1">
      <alignment horizontal="center" vertical="center"/>
    </xf>
    <xf numFmtId="49" fontId="14" fillId="0" borderId="76" xfId="0" applyNumberFormat="1" applyFont="1" applyBorder="1" applyAlignment="1">
      <alignment horizontal="center" vertical="center"/>
    </xf>
    <xf numFmtId="49" fontId="14" fillId="0" borderId="77" xfId="0" applyNumberFormat="1" applyFont="1" applyBorder="1" applyAlignment="1">
      <alignment horizontal="center" vertical="center"/>
    </xf>
    <xf numFmtId="0" fontId="3" fillId="8" borderId="74" xfId="0" applyFont="1" applyFill="1" applyBorder="1"/>
    <xf numFmtId="0" fontId="3" fillId="8" borderId="74" xfId="0" applyFont="1" applyFill="1" applyBorder="1" applyAlignment="1">
      <alignment horizontal="center"/>
    </xf>
    <xf numFmtId="0" fontId="11" fillId="8" borderId="74" xfId="0" applyFont="1" applyFill="1" applyBorder="1" applyAlignment="1">
      <alignment textRotation="90"/>
    </xf>
    <xf numFmtId="0" fontId="76" fillId="8" borderId="74" xfId="0" applyFont="1" applyFill="1" applyBorder="1" applyAlignment="1">
      <alignment textRotation="90"/>
    </xf>
    <xf numFmtId="0" fontId="73" fillId="8" borderId="74" xfId="0" applyFont="1" applyFill="1" applyBorder="1" applyAlignment="1">
      <alignment textRotation="90"/>
    </xf>
    <xf numFmtId="0" fontId="7" fillId="8" borderId="74" xfId="0" applyFont="1" applyFill="1" applyBorder="1" applyAlignment="1">
      <alignment textRotation="90"/>
    </xf>
    <xf numFmtId="49" fontId="20" fillId="8" borderId="74" xfId="0" applyNumberFormat="1" applyFont="1" applyFill="1" applyBorder="1" applyAlignment="1">
      <alignment horizontal="center" vertical="center"/>
    </xf>
    <xf numFmtId="49" fontId="22" fillId="8" borderId="74" xfId="0" applyNumberFormat="1" applyFont="1" applyFill="1" applyBorder="1" applyAlignment="1">
      <alignment horizontal="center" vertical="center"/>
    </xf>
    <xf numFmtId="49" fontId="23" fillId="8" borderId="74" xfId="0" applyNumberFormat="1" applyFont="1" applyFill="1" applyBorder="1" applyAlignment="1">
      <alignment horizontal="center" vertical="center"/>
    </xf>
    <xf numFmtId="49" fontId="3" fillId="8" borderId="74" xfId="0" applyNumberFormat="1" applyFont="1" applyFill="1" applyBorder="1" applyAlignment="1">
      <alignment horizontal="center" vertical="center"/>
    </xf>
    <xf numFmtId="0" fontId="85" fillId="8" borderId="74" xfId="0" applyFont="1" applyFill="1" applyBorder="1"/>
    <xf numFmtId="0" fontId="3" fillId="7" borderId="74" xfId="0" applyFont="1" applyFill="1" applyBorder="1"/>
    <xf numFmtId="0" fontId="3" fillId="7" borderId="74" xfId="0" applyFont="1" applyFill="1" applyBorder="1" applyAlignment="1">
      <alignment horizontal="center"/>
    </xf>
    <xf numFmtId="0" fontId="76" fillId="7" borderId="74" xfId="0" applyFont="1" applyFill="1" applyBorder="1" applyAlignment="1">
      <alignment textRotation="90"/>
    </xf>
    <xf numFmtId="0" fontId="73" fillId="7" borderId="74" xfId="0" applyFont="1" applyFill="1" applyBorder="1" applyAlignment="1">
      <alignment textRotation="90"/>
    </xf>
    <xf numFmtId="0" fontId="76" fillId="7" borderId="74" xfId="0" applyFont="1" applyFill="1" applyBorder="1" applyAlignment="1">
      <alignment textRotation="90" wrapText="1"/>
    </xf>
    <xf numFmtId="0" fontId="73" fillId="7" borderId="74" xfId="0" applyFont="1" applyFill="1" applyBorder="1" applyAlignment="1">
      <alignment textRotation="90" wrapText="1"/>
    </xf>
    <xf numFmtId="0" fontId="7" fillId="7" borderId="74" xfId="0" applyFont="1" applyFill="1" applyBorder="1" applyAlignment="1">
      <alignment textRotation="90"/>
    </xf>
    <xf numFmtId="49" fontId="22" fillId="7" borderId="74" xfId="0" applyNumberFormat="1" applyFont="1" applyFill="1" applyBorder="1" applyAlignment="1">
      <alignment horizontal="center" vertical="center"/>
    </xf>
    <xf numFmtId="49" fontId="23" fillId="7" borderId="74" xfId="0" applyNumberFormat="1" applyFont="1" applyFill="1" applyBorder="1" applyAlignment="1">
      <alignment horizontal="center" vertical="center"/>
    </xf>
    <xf numFmtId="49" fontId="3" fillId="7" borderId="74" xfId="0" applyNumberFormat="1" applyFont="1" applyFill="1" applyBorder="1" applyAlignment="1">
      <alignment horizontal="center" vertical="center"/>
    </xf>
    <xf numFmtId="0" fontId="85" fillId="7" borderId="74" xfId="0" applyFont="1" applyFill="1" applyBorder="1"/>
    <xf numFmtId="0" fontId="85" fillId="3" borderId="74" xfId="0" applyFont="1" applyFill="1" applyBorder="1"/>
    <xf numFmtId="0" fontId="3" fillId="3" borderId="74" xfId="0" applyFont="1" applyFill="1" applyBorder="1"/>
    <xf numFmtId="0" fontId="3" fillId="3" borderId="74" xfId="0" applyFont="1" applyFill="1" applyBorder="1" applyAlignment="1">
      <alignment horizontal="center"/>
    </xf>
    <xf numFmtId="0" fontId="11" fillId="3" borderId="74" xfId="0" applyFont="1" applyFill="1" applyBorder="1" applyAlignment="1">
      <alignment textRotation="90"/>
    </xf>
    <xf numFmtId="0" fontId="7" fillId="3" borderId="74" xfId="0" applyFont="1" applyFill="1" applyBorder="1" applyAlignment="1">
      <alignment textRotation="90"/>
    </xf>
    <xf numFmtId="0" fontId="73" fillId="3" borderId="74" xfId="0" applyFont="1" applyFill="1" applyBorder="1" applyAlignment="1">
      <alignment textRotation="90"/>
    </xf>
    <xf numFmtId="0" fontId="76" fillId="3" borderId="74" xfId="0" applyFont="1" applyFill="1" applyBorder="1" applyAlignment="1">
      <alignment textRotation="90"/>
    </xf>
    <xf numFmtId="49" fontId="20" fillId="3" borderId="74" xfId="0" applyNumberFormat="1" applyFont="1" applyFill="1" applyBorder="1" applyAlignment="1">
      <alignment horizontal="center" vertical="center"/>
    </xf>
    <xf numFmtId="49" fontId="3" fillId="3" borderId="74" xfId="0" applyNumberFormat="1" applyFont="1" applyFill="1" applyBorder="1" applyAlignment="1">
      <alignment horizontal="center" vertical="center"/>
    </xf>
    <xf numFmtId="49" fontId="23" fillId="3" borderId="74" xfId="0" applyNumberFormat="1" applyFont="1" applyFill="1" applyBorder="1" applyAlignment="1">
      <alignment horizontal="center" vertical="center"/>
    </xf>
    <xf numFmtId="49" fontId="22" fillId="3" borderId="74" xfId="0" applyNumberFormat="1" applyFont="1" applyFill="1" applyBorder="1" applyAlignment="1">
      <alignment horizontal="center" vertical="center"/>
    </xf>
    <xf numFmtId="0" fontId="21" fillId="12" borderId="4" xfId="0" applyFont="1" applyFill="1" applyBorder="1"/>
    <xf numFmtId="168" fontId="86" fillId="0" borderId="0" xfId="4" applyFont="1"/>
    <xf numFmtId="0" fontId="0" fillId="0" borderId="39" xfId="0" applyFill="1" applyBorder="1"/>
    <xf numFmtId="170" fontId="70" fillId="0" borderId="1" xfId="4" applyNumberFormat="1" applyFont="1" applyBorder="1"/>
    <xf numFmtId="175" fontId="0" fillId="21" borderId="1" xfId="0" applyNumberFormat="1" applyFont="1" applyFill="1" applyBorder="1"/>
    <xf numFmtId="0" fontId="67" fillId="8" borderId="7" xfId="0" applyFont="1" applyFill="1" applyBorder="1" applyAlignment="1">
      <alignment horizontal="left" vertical="center" wrapText="1"/>
    </xf>
    <xf numFmtId="0" fontId="67" fillId="8" borderId="8" xfId="0" applyFont="1" applyFill="1" applyBorder="1" applyAlignment="1">
      <alignment horizontal="left" vertical="center" wrapText="1"/>
    </xf>
    <xf numFmtId="0" fontId="24" fillId="4" borderId="71" xfId="0" applyFont="1" applyFill="1" applyBorder="1" applyAlignment="1">
      <alignment horizontal="left"/>
    </xf>
    <xf numFmtId="0" fontId="24" fillId="4" borderId="0" xfId="0" applyFont="1" applyFill="1" applyBorder="1" applyAlignment="1">
      <alignment horizontal="left"/>
    </xf>
    <xf numFmtId="0" fontId="20" fillId="4" borderId="68" xfId="0" applyFont="1" applyFill="1" applyBorder="1" applyAlignment="1">
      <alignment horizontal="center"/>
    </xf>
    <xf numFmtId="0" fontId="20" fillId="4" borderId="24" xfId="0" applyFont="1" applyFill="1" applyBorder="1" applyAlignment="1">
      <alignment horizontal="center"/>
    </xf>
    <xf numFmtId="0" fontId="20" fillId="4" borderId="28" xfId="0" applyFont="1" applyFill="1" applyBorder="1" applyAlignment="1">
      <alignment horizontal="center"/>
    </xf>
    <xf numFmtId="0" fontId="20" fillId="4" borderId="69" xfId="0" applyFont="1" applyFill="1" applyBorder="1" applyAlignment="1">
      <alignment horizontal="center"/>
    </xf>
    <xf numFmtId="0" fontId="20" fillId="4" borderId="70" xfId="0" applyFont="1" applyFill="1" applyBorder="1" applyAlignment="1">
      <alignment horizontal="center"/>
    </xf>
    <xf numFmtId="0" fontId="20" fillId="4" borderId="14"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16" xfId="0" applyFont="1" applyFill="1" applyBorder="1" applyAlignment="1">
      <alignment horizontal="center" vertical="center" wrapText="1"/>
    </xf>
    <xf numFmtId="0" fontId="20" fillId="4" borderId="19" xfId="0" applyFont="1" applyFill="1" applyBorder="1" applyAlignment="1">
      <alignment horizontal="center" vertical="center"/>
    </xf>
    <xf numFmtId="0" fontId="20" fillId="4" borderId="20" xfId="0" applyFont="1" applyFill="1" applyBorder="1" applyAlignment="1">
      <alignment horizontal="center" vertical="center" wrapText="1"/>
    </xf>
    <xf numFmtId="0" fontId="20" fillId="4" borderId="20"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5" xfId="0" applyFont="1" applyFill="1" applyBorder="1" applyAlignment="1">
      <alignment horizontal="center" vertical="center"/>
    </xf>
    <xf numFmtId="0" fontId="20" fillId="4" borderId="68" xfId="0" applyFont="1" applyFill="1" applyBorder="1" applyAlignment="1">
      <alignment horizontal="center" vertical="center"/>
    </xf>
    <xf numFmtId="0" fontId="20" fillId="4" borderId="24" xfId="0" applyFont="1" applyFill="1" applyBorder="1" applyAlignment="1">
      <alignment horizontal="center" vertical="center"/>
    </xf>
    <xf numFmtId="0" fontId="3" fillId="3" borderId="2" xfId="0" applyFont="1" applyFill="1" applyBorder="1" applyAlignment="1">
      <alignment horizontal="center"/>
    </xf>
    <xf numFmtId="0" fontId="20" fillId="3" borderId="2" xfId="0" applyFont="1" applyFill="1" applyBorder="1" applyAlignment="1">
      <alignment horizontal="center"/>
    </xf>
    <xf numFmtId="0" fontId="20" fillId="3" borderId="3" xfId="0" applyFont="1" applyFill="1" applyBorder="1" applyAlignment="1">
      <alignment horizontal="center" vertical="center"/>
    </xf>
    <xf numFmtId="0" fontId="20" fillId="3" borderId="3" xfId="0" applyFont="1" applyFill="1" applyBorder="1" applyAlignment="1">
      <alignment horizontal="center" vertical="center" wrapText="1"/>
    </xf>
    <xf numFmtId="0" fontId="20" fillId="5" borderId="45" xfId="0" applyFont="1" applyFill="1" applyBorder="1" applyAlignment="1">
      <alignment horizontal="center" vertical="center" wrapText="1"/>
    </xf>
    <xf numFmtId="0" fontId="20" fillId="5" borderId="46" xfId="0" applyFont="1" applyFill="1" applyBorder="1" applyAlignment="1">
      <alignment horizontal="center" vertical="center" wrapText="1"/>
    </xf>
    <xf numFmtId="0" fontId="20" fillId="5" borderId="47" xfId="0" applyFont="1" applyFill="1" applyBorder="1" applyAlignment="1">
      <alignment horizontal="center" vertical="center" wrapText="1"/>
    </xf>
    <xf numFmtId="0" fontId="20" fillId="5" borderId="45" xfId="0" applyFont="1" applyFill="1" applyBorder="1" applyAlignment="1">
      <alignment horizontal="left" wrapText="1"/>
    </xf>
    <xf numFmtId="0" fontId="20" fillId="5" borderId="46" xfId="0" applyFont="1" applyFill="1" applyBorder="1" applyAlignment="1">
      <alignment horizontal="left" wrapText="1"/>
    </xf>
    <xf numFmtId="0" fontId="20" fillId="5" borderId="47" xfId="0" applyFont="1" applyFill="1" applyBorder="1" applyAlignment="1">
      <alignment horizontal="left" wrapText="1"/>
    </xf>
    <xf numFmtId="0" fontId="20" fillId="5" borderId="45" xfId="0" applyFont="1" applyFill="1" applyBorder="1" applyAlignment="1">
      <alignment horizontal="left"/>
    </xf>
    <xf numFmtId="0" fontId="20" fillId="5" borderId="46" xfId="0" applyFont="1" applyFill="1" applyBorder="1" applyAlignment="1">
      <alignment horizontal="left"/>
    </xf>
    <xf numFmtId="0" fontId="20" fillId="5" borderId="47" xfId="0" applyFont="1" applyFill="1" applyBorder="1" applyAlignment="1">
      <alignment horizontal="left"/>
    </xf>
    <xf numFmtId="0" fontId="33" fillId="5" borderId="45" xfId="0" applyFont="1" applyFill="1" applyBorder="1" applyAlignment="1">
      <alignment horizontal="left"/>
    </xf>
    <xf numFmtId="0" fontId="33" fillId="5" borderId="46" xfId="0" applyFont="1" applyFill="1" applyBorder="1" applyAlignment="1">
      <alignment horizontal="left"/>
    </xf>
    <xf numFmtId="0" fontId="33" fillId="5" borderId="50" xfId="0" applyFont="1" applyFill="1" applyBorder="1" applyAlignment="1">
      <alignment horizontal="left"/>
    </xf>
    <xf numFmtId="0" fontId="33" fillId="5" borderId="51" xfId="0" applyFont="1" applyFill="1" applyBorder="1" applyAlignment="1">
      <alignment horizontal="left"/>
    </xf>
    <xf numFmtId="0" fontId="20" fillId="5" borderId="2"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45" xfId="0" applyFont="1" applyFill="1" applyBorder="1" applyAlignment="1">
      <alignment horizontal="center" vertical="center"/>
    </xf>
    <xf numFmtId="0" fontId="20" fillId="5" borderId="46" xfId="0" applyFont="1" applyFill="1" applyBorder="1" applyAlignment="1">
      <alignment horizontal="center" vertical="center"/>
    </xf>
    <xf numFmtId="0" fontId="20" fillId="5" borderId="47" xfId="0" applyFont="1" applyFill="1" applyBorder="1" applyAlignment="1">
      <alignment horizontal="center" vertical="center"/>
    </xf>
    <xf numFmtId="0" fontId="20" fillId="4" borderId="11" xfId="0" applyFont="1" applyFill="1" applyBorder="1" applyAlignment="1">
      <alignment horizontal="center"/>
    </xf>
    <xf numFmtId="0" fontId="20" fillId="4" borderId="0" xfId="0" applyFont="1" applyFill="1" applyBorder="1" applyAlignment="1">
      <alignment horizontal="center"/>
    </xf>
    <xf numFmtId="0" fontId="20" fillId="4" borderId="12" xfId="0" applyFont="1" applyFill="1" applyBorder="1" applyAlignment="1">
      <alignment horizontal="center"/>
    </xf>
    <xf numFmtId="0" fontId="20" fillId="4" borderId="14" xfId="0" applyFont="1" applyFill="1" applyBorder="1" applyAlignment="1">
      <alignment horizontal="center"/>
    </xf>
    <xf numFmtId="0" fontId="20" fillId="4" borderId="15" xfId="0" applyFont="1" applyFill="1" applyBorder="1" applyAlignment="1">
      <alignment horizontal="center"/>
    </xf>
    <xf numFmtId="0" fontId="20" fillId="4" borderId="16" xfId="0" applyFont="1" applyFill="1" applyBorder="1" applyAlignment="1">
      <alignment horizontal="center" wrapText="1"/>
    </xf>
    <xf numFmtId="0" fontId="20" fillId="4" borderId="19" xfId="0" applyFont="1" applyFill="1" applyBorder="1" applyAlignment="1">
      <alignment horizontal="center"/>
    </xf>
    <xf numFmtId="0" fontId="20" fillId="3" borderId="3" xfId="0" applyFont="1" applyFill="1" applyBorder="1" applyAlignment="1">
      <alignment horizontal="center" wrapText="1"/>
    </xf>
    <xf numFmtId="0" fontId="20" fillId="3" borderId="3" xfId="0" applyFont="1" applyFill="1" applyBorder="1" applyAlignment="1">
      <alignment horizontal="center"/>
    </xf>
    <xf numFmtId="0" fontId="0" fillId="0" borderId="59" xfId="0" applyBorder="1" applyAlignment="1">
      <alignment horizontal="center"/>
    </xf>
    <xf numFmtId="0" fontId="50" fillId="2" borderId="60" xfId="0" applyFont="1" applyFill="1" applyBorder="1" applyAlignment="1">
      <alignment horizontal="center"/>
    </xf>
    <xf numFmtId="0" fontId="50" fillId="2" borderId="61" xfId="0" applyFont="1" applyFill="1" applyBorder="1" applyAlignment="1">
      <alignment horizontal="center"/>
    </xf>
    <xf numFmtId="0" fontId="50" fillId="7" borderId="0" xfId="0" applyFont="1" applyFill="1" applyBorder="1" applyAlignment="1">
      <alignment horizontal="center"/>
    </xf>
    <xf numFmtId="0" fontId="50" fillId="7" borderId="62" xfId="0" applyFont="1" applyFill="1" applyBorder="1" applyAlignment="1">
      <alignment horizontal="center"/>
    </xf>
    <xf numFmtId="0" fontId="20" fillId="2" borderId="0" xfId="0" applyFont="1" applyFill="1" applyAlignment="1">
      <alignment horizontal="center"/>
    </xf>
    <xf numFmtId="0" fontId="20" fillId="4" borderId="0" xfId="0" applyFont="1" applyFill="1" applyAlignment="1">
      <alignment horizontal="center"/>
    </xf>
    <xf numFmtId="0" fontId="20" fillId="3" borderId="0" xfId="0" applyFont="1" applyFill="1" applyAlignment="1">
      <alignment horizontal="center"/>
    </xf>
    <xf numFmtId="0" fontId="20" fillId="8" borderId="0" xfId="0" applyFont="1" applyFill="1" applyAlignment="1">
      <alignment horizontal="center"/>
    </xf>
    <xf numFmtId="0" fontId="20" fillId="7" borderId="0" xfId="0" applyFont="1" applyFill="1" applyAlignment="1">
      <alignment horizontal="center"/>
    </xf>
    <xf numFmtId="0" fontId="3" fillId="7" borderId="74" xfId="0" applyFont="1" applyFill="1" applyBorder="1" applyAlignment="1">
      <alignment horizontal="center"/>
    </xf>
    <xf numFmtId="0" fontId="3" fillId="7" borderId="74" xfId="0" applyFont="1" applyFill="1" applyBorder="1" applyAlignment="1">
      <alignment horizontal="center" wrapText="1"/>
    </xf>
  </cellXfs>
  <cellStyles count="5">
    <cellStyle name="Lien hypertexte" xfId="3" builtinId="8"/>
    <cellStyle name="Milliers" xfId="4" builtinId="3"/>
    <cellStyle name="NiveauLigne_1" xfId="1" builtinId="1" iLevel="0"/>
    <cellStyle name="NiveauLigne_2" xfId="2" builtinId="1" iLevel="1"/>
    <cellStyle name="Normal" xfId="0" builtinId="0"/>
  </cellStyles>
  <dxfs count="40">
    <dxf>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7"/>
        </patternFill>
      </fill>
    </dxf>
    <dxf>
      <font>
        <color theme="8"/>
      </font>
      <fill>
        <patternFill>
          <bgColor theme="8" tint="0.79998168889431442"/>
        </patternFill>
      </fill>
    </dxf>
    <dxf>
      <font>
        <color theme="5"/>
      </font>
      <fill>
        <patternFill>
          <bgColor theme="5" tint="0.79998168889431442"/>
        </patternFill>
      </fill>
    </dxf>
    <dxf>
      <font>
        <color theme="9"/>
      </font>
      <fill>
        <patternFill>
          <bgColor theme="9" tint="0.79998168889431442"/>
        </patternFill>
      </fill>
    </dxf>
    <dxf>
      <font>
        <b val="0"/>
        <i val="0"/>
        <strike val="0"/>
        <condense val="0"/>
        <extend val="0"/>
        <outline val="0"/>
        <shadow val="0"/>
        <u val="none"/>
        <vertAlign val="baseline"/>
        <sz val="10"/>
        <color theme="3" tint="-0.499984740745262"/>
        <name val="Arial"/>
        <scheme val="none"/>
      </font>
      <alignment horizontal="left" vertical="top" textRotation="0" wrapText="1"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0"/>
        <color theme="3" tint="-0.499984740745262"/>
        <name val="Arial"/>
        <scheme val="none"/>
      </font>
      <alignment horizontal="left" vertical="top" textRotation="0" wrapText="1" indent="0" justifyLastLine="0" shrinkToFit="0" readingOrder="0"/>
    </dxf>
    <dxf>
      <border outline="0">
        <top style="thin">
          <color theme="0" tint="-0.14996795556505021"/>
        </top>
      </border>
    </dxf>
    <dxf>
      <font>
        <b val="0"/>
        <i val="0"/>
        <strike val="0"/>
        <condense val="0"/>
        <extend val="0"/>
        <outline val="0"/>
        <shadow val="0"/>
        <u val="none"/>
        <vertAlign val="baseline"/>
        <sz val="10"/>
        <color theme="3" tint="-0.499984740745262"/>
        <name val="Arial"/>
        <scheme val="none"/>
      </font>
      <alignment horizontal="left" vertical="top" textRotation="0" wrapText="1" indent="0" justifyLastLine="0" shrinkToFit="0" readingOrder="0"/>
    </dxf>
    <dxf>
      <border outline="0">
        <bottom style="thin">
          <color theme="0" tint="-0.14996795556505021"/>
        </bottom>
      </border>
    </dxf>
    <dxf>
      <font>
        <b val="0"/>
        <i val="0"/>
        <strike val="0"/>
        <condense val="0"/>
        <extend val="0"/>
        <outline val="0"/>
        <shadow val="0"/>
        <u val="none"/>
        <vertAlign val="baseline"/>
        <sz val="10"/>
        <color theme="0"/>
        <name val="Arial"/>
        <scheme val="none"/>
      </font>
      <fill>
        <patternFill patternType="solid">
          <fgColor indexed="64"/>
          <bgColor theme="4"/>
        </patternFill>
      </fill>
      <alignment horizontal="center" vertical="top"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5" tint="0.79998168889431442"/>
        </patternFill>
      </fill>
    </dxf>
    <dxf>
      <fill>
        <patternFill>
          <bgColor theme="9" tint="0.79998168889431442"/>
        </patternFill>
      </fill>
    </dxf>
    <dxf>
      <fill>
        <patternFill>
          <bgColor theme="5" tint="0.79998168889431442"/>
        </patternFill>
      </fill>
    </dxf>
    <dxf>
      <font>
        <color theme="0"/>
      </font>
      <fill>
        <patternFill>
          <bgColor rgb="FFFF0000"/>
        </patternFill>
      </fill>
    </dxf>
    <dxf>
      <fill>
        <patternFill>
          <bgColor theme="5" tint="0.79998168889431442"/>
        </patternFill>
      </fill>
    </dxf>
    <dxf>
      <fill>
        <patternFill>
          <bgColor theme="9" tint="0.79998168889431442"/>
        </patternFill>
      </fill>
    </dxf>
    <dxf>
      <font>
        <color theme="0"/>
      </font>
      <fill>
        <patternFill>
          <bgColor rgb="FFFF0000"/>
        </patternFill>
      </fill>
    </dxf>
    <dxf>
      <fill>
        <patternFill>
          <bgColor theme="5" tint="0.79998168889431442"/>
        </patternFill>
      </fill>
    </dxf>
    <dxf>
      <fill>
        <patternFill>
          <bgColor theme="9" tint="0.79998168889431442"/>
        </patternFill>
      </fill>
    </dxf>
    <dxf>
      <font>
        <color theme="0"/>
      </font>
      <fill>
        <patternFill>
          <bgColor rgb="FFFF0000"/>
        </patternFill>
      </fill>
    </dxf>
    <dxf>
      <fill>
        <patternFill>
          <bgColor theme="9" tint="0.79998168889431442"/>
        </patternFill>
      </fill>
    </dxf>
    <dxf>
      <fill>
        <patternFill>
          <bgColor theme="5" tint="0.79998168889431442"/>
        </patternFill>
      </fill>
    </dxf>
    <dxf>
      <font>
        <color theme="0"/>
      </font>
      <fill>
        <patternFill>
          <bgColor rgb="FFFF0000"/>
        </patternFill>
      </fill>
    </dxf>
    <dxf>
      <fill>
        <patternFill>
          <bgColor theme="9" tint="0.79998168889431442"/>
        </patternFill>
      </fill>
    </dxf>
    <dxf>
      <fill>
        <patternFill>
          <bgColor theme="5" tint="0.79998168889431442"/>
        </patternFill>
      </fill>
    </dxf>
    <dxf>
      <font>
        <color theme="0"/>
      </font>
      <fill>
        <patternFill>
          <bgColor rgb="FFFF0000"/>
        </patternFill>
      </fill>
    </dxf>
    <dxf>
      <fill>
        <patternFill>
          <bgColor theme="5" tint="0.79998168889431442"/>
        </patternFill>
      </fill>
    </dxf>
    <dxf>
      <fill>
        <patternFill>
          <bgColor theme="9" tint="0.79998168889431442"/>
        </patternFill>
      </fill>
    </dxf>
    <dxf>
      <font>
        <color theme="0"/>
      </font>
      <fill>
        <patternFill>
          <bgColor rgb="FFFF0000"/>
        </patternFill>
      </fill>
    </dxf>
    <dxf>
      <fill>
        <patternFill>
          <bgColor theme="5" tint="0.79998168889431442"/>
        </patternFill>
      </fill>
    </dxf>
    <dxf>
      <fill>
        <patternFill>
          <bgColor theme="9" tint="0.79998168889431442"/>
        </patternFill>
      </fill>
    </dxf>
    <dxf>
      <font>
        <color theme="0"/>
      </font>
      <fill>
        <patternFill>
          <bgColor rgb="FFFF0000"/>
        </patternFill>
      </fill>
    </dxf>
    <dxf>
      <fill>
        <patternFill>
          <bgColor theme="9" tint="0.79998168889431442"/>
        </patternFill>
      </fill>
    </dxf>
    <dxf>
      <fill>
        <patternFill>
          <bgColor theme="5" tint="0.79998168889431442"/>
        </patternFill>
      </fill>
    </dxf>
    <dxf>
      <font>
        <color theme="0"/>
      </font>
      <fill>
        <patternFill>
          <bgColor rgb="FFFF0000"/>
        </patternFill>
      </fill>
    </dxf>
    <dxf>
      <numFmt numFmtId="170" formatCode="_-* #,##0\ _€_-;\-* #,##0\ _€_-;_-* &quot;-&quot;??\ _€_-;_-@_-"/>
    </dxf>
    <dxf>
      <font>
        <color rgb="FFFFC000"/>
      </font>
      <fill>
        <patternFill>
          <bgColor rgb="FFFFC000"/>
        </patternFill>
      </fill>
    </dxf>
    <dxf>
      <font>
        <color rgb="FF92D050"/>
      </font>
      <fill>
        <patternFill>
          <bgColor rgb="FF92D050"/>
        </patternFill>
      </fill>
    </dxf>
    <dxf>
      <font>
        <color rgb="FFFF0000"/>
      </font>
      <fill>
        <patternFill>
          <bgColor rgb="FFFF0000"/>
        </patternFill>
      </fill>
    </dxf>
  </dxfs>
  <tableStyles count="0" defaultTableStyle="TableStyleMedium2" defaultPivotStyle="PivotStyleLight16"/>
  <colors>
    <mruColors>
      <color rgb="FFBDD7EE"/>
      <color rgb="FFD8F4FC"/>
      <color rgb="FFC65911"/>
      <color rgb="FFECFA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106680</xdr:colOff>
      <xdr:row>3</xdr:row>
      <xdr:rowOff>7620</xdr:rowOff>
    </xdr:from>
    <xdr:to>
      <xdr:col>0</xdr:col>
      <xdr:colOff>1165860</xdr:colOff>
      <xdr:row>5</xdr:row>
      <xdr:rowOff>60960</xdr:rowOff>
    </xdr:to>
    <xdr:sp macro="" textlink="">
      <xdr:nvSpPr>
        <xdr:cNvPr id="2" name="Rectangle à coins arrondis 1">
          <a:extLst>
            <a:ext uri="{FF2B5EF4-FFF2-40B4-BE49-F238E27FC236}">
              <a16:creationId xmlns:a16="http://schemas.microsoft.com/office/drawing/2014/main" id="{00000000-0008-0000-0000-000002000000}"/>
            </a:ext>
          </a:extLst>
        </xdr:cNvPr>
        <xdr:cNvSpPr/>
      </xdr:nvSpPr>
      <xdr:spPr>
        <a:xfrm>
          <a:off x="106680" y="594360"/>
          <a:ext cx="1059180" cy="891540"/>
        </a:xfrm>
        <a:prstGeom prst="wedgeRoundRectCallout">
          <a:avLst>
            <a:gd name="adj1" fmla="val 68068"/>
            <a:gd name="adj2" fmla="val -25000"/>
            <a:gd name="adj3" fmla="val 16667"/>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BE" sz="1100"/>
            <a:t>Cliquer</a:t>
          </a:r>
          <a:r>
            <a:rPr lang="fr-BE" sz="1100" baseline="0"/>
            <a:t> sur le # pour accéder à l'onglet</a:t>
          </a:r>
          <a:endParaRPr lang="fr-B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83820</xdr:colOff>
      <xdr:row>34</xdr:row>
      <xdr:rowOff>53340</xdr:rowOff>
    </xdr:from>
    <xdr:to>
      <xdr:col>3</xdr:col>
      <xdr:colOff>167640</xdr:colOff>
      <xdr:row>49</xdr:row>
      <xdr:rowOff>99060</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83820" y="13220700"/>
          <a:ext cx="5143500" cy="278892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i="1" u="sng">
              <a:latin typeface="Arial" panose="020B0604020202020204" pitchFamily="34" charset="0"/>
              <a:cs typeface="Arial" panose="020B0604020202020204" pitchFamily="34" charset="0"/>
            </a:rPr>
            <a:t>Remarque:</a:t>
          </a:r>
        </a:p>
        <a:p>
          <a:r>
            <a:rPr lang="fr-BE" sz="1100">
              <a:latin typeface="Arial" panose="020B0604020202020204" pitchFamily="34" charset="0"/>
              <a:cs typeface="Arial" panose="020B0604020202020204" pitchFamily="34" charset="0"/>
            </a:rPr>
            <a:t>Au sein de la M 2.3, 15,3 M€ sont consacrés à l'extension du réseau d'égouttage qui devraient être assignés à la mesure 1.6, se répartissant comme suit:</a:t>
          </a:r>
        </a:p>
        <a:p>
          <a:r>
            <a:rPr lang="fr-BE" sz="1100">
              <a:latin typeface="Arial" panose="020B0604020202020204" pitchFamily="34" charset="0"/>
              <a:cs typeface="Arial" panose="020B0604020202020204" pitchFamily="34" charset="0"/>
            </a:rPr>
            <a:t>- 45% Senne</a:t>
          </a:r>
        </a:p>
        <a:p>
          <a:r>
            <a:rPr lang="fr-BE" sz="1100">
              <a:latin typeface="Arial" panose="020B0604020202020204" pitchFamily="34" charset="0"/>
              <a:cs typeface="Arial" panose="020B0604020202020204" pitchFamily="34" charset="0"/>
            </a:rPr>
            <a:t>- 45% Canal</a:t>
          </a:r>
        </a:p>
        <a:p>
          <a:r>
            <a:rPr lang="fr-BE" sz="1100">
              <a:latin typeface="Arial" panose="020B0604020202020204" pitchFamily="34" charset="0"/>
              <a:cs typeface="Arial" panose="020B0604020202020204" pitchFamily="34" charset="0"/>
            </a:rPr>
            <a:t>- 10% Woluwe</a:t>
          </a:r>
        </a:p>
        <a:p>
          <a:r>
            <a:rPr lang="fr-BE" sz="1100">
              <a:latin typeface="Arial" panose="020B0604020202020204" pitchFamily="34" charset="0"/>
              <a:cs typeface="Arial" panose="020B0604020202020204" pitchFamily="34" charset="0"/>
            </a:rPr>
            <a:t>La partie consacrée à la rénovation du réseau d'égoutage de la M 2.3 sera répartie</a:t>
          </a:r>
          <a:r>
            <a:rPr lang="fr-BE" sz="1100" baseline="0">
              <a:latin typeface="Arial" panose="020B0604020202020204" pitchFamily="34" charset="0"/>
              <a:cs typeface="Arial" panose="020B0604020202020204" pitchFamily="34" charset="0"/>
            </a:rPr>
            <a:t> comme suit:</a:t>
          </a:r>
        </a:p>
        <a:p>
          <a:r>
            <a:rPr lang="fr-BE" sz="1100" baseline="0">
              <a:latin typeface="Arial" panose="020B0604020202020204" pitchFamily="34" charset="0"/>
              <a:cs typeface="Arial" panose="020B0604020202020204" pitchFamily="34" charset="0"/>
            </a:rPr>
            <a:t>- 5% ESU (1/3 chaque masse d'eau)</a:t>
          </a:r>
        </a:p>
        <a:p>
          <a:r>
            <a:rPr lang="fr-BE" sz="1100" baseline="0">
              <a:latin typeface="Arial" panose="020B0604020202020204" pitchFamily="34" charset="0"/>
              <a:cs typeface="Arial" panose="020B0604020202020204" pitchFamily="34" charset="0"/>
            </a:rPr>
            <a:t>-95% ESO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6_EAU_WATER/01_PLAN/PGE%202022-2027/03%20R&#233;daction/Chapitre%206%20-%20Programme%20de%20mesures_NE%20PLUS%20MODIFIER/Analyse%20Co&#251;t%20Efficacit&#233;/ACE_PGE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4%20ACE%20EFF%20WOL"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4.4%20ACE%20MAX%20S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6_EAU_WATER/01_PLAN/PGE%202022-2027/03%20R&#233;daction/Version%20finale%20FR/MARS2022_fichiers%20s&#233;par&#233;s/PDM_dash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E_Efficacité"/>
      <sheetName val="Cons"/>
      <sheetName val="Pivot Budget"/>
      <sheetName val="Budget"/>
      <sheetName val="ACTIONS"/>
      <sheetName val="MAX"/>
      <sheetName val="EFF"/>
      <sheetName val="MAXEFF"/>
      <sheetName val="rEF"/>
      <sheetName val="Coût"/>
      <sheetName val="Efficacité"/>
      <sheetName val="ACE"/>
      <sheetName val="Feuil8"/>
      <sheetName val="Val"/>
      <sheetName val="Max_Eff"/>
      <sheetName val="Mesures"/>
      <sheetName val="MBuget"/>
      <sheetName val="Pressure"/>
      <sheetName val="HIERARCH"/>
    </sheetNames>
    <sheetDataSet>
      <sheetData sheetId="0">
        <row r="4">
          <cell r="A4" t="str">
            <v>Mesures/Actions</v>
          </cell>
          <cell r="B4" t="str">
            <v>Description</v>
          </cell>
          <cell r="C4" t="str">
            <v>CAN</v>
          </cell>
          <cell r="D4" t="str">
            <v>SEN</v>
          </cell>
          <cell r="E4" t="str">
            <v>WOL</v>
          </cell>
          <cell r="F4" t="str">
            <v>(vide)</v>
          </cell>
          <cell r="G4">
            <v>0</v>
          </cell>
          <cell r="H4" t="str">
            <v>Total</v>
          </cell>
          <cell r="J4" t="str">
            <v>Remarques</v>
          </cell>
          <cell r="K4" t="str">
            <v>Nickel</v>
          </cell>
          <cell r="L4" t="str">
            <v>Zinc</v>
          </cell>
          <cell r="M4" t="str">
            <v>Cadmium</v>
          </cell>
          <cell r="N4" t="str">
            <v>Mercure</v>
          </cell>
          <cell r="O4" t="str">
            <v>Plomb</v>
          </cell>
          <cell r="P4" t="str">
            <v>HAPs (*)
Acénaphtène / Pyrène / Anthracène / Benzo(a)pyrène / Fluoranthène)</v>
          </cell>
          <cell r="Q4" t="str">
            <v>HUIL MIN</v>
          </cell>
          <cell r="R4" t="str">
            <v>PCBs</v>
          </cell>
          <cell r="S4" t="str">
            <v>Heptachlore (et époxyde d’heptachlore)</v>
          </cell>
          <cell r="T4" t="str">
            <v>Nonylphénols</v>
          </cell>
          <cell r="U4" t="str">
            <v>Tributylétain</v>
          </cell>
          <cell r="V4" t="str">
            <v>HBCDD</v>
          </cell>
          <cell r="W4" t="str">
            <v>PBDE</v>
          </cell>
          <cell r="X4" t="str">
            <v>PFOS</v>
          </cell>
          <cell r="Y4" t="str">
            <v>Dioxines</v>
          </cell>
          <cell r="Z4" t="str">
            <v>DEHP</v>
          </cell>
          <cell r="AA4" t="str">
            <v>N (NO2 / NO3 / TKN / NH4 / Ntot)</v>
          </cell>
          <cell r="AB4" t="str">
            <v>P (PO4 / Ptot)</v>
          </cell>
          <cell r="AC4" t="str">
            <v>DBO</v>
          </cell>
          <cell r="AD4" t="str">
            <v>DCO</v>
          </cell>
          <cell r="AE4" t="str">
            <v>MS</v>
          </cell>
          <cell r="AF4" t="str">
            <v>OXYG</v>
          </cell>
          <cell r="AG4" t="str">
            <v>COND</v>
          </cell>
          <cell r="AH4" t="str">
            <v>Lit mineur (quantitatif, faciès, obstacles…)</v>
          </cell>
          <cell r="AI4" t="str">
            <v>Lit majeur</v>
          </cell>
          <cell r="AJ4" t="str">
            <v>Berges</v>
          </cell>
          <cell r="AK4" t="str">
            <v>PP</v>
          </cell>
          <cell r="AL4" t="str">
            <v>PB</v>
          </cell>
          <cell r="AM4" t="str">
            <v>MP</v>
          </cell>
          <cell r="AN4" t="str">
            <v>MI</v>
          </cell>
          <cell r="AO4" t="str">
            <v>POIS</v>
          </cell>
          <cell r="AP4" t="str">
            <v>Nickel</v>
          </cell>
          <cell r="AQ4" t="str">
            <v>Zinc</v>
          </cell>
          <cell r="AR4" t="str">
            <v>Cadmium</v>
          </cell>
          <cell r="AS4" t="str">
            <v>Mercure</v>
          </cell>
          <cell r="AT4" t="str">
            <v>Plomb</v>
          </cell>
          <cell r="AU4" t="str">
            <v>HAPs (Acénaphtène / Pyrène / Anthracène / Benzo(a)pyrène / Fluoranthène)</v>
          </cell>
          <cell r="AV4" t="str">
            <v>HUIL MIN</v>
          </cell>
          <cell r="AW4" t="str">
            <v>PCBs</v>
          </cell>
          <cell r="AX4" t="str">
            <v>Heptachlore (et époxyde d’heptachlore)</v>
          </cell>
          <cell r="AY4" t="str">
            <v>Nonylphénols</v>
          </cell>
          <cell r="AZ4" t="str">
            <v>Tributylétain</v>
          </cell>
          <cell r="BA4" t="str">
            <v>HBCDD</v>
          </cell>
          <cell r="BB4" t="str">
            <v>PBDE</v>
          </cell>
          <cell r="BC4" t="str">
            <v>PFOS</v>
          </cell>
          <cell r="BD4" t="str">
            <v>Dioxines</v>
          </cell>
          <cell r="BE4" t="str">
            <v>DEHP</v>
          </cell>
          <cell r="BF4" t="str">
            <v>N (NO2 / NO3 / TKN / NH4 / Ntot)</v>
          </cell>
          <cell r="BG4" t="str">
            <v>P (PO4 / Ptot)</v>
          </cell>
          <cell r="BH4" t="str">
            <v>DBO</v>
          </cell>
          <cell r="BI4" t="str">
            <v>DCO</v>
          </cell>
          <cell r="BJ4" t="str">
            <v>MS</v>
          </cell>
          <cell r="BK4" t="str">
            <v>OXYG</v>
          </cell>
          <cell r="BL4" t="str">
            <v>COND</v>
          </cell>
          <cell r="BM4" t="str">
            <v>Lit mineur (quantitatif, faciès, obstacles…)</v>
          </cell>
          <cell r="BN4" t="str">
            <v>Lit majeur</v>
          </cell>
          <cell r="BO4" t="str">
            <v>Berges</v>
          </cell>
          <cell r="BP4" t="str">
            <v>PP</v>
          </cell>
          <cell r="BQ4" t="str">
            <v>PB</v>
          </cell>
          <cell r="BR4" t="str">
            <v>MP</v>
          </cell>
          <cell r="BS4" t="str">
            <v>MI</v>
          </cell>
          <cell r="BT4" t="str">
            <v>POIS</v>
          </cell>
          <cell r="BU4" t="str">
            <v>Nickel</v>
          </cell>
          <cell r="BV4" t="str">
            <v>Zinc</v>
          </cell>
          <cell r="BW4" t="str">
            <v>Cadmium</v>
          </cell>
          <cell r="BX4" t="str">
            <v>Mercure</v>
          </cell>
          <cell r="BY4" t="str">
            <v>Plomb</v>
          </cell>
          <cell r="BZ4" t="str">
            <v>HAPs (Acénaphtène / Pyrène / Anthracène / Benzo(a)pyrène / Fluoranthène)</v>
          </cell>
          <cell r="CA4" t="str">
            <v>HUIL MIN</v>
          </cell>
          <cell r="CB4" t="str">
            <v>PCBs</v>
          </cell>
          <cell r="CC4" t="str">
            <v>Heptachlore (et époxyde d’heptachlore)</v>
          </cell>
          <cell r="CD4" t="str">
            <v>Nonylphénols</v>
          </cell>
          <cell r="CE4" t="str">
            <v>Tributylétain</v>
          </cell>
          <cell r="CF4" t="str">
            <v>HBCDD</v>
          </cell>
          <cell r="CG4" t="str">
            <v>PBDE</v>
          </cell>
          <cell r="CH4" t="str">
            <v>PFOS</v>
          </cell>
          <cell r="CI4" t="str">
            <v>Dioxines</v>
          </cell>
          <cell r="CJ4" t="str">
            <v>DEHP</v>
          </cell>
          <cell r="CK4" t="str">
            <v>N (NO2 / NO3 / TKN / NH4 / Ntot)</v>
          </cell>
          <cell r="CL4" t="str">
            <v>P (PO4 / Ptot)</v>
          </cell>
          <cell r="CM4" t="str">
            <v>DBO</v>
          </cell>
          <cell r="CN4" t="str">
            <v>DCO</v>
          </cell>
          <cell r="CO4" t="str">
            <v>MS</v>
          </cell>
          <cell r="CP4" t="str">
            <v>OXYG</v>
          </cell>
          <cell r="CQ4" t="str">
            <v>COND</v>
          </cell>
          <cell r="CR4" t="str">
            <v>Lit mineur (quantitatif, faciès, obstacles…)</v>
          </cell>
          <cell r="CS4" t="str">
            <v>Lit majeur</v>
          </cell>
          <cell r="CT4" t="str">
            <v>Berges</v>
          </cell>
          <cell r="CU4" t="str">
            <v>PP</v>
          </cell>
          <cell r="CV4" t="str">
            <v>PB</v>
          </cell>
          <cell r="CW4" t="str">
            <v>MP</v>
          </cell>
          <cell r="CX4" t="str">
            <v>MI</v>
          </cell>
          <cell r="CY4" t="str">
            <v>POIS</v>
          </cell>
        </row>
      </sheetData>
      <sheetData sheetId="1"/>
      <sheetData sheetId="2"/>
      <sheetData sheetId="3">
        <row r="9">
          <cell r="A9" t="str">
            <v>1.1.6</v>
          </cell>
          <cell r="D9">
            <v>1000000</v>
          </cell>
          <cell r="E9">
            <v>1000000</v>
          </cell>
          <cell r="H9">
            <v>2000000</v>
          </cell>
        </row>
        <row r="10">
          <cell r="A10" t="str">
            <v>1.1.7</v>
          </cell>
          <cell r="B10">
            <v>140000</v>
          </cell>
          <cell r="H10">
            <v>140000</v>
          </cell>
        </row>
        <row r="11">
          <cell r="A11" t="str">
            <v>1.1.8</v>
          </cell>
          <cell r="D11">
            <v>1200000</v>
          </cell>
          <cell r="H11">
            <v>1200000</v>
          </cell>
        </row>
        <row r="12">
          <cell r="A12" t="str">
            <v>1.1.9</v>
          </cell>
          <cell r="C12">
            <v>90000</v>
          </cell>
          <cell r="H12">
            <v>90000</v>
          </cell>
        </row>
        <row r="13">
          <cell r="A13" t="str">
            <v>1.1.10</v>
          </cell>
          <cell r="E13">
            <v>900000</v>
          </cell>
          <cell r="H13">
            <v>900000</v>
          </cell>
        </row>
        <row r="14">
          <cell r="A14" t="str">
            <v>1.1.11</v>
          </cell>
          <cell r="D14">
            <v>100000</v>
          </cell>
          <cell r="H14">
            <v>100000</v>
          </cell>
        </row>
        <row r="15">
          <cell r="A15" t="str">
            <v>1.1.12</v>
          </cell>
          <cell r="C15">
            <v>70000</v>
          </cell>
          <cell r="H15">
            <v>70000</v>
          </cell>
        </row>
        <row r="16">
          <cell r="A16" t="str">
            <v>1.1.A</v>
          </cell>
          <cell r="H16">
            <v>0</v>
          </cell>
        </row>
        <row r="17">
          <cell r="A17" t="str">
            <v>1.1.B</v>
          </cell>
          <cell r="H17">
            <v>0</v>
          </cell>
        </row>
        <row r="18">
          <cell r="A18" t="str">
            <v>1.2.1</v>
          </cell>
          <cell r="B18">
            <v>80000</v>
          </cell>
          <cell r="H18">
            <v>80000</v>
          </cell>
        </row>
        <row r="19">
          <cell r="A19" t="str">
            <v>1.2.2</v>
          </cell>
          <cell r="F19">
            <v>1500000</v>
          </cell>
          <cell r="H19">
            <v>1500000</v>
          </cell>
        </row>
        <row r="20">
          <cell r="A20" t="str">
            <v>1.2.3</v>
          </cell>
          <cell r="F20">
            <v>2500000</v>
          </cell>
          <cell r="H20">
            <v>2500000</v>
          </cell>
        </row>
        <row r="21">
          <cell r="A21" t="str">
            <v>1.2.4</v>
          </cell>
          <cell r="B21">
            <v>90000</v>
          </cell>
          <cell r="H21">
            <v>90000</v>
          </cell>
        </row>
        <row r="22">
          <cell r="A22" t="str">
            <v>1.2.5</v>
          </cell>
          <cell r="C22">
            <v>550000</v>
          </cell>
          <cell r="H22">
            <v>550000</v>
          </cell>
        </row>
        <row r="23">
          <cell r="A23" t="str">
            <v>1.2.6</v>
          </cell>
          <cell r="C23">
            <v>150000</v>
          </cell>
          <cell r="H23">
            <v>150000</v>
          </cell>
        </row>
        <row r="24">
          <cell r="A24" t="str">
            <v>1.2.7</v>
          </cell>
          <cell r="G24">
            <v>600000</v>
          </cell>
          <cell r="H24">
            <v>600000</v>
          </cell>
        </row>
        <row r="25">
          <cell r="A25" t="str">
            <v>1.2.8</v>
          </cell>
          <cell r="F25">
            <v>150000</v>
          </cell>
          <cell r="H25">
            <v>150000</v>
          </cell>
        </row>
        <row r="26">
          <cell r="A26" t="str">
            <v>1.2.9</v>
          </cell>
          <cell r="G26">
            <v>50000</v>
          </cell>
          <cell r="H26">
            <v>50000</v>
          </cell>
        </row>
        <row r="27">
          <cell r="A27" t="str">
            <v>1.2.10</v>
          </cell>
          <cell r="H27" t="str">
            <v>TBD</v>
          </cell>
        </row>
        <row r="28">
          <cell r="A28" t="str">
            <v>1.2.11</v>
          </cell>
          <cell r="H28" t="str">
            <v>TBD</v>
          </cell>
        </row>
        <row r="29">
          <cell r="A29" t="str">
            <v>1.2.12</v>
          </cell>
          <cell r="H29" t="str">
            <v>TBD</v>
          </cell>
        </row>
        <row r="30">
          <cell r="A30" t="str">
            <v>1.2.13</v>
          </cell>
          <cell r="H30" t="str">
            <v>TBD</v>
          </cell>
        </row>
        <row r="31">
          <cell r="A31" t="str">
            <v>1.2.14</v>
          </cell>
          <cell r="B31">
            <v>90000</v>
          </cell>
          <cell r="H31">
            <v>90000</v>
          </cell>
        </row>
        <row r="32">
          <cell r="A32" t="str">
            <v>1.2.15</v>
          </cell>
          <cell r="C32">
            <v>600000</v>
          </cell>
          <cell r="H32">
            <v>600000</v>
          </cell>
        </row>
        <row r="33">
          <cell r="A33" t="str">
            <v>1.2.16</v>
          </cell>
          <cell r="H33">
            <v>0</v>
          </cell>
        </row>
        <row r="34">
          <cell r="A34" t="str">
            <v>1.2.17</v>
          </cell>
          <cell r="H34">
            <v>0</v>
          </cell>
        </row>
        <row r="35">
          <cell r="A35" t="str">
            <v>1.2.18</v>
          </cell>
          <cell r="H35">
            <v>0</v>
          </cell>
        </row>
        <row r="36">
          <cell r="A36" t="str">
            <v>1.2.19</v>
          </cell>
          <cell r="H36">
            <v>0</v>
          </cell>
        </row>
        <row r="37">
          <cell r="A37" t="str">
            <v>1.2.20</v>
          </cell>
          <cell r="H37">
            <v>0</v>
          </cell>
        </row>
        <row r="38">
          <cell r="A38" t="str">
            <v>1.2.21</v>
          </cell>
          <cell r="B38">
            <v>200000</v>
          </cell>
          <cell r="H38">
            <v>200000</v>
          </cell>
        </row>
        <row r="39">
          <cell r="A39" t="str">
            <v>1.2.22</v>
          </cell>
          <cell r="C39">
            <v>30000</v>
          </cell>
          <cell r="H39">
            <v>30000</v>
          </cell>
        </row>
        <row r="40">
          <cell r="A40" t="str">
            <v>1.2.23</v>
          </cell>
          <cell r="H40">
            <v>0</v>
          </cell>
        </row>
        <row r="41">
          <cell r="A41" t="str">
            <v>1.2.24</v>
          </cell>
          <cell r="C41">
            <v>250000</v>
          </cell>
          <cell r="D41">
            <v>300000</v>
          </cell>
          <cell r="E41">
            <v>285000</v>
          </cell>
          <cell r="H41">
            <v>835000</v>
          </cell>
        </row>
        <row r="42">
          <cell r="A42" t="str">
            <v>1.2.25</v>
          </cell>
          <cell r="E42">
            <v>200000</v>
          </cell>
          <cell r="H42">
            <v>200000</v>
          </cell>
        </row>
        <row r="43">
          <cell r="A43" t="str">
            <v>1.2.26</v>
          </cell>
          <cell r="D43">
            <v>300000</v>
          </cell>
          <cell r="H43">
            <v>300000</v>
          </cell>
        </row>
        <row r="44">
          <cell r="A44" t="str">
            <v>1.2.27</v>
          </cell>
          <cell r="D44">
            <v>500000</v>
          </cell>
          <cell r="H44">
            <v>500000</v>
          </cell>
        </row>
        <row r="45">
          <cell r="A45" t="str">
            <v>1.2.28</v>
          </cell>
          <cell r="E45">
            <v>200000</v>
          </cell>
          <cell r="H45">
            <v>200000</v>
          </cell>
        </row>
        <row r="46">
          <cell r="A46" t="str">
            <v>1.3.1</v>
          </cell>
          <cell r="B46">
            <v>50000</v>
          </cell>
          <cell r="H46">
            <v>50000</v>
          </cell>
        </row>
        <row r="47">
          <cell r="A47" t="str">
            <v>1.3.2</v>
          </cell>
          <cell r="D47">
            <v>50000</v>
          </cell>
          <cell r="H47">
            <v>50000</v>
          </cell>
        </row>
        <row r="48">
          <cell r="A48" t="str">
            <v>1.3.3</v>
          </cell>
          <cell r="F48">
            <v>100000</v>
          </cell>
          <cell r="H48">
            <v>100000</v>
          </cell>
        </row>
        <row r="49">
          <cell r="A49" t="str">
            <v>1.3.4</v>
          </cell>
          <cell r="H49">
            <v>0</v>
          </cell>
        </row>
        <row r="50">
          <cell r="A50" t="str">
            <v>1.3.5</v>
          </cell>
          <cell r="F50">
            <v>250000</v>
          </cell>
          <cell r="H50">
            <v>250000</v>
          </cell>
        </row>
        <row r="51">
          <cell r="A51" t="str">
            <v>1.3.6</v>
          </cell>
          <cell r="H51">
            <v>0</v>
          </cell>
        </row>
        <row r="52">
          <cell r="A52" t="str">
            <v>1.3.7</v>
          </cell>
          <cell r="H52">
            <v>0</v>
          </cell>
        </row>
        <row r="53">
          <cell r="A53" t="str">
            <v>1.3.8</v>
          </cell>
          <cell r="H53">
            <v>0</v>
          </cell>
        </row>
        <row r="54">
          <cell r="A54" t="str">
            <v>1.3.9</v>
          </cell>
          <cell r="H54">
            <v>0</v>
          </cell>
        </row>
        <row r="55">
          <cell r="A55" t="str">
            <v>1.3.A</v>
          </cell>
          <cell r="H55">
            <v>0</v>
          </cell>
        </row>
        <row r="56">
          <cell r="A56" t="str">
            <v>1.4.1</v>
          </cell>
          <cell r="H56">
            <v>0</v>
          </cell>
        </row>
        <row r="57">
          <cell r="A57" t="str">
            <v>1.4.2</v>
          </cell>
          <cell r="H57">
            <v>0</v>
          </cell>
        </row>
        <row r="58">
          <cell r="A58" t="str">
            <v>1.4.3</v>
          </cell>
          <cell r="H58">
            <v>0</v>
          </cell>
        </row>
        <row r="59">
          <cell r="A59" t="str">
            <v>1.4.4</v>
          </cell>
          <cell r="H59">
            <v>0</v>
          </cell>
        </row>
        <row r="60">
          <cell r="A60" t="str">
            <v>1.4.5</v>
          </cell>
          <cell r="H60">
            <v>0</v>
          </cell>
        </row>
        <row r="61">
          <cell r="A61" t="str">
            <v>1.4.6</v>
          </cell>
          <cell r="H61">
            <v>0</v>
          </cell>
        </row>
        <row r="62">
          <cell r="A62" t="str">
            <v>1.4.7</v>
          </cell>
          <cell r="H62">
            <v>0</v>
          </cell>
        </row>
        <row r="63">
          <cell r="A63" t="str">
            <v>1.4.8</v>
          </cell>
          <cell r="B63">
            <v>40000</v>
          </cell>
          <cell r="C63">
            <v>40000</v>
          </cell>
          <cell r="D63">
            <v>40000</v>
          </cell>
          <cell r="E63">
            <v>45000</v>
          </cell>
          <cell r="H63">
            <v>165000</v>
          </cell>
        </row>
        <row r="64">
          <cell r="A64" t="str">
            <v>1.4.9</v>
          </cell>
          <cell r="H64">
            <v>0</v>
          </cell>
        </row>
        <row r="65">
          <cell r="A65" t="str">
            <v>1.4.10</v>
          </cell>
          <cell r="H65">
            <v>0</v>
          </cell>
        </row>
        <row r="66">
          <cell r="A66" t="str">
            <v>1.4.11</v>
          </cell>
          <cell r="H66">
            <v>0</v>
          </cell>
        </row>
        <row r="67">
          <cell r="A67" t="str">
            <v>1.4.12</v>
          </cell>
          <cell r="H67">
            <v>0</v>
          </cell>
        </row>
        <row r="68">
          <cell r="A68" t="str">
            <v>1.4.13</v>
          </cell>
          <cell r="C68">
            <v>55000</v>
          </cell>
          <cell r="D68">
            <v>55000</v>
          </cell>
          <cell r="E68">
            <v>55000</v>
          </cell>
          <cell r="H68">
            <v>165000</v>
          </cell>
        </row>
        <row r="69">
          <cell r="A69" t="str">
            <v>1.4.A</v>
          </cell>
          <cell r="H69">
            <v>0</v>
          </cell>
        </row>
        <row r="70">
          <cell r="A70" t="str">
            <v>1.5.1</v>
          </cell>
          <cell r="H70">
            <v>0</v>
          </cell>
        </row>
        <row r="71">
          <cell r="A71" t="str">
            <v>1.5.2</v>
          </cell>
          <cell r="H71">
            <v>0</v>
          </cell>
        </row>
        <row r="72">
          <cell r="A72" t="str">
            <v>1.5.3</v>
          </cell>
          <cell r="H72">
            <v>0</v>
          </cell>
        </row>
        <row r="73">
          <cell r="A73" t="str">
            <v>1.5.4</v>
          </cell>
          <cell r="H73">
            <v>0</v>
          </cell>
        </row>
        <row r="74">
          <cell r="A74" t="str">
            <v>1.5.5</v>
          </cell>
          <cell r="H74">
            <v>0</v>
          </cell>
        </row>
        <row r="75">
          <cell r="A75" t="str">
            <v>1.5.6</v>
          </cell>
          <cell r="H75">
            <v>0</v>
          </cell>
        </row>
        <row r="76">
          <cell r="A76" t="str">
            <v>1.5.7</v>
          </cell>
          <cell r="H76">
            <v>0</v>
          </cell>
        </row>
        <row r="77">
          <cell r="A77" t="str">
            <v>1.5.8</v>
          </cell>
          <cell r="H77">
            <v>0</v>
          </cell>
        </row>
        <row r="78">
          <cell r="A78" t="str">
            <v>1.5.9</v>
          </cell>
          <cell r="B78">
            <v>25000</v>
          </cell>
          <cell r="H78">
            <v>25000</v>
          </cell>
        </row>
        <row r="79">
          <cell r="A79" t="str">
            <v>1.5.10</v>
          </cell>
          <cell r="H79">
            <v>0</v>
          </cell>
        </row>
        <row r="80">
          <cell r="A80" t="str">
            <v>1.5.11</v>
          </cell>
          <cell r="H80">
            <v>0</v>
          </cell>
        </row>
        <row r="81">
          <cell r="A81" t="str">
            <v>1.5.12</v>
          </cell>
          <cell r="H81">
            <v>0</v>
          </cell>
        </row>
        <row r="82">
          <cell r="A82" t="str">
            <v>1.5.13</v>
          </cell>
          <cell r="H82">
            <v>0</v>
          </cell>
        </row>
        <row r="83">
          <cell r="A83" t="str">
            <v>1.5.14</v>
          </cell>
          <cell r="H83">
            <v>0</v>
          </cell>
        </row>
        <row r="84">
          <cell r="A84" t="str">
            <v>1.5.15</v>
          </cell>
          <cell r="H84">
            <v>0</v>
          </cell>
        </row>
        <row r="85">
          <cell r="A85" t="str">
            <v>1.5.16</v>
          </cell>
          <cell r="H85">
            <v>0</v>
          </cell>
        </row>
        <row r="86">
          <cell r="A86" t="str">
            <v>1.5.17</v>
          </cell>
          <cell r="B86">
            <v>17000</v>
          </cell>
          <cell r="H86">
            <v>17000</v>
          </cell>
        </row>
        <row r="87">
          <cell r="A87" t="str">
            <v>1.5.18</v>
          </cell>
          <cell r="H87">
            <v>0</v>
          </cell>
        </row>
        <row r="88">
          <cell r="A88" t="str">
            <v>1.5.19</v>
          </cell>
          <cell r="B88">
            <v>25000</v>
          </cell>
          <cell r="H88">
            <v>25000</v>
          </cell>
        </row>
        <row r="89">
          <cell r="A89" t="str">
            <v>1.5.20</v>
          </cell>
          <cell r="H89">
            <v>0</v>
          </cell>
        </row>
        <row r="90">
          <cell r="A90" t="str">
            <v>1.5.21</v>
          </cell>
          <cell r="H90">
            <v>0</v>
          </cell>
        </row>
        <row r="91">
          <cell r="A91" t="str">
            <v>1.5.22</v>
          </cell>
          <cell r="H91">
            <v>0</v>
          </cell>
        </row>
        <row r="92">
          <cell r="A92" t="str">
            <v>1.5.23</v>
          </cell>
          <cell r="H92">
            <v>0</v>
          </cell>
        </row>
        <row r="93">
          <cell r="A93" t="str">
            <v>1.6.1</v>
          </cell>
          <cell r="H93">
            <v>0</v>
          </cell>
        </row>
        <row r="94">
          <cell r="A94" t="str">
            <v>1.6.2</v>
          </cell>
          <cell r="B94">
            <v>100000</v>
          </cell>
          <cell r="E94">
            <v>100000</v>
          </cell>
          <cell r="H94">
            <v>200000</v>
          </cell>
        </row>
        <row r="95">
          <cell r="A95" t="str">
            <v>1.6.3</v>
          </cell>
          <cell r="H95">
            <v>0</v>
          </cell>
        </row>
        <row r="96">
          <cell r="A96" t="str">
            <v>1.6.4</v>
          </cell>
          <cell r="H96">
            <v>0</v>
          </cell>
        </row>
        <row r="97">
          <cell r="A97" t="str">
            <v>1.6.5</v>
          </cell>
          <cell r="H97">
            <v>0</v>
          </cell>
        </row>
        <row r="98">
          <cell r="A98" t="str">
            <v>1.6.6</v>
          </cell>
          <cell r="H98">
            <v>0</v>
          </cell>
        </row>
        <row r="99">
          <cell r="A99" t="str">
            <v>1.6.7</v>
          </cell>
          <cell r="H99">
            <v>0</v>
          </cell>
        </row>
        <row r="100">
          <cell r="A100" t="str">
            <v>1.7.1</v>
          </cell>
          <cell r="H100">
            <v>0</v>
          </cell>
        </row>
        <row r="101">
          <cell r="A101" t="str">
            <v>1.7.2</v>
          </cell>
          <cell r="H101">
            <v>0</v>
          </cell>
        </row>
        <row r="102">
          <cell r="A102" t="str">
            <v>1.7.3</v>
          </cell>
          <cell r="H102">
            <v>0</v>
          </cell>
        </row>
        <row r="103">
          <cell r="A103" t="str">
            <v>1.7.4</v>
          </cell>
          <cell r="H103">
            <v>0</v>
          </cell>
        </row>
        <row r="104">
          <cell r="A104" t="str">
            <v>1.7.5</v>
          </cell>
          <cell r="C104">
            <v>40000</v>
          </cell>
          <cell r="D104">
            <v>35000</v>
          </cell>
          <cell r="H104">
            <v>75000</v>
          </cell>
        </row>
        <row r="105">
          <cell r="A105" t="str">
            <v>1.7.6</v>
          </cell>
          <cell r="H105">
            <v>0</v>
          </cell>
        </row>
      </sheetData>
      <sheetData sheetId="4">
        <row r="3">
          <cell r="A3" t="str">
            <v>1.1.A</v>
          </cell>
          <cell r="B3" t="str">
            <v>Remise à ciel ouvert complète de la Senne</v>
          </cell>
        </row>
        <row r="4">
          <cell r="A4" t="str">
            <v>1.1.1</v>
          </cell>
          <cell r="B4" t="str">
            <v>Projet « Max-sur-Senne » : réaménagement du parc Maximilien avec mise à ciel ouvert de la Senne sur une longueur de 580 m minimum – Etude (également sur M6.6) (action C13_6 Belini)</v>
          </cell>
        </row>
        <row r="5">
          <cell r="A5" t="str">
            <v>1.1.2</v>
          </cell>
          <cell r="B5" t="str">
            <v>Projet « Max-sur-Senne » : réaménagement du parc Maximilien avec mise à ciel ouvert de la Senne sur une longueur de 580 m minimum – Travaux (également sur M6.6)</v>
          </cell>
        </row>
        <row r="6">
          <cell r="A6" t="str">
            <v>1.1.3</v>
          </cell>
          <cell r="B6" t="str">
            <v>Projet Schaerbeek Formation : mise à ciel ouvert de la Senne sur le site de Schaerbeek Formation – Etude (également sur M6.6)</v>
          </cell>
        </row>
        <row r="7">
          <cell r="A7" t="str">
            <v>1.1.4</v>
          </cell>
          <cell r="B7" t="str">
            <v>Projet Schaerbeek Formation : mise à ciel ouvert de la Senne sur le site de Schaerbeek Formation –Travaux (également sur M6.6)</v>
          </cell>
        </row>
        <row r="8">
          <cell r="A8" t="str">
            <v>1.1.5</v>
          </cell>
          <cell r="B8" t="str">
            <v>Projet Poincaré : mise en perspective de la Senne au niveau du musée des égouts - Etude (fait partie de l’action C12_4 Belini)</v>
          </cell>
        </row>
        <row r="9">
          <cell r="A9" t="str">
            <v>1.1.6</v>
          </cell>
          <cell r="B9" t="str">
            <v>Projet Poincaré : mise en perspective de la Senne au niveau du musée des égouts – Travaux</v>
          </cell>
        </row>
        <row r="10">
          <cell r="A10" t="str">
            <v>1.1.B</v>
          </cell>
          <cell r="B10" t="str">
            <v>Remise à ciel ouvert complète de la Woluwe</v>
          </cell>
        </row>
        <row r="11">
          <cell r="A11" t="str">
            <v>1.1.7</v>
          </cell>
          <cell r="B11" t="str">
            <v>Projet site « Royale Belge » : Mise à ciel ouvert de la Woluwe sur une longueur de 250 m – Etude (voir également fiche M1.2)</v>
          </cell>
        </row>
        <row r="12">
          <cell r="A12" t="str">
            <v>1.1.8</v>
          </cell>
          <cell r="B12" t="str">
            <v>Projet site « Royale Belge »: Mise à ciel ouvert de la Woluwe sur une longueur de 250 m – Travaux (financés par des charges d’urbanisme) (voir également fiche M1.2)</v>
          </cell>
        </row>
        <row r="13">
          <cell r="A13" t="str">
            <v>1.1.9</v>
          </cell>
          <cell r="B13" t="str">
            <v>Mise à ciel ouvert du Roodkloosterbeek dans le parc Bergoge sur 100m – Etude (également sur M1.2)</v>
          </cell>
        </row>
        <row r="14">
          <cell r="A14" t="str">
            <v>1.1.10</v>
          </cell>
          <cell r="B14" t="str">
            <v>Mise à ciel ouvert du Roodkloosterbeek dans le parc Bergoge sur 100m - Travaux (également sur M1.2)</v>
          </cell>
        </row>
        <row r="15">
          <cell r="A15" t="str">
            <v>1.1.11</v>
          </cell>
          <cell r="B15" t="str">
            <v xml:space="preserve">Étude de faisabilité de mise à ciel ouvert du Kerkebeek sur 800 m au niveau du Moeraske </v>
          </cell>
        </row>
        <row r="16">
          <cell r="A16" t="str">
            <v>1.1.12</v>
          </cell>
          <cell r="B16" t="str">
            <v xml:space="preserve">Etude Étude de faisabilité de mise à ciel ouvert du Hollebeek sur 100 m au niveau du site Citydev, rue du Bruel – Etude </v>
          </cell>
        </row>
        <row r="17">
          <cell r="A17" t="str">
            <v>1.2.1</v>
          </cell>
          <cell r="B17" t="str">
            <v>Amélioration de la berge et l’aménagement d’une annexe hydraulique abritée (frayère) à hauteur du site d’Aquiris (action C12_2 Belini) – Etude (*)</v>
          </cell>
        </row>
        <row r="18">
          <cell r="A18" t="str">
            <v>1.2.2</v>
          </cell>
          <cell r="B18" t="str">
            <v>Aménager la berge et une annexe hydraulique abritée (frayère) à hauteur d’Aquiris (action C12_2 Belini) – Travaux (*)</v>
          </cell>
        </row>
        <row r="19">
          <cell r="A19" t="str">
            <v>1.2.3</v>
          </cell>
          <cell r="B19" t="str">
            <v>Aménager un lit et des berges naturelles en rives gauche et droite au niveau de l’Avenue de Vilvorde (action C13_4 Belini) - Travaux</v>
          </cell>
        </row>
        <row r="20">
          <cell r="A20" t="str">
            <v>1.2.4</v>
          </cell>
          <cell r="B20" t="str">
            <v>Poursuivre l’aménagement de berges et lit naturels et d’un bras mort à hauteur de la Rue du Charroi (île Sainte Hélène, en aval du Boulevard Paepsem) – Etude (cf. aussi M 6.6) (*)</v>
          </cell>
        </row>
        <row r="21">
          <cell r="A21" t="str">
            <v>1.2.5</v>
          </cell>
          <cell r="B21" t="str">
            <v>Poursuivre l’aménagement de berges et lit naturels et d’un bras mort à hauteur de la Rue du Charroi (île Sainte Hélène, en aval du Boulevard Paepsem) – Travaux (également sur Mesure 6.6)</v>
          </cell>
        </row>
        <row r="22">
          <cell r="A22" t="str">
            <v>1.2.6</v>
          </cell>
          <cell r="B22" t="str">
            <v>Aménager des berges naturelles entre la Dérivation d’Aa et la Rue Bollinckx – Etude (voir également fiche M6.6)</v>
          </cell>
        </row>
        <row r="23">
          <cell r="A23" t="str">
            <v>1.2.7</v>
          </cell>
          <cell r="B23" t="str">
            <v>Aménager des berges naturelles entre la Dérivation d’Aa et la Rue Bollinckx – Travaux (voir également fiche M6.6)</v>
          </cell>
        </row>
        <row r="24">
          <cell r="A24" t="str">
            <v>1.2.8</v>
          </cell>
          <cell r="B24" t="str">
            <v>Aménager des berges naturelles et d’une promenade entre la Rue du Charroi et la Rue des Vétérinaires – Etude (voir également fiche M6.6)</v>
          </cell>
        </row>
        <row r="25">
          <cell r="A25" t="str">
            <v>1.2.9</v>
          </cell>
          <cell r="B25" t="str">
            <v>Améliorer l’hydromorphologie de la Senne entre la Rue du Rupel (aval du Pont Van Praet) et la Rampe du Lion (état actuel : berges bétonnées au niveau d’Elia, voire également le lit) - Etude</v>
          </cell>
        </row>
        <row r="26">
          <cell r="A26" t="str">
            <v>1.2.10</v>
          </cell>
          <cell r="B26" t="str">
            <v>Améliorer l’hydromorphologie de la Senne entre la Rue du Rupel (aval du Pont Van Praet) et la Rampe du Lion (état actuel : berges bétonnées au niveau d’Elia, voire également le lit) - Travaux</v>
          </cell>
        </row>
        <row r="27">
          <cell r="A27" t="str">
            <v>1.2.11</v>
          </cell>
          <cell r="B27" t="str">
            <v>Aménager les berges et lit naturels entre la Chaussée de Buda et la sortie de la région, tenant compte du curage prévu de ce tronçon - Etude</v>
          </cell>
        </row>
        <row r="28">
          <cell r="A28" t="str">
            <v>1.2.12</v>
          </cell>
          <cell r="B28" t="str">
            <v>Aménager les berges et lit naturels entre la Chaussée de Buda et la sortie de la région, tenant compte du curage de ce tronçon - Travaux</v>
          </cell>
        </row>
        <row r="29">
          <cell r="A29" t="str">
            <v>1.2.13</v>
          </cell>
          <cell r="B29" t="str">
            <v>Aménager de berges naturelles entre la Rue de la Bienvenue et le Boulevard International - Etude</v>
          </cell>
        </row>
        <row r="30">
          <cell r="A30" t="str">
            <v>1.2.14</v>
          </cell>
          <cell r="B30" t="str">
            <v>Travaux pour aménager une zone humide le long de la Woluwe au niveau de l’étang rond, Parc de la Woluwe – Etude</v>
          </cell>
        </row>
        <row r="31">
          <cell r="A31" t="str">
            <v>1.2.15</v>
          </cell>
          <cell r="B31" t="str">
            <v>Travaux pour aménager une zone humide le long de la Woluwe au niveau de l’étang rond, Parc de la Woluwe – Travaux</v>
          </cell>
        </row>
        <row r="32">
          <cell r="A32" t="str">
            <v>1.2.16</v>
          </cell>
          <cell r="B32" t="str">
            <v xml:space="preserve">Réaliser une étude pour l’aménagement de berges naturelles sur la Woluwe entre l’Avenue Debecker et l’Avenue Vandervelde </v>
          </cell>
        </row>
        <row r="33">
          <cell r="A33" t="str">
            <v>1.2.17</v>
          </cell>
          <cell r="B33" t="str">
            <v>Aménager des berges naturelles sur la Woluwe entre l’Avenue Debecker et l’Avenue Vandervelde</v>
          </cell>
        </row>
        <row r="34">
          <cell r="A34" t="str">
            <v>1.2.18</v>
          </cell>
          <cell r="B34" t="str">
            <v>Analyser les perspectives d’adoucissement de la pente des berges et d’augmentation de la sinuosité de la Woluwe entre le tronçon Vandervelde et l’Avenue Chapelle-aux-Champs</v>
          </cell>
        </row>
        <row r="35">
          <cell r="A35" t="str">
            <v>1.2.19</v>
          </cell>
          <cell r="B35" t="str">
            <v xml:space="preserve">Analyser les perspectives d’adoucissement de la pente des berges et d’augmentation de la sinuosité de la Woluwe au niveau du domaine de Val Duchesse </v>
          </cell>
        </row>
        <row r="36">
          <cell r="A36" t="str">
            <v>1.2.20</v>
          </cell>
          <cell r="B36" t="str">
            <v>Réaliser une étude de faisabilité pour l’installation d’un dispositif-test d’île flottante/radeaux végétalisés (cf. aussi M 5.21)</v>
          </cell>
        </row>
        <row r="37">
          <cell r="A37" t="str">
            <v>1.2.21</v>
          </cell>
          <cell r="B37" t="str">
            <v>Installer un dispositif-test d’île flottante (en cours à hauteur du BRYC)</v>
          </cell>
        </row>
        <row r="38">
          <cell r="A38" t="str">
            <v>1.2.22</v>
          </cell>
          <cell r="B38" t="str">
            <v>Réaliser une étude de faisabilité pour l’aménagement d’une berge naturelle avec zone de lagunage et éventuelle annexe hydraulique en rive gauche du bassin de batelage</v>
          </cell>
        </row>
        <row r="39">
          <cell r="A39" t="str">
            <v>1.2.23</v>
          </cell>
          <cell r="B39" t="str">
            <v>Evaluer le résultat et l’expérience acquise avec le dispositif-test d’île flottante pour orienter l’extension de ce type d’aménagements à d’autres zones</v>
          </cell>
        </row>
        <row r="40">
          <cell r="A40" t="str">
            <v>1.2.24</v>
          </cell>
          <cell r="B40" t="str">
            <v xml:space="preserve">Installer des aménagements de berges (tels que des îles flottantes) à d’autres endroits, en fonction du résultat et de l’expérience acquise avec le dispositif-test d’île flottante </v>
          </cell>
        </row>
        <row r="41">
          <cell r="A41" t="str">
            <v>1.2.25</v>
          </cell>
          <cell r="B41" t="str">
            <v>Aménager la berge en rive gauche du bassin de batelage en fonction des résultats de l’étude de faisabilité (actuellement envisagé : berge naturelle avec zone de lagunage protégée des remous)</v>
          </cell>
        </row>
        <row r="42">
          <cell r="A42" t="str">
            <v>1.2.26</v>
          </cell>
          <cell r="B42" t="str">
            <v>Mise en valeur des berges du Zuunbeek dans le cadre de l’aménagement du parc du Zuun - Travaux</v>
          </cell>
        </row>
        <row r="43">
          <cell r="A43" t="str">
            <v>1.2.27</v>
          </cell>
          <cell r="B43" t="str">
            <v>Aménagement des berges du Molenbeek au niveau du Marais de Jette</v>
          </cell>
        </row>
        <row r="44">
          <cell r="A44" t="str">
            <v>1.2.28</v>
          </cell>
          <cell r="B44" t="str">
            <v>Création de zone refuge en cas d’étiage du Molenbeek au niveau du Parc Roi Baudouin</v>
          </cell>
        </row>
        <row r="45">
          <cell r="A45" t="str">
            <v>1.3.1</v>
          </cell>
          <cell r="B45" t="str">
            <v>Réaliser une étude de faisabilité pour l’aménagement d’une 1ère série d’obstacles sur la Woluwe (4 obstacles dans partie aval) et la Senne (action C12_1 Belini pour la Senne)</v>
          </cell>
        </row>
        <row r="46">
          <cell r="A46" t="str">
            <v>1.3.2</v>
          </cell>
          <cell r="B46" t="str">
            <v>Mener une étude de projet pour l’aménagement d’une 1ère série de 4 obstacles sur la Woluwe (partie aval) + 1 obstacle sur la Senne</v>
          </cell>
        </row>
        <row r="47">
          <cell r="A47" t="str">
            <v>1.3.3</v>
          </cell>
          <cell r="B47" t="str">
            <v>Travaux d’aménagement de 2 obstacles parmi la 1ère série de 4 sur la Woluwe (partie aval)</v>
          </cell>
        </row>
        <row r="48">
          <cell r="A48" t="str">
            <v>1.3.4</v>
          </cell>
          <cell r="B48" t="str">
            <v>Travaux d’aménagement des 2 derniers obstacles parmi la 1ère série de 4 sur la Woluwe (partie aval)</v>
          </cell>
        </row>
        <row r="49">
          <cell r="A49" t="str">
            <v>1.3.5</v>
          </cell>
          <cell r="B49" t="str">
            <v>Travaux d’aménagement de l’obstacle sur la Senne</v>
          </cell>
          <cell r="C49" t="str">
            <v>BE (B. Thiebaux)
Accompagnement L. Dohet/A. Marescaux</v>
          </cell>
          <cell r="D49" t="str">
            <v>SEN</v>
          </cell>
        </row>
        <row r="50">
          <cell r="A50" t="str">
            <v>1.3.6</v>
          </cell>
          <cell r="B50" t="str">
            <v>Réaliser une étude de faisabilité pour l’aménagement d’une 2ème série de 5 obstacles sur la Woluwe (partie amont)</v>
          </cell>
          <cell r="C50" t="str">
            <v xml:space="preserve">BE (R. Bocquet)
Accompagnement L. Dohet/A. Marescaux
</v>
          </cell>
          <cell r="D50" t="str">
            <v>WOL</v>
          </cell>
        </row>
        <row r="51">
          <cell r="A51" t="str">
            <v>1.3.7</v>
          </cell>
          <cell r="B51" t="str">
            <v>Réaliser une étude de projet pour l’aménagement d’une 2ème série de 5 obstacles sur la Woluwe (partie amont)</v>
          </cell>
          <cell r="C51" t="str">
            <v xml:space="preserve">BE (R. Bocquet)
Accompagnement L. Dohet/A. Marescaux
</v>
          </cell>
          <cell r="D51" t="str">
            <v>WOL</v>
          </cell>
        </row>
        <row r="52">
          <cell r="A52" t="str">
            <v>1.3.8</v>
          </cell>
          <cell r="B52" t="str">
            <v>Travaux d’aménagement des 5 obstacles de la 2ème série sur la Woluwe (partie amont)</v>
          </cell>
          <cell r="C52" t="str">
            <v xml:space="preserve">BE (R. Bocquet)
Accompagnement L. Dohet/A. Marescaux
</v>
          </cell>
          <cell r="D52" t="str">
            <v>WOL</v>
          </cell>
        </row>
        <row r="53">
          <cell r="A53" t="str">
            <v>1.3.A</v>
          </cell>
          <cell r="B53" t="str">
            <v>Aménager les écluses du Canal de passes à poissons</v>
          </cell>
          <cell r="C53" t="str">
            <v>Port de BXL</v>
          </cell>
          <cell r="D53" t="str">
            <v>CAN</v>
          </cell>
        </row>
        <row r="54">
          <cell r="A54" t="str">
            <v>1.4.1</v>
          </cell>
          <cell r="B54" t="str">
            <v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v>
          </cell>
          <cell r="C54" t="str">
            <v xml:space="preserve">BE Serv. Biodiversité (O. Beck/X. Vermeersch)
BE Serv. Biodiversité (O. Beck/X. Vermeersch)
Collaboration BE Dpt. Eau (L. Dohet/A. Marescaux, N. Van Weyenbergh) et Port (A. Augem)
</v>
          </cell>
          <cell r="D54" t="str">
            <v>SEN / WOL / CAN</v>
          </cell>
        </row>
        <row r="55">
          <cell r="A55" t="str">
            <v>1.4.2</v>
          </cell>
          <cell r="B55" t="str">
            <v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v>
          </cell>
          <cell r="C55" t="str">
            <v xml:space="preserve">BE Serv. Biodiversité (O. Beck/X. Vermeersch)
BE Dpt. Eau (L. Dohet/A. Marescaux, N. Van Weyenbergh)
Collaboration Port (A. Augem) 
</v>
          </cell>
          <cell r="D55" t="str">
            <v>SEN / WOL / CAN</v>
          </cell>
        </row>
        <row r="56">
          <cell r="A56" t="str">
            <v>1.4.3</v>
          </cell>
          <cell r="B56" t="str">
            <v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v>
          </cell>
          <cell r="C56" t="str">
            <v xml:space="preserve">BE Dpt. Eau (L. Dohet/A. Marescaux, N. Van Weyenbergh)
BE Serv. Biodiversité (O. Beck/X. Vermeersch)
Collaboration Port (A. Augem), BE éco-cantonniers
</v>
          </cell>
          <cell r="D56" t="str">
            <v>SEN / WOL / CAN</v>
          </cell>
        </row>
        <row r="57">
          <cell r="A57" t="str">
            <v>1.4.4</v>
          </cell>
          <cell r="B57" t="str">
            <v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v>
          </cell>
          <cell r="C57" t="str">
            <v xml:space="preserve">BE Dpt. Eau (N. Van Weyenbergh)
BE Serv. Biodiversité (O. Beck/X. Vermeersch) 
Dpt.  Sol et Inspectorat
Port
</v>
          </cell>
          <cell r="D57" t="str">
            <v>SEN / WOL / CAN</v>
          </cell>
        </row>
        <row r="58">
          <cell r="A58" t="str">
            <v>1.4.5</v>
          </cell>
          <cell r="B58" t="str">
            <v xml:space="preserve">Développer et valider des « zones-tests » afin d’expérimenter des techniques nouvelles :
- d’éradication précoce,
- de contrôle (notamment biologique),
- de confinement.
Ex : pièges à écrevisses, plantation de plantes indigènes compétitrices, éco-pâturage
</v>
          </cell>
          <cell r="C58" t="str">
            <v xml:space="preserve">BE Serv. Biodiversité (O. Beck/X. Vermeersch)
BE Dpt. Eau (N. Van Weyenbergh)
Port
</v>
          </cell>
          <cell r="D58" t="str">
            <v>SEN / WOL / CAN</v>
          </cell>
        </row>
        <row r="59">
          <cell r="A59" t="str">
            <v>1.4.6</v>
          </cell>
          <cell r="B59" t="str">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v>
          </cell>
          <cell r="C59" t="str">
            <v xml:space="preserve">BE Dpt. Eau (N. Van Weyenbergh)
BE Serv. Biodiversité (O. Beck/X. Vermeersch)
</v>
          </cell>
          <cell r="D59" t="str">
            <v>SEN / WOL / CAN</v>
          </cell>
        </row>
        <row r="60">
          <cell r="A60" t="str">
            <v>1.4.7</v>
          </cell>
          <cell r="B60" t="str">
            <v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v>
          </cell>
          <cell r="C60" t="str">
            <v xml:space="preserve">BE Serv. Biodiversité (O. Beck/X. Vermeersch)
BE Dpt. Eau (N. Van Weyenbergh, L. Dohet/A. Marescaux)
</v>
          </cell>
          <cell r="D60" t="str">
            <v>SEN / WOL / CAN</v>
          </cell>
        </row>
        <row r="61">
          <cell r="A61" t="str">
            <v>1.4.8</v>
          </cell>
          <cell r="B61" t="str">
            <v>Etendre les mesures de lutte contre les EEE aquatiques sur le territoire de la région en fonction des résultats des zones-tests</v>
          </cell>
          <cell r="C61" t="str">
            <v xml:space="preserve">BE Serv. Biodiversité (O. Beck/X. Vermeersch)
BE Dpt. Eau (N. Van Weyenbergh)
Port
</v>
          </cell>
          <cell r="D61" t="str">
            <v>SEN / WOL / CAN</v>
          </cell>
        </row>
        <row r="62">
          <cell r="A62" t="str">
            <v>1.4.9</v>
          </cell>
          <cell r="B62" t="str">
            <v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v>
          </cell>
          <cell r="C62" t="str">
            <v xml:space="preserve">BE Serv. Biodiversité (O. Beck/X. Vermeersch)
BE Dpt. Eau (N. Van Weyenbergh)
</v>
          </cell>
          <cell r="D62" t="str">
            <v>SEN / WOL / CAN</v>
          </cell>
        </row>
        <row r="63">
          <cell r="A63" t="str">
            <v>1.4.10</v>
          </cell>
          <cell r="B63" t="str">
            <v>Porter  auprès des instances compétentes la problématique de la vente des EEE (pépinières, animaleries, etc.) de la liste européenne pour réaliser les contrôles nécessaires à faire appliquer l’interdiction. Sensibiliser les commerces quant à cette interdiction</v>
          </cell>
          <cell r="C63" t="str">
            <v>BE Serv. Biodiversité (O. Beck/X. Vermeersch)</v>
          </cell>
          <cell r="D63" t="str">
            <v>SEN / WOL / CAN</v>
          </cell>
        </row>
        <row r="64">
          <cell r="A64" t="str">
            <v>1.4.11</v>
          </cell>
          <cell r="B64" t="str">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v>
          </cell>
          <cell r="C64" t="str">
            <v xml:space="preserve">BE Serv. Biodiversité (O. Beck/X. Vermeersch)
BE Dpt. Eau (N. Van Weyenbergh)
Collaboration Port (A. Augem)
</v>
          </cell>
          <cell r="D64" t="str">
            <v>SEN / WOL / CAN</v>
          </cell>
        </row>
        <row r="65">
          <cell r="A65" t="str">
            <v>1.4.12</v>
          </cell>
          <cell r="B65" t="str">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v>
          </cell>
          <cell r="C65" t="str">
            <v xml:space="preserve">BE Serv. Biodiversité (O. Beck/X. Vermeersch)
BE Dpt. Eau (N. Van Weyenbergh
</v>
          </cell>
          <cell r="D65" t="str">
            <v>SEN / WOL / CAN</v>
          </cell>
        </row>
        <row r="66">
          <cell r="A66" t="str">
            <v>1.4.13</v>
          </cell>
          <cell r="B66" t="str">
            <v xml:space="preserve">Actions de confinement de certaines plantes aquatiques et ripicoles envahissantes dans des zones spécifiques </v>
          </cell>
          <cell r="C66" t="str">
            <v>BE Serv. Biodiversité (O. Beck/X. Vermeersch)</v>
          </cell>
          <cell r="D66" t="str">
            <v>SEN / WOL / CAN</v>
          </cell>
        </row>
        <row r="67">
          <cell r="A67" t="str">
            <v>1.4.A</v>
          </cell>
          <cell r="B67" t="str">
            <v>Sensibiliser et contrôler l’interdiction de nourrissage des animaux sauvages (oiseaux, poissons) à proximité des étangs et du Canal, car le nourrissage favorise les espèces invasives (= M 5.22.2)</v>
          </cell>
          <cell r="C67" t="str">
            <v xml:space="preserve">BE
Port de Bruxelles
</v>
          </cell>
          <cell r="D67" t="str">
            <v>SEN / WOL / CAN</v>
          </cell>
        </row>
        <row r="68">
          <cell r="A68" t="str">
            <v>1.5.1</v>
          </cell>
          <cell r="B68" t="str">
            <v xml:space="preserve">Définir les informations à récolter par point de rejet et créer un format permettant l’encodage dans la base de données géographique BE des rejets </v>
          </cell>
          <cell r="C68" t="str">
            <v>F. Mayer (BE),
E. Beke (BE)</v>
          </cell>
          <cell r="D68" t="str">
            <v>SEN / WOL / CAN</v>
          </cell>
        </row>
        <row r="69">
          <cell r="A69" t="str">
            <v>1.5.2</v>
          </cell>
          <cell r="B69" t="str">
            <v>Récupérer les données complémentaires disponibles auprès des opérateurs (chainons manquants, zones non raccordées…)</v>
          </cell>
          <cell r="C69" t="str">
            <v xml:space="preserve">F. Mayer (BE) avec la collaboration de la SBGE et  de VVQ </v>
          </cell>
          <cell r="D69" t="str">
            <v>SEN / WOL / CAN</v>
          </cell>
        </row>
        <row r="70">
          <cell r="A70" t="str">
            <v>1.5.3</v>
          </cell>
          <cell r="B70" t="str">
            <v xml:space="preserve">Dresser une carte des rejets avec les informations de la base de données </v>
          </cell>
          <cell r="C70" t="str">
            <v>E. Beke (BE)</v>
          </cell>
          <cell r="D70" t="str">
            <v>SEN / WOL / CAN</v>
          </cell>
        </row>
        <row r="71">
          <cell r="A71" t="str">
            <v>1.5.4</v>
          </cell>
          <cell r="B71" t="str">
            <v>Mettre la carte des rejets et les résultats à disposition du Port, de VVQ et de la SBGE</v>
          </cell>
          <cell r="C71" t="str">
            <v>E. Beke (BE)</v>
          </cell>
          <cell r="D71" t="str">
            <v>SEN / WOL / CAN</v>
          </cell>
        </row>
        <row r="72">
          <cell r="A72" t="str">
            <v>1.5.5</v>
          </cell>
          <cell r="B72" t="str">
            <v>Mettre à disposition les données pertinentes (masse d’eau réceptrice, localisation du point de rejet, source/propriétaire, éléments permettant d’estimer la charge et le débit de rejet, traitement d’épuration éventuel) des autorisations de rejet vers les eaux de surface</v>
          </cell>
          <cell r="C72" t="str">
            <v>A. Verbist (BE)</v>
          </cell>
          <cell r="D72" t="str">
            <v>SEN / WOL / CAN</v>
          </cell>
        </row>
        <row r="73">
          <cell r="A73" t="str">
            <v>1.5.6</v>
          </cell>
          <cell r="B73" t="str">
            <v>Mener des investigations sur l’origine des rejets non identifiés en remontant les tuyaux</v>
          </cell>
          <cell r="C73" t="str">
            <v>Communes</v>
          </cell>
          <cell r="D73" t="str">
            <v>SEN / WOL / CAN</v>
          </cell>
        </row>
        <row r="74">
          <cell r="A74" t="str">
            <v>1.5.7</v>
          </cell>
          <cell r="B74" t="str">
            <v>Caractériser la qualité d'effluents/rejets quand cela s’avère nécessaire pour déterminer la solution à privilégier pour le traiter</v>
          </cell>
          <cell r="C74" t="str">
            <v>B.Thiebaux (BE)
R.Bocquet (BE)
Accompagnement 
L. Dohet (BE)
A.Marescaux (BE)</v>
          </cell>
          <cell r="D74" t="str">
            <v>SEN / WOL / CAN</v>
          </cell>
        </row>
        <row r="75">
          <cell r="A75" t="str">
            <v>1.5.8</v>
          </cell>
          <cell r="B75" t="str">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ell>
          <cell r="C75" t="str">
            <v>L. Dohet
A.Marescaux (BE)</v>
          </cell>
          <cell r="D75" t="str">
            <v>SEN / WOL / CAN</v>
          </cell>
        </row>
        <row r="76">
          <cell r="A76" t="str">
            <v>1.5.9</v>
          </cell>
          <cell r="B76" t="str">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ell>
          <cell r="C76" t="str">
            <v>A. PETITJEAN (PORT DE BXLS)
AccompagnementF.Mayer (BE)</v>
          </cell>
          <cell r="D76" t="str">
            <v>SEN</v>
          </cell>
        </row>
        <row r="77">
          <cell r="A77" t="str">
            <v>1.5.10</v>
          </cell>
          <cell r="B77" t="str">
            <v xml:space="preserve">Compiler les données relatives au réseau d’écoulement des parcelles privées du domaine portuaire et les fournir à BE afin qu’elles soient intégrées dans la base de données BE des rejets </v>
          </cell>
          <cell r="C77" t="str">
            <v xml:space="preserve">A.PETITJEAN (PORT DE BXLS)
Accompagnement F.Mayer (BE) </v>
          </cell>
          <cell r="D77" t="str">
            <v>SEN</v>
          </cell>
        </row>
        <row r="78">
          <cell r="A78" t="str">
            <v>1.5.11</v>
          </cell>
          <cell r="B78" t="str">
            <v>Étudier la possibilité de caractériser un point noir (débit, charge EH, sources potentielles, photos…)</v>
          </cell>
          <cell r="C78" t="str">
            <v xml:space="preserve">F.Mayer, L. DOHET, A. MARESCAUX (BE) </v>
          </cell>
          <cell r="D78" t="str">
            <v>SEN</v>
          </cell>
        </row>
        <row r="79">
          <cell r="A79" t="str">
            <v>1.5.12</v>
          </cell>
          <cell r="B79" t="str">
            <v>Mise à jour du relevé sur terrain des rejets vers la Senne, notamment en s’aidant des connaissances déjà disponibles, et les compiler dans la base de données BE des rejets</v>
          </cell>
          <cell r="C79" t="str">
            <v>B.Thiebaux  (BE)</v>
          </cell>
          <cell r="D79" t="str">
            <v>SEN</v>
          </cell>
        </row>
        <row r="80">
          <cell r="A80" t="str">
            <v>1.5.13</v>
          </cell>
          <cell r="B80" t="str">
            <v>Faire un relevé sur terrain des rejets vers le Hollebeek, notamment en s’aidant des connaissances déjà disponibles, et les compiler dans la base de données BE des rejets</v>
          </cell>
          <cell r="C80" t="str">
            <v>B. Heuze (BE)</v>
          </cell>
          <cell r="D80" t="str">
            <v>SEN</v>
          </cell>
        </row>
        <row r="81">
          <cell r="A81" t="str">
            <v>1.5.14</v>
          </cell>
          <cell r="B81" t="str">
            <v>Faire un relevé sur terrain des rejets vers le Vogelzangbeek, notamment en s’aidant des connaissances déjà disponibles, et les compiler dans la base de données BE des rejets</v>
          </cell>
          <cell r="C81" t="str">
            <v>B. Heuze (BE)</v>
          </cell>
          <cell r="D81" t="str">
            <v>SEN</v>
          </cell>
        </row>
        <row r="82">
          <cell r="A82" t="str">
            <v>1.5.15</v>
          </cell>
          <cell r="B82" t="str">
            <v>Faire un relevé sur terrain des rejets vers le Verrewinkelbeek, notamment en s’aidant des connaissances déjà disponibles, et les compiler dans la base de données BE des rejets</v>
          </cell>
          <cell r="C82" t="str">
            <v>B. Heuze (BE)</v>
          </cell>
          <cell r="D82" t="str">
            <v>SEN</v>
          </cell>
        </row>
        <row r="83">
          <cell r="A83" t="str">
            <v>1.5.16</v>
          </cell>
          <cell r="B83" t="str">
            <v>Mise à jour du relevé sur terrain des rejets vers le Neerpedebeek, notamment en s’aidant des connaissances déjà disponibles, et les compiler dans la base de données BE des rejets</v>
          </cell>
          <cell r="C83" t="str">
            <v>B.ThiebauX  (BE)</v>
          </cell>
          <cell r="D83" t="str">
            <v>SEN</v>
          </cell>
        </row>
        <row r="84">
          <cell r="A84" t="str">
            <v>1.5.17</v>
          </cell>
          <cell r="B84" t="str">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ell>
          <cell r="C84" t="str">
            <v>A.AUGEM (PORT DE BXLS)
Accompagnement L. Dohet
A.Marescaux (BE)</v>
          </cell>
          <cell r="D84" t="str">
            <v>CAN</v>
          </cell>
        </row>
        <row r="85">
          <cell r="A85" t="str">
            <v>1.5.18</v>
          </cell>
          <cell r="B85" t="str">
            <v xml:space="preserve">Compiler les données des points de rejets des bateaux/navires permanents dans la base de données BE des rejets </v>
          </cell>
          <cell r="C85" t="str">
            <v>A.AUGEM (PORT DE BXLS)
Accompagnement F.MAYER (BE)</v>
          </cell>
          <cell r="D85" t="str">
            <v>CAN</v>
          </cell>
        </row>
        <row r="86">
          <cell r="A86" t="str">
            <v>1.5.19</v>
          </cell>
          <cell r="B86" t="str">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ell>
          <cell r="C86" t="str">
            <v>A.AUGEM (PORT DE BXLS)
Accompagnement F.MAYER (BE)</v>
          </cell>
          <cell r="D86" t="str">
            <v>CAN</v>
          </cell>
        </row>
        <row r="87">
          <cell r="A87" t="str">
            <v>1.5.20</v>
          </cell>
          <cell r="B87" t="str">
            <v xml:space="preserve">Compiler les données relatives au réseau d’écoulement des parcelles privées du domaine portuaire dans la base de données BE des rejets </v>
          </cell>
          <cell r="C87" t="str">
            <v>A.AUGEM (PORT DE BXLS)
Accompagnement F.MAYER (BE)</v>
          </cell>
          <cell r="D87" t="str">
            <v>CAN</v>
          </cell>
        </row>
        <row r="88">
          <cell r="A88" t="str">
            <v>1.5.21</v>
          </cell>
          <cell r="B88" t="str">
            <v>Compiler les données du Port relatives aux autorisations de rejet dans le Canal dans la base de données BE des rejets</v>
          </cell>
          <cell r="C88" t="str">
            <v>A.AUGEM (PORT DE BXLS)
Accompagnement F.MAYER (BE)</v>
          </cell>
          <cell r="D88" t="str">
            <v>CAN</v>
          </cell>
        </row>
        <row r="89">
          <cell r="A89" t="str">
            <v>1.5.22</v>
          </cell>
          <cell r="B89" t="str">
            <v>Faire un relevé sur terrain des rejets vers la Woluwe et les étangs de la Woluwe (y compris l’égout qui déborderait ponctuellement au Parc des Sources), notamment en s’aidant des connaissances déjà disponibles, et les compiler dans la base de données BE des rejets</v>
          </cell>
          <cell r="C89" t="str">
            <v>R. Bocquet (BE)
N. Van Weyenbergh (BE)
Accompagnement C. Gaulier (BE)</v>
          </cell>
          <cell r="D89" t="str">
            <v>WOL</v>
          </cell>
        </row>
        <row r="90">
          <cell r="A90" t="str">
            <v>1.5.23</v>
          </cell>
          <cell r="B90" t="str">
            <v>Finir les investigations des sources des rejets vers le Zwanewijdebeek qui ont été relevés sur terrain et les compiler dans la base de données BE des rejets</v>
          </cell>
          <cell r="C90" t="str">
            <v>R. Bocquet (BE)
N. Van Weyenbergh (BE)
Accompagnement C. Gaulier (BE)</v>
          </cell>
          <cell r="D90" t="str">
            <v>WOL</v>
          </cell>
        </row>
        <row r="91">
          <cell r="A91" t="str">
            <v>1.6.1</v>
          </cell>
          <cell r="B91" t="str">
            <v xml:space="preserve">Identifier et prioriser les travaux d’extension et de raccordement au réseau d’égouttage sur base de l’inventaire visé par la M  1.5 et de la cartographie des zones égouttables et des opportunités </v>
          </cell>
          <cell r="C91" t="str">
            <v>VIVAQUA
 (en coordination avec BE)</v>
          </cell>
          <cell r="D91" t="str">
            <v>SEN / WOL / CAN</v>
          </cell>
        </row>
        <row r="92">
          <cell r="A92" t="str">
            <v>1.6.2</v>
          </cell>
          <cell r="B92" t="str">
            <v>Identifier et prioriser les travaux d’extension et de raccordement au réseau d’égouttage  sur les parcelles privées du domaine portuaire sur base de l’inventaire visé par la M  1.5 pour les concessions du Port de Bruxelles</v>
          </cell>
          <cell r="C92" t="str">
            <v>PORT DE BXLS</v>
          </cell>
          <cell r="D92" t="str">
            <v>CAN</v>
          </cell>
        </row>
        <row r="93">
          <cell r="A93" t="str">
            <v>1.6.3</v>
          </cell>
          <cell r="B93" t="str">
            <v>Sur base de la DB reprenant les rejets directs d’eaux usées dans les cours d’eau (M1.5) procéder, lorsque c’est possible au niveau du cours d’eau, aux correctifs pour remédier à ces mauvaises connexions</v>
          </cell>
          <cell r="C93" t="str">
            <v xml:space="preserve">BE  </v>
          </cell>
          <cell r="D93" t="str">
            <v>SEN / WOL / CAN</v>
          </cell>
        </row>
        <row r="94">
          <cell r="A94" t="str">
            <v>1.6.4</v>
          </cell>
          <cell r="B94" t="str">
            <v>Définir et mettre en place une procédure de « raccordement »  permettant de coordonner les actions de chaque acteur et d’en clarifier les responsabilités</v>
          </cell>
          <cell r="C94" t="str">
            <v xml:space="preserve">BE </v>
          </cell>
          <cell r="D94" t="str">
            <v>SEN / WOL / CAN</v>
          </cell>
        </row>
        <row r="95">
          <cell r="A95" t="str">
            <v>1.6.5</v>
          </cell>
          <cell r="B95" t="str">
            <v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v>
          </cell>
          <cell r="C95" t="str">
            <v>BE 
Communes
PORT DE BXLS</v>
          </cell>
          <cell r="D95" t="str">
            <v>SEN / CAN</v>
          </cell>
        </row>
        <row r="96">
          <cell r="A96" t="str">
            <v>1.6.6</v>
          </cell>
          <cell r="B96" t="str">
            <v>Actualiser la carte des zones égouttées raccordées aux stations d’épuration dans l’inventaire des émissions polluantes vers les eaux de surface (WEISS)</v>
          </cell>
          <cell r="C96" t="str">
            <v>L. Dohet
A.Marescaux (BE)</v>
          </cell>
          <cell r="D96" t="str">
            <v>SEN / WOL / CAN</v>
          </cell>
        </row>
        <row r="97">
          <cell r="A97" t="str">
            <v>1.6.7</v>
          </cell>
          <cell r="B97" t="str">
            <v xml:space="preserve">Etudier l’opportunité de mettre en place un système de certification des installations privées à l’instar du système PEB existant pour l’énergie </v>
          </cell>
          <cell r="C97" t="str">
            <v xml:space="preserve">BE </v>
          </cell>
          <cell r="D97" t="str">
            <v>SEN / WOL / CAN</v>
          </cell>
        </row>
        <row r="98">
          <cell r="A98" t="str">
            <v>1.7.1</v>
          </cell>
          <cell r="B98" t="str">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v>
          </cell>
        </row>
        <row r="99">
          <cell r="A99" t="str">
            <v>1.7.2</v>
          </cell>
          <cell r="B99" t="str">
            <v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v>
          </cell>
        </row>
        <row r="100">
          <cell r="A100" t="str">
            <v>1.7.3</v>
          </cell>
          <cell r="B100" t="str">
            <v>Assurer le contrôle des systèmes d’épuration individuels</v>
          </cell>
        </row>
        <row r="101">
          <cell r="A101" t="str">
            <v>1.7.4</v>
          </cell>
          <cell r="B101" t="str">
            <v>Offrir un soutien technique aux communes dans le cadre de la mise en œuvre de cette mesure M1.7</v>
          </cell>
        </row>
        <row r="102">
          <cell r="A102" t="str">
            <v>1.7.5</v>
          </cell>
          <cell r="B102" t="str">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v>
          </cell>
        </row>
        <row r="103">
          <cell r="A103" t="str">
            <v>1.7.6</v>
          </cell>
          <cell r="B103" t="str">
            <v>Actualiser la carte des zones non égouttées soumises à épuration autonome dans l’inventaire BE des émissions polluantes vers les eaux de surface (WEISS), y compris les rejets ponctuels des bateaux/navires</v>
          </cell>
        </row>
        <row r="104">
          <cell r="A104" t="str">
            <v>1.8.1</v>
          </cell>
          <cell r="B104" t="str">
            <v>Réaliser les plans des déversoirs d’orage principaux sous gestion de Vivaqua</v>
          </cell>
        </row>
        <row r="105">
          <cell r="A105" t="str">
            <v>1.8.2</v>
          </cell>
          <cell r="B105" t="str">
            <v>Réaliser les plans des déversoirs d’orage principaux sous gestion de la SBGE</v>
          </cell>
        </row>
        <row r="106">
          <cell r="A106" t="str">
            <v>1.8.3</v>
          </cell>
          <cell r="B106" t="str">
            <v>Installer des capteurs de fréquence ou de débit sur les déversoirs principaux et les ajouter à Flowbru (voir la mesure M1.22)</v>
          </cell>
        </row>
        <row r="107">
          <cell r="A107" t="str">
            <v>1.8.4</v>
          </cell>
          <cell r="B107" t="str">
            <v>Calculer les fréquences et débit de déversements</v>
          </cell>
        </row>
        <row r="108">
          <cell r="A108" t="str">
            <v>1.8.5</v>
          </cell>
          <cell r="B108" t="str">
            <v>Déterminer les niveaux idéaux des seuils de déversements des déversoirs sous gestion de Vivaqua et procéder à leur rehausse et/ou optimisation par la mise en place de vannes modulables et siphons/barrières aux flottants</v>
          </cell>
        </row>
        <row r="109">
          <cell r="A109" t="str">
            <v>1.8.6</v>
          </cell>
          <cell r="B109" t="str">
            <v>Déterminer les niveaux idéaux des seuils de déversements des déversoirs sous gestion de SBGE  et procéder à leur rehausse  et/ou optimisation par la mise en place de vannes modulables et  siphons/barrières aux flottants</v>
          </cell>
        </row>
        <row r="110">
          <cell r="A110" t="str">
            <v>1.8.7</v>
          </cell>
          <cell r="B110" t="str">
            <v>Adaptation des interceptions orifices limitant l’évacuation des flux vers les STEPS  dans le cadre de l’optimisation des déversoirs.</v>
          </cell>
        </row>
        <row r="111">
          <cell r="A111" t="str">
            <v>1.8.8</v>
          </cell>
          <cell r="B111" t="str">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v>
          </cell>
        </row>
        <row r="112">
          <cell r="A112" t="str">
            <v>1.8.A</v>
          </cell>
          <cell r="B112" t="str">
            <v>Réaménager les déversoirs en "déversoirs améliorés" pour retenir le maximum de charge polluante à l’aval des  déversoirs (création de zone de rétention des sédiments et des flottants).   Scénario maximaliste</v>
          </cell>
        </row>
        <row r="113">
          <cell r="A113" t="str">
            <v>1.9.1</v>
          </cell>
          <cell r="B113" t="str">
            <v xml:space="preserve">Coordonner les acteurs de l'eau autour de cette thématique </v>
          </cell>
        </row>
        <row r="114">
          <cell r="A114" t="str">
            <v>1.9.2</v>
          </cell>
          <cell r="B114" t="str">
            <v>Analyser les modifications des règles de fonctionnement des bassins d'orage</v>
          </cell>
        </row>
        <row r="115">
          <cell r="A115" t="str">
            <v>1.9.3</v>
          </cell>
          <cell r="B115" t="str">
            <v xml:space="preserve">Procéder à la mise en œuvre d’un projet-pilote dans la vallée du Maelbeek </v>
          </cell>
        </row>
        <row r="116">
          <cell r="A116" t="str">
            <v>1.9.4</v>
          </cell>
          <cell r="B116" t="str">
            <v>Assurer la surveillance et le bon fonctionnement du système mis place (1.9.4), établir un retour d’expérience pour l’élargir à d’autres vallées</v>
          </cell>
        </row>
        <row r="117">
          <cell r="A117" t="str">
            <v>1.9.5</v>
          </cell>
          <cell r="B117" t="str">
            <v>Etudier et élaborer un système de prévisions du comportement du réseau et une stratégie de régulation des débits dans la vallée de la Senne (Bruxelles-centre)</v>
          </cell>
        </row>
        <row r="118">
          <cell r="A118" t="str">
            <v>1.9.6</v>
          </cell>
          <cell r="B118" t="str">
            <v>Mettre en place des dispositifs de contrôle des débits  (Projet-pilote dans la vallée de la Senne (Bruxelles-centre)</v>
          </cell>
        </row>
        <row r="119">
          <cell r="A119" t="str">
            <v>1.9.7</v>
          </cell>
          <cell r="B119" t="str">
            <v>Assurer la surveillance et le bon fonctionnement du système mis en place (1.9.7), établir un retour d’expérience pour l’élargir à d’autres vallées</v>
          </cell>
        </row>
        <row r="120">
          <cell r="A120" t="str">
            <v>1.9.8</v>
          </cell>
          <cell r="B120" t="str">
            <v>Procéder à la mise en œuvre dans d’autres vallées sur base du retour d’expérience dans la vallée du Maelbeek (si pertinent)</v>
          </cell>
        </row>
        <row r="121">
          <cell r="A121" t="str">
            <v>1.9.A</v>
          </cell>
          <cell r="B121" t="str">
            <v>Etudier le fonctionnement des réseaux et leurs interactions, par le biais d’actions de modélisation (cf. M 5.29)</v>
          </cell>
        </row>
        <row r="122">
          <cell r="A122" t="str">
            <v>1.10.1</v>
          </cell>
          <cell r="B122" t="str">
            <v>Pour les 4 points de rejets identifiés, procéder à la finalisation des études, à l’obtention des autorisations et aux travaux de raccordement de ces égouts orphelins aux réseaux d’égouttage connectés aux STEPs</v>
          </cell>
        </row>
        <row r="123">
          <cell r="A123" t="str">
            <v>1.10.2</v>
          </cell>
          <cell r="B123" t="str">
            <v xml:space="preserve"> Identifier d’autres chainons manquants du réseau d’assainissement public (« égouts orphelins ») sur base de pollution éventuelle et de la mesure M1.5</v>
          </cell>
        </row>
        <row r="124">
          <cell r="A124" t="str">
            <v>1.10.3</v>
          </cell>
          <cell r="B124" t="str">
            <v>Procéder aux études et travaux de raccordement  aux réseaux d’égouttage connectés aux STEPs d’autres égouts orphelins qui auraient été identifiés</v>
          </cell>
        </row>
        <row r="125">
          <cell r="A125" t="str">
            <v>1.10.4</v>
          </cell>
          <cell r="B125" t="str">
            <v>Actualiser la carte des zones égouttées, mais non raccordées aux stations d’épuration dans l’inventaire BE des émissions polluantes vers les eaux de surface (WEISS)</v>
          </cell>
        </row>
        <row r="126">
          <cell r="A126" t="str">
            <v>1.11.1</v>
          </cell>
          <cell r="B126" t="str">
            <v>Poursuivre le nettoyage régulier des macro-déchets flottants du Canal au moyen des bateaux et des litter traps, et des éventuels nouveaux dispositifs installés au niveau du Canal</v>
          </cell>
        </row>
        <row r="127">
          <cell r="A127" t="str">
            <v>1.11.2</v>
          </cell>
          <cell r="B127" t="str">
            <v>Identifier les zones d’accumulation de macro-déchets flottants dans le Canal, et des conditions et voies d’entrée principales</v>
          </cell>
        </row>
        <row r="128">
          <cell r="A128" t="str">
            <v>1.11.3</v>
          </cell>
          <cell r="B128" t="str">
            <v>Réaliser une étude sur la gestion actuelle des macro-déchets flottants dans le Canal (évaluation sur une éventuelle optimisation de cette gestion par de nouveaux dispositifs et le choix de ceux-ci)</v>
          </cell>
        </row>
        <row r="129">
          <cell r="A129" t="str">
            <v>1.11.4</v>
          </cell>
          <cell r="B129" t="str">
            <v>Installer de nouveaux dispositifs de capture des macro-déchets flottants au niveau du Canal et mettre en œuvre de nouvelles mesures de gestion, suivant les recommandations de l’étude (1.11.3)</v>
          </cell>
        </row>
        <row r="130">
          <cell r="A130" t="str">
            <v>1.11.5</v>
          </cell>
          <cell r="B130" t="str">
            <v>Faire l’acquisition d’un troisième bateau de ramassage de déchets</v>
          </cell>
        </row>
        <row r="131">
          <cell r="A131" t="str">
            <v>1.11.6</v>
          </cell>
          <cell r="B131" t="str">
            <v>Créer un pool de nettoyage à l’écluse d’Anderlecht</v>
          </cell>
        </row>
        <row r="132">
          <cell r="A132" t="str">
            <v>1.11.7</v>
          </cell>
          <cell r="B132" t="str">
            <v>Assurer le dégrillage des eaux du Neerpedebeek en amont de sa confluence avec le Canal</v>
          </cell>
        </row>
        <row r="133">
          <cell r="A133" t="str">
            <v>1.11.A</v>
          </cell>
          <cell r="B133" t="str">
            <v>Etudier la possibilité de reconnecter le Neerpedebeek à la Senne via un siphon existant (cf. M 1.27).</v>
          </cell>
        </row>
        <row r="134">
          <cell r="A134" t="str">
            <v>1.11.8</v>
          </cell>
          <cell r="B134" t="str">
            <v>Etudier les meilleures solutions de rétention ou de collecte des macro-déchets flottants au niveau des déversoirs</v>
          </cell>
        </row>
        <row r="135">
          <cell r="A135" t="str">
            <v>1.11.9</v>
          </cell>
          <cell r="B135" t="str">
            <v>Équiper les déversoirs des dispositifs retenus (lien vers la mesure M 1.8)</v>
          </cell>
        </row>
        <row r="136">
          <cell r="A136" t="str">
            <v>1.11.10</v>
          </cell>
          <cell r="B136" t="str">
            <v>Entretenir le système de dégrillage de la Senne au niveau de la rue des Vétérinaires à Anderlecht</v>
          </cell>
        </row>
        <row r="137">
          <cell r="A137" t="str">
            <v>1.11.11</v>
          </cell>
          <cell r="B137" t="str">
            <v xml:space="preserve">Etudier et expérimenter la mise en place de systèmes de rétention des macro-déchets flottants sur les affluents de la Senne, en coordination avec les éco-cantonniers de BE </v>
          </cell>
        </row>
        <row r="138">
          <cell r="A138" t="str">
            <v>1.11.B</v>
          </cell>
          <cell r="B138" t="str">
            <v>Installer un système de dégrillage en aval de la Senne (au niveau de la STEP Nord) pour diminuer la quantité de macro-déchets flottants sur la Senne en aval des déversoirs principaux de la région</v>
          </cell>
        </row>
        <row r="139">
          <cell r="A139" t="str">
            <v>1.11.C</v>
          </cell>
          <cell r="B139" t="str">
            <v>Continuer la sensibilisation des citoyens pour limiter l’abandon des déchets (cf. M 1.25)</v>
          </cell>
        </row>
        <row r="140">
          <cell r="A140" t="str">
            <v>1.12.1</v>
          </cell>
          <cell r="B140" t="str">
            <v>Mener une campagne de mesures pour déterminer de manière précise les rendements épuratoires actuels de la filière temps sec des STEPs Bruxelles-Nord et Sud pour une large gamme de paramètres établie sur base des données de monitoring de la qualité de la Senne</v>
          </cell>
        </row>
        <row r="141">
          <cell r="A141" t="str">
            <v>1.12.2</v>
          </cell>
          <cell r="B141" t="str">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ell>
        </row>
        <row r="142">
          <cell r="A142" t="str">
            <v>1.12.3</v>
          </cell>
          <cell r="B142" t="str">
            <v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v>
          </cell>
        </row>
        <row r="143">
          <cell r="A143" t="str">
            <v>1.12.4</v>
          </cell>
          <cell r="B143" t="str">
            <v>Evaluer l’impact de la mise en œuvre des solutions proposées sur le prix de l’eau</v>
          </cell>
        </row>
        <row r="144">
          <cell r="A144" t="str">
            <v>1.12.5</v>
          </cell>
          <cell r="B144" t="str">
            <v>Etude de définition de détails et rédaction du cahier des charges des travaux</v>
          </cell>
        </row>
        <row r="145">
          <cell r="A145" t="str">
            <v>1.12.6</v>
          </cell>
          <cell r="B145" t="str">
            <v>Procédure d’obtention des permis d’environnement et d’urbanisme associés au projet</v>
          </cell>
        </row>
        <row r="146">
          <cell r="A146" t="str">
            <v>1.12.7</v>
          </cell>
          <cell r="B146" t="str">
            <v>Attribution du marché de travaux</v>
          </cell>
        </row>
        <row r="147">
          <cell r="A147" t="str">
            <v>1.12.8</v>
          </cell>
          <cell r="B147" t="str">
            <v>Réalisation des travaux sur l’usine en fonctionnement</v>
          </cell>
        </row>
        <row r="148">
          <cell r="A148" t="str">
            <v>1.13</v>
          </cell>
          <cell r="B148" t="str">
            <v xml:space="preserve">Actualiser les conditions de déversement d’eaux usées </v>
          </cell>
        </row>
        <row r="149">
          <cell r="A149" t="str">
            <v>1.14.1</v>
          </cell>
          <cell r="B149" t="str">
            <v>Identifier les entreprises qui rejettent directement des eaux non domestiques dans les eaux de surface et encoder l’information dans la base de données des permis d’environnement</v>
          </cell>
        </row>
        <row r="150">
          <cell r="A150" t="str">
            <v>1.14.A</v>
          </cell>
          <cell r="B150" t="str">
            <v>Sur base des résultats de l’analyse de secteurs (mesure 1.13.2), sélection des secteurs les plus problématiques et proposition de priorisation par secteur</v>
          </cell>
        </row>
        <row r="151">
          <cell r="A151" t="str">
            <v>1.14.2</v>
          </cell>
          <cell r="B151" t="str">
            <v xml:space="preserve">Recenser, dans la base de données des permis d’environnement, les installations classées dont les rejets sont potentiellement problématiques au regard des objectifs de qualité des eaux de surface afin de permettre un contrôle ciblé de celles-ci.  </v>
          </cell>
        </row>
        <row r="152">
          <cell r="A152" t="str">
            <v>1.14.3</v>
          </cell>
          <cell r="B152" t="str">
            <v>Etablissement d’un programme d’inspection spécifique pour ces installations classées en tenant compte des priorités proposées et réalise progressivement le contrôle les rejets.</v>
          </cell>
        </row>
        <row r="153">
          <cell r="A153" t="str">
            <v>1.15</v>
          </cell>
          <cell r="B153" t="str">
            <v xml:space="preserve">Mettre en œuvre à l’échelle régionale les plans d’actions visant des substances polluantes, émergentes ou non </v>
          </cell>
        </row>
        <row r="154">
          <cell r="A154" t="str">
            <v>1.16.1</v>
          </cell>
          <cell r="B154" t="str">
            <v>Mener une étude des sédiments présents sur les 2 tronçons de la Senne qui n’ont pas encore été curés : Aquiris et Buda (bathymétrie et qualité des sédiments)</v>
          </cell>
        </row>
        <row r="155">
          <cell r="A155" t="str">
            <v>1.16.2</v>
          </cell>
          <cell r="B155" t="str">
            <v>Curer le tronçon ‘Aquiris’ et éliminer les boues polluées (Senne)</v>
          </cell>
        </row>
        <row r="156">
          <cell r="A156" t="str">
            <v>1.16.3</v>
          </cell>
          <cell r="B156" t="str">
            <v>Curer le tronçon ‘Buda’ et éliminer les boues polluées (Senne)</v>
          </cell>
        </row>
        <row r="157">
          <cell r="A157" t="str">
            <v>1.16.4</v>
          </cell>
          <cell r="B157" t="str">
            <v>Etablir une base de données des curages réalisés (en tant qu’outil de planification future)</v>
          </cell>
        </row>
        <row r="158">
          <cell r="A158" t="str">
            <v>1.17.1</v>
          </cell>
          <cell r="B158" t="str">
            <v>Évaluer le besoin réel de déviation d’eau de la Senne vers le Canal, déterminer les règles d’activation des vannes en tenant compte des risques d’inondation (lien avec la M5.8) et de la surveillance des paramètres principaux (niveau d’eau)</v>
          </cell>
        </row>
        <row r="159">
          <cell r="A159" t="str">
            <v>1.17.2</v>
          </cell>
          <cell r="B159" t="str">
            <v>Remplacer les vannes en bois par des vannes métalliques</v>
          </cell>
        </row>
        <row r="160">
          <cell r="A160" t="str">
            <v>1.17.3</v>
          </cell>
          <cell r="B160" t="str">
            <v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v>
          </cell>
        </row>
        <row r="161">
          <cell r="A161" t="str">
            <v>1.17.4</v>
          </cell>
          <cell r="B161" t="str">
            <v>Aménager les vannes et implémenter les nouvelles règles de déviation d’eaux en fonction des étapes M 1.17.1 à M1.17.3</v>
          </cell>
        </row>
        <row r="162">
          <cell r="A162" t="str">
            <v>1.17.5</v>
          </cell>
          <cell r="B162" t="str">
            <v>Assurer la veille des niveaux d’eau
Mesures de sécurité additionnelle à prendre en compte</v>
          </cell>
        </row>
        <row r="163">
          <cell r="A163" t="str">
            <v>1.17.6</v>
          </cell>
          <cell r="B163" t="str">
            <v>Assurer le fonctionnement des vannes</v>
          </cell>
        </row>
        <row r="164">
          <cell r="A164" t="str">
            <v>1.18.1</v>
          </cell>
          <cell r="B164" t="str">
            <v>Bathymétrie, localisation et mesure du volume de boue</v>
          </cell>
        </row>
        <row r="165">
          <cell r="A165" t="str">
            <v>1.18.2</v>
          </cell>
          <cell r="B165" t="str">
            <v>Poursuivre le dragage mécanique et l'élimination des sédiments pollués du Canal</v>
          </cell>
        </row>
        <row r="166">
          <cell r="A166" t="str">
            <v>1.18.3</v>
          </cell>
          <cell r="B166" t="str">
            <v>Mettre en évidence des zones préférentielles d’accumulation des sédiments pour en faciliter le curage, et pour alimenter l’étude des zones privilégiées d’accumulation des pollutions afin d’aider à identifier les sources et voies d’entrée des polluants dans le Canal</v>
          </cell>
        </row>
        <row r="167">
          <cell r="A167" t="str">
            <v>1.18.4</v>
          </cell>
          <cell r="B167" t="str">
            <v>Suivre la problématique des sédiments et de leur curage dans la voie navigable du Canal Bruxelles-Escaut avec les régions flamande et wallonne pour une gestion cohérente de part et d’autre des frontières</v>
          </cell>
        </row>
        <row r="168">
          <cell r="A168" t="str">
            <v>1.18.5</v>
          </cell>
          <cell r="B168" t="str">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v>
          </cell>
        </row>
        <row r="169">
          <cell r="A169" t="str">
            <v>1.18.6</v>
          </cell>
          <cell r="B169" t="str">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v>
          </cell>
        </row>
        <row r="170">
          <cell r="A170" t="str">
            <v>1.18.A</v>
          </cell>
          <cell r="B170" t="str">
            <v>Curer la totalité des sédiments du Canal pour retirer la pollution historique. Scénario Maximaliste</v>
          </cell>
        </row>
        <row r="171">
          <cell r="A171" t="str">
            <v>1.18.7</v>
          </cell>
          <cell r="B171" t="str">
            <v>Sensibiliser les usagers quant aux pollutions diffuses des navires et bateaux caractérisées dans la mesure M1.5</v>
          </cell>
        </row>
        <row r="172">
          <cell r="A172" t="str">
            <v>1.18.8</v>
          </cell>
          <cell r="B172" t="str">
            <v>Émettre des recommandations pour limiter les pollutions diffuses des navires et bateaux caractérisées dans la mesure M1.5</v>
          </cell>
        </row>
        <row r="173">
          <cell r="A173" t="str">
            <v>1.18.9</v>
          </cell>
          <cell r="B173" t="str">
            <v>Contrôler le respect de l'arrêté pour le transport et la manutention des marchandises dangereuses ou non dans le Canal</v>
          </cell>
        </row>
        <row r="174">
          <cell r="A174" t="str">
            <v>1.18.10</v>
          </cell>
          <cell r="B174" t="str">
            <v>Identifier les décharges clandestines le long du canal, les éliminer et poursuivre les auteurs, et prévenir ces décharges (ex : surveillance des zones fortement sujettes, affichages)</v>
          </cell>
        </row>
        <row r="175">
          <cell r="A175" t="str">
            <v>1.19</v>
          </cell>
          <cell r="B175" t="str">
            <v xml:space="preserve">Actualiser les objectifs de qualité des eaux de surface dans l’arrêté NQE </v>
          </cell>
        </row>
        <row r="176">
          <cell r="A176" t="str">
            <v>1.20</v>
          </cell>
          <cell r="B176" t="str">
            <v>Identifier plus précisément les sources de pollution (HAP, nickel, zinc et phosphore en particulier)</v>
          </cell>
        </row>
        <row r="177">
          <cell r="A177" t="str">
            <v>1.21.1</v>
          </cell>
          <cell r="B177" t="str">
            <v>Monitoring biologique dans les cours d'eau et étangs</v>
          </cell>
        </row>
        <row r="178">
          <cell r="A178" t="str">
            <v>1.21.2</v>
          </cell>
          <cell r="B178" t="str">
            <v>Monitoring mensuel de la qualité de la colonne d'eau des eaux de surface</v>
          </cell>
        </row>
        <row r="179">
          <cell r="A179" t="str">
            <v>1.21.3</v>
          </cell>
          <cell r="B179" t="str">
            <v xml:space="preserve">Monitoring de la qualité des sédiments des eaux de surface </v>
          </cell>
        </row>
        <row r="180">
          <cell r="A180" t="str">
            <v>1.21.4</v>
          </cell>
          <cell r="B180" t="str">
            <v>Monitoring de la qualité du biote des eaux de surface</v>
          </cell>
        </row>
        <row r="181">
          <cell r="A181" t="str">
            <v>1.21.5</v>
          </cell>
          <cell r="B181" t="str">
            <v>Intégrer et valider les données de chaque nouvelle année de qualité de la colonne d'eau dans la base de données des eaux de surface</v>
          </cell>
        </row>
        <row r="182">
          <cell r="A182" t="str">
            <v>1.21.6</v>
          </cell>
          <cell r="B182" t="str">
            <v>Intégrer les données de qualité des sédiments et les données de qualité du biote dans la base de données des eaux de surface</v>
          </cell>
        </row>
        <row r="183">
          <cell r="A183" t="str">
            <v>1.21.7</v>
          </cell>
          <cell r="B183" t="str">
            <v>Diffuser librement les données de surveillance de la qualité de l'eau</v>
          </cell>
        </row>
        <row r="184">
          <cell r="A184" t="str">
            <v>1.21.8</v>
          </cell>
          <cell r="B184" t="str">
            <v>Inventorier les modifications hydromorphologiques des eaux de surface</v>
          </cell>
        </row>
        <row r="185">
          <cell r="A185" t="str">
            <v>1.21.9</v>
          </cell>
          <cell r="B185" t="str">
            <v>Communiquer sur les états biologiques et hydromorphologiques via des publications de l'état de l'environnement</v>
          </cell>
        </row>
        <row r="186">
          <cell r="A186" t="str">
            <v>1.21.10</v>
          </cell>
          <cell r="B186" t="str">
            <v>Actualisation du potentiel écologique et de l'état chimique des eaux de surface</v>
          </cell>
        </row>
        <row r="187">
          <cell r="A187" t="str">
            <v>1.22.1</v>
          </cell>
          <cell r="B187" t="str">
            <v>Entretien et réparation/remplacement des sondes du réseau Flowbru existantes et nouvellement installées</v>
          </cell>
        </row>
        <row r="188">
          <cell r="A188" t="str">
            <v>1.22.2</v>
          </cell>
          <cell r="B188" t="str">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v>
          </cell>
        </row>
        <row r="189">
          <cell r="A189" t="str">
            <v>1.22.3</v>
          </cell>
          <cell r="B189" t="str">
            <v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v>
          </cell>
        </row>
        <row r="190">
          <cell r="A190" t="str">
            <v>1.22.4</v>
          </cell>
          <cell r="B190" t="str">
            <v>Intégration des sondes déployées dans le site web de diffusion des données Flowbru et diffusion des données de toutes les sondes</v>
          </cell>
        </row>
        <row r="191">
          <cell r="A191" t="str">
            <v>1.22.5</v>
          </cell>
          <cell r="B191" t="str">
            <v>Poursuivre la validation des nouvelles données pluviométriques, poursuivre la validation des données</v>
          </cell>
        </row>
        <row r="192">
          <cell r="A192" t="str">
            <v>1.22.6</v>
          </cell>
          <cell r="B192" t="str">
            <v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v>
          </cell>
        </row>
        <row r="193">
          <cell r="A193" t="str">
            <v>1.22.7</v>
          </cell>
          <cell r="B193" t="str">
            <v>Etude d'utilisation des données du réseau Flowbru afin d'améliorer la prédiction de la maintenance des sondes et la gestion dynamique.</v>
          </cell>
        </row>
        <row r="194">
          <cell r="A194" t="str">
            <v>1.22.8</v>
          </cell>
          <cell r="B194" t="str">
            <v>Amélioration du site web de diffusion des données mesurées Flowbru (https://www.Flowbru.be/fr) et développement d'une application mobile.</v>
          </cell>
        </row>
        <row r="195">
          <cell r="A195" t="str">
            <v>1.22.9</v>
          </cell>
          <cell r="B195" t="str">
            <v>Développement d'une API du site Flowbru pour faciliter la diffusion des données</v>
          </cell>
        </row>
        <row r="196">
          <cell r="A196" t="str">
            <v>1.22.10</v>
          </cell>
          <cell r="B196" t="str">
            <v>Développer des alertes automatiques pour une liste de contacts (dont SBGE, Port, BE) en cas de modification alarmante de paramètres mesurés par les sondes Flowbru, en particulier concernant des chutes d'oxygène, ou hausses de conductivité ou de pigments de cyanobactéries</v>
          </cell>
        </row>
        <row r="197">
          <cell r="A197" t="str">
            <v>1.22.11</v>
          </cell>
          <cell r="B197" t="str">
            <v>Déployer 1-2 sondes supplémentaires, en amont/aval de la première sonde (prévue au niveau du bassin Béco), si celle-ci démontre que cela s'avère utile (dans la M 1.22.3)</v>
          </cell>
        </row>
        <row r="198">
          <cell r="A198" t="str">
            <v>1.22.12</v>
          </cell>
          <cell r="B198" t="str">
            <v>Analyser les données recueillies et les mettre à disposition du Port pour communiquer vers les usagers du Canal.</v>
          </cell>
        </row>
        <row r="199">
          <cell r="A199" t="str">
            <v>1.23</v>
          </cell>
          <cell r="B199" t="str">
            <v xml:space="preserve"> Etudier l’évolution de la qualité du réseau hydrographique en profil longitudinal sur base des données de surveillance, du réseau FlowBru ou d'études réalisées afin de mettre en évidence les variations temporelles, pressions anthropiques et leviers</v>
          </cell>
        </row>
        <row r="200">
          <cell r="A200" t="str">
            <v>1.24.1</v>
          </cell>
          <cell r="B200" t="str">
            <v>Fine caractérisation des entrées de polluants physico-chimique dans la Senne</v>
          </cell>
        </row>
        <row r="201">
          <cell r="A201" t="str">
            <v>1.24.2</v>
          </cell>
          <cell r="B201" t="str">
            <v>Utilisation d’un modèle biogéochimique adapté pour la Senne – collaboration avec la VMM</v>
          </cell>
        </row>
        <row r="202">
          <cell r="A202" t="str">
            <v>1.24.3</v>
          </cell>
          <cell r="B202" t="str">
            <v>Analyse de scénarios permettant d’améliorer la qualité physico-chimique de la Senne – collaboration avec la VMM</v>
          </cell>
        </row>
        <row r="203">
          <cell r="A203" t="str">
            <v>1.24.4</v>
          </cell>
          <cell r="B203" t="str">
            <v>Campagne de mesures des nutriments dans les étangs bruxellois pour initialiser et valider le modèle</v>
          </cell>
        </row>
        <row r="204">
          <cell r="A204" t="str">
            <v>1.24.5</v>
          </cell>
          <cell r="B204" t="str">
            <v>Développement d’un modèle d’efflorescence de cyanobactéries en RBC</v>
          </cell>
        </row>
        <row r="205">
          <cell r="A205" t="str">
            <v>1.25.1</v>
          </cell>
          <cell r="B205" t="str">
            <v>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v>
          </cell>
        </row>
        <row r="206">
          <cell r="A206" t="str">
            <v>1.25.2</v>
          </cell>
          <cell r="B206" t="str">
            <v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v>
          </cell>
        </row>
        <row r="207">
          <cell r="A207" t="str">
            <v>1.25.3</v>
          </cell>
          <cell r="B207" t="str">
            <v>Fournir des informations au Musée des égouts (et autres lieux culturels relayant la préservation de l’environnement) en tant que lieu de sensibilisation</v>
          </cell>
        </row>
        <row r="208">
          <cell r="A208" t="str">
            <v>1.25.4</v>
          </cell>
          <cell r="B208" t="str">
            <v>Promouvoir l’interdiction d’utilisation des objets en plastique à usage unique et favoriser les alternatives réutilisables/durables.
Cette mesure s’établira en synergie également avec la M.7.2 sur la promotion de l’eau de distribution pour les besoins potables.</v>
          </cell>
        </row>
        <row r="209">
          <cell r="A209" t="str">
            <v>1.25.5</v>
          </cell>
          <cell r="B209" t="str">
            <v xml:space="preserve">Renforcer les campagnes existantes sur la promotion de la propreté urbaine via différents outils et canaux de communication </v>
          </cell>
        </row>
        <row r="210">
          <cell r="A210" t="str">
            <v>1.25.6</v>
          </cell>
          <cell r="B210" t="str">
            <v xml:space="preserve">Poursuivre et renforcer la campagne « Ici commence la mer » tout en considérant l’opportunité d’en étendre le périmètre. </v>
          </cell>
        </row>
        <row r="211">
          <cell r="A211" t="str">
            <v>1.25.7</v>
          </cell>
          <cell r="B211" t="str">
            <v>Développement d’une application de sensibilisation et de participation citoyenne à l’observation de pollution des eaux de surface</v>
          </cell>
        </row>
        <row r="212">
          <cell r="A212" t="str">
            <v>1.25.8</v>
          </cell>
          <cell r="B212" t="str">
            <v>Sensibiliser les acteurs de l’aménagement et de l’entretien des voiries à tenir compte des problématiques posées par le sel de déneigement (surconsommation, …)</v>
          </cell>
        </row>
        <row r="213">
          <cell r="A213" t="str">
            <v>1.26.1</v>
          </cell>
          <cell r="B213" t="str">
            <v>Intégrer les principes de gestion développés au niveau de la CIE dans les procédures de gestion de pollution au niveau bruxellois (Voir plan faitier CIE)</v>
          </cell>
        </row>
        <row r="214">
          <cell r="A214" t="str">
            <v>1.26.2</v>
          </cell>
          <cell r="B214" t="str">
            <v>Appliquer les recommandations délivrées par la CIE en vue d’améliorer le fonctionnement et la communication au sein du SAAE (Voir plan faitier CIE)</v>
          </cell>
        </row>
        <row r="215">
          <cell r="A215" t="str">
            <v>1.26.3</v>
          </cell>
          <cell r="B215" t="str">
            <v>Intégrer le Port de Bruxelles dans le marché de Bruxelles Environnement pour le CPA du Système d’alarme et d’alerte pour le district hydrographique de l’Escaut (Voir plan faitier CIE)</v>
          </cell>
        </row>
        <row r="216">
          <cell r="A216" t="str">
            <v>1.26.4</v>
          </cell>
          <cell r="B216" t="str">
            <v>Clarifier la procédure de gestion de crise pour prendre les mesures rapides et efficaces en cas de pollution, notamment via la Protection civile</v>
          </cell>
        </row>
        <row r="217">
          <cell r="A217" t="str">
            <v>1.26.5</v>
          </cell>
          <cell r="B217" t="str">
            <v>Etudier la faisabilité et définir les besoins de Bruxelles Environnement en vue de basculer vers un système de garde 24h/24 et 7j/7 commun aux thématiques de l’Eau et Seveso</v>
          </cell>
        </row>
        <row r="218">
          <cell r="A218" t="str">
            <v>1.26.6</v>
          </cell>
          <cell r="B218" t="str">
            <v>Définir le cadre du service de garde en lien avec la thématique de l'eau et en coordination avec les opérateurs de l'eau</v>
          </cell>
        </row>
        <row r="219">
          <cell r="A219" t="str">
            <v>1.26.7</v>
          </cell>
          <cell r="B219" t="str">
            <v>Organiser les procédures et contacts avec les services d’urgence en collaboration avec Bruxelles Prévention et Sécurité</v>
          </cell>
        </row>
        <row r="220">
          <cell r="A220" t="str">
            <v>1.26.8</v>
          </cell>
          <cell r="B220" t="str">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ell>
        </row>
        <row r="221">
          <cell r="A221" t="str">
            <v>1.26.9</v>
          </cell>
          <cell r="B221" t="str">
            <v xml:space="preserve">Mener des actions contre la récurrence des pollutions aux hydrocarbures dans les égouts. </v>
          </cell>
        </row>
        <row r="222">
          <cell r="A222" t="str">
            <v>1.26.A </v>
          </cell>
          <cell r="B222" t="str">
            <v>Etendre le réseau de monitoring en continu FlowBru et créer des alertes automatiques sur de potentielles pollutions/crises (voir M 1.22)</v>
          </cell>
        </row>
        <row r="223">
          <cell r="A223" t="str">
            <v>1.26.10</v>
          </cell>
          <cell r="B223" t="str">
            <v>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v>
          </cell>
        </row>
        <row r="224">
          <cell r="A224" t="str">
            <v>1.26.11</v>
          </cell>
          <cell r="B224" t="str">
            <v>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v>
          </cell>
        </row>
        <row r="225">
          <cell r="A225" t="str">
            <v>1.26.12</v>
          </cell>
          <cell r="B225" t="str">
            <v xml:space="preserve">Mise en œuvre des mesures définies (voir 1.26.12)
</v>
          </cell>
        </row>
        <row r="226">
          <cell r="A226" t="str">
            <v>1.27.1</v>
          </cell>
          <cell r="B226" t="str">
            <v>Développer par vallée une vision des offres potentielles d'eau supplémentaire actuellement perdues à l'égout et des besoins des milieux récepteurs en aval qui pourraient bénéficier de ces eaux supplémentaires</v>
          </cell>
        </row>
        <row r="227">
          <cell r="A227" t="str">
            <v>1.27.2</v>
          </cell>
          <cell r="B227" t="str">
            <v>Etude de faisabilité de reconnexion du Molenbeek à la Senne (action C13_1 Belini) + analyse du coûts-bénéfices</v>
          </cell>
        </row>
        <row r="228">
          <cell r="A228" t="str">
            <v>1.27.3</v>
          </cell>
          <cell r="B228" t="str">
            <v>Etude de faisabilité de reconnexion du Neerpedebeek à la Senne + analyse du coûts-bénéfices</v>
          </cell>
        </row>
        <row r="229">
          <cell r="A229" t="str">
            <v>1.27.4</v>
          </cell>
          <cell r="B229" t="str">
            <v>Réflexions sur la reconnexion du Watermaelbeek à la Woluwe + analyse du coûts-bénéfices</v>
          </cell>
        </row>
        <row r="230">
          <cell r="A230" t="str">
            <v>1.27.5</v>
          </cell>
          <cell r="B230" t="str">
            <v>Etude de faisabilité de reconnexion du Ru du Zeyp à Ganshoren (étang Rivieren et Clos des tarins) au Marais de Jette et au Molenbeek + analyse du coûts-bénéfices</v>
          </cell>
        </row>
        <row r="231">
          <cell r="A231" t="str">
            <v>1.27.6</v>
          </cell>
          <cell r="B231" t="str">
            <v>Investigation et Etude de faisabilité de reconnexion de l'Ukkelbeek à la Senne + analyse du coûts-bénéfices</v>
          </cell>
        </row>
        <row r="232">
          <cell r="A232" t="str">
            <v>1.27.7</v>
          </cell>
          <cell r="B232" t="str">
            <v>Réflexions sur la récupération vers le réseau hydrographique des eaux claires de drainage s'infiltrant dans les collecteurs + analyse du coûts-bénéfices. (dont le collecteur passant dans le marais de Jette et Ganshoren)</v>
          </cell>
        </row>
        <row r="233">
          <cell r="A233" t="str">
            <v>1.27.8</v>
          </cell>
          <cell r="B233" t="str">
            <v>Travaux de reconnexion du Molenbeek à la Senne : 
Ces travaux ne pourront être envisagés qu'après les résultats de l'étude de faisabilité (1.27.2)</v>
          </cell>
        </row>
        <row r="234">
          <cell r="A234" t="str">
            <v>1.27.9</v>
          </cell>
          <cell r="B234" t="str">
            <v>Travaux de reconnexion du Neerpedebeek à la Senne :
Ces travaux ne pourront être envisagés qu'après les résultats de l'étude de faisabilité (1.27.3)</v>
          </cell>
        </row>
        <row r="235">
          <cell r="A235" t="str">
            <v>1.27.10</v>
          </cell>
          <cell r="B235" t="str">
            <v>Travaux de reconnexion de l'Ukkelbeek à la Senne :
Ces travaux ne pourront être envisagés qu'après les résultats de l'étude de faisabilité (1.27.6)</v>
          </cell>
        </row>
        <row r="236">
          <cell r="A236" t="str">
            <v>1.27.11</v>
          </cell>
          <cell r="B236" t="str">
            <v>Programme Brusseau-Bis dans la vallée du Molenbeek</v>
          </cell>
        </row>
        <row r="237">
          <cell r="A237" t="str">
            <v>1.27.12</v>
          </cell>
          <cell r="B237" t="str">
            <v>Vérifier l'étanchéité des moines vers les collecteurs présents sur certains étangs spécifiques</v>
          </cell>
        </row>
        <row r="238">
          <cell r="A238" t="str">
            <v>1.27.13</v>
          </cell>
          <cell r="B238" t="str">
            <v>Établir une méthodologie de calcul des débits minimums écologiques (ecological flows), l'appliquer aux différents tronçons du réseau hydrographique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Code</v>
          </cell>
          <cell r="B1" t="str">
            <v>DESCRIPTION</v>
          </cell>
        </row>
        <row r="2">
          <cell r="A2" t="str">
            <v>OS 1.1</v>
          </cell>
          <cell r="B2" t="str">
            <v>Assurer la gestion qualitative des masses d'eau de surface</v>
          </cell>
        </row>
        <row r="3">
          <cell r="A3" t="str">
            <v>OO 1.1.1</v>
          </cell>
          <cell r="B3" t="str">
            <v xml:space="preserve">Améliorer la qualité hydromorphologique et biologique des masses d'eau de surface </v>
          </cell>
        </row>
        <row r="4">
          <cell r="A4" t="str">
            <v>OO 1.1.2</v>
          </cell>
          <cell r="B4" t="str">
            <v>Réduire les rejets directs dans les masses d'eau</v>
          </cell>
        </row>
        <row r="5">
          <cell r="A5" t="str">
            <v>OO 1.1.3</v>
          </cell>
          <cell r="B5" t="str">
            <v>Réduire l’impact du réseau d’assainissement sur la qualité des masses d’eau de surface</v>
          </cell>
        </row>
        <row r="6">
          <cell r="A6" t="str">
            <v>OO 1.1.4</v>
          </cell>
          <cell r="B6" t="str">
            <v>Réduire les émissions de polluants à la source (sources ponctuelles et diffuses)</v>
          </cell>
        </row>
        <row r="7">
          <cell r="A7" t="str">
            <v>OO 1.1.5</v>
          </cell>
          <cell r="B7" t="str">
            <v>Améliorer les connaissances et adapter la règlementation en vue de pouvoir proposer des mesures adéquates de réduction et/ou de suppression des rejets problématiques et sensibiliser les Bruxellois.es afin de diminuer ces pollutions</v>
          </cell>
        </row>
        <row r="8">
          <cell r="A8" t="str">
            <v xml:space="preserve">OS 1.2  </v>
          </cell>
          <cell r="B8" t="str">
            <v>Soutenir le débit par temps sec du réseau hydrographique</v>
          </cell>
        </row>
        <row r="9">
          <cell r="A9" t="str">
            <v>OO 1.2.1</v>
          </cell>
          <cell r="B9" t="str">
            <v>Assurer un débit minimum écologique des cours d'eau</v>
          </cell>
        </row>
        <row r="10">
          <cell r="A10" t="str">
            <v>OS 2.1</v>
          </cell>
          <cell r="B10" t="str">
            <v>Assurer la gestion qualitative des masses d'eau souterraine</v>
          </cell>
        </row>
        <row r="11">
          <cell r="A11" t="str">
            <v>OO 2.1.1</v>
          </cell>
          <cell r="B11" t="str">
            <v>Améliorer l'état des connaissances, adapter le programme de surveillance et modifier la réglementation</v>
          </cell>
        </row>
        <row r="12">
          <cell r="A12" t="str">
            <v>OO 2.1.2</v>
          </cell>
          <cell r="B12" t="str">
            <v>Restaurer la qualité chimique de la masse d’eau des sables du Bruxellien</v>
          </cell>
        </row>
        <row r="13">
          <cell r="A13" t="str">
            <v>OO 2.1.3</v>
          </cell>
          <cell r="B13" t="str">
            <v>Inverser la tendance à la hausse significative et durable à l'égard des polluants présents dans les masses d’eau souterraine</v>
          </cell>
        </row>
        <row r="14">
          <cell r="A14" t="str">
            <v>OO 2.1.4</v>
          </cell>
          <cell r="B14" t="str">
            <v>Prévenir et limiter la détérioration des masses d’eau souterraine</v>
          </cell>
        </row>
        <row r="15">
          <cell r="A15" t="str">
            <v>OS 2.2</v>
          </cell>
          <cell r="B15" t="str">
            <v xml:space="preserve"> Gérer quantitativement la ressource en eau souterraine</v>
          </cell>
        </row>
        <row r="16">
          <cell r="A16" t="str">
            <v>OO 2.2.1</v>
          </cell>
          <cell r="B16" t="str">
            <v>Gérer de façon durable la ressource en eau souterraine</v>
          </cell>
        </row>
        <row r="17">
          <cell r="A17" t="str">
            <v>OO 2.2.2</v>
          </cell>
          <cell r="B17" t="str">
            <v xml:space="preserve">Gérer les remontées de  nappes phréatiques et assurer le drainage des eaux souterraines </v>
          </cell>
        </row>
        <row r="18">
          <cell r="A18" t="str">
            <v>OS 3.1</v>
          </cell>
          <cell r="B18" t="str">
            <v>Assurer la gestion spécifique des zones protégées et leur surveillance</v>
          </cell>
        </row>
        <row r="19">
          <cell r="A19" t="str">
            <v>OO 3.1.1</v>
          </cell>
          <cell r="B19" t="str">
            <v>Veiller à la protection des captages d'eau destinée à la production d'eau potable</v>
          </cell>
        </row>
        <row r="20">
          <cell r="A20" t="str">
            <v>OO 3.1.2</v>
          </cell>
          <cell r="B20" t="str">
            <v>Assurer la protection de la zone vulnérable aux nitrates d'origine agricole</v>
          </cell>
        </row>
        <row r="21">
          <cell r="A21" t="str">
            <v>OO 3.1.3</v>
          </cell>
          <cell r="B21" t="str">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ell>
        </row>
        <row r="22">
          <cell r="A22" t="str">
            <v>OO 3.1.4</v>
          </cell>
          <cell r="B22" t="str">
            <v>Veiller à la protection des zones sensibles à l'égard des nutriments</v>
          </cell>
        </row>
        <row r="23">
          <cell r="A23" t="str">
            <v>OO 3.1.5</v>
          </cell>
          <cell r="B23" t="str">
            <v>Veiller à la protection des zones sensibles à risques accrus et des zones tampons à l'égard des pesticides</v>
          </cell>
        </row>
        <row r="24">
          <cell r="A24" t="str">
            <v>OS 3.2</v>
          </cell>
          <cell r="B24" t="str">
            <v>Assurer et contrôler le potentiel écologique des étangs régionaux afin de soutenir les objectifs de conservation des sites Natura 2000</v>
          </cell>
        </row>
        <row r="25">
          <cell r="A25" t="str">
            <v>OS 4.1</v>
          </cell>
          <cell r="B25" t="str">
            <v>Assurer l'application du principe du pollueur-payeur</v>
          </cell>
        </row>
        <row r="26">
          <cell r="A26" t="str">
            <v>OS 4.2</v>
          </cell>
          <cell r="B26" t="str">
            <v>Assurer l'accès à des services d’approvisionnement en eau et d’assainissement adéquats, durables et  à des conditions abordables</v>
          </cell>
        </row>
        <row r="27">
          <cell r="A27" t="str">
            <v>OS 5.1</v>
          </cell>
          <cell r="B27" t="str">
            <v>OS 5.1: Gérer les eaux de pluie de façon intégrée  // Alternative : Replacer les eaux de pluie dans leur cycle naturel</v>
          </cell>
        </row>
        <row r="28">
          <cell r="A28" t="str">
            <v>OO 5.1.1</v>
          </cell>
          <cell r="B28" t="str">
            <v>OO 5.1.1: Encadrer la mise en œuvre de la gestion intégrée des eaux pluviales « GiEP » et développer des solutions innovantes</v>
          </cell>
        </row>
        <row r="29">
          <cell r="A29" t="str">
            <v>OO 5.1.2</v>
          </cell>
          <cell r="B29" t="str">
            <v>OO 5.1.2: Mettre en œuvre la GiEP et en assurer la pérennisation</v>
          </cell>
        </row>
        <row r="30">
          <cell r="A30" t="str">
            <v>OS 5.2</v>
          </cell>
          <cell r="B30" t="str">
            <v xml:space="preserve">OS 5.2: Diminuer la fréquence et l’ampleur des inondations  </v>
          </cell>
        </row>
        <row r="31">
          <cell r="A31" t="str">
            <v>OO 5.2.1</v>
          </cell>
          <cell r="B31" t="str">
            <v xml:space="preserve">OO 5.2.1: Gérer à la parcelle les eaux de pluies exceptionnelles pour ne les renvoyer vers l’aval qu’à débit nul ou limité  </v>
          </cell>
        </row>
        <row r="32">
          <cell r="A32" t="str">
            <v>OO 5.2.2</v>
          </cell>
          <cell r="B32" t="str">
            <v>OO 5.2.2 : Assurer un écoulement optimum dans le réseau hydrographique</v>
          </cell>
        </row>
        <row r="33">
          <cell r="A33" t="str">
            <v>OO 5.2.3</v>
          </cell>
          <cell r="B33" t="str">
            <v>OO 5.2.3 : Assurer un écoulement optimum dans le réseau d’assainissement</v>
          </cell>
        </row>
        <row r="34">
          <cell r="A34" t="str">
            <v>OS 5.3</v>
          </cell>
          <cell r="B34" t="str">
            <v xml:space="preserve">OS 5.3 : Diminuer la vulnérabilité du territoire face aux inondations </v>
          </cell>
        </row>
        <row r="35">
          <cell r="A35" t="str">
            <v>OO 5.3.1</v>
          </cell>
          <cell r="B35" t="str">
            <v xml:space="preserve">OO 5.3.1 : Eviter les nouvelles constructions dans les zones inondables et proposer des mesures d’adaptation pour le bâti existant </v>
          </cell>
        </row>
        <row r="36">
          <cell r="A36" t="str">
            <v>OS 5.4</v>
          </cell>
          <cell r="B36" t="str">
            <v>OS 5.4 : Diminuer la vulnérabilité des habitants et du territoire face aux épisodes de sécheresse</v>
          </cell>
        </row>
        <row r="37">
          <cell r="A37" t="str">
            <v>OO 5.4.1</v>
          </cell>
          <cell r="B37" t="str">
            <v xml:space="preserve">OO 5.4.1 : Garantir la sécurité d’approvisionnement en eau potable de la Région </v>
          </cell>
        </row>
        <row r="38">
          <cell r="A38" t="str">
            <v>OO 5.4.2</v>
          </cell>
          <cell r="B38" t="str">
            <v xml:space="preserve">OO 5.4.2 : Préserver les ressources en eau en fonction des usages et des bénéfices écosystémiques qu’elles nous rendent  </v>
          </cell>
        </row>
        <row r="39">
          <cell r="A39" t="str">
            <v>OS 5.5</v>
          </cell>
          <cell r="B39" t="str">
            <v>OS 5.5 : Assurer la gestion de crise</v>
          </cell>
        </row>
        <row r="40">
          <cell r="A40" t="str">
            <v>OS 5.6</v>
          </cell>
          <cell r="B40" t="str">
            <v>OS 5.6 : Informer, sensibiliser et améliorer l'état des connaissances</v>
          </cell>
        </row>
        <row r="41">
          <cell r="A41" t="str">
            <v>OO 5.6.1</v>
          </cell>
          <cell r="B41" t="str">
            <v>OO 5.6.1 : Informer et sensibiliser les citoyens à la gestion des risques liés aux inondations et à la sécheresse</v>
          </cell>
        </row>
        <row r="42">
          <cell r="A42" t="str">
            <v>OO 5.6.2</v>
          </cell>
          <cell r="B42" t="str">
            <v>OO 5.6.2 : Mener une politique de recherche visant l’amélioration de la résilience du territoire.</v>
          </cell>
        </row>
        <row r="43">
          <cell r="A43" t="str">
            <v xml:space="preserve">OS 6.1  </v>
          </cell>
          <cell r="B43" t="str">
            <v>Préserver, développer et mettre en valeur le patrimoine naturel lié à l'eau  </v>
          </cell>
        </row>
        <row r="44">
          <cell r="A44" t="str">
            <v>OO 6.1.1</v>
          </cell>
          <cell r="B44" t="str">
            <v>Mettre en valeur les cours d'eau, les étangs, les zones humides d'un point de vue écologique et paysager</v>
          </cell>
        </row>
        <row r="45">
          <cell r="A45" t="str">
            <v>OO 6.1.2</v>
          </cell>
          <cell r="B45" t="str">
            <v>Développer et encadrer la pratique de loisirs et activités récréatives liés à l’eau</v>
          </cell>
        </row>
        <row r="46">
          <cell r="A46" t="str">
            <v>OO 6.1.3</v>
          </cell>
          <cell r="B46" t="str">
            <v xml:space="preserve">Valoriser le Canal en tant qu’axe structurant du territoire régional   </v>
          </cell>
        </row>
        <row r="47">
          <cell r="A47" t="str">
            <v>OS 6.2</v>
          </cell>
          <cell r="B47" t="str">
            <v xml:space="preserve">Renforcer l’éducation, la sensibilisation et la pédagogie autour de la thématique de l’eau </v>
          </cell>
        </row>
        <row r="48">
          <cell r="A48" t="str">
            <v>OS 7.1</v>
          </cell>
          <cell r="B48" t="str">
            <v>Préserver et valoriser les ressources stratégiques en eau</v>
          </cell>
        </row>
        <row r="49">
          <cell r="A49" t="str">
            <v xml:space="preserve">OO 7.1.1 </v>
          </cell>
          <cell r="B49" t="str">
            <v>Lutter contre les pertes dans le réseau de distribution d'eau potable</v>
          </cell>
        </row>
        <row r="50">
          <cell r="A50" t="str">
            <v>OO 7.1.2</v>
          </cell>
          <cell r="B50" t="str">
            <v>Promouvoir une utilisation rationnelle et durable de l'eau potable</v>
          </cell>
        </row>
        <row r="51">
          <cell r="A51" t="str">
            <v>OS 7.2</v>
          </cell>
          <cell r="B51" t="str">
            <v>Valoriser les ressources en eau jusqu'à présent inexploitées</v>
          </cell>
        </row>
        <row r="52">
          <cell r="A52" t="str">
            <v>OS 7.3</v>
          </cell>
          <cell r="B52" t="str">
            <v>Promouvoir la production d'énergie renouvelable à partir de l'eau</v>
          </cell>
        </row>
        <row r="53">
          <cell r="A53" t="str">
            <v>OO 7.3.1</v>
          </cell>
          <cell r="B53" t="str">
            <v>Encadrer et promouvoir la géothermie pour le chauffage et le refroidissement des bâtiments bruxellois (/du bâti ou parc immobilier bruxellois)</v>
          </cell>
        </row>
        <row r="54">
          <cell r="A54" t="str">
            <v>OO 7.3.2</v>
          </cell>
          <cell r="B54" t="str">
            <v>Promouvoir la récupération des calories présentes dans les eaux usées</v>
          </cell>
        </row>
        <row r="55">
          <cell r="A55" t="str">
            <v>OS 8.1</v>
          </cell>
          <cell r="B55" t="str">
            <v>Assurer une mise en œuvre coordonnée de la politique de l’eau</v>
          </cell>
        </row>
        <row r="56">
          <cell r="A56" t="str">
            <v>OS 8.2</v>
          </cell>
          <cell r="B56" t="str">
            <v>Echanger les expériences et les informations au niveau d’associations d’acteurs publics et privés bruxellois, belges et internationaux</v>
          </cell>
        </row>
        <row r="57">
          <cell r="A57" t="str">
            <v>OS 8.3</v>
          </cell>
          <cell r="B57" t="str">
            <v>Contribuer à la protection de la mer du Nord et des zones côtières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Mesures"/>
      <sheetName val="2. Mesures_Budget_Eff_tot"/>
      <sheetName val="3. Recherche Budget"/>
      <sheetName val="4. Mesures_ACE_Budget"/>
      <sheetName val="4.1 ACE EFF SEN"/>
      <sheetName val="4.2 ACE EFF WOL"/>
      <sheetName val="4.3 ACE EFF CAN"/>
      <sheetName val="4.4 ACE MAX SEN "/>
      <sheetName val="4.5 ACE MAX WOL "/>
      <sheetName val="4.6 ACE MAX CAN "/>
      <sheetName val="5. Consolidation"/>
      <sheetName val="5.1 Budget"/>
      <sheetName val="5.2 Actions"/>
      <sheetName val="6. Mesures_ Budget_ Maximaliste"/>
      <sheetName val="7. PGE_Efficacité"/>
      <sheetName val="8. Hiérarchie"/>
      <sheetName val="9.DSimply_parties_prenantes"/>
      <sheetName val="10,DSimply_mesures"/>
      <sheetName val="11.DSimply_actions"/>
      <sheetName val="12.Validation co"/>
    </sheetNames>
    <sheetDataSet>
      <sheetData sheetId="0"/>
      <sheetData sheetId="1"/>
      <sheetData sheetId="2"/>
      <sheetData sheetId="3"/>
      <sheetData sheetId="4"/>
      <sheetData sheetId="5"/>
      <sheetData sheetId="6"/>
      <sheetData sheetId="7"/>
      <sheetData sheetId="8">
        <row r="4">
          <cell r="G4" t="str">
            <v>Nickel</v>
          </cell>
          <cell r="H4" t="str">
            <v>Zinc</v>
          </cell>
          <cell r="I4" t="str">
            <v>Cadmium</v>
          </cell>
          <cell r="J4" t="str">
            <v>Mercure</v>
          </cell>
          <cell r="K4" t="str">
            <v>Plomb</v>
          </cell>
          <cell r="L4" t="str">
            <v xml:space="preserve">HAPs (*)
</v>
          </cell>
          <cell r="M4" t="str">
            <v>HUIL MIN</v>
          </cell>
          <cell r="N4" t="str">
            <v>PCBs</v>
          </cell>
          <cell r="O4" t="str">
            <v>Heptachlore (et époxyde d’heptachlore)</v>
          </cell>
          <cell r="P4" t="str">
            <v>Nonylphénols</v>
          </cell>
          <cell r="Q4" t="str">
            <v>Tributylétain</v>
          </cell>
          <cell r="R4" t="str">
            <v>HBCDD</v>
          </cell>
          <cell r="S4" t="str">
            <v>PBDE</v>
          </cell>
          <cell r="T4" t="str">
            <v>PFOS</v>
          </cell>
          <cell r="U4" t="str">
            <v>Dioxines</v>
          </cell>
          <cell r="V4" t="str">
            <v>DEHP</v>
          </cell>
          <cell r="W4" t="str">
            <v>N (NO2 / NO3 / TKN / NH4 / Ntot)</v>
          </cell>
          <cell r="X4" t="str">
            <v>P (PO4 / Ptot)</v>
          </cell>
          <cell r="Y4" t="str">
            <v>DBO</v>
          </cell>
          <cell r="Z4" t="str">
            <v>DCO</v>
          </cell>
          <cell r="AA4" t="str">
            <v>MS</v>
          </cell>
          <cell r="AB4" t="str">
            <v>OXYG</v>
          </cell>
          <cell r="AC4" t="str">
            <v>COND</v>
          </cell>
          <cell r="AD4" t="str">
            <v>Lit mineur (quantitatif, faciès, obstacles…)</v>
          </cell>
          <cell r="AE4" t="str">
            <v>Lit majeur</v>
          </cell>
          <cell r="AF4" t="str">
            <v>Berges</v>
          </cell>
          <cell r="AG4" t="str">
            <v>PP</v>
          </cell>
          <cell r="AH4" t="str">
            <v>PB</v>
          </cell>
          <cell r="AI4" t="str">
            <v>MP</v>
          </cell>
          <cell r="AJ4" t="str">
            <v>MI</v>
          </cell>
          <cell r="AK4" t="str">
            <v>POIS</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Mesures"/>
      <sheetName val="2. Mesures_Budget_Eff_tot"/>
      <sheetName val="3. Recherche Budget"/>
      <sheetName val="4. Mesures_ACE_Budget"/>
      <sheetName val="4.1 ACE EFF SEN"/>
      <sheetName val="4.2 ACE EFF WOL"/>
      <sheetName val="4.3 ACE EFF CAN"/>
      <sheetName val="4.4 ACE MAX SEN "/>
      <sheetName val="4.5 ACE MAX WOL "/>
      <sheetName val="4.6 ACE MAX CAN "/>
      <sheetName val="5. Consolidation"/>
      <sheetName val="5.1 Budget"/>
      <sheetName val="5.2 Actions"/>
      <sheetName val="6. Mesures_ Budget_ Maximaliste"/>
      <sheetName val="7. PGE_Efficacité"/>
      <sheetName val="8. Hiérarchie"/>
      <sheetName val="9.DSimply_parties_prenantes"/>
      <sheetName val="10,DSimply_mesures"/>
      <sheetName val="11.DSimply_actions"/>
      <sheetName val="12.Validation co"/>
    </sheetNames>
    <sheetDataSet>
      <sheetData sheetId="0"/>
      <sheetData sheetId="1"/>
      <sheetData sheetId="2"/>
      <sheetData sheetId="3"/>
      <sheetData sheetId="4"/>
      <sheetData sheetId="5"/>
      <sheetData sheetId="6"/>
      <sheetData sheetId="7"/>
      <sheetData sheetId="8">
        <row r="4">
          <cell r="G4" t="str">
            <v>Nickel</v>
          </cell>
          <cell r="H4" t="str">
            <v>Zinc</v>
          </cell>
          <cell r="I4" t="str">
            <v>Cadmium</v>
          </cell>
          <cell r="J4" t="str">
            <v>Mercure</v>
          </cell>
          <cell r="K4" t="str">
            <v>Plomb</v>
          </cell>
          <cell r="L4" t="str">
            <v xml:space="preserve">HAPs (*)
</v>
          </cell>
          <cell r="M4" t="str">
            <v>HUIL MIN</v>
          </cell>
          <cell r="N4" t="str">
            <v>PCBs</v>
          </cell>
          <cell r="O4" t="str">
            <v>Heptachlore (et époxyde d’heptachlore)</v>
          </cell>
          <cell r="P4" t="str">
            <v>Nonylphénols</v>
          </cell>
          <cell r="Q4" t="str">
            <v>Tributylétain</v>
          </cell>
          <cell r="R4" t="str">
            <v>HBCDD</v>
          </cell>
          <cell r="S4" t="str">
            <v>PBDE</v>
          </cell>
          <cell r="T4" t="str">
            <v>PFOS</v>
          </cell>
          <cell r="U4" t="str">
            <v>Dioxines</v>
          </cell>
          <cell r="V4" t="str">
            <v>DEHP</v>
          </cell>
          <cell r="W4" t="str">
            <v>N (NO2 / NO3 / TKN / NH4 / Ntot)</v>
          </cell>
          <cell r="X4" t="str">
            <v>P (PO4 / Ptot)</v>
          </cell>
          <cell r="Y4" t="str">
            <v>DBO</v>
          </cell>
          <cell r="Z4" t="str">
            <v>DCO</v>
          </cell>
          <cell r="AA4" t="str">
            <v>MS</v>
          </cell>
          <cell r="AB4" t="str">
            <v>OXYG</v>
          </cell>
          <cell r="AC4" t="str">
            <v>COND</v>
          </cell>
          <cell r="AD4" t="str">
            <v>Lit mineur (quantitatif, faciès, obstacles…)</v>
          </cell>
          <cell r="AE4" t="str">
            <v>Lit majeur</v>
          </cell>
          <cell r="AF4" t="str">
            <v>Berges</v>
          </cell>
          <cell r="AG4" t="str">
            <v>PP</v>
          </cell>
          <cell r="AH4" t="str">
            <v>PB</v>
          </cell>
          <cell r="AI4" t="str">
            <v>MP</v>
          </cell>
          <cell r="AJ4" t="str">
            <v>MI</v>
          </cell>
          <cell r="AK4" t="str">
            <v>POIS</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Mesures"/>
      <sheetName val="2. Mesures_Budget_Eff_tot"/>
      <sheetName val="3. Recherche Budget"/>
      <sheetName val="4. Mesures_ACE_Budget"/>
      <sheetName val="4.1 ACE EFF SEN"/>
      <sheetName val="4.2 ACE EFF WOL"/>
      <sheetName val="4.3 ACE EFF CAN"/>
      <sheetName val="4.4 ACE MAX SEN "/>
      <sheetName val="4.5 ACE MAX WOL "/>
      <sheetName val="4.6 ACE MAX CAN "/>
      <sheetName val="5. Consolidation"/>
      <sheetName val="5.1 Budget"/>
      <sheetName val="5.2 Actions"/>
      <sheetName val="6. Mesures_ Budget_ Maximaliste"/>
      <sheetName val="7. PGE_Efficacité"/>
      <sheetName val="8. Hiérarchie"/>
    </sheetNames>
    <sheetDataSet>
      <sheetData sheetId="0"/>
      <sheetData sheetId="1">
        <row r="1">
          <cell r="A1" t="str">
            <v>Fiche #</v>
          </cell>
          <cell r="B1" t="str">
            <v>Description</v>
          </cell>
        </row>
        <row r="2">
          <cell r="A2" t="str">
            <v>M 1.1</v>
          </cell>
          <cell r="B2" t="str">
            <v xml:space="preserve">Remettre à ciel ouvert le réseau hydrographique </v>
          </cell>
          <cell r="C2" t="str">
            <v>B. THIEBAUX</v>
          </cell>
          <cell r="D2" t="str">
            <v>L.DOHET</v>
          </cell>
          <cell r="E2">
            <v>1</v>
          </cell>
          <cell r="F2" t="str">
            <v>OS 1.1</v>
          </cell>
          <cell r="G2" t="str">
            <v>OO 1.1.1</v>
          </cell>
        </row>
        <row r="3">
          <cell r="A3" t="str">
            <v>M 1.2</v>
          </cell>
          <cell r="B3" t="str">
            <v>Améliorer la qualité des berges et des lits du réseau hydrographique, créer des méandres et aménager des zones propices au développement de la faune et de la flore aquatiques</v>
          </cell>
          <cell r="C3" t="str">
            <v>NVW
(PORT DE BXLS)</v>
          </cell>
          <cell r="D3" t="str">
            <v>L.DOHET</v>
          </cell>
          <cell r="E3">
            <v>1</v>
          </cell>
          <cell r="F3" t="str">
            <v>OS 1.1</v>
          </cell>
          <cell r="G3" t="str">
            <v>OO 1.1.1</v>
          </cell>
        </row>
        <row r="4">
          <cell r="A4" t="str">
            <v>M 1.3</v>
          </cell>
          <cell r="B4" t="str">
            <v>Supprimer les obstacles à la libre circulation des poissons</v>
          </cell>
          <cell r="C4" t="str">
            <v>RBO (port de BXL)</v>
          </cell>
          <cell r="D4" t="str">
            <v>L.DOHET</v>
          </cell>
          <cell r="E4">
            <v>1</v>
          </cell>
          <cell r="F4" t="str">
            <v>OS 1.1</v>
          </cell>
          <cell r="G4" t="str">
            <v>OO 1.1.1</v>
          </cell>
        </row>
        <row r="5">
          <cell r="A5" t="str">
            <v>M 1.4</v>
          </cell>
          <cell r="B5" t="str">
            <v>Lutter contre les espèces invasives qui portent atteinte ou présentent un risque pour le bon potentiel écologique des masses d'eau de surface</v>
          </cell>
          <cell r="C5" t="str">
            <v>NVW
(PORT DE BXLS + DEV)</v>
          </cell>
          <cell r="D5" t="str">
            <v>L.DOHET</v>
          </cell>
          <cell r="E5">
            <v>1</v>
          </cell>
          <cell r="F5" t="str">
            <v>OS 1.1</v>
          </cell>
          <cell r="G5" t="str">
            <v>OO 1.1.1</v>
          </cell>
        </row>
        <row r="6">
          <cell r="A6" t="str">
            <v>M 1.5</v>
          </cell>
          <cell r="B6" t="str">
            <v xml:space="preserve"> Inventorier les rejets directs dans une base de données dynamique </v>
          </cell>
          <cell r="C6" t="str">
            <v>L.DOHET
F.MAYER</v>
          </cell>
          <cell r="D6" t="str">
            <v>L.DOHET</v>
          </cell>
          <cell r="E6">
            <v>1</v>
          </cell>
          <cell r="F6" t="str">
            <v>OS 1.1</v>
          </cell>
          <cell r="G6" t="str">
            <v>OO 1.1.2</v>
          </cell>
        </row>
        <row r="7">
          <cell r="A7" t="str">
            <v>M 1.6</v>
          </cell>
          <cell r="B7" t="str">
            <v xml:space="preserve">Assurer le raccordement effectif des points de rejet d’eaux usées domestiques et non domestiques vers le réseau d’égouttage </v>
          </cell>
          <cell r="C7" t="str">
            <v>F.MAYER
VIVAQUA</v>
          </cell>
          <cell r="D7" t="str">
            <v>F.MAYER</v>
          </cell>
          <cell r="E7">
            <v>1</v>
          </cell>
          <cell r="F7" t="str">
            <v>OS 1.1</v>
          </cell>
          <cell r="G7" t="str">
            <v>OO 1.1.2</v>
          </cell>
        </row>
        <row r="8">
          <cell r="A8" t="str">
            <v>M 1.7</v>
          </cell>
          <cell r="B8" t="str">
            <v xml:space="preserve"> Gérer les rejets non raccordables aux stations d'épuration collectives</v>
          </cell>
          <cell r="C8" t="str">
            <v>M.BINON (envoi commune)</v>
          </cell>
          <cell r="D8" t="str">
            <v>M.BINON</v>
          </cell>
          <cell r="E8">
            <v>1</v>
          </cell>
          <cell r="F8" t="str">
            <v>OS 1.1</v>
          </cell>
          <cell r="G8" t="str">
            <v>OO 1.1.2</v>
          </cell>
        </row>
        <row r="9">
          <cell r="A9" t="str">
            <v>M 1.8</v>
          </cell>
          <cell r="B9" t="str">
            <v>Réaliser l'état de l'art des déversoirs d'orages actuels et optimaliser leur conception pour réduire le transfert de polluants vers les masses d’eau de surface</v>
          </cell>
          <cell r="C9" t="str">
            <v>M.ANTOINE
VIVAQUA</v>
          </cell>
          <cell r="D9" t="str">
            <v>M.ANTOINE</v>
          </cell>
          <cell r="E9">
            <v>1</v>
          </cell>
          <cell r="F9" t="str">
            <v>OS 1.1</v>
          </cell>
          <cell r="G9" t="str">
            <v>OO 1.1.3</v>
          </cell>
        </row>
        <row r="10">
          <cell r="A10" t="str">
            <v>M 1.9</v>
          </cell>
          <cell r="B10" t="str">
            <v>Mettre en place un système de régulation des débits circulant dans le réseau d’assainissement pour réduire la fréquence des déversements au niveau des déversoirs d’orage et assurer un meilleur traitement des eaux usées</v>
          </cell>
          <cell r="C10" t="str">
            <v>SBGE
VIVAQUA
M.ANTOINE</v>
          </cell>
          <cell r="D10" t="str">
            <v>M.ANTOINE</v>
          </cell>
          <cell r="E10">
            <v>1</v>
          </cell>
          <cell r="F10" t="str">
            <v>OS 1.1</v>
          </cell>
          <cell r="G10" t="str">
            <v>OO 1.1.3</v>
          </cell>
        </row>
        <row r="11">
          <cell r="A11" t="str">
            <v>M 1.10</v>
          </cell>
          <cell r="B11" t="str">
            <v xml:space="preserve"> Réaliser les raccordements manquants entre le réseau d’égouttage et les collecteurs</v>
          </cell>
          <cell r="C11" t="str">
            <v>F.MAYER
VIVAQUA
SBGE</v>
          </cell>
          <cell r="D11" t="str">
            <v>F.MAYER</v>
          </cell>
          <cell r="E11">
            <v>1</v>
          </cell>
          <cell r="F11" t="str">
            <v>OS 1.1</v>
          </cell>
          <cell r="G11" t="str">
            <v>OO 1.1.3</v>
          </cell>
        </row>
        <row r="12">
          <cell r="A12" t="str">
            <v>M 1.11</v>
          </cell>
          <cell r="B12" t="str">
            <v>Assurer la gestion des déchets flottants dans les masses d'eau, en particulier après les épisodes de déversement</v>
          </cell>
          <cell r="C12" t="str">
            <v>L.DOHET
PORT DE BXLS
VIVAQUA</v>
          </cell>
          <cell r="D12" t="str">
            <v>A.MARESCAUX</v>
          </cell>
          <cell r="E12">
            <v>1</v>
          </cell>
          <cell r="F12" t="str">
            <v>OS 1.1</v>
          </cell>
          <cell r="G12" t="str">
            <v>OO 1.1.3</v>
          </cell>
        </row>
        <row r="13">
          <cell r="A13" t="str">
            <v>M 1.12</v>
          </cell>
          <cell r="B13" t="str">
            <v xml:space="preserve"> Améliorer le rendement épuratoire des stations d'épuration</v>
          </cell>
          <cell r="C13" t="str">
            <v>SBGE
L.DOHET
A.MARESCAUX</v>
          </cell>
          <cell r="D13" t="str">
            <v>L.DOHET</v>
          </cell>
          <cell r="E13">
            <v>1</v>
          </cell>
          <cell r="F13" t="str">
            <v>OS 1.1</v>
          </cell>
          <cell r="G13" t="str">
            <v>OO 1.1.3</v>
          </cell>
        </row>
        <row r="14">
          <cell r="A14" t="str">
            <v>M 1.13</v>
          </cell>
          <cell r="B14" t="str">
            <v xml:space="preserve">Actualiser les conditions de déversement d’eaux usées </v>
          </cell>
          <cell r="C14" t="str">
            <v>M.BINON</v>
          </cell>
          <cell r="D14">
            <v>0</v>
          </cell>
          <cell r="E14">
            <v>1</v>
          </cell>
          <cell r="F14" t="str">
            <v>OS 1.1</v>
          </cell>
          <cell r="G14" t="str">
            <v>OO 1.1.4</v>
          </cell>
        </row>
        <row r="15">
          <cell r="A15" t="str">
            <v>M 1.14</v>
          </cell>
          <cell r="B15" t="str">
            <v>Assurer un contrôle réglementaire sur le respect des normes de rejet en eaux de surface et en égout</v>
          </cell>
          <cell r="C15" t="str">
            <v>INSPECTORAT</v>
          </cell>
          <cell r="D15">
            <v>0</v>
          </cell>
          <cell r="E15">
            <v>1</v>
          </cell>
          <cell r="F15" t="str">
            <v>OS 1.1</v>
          </cell>
          <cell r="G15" t="str">
            <v>OO 1.1.4</v>
          </cell>
        </row>
        <row r="16">
          <cell r="A16" t="str">
            <v>M 1.15</v>
          </cell>
          <cell r="B16" t="str">
            <v xml:space="preserve"> Mettre en œuvre à l’échelle régionale les plans d’actions visant des substances polluantes, émergentes ou non </v>
          </cell>
          <cell r="C16" t="str">
            <v>L.DOHET
A.MARESCAUX
HCA
PVP</v>
          </cell>
          <cell r="D16" t="str">
            <v>L.DOHET
A.MARESCAUX</v>
          </cell>
          <cell r="E16">
            <v>1</v>
          </cell>
          <cell r="F16" t="str">
            <v>OS 1.1</v>
          </cell>
          <cell r="G16" t="str">
            <v>OO 1.1.4</v>
          </cell>
        </row>
        <row r="17">
          <cell r="A17" t="str">
            <v>M 1.16</v>
          </cell>
          <cell r="B17" t="str">
            <v xml:space="preserve"> Réaliser le curage sur les derniers tronçons du réseau hydrographique pour enlever la pollution «historique »</v>
          </cell>
          <cell r="C17" t="str">
            <v>BTH</v>
          </cell>
          <cell r="D17" t="str">
            <v>L.DOHET</v>
          </cell>
          <cell r="E17">
            <v>1</v>
          </cell>
          <cell r="F17" t="str">
            <v>OS 1.1</v>
          </cell>
          <cell r="G17" t="str">
            <v>OO 1.1.4</v>
          </cell>
        </row>
        <row r="18">
          <cell r="A18" t="str">
            <v>M 1.17</v>
          </cell>
          <cell r="B18" t="str">
            <v xml:space="preserve"> Diminuer les sources de matières en suspension vers le canal par l’optimisation de la dérivation d’Aa</v>
          </cell>
          <cell r="C18" t="str">
            <v>PORT DE BXLS</v>
          </cell>
          <cell r="D18" t="str">
            <v>M.ANTOINE</v>
          </cell>
          <cell r="E18">
            <v>1</v>
          </cell>
          <cell r="F18" t="str">
            <v>OS 1.1</v>
          </cell>
          <cell r="G18" t="str">
            <v>OO 1.1.4</v>
          </cell>
        </row>
        <row r="19">
          <cell r="A19" t="str">
            <v>M 1.18</v>
          </cell>
          <cell r="B19" t="str">
            <v xml:space="preserve">Lutter contre les décharges de matériaux dans le Canal et poursuivre le dragage et l'élimination des sédiments pollués </v>
          </cell>
          <cell r="C19" t="str">
            <v>PORT DE BXLS (envoi commune? En tout cas remarque commune)</v>
          </cell>
          <cell r="D19" t="str">
            <v>A.MARESCAUX</v>
          </cell>
          <cell r="E19">
            <v>1</v>
          </cell>
          <cell r="F19" t="str">
            <v>OS 1.1</v>
          </cell>
          <cell r="G19" t="str">
            <v>OO 1.1.4</v>
          </cell>
        </row>
        <row r="20">
          <cell r="A20" t="str">
            <v>M 1.19</v>
          </cell>
          <cell r="B20" t="str">
            <v xml:space="preserve">Actualiser les objectifs de qualité des eaux de surface dans l’arrêté NQE </v>
          </cell>
          <cell r="C20" t="str">
            <v>M.BINON</v>
          </cell>
          <cell r="D20">
            <v>0</v>
          </cell>
          <cell r="E20">
            <v>1</v>
          </cell>
          <cell r="F20" t="str">
            <v>OS 1.1</v>
          </cell>
          <cell r="G20" t="str">
            <v>OO 1.1.5</v>
          </cell>
        </row>
        <row r="21">
          <cell r="A21" t="str">
            <v>M 1.20</v>
          </cell>
          <cell r="B21" t="str">
            <v>Identifier plus précisément les sources de pollution (HAP, nickel, zinc et phosphore en particulier)</v>
          </cell>
          <cell r="C21" t="str">
            <v>L.DOHET
A.MARESCAUX</v>
          </cell>
          <cell r="D21" t="str">
            <v>A.MARESCAUX</v>
          </cell>
          <cell r="E21">
            <v>1</v>
          </cell>
          <cell r="F21" t="str">
            <v>OS 1.1</v>
          </cell>
          <cell r="G21" t="str">
            <v>OO 1.1.5</v>
          </cell>
        </row>
        <row r="22">
          <cell r="A22" t="str">
            <v>M 1.21</v>
          </cell>
          <cell r="B22" t="str">
            <v>Assurer la surveillance de la qualité de colonne d’eau, des sédiments, du biote, de la biologie et de l’hydromorphologie</v>
          </cell>
          <cell r="C22" t="str">
            <v>L.DOHET
A.MARESCAUX</v>
          </cell>
          <cell r="D22">
            <v>0</v>
          </cell>
          <cell r="E22">
            <v>1</v>
          </cell>
          <cell r="F22" t="str">
            <v>OS 1.1</v>
          </cell>
          <cell r="G22" t="str">
            <v>OO 1.1.5</v>
          </cell>
        </row>
        <row r="23">
          <cell r="A23" t="str">
            <v>M 1.22</v>
          </cell>
          <cell r="B23" t="str">
            <v>Assurer et développer le réseau de monitoring qualitatif et quantitatif en continu FlowBru</v>
          </cell>
          <cell r="C23" t="str">
            <v>SBGE</v>
          </cell>
          <cell r="D23" t="str">
            <v>A.MARESCAUX</v>
          </cell>
          <cell r="E23">
            <v>1</v>
          </cell>
          <cell r="F23" t="str">
            <v>OS 1.1</v>
          </cell>
          <cell r="G23" t="str">
            <v>OO 1.1.5</v>
          </cell>
        </row>
        <row r="24">
          <cell r="A24" t="str">
            <v>M 1.23</v>
          </cell>
          <cell r="B24" t="str">
            <v xml:space="preserve"> Développer un modèle de qualité physico-chimique de la Senne pour déterminer les objectifs réalisables à long terme pour cette masse d’eau</v>
          </cell>
          <cell r="C24" t="str">
            <v>L.DOHET
A.MARESCAUX</v>
          </cell>
          <cell r="D24" t="str">
            <v>A.MARESCAUX</v>
          </cell>
          <cell r="E24">
            <v>1</v>
          </cell>
          <cell r="F24" t="str">
            <v>OS 1.1</v>
          </cell>
          <cell r="G24" t="str">
            <v>OO 1.1.5</v>
          </cell>
        </row>
        <row r="25">
          <cell r="A25" t="str">
            <v>M 1.24</v>
          </cell>
          <cell r="B25" t="str">
            <v xml:space="preserve"> Sensibiliser les Bruxellois.e.s à l’assainissement des eaux usées.</v>
          </cell>
          <cell r="C25" t="str">
            <v>L.DOHET
A.MARESCAUX
P.PLACE</v>
          </cell>
          <cell r="D25" t="str">
            <v>A.MARESCAUX</v>
          </cell>
          <cell r="E25">
            <v>1</v>
          </cell>
          <cell r="F25" t="str">
            <v>OS 1.1</v>
          </cell>
          <cell r="G25" t="str">
            <v>OO 1.1.5</v>
          </cell>
        </row>
        <row r="26">
          <cell r="A26" t="str">
            <v>M 1.25</v>
          </cell>
          <cell r="B26" t="str">
            <v>Assurer la gestion des pollutions transfrontalières</v>
          </cell>
          <cell r="C26" t="str">
            <v>P.PLACE</v>
          </cell>
          <cell r="D26">
            <v>0</v>
          </cell>
          <cell r="E26">
            <v>1</v>
          </cell>
          <cell r="F26" t="str">
            <v>OS 1.1</v>
          </cell>
          <cell r="G26" t="str">
            <v>OO 1.1.5</v>
          </cell>
        </row>
        <row r="27">
          <cell r="A27" t="str">
            <v>M 1.26</v>
          </cell>
          <cell r="B27" t="str">
            <v xml:space="preserve"> Identifier les opportunités de connexion au réseau hydrographique des eaux claires actuellement perdues par temps sec dans le réseau d’égouttage et définir un débit minimum écologique et une hauteur d'eau minimale pour les masses d'eau</v>
          </cell>
          <cell r="C27" t="str">
            <v xml:space="preserve">B.HEUZE
M.ANTOINE 
</v>
          </cell>
          <cell r="D27" t="str">
            <v xml:space="preserve">B.HEUZE
M.ANTOINE 
</v>
          </cell>
          <cell r="E27">
            <v>1</v>
          </cell>
          <cell r="F27" t="str">
            <v>OS 1.2</v>
          </cell>
          <cell r="G27" t="str">
            <v>OO 1.2.1</v>
          </cell>
        </row>
        <row r="28">
          <cell r="A28" t="str">
            <v>M 2.1</v>
          </cell>
          <cell r="B28" t="str">
            <v>Améliorer l'état des connaissances des masses d'eau souterraine et poursuivre l’identification des pressions anthropiques</v>
          </cell>
          <cell r="C28" t="str">
            <v>A.LIETAR</v>
          </cell>
          <cell r="D28" t="str">
            <v>A.LIETAR</v>
          </cell>
          <cell r="E28">
            <v>2</v>
          </cell>
          <cell r="F28" t="str">
            <v>OS 2.1</v>
          </cell>
          <cell r="G28" t="str">
            <v>OO 2.1.1</v>
          </cell>
        </row>
        <row r="29">
          <cell r="A29" t="str">
            <v>M 2.2</v>
          </cell>
          <cell r="B29" t="str">
            <v xml:space="preserve">  Modifier la réglementation relative à la qualité des eaux souterraines</v>
          </cell>
          <cell r="C29" t="str">
            <v xml:space="preserve">M.BINON </v>
          </cell>
          <cell r="D29" t="str">
            <v>M.BINON</v>
          </cell>
          <cell r="E29">
            <v>2</v>
          </cell>
          <cell r="F29" t="str">
            <v>OS 2.1</v>
          </cell>
          <cell r="G29" t="str">
            <v>OO 2.1.1</v>
          </cell>
        </row>
        <row r="30">
          <cell r="A30" t="str">
            <v>M 2.3</v>
          </cell>
          <cell r="B30" t="str">
            <v xml:space="preserve">Rénover et étendre le réseau d'assainissement afin de réduire les concentrations en nitrates d’origine non agricole </v>
          </cell>
          <cell r="C30" t="str">
            <v>VIVAQUA</v>
          </cell>
          <cell r="D30" t="str">
            <v>A.LIETAR</v>
          </cell>
          <cell r="E30">
            <v>2</v>
          </cell>
          <cell r="F30" t="str">
            <v>OS 2.1</v>
          </cell>
          <cell r="G30" t="str">
            <v>OO 2.1.2</v>
          </cell>
        </row>
        <row r="31">
          <cell r="A31" t="str">
            <v>M 2.4</v>
          </cell>
          <cell r="B31" t="str">
            <v>Contraindre le raccordement au réseau d’égouttage existant ou à l'installation d'un système d'épuration  individuelle dans les zones non égouttées et renforcer le contrôle de ces obligations</v>
          </cell>
          <cell r="C31" t="str">
            <v>R.DESGAIN
INSPECTORAT</v>
          </cell>
          <cell r="D31" t="str">
            <v>A.LIETAR
M.BINON</v>
          </cell>
          <cell r="E31">
            <v>2</v>
          </cell>
          <cell r="F31" t="str">
            <v>OS 2.1</v>
          </cell>
          <cell r="G31" t="str">
            <v>OO 2.1.2</v>
          </cell>
        </row>
        <row r="32">
          <cell r="A32" t="str">
            <v>M 2.5</v>
          </cell>
          <cell r="B32" t="str">
            <v xml:space="preserve">Approfondir l’analyse de la problématique des nitrates d’origine agricole et assimilés, mettre en œuvre les mesures d’atténuation nécessaires et sensibiliser à une bonne pratique agricole et maraichère </v>
          </cell>
          <cell r="C32" t="str">
            <v>R.DESGAIN
INSPECTORAT</v>
          </cell>
          <cell r="D32" t="str">
            <v>A.LIETAR</v>
          </cell>
          <cell r="E32">
            <v>2</v>
          </cell>
          <cell r="F32" t="str">
            <v>OS 2.1</v>
          </cell>
          <cell r="G32" t="str">
            <v>OO 2.1.2</v>
          </cell>
        </row>
        <row r="33">
          <cell r="A33" t="str">
            <v>M 2.6</v>
          </cell>
          <cell r="B33" t="str">
            <v>Interdire les rejets directs, prévenir et limiter les rejets indirects  à l’égard du tétrachloroéthylène et renforcer les contrôles dans la masse d’eau des sables du Bruxellien</v>
          </cell>
          <cell r="C33" t="str">
            <v>R.DESGAIN
INSPECTORAT
sols?</v>
          </cell>
          <cell r="D33" t="str">
            <v>A.LIETAR</v>
          </cell>
          <cell r="E33">
            <v>2</v>
          </cell>
          <cell r="F33" t="str">
            <v>OS 2.1</v>
          </cell>
          <cell r="G33" t="str">
            <v>OO 2.1.3</v>
          </cell>
        </row>
        <row r="34">
          <cell r="A34" t="str">
            <v>M 2.7</v>
          </cell>
          <cell r="B34" t="str">
            <v xml:space="preserve">Interdire les rejets directs de polluants dans les masses d’eau souterraine notamment pour l'ammonium et renforcer les contrôles </v>
          </cell>
          <cell r="C34" t="str">
            <v>R.DESGAIN
INSPECTORAT</v>
          </cell>
          <cell r="D34" t="str">
            <v>A.LIETAR</v>
          </cell>
          <cell r="E34">
            <v>2</v>
          </cell>
          <cell r="F34" t="str">
            <v>OS 2.1</v>
          </cell>
          <cell r="G34" t="str">
            <v>OO 2.1.4</v>
          </cell>
        </row>
        <row r="35">
          <cell r="A35" t="str">
            <v>M 2.8</v>
          </cell>
          <cell r="B35" t="str">
            <v>Limiter l’impact des sols pollués sur les masses d’eau souterraine</v>
          </cell>
          <cell r="C35" t="str">
            <v>A.LIETAR 
S.El FADILI</v>
          </cell>
          <cell r="D35" t="str">
            <v>A.LIETAR</v>
          </cell>
          <cell r="E35">
            <v>2</v>
          </cell>
          <cell r="F35" t="str">
            <v>OS 2.1</v>
          </cell>
          <cell r="G35" t="str">
            <v>OO 2.1.4</v>
          </cell>
        </row>
        <row r="36">
          <cell r="A36" t="str">
            <v>M 2.9</v>
          </cell>
          <cell r="B36" t="str">
            <v xml:space="preserve"> Prévenir et gérer les pollutions accidentelles </v>
          </cell>
          <cell r="C36" t="str">
            <v>A.LIETAR</v>
          </cell>
          <cell r="D36" t="str">
            <v>A.LIETAR</v>
          </cell>
          <cell r="E36">
            <v>2</v>
          </cell>
          <cell r="F36" t="str">
            <v>OS 2.1</v>
          </cell>
          <cell r="G36" t="str">
            <v>OO 2.1.4</v>
          </cell>
        </row>
        <row r="37">
          <cell r="A37" t="str">
            <v>M 2.10</v>
          </cell>
          <cell r="B37" t="str">
            <v>Poursuivre et améliorer la surveillance quantitative pour caractériser l'état des masses d'eau</v>
          </cell>
          <cell r="C37" t="str">
            <v>A.LIETAR</v>
          </cell>
          <cell r="D37" t="str">
            <v>A.LIETAR</v>
          </cell>
          <cell r="E37">
            <v>2</v>
          </cell>
          <cell r="F37" t="str">
            <v>OS 2.2</v>
          </cell>
          <cell r="G37" t="str">
            <v>OO 2.2.1</v>
          </cell>
        </row>
        <row r="38">
          <cell r="A38" t="str">
            <v>M 2.11</v>
          </cell>
          <cell r="B38" t="str">
            <v>Modéliser la géologie et l'hydrogéologie du sous-sol bruxellois</v>
          </cell>
          <cell r="C38" t="str">
            <v xml:space="preserve">M.AGNIEL </v>
          </cell>
          <cell r="D38" t="str">
            <v>M.AGNIEL</v>
          </cell>
          <cell r="E38">
            <v>2</v>
          </cell>
          <cell r="F38" t="str">
            <v>OS 2.2</v>
          </cell>
          <cell r="G38" t="str">
            <v>OO 2.2.1</v>
          </cell>
        </row>
        <row r="39">
          <cell r="A39" t="str">
            <v>M 2.12</v>
          </cell>
          <cell r="B39" t="str">
            <v>Développer une stratégie de gestion des captages d’eau souterraine</v>
          </cell>
          <cell r="C39" t="str">
            <v xml:space="preserve">M.AGNIEL </v>
          </cell>
          <cell r="D39">
            <v>0</v>
          </cell>
          <cell r="E39">
            <v>2</v>
          </cell>
          <cell r="F39" t="str">
            <v>OS 2.2</v>
          </cell>
          <cell r="G39" t="str">
            <v>OO 2.2.1</v>
          </cell>
        </row>
        <row r="40">
          <cell r="A40" t="str">
            <v>M 2.13</v>
          </cell>
          <cell r="B40" t="str">
            <v>Gérer les autorisations de captages et en assurer les contrôles</v>
          </cell>
          <cell r="C40" t="str">
            <v xml:space="preserve">N.DOMANGE </v>
          </cell>
          <cell r="D40">
            <v>0</v>
          </cell>
          <cell r="E40">
            <v>2</v>
          </cell>
          <cell r="F40" t="str">
            <v>OS 2.2</v>
          </cell>
          <cell r="G40" t="str">
            <v>OO 2.2.1</v>
          </cell>
        </row>
        <row r="41">
          <cell r="A41" t="str">
            <v>M 2.14</v>
          </cell>
          <cell r="B41" t="str">
            <v>Veiller au drainage des nappes à l'occasion des travaux de rénovation du réseau d'assainissement public</v>
          </cell>
          <cell r="C41" t="str">
            <v>M.AGNIEL
VIVAQUA 
 SBGE</v>
          </cell>
          <cell r="D41" t="str">
            <v>M.AGNIEL</v>
          </cell>
          <cell r="E41">
            <v>2</v>
          </cell>
          <cell r="F41" t="str">
            <v>OS 2.2</v>
          </cell>
          <cell r="G41" t="str">
            <v>OO 2.2.2</v>
          </cell>
        </row>
        <row r="42">
          <cell r="A42" t="str">
            <v>M 2.15</v>
          </cell>
          <cell r="B42" t="str">
            <v>Minimiser l'impact des infrastructures souterraines sur l'écoulement des nappes phréatiques</v>
          </cell>
          <cell r="C42" t="str">
            <v>M.AGNIEL</v>
          </cell>
          <cell r="D42">
            <v>0</v>
          </cell>
          <cell r="E42">
            <v>2</v>
          </cell>
          <cell r="F42" t="str">
            <v>OS 2.2</v>
          </cell>
          <cell r="G42" t="str">
            <v>OO 2.2.2</v>
          </cell>
        </row>
        <row r="43">
          <cell r="A43" t="str">
            <v>M 3.1</v>
          </cell>
          <cell r="B43" t="str">
            <v>Assurer la surveillance qualitative et quantitative des zones de protection de captage et identifier leurs sources potentielles de pollution</v>
          </cell>
          <cell r="C43" t="str">
            <v>VIVAQUA
BE</v>
          </cell>
          <cell r="D43" t="str">
            <v>A.LIETAR</v>
          </cell>
          <cell r="E43">
            <v>3</v>
          </cell>
          <cell r="F43" t="str">
            <v>OS 3.1</v>
          </cell>
          <cell r="G43" t="str">
            <v>OO 3.1.1</v>
          </cell>
        </row>
        <row r="44">
          <cell r="A44" t="str">
            <v>M 3.2</v>
          </cell>
          <cell r="B44" t="str">
            <v xml:space="preserve">Elaborer et mettre en œuvre un programme spécifique de protection des captages </v>
          </cell>
          <cell r="C44" t="str">
            <v>VIVAQUA</v>
          </cell>
          <cell r="D44" t="str">
            <v>A.LIETAR</v>
          </cell>
          <cell r="E44">
            <v>3</v>
          </cell>
          <cell r="F44" t="str">
            <v>OS 3.1</v>
          </cell>
          <cell r="G44" t="str">
            <v>OO 3.1.1</v>
          </cell>
        </row>
        <row r="45">
          <cell r="A45" t="str">
            <v>M 3.3</v>
          </cell>
          <cell r="B45" t="str">
            <v>Identifier les sources et causes de pollution par les nitrates  dans la zone vulnérable aux nitrates d’origine agricole et prendre des mesures ciblées afin de les éliminer</v>
          </cell>
          <cell r="C45" t="str">
            <v>A.LIETAR</v>
          </cell>
          <cell r="D45" t="str">
            <v>A.LIETAR</v>
          </cell>
          <cell r="E45">
            <v>3</v>
          </cell>
          <cell r="F45" t="str">
            <v>OS 3.1</v>
          </cell>
          <cell r="G45" t="str">
            <v>OO 3.1.2</v>
          </cell>
        </row>
        <row r="46">
          <cell r="A46" t="str">
            <v>M 3.4</v>
          </cell>
          <cell r="B46" t="str">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ell>
          <cell r="C46" t="str">
            <v>A.LIETAR</v>
          </cell>
          <cell r="D46" t="str">
            <v>A.LIETAR</v>
          </cell>
          <cell r="E46">
            <v>3</v>
          </cell>
          <cell r="F46" t="str">
            <v>OS 3.1</v>
          </cell>
          <cell r="G46" t="str">
            <v>OO 3.1.3</v>
          </cell>
        </row>
        <row r="47">
          <cell r="A47" t="str">
            <v>M 3.5</v>
          </cell>
          <cell r="B47" t="str">
            <v>Assurer le traitement des eaux résiduaires urbaines conformément à la directive 91/271/CEE</v>
          </cell>
          <cell r="C47" t="str">
            <v>SBGE
COMMUNE</v>
          </cell>
          <cell r="D47" t="str">
            <v>M.BINON</v>
          </cell>
          <cell r="E47">
            <v>3</v>
          </cell>
          <cell r="F47" t="str">
            <v>OS 3.1</v>
          </cell>
          <cell r="G47" t="str">
            <v>OO 3.1.4</v>
          </cell>
        </row>
        <row r="48">
          <cell r="A48" t="str">
            <v>M 3.6</v>
          </cell>
          <cell r="B48" t="str">
            <v>Assurer la surveillance des zones aquatiques sensibles à une utilisation des pesticides,  en lien avec le programme régional de réduction des pesticides</v>
          </cell>
          <cell r="C48" t="str">
            <v xml:space="preserve">BE CANTONNIERS DE VIVAQUA </v>
          </cell>
          <cell r="D48" t="str">
            <v>M.BINON</v>
          </cell>
          <cell r="E48">
            <v>3</v>
          </cell>
          <cell r="F48" t="str">
            <v>OS 3.1</v>
          </cell>
          <cell r="G48" t="str">
            <v>OO 3.1.5</v>
          </cell>
        </row>
        <row r="49">
          <cell r="A49" t="str">
            <v>M 3.7</v>
          </cell>
          <cell r="B49" t="str">
            <v>Assurer le bon potentiel écologique des étangs régionaux afin de leur permettre d’atteindre leurs objectifs et d’exprimer pleinement et durablement leurs services écosystémiques</v>
          </cell>
          <cell r="C49" t="str">
            <v>R. BOCQUET</v>
          </cell>
          <cell r="D49">
            <v>0</v>
          </cell>
          <cell r="E49">
            <v>3</v>
          </cell>
          <cell r="F49" t="str">
            <v>OS 3.2</v>
          </cell>
          <cell r="G49" t="str">
            <v>-</v>
          </cell>
        </row>
        <row r="50">
          <cell r="A50" t="str">
            <v>M 4.1</v>
          </cell>
          <cell r="B50" t="str">
            <v>Evaluer le mode de facturation du coût du service d'assainissement auprès des entreprises</v>
          </cell>
          <cell r="C50" t="str">
            <v>P.FRAGAPANE</v>
          </cell>
          <cell r="D50">
            <v>0</v>
          </cell>
          <cell r="E50">
            <v>4</v>
          </cell>
          <cell r="F50" t="str">
            <v>OS 4.1</v>
          </cell>
          <cell r="G50" t="str">
            <v>-</v>
          </cell>
        </row>
        <row r="51">
          <cell r="A51" t="str">
            <v>M 4.2</v>
          </cell>
          <cell r="B51" t="str">
            <v>Calculer la redevance pour l’assainissement des eaux résiduaires urbaines sur base des volumes d'eau effectivement rejetés</v>
          </cell>
          <cell r="C51" t="str">
            <v>P.FRAGAPANE</v>
          </cell>
          <cell r="D51">
            <v>0</v>
          </cell>
          <cell r="E51">
            <v>4</v>
          </cell>
          <cell r="F51" t="str">
            <v>OS 4.1</v>
          </cell>
          <cell r="G51" t="str">
            <v>-</v>
          </cell>
        </row>
        <row r="52">
          <cell r="A52" t="str">
            <v>M 4.3</v>
          </cell>
          <cell r="B52" t="str">
            <v>Evaluer les coûts environnementaux et pour la ressource des services liés à l’utilisation de l'eau et étudier l'opportunité de les intégrer dans le prix de l’eau</v>
          </cell>
          <cell r="C52" t="str">
            <v>P.FRAGAPANE</v>
          </cell>
          <cell r="D52">
            <v>0</v>
          </cell>
          <cell r="E52">
            <v>4</v>
          </cell>
          <cell r="F52" t="str">
            <v>OS 4.1</v>
          </cell>
          <cell r="G52" t="str">
            <v>-</v>
          </cell>
        </row>
        <row r="53">
          <cell r="A53" t="str">
            <v>M 4.4</v>
          </cell>
          <cell r="B53" t="str">
            <v xml:space="preserve">S’assurer du respect du principe de récupération des coûts liés aux services de l'eau tout en maintenant des tarifs socialement abordables </v>
          </cell>
          <cell r="C53" t="str">
            <v>P.FRAGAPANE</v>
          </cell>
          <cell r="D53">
            <v>0</v>
          </cell>
          <cell r="E53">
            <v>4</v>
          </cell>
          <cell r="F53" t="str">
            <v>OS 4.2</v>
          </cell>
          <cell r="G53" t="str">
            <v>-</v>
          </cell>
        </row>
        <row r="54">
          <cell r="A54" t="str">
            <v>M 4.5</v>
          </cell>
          <cell r="B54" t="str">
            <v>Evaluer la mise en place des mesures sociales visant à lutter contre la précarité hydrique</v>
          </cell>
          <cell r="C54" t="str">
            <v>P.FRAGAPANE</v>
          </cell>
          <cell r="D54">
            <v>0</v>
          </cell>
          <cell r="E54">
            <v>4</v>
          </cell>
          <cell r="F54" t="str">
            <v>OS 4.2</v>
          </cell>
          <cell r="G54" t="str">
            <v>-</v>
          </cell>
        </row>
        <row r="55">
          <cell r="A55" t="str">
            <v>M 4.6</v>
          </cell>
          <cell r="B55" t="str">
            <v>Evaluer et adapter le mécanisme d'utilisation du Fonds Social Eau</v>
          </cell>
          <cell r="C55" t="str">
            <v>P.FRAGAPANE</v>
          </cell>
          <cell r="D55">
            <v>0</v>
          </cell>
          <cell r="E55">
            <v>4</v>
          </cell>
          <cell r="F55" t="str">
            <v>OS 4.2</v>
          </cell>
          <cell r="G55" t="str">
            <v>-</v>
          </cell>
        </row>
        <row r="56">
          <cell r="A56" t="str">
            <v>M 4.7</v>
          </cell>
          <cell r="B56" t="str">
            <v>Mettre en place et assurer le suivi de mesures préventives permettant de lutter contre la précarité hydrique</v>
          </cell>
          <cell r="C56" t="str">
            <v>P.FRAGAPANE</v>
          </cell>
          <cell r="D56">
            <v>0</v>
          </cell>
          <cell r="E56">
            <v>4</v>
          </cell>
          <cell r="F56" t="str">
            <v>OS 4.2</v>
          </cell>
          <cell r="G56" t="str">
            <v>-</v>
          </cell>
        </row>
        <row r="57">
          <cell r="A57" t="str">
            <v>M 4.8</v>
          </cell>
          <cell r="B57" t="str">
            <v xml:space="preserve">Garantir un accès à l’eau potable et à des services sanitaires pour tous dans l’espace et les bâtiments publics </v>
          </cell>
          <cell r="C57" t="str">
            <v>P.FRAGAPANE</v>
          </cell>
          <cell r="D57">
            <v>0</v>
          </cell>
          <cell r="E57">
            <v>4</v>
          </cell>
          <cell r="F57" t="str">
            <v>OS 4.2</v>
          </cell>
          <cell r="G57" t="str">
            <v>-</v>
          </cell>
        </row>
        <row r="58">
          <cell r="A58" t="str">
            <v>M 5.1</v>
          </cell>
          <cell r="B58" t="str">
            <v>Intégrer la GiEP dans les outils de l’aménagement du territoire</v>
          </cell>
          <cell r="C58" t="str">
            <v> F.MAYER/E.LAVENDER</v>
          </cell>
          <cell r="D58" t="str">
            <v>F.MAYER</v>
          </cell>
          <cell r="E58">
            <v>5</v>
          </cell>
          <cell r="F58" t="str">
            <v>OS 5.1</v>
          </cell>
          <cell r="G58" t="str">
            <v>OO 5.1.1</v>
          </cell>
        </row>
        <row r="59">
          <cell r="A59" t="str">
            <v>M 5.2</v>
          </cell>
          <cell r="B59" t="str">
            <v>Identifier les sources de financement pour réaliser et entretenir les dispositifs de gestion intégrer des eaux pluviales</v>
          </cell>
          <cell r="C59" t="str">
            <v> P.FRAGAPANE</v>
          </cell>
          <cell r="D59">
            <v>0</v>
          </cell>
          <cell r="E59">
            <v>5</v>
          </cell>
          <cell r="F59" t="str">
            <v>OS 5.1</v>
          </cell>
          <cell r="G59" t="str">
            <v>OO 5.1.1</v>
          </cell>
        </row>
        <row r="60">
          <cell r="A60" t="str">
            <v>M 5.3</v>
          </cell>
          <cell r="B60" t="str">
            <v>Accompagner les acteurs dans le développement des compétences</v>
          </cell>
          <cell r="C60" t="str">
            <v> AC.DEWEZ</v>
          </cell>
          <cell r="D60">
            <v>0</v>
          </cell>
          <cell r="E60">
            <v>5</v>
          </cell>
          <cell r="F60" t="str">
            <v>OS 5.1</v>
          </cell>
          <cell r="G60" t="str">
            <v>OO 5.1.1</v>
          </cell>
        </row>
        <row r="61">
          <cell r="A61" t="str">
            <v>M 5.4</v>
          </cell>
          <cell r="B61" t="str">
            <v>Mettre en œuvre la GiEP dans l'espace public et privé, ainsi que les autres mesures de résilience climatique liées à la gestion de l’eau</v>
          </cell>
          <cell r="C61" t="str">
            <v> AC.DEWEZ</v>
          </cell>
          <cell r="D61">
            <v>0</v>
          </cell>
          <cell r="E61">
            <v>5</v>
          </cell>
          <cell r="F61" t="str">
            <v>OS 5.1</v>
          </cell>
          <cell r="G61" t="str">
            <v>OO 5.1.2</v>
          </cell>
        </row>
        <row r="62">
          <cell r="A62" t="str">
            <v>M 5.5</v>
          </cell>
          <cell r="B62" t="str">
            <v>Inventorier et mettre en place un système de contrôle  des performances des aménagements GiEP</v>
          </cell>
          <cell r="C62" t="str">
            <v>E.LAVENDER</v>
          </cell>
          <cell r="D62">
            <v>0</v>
          </cell>
          <cell r="E62">
            <v>5</v>
          </cell>
          <cell r="F62" t="str">
            <v>OS 5.1</v>
          </cell>
          <cell r="G62" t="str">
            <v>OO 5.1.2</v>
          </cell>
        </row>
        <row r="63">
          <cell r="A63" t="str">
            <v>M 5.6</v>
          </cell>
          <cell r="B63" t="str">
            <v>Mener des projets pilotes ouvrant la voie à l’innovation et des études  permettant d'objectiver l'impact des mesures liées aux changements climatiques</v>
          </cell>
          <cell r="C63" t="str">
            <v xml:space="preserve">F. MAYER
</v>
          </cell>
          <cell r="D63">
            <v>0</v>
          </cell>
          <cell r="E63">
            <v>5</v>
          </cell>
          <cell r="F63" t="str">
            <v>OS 5.1</v>
          </cell>
          <cell r="G63" t="str">
            <v>OO 5.1.2</v>
          </cell>
        </row>
        <row r="64">
          <cell r="A64" t="str">
            <v>M 5.7</v>
          </cell>
          <cell r="B64" t="str">
            <v>Assurer la temporisation des eaux pluviales ainsi que leur valorisation optimale en cas de contraintes menant à leurs rejets hors de la parcelle</v>
          </cell>
          <cell r="C64" t="str">
            <v xml:space="preserve"> AC.DEWEZ </v>
          </cell>
          <cell r="D64">
            <v>0</v>
          </cell>
          <cell r="E64">
            <v>5</v>
          </cell>
          <cell r="F64" t="str">
            <v>OS 5.2</v>
          </cell>
          <cell r="G64" t="str">
            <v>OO 5.2.1</v>
          </cell>
        </row>
        <row r="65">
          <cell r="A65" t="str">
            <v>M 5.8</v>
          </cell>
          <cell r="B65" t="str">
            <v>Délester la Senne  en cas de crue pour protéger le centre-ville</v>
          </cell>
          <cell r="C65" t="str">
            <v>PORT DE BXLS</v>
          </cell>
          <cell r="D65" t="str">
            <v>M.ANTOINE</v>
          </cell>
          <cell r="E65">
            <v>5</v>
          </cell>
          <cell r="F65" t="str">
            <v>OS 5.2</v>
          </cell>
          <cell r="G65" t="str">
            <v>OO 5.2.2</v>
          </cell>
        </row>
        <row r="66">
          <cell r="A66" t="str">
            <v>M 5.9</v>
          </cell>
          <cell r="B66" t="str">
            <v>Aménager le réseau hydrographique  (eaux de surface, étangs et zones humides) afin d'améliorer sa capacité de tamponnage des crues et son rôle d’exutoire d’eaux claires.</v>
          </cell>
          <cell r="C66" t="str">
            <v>M.ANTOINE
AC.DEWEZ</v>
          </cell>
          <cell r="D66">
            <v>0</v>
          </cell>
          <cell r="E66">
            <v>5</v>
          </cell>
          <cell r="F66" t="str">
            <v>OS 5.2</v>
          </cell>
          <cell r="G66" t="str">
            <v>OO 5.2.2</v>
          </cell>
        </row>
        <row r="67">
          <cell r="A67" t="str">
            <v>M 5.10</v>
          </cell>
          <cell r="B67" t="str">
            <v xml:space="preserve">Poursuivre le programme d’entretien du réseau d'assainissement </v>
          </cell>
          <cell r="C67" t="str">
            <v>VIVAQUA
SBGE</v>
          </cell>
          <cell r="D67" t="str">
            <v>P.FRAGAPANE</v>
          </cell>
          <cell r="E67">
            <v>5</v>
          </cell>
          <cell r="F67" t="str">
            <v>OS 5.2</v>
          </cell>
          <cell r="G67" t="str">
            <v>OO 5.2.3</v>
          </cell>
        </row>
        <row r="68">
          <cell r="A68" t="str">
            <v>M 5.11</v>
          </cell>
          <cell r="B68" t="str">
            <v>Poursuivre le programme pluriannuel d’installation de bassins d’orage tenant compte des développements urbanistiques futurs, dont les aménagements mis en œuvre dans le cadre de la GiEP</v>
          </cell>
          <cell r="C68" t="str">
            <v>SBGE
VIVAQUA</v>
          </cell>
          <cell r="D68" t="str">
            <v>M.BINON</v>
          </cell>
          <cell r="E68">
            <v>5</v>
          </cell>
          <cell r="F68" t="str">
            <v>OS 5.2</v>
          </cell>
          <cell r="G68" t="str">
            <v>OO 5.2.3</v>
          </cell>
        </row>
        <row r="69">
          <cell r="A69" t="str">
            <v>M 5.12</v>
          </cell>
          <cell r="B69" t="str">
            <v>Etablir une carte des zones inondables répondant aux critères de l'arrêté royal du 12 octobre 2005</v>
          </cell>
          <cell r="C69" t="str">
            <v>M.BINON</v>
          </cell>
          <cell r="D69">
            <v>0</v>
          </cell>
          <cell r="E69">
            <v>5</v>
          </cell>
          <cell r="F69" t="str">
            <v>OS 5.3</v>
          </cell>
          <cell r="G69" t="str">
            <v>OO 5.3.1</v>
          </cell>
        </row>
        <row r="70">
          <cell r="A70" t="str">
            <v>M 5.13</v>
          </cell>
          <cell r="B70" t="str">
            <v xml:space="preserve">Prendre les mesures de protection à l’égard de certaines infrastructures ou installations sensibles et/ou à risque localisées en zone d'aléa fort (ex: cabine à haute tension, stockage de substances dangereuses...)   </v>
          </cell>
          <cell r="C70" t="str">
            <v>M.ANTOINE</v>
          </cell>
          <cell r="D70">
            <v>0</v>
          </cell>
          <cell r="E70">
            <v>5</v>
          </cell>
          <cell r="F70" t="str">
            <v>OS 5.3</v>
          </cell>
          <cell r="G70" t="str">
            <v>OO 5.3.1</v>
          </cell>
        </row>
        <row r="71">
          <cell r="A71" t="str">
            <v>M 5.14</v>
          </cell>
          <cell r="B71" t="str">
            <v>Adapter le bâti situé en zone inondable</v>
          </cell>
          <cell r="C71" t="str">
            <v>AC.DEWEZ
M.BINON</v>
          </cell>
          <cell r="D71">
            <v>0</v>
          </cell>
          <cell r="E71">
            <v>5</v>
          </cell>
          <cell r="F71" t="str">
            <v>OS 5.3</v>
          </cell>
          <cell r="G71" t="str">
            <v>OO 5.3.1</v>
          </cell>
        </row>
        <row r="72">
          <cell r="A72" t="str">
            <v>M 5.15</v>
          </cell>
          <cell r="B72" t="str">
            <v>Mettre en place un système de prévision des pics de consommation d’eau potable</v>
          </cell>
          <cell r="C72" t="str">
            <v>VIVAQUA</v>
          </cell>
          <cell r="D72" t="str">
            <v>M.BINON</v>
          </cell>
          <cell r="E72">
            <v>5</v>
          </cell>
          <cell r="F72" t="str">
            <v>OS 5.4</v>
          </cell>
          <cell r="G72" t="str">
            <v>OO 5.4.1</v>
          </cell>
        </row>
        <row r="73">
          <cell r="A73" t="str">
            <v>M 5.16</v>
          </cell>
          <cell r="B73" t="str">
            <v xml:space="preserve"> Adapter la gestion des captages et rabattement en cas de sécheresse</v>
          </cell>
          <cell r="C73" t="str">
            <v>R.DESGAIN</v>
          </cell>
          <cell r="D73" t="str">
            <v>M. ANTOINE</v>
          </cell>
          <cell r="E73">
            <v>5</v>
          </cell>
          <cell r="F73" t="str">
            <v>OS 5.4</v>
          </cell>
          <cell r="G73" t="str">
            <v>OO 5.4.2</v>
          </cell>
        </row>
        <row r="74">
          <cell r="A74" t="str">
            <v>M 5.17</v>
          </cell>
          <cell r="B74" t="str">
            <v xml:space="preserve">Renforcer la surveillance des masses d'eau et prendre des mesures de prévention et de sauvegarde en cas de sécheresse dans les zones stratégiques </v>
          </cell>
          <cell r="C74" t="str">
            <v>A.LIETAR 
JC Prignon E Debacker
 VIVAQUA</v>
          </cell>
          <cell r="D74" t="str">
            <v>M.ANTOINE</v>
          </cell>
          <cell r="E74">
            <v>5</v>
          </cell>
          <cell r="F74" t="str">
            <v>OS 5.4</v>
          </cell>
          <cell r="G74" t="str">
            <v>OO 5.4.1</v>
          </cell>
        </row>
        <row r="75">
          <cell r="A75" t="str">
            <v>M 5.18</v>
          </cell>
          <cell r="B75" t="str">
            <v xml:space="preserve">Déterminer et assurer les niveaux d’eau minimaux de sécurité pour la navigation sur le Canal et les infrastructures portuaires  </v>
          </cell>
          <cell r="C75" t="str">
            <v>PORT DE BXLS</v>
          </cell>
          <cell r="D75">
            <v>0</v>
          </cell>
          <cell r="E75">
            <v>5</v>
          </cell>
          <cell r="F75" t="str">
            <v>OS 5.4</v>
          </cell>
          <cell r="G75" t="str">
            <v>OO 5.4.2</v>
          </cell>
        </row>
        <row r="76">
          <cell r="A76" t="str">
            <v>M 5.19</v>
          </cell>
          <cell r="B76" t="str">
            <v>Tenir compte de l’évolution des prélèvements et restitutions d’eau dans le Canal pour répondre au besoin sans compromettre la navigation et la qualité de la masse d’eau</v>
          </cell>
          <cell r="C76" t="str">
            <v>PORT DE BXLS (+ question commune Permis sur l'incinérateur?)</v>
          </cell>
          <cell r="D76">
            <v>0</v>
          </cell>
          <cell r="E76">
            <v>5</v>
          </cell>
          <cell r="F76" t="str">
            <v>OS 5.4</v>
          </cell>
          <cell r="G76" t="str">
            <v>OO 5.4.2</v>
          </cell>
        </row>
        <row r="77">
          <cell r="A77" t="str">
            <v>M 5.20</v>
          </cell>
          <cell r="B77" t="str">
            <v>Adopter les mesures de prévention contre les crises écologiques (dont les algues bleues et chutes d’oxygène dissous dans l’eau) de manière coordonnée entre gestionnaires</v>
          </cell>
          <cell r="C77" t="str">
            <v>PORT DE BXLS</v>
          </cell>
          <cell r="D77" t="str">
            <v>R.BOCQUET</v>
          </cell>
          <cell r="E77">
            <v>5</v>
          </cell>
          <cell r="F77" t="str">
            <v>OS 5.4</v>
          </cell>
          <cell r="G77" t="str">
            <v>OO 5.4.2</v>
          </cell>
        </row>
        <row r="78">
          <cell r="A78" t="str">
            <v>M 5.21</v>
          </cell>
          <cell r="B78" t="str">
            <v xml:space="preserve">Mettre en place une gestion raisonnée de l’eau dans les espaces verts régionaux et communaux </v>
          </cell>
          <cell r="C78" t="str">
            <v>DEV</v>
          </cell>
          <cell r="D78" t="str">
            <v>E.LAVENDER</v>
          </cell>
          <cell r="E78">
            <v>5</v>
          </cell>
          <cell r="F78" t="str">
            <v>OS 5.4</v>
          </cell>
          <cell r="G78" t="str">
            <v>OO 5.4.2</v>
          </cell>
        </row>
        <row r="79">
          <cell r="A79" t="str">
            <v>M 5.22</v>
          </cell>
          <cell r="B79" t="str">
            <v>Garantir une utilisation rationnelle de l’eau dans l’agriculture urbaine, optimiser l’arrosage et privilégier des sources d’approvisionnement en eau alternatives à l’eau potable</v>
          </cell>
          <cell r="C79" t="str">
            <v xml:space="preserve">F. MAYER
F. PIEMAN
DEV
</v>
          </cell>
          <cell r="D79" t="str">
            <v>F.MAYER</v>
          </cell>
          <cell r="E79">
            <v>5</v>
          </cell>
          <cell r="F79" t="str">
            <v>OS 5.4</v>
          </cell>
          <cell r="G79" t="str">
            <v>OO 5.4.2</v>
          </cell>
        </row>
        <row r="80">
          <cell r="A80" t="str">
            <v>M 5.23</v>
          </cell>
          <cell r="B80" t="str">
            <v>Instaurer une cellule « sécheresse » dans le cadre de la plateforme de coordination des opérateurs et acteurs de l’eau afin de coordonner l’action et la communication de la Région en cas de (risque de) crise</v>
          </cell>
          <cell r="C80" t="str">
            <v>M.BINON
M.ANTOINE</v>
          </cell>
          <cell r="D80">
            <v>0</v>
          </cell>
          <cell r="E80">
            <v>5</v>
          </cell>
          <cell r="F80" t="str">
            <v>OS 5.5</v>
          </cell>
          <cell r="G80" t="str">
            <v>-</v>
          </cell>
        </row>
        <row r="81">
          <cell r="A81" t="str">
            <v>M 5.24</v>
          </cell>
          <cell r="B81" t="str">
            <v xml:space="preserve">Réaliser et exploiter un système de prédiction et d'alerte en matière d’inondation et de sécheresse  </v>
          </cell>
          <cell r="C81" t="str">
            <v xml:space="preserve">
BE
SBGE
VIVAQUA</v>
          </cell>
          <cell r="D81" t="str">
            <v>M.ANTOINE</v>
          </cell>
          <cell r="E81">
            <v>5</v>
          </cell>
          <cell r="F81" t="str">
            <v>OS 5.5</v>
          </cell>
          <cell r="G81" t="str">
            <v>-</v>
          </cell>
        </row>
        <row r="82">
          <cell r="A82" t="str">
            <v>M 5.25</v>
          </cell>
          <cell r="B82" t="str">
            <v>Etablir et mettre en place un Plan d'Intervention d'Urgence Particulier propre aux  thématiques « inondation » et « sécheresse »</v>
          </cell>
          <cell r="C82" t="str">
            <v>BPS</v>
          </cell>
          <cell r="D82" t="str">
            <v>M.BINON</v>
          </cell>
          <cell r="E82">
            <v>5</v>
          </cell>
          <cell r="F82" t="str">
            <v>OS 5.5</v>
          </cell>
          <cell r="G82" t="str">
            <v>-</v>
          </cell>
        </row>
        <row r="83">
          <cell r="A83" t="str">
            <v>M 5.26</v>
          </cell>
          <cell r="B83" t="str">
            <v xml:space="preserve">Modéliser hydrauliquement les axes d’écoulements principaux (cours d’eau, grands collecteurs et leurs bassins d’orage) et leurs interactions pour affiner l’établissement des zones inondables et servir à la gestion dynamique.  </v>
          </cell>
          <cell r="C83" t="str">
            <v xml:space="preserve">
BE
SBGE
VIVAQUA</v>
          </cell>
          <cell r="D83" t="str">
            <v>M.ANTOINE</v>
          </cell>
          <cell r="E83">
            <v>5</v>
          </cell>
          <cell r="F83" t="str">
            <v>OS 5.6</v>
          </cell>
          <cell r="G83" t="str">
            <v>OO 5.6.2</v>
          </cell>
        </row>
        <row r="84">
          <cell r="A84" t="str">
            <v>M 5.27</v>
          </cell>
          <cell r="B84" t="str">
            <v>Poursuivre les recherches sur la disponibilité et l’exploitation possible d’aquifères plus profonds, d’eaux de carrière ou d’autres zones exploitables comme sources d’approvisionnement d’eau potable</v>
          </cell>
          <cell r="C84" t="str">
            <v>VIVAQUA</v>
          </cell>
          <cell r="D84" t="str">
            <v>M.BINON</v>
          </cell>
          <cell r="E84">
            <v>5</v>
          </cell>
          <cell r="F84" t="str">
            <v>OS 5.6</v>
          </cell>
          <cell r="G84" t="str">
            <v>OO 5.6.2</v>
          </cell>
        </row>
        <row r="85">
          <cell r="A85" t="str">
            <v>M 5.28</v>
          </cell>
          <cell r="B85" t="str">
            <v xml:space="preserve">Analyser les possibilités de stockage dans les aquifères profonds lors de la période de recharge des nappes afin d’augmenter la disponibilité en eau brute </v>
          </cell>
          <cell r="C85" t="str">
            <v>VIVAQUA</v>
          </cell>
          <cell r="D85" t="str">
            <v>M.BINON</v>
          </cell>
          <cell r="E85">
            <v>5</v>
          </cell>
          <cell r="F85" t="str">
            <v>OS 5.6</v>
          </cell>
          <cell r="G85" t="str">
            <v>OO 5.6.2</v>
          </cell>
        </row>
        <row r="86">
          <cell r="A86" t="str">
            <v>M 5.29</v>
          </cell>
          <cell r="B86" t="str">
            <v>Mener une politique de communication portant sur le changement climatique et les sujets impactés en lien avec la thématique de l’eau</v>
          </cell>
          <cell r="C86" t="str">
            <v xml:space="preserve">AC.DEWEZ
</v>
          </cell>
          <cell r="D86">
            <v>0</v>
          </cell>
          <cell r="E86">
            <v>5</v>
          </cell>
          <cell r="F86" t="str">
            <v>OS 5.6</v>
          </cell>
          <cell r="G86" t="str">
            <v>OO 5.6.1</v>
          </cell>
        </row>
        <row r="87">
          <cell r="A87" t="str">
            <v>M 5.30</v>
          </cell>
          <cell r="B87" t="str">
            <v xml:space="preserve">Mener une politique de recherche et développement portant sur les différents sujets destinés à améliorer la résilience de la RBC face au changement climatique </v>
          </cell>
          <cell r="C87" t="str">
            <v>M. ANTOINE</v>
          </cell>
          <cell r="D87">
            <v>0</v>
          </cell>
          <cell r="E87">
            <v>5</v>
          </cell>
          <cell r="F87" t="str">
            <v>OS 5.6</v>
          </cell>
          <cell r="G87" t="str">
            <v>OO 5.6.2</v>
          </cell>
        </row>
        <row r="88">
          <cell r="A88" t="str">
            <v>M 6.1</v>
          </cell>
          <cell r="B88" t="str">
            <v>Elaborer un plan de gestion des cours d’eau par sous-bassin versant</v>
          </cell>
          <cell r="C88" t="str">
            <v>M.OHSE</v>
          </cell>
          <cell r="D88">
            <v>0</v>
          </cell>
          <cell r="E88">
            <v>6</v>
          </cell>
          <cell r="F88" t="str">
            <v>OS 6.1</v>
          </cell>
          <cell r="G88" t="str">
            <v>OO 6.1.1</v>
          </cell>
        </row>
        <row r="89">
          <cell r="A89" t="str">
            <v>M 6.2</v>
          </cell>
          <cell r="B89" t="str">
            <v xml:space="preserve">Etablir un plan de gestion spécifique pour les étangs régionaux </v>
          </cell>
          <cell r="C89" t="str">
            <v>R.BOCQUET</v>
          </cell>
          <cell r="D89">
            <v>0</v>
          </cell>
          <cell r="E89">
            <v>6</v>
          </cell>
          <cell r="F89" t="str">
            <v>OS 6.1</v>
          </cell>
          <cell r="G89" t="str">
            <v>OO 6.1.1</v>
          </cell>
        </row>
        <row r="90">
          <cell r="A90" t="str">
            <v>M 6.3</v>
          </cell>
          <cell r="B90" t="str">
            <v xml:space="preserve">Réaliser les travaux de gestion ordinaire des cours d’eau non navigables et des étangs </v>
          </cell>
          <cell r="C90" t="str">
            <v>M.OHSE</v>
          </cell>
          <cell r="D90">
            <v>0</v>
          </cell>
          <cell r="E90">
            <v>6</v>
          </cell>
          <cell r="F90" t="str">
            <v>OS 6.1</v>
          </cell>
          <cell r="G90" t="str">
            <v>OO 6.1.1</v>
          </cell>
        </row>
        <row r="91">
          <cell r="A91" t="str">
            <v>M 6.4</v>
          </cell>
          <cell r="B91" t="str">
            <v>Inventorier et cartographier les sources dans un souci de préservation du patrimoine naturel et d’éventuelles reconnexions au réseau hydrographique</v>
          </cell>
          <cell r="C91" t="str">
            <v>M. AGNEL</v>
          </cell>
          <cell r="D91">
            <v>0</v>
          </cell>
          <cell r="E91">
            <v>6</v>
          </cell>
          <cell r="F91" t="str">
            <v>OS 6.1</v>
          </cell>
          <cell r="G91" t="str">
            <v>OO 6.1.1</v>
          </cell>
        </row>
        <row r="92">
          <cell r="A92" t="str">
            <v>M 6.5</v>
          </cell>
          <cell r="B92" t="str">
            <v>Assurer le contrôle de la législation en vigueur en matière de protection du réseau hydrographique</v>
          </cell>
          <cell r="C92" t="str">
            <v>M.BINON</v>
          </cell>
          <cell r="D92">
            <v>0</v>
          </cell>
          <cell r="E92">
            <v>6</v>
          </cell>
          <cell r="F92" t="str">
            <v>OS 6.1</v>
          </cell>
          <cell r="G92" t="str">
            <v>OO 6.1.1</v>
          </cell>
        </row>
        <row r="93">
          <cell r="A93" t="str">
            <v>M 6.6</v>
          </cell>
          <cell r="B93" t="str">
            <v xml:space="preserve">Développer des promenades en lien avec le patrimoine naturel et culturel lié à l’eau </v>
          </cell>
          <cell r="C93" t="str">
            <v>BTH</v>
          </cell>
          <cell r="D93">
            <v>0</v>
          </cell>
          <cell r="E93">
            <v>6</v>
          </cell>
          <cell r="F93" t="str">
            <v>OS 6.1</v>
          </cell>
          <cell r="G93" t="str">
            <v>OO 6.1.2</v>
          </cell>
        </row>
        <row r="94">
          <cell r="A94" t="str">
            <v>M 6.7</v>
          </cell>
          <cell r="B94" t="str">
            <v>Encadrer la pratique de la baignade dans un étang régional</v>
          </cell>
          <cell r="C94" t="str">
            <v>M.OHSE
M.BINON</v>
          </cell>
          <cell r="D94">
            <v>0</v>
          </cell>
          <cell r="E94">
            <v>6</v>
          </cell>
          <cell r="F94" t="str">
            <v>OS 6.1</v>
          </cell>
          <cell r="G94" t="str">
            <v>OO 6.1.2</v>
          </cell>
        </row>
        <row r="95">
          <cell r="A95" t="str">
            <v>M 6.8</v>
          </cell>
          <cell r="B95" t="str">
            <v>Réglementer et contrôler la pratique de la pêche en Région de Bruxelles-Capitale</v>
          </cell>
          <cell r="C95" t="str">
            <v>RBO
M.BINON</v>
          </cell>
          <cell r="D95">
            <v>0</v>
          </cell>
          <cell r="E95">
            <v>6</v>
          </cell>
          <cell r="F95" t="str">
            <v>OS 6.1</v>
          </cell>
          <cell r="G95" t="str">
            <v>OO 6.1.2</v>
          </cell>
        </row>
        <row r="96">
          <cell r="A96" t="str">
            <v>M 6.9</v>
          </cell>
          <cell r="B96" t="str">
            <v>Mettre en place et entretenir des jeux d’eau dans les plaines de jeu régionales et communales</v>
          </cell>
          <cell r="C96" t="str">
            <v>Contact à prendre avec DEV - service maillage jeux
A. THIENPONT</v>
          </cell>
          <cell r="D96">
            <v>0</v>
          </cell>
          <cell r="E96">
            <v>6</v>
          </cell>
          <cell r="F96" t="str">
            <v>OS 6.1</v>
          </cell>
          <cell r="G96" t="str">
            <v>OO 6.1.2</v>
          </cell>
        </row>
        <row r="97">
          <cell r="A97" t="str">
            <v>M 6.10</v>
          </cell>
          <cell r="B97" t="str">
            <v xml:space="preserve">Poursuivre et étendre l'ensemble des actions lancées par le Port de Bruxelles, par les contrats de quartier et autres acteurs publics dans la zone du Canal </v>
          </cell>
          <cell r="C97" t="str">
            <v>PORT DE BXLS
PERSPECTIVE</v>
          </cell>
          <cell r="D97">
            <v>0</v>
          </cell>
          <cell r="E97">
            <v>6</v>
          </cell>
          <cell r="F97" t="str">
            <v>OS 6.1</v>
          </cell>
          <cell r="G97" t="str">
            <v>OO 6.1.3</v>
          </cell>
        </row>
        <row r="98">
          <cell r="A98" t="str">
            <v>M 6.11</v>
          </cell>
          <cell r="B98" t="str">
            <v>Encadrer les activités nautiques et récréatives sur et aux abords du Canal</v>
          </cell>
          <cell r="C98" t="str">
            <v>PORT DE BXLS</v>
          </cell>
          <cell r="D98">
            <v>0</v>
          </cell>
          <cell r="E98">
            <v>6</v>
          </cell>
          <cell r="F98" t="str">
            <v>OS 6.1</v>
          </cell>
          <cell r="G98" t="str">
            <v>OO 6.1.3</v>
          </cell>
        </row>
        <row r="99">
          <cell r="A99" t="str">
            <v>M 6.12</v>
          </cell>
          <cell r="B99" t="str">
            <v>Actualiser l’Atlas des cours d’eau non navigables et en assurer la diffusion</v>
          </cell>
          <cell r="C99" t="str">
            <v>E.BEKE</v>
          </cell>
          <cell r="D99">
            <v>0</v>
          </cell>
          <cell r="E99">
            <v>6</v>
          </cell>
          <cell r="F99" t="str">
            <v>OS 6.2</v>
          </cell>
          <cell r="G99" t="str">
            <v>-</v>
          </cell>
        </row>
        <row r="100">
          <cell r="A100" t="str">
            <v>M 7.1</v>
          </cell>
          <cell r="B100" t="str">
            <v xml:space="preserve">Assurer l’entretien du réseau et optimiser son fonctionnement afin de  de lutter contre les fuites du réseau de distribution d'eau potable </v>
          </cell>
          <cell r="C100" t="str">
            <v>VIVAQUA</v>
          </cell>
          <cell r="D100" t="str">
            <v>M.BINON</v>
          </cell>
          <cell r="E100">
            <v>7</v>
          </cell>
          <cell r="F100" t="str">
            <v>OS 7.1</v>
          </cell>
          <cell r="G100" t="str">
            <v>OO  7.1.1</v>
          </cell>
        </row>
        <row r="101">
          <cell r="A101" t="str">
            <v>M 7.2</v>
          </cell>
          <cell r="B101" t="str">
            <v>Promouvoir la consommation d'eau de distribution pour les besoins en eau potable</v>
          </cell>
          <cell r="C101" t="str">
            <v>E.LAVENDER</v>
          </cell>
          <cell r="D101">
            <v>0</v>
          </cell>
          <cell r="E101">
            <v>7</v>
          </cell>
          <cell r="F101" t="str">
            <v>OS 7.1</v>
          </cell>
          <cell r="G101" t="str">
            <v>OO  7.1.2</v>
          </cell>
        </row>
        <row r="102">
          <cell r="A102" t="str">
            <v>M 7.3</v>
          </cell>
          <cell r="B102" t="str">
            <v>Promouvoir, auprès des ménages, les comportements et équipements économes en eau ainsi que le recours à un approvisionnement en eau alternatif</v>
          </cell>
          <cell r="C102" t="str">
            <v>P.PLACE</v>
          </cell>
          <cell r="D102">
            <v>0</v>
          </cell>
          <cell r="E102">
            <v>7</v>
          </cell>
          <cell r="F102" t="str">
            <v>OS 7.1</v>
          </cell>
          <cell r="G102" t="str">
            <v>OO  7.1.2</v>
          </cell>
        </row>
        <row r="103">
          <cell r="A103" t="str">
            <v>M 7.4</v>
          </cell>
          <cell r="B103" t="str">
            <v>Mettre en place un audit portant sur l’utilisation rationnelle de l’ eau dans les bâtiments du secteur tertiaire</v>
          </cell>
          <cell r="C103" t="str">
            <v>A.THIENPONT</v>
          </cell>
          <cell r="D103">
            <v>0</v>
          </cell>
          <cell r="E103">
            <v>7</v>
          </cell>
          <cell r="F103" t="str">
            <v>OS 7.1</v>
          </cell>
          <cell r="G103" t="str">
            <v>OO  7.1.2</v>
          </cell>
        </row>
        <row r="104">
          <cell r="A104" t="str">
            <v>M 7.5</v>
          </cell>
          <cell r="B104" t="str">
            <v>Promouvoir, auprès des consommateurs non-domestiques,  les comportements et équipements économes en eau ainsi que le recours à un approvisionnement en eau alternatif</v>
          </cell>
          <cell r="C104" t="str">
            <v>A.THIENPONT</v>
          </cell>
          <cell r="D104">
            <v>0</v>
          </cell>
          <cell r="E104">
            <v>7</v>
          </cell>
          <cell r="F104" t="str">
            <v>OS 7.1</v>
          </cell>
          <cell r="G104" t="str">
            <v>OO  7.1.2</v>
          </cell>
        </row>
        <row r="105">
          <cell r="A105" t="str">
            <v>M 7.6</v>
          </cell>
          <cell r="B105" t="str">
            <v xml:space="preserve">Encadrer et valoriser l'eau issue des rabattements de nappe </v>
          </cell>
          <cell r="C105" t="str">
            <v>R.DESGAIN
M. BINON</v>
          </cell>
          <cell r="D105">
            <v>0</v>
          </cell>
          <cell r="E105">
            <v>7</v>
          </cell>
          <cell r="F105" t="str">
            <v>OS 7.2</v>
          </cell>
          <cell r="G105" t="str">
            <v>-</v>
          </cell>
        </row>
        <row r="106">
          <cell r="A106" t="str">
            <v>M 7.7</v>
          </cell>
          <cell r="B106" t="str">
            <v>Encadrer et développer la réutilisation d'eaux de « deuxième circuit »  ("re-use")</v>
          </cell>
          <cell r="C106" t="str">
            <v>SBGE</v>
          </cell>
          <cell r="D106" t="str">
            <v>M.BINON</v>
          </cell>
          <cell r="E106">
            <v>7</v>
          </cell>
          <cell r="F106" t="str">
            <v>OS 7.2</v>
          </cell>
          <cell r="G106" t="str">
            <v>-</v>
          </cell>
        </row>
        <row r="107">
          <cell r="A107" t="str">
            <v>M 7.8</v>
          </cell>
          <cell r="B107" t="str">
            <v>Encadrer et réglementer l’usage des eaux provenant de sources</v>
          </cell>
          <cell r="C107" t="str">
            <v>M.BINON</v>
          </cell>
          <cell r="D107">
            <v>0</v>
          </cell>
          <cell r="E107">
            <v>7</v>
          </cell>
          <cell r="F107" t="str">
            <v>OS 7.2</v>
          </cell>
          <cell r="G107" t="str">
            <v>-</v>
          </cell>
        </row>
        <row r="108">
          <cell r="A108" t="str">
            <v>M 7.9</v>
          </cell>
          <cell r="B108" t="str">
            <v>Adapter le cadre juridico-technique relatif aux systèmes géothermiques</v>
          </cell>
          <cell r="C108" t="str">
            <v>M.BINON
R.DESGAIN</v>
          </cell>
          <cell r="D108">
            <v>0</v>
          </cell>
          <cell r="E108">
            <v>7</v>
          </cell>
          <cell r="F108" t="str">
            <v>OS 7.3</v>
          </cell>
          <cell r="G108" t="str">
            <v>OO 7.3.1</v>
          </cell>
        </row>
        <row r="109">
          <cell r="A109" t="str">
            <v>M 7.10</v>
          </cell>
          <cell r="B109" t="str">
            <v xml:space="preserve"> Régulariser l'ensemble des installations géothermiques soumises à permis d'environnement et les cartographier au sein d'un cadastre</v>
          </cell>
          <cell r="C109" t="str">
            <v>N.MARTINEZ</v>
          </cell>
          <cell r="D109">
            <v>0</v>
          </cell>
          <cell r="E109">
            <v>7</v>
          </cell>
          <cell r="F109" t="str">
            <v>OS 7.3</v>
          </cell>
          <cell r="G109" t="str">
            <v>OO 7.3.1</v>
          </cell>
        </row>
        <row r="110">
          <cell r="A110" t="str">
            <v>M 7.11</v>
          </cell>
          <cell r="B110" t="str">
            <v>Informer les maitres d'ouvrage et maitres d'œuvre sur le potentiel géothermique et développer des outils numériques d'aide à l'analyse de faisabilité et au pré-dimensionnement d’installations géothermiques..</v>
          </cell>
          <cell r="C110" t="str">
            <v>M.AGNIEL</v>
          </cell>
          <cell r="D110">
            <v>0</v>
          </cell>
          <cell r="E110">
            <v>7</v>
          </cell>
          <cell r="F110" t="str">
            <v>OS 7.3</v>
          </cell>
          <cell r="G110" t="str">
            <v>OO 7.3.1</v>
          </cell>
        </row>
        <row r="111">
          <cell r="A111" t="str">
            <v>M 7.12</v>
          </cell>
          <cell r="B111" t="str">
            <v xml:space="preserve">Analyser la reproductibilité des projets pilotes mis en place visant à récupérer la chaleur à partir des eaux usées transitant dans le réseau d’égouttage </v>
          </cell>
          <cell r="C111" t="str">
            <v>VIVAQUA
SBGE</v>
          </cell>
          <cell r="D111">
            <v>0</v>
          </cell>
          <cell r="E111">
            <v>7</v>
          </cell>
          <cell r="F111" t="str">
            <v>OS 7.3</v>
          </cell>
          <cell r="G111" t="str">
            <v>OO 7.3.2</v>
          </cell>
        </row>
        <row r="112">
          <cell r="A112" t="str">
            <v>M 8.1</v>
          </cell>
          <cell r="B112" t="str">
            <v>Assurer et renforcer la coordination internationale au niveau du district hydrographique international de l'Escaut</v>
          </cell>
          <cell r="C112" t="str">
            <v>P.PLACE</v>
          </cell>
          <cell r="D112" t="str">
            <v>P.PLACE</v>
          </cell>
          <cell r="E112">
            <v>8</v>
          </cell>
          <cell r="F112" t="str">
            <v>OS 8.1</v>
          </cell>
          <cell r="G112" t="str">
            <v>-</v>
          </cell>
        </row>
        <row r="113">
          <cell r="A113" t="str">
            <v>M 8.2</v>
          </cell>
          <cell r="B113" t="str">
            <v>Assurer une coordination interrégionale pour la gestion des masses d'eau transrégionales</v>
          </cell>
          <cell r="C113" t="str">
            <v>P.PLACE</v>
          </cell>
          <cell r="D113" t="str">
            <v>P.PLACE</v>
          </cell>
          <cell r="E113">
            <v>8</v>
          </cell>
          <cell r="F113" t="str">
            <v>OS 8.1</v>
          </cell>
          <cell r="G113" t="str">
            <v>-</v>
          </cell>
        </row>
        <row r="114">
          <cell r="A114" t="str">
            <v>M 8.3</v>
          </cell>
          <cell r="B114" t="str">
            <v xml:space="preserve">Assurer une gestion de l’eau cohérente et coordonnée au sein de la Région de Bruxelles-Capitale  (coordination intrarégionale) </v>
          </cell>
          <cell r="C114" t="str">
            <v>E.LAVENDER</v>
          </cell>
          <cell r="D114" t="str">
            <v>E.LAVENDER</v>
          </cell>
          <cell r="E114">
            <v>8</v>
          </cell>
          <cell r="F114" t="str">
            <v>OS 8.1</v>
          </cell>
          <cell r="G114" t="str">
            <v>-</v>
          </cell>
        </row>
        <row r="115">
          <cell r="A115" t="str">
            <v>M 8.4</v>
          </cell>
          <cell r="B115" t="str">
            <v>Encourager la participation d'acteurs bruxellois de l'eau aux associations européennes de l'eau</v>
          </cell>
          <cell r="C115" t="str">
            <v>AQUABRU</v>
          </cell>
          <cell r="D115" t="str">
            <v>P.FRAGAPANE</v>
          </cell>
          <cell r="E115">
            <v>8</v>
          </cell>
          <cell r="F115" t="str">
            <v>OS 8.2</v>
          </cell>
          <cell r="G115" t="str">
            <v>-</v>
          </cell>
        </row>
        <row r="116">
          <cell r="A116" t="str">
            <v>M 8.5</v>
          </cell>
          <cell r="B116" t="str">
            <v xml:space="preserve"> Concevoir, mettre en œuvre et promouvoir les mécanismes de soutien à la gestion durable de l’eau</v>
          </cell>
          <cell r="C116" t="str">
            <v>E.LAVENDER</v>
          </cell>
          <cell r="D116" t="str">
            <v>P.PLACE
E.LAVENDER
AC. DEWEZ</v>
          </cell>
          <cell r="E116">
            <v>8</v>
          </cell>
          <cell r="F116" t="str">
            <v>OS 8.2</v>
          </cell>
          <cell r="G116" t="str">
            <v>-</v>
          </cell>
        </row>
      </sheetData>
      <sheetData sheetId="2"/>
      <sheetData sheetId="3"/>
      <sheetData sheetId="4"/>
      <sheetData sheetId="5"/>
      <sheetData sheetId="6"/>
      <sheetData sheetId="7"/>
      <sheetData sheetId="8"/>
      <sheetData sheetId="9"/>
      <sheetData sheetId="10"/>
      <sheetData sheetId="11"/>
      <sheetData sheetId="12">
        <row r="4">
          <cell r="A4" t="str">
            <v>1.1.1</v>
          </cell>
          <cell r="B4">
            <v>100000</v>
          </cell>
          <cell r="C4"/>
          <cell r="D4"/>
          <cell r="E4"/>
          <cell r="F4"/>
          <cell r="G4"/>
          <cell r="H4">
            <v>100000</v>
          </cell>
          <cell r="I4"/>
          <cell r="J4"/>
          <cell r="K4"/>
          <cell r="L4"/>
          <cell r="M4"/>
          <cell r="N4"/>
          <cell r="O4"/>
          <cell r="P4">
            <v>0</v>
          </cell>
        </row>
        <row r="5">
          <cell r="A5" t="str">
            <v>1.1.2</v>
          </cell>
          <cell r="B5"/>
          <cell r="C5">
            <v>1500000</v>
          </cell>
          <cell r="D5">
            <v>1200000</v>
          </cell>
          <cell r="E5">
            <v>1000000</v>
          </cell>
          <cell r="F5"/>
          <cell r="G5"/>
          <cell r="H5">
            <v>3700000</v>
          </cell>
          <cell r="I5"/>
          <cell r="J5"/>
          <cell r="K5"/>
          <cell r="L5"/>
          <cell r="M5"/>
          <cell r="N5"/>
          <cell r="O5"/>
          <cell r="P5">
            <v>0</v>
          </cell>
        </row>
        <row r="6">
          <cell r="A6" t="str">
            <v>1.1.3</v>
          </cell>
          <cell r="B6"/>
          <cell r="C6">
            <v>100000</v>
          </cell>
          <cell r="D6"/>
          <cell r="E6"/>
          <cell r="F6"/>
          <cell r="G6"/>
          <cell r="H6">
            <v>100000</v>
          </cell>
          <cell r="I6"/>
          <cell r="J6"/>
          <cell r="K6"/>
          <cell r="L6"/>
          <cell r="M6"/>
          <cell r="N6"/>
          <cell r="O6"/>
          <cell r="P6">
            <v>0</v>
          </cell>
        </row>
        <row r="7">
          <cell r="A7" t="str">
            <v>1.1.4</v>
          </cell>
          <cell r="B7"/>
          <cell r="C7"/>
          <cell r="D7"/>
          <cell r="E7"/>
          <cell r="F7"/>
          <cell r="G7"/>
          <cell r="H7">
            <v>0</v>
          </cell>
          <cell r="I7"/>
          <cell r="J7"/>
          <cell r="K7"/>
          <cell r="L7"/>
          <cell r="M7"/>
          <cell r="N7"/>
          <cell r="O7"/>
          <cell r="P7">
            <v>0</v>
          </cell>
        </row>
        <row r="8">
          <cell r="A8" t="str">
            <v>1.1.5</v>
          </cell>
          <cell r="B8">
            <v>50000</v>
          </cell>
          <cell r="C8"/>
          <cell r="D8"/>
          <cell r="E8"/>
          <cell r="F8"/>
          <cell r="G8"/>
          <cell r="H8">
            <v>50000</v>
          </cell>
          <cell r="I8"/>
          <cell r="J8"/>
          <cell r="K8"/>
          <cell r="L8"/>
          <cell r="M8"/>
          <cell r="N8"/>
          <cell r="O8"/>
          <cell r="P8">
            <v>0</v>
          </cell>
        </row>
        <row r="9">
          <cell r="A9" t="str">
            <v>1.1.6</v>
          </cell>
          <cell r="B9"/>
          <cell r="C9"/>
          <cell r="D9">
            <v>1000000</v>
          </cell>
          <cell r="E9">
            <v>1000000</v>
          </cell>
          <cell r="F9"/>
          <cell r="G9"/>
          <cell r="H9">
            <v>2000000</v>
          </cell>
          <cell r="I9"/>
          <cell r="J9"/>
          <cell r="K9"/>
          <cell r="L9"/>
          <cell r="M9"/>
          <cell r="N9"/>
          <cell r="O9"/>
          <cell r="P9">
            <v>0</v>
          </cell>
        </row>
        <row r="10">
          <cell r="A10" t="str">
            <v>1.1.7</v>
          </cell>
          <cell r="B10">
            <v>140000</v>
          </cell>
          <cell r="C10"/>
          <cell r="D10"/>
          <cell r="E10"/>
          <cell r="F10"/>
          <cell r="G10"/>
          <cell r="H10">
            <v>140000</v>
          </cell>
          <cell r="I10"/>
          <cell r="J10"/>
          <cell r="K10"/>
          <cell r="L10"/>
          <cell r="M10"/>
          <cell r="N10"/>
          <cell r="O10"/>
          <cell r="P10">
            <v>0</v>
          </cell>
        </row>
        <row r="11">
          <cell r="A11" t="str">
            <v>1.1.8</v>
          </cell>
          <cell r="B11"/>
          <cell r="C11"/>
          <cell r="D11">
            <v>1200000</v>
          </cell>
          <cell r="E11"/>
          <cell r="F11"/>
          <cell r="G11"/>
          <cell r="H11">
            <v>1200000</v>
          </cell>
          <cell r="I11"/>
          <cell r="J11"/>
          <cell r="K11"/>
          <cell r="L11"/>
          <cell r="M11"/>
          <cell r="N11"/>
          <cell r="O11"/>
          <cell r="P11">
            <v>0</v>
          </cell>
        </row>
        <row r="12">
          <cell r="A12" t="str">
            <v>1.1.9</v>
          </cell>
          <cell r="B12"/>
          <cell r="C12">
            <v>90000</v>
          </cell>
          <cell r="D12"/>
          <cell r="E12"/>
          <cell r="F12"/>
          <cell r="G12"/>
          <cell r="H12">
            <v>90000</v>
          </cell>
          <cell r="I12"/>
          <cell r="J12"/>
          <cell r="K12"/>
          <cell r="L12"/>
          <cell r="M12"/>
          <cell r="N12"/>
          <cell r="O12"/>
          <cell r="P12">
            <v>0</v>
          </cell>
        </row>
        <row r="13">
          <cell r="A13" t="str">
            <v>1.1.10</v>
          </cell>
          <cell r="B13"/>
          <cell r="C13"/>
          <cell r="D13"/>
          <cell r="E13">
            <v>900000</v>
          </cell>
          <cell r="F13"/>
          <cell r="G13"/>
          <cell r="H13">
            <v>900000</v>
          </cell>
          <cell r="I13"/>
          <cell r="J13"/>
          <cell r="K13"/>
          <cell r="L13"/>
          <cell r="M13"/>
          <cell r="N13"/>
          <cell r="O13"/>
          <cell r="P13">
            <v>0</v>
          </cell>
        </row>
        <row r="14">
          <cell r="A14" t="str">
            <v>1.1.11</v>
          </cell>
          <cell r="B14"/>
          <cell r="C14"/>
          <cell r="D14">
            <v>100000</v>
          </cell>
          <cell r="E14"/>
          <cell r="F14"/>
          <cell r="G14"/>
          <cell r="H14">
            <v>100000</v>
          </cell>
          <cell r="I14"/>
          <cell r="J14"/>
          <cell r="K14"/>
          <cell r="L14"/>
          <cell r="M14"/>
          <cell r="N14"/>
          <cell r="O14"/>
          <cell r="P14">
            <v>0</v>
          </cell>
        </row>
        <row r="15">
          <cell r="A15" t="str">
            <v>1.1.12</v>
          </cell>
          <cell r="B15"/>
          <cell r="C15">
            <v>70000</v>
          </cell>
          <cell r="D15"/>
          <cell r="E15"/>
          <cell r="F15"/>
          <cell r="G15"/>
          <cell r="H15">
            <v>70000</v>
          </cell>
          <cell r="I15"/>
          <cell r="J15"/>
          <cell r="K15"/>
          <cell r="L15"/>
          <cell r="M15"/>
          <cell r="N15"/>
          <cell r="O15"/>
          <cell r="P15">
            <v>0</v>
          </cell>
        </row>
        <row r="16">
          <cell r="A16" t="str">
            <v>1.1.A</v>
          </cell>
          <cell r="B16"/>
          <cell r="C16"/>
          <cell r="D16"/>
          <cell r="E16"/>
          <cell r="F16"/>
          <cell r="G16"/>
          <cell r="H16">
            <v>0</v>
          </cell>
          <cell r="I16"/>
          <cell r="J16"/>
          <cell r="K16"/>
          <cell r="L16"/>
          <cell r="M16"/>
          <cell r="N16"/>
          <cell r="O16"/>
          <cell r="P16">
            <v>0</v>
          </cell>
        </row>
        <row r="17">
          <cell r="A17" t="str">
            <v>1.1.B</v>
          </cell>
          <cell r="B17"/>
          <cell r="C17"/>
          <cell r="D17"/>
          <cell r="E17"/>
          <cell r="F17"/>
          <cell r="G17"/>
          <cell r="H17">
            <v>0</v>
          </cell>
          <cell r="I17"/>
          <cell r="J17"/>
          <cell r="K17"/>
          <cell r="L17"/>
          <cell r="M17"/>
          <cell r="N17"/>
          <cell r="O17"/>
          <cell r="P17">
            <v>0</v>
          </cell>
        </row>
        <row r="18">
          <cell r="A18" t="str">
            <v>1.2.1</v>
          </cell>
          <cell r="B18">
            <v>80000</v>
          </cell>
          <cell r="C18"/>
          <cell r="D18"/>
          <cell r="E18"/>
          <cell r="F18"/>
          <cell r="G18"/>
          <cell r="H18">
            <v>80000</v>
          </cell>
          <cell r="I18"/>
          <cell r="J18"/>
          <cell r="K18"/>
          <cell r="L18"/>
          <cell r="M18"/>
          <cell r="N18"/>
          <cell r="O18"/>
          <cell r="P18">
            <v>0</v>
          </cell>
        </row>
        <row r="19">
          <cell r="A19" t="str">
            <v>1.2.2</v>
          </cell>
          <cell r="B19"/>
          <cell r="C19"/>
          <cell r="D19"/>
          <cell r="E19"/>
          <cell r="F19">
            <v>1500000</v>
          </cell>
          <cell r="G19"/>
          <cell r="H19">
            <v>1500000</v>
          </cell>
          <cell r="I19"/>
          <cell r="J19"/>
          <cell r="K19"/>
          <cell r="L19"/>
          <cell r="M19"/>
          <cell r="N19"/>
          <cell r="O19"/>
          <cell r="P19">
            <v>0</v>
          </cell>
        </row>
        <row r="20">
          <cell r="A20" t="str">
            <v>1.2.3</v>
          </cell>
          <cell r="B20"/>
          <cell r="C20"/>
          <cell r="D20"/>
          <cell r="E20"/>
          <cell r="F20">
            <v>2500000</v>
          </cell>
          <cell r="G20"/>
          <cell r="H20">
            <v>2500000</v>
          </cell>
          <cell r="I20"/>
          <cell r="J20"/>
          <cell r="K20"/>
          <cell r="L20"/>
          <cell r="M20"/>
          <cell r="N20"/>
          <cell r="O20"/>
          <cell r="P20">
            <v>0</v>
          </cell>
        </row>
        <row r="21">
          <cell r="A21" t="str">
            <v>1.2.4</v>
          </cell>
          <cell r="B21">
            <v>90000</v>
          </cell>
          <cell r="C21"/>
          <cell r="D21"/>
          <cell r="E21"/>
          <cell r="F21"/>
          <cell r="G21"/>
          <cell r="H21">
            <v>90000</v>
          </cell>
          <cell r="I21"/>
          <cell r="J21"/>
          <cell r="K21"/>
          <cell r="L21"/>
          <cell r="M21"/>
          <cell r="N21"/>
          <cell r="O21"/>
          <cell r="P21">
            <v>0</v>
          </cell>
        </row>
        <row r="22">
          <cell r="A22" t="str">
            <v>1.2.5</v>
          </cell>
          <cell r="B22"/>
          <cell r="C22">
            <v>550000</v>
          </cell>
          <cell r="D22"/>
          <cell r="E22"/>
          <cell r="F22"/>
          <cell r="G22"/>
          <cell r="H22">
            <v>550000</v>
          </cell>
          <cell r="I22"/>
          <cell r="J22"/>
          <cell r="K22"/>
          <cell r="L22"/>
          <cell r="M22"/>
          <cell r="N22"/>
          <cell r="O22"/>
          <cell r="P22">
            <v>0</v>
          </cell>
        </row>
        <row r="23">
          <cell r="A23" t="str">
            <v>1.2.6</v>
          </cell>
          <cell r="B23"/>
          <cell r="C23">
            <v>150000</v>
          </cell>
          <cell r="D23"/>
          <cell r="E23"/>
          <cell r="F23"/>
          <cell r="G23"/>
          <cell r="H23">
            <v>150000</v>
          </cell>
          <cell r="I23"/>
          <cell r="J23"/>
          <cell r="K23"/>
          <cell r="L23"/>
          <cell r="M23"/>
          <cell r="N23"/>
          <cell r="O23"/>
          <cell r="P23">
            <v>0</v>
          </cell>
        </row>
        <row r="24">
          <cell r="A24" t="str">
            <v>1.2.7</v>
          </cell>
          <cell r="B24"/>
          <cell r="C24"/>
          <cell r="D24"/>
          <cell r="E24"/>
          <cell r="F24"/>
          <cell r="G24">
            <v>600000</v>
          </cell>
          <cell r="H24">
            <v>600000</v>
          </cell>
          <cell r="I24"/>
          <cell r="J24"/>
          <cell r="K24"/>
          <cell r="L24"/>
          <cell r="M24"/>
          <cell r="N24"/>
          <cell r="O24"/>
          <cell r="P24">
            <v>0</v>
          </cell>
        </row>
        <row r="25">
          <cell r="A25" t="str">
            <v>1.2.8</v>
          </cell>
          <cell r="B25"/>
          <cell r="C25"/>
          <cell r="D25"/>
          <cell r="E25"/>
          <cell r="F25">
            <v>150000</v>
          </cell>
          <cell r="G25"/>
          <cell r="H25">
            <v>150000</v>
          </cell>
          <cell r="I25"/>
          <cell r="J25"/>
          <cell r="K25"/>
          <cell r="L25"/>
          <cell r="M25"/>
          <cell r="N25"/>
          <cell r="O25"/>
          <cell r="P25">
            <v>0</v>
          </cell>
        </row>
        <row r="26">
          <cell r="A26" t="str">
            <v>1.2.9</v>
          </cell>
          <cell r="B26"/>
          <cell r="C26"/>
          <cell r="D26"/>
          <cell r="E26"/>
          <cell r="F26"/>
          <cell r="G26">
            <v>50000</v>
          </cell>
          <cell r="H26">
            <v>50000</v>
          </cell>
          <cell r="I26"/>
          <cell r="J26"/>
          <cell r="K26"/>
          <cell r="L26"/>
          <cell r="M26"/>
          <cell r="N26"/>
          <cell r="O26"/>
          <cell r="P26">
            <v>0</v>
          </cell>
        </row>
        <row r="27">
          <cell r="A27" t="str">
            <v>1.2.10</v>
          </cell>
          <cell r="B27"/>
          <cell r="C27"/>
          <cell r="D27"/>
          <cell r="E27"/>
          <cell r="F27"/>
          <cell r="G27"/>
          <cell r="H27" t="str">
            <v>TBD</v>
          </cell>
          <cell r="I27" t="str">
            <v>après2027</v>
          </cell>
          <cell r="J27"/>
          <cell r="K27"/>
          <cell r="L27"/>
          <cell r="M27"/>
          <cell r="N27"/>
          <cell r="O27"/>
          <cell r="P27">
            <v>0</v>
          </cell>
        </row>
        <row r="28">
          <cell r="A28" t="str">
            <v>1.2.11</v>
          </cell>
          <cell r="B28"/>
          <cell r="C28"/>
          <cell r="D28"/>
          <cell r="E28"/>
          <cell r="F28"/>
          <cell r="G28"/>
          <cell r="H28" t="str">
            <v>TBD</v>
          </cell>
          <cell r="I28" t="str">
            <v>après2027</v>
          </cell>
          <cell r="J28"/>
          <cell r="K28"/>
          <cell r="L28"/>
          <cell r="M28"/>
          <cell r="N28"/>
          <cell r="O28"/>
          <cell r="P28">
            <v>0</v>
          </cell>
        </row>
        <row r="29">
          <cell r="A29" t="str">
            <v>1.2.12</v>
          </cell>
          <cell r="B29"/>
          <cell r="C29"/>
          <cell r="D29"/>
          <cell r="E29"/>
          <cell r="F29"/>
          <cell r="G29"/>
          <cell r="H29" t="str">
            <v>TBD</v>
          </cell>
          <cell r="I29" t="str">
            <v>après2027</v>
          </cell>
          <cell r="J29"/>
          <cell r="K29"/>
          <cell r="L29"/>
          <cell r="M29"/>
          <cell r="N29"/>
          <cell r="O29"/>
          <cell r="P29">
            <v>0</v>
          </cell>
        </row>
        <row r="30">
          <cell r="A30" t="str">
            <v>1.2.13</v>
          </cell>
          <cell r="B30"/>
          <cell r="C30"/>
          <cell r="D30"/>
          <cell r="E30"/>
          <cell r="F30"/>
          <cell r="G30"/>
          <cell r="H30" t="str">
            <v>TBD</v>
          </cell>
          <cell r="I30" t="str">
            <v>après2027</v>
          </cell>
          <cell r="J30"/>
          <cell r="K30"/>
          <cell r="L30"/>
          <cell r="M30"/>
          <cell r="N30"/>
          <cell r="O30"/>
          <cell r="P30">
            <v>0</v>
          </cell>
        </row>
        <row r="31">
          <cell r="A31" t="str">
            <v>1.2.14</v>
          </cell>
          <cell r="B31">
            <v>90000</v>
          </cell>
          <cell r="C31"/>
          <cell r="D31"/>
          <cell r="E31"/>
          <cell r="F31"/>
          <cell r="G31"/>
          <cell r="H31">
            <v>90000</v>
          </cell>
          <cell r="I31"/>
          <cell r="J31"/>
          <cell r="K31"/>
          <cell r="L31"/>
          <cell r="M31"/>
          <cell r="N31"/>
          <cell r="O31"/>
          <cell r="P31">
            <v>0</v>
          </cell>
        </row>
        <row r="32">
          <cell r="A32" t="str">
            <v>1.2.15</v>
          </cell>
          <cell r="B32"/>
          <cell r="C32">
            <v>600000</v>
          </cell>
          <cell r="D32"/>
          <cell r="E32"/>
          <cell r="F32"/>
          <cell r="G32"/>
          <cell r="H32">
            <v>600000</v>
          </cell>
          <cell r="I32"/>
          <cell r="J32"/>
          <cell r="K32"/>
          <cell r="L32"/>
          <cell r="M32"/>
          <cell r="N32"/>
          <cell r="O32"/>
          <cell r="P32">
            <v>0</v>
          </cell>
        </row>
        <row r="33">
          <cell r="A33" t="str">
            <v>1.2.16</v>
          </cell>
          <cell r="B33"/>
          <cell r="C33"/>
          <cell r="D33"/>
          <cell r="E33"/>
          <cell r="F33"/>
          <cell r="G33"/>
          <cell r="H33">
            <v>0</v>
          </cell>
          <cell r="I33" t="str">
            <v>après2027</v>
          </cell>
          <cell r="J33"/>
          <cell r="K33"/>
          <cell r="L33"/>
          <cell r="M33"/>
          <cell r="N33"/>
          <cell r="O33"/>
          <cell r="P33">
            <v>0</v>
          </cell>
        </row>
        <row r="34">
          <cell r="A34" t="str">
            <v>1.2.17</v>
          </cell>
          <cell r="B34"/>
          <cell r="C34"/>
          <cell r="D34"/>
          <cell r="E34"/>
          <cell r="F34"/>
          <cell r="G34"/>
          <cell r="H34">
            <v>0</v>
          </cell>
          <cell r="I34" t="str">
            <v>après2027</v>
          </cell>
          <cell r="J34"/>
          <cell r="K34"/>
          <cell r="L34"/>
          <cell r="M34"/>
          <cell r="N34"/>
          <cell r="O34"/>
          <cell r="P34">
            <v>0</v>
          </cell>
        </row>
        <row r="35">
          <cell r="A35" t="str">
            <v>1.2.18</v>
          </cell>
          <cell r="B35"/>
          <cell r="C35"/>
          <cell r="D35"/>
          <cell r="E35"/>
          <cell r="F35"/>
          <cell r="G35"/>
          <cell r="H35">
            <v>0</v>
          </cell>
          <cell r="I35" t="str">
            <v>après2027</v>
          </cell>
          <cell r="J35"/>
          <cell r="K35"/>
          <cell r="L35"/>
          <cell r="M35"/>
          <cell r="N35"/>
          <cell r="O35"/>
          <cell r="P35">
            <v>0</v>
          </cell>
        </row>
        <row r="36">
          <cell r="A36" t="str">
            <v>1.2.19</v>
          </cell>
          <cell r="B36"/>
          <cell r="C36"/>
          <cell r="D36"/>
          <cell r="E36"/>
          <cell r="F36"/>
          <cell r="G36"/>
          <cell r="H36">
            <v>0</v>
          </cell>
          <cell r="I36" t="str">
            <v>après2027</v>
          </cell>
          <cell r="J36"/>
          <cell r="K36"/>
          <cell r="L36"/>
          <cell r="M36"/>
          <cell r="N36"/>
          <cell r="O36"/>
          <cell r="P36">
            <v>0</v>
          </cell>
        </row>
        <row r="37">
          <cell r="A37" t="str">
            <v>1.2.20</v>
          </cell>
          <cell r="B37"/>
          <cell r="C37"/>
          <cell r="D37"/>
          <cell r="E37"/>
          <cell r="F37"/>
          <cell r="G37"/>
          <cell r="H37">
            <v>0</v>
          </cell>
          <cell r="I37" t="str">
            <v>Etudedéjàbudgétéeen2022</v>
          </cell>
          <cell r="J37"/>
          <cell r="K37"/>
          <cell r="L37"/>
          <cell r="M37"/>
          <cell r="N37"/>
          <cell r="O37"/>
          <cell r="P37">
            <v>0</v>
          </cell>
        </row>
        <row r="38">
          <cell r="A38" t="str">
            <v>1.2.21</v>
          </cell>
          <cell r="B38">
            <v>200000</v>
          </cell>
          <cell r="C38"/>
          <cell r="D38"/>
          <cell r="E38"/>
          <cell r="F38"/>
          <cell r="G38"/>
          <cell r="H38">
            <v>200000</v>
          </cell>
          <cell r="I38"/>
          <cell r="J38"/>
          <cell r="K38"/>
          <cell r="L38"/>
          <cell r="M38"/>
          <cell r="N38"/>
          <cell r="O38"/>
          <cell r="P38">
            <v>0</v>
          </cell>
        </row>
        <row r="39">
          <cell r="A39" t="str">
            <v>1.2.22</v>
          </cell>
          <cell r="B39"/>
          <cell r="C39">
            <v>30000</v>
          </cell>
          <cell r="D39"/>
          <cell r="E39"/>
          <cell r="F39"/>
          <cell r="G39"/>
          <cell r="H39">
            <v>30000</v>
          </cell>
          <cell r="I39"/>
          <cell r="J39"/>
          <cell r="K39"/>
          <cell r="L39"/>
          <cell r="M39"/>
          <cell r="N39"/>
          <cell r="O39"/>
          <cell r="P39">
            <v>0</v>
          </cell>
        </row>
        <row r="40">
          <cell r="A40" t="str">
            <v>1.2.23</v>
          </cell>
          <cell r="B40"/>
          <cell r="C40"/>
          <cell r="D40"/>
          <cell r="E40"/>
          <cell r="F40"/>
          <cell r="G40"/>
          <cell r="H40">
            <v>0</v>
          </cell>
          <cell r="I40"/>
          <cell r="J40"/>
          <cell r="K40"/>
          <cell r="L40"/>
          <cell r="M40"/>
          <cell r="N40"/>
          <cell r="O40"/>
          <cell r="P40">
            <v>0</v>
          </cell>
        </row>
        <row r="41">
          <cell r="A41" t="str">
            <v>1.2.24</v>
          </cell>
          <cell r="B41"/>
          <cell r="C41">
            <v>250000</v>
          </cell>
          <cell r="D41">
            <v>300000</v>
          </cell>
          <cell r="E41">
            <v>285000</v>
          </cell>
          <cell r="F41"/>
          <cell r="G41"/>
          <cell r="H41">
            <v>835000</v>
          </cell>
          <cell r="I41"/>
          <cell r="J41"/>
          <cell r="K41"/>
          <cell r="L41"/>
          <cell r="M41"/>
          <cell r="N41"/>
          <cell r="O41"/>
          <cell r="P41">
            <v>0</v>
          </cell>
        </row>
        <row r="42">
          <cell r="A42" t="str">
            <v>1.2.25</v>
          </cell>
          <cell r="B42"/>
          <cell r="C42"/>
          <cell r="D42"/>
          <cell r="E42">
            <v>200000</v>
          </cell>
          <cell r="F42"/>
          <cell r="G42"/>
          <cell r="H42">
            <v>200000</v>
          </cell>
          <cell r="I42" t="str">
            <v>Vérifierunereventilationpossibleavecleport</v>
          </cell>
          <cell r="J42"/>
          <cell r="K42"/>
          <cell r="L42"/>
          <cell r="M42"/>
          <cell r="N42"/>
          <cell r="O42"/>
          <cell r="P42">
            <v>0</v>
          </cell>
        </row>
        <row r="43">
          <cell r="A43" t="str">
            <v>1.2.26</v>
          </cell>
          <cell r="B43"/>
          <cell r="C43"/>
          <cell r="D43">
            <v>300000</v>
          </cell>
          <cell r="E43"/>
          <cell r="F43"/>
          <cell r="G43"/>
          <cell r="H43">
            <v>300000</v>
          </cell>
          <cell r="I43"/>
          <cell r="J43"/>
          <cell r="K43"/>
          <cell r="L43"/>
          <cell r="M43"/>
          <cell r="N43"/>
          <cell r="O43"/>
          <cell r="P43">
            <v>0</v>
          </cell>
        </row>
        <row r="44">
          <cell r="A44" t="str">
            <v>1.2.27</v>
          </cell>
          <cell r="B44"/>
          <cell r="C44"/>
          <cell r="D44">
            <v>500000</v>
          </cell>
          <cell r="E44"/>
          <cell r="F44"/>
          <cell r="G44"/>
          <cell r="H44">
            <v>500000</v>
          </cell>
          <cell r="I44" t="str">
            <v>Adéterminer</v>
          </cell>
          <cell r="J44"/>
          <cell r="K44"/>
          <cell r="L44"/>
          <cell r="M44"/>
          <cell r="N44"/>
          <cell r="O44"/>
          <cell r="P44">
            <v>0</v>
          </cell>
        </row>
        <row r="45">
          <cell r="A45" t="str">
            <v>1.2.28</v>
          </cell>
          <cell r="B45"/>
          <cell r="C45"/>
          <cell r="D45"/>
          <cell r="E45">
            <v>200000</v>
          </cell>
          <cell r="F45"/>
          <cell r="G45"/>
          <cell r="H45">
            <v>200000</v>
          </cell>
          <cell r="I45" t="str">
            <v>Adéterminer</v>
          </cell>
          <cell r="J45"/>
          <cell r="K45"/>
          <cell r="L45"/>
          <cell r="M45"/>
          <cell r="N45"/>
          <cell r="O45"/>
          <cell r="P45">
            <v>0</v>
          </cell>
        </row>
        <row r="46">
          <cell r="A46" t="str">
            <v>1.3.1</v>
          </cell>
          <cell r="B46">
            <v>50000</v>
          </cell>
          <cell r="C46"/>
          <cell r="D46"/>
          <cell r="E46"/>
          <cell r="F46"/>
          <cell r="G46"/>
          <cell r="H46">
            <v>50000</v>
          </cell>
          <cell r="I46"/>
          <cell r="J46"/>
          <cell r="K46"/>
          <cell r="L46"/>
          <cell r="M46"/>
          <cell r="N46"/>
          <cell r="O46"/>
          <cell r="P46">
            <v>0</v>
          </cell>
        </row>
        <row r="47">
          <cell r="A47" t="str">
            <v>1.3.2</v>
          </cell>
          <cell r="B47"/>
          <cell r="C47"/>
          <cell r="D47">
            <v>50000</v>
          </cell>
          <cell r="E47"/>
          <cell r="F47"/>
          <cell r="G47"/>
          <cell r="H47">
            <v>50000</v>
          </cell>
          <cell r="I47"/>
          <cell r="J47"/>
          <cell r="K47"/>
          <cell r="L47"/>
          <cell r="M47"/>
          <cell r="N47"/>
          <cell r="O47"/>
          <cell r="P47">
            <v>0</v>
          </cell>
        </row>
        <row r="48">
          <cell r="A48" t="str">
            <v>1.3.3</v>
          </cell>
          <cell r="B48"/>
          <cell r="C48"/>
          <cell r="D48"/>
          <cell r="E48"/>
          <cell r="F48">
            <v>100000</v>
          </cell>
          <cell r="G48"/>
          <cell r="H48">
            <v>100000</v>
          </cell>
          <cell r="I48"/>
          <cell r="J48"/>
          <cell r="K48"/>
          <cell r="L48"/>
          <cell r="M48"/>
          <cell r="N48"/>
          <cell r="O48"/>
          <cell r="P48">
            <v>0</v>
          </cell>
        </row>
        <row r="49">
          <cell r="A49" t="str">
            <v>1.3.4</v>
          </cell>
          <cell r="B49"/>
          <cell r="C49"/>
          <cell r="D49"/>
          <cell r="E49"/>
          <cell r="F49"/>
          <cell r="G49"/>
          <cell r="H49">
            <v>0</v>
          </cell>
          <cell r="I49"/>
          <cell r="J49"/>
          <cell r="K49"/>
          <cell r="L49"/>
          <cell r="M49"/>
          <cell r="N49"/>
          <cell r="O49"/>
          <cell r="P49">
            <v>0</v>
          </cell>
        </row>
        <row r="50">
          <cell r="A50" t="str">
            <v>1.3.5</v>
          </cell>
          <cell r="B50"/>
          <cell r="C50"/>
          <cell r="D50"/>
          <cell r="E50"/>
          <cell r="F50">
            <v>250000</v>
          </cell>
          <cell r="G50"/>
          <cell r="H50">
            <v>250000</v>
          </cell>
          <cell r="I50"/>
          <cell r="J50"/>
          <cell r="K50"/>
          <cell r="L50"/>
          <cell r="M50"/>
          <cell r="N50"/>
          <cell r="O50"/>
          <cell r="P50">
            <v>0</v>
          </cell>
        </row>
        <row r="51">
          <cell r="A51" t="str">
            <v>1.3.6</v>
          </cell>
          <cell r="B51"/>
          <cell r="C51"/>
          <cell r="D51"/>
          <cell r="E51"/>
          <cell r="F51"/>
          <cell r="G51"/>
          <cell r="H51">
            <v>0</v>
          </cell>
          <cell r="I51" t="str">
            <v>après2027</v>
          </cell>
          <cell r="J51"/>
          <cell r="K51"/>
          <cell r="L51"/>
          <cell r="M51"/>
          <cell r="N51"/>
          <cell r="O51"/>
          <cell r="P51">
            <v>0</v>
          </cell>
        </row>
        <row r="52">
          <cell r="A52" t="str">
            <v>1.3.7</v>
          </cell>
          <cell r="B52"/>
          <cell r="C52"/>
          <cell r="D52"/>
          <cell r="E52"/>
          <cell r="F52"/>
          <cell r="G52"/>
          <cell r="H52">
            <v>0</v>
          </cell>
          <cell r="I52" t="str">
            <v>après2027</v>
          </cell>
          <cell r="J52"/>
          <cell r="K52"/>
          <cell r="L52"/>
          <cell r="M52"/>
          <cell r="N52"/>
          <cell r="O52"/>
          <cell r="P52">
            <v>0</v>
          </cell>
        </row>
        <row r="53">
          <cell r="A53" t="str">
            <v>1.3.8</v>
          </cell>
          <cell r="B53"/>
          <cell r="C53"/>
          <cell r="D53"/>
          <cell r="E53"/>
          <cell r="F53"/>
          <cell r="G53"/>
          <cell r="H53">
            <v>0</v>
          </cell>
          <cell r="I53" t="str">
            <v>après2027</v>
          </cell>
          <cell r="J53"/>
          <cell r="K53"/>
          <cell r="L53"/>
          <cell r="M53"/>
          <cell r="N53"/>
          <cell r="O53"/>
          <cell r="P53">
            <v>0</v>
          </cell>
        </row>
        <row r="54">
          <cell r="A54" t="str">
            <v>1.3.9</v>
          </cell>
          <cell r="B54"/>
          <cell r="C54"/>
          <cell r="D54"/>
          <cell r="E54"/>
          <cell r="F54"/>
          <cell r="G54"/>
          <cell r="H54">
            <v>0</v>
          </cell>
          <cell r="I54" t="str">
            <v>après2027</v>
          </cell>
          <cell r="J54"/>
          <cell r="K54"/>
          <cell r="L54"/>
          <cell r="M54"/>
          <cell r="N54"/>
          <cell r="O54"/>
          <cell r="P54">
            <v>0</v>
          </cell>
        </row>
        <row r="55">
          <cell r="A55" t="str">
            <v>1.3.A</v>
          </cell>
          <cell r="B55"/>
          <cell r="C55"/>
          <cell r="D55"/>
          <cell r="E55"/>
          <cell r="F55"/>
          <cell r="G55"/>
          <cell r="H55">
            <v>0</v>
          </cell>
          <cell r="I55"/>
          <cell r="J55"/>
          <cell r="K55"/>
          <cell r="L55"/>
          <cell r="M55"/>
          <cell r="N55"/>
          <cell r="O55"/>
          <cell r="P55">
            <v>0</v>
          </cell>
        </row>
        <row r="56">
          <cell r="A56" t="str">
            <v>1.4.1</v>
          </cell>
          <cell r="B56"/>
          <cell r="C56"/>
          <cell r="D56"/>
          <cell r="E56"/>
          <cell r="F56"/>
          <cell r="G56"/>
          <cell r="H56">
            <v>0</v>
          </cell>
          <cell r="I56"/>
          <cell r="J56"/>
          <cell r="K56"/>
          <cell r="L56"/>
          <cell r="M56"/>
          <cell r="N56"/>
          <cell r="O56"/>
          <cell r="P56">
            <v>0</v>
          </cell>
        </row>
        <row r="57">
          <cell r="A57" t="str">
            <v>1.4.2</v>
          </cell>
          <cell r="B57"/>
          <cell r="C57"/>
          <cell r="D57"/>
          <cell r="E57"/>
          <cell r="F57"/>
          <cell r="G57"/>
          <cell r="H57">
            <v>0</v>
          </cell>
          <cell r="I57"/>
          <cell r="J57"/>
          <cell r="K57"/>
          <cell r="L57"/>
          <cell r="M57"/>
          <cell r="N57"/>
          <cell r="O57"/>
          <cell r="P57">
            <v>0</v>
          </cell>
        </row>
        <row r="58">
          <cell r="A58" t="str">
            <v>1.4.3</v>
          </cell>
          <cell r="B58"/>
          <cell r="C58"/>
          <cell r="D58"/>
          <cell r="E58"/>
          <cell r="F58"/>
          <cell r="G58"/>
          <cell r="H58">
            <v>0</v>
          </cell>
          <cell r="I58"/>
          <cell r="J58"/>
          <cell r="K58"/>
          <cell r="L58"/>
          <cell r="M58"/>
          <cell r="N58"/>
          <cell r="O58"/>
          <cell r="P58">
            <v>0</v>
          </cell>
        </row>
        <row r="59">
          <cell r="A59" t="str">
            <v>1.4.4</v>
          </cell>
          <cell r="B59"/>
          <cell r="C59"/>
          <cell r="D59"/>
          <cell r="E59"/>
          <cell r="F59"/>
          <cell r="G59"/>
          <cell r="H59">
            <v>0</v>
          </cell>
          <cell r="I59"/>
          <cell r="J59"/>
          <cell r="K59"/>
          <cell r="L59"/>
          <cell r="M59"/>
          <cell r="N59"/>
          <cell r="O59"/>
          <cell r="P59">
            <v>0</v>
          </cell>
        </row>
        <row r="60">
          <cell r="A60" t="str">
            <v>1.4.5</v>
          </cell>
          <cell r="B60"/>
          <cell r="C60"/>
          <cell r="D60"/>
          <cell r="E60"/>
          <cell r="F60"/>
          <cell r="G60"/>
          <cell r="H60">
            <v>0</v>
          </cell>
          <cell r="I60"/>
          <cell r="J60"/>
          <cell r="K60"/>
          <cell r="L60"/>
          <cell r="M60"/>
          <cell r="N60"/>
          <cell r="O60"/>
          <cell r="P60">
            <v>0</v>
          </cell>
        </row>
        <row r="61">
          <cell r="A61" t="str">
            <v>1.4.6</v>
          </cell>
          <cell r="B61"/>
          <cell r="C61"/>
          <cell r="D61"/>
          <cell r="E61"/>
          <cell r="F61"/>
          <cell r="G61"/>
          <cell r="H61">
            <v>0</v>
          </cell>
          <cell r="I61"/>
          <cell r="J61"/>
          <cell r="K61"/>
          <cell r="L61"/>
          <cell r="M61"/>
          <cell r="N61"/>
          <cell r="O61"/>
          <cell r="P61">
            <v>0</v>
          </cell>
        </row>
        <row r="62">
          <cell r="A62" t="str">
            <v>1.4.7</v>
          </cell>
          <cell r="B62"/>
          <cell r="C62"/>
          <cell r="D62"/>
          <cell r="E62"/>
          <cell r="F62"/>
          <cell r="G62"/>
          <cell r="H62">
            <v>0</v>
          </cell>
          <cell r="I62"/>
          <cell r="J62"/>
          <cell r="K62"/>
          <cell r="L62"/>
          <cell r="M62"/>
          <cell r="N62"/>
          <cell r="O62"/>
          <cell r="P62">
            <v>0</v>
          </cell>
        </row>
        <row r="63">
          <cell r="A63" t="str">
            <v>1.4.8</v>
          </cell>
          <cell r="B63">
            <v>40000</v>
          </cell>
          <cell r="C63">
            <v>40000</v>
          </cell>
          <cell r="D63">
            <v>40000</v>
          </cell>
          <cell r="E63">
            <v>45000</v>
          </cell>
          <cell r="F63"/>
          <cell r="G63"/>
          <cell r="H63">
            <v>165000</v>
          </cell>
          <cell r="I63" t="str">
            <v xml:space="preserve">65000€(éradicationrapidedecertainesplantesinvasivescibléesparleprojetLIFERIPARIAS)+
100000€(éradicationrapided’écrevissesinvasivescibléesparleprojetLIFERIPARIAS)
</v>
          </cell>
          <cell r="J63"/>
          <cell r="K63"/>
          <cell r="L63"/>
          <cell r="M63"/>
          <cell r="N63"/>
          <cell r="O63"/>
          <cell r="P63">
            <v>0</v>
          </cell>
        </row>
        <row r="64">
          <cell r="A64" t="str">
            <v>1.4.9</v>
          </cell>
          <cell r="B64"/>
          <cell r="C64"/>
          <cell r="D64"/>
          <cell r="E64"/>
          <cell r="F64"/>
          <cell r="G64"/>
          <cell r="H64">
            <v>0</v>
          </cell>
          <cell r="I64"/>
          <cell r="J64"/>
          <cell r="K64"/>
          <cell r="L64"/>
          <cell r="M64"/>
          <cell r="N64"/>
          <cell r="O64"/>
          <cell r="P64">
            <v>0</v>
          </cell>
        </row>
        <row r="65">
          <cell r="A65" t="str">
            <v>1.4.10</v>
          </cell>
          <cell r="B65"/>
          <cell r="C65"/>
          <cell r="D65"/>
          <cell r="E65"/>
          <cell r="F65"/>
          <cell r="G65"/>
          <cell r="H65">
            <v>0</v>
          </cell>
          <cell r="I65"/>
          <cell r="J65"/>
          <cell r="K65"/>
          <cell r="L65"/>
          <cell r="M65"/>
          <cell r="N65"/>
          <cell r="O65"/>
          <cell r="P65">
            <v>0</v>
          </cell>
        </row>
        <row r="66">
          <cell r="A66" t="str">
            <v>1.4.11</v>
          </cell>
          <cell r="B66"/>
          <cell r="C66"/>
          <cell r="D66"/>
          <cell r="E66"/>
          <cell r="F66"/>
          <cell r="G66"/>
          <cell r="H66">
            <v>0</v>
          </cell>
          <cell r="I66"/>
          <cell r="J66"/>
          <cell r="K66"/>
          <cell r="L66"/>
          <cell r="M66"/>
          <cell r="N66"/>
          <cell r="O66"/>
          <cell r="P66">
            <v>0</v>
          </cell>
        </row>
        <row r="67">
          <cell r="A67" t="str">
            <v>1.4.12</v>
          </cell>
          <cell r="B67"/>
          <cell r="C67"/>
          <cell r="D67"/>
          <cell r="E67"/>
          <cell r="F67"/>
          <cell r="G67"/>
          <cell r="H67">
            <v>0</v>
          </cell>
          <cell r="I67"/>
          <cell r="J67"/>
          <cell r="K67"/>
          <cell r="L67"/>
          <cell r="M67"/>
          <cell r="N67"/>
          <cell r="O67"/>
          <cell r="P67">
            <v>0</v>
          </cell>
        </row>
        <row r="68">
          <cell r="A68" t="str">
            <v>1.4.13</v>
          </cell>
          <cell r="B68"/>
          <cell r="C68">
            <v>55000</v>
          </cell>
          <cell r="D68">
            <v>55000</v>
          </cell>
          <cell r="E68">
            <v>55000</v>
          </cell>
          <cell r="F68"/>
          <cell r="G68"/>
          <cell r="H68">
            <v>165000</v>
          </cell>
          <cell r="I68" t="str">
            <v>120000€(confinementdecertainesplantesaquatiquescibléesparleprojetLIFERIPARIASdansdeszones-clé)+45000€(confinementdeplantesripicolescibléesparleprojetLIFERIPARIASàl’extérieurdezonesindemnes)</v>
          </cell>
          <cell r="J68"/>
          <cell r="K68"/>
          <cell r="L68"/>
          <cell r="M68"/>
          <cell r="N68"/>
          <cell r="O68"/>
          <cell r="P68">
            <v>0</v>
          </cell>
        </row>
        <row r="69">
          <cell r="A69" t="str">
            <v>1.4.A</v>
          </cell>
          <cell r="B69"/>
          <cell r="C69"/>
          <cell r="D69"/>
          <cell r="E69"/>
          <cell r="F69"/>
          <cell r="G69"/>
          <cell r="H69">
            <v>0</v>
          </cell>
          <cell r="I69" t="str">
            <v>Voir5.22.2?</v>
          </cell>
          <cell r="J69"/>
          <cell r="K69"/>
          <cell r="L69"/>
          <cell r="M69"/>
          <cell r="N69"/>
          <cell r="O69"/>
          <cell r="P69">
            <v>0</v>
          </cell>
        </row>
        <row r="70">
          <cell r="A70" t="str">
            <v>1.5.1</v>
          </cell>
          <cell r="B70"/>
          <cell r="C70"/>
          <cell r="D70"/>
          <cell r="E70"/>
          <cell r="F70"/>
          <cell r="G70"/>
          <cell r="H70">
            <v>0</v>
          </cell>
          <cell r="I70"/>
          <cell r="J70"/>
          <cell r="K70"/>
          <cell r="L70"/>
          <cell r="M70"/>
          <cell r="N70"/>
          <cell r="O70"/>
          <cell r="P70">
            <v>0</v>
          </cell>
        </row>
        <row r="71">
          <cell r="A71" t="str">
            <v>1.5.2</v>
          </cell>
          <cell r="B71"/>
          <cell r="C71"/>
          <cell r="D71"/>
          <cell r="E71"/>
          <cell r="F71"/>
          <cell r="G71"/>
          <cell r="H71">
            <v>0</v>
          </cell>
          <cell r="I71"/>
          <cell r="J71"/>
          <cell r="K71"/>
          <cell r="L71"/>
          <cell r="M71"/>
          <cell r="N71"/>
          <cell r="O71"/>
          <cell r="P71">
            <v>0</v>
          </cell>
        </row>
        <row r="72">
          <cell r="A72" t="str">
            <v>1.5.3</v>
          </cell>
          <cell r="B72"/>
          <cell r="C72"/>
          <cell r="D72"/>
          <cell r="E72"/>
          <cell r="F72"/>
          <cell r="G72"/>
          <cell r="H72">
            <v>0</v>
          </cell>
          <cell r="I72"/>
          <cell r="J72"/>
          <cell r="K72"/>
          <cell r="L72"/>
          <cell r="M72"/>
          <cell r="N72"/>
          <cell r="O72"/>
          <cell r="P72">
            <v>0</v>
          </cell>
        </row>
        <row r="73">
          <cell r="A73" t="str">
            <v>1.5.4</v>
          </cell>
          <cell r="B73"/>
          <cell r="C73"/>
          <cell r="D73"/>
          <cell r="E73"/>
          <cell r="F73"/>
          <cell r="G73"/>
          <cell r="H73">
            <v>0</v>
          </cell>
          <cell r="I73"/>
          <cell r="J73"/>
          <cell r="K73"/>
          <cell r="L73"/>
          <cell r="M73"/>
          <cell r="N73"/>
          <cell r="O73"/>
          <cell r="P73">
            <v>0</v>
          </cell>
        </row>
        <row r="74">
          <cell r="A74" t="str">
            <v>1.5.5</v>
          </cell>
          <cell r="B74"/>
          <cell r="C74"/>
          <cell r="D74"/>
          <cell r="E74"/>
          <cell r="F74"/>
          <cell r="G74"/>
          <cell r="H74">
            <v>0</v>
          </cell>
          <cell r="I74"/>
          <cell r="J74"/>
          <cell r="K74"/>
          <cell r="L74"/>
          <cell r="M74"/>
          <cell r="N74"/>
          <cell r="O74"/>
          <cell r="P74">
            <v>0</v>
          </cell>
        </row>
        <row r="75">
          <cell r="A75" t="str">
            <v>1.5.6</v>
          </cell>
          <cell r="B75"/>
          <cell r="C75"/>
          <cell r="D75"/>
          <cell r="E75"/>
          <cell r="F75"/>
          <cell r="G75"/>
          <cell r="H75">
            <v>0</v>
          </cell>
          <cell r="I75"/>
          <cell r="J75"/>
          <cell r="K75"/>
          <cell r="L75"/>
          <cell r="M75"/>
          <cell r="N75"/>
          <cell r="O75"/>
          <cell r="P75">
            <v>0</v>
          </cell>
        </row>
        <row r="76">
          <cell r="A76" t="str">
            <v>1.5.7</v>
          </cell>
          <cell r="B76"/>
          <cell r="C76"/>
          <cell r="D76"/>
          <cell r="E76"/>
          <cell r="F76"/>
          <cell r="G76"/>
          <cell r="H76">
            <v>0</v>
          </cell>
          <cell r="I76"/>
          <cell r="J76"/>
          <cell r="K76"/>
          <cell r="L76"/>
          <cell r="M76"/>
          <cell r="N76"/>
          <cell r="O76"/>
          <cell r="P76">
            <v>0</v>
          </cell>
        </row>
        <row r="77">
          <cell r="A77" t="str">
            <v>1.5.8</v>
          </cell>
          <cell r="B77"/>
          <cell r="C77"/>
          <cell r="D77"/>
          <cell r="E77"/>
          <cell r="F77"/>
          <cell r="G77"/>
          <cell r="H77">
            <v>0</v>
          </cell>
          <cell r="I77"/>
          <cell r="J77"/>
          <cell r="K77"/>
          <cell r="L77"/>
          <cell r="M77"/>
          <cell r="N77"/>
          <cell r="O77"/>
          <cell r="P77">
            <v>0</v>
          </cell>
        </row>
        <row r="78">
          <cell r="A78" t="str">
            <v>1.5.9</v>
          </cell>
          <cell r="B78">
            <v>25000</v>
          </cell>
          <cell r="C78"/>
          <cell r="D78"/>
          <cell r="E78"/>
          <cell r="F78"/>
          <cell r="G78"/>
          <cell r="H78">
            <v>25000</v>
          </cell>
          <cell r="I78"/>
          <cell r="J78"/>
          <cell r="K78"/>
          <cell r="L78"/>
          <cell r="M78"/>
          <cell r="N78"/>
          <cell r="O78"/>
          <cell r="P78">
            <v>0</v>
          </cell>
        </row>
        <row r="79">
          <cell r="A79" t="str">
            <v>1.5.10</v>
          </cell>
          <cell r="B79"/>
          <cell r="C79"/>
          <cell r="D79"/>
          <cell r="E79"/>
          <cell r="F79"/>
          <cell r="G79"/>
          <cell r="H79">
            <v>0</v>
          </cell>
          <cell r="I79"/>
          <cell r="J79"/>
          <cell r="K79"/>
          <cell r="L79"/>
          <cell r="M79"/>
          <cell r="N79"/>
          <cell r="O79"/>
          <cell r="P79">
            <v>0</v>
          </cell>
        </row>
        <row r="80">
          <cell r="A80" t="str">
            <v>1.5.11</v>
          </cell>
          <cell r="B80"/>
          <cell r="C80"/>
          <cell r="D80"/>
          <cell r="E80"/>
          <cell r="F80"/>
          <cell r="G80"/>
          <cell r="H80">
            <v>0</v>
          </cell>
          <cell r="I80"/>
          <cell r="J80"/>
          <cell r="K80"/>
          <cell r="L80"/>
          <cell r="M80"/>
          <cell r="N80"/>
          <cell r="O80"/>
          <cell r="P80">
            <v>0</v>
          </cell>
        </row>
        <row r="81">
          <cell r="A81" t="str">
            <v>1.5.12</v>
          </cell>
          <cell r="B81"/>
          <cell r="C81"/>
          <cell r="D81"/>
          <cell r="E81"/>
          <cell r="F81"/>
          <cell r="G81"/>
          <cell r="H81">
            <v>0</v>
          </cell>
          <cell r="I81" t="str">
            <v>RessourcesinternesetbudgetdelamesureM6.14</v>
          </cell>
          <cell r="J81"/>
          <cell r="K81"/>
          <cell r="L81"/>
          <cell r="M81"/>
          <cell r="N81"/>
          <cell r="O81"/>
          <cell r="P81">
            <v>0</v>
          </cell>
        </row>
        <row r="82">
          <cell r="A82" t="str">
            <v>1.5.13</v>
          </cell>
          <cell r="B82"/>
          <cell r="C82"/>
          <cell r="D82"/>
          <cell r="E82"/>
          <cell r="F82"/>
          <cell r="G82"/>
          <cell r="H82">
            <v>0</v>
          </cell>
          <cell r="I82" t="str">
            <v>RessourcesinternesetbudgetdelamesureM6.14</v>
          </cell>
          <cell r="J82"/>
          <cell r="K82"/>
          <cell r="L82"/>
          <cell r="M82"/>
          <cell r="N82"/>
          <cell r="O82"/>
          <cell r="P82">
            <v>0</v>
          </cell>
        </row>
        <row r="83">
          <cell r="A83" t="str">
            <v>1.5.14</v>
          </cell>
          <cell r="B83"/>
          <cell r="C83"/>
          <cell r="D83"/>
          <cell r="E83"/>
          <cell r="F83"/>
          <cell r="G83"/>
          <cell r="H83">
            <v>0</v>
          </cell>
          <cell r="I83" t="str">
            <v>RessourcesinternesetbudgetdelamesureM6.14</v>
          </cell>
          <cell r="J83"/>
          <cell r="K83"/>
          <cell r="L83"/>
          <cell r="M83"/>
          <cell r="N83"/>
          <cell r="O83"/>
          <cell r="P83">
            <v>0</v>
          </cell>
        </row>
        <row r="84">
          <cell r="A84" t="str">
            <v>1.5.15</v>
          </cell>
          <cell r="B84"/>
          <cell r="C84"/>
          <cell r="D84"/>
          <cell r="E84"/>
          <cell r="F84"/>
          <cell r="G84"/>
          <cell r="H84">
            <v>0</v>
          </cell>
          <cell r="I84" t="str">
            <v>RessourcesinternesetbudgetdelamesureM6.14</v>
          </cell>
          <cell r="J84"/>
          <cell r="K84"/>
          <cell r="L84"/>
          <cell r="M84"/>
          <cell r="N84"/>
          <cell r="O84"/>
          <cell r="P84">
            <v>0</v>
          </cell>
        </row>
        <row r="85">
          <cell r="A85" t="str">
            <v>1.5.16</v>
          </cell>
          <cell r="B85"/>
          <cell r="C85"/>
          <cell r="D85"/>
          <cell r="E85"/>
          <cell r="F85"/>
          <cell r="G85"/>
          <cell r="H85">
            <v>0</v>
          </cell>
          <cell r="I85" t="str">
            <v>RessourcesinternesetbudgetdelamesureM6.14</v>
          </cell>
          <cell r="J85"/>
          <cell r="K85"/>
          <cell r="L85"/>
          <cell r="M85"/>
          <cell r="N85"/>
          <cell r="O85"/>
          <cell r="P85">
            <v>0</v>
          </cell>
        </row>
        <row r="86">
          <cell r="A86" t="str">
            <v>1.5.17</v>
          </cell>
          <cell r="B86">
            <v>17000</v>
          </cell>
          <cell r="C86"/>
          <cell r="D86"/>
          <cell r="E86"/>
          <cell r="F86"/>
          <cell r="G86"/>
          <cell r="H86">
            <v>17000</v>
          </cell>
          <cell r="I86"/>
          <cell r="J86"/>
          <cell r="K86"/>
          <cell r="L86"/>
          <cell r="M86"/>
          <cell r="N86"/>
          <cell r="O86"/>
          <cell r="P86">
            <v>0</v>
          </cell>
        </row>
        <row r="87">
          <cell r="A87" t="str">
            <v>1.5.18</v>
          </cell>
          <cell r="B87"/>
          <cell r="C87"/>
          <cell r="D87"/>
          <cell r="E87"/>
          <cell r="F87"/>
          <cell r="G87"/>
          <cell r="H87">
            <v>0</v>
          </cell>
          <cell r="I87"/>
          <cell r="J87"/>
          <cell r="K87"/>
          <cell r="L87"/>
          <cell r="M87"/>
          <cell r="N87"/>
          <cell r="O87"/>
          <cell r="P87">
            <v>0</v>
          </cell>
        </row>
        <row r="88">
          <cell r="A88" t="str">
            <v>1.5.19</v>
          </cell>
          <cell r="B88">
            <v>25000</v>
          </cell>
          <cell r="C88"/>
          <cell r="D88"/>
          <cell r="E88"/>
          <cell r="F88"/>
          <cell r="G88"/>
          <cell r="H88">
            <v>25000</v>
          </cell>
          <cell r="I88"/>
          <cell r="J88"/>
          <cell r="K88"/>
          <cell r="L88"/>
          <cell r="M88"/>
          <cell r="N88"/>
          <cell r="O88"/>
          <cell r="P88">
            <v>0</v>
          </cell>
        </row>
        <row r="89">
          <cell r="A89" t="str">
            <v>1.5.20</v>
          </cell>
          <cell r="B89"/>
          <cell r="C89"/>
          <cell r="D89"/>
          <cell r="E89"/>
          <cell r="F89"/>
          <cell r="G89"/>
          <cell r="H89">
            <v>0</v>
          </cell>
          <cell r="I89"/>
          <cell r="J89"/>
          <cell r="K89"/>
          <cell r="L89"/>
          <cell r="M89"/>
          <cell r="N89"/>
          <cell r="O89"/>
          <cell r="P89">
            <v>0</v>
          </cell>
        </row>
        <row r="90">
          <cell r="A90" t="str">
            <v>1.5.21</v>
          </cell>
          <cell r="B90"/>
          <cell r="C90"/>
          <cell r="D90"/>
          <cell r="E90"/>
          <cell r="F90"/>
          <cell r="G90"/>
          <cell r="H90">
            <v>0</v>
          </cell>
          <cell r="I90"/>
          <cell r="J90"/>
          <cell r="K90"/>
          <cell r="L90"/>
          <cell r="M90"/>
          <cell r="N90"/>
          <cell r="O90"/>
          <cell r="P90">
            <v>0</v>
          </cell>
        </row>
        <row r="91">
          <cell r="A91" t="str">
            <v>1.5.22</v>
          </cell>
          <cell r="B91"/>
          <cell r="C91"/>
          <cell r="D91"/>
          <cell r="E91"/>
          <cell r="F91"/>
          <cell r="G91"/>
          <cell r="H91">
            <v>0</v>
          </cell>
          <cell r="I91" t="str">
            <v>RessourcesinternesetbudgetdelamesureM6.14</v>
          </cell>
          <cell r="J91"/>
          <cell r="K91"/>
          <cell r="L91"/>
          <cell r="M91"/>
          <cell r="N91"/>
          <cell r="O91"/>
          <cell r="P91">
            <v>0</v>
          </cell>
        </row>
        <row r="92">
          <cell r="A92" t="str">
            <v>1.5.23</v>
          </cell>
          <cell r="B92"/>
          <cell r="C92"/>
          <cell r="D92"/>
          <cell r="E92"/>
          <cell r="F92"/>
          <cell r="G92"/>
          <cell r="H92">
            <v>0</v>
          </cell>
          <cell r="I92"/>
          <cell r="J92"/>
          <cell r="K92"/>
          <cell r="L92"/>
          <cell r="M92"/>
          <cell r="N92"/>
          <cell r="O92"/>
          <cell r="P92">
            <v>0</v>
          </cell>
        </row>
        <row r="93">
          <cell r="A93" t="str">
            <v>1.6.1</v>
          </cell>
          <cell r="B93"/>
          <cell r="C93"/>
          <cell r="D93"/>
          <cell r="E93"/>
          <cell r="F93"/>
          <cell r="G93"/>
          <cell r="H93">
            <v>0</v>
          </cell>
          <cell r="I93"/>
          <cell r="J93"/>
          <cell r="K93"/>
          <cell r="L93"/>
          <cell r="M93"/>
          <cell r="N93"/>
          <cell r="O93"/>
          <cell r="P93">
            <v>0</v>
          </cell>
        </row>
        <row r="94">
          <cell r="A94" t="str">
            <v>1.6.2</v>
          </cell>
          <cell r="B94">
            <v>100000</v>
          </cell>
          <cell r="C94"/>
          <cell r="D94"/>
          <cell r="E94">
            <v>100000</v>
          </cell>
          <cell r="F94"/>
          <cell r="G94"/>
          <cell r="H94">
            <v>200000</v>
          </cell>
          <cell r="I94"/>
          <cell r="J94"/>
          <cell r="K94"/>
          <cell r="L94"/>
          <cell r="M94"/>
          <cell r="N94"/>
          <cell r="O94"/>
          <cell r="P94">
            <v>0</v>
          </cell>
        </row>
        <row r="95">
          <cell r="A95" t="str">
            <v>1.6.3</v>
          </cell>
          <cell r="B95"/>
          <cell r="C95"/>
          <cell r="D95"/>
          <cell r="E95"/>
          <cell r="F95"/>
          <cell r="G95"/>
          <cell r="H95">
            <v>0</v>
          </cell>
          <cell r="I95"/>
          <cell r="J95"/>
          <cell r="K95"/>
          <cell r="L95"/>
          <cell r="M95"/>
          <cell r="N95"/>
          <cell r="O95"/>
          <cell r="P95">
            <v>0</v>
          </cell>
        </row>
        <row r="96">
          <cell r="A96" t="str">
            <v>1.6.4</v>
          </cell>
          <cell r="B96"/>
          <cell r="C96"/>
          <cell r="D96"/>
          <cell r="E96"/>
          <cell r="F96"/>
          <cell r="G96"/>
          <cell r="H96">
            <v>0</v>
          </cell>
          <cell r="I96"/>
          <cell r="J96"/>
          <cell r="K96"/>
          <cell r="L96"/>
          <cell r="M96"/>
          <cell r="N96"/>
          <cell r="O96"/>
          <cell r="P96">
            <v>0</v>
          </cell>
        </row>
        <row r="97">
          <cell r="A97" t="str">
            <v>1.6.5</v>
          </cell>
          <cell r="B97"/>
          <cell r="C97"/>
          <cell r="D97"/>
          <cell r="E97"/>
          <cell r="F97"/>
          <cell r="G97"/>
          <cell r="H97">
            <v>0</v>
          </cell>
          <cell r="I97"/>
          <cell r="J97"/>
          <cell r="K97"/>
          <cell r="L97"/>
          <cell r="M97"/>
          <cell r="N97"/>
          <cell r="O97"/>
          <cell r="P97">
            <v>0</v>
          </cell>
        </row>
        <row r="98">
          <cell r="A98" t="str">
            <v>1.6.6</v>
          </cell>
          <cell r="B98"/>
          <cell r="C98"/>
          <cell r="D98"/>
          <cell r="E98"/>
          <cell r="F98"/>
          <cell r="G98"/>
          <cell r="H98">
            <v>0</v>
          </cell>
          <cell r="I98"/>
          <cell r="J98"/>
          <cell r="K98"/>
          <cell r="L98"/>
          <cell r="M98"/>
          <cell r="N98"/>
          <cell r="O98"/>
          <cell r="P98">
            <v>0</v>
          </cell>
        </row>
        <row r="99">
          <cell r="A99" t="str">
            <v>1.6.7</v>
          </cell>
          <cell r="B99"/>
          <cell r="C99"/>
          <cell r="D99"/>
          <cell r="E99"/>
          <cell r="F99"/>
          <cell r="G99"/>
          <cell r="H99">
            <v>0</v>
          </cell>
          <cell r="I99"/>
          <cell r="J99"/>
          <cell r="K99"/>
          <cell r="L99"/>
          <cell r="M99"/>
          <cell r="N99"/>
          <cell r="O99"/>
          <cell r="P99">
            <v>0</v>
          </cell>
        </row>
        <row r="100">
          <cell r="A100" t="str">
            <v>1.7.1</v>
          </cell>
          <cell r="B100"/>
          <cell r="C100"/>
          <cell r="D100"/>
          <cell r="E100"/>
          <cell r="F100"/>
          <cell r="G100"/>
          <cell r="H100">
            <v>0</v>
          </cell>
          <cell r="I100"/>
          <cell r="J100"/>
          <cell r="K100"/>
          <cell r="L100"/>
          <cell r="M100"/>
          <cell r="N100"/>
          <cell r="O100"/>
          <cell r="P100">
            <v>0</v>
          </cell>
        </row>
        <row r="101">
          <cell r="A101" t="str">
            <v>1.7.2</v>
          </cell>
          <cell r="B101"/>
          <cell r="C101"/>
          <cell r="D101"/>
          <cell r="E101"/>
          <cell r="F101"/>
          <cell r="G101"/>
          <cell r="H101">
            <v>0</v>
          </cell>
          <cell r="I101"/>
          <cell r="J101"/>
          <cell r="K101"/>
          <cell r="L101"/>
          <cell r="M101"/>
          <cell r="N101"/>
          <cell r="O101"/>
          <cell r="P101">
            <v>0</v>
          </cell>
        </row>
        <row r="102">
          <cell r="A102" t="str">
            <v>1.7.3</v>
          </cell>
          <cell r="B102"/>
          <cell r="C102"/>
          <cell r="D102"/>
          <cell r="E102"/>
          <cell r="F102"/>
          <cell r="G102"/>
          <cell r="H102">
            <v>0</v>
          </cell>
          <cell r="I102"/>
          <cell r="J102"/>
          <cell r="K102"/>
          <cell r="L102"/>
          <cell r="M102"/>
          <cell r="N102"/>
          <cell r="O102"/>
          <cell r="P102">
            <v>0</v>
          </cell>
        </row>
        <row r="103">
          <cell r="A103" t="str">
            <v>1.7.4</v>
          </cell>
          <cell r="B103"/>
          <cell r="C103"/>
          <cell r="D103"/>
          <cell r="E103"/>
          <cell r="F103"/>
          <cell r="G103"/>
          <cell r="H103">
            <v>0</v>
          </cell>
          <cell r="I103"/>
          <cell r="J103"/>
          <cell r="K103"/>
          <cell r="L103"/>
          <cell r="M103"/>
          <cell r="N103"/>
          <cell r="O103"/>
          <cell r="P103">
            <v>0</v>
          </cell>
        </row>
        <row r="104">
          <cell r="A104" t="str">
            <v>1.7.5</v>
          </cell>
          <cell r="B104"/>
          <cell r="C104">
            <v>40000</v>
          </cell>
          <cell r="D104">
            <v>35000</v>
          </cell>
          <cell r="E104"/>
          <cell r="F104"/>
          <cell r="G104"/>
          <cell r="H104">
            <v>75000</v>
          </cell>
          <cell r="I104"/>
          <cell r="J104"/>
          <cell r="K104"/>
          <cell r="L104"/>
          <cell r="M104"/>
          <cell r="N104"/>
          <cell r="O104"/>
          <cell r="P104">
            <v>0</v>
          </cell>
        </row>
        <row r="105">
          <cell r="A105" t="str">
            <v>1.7.6</v>
          </cell>
          <cell r="B105"/>
          <cell r="C105"/>
          <cell r="D105"/>
          <cell r="E105"/>
          <cell r="F105"/>
          <cell r="G105"/>
          <cell r="H105">
            <v>0</v>
          </cell>
          <cell r="I105"/>
          <cell r="J105"/>
          <cell r="K105"/>
          <cell r="L105"/>
          <cell r="M105"/>
          <cell r="N105"/>
          <cell r="O105"/>
          <cell r="P105">
            <v>0</v>
          </cell>
        </row>
        <row r="106">
          <cell r="A106" t="str">
            <v>1.8.1</v>
          </cell>
          <cell r="B106">
            <v>15000</v>
          </cell>
          <cell r="C106"/>
          <cell r="D106"/>
          <cell r="E106"/>
          <cell r="F106"/>
          <cell r="G106"/>
          <cell r="H106">
            <v>15000</v>
          </cell>
          <cell r="I106"/>
          <cell r="J106"/>
          <cell r="K106"/>
          <cell r="L106"/>
          <cell r="M106"/>
          <cell r="N106"/>
          <cell r="O106"/>
          <cell r="P106">
            <v>0</v>
          </cell>
        </row>
        <row r="107">
          <cell r="A107" t="str">
            <v>1.8.2</v>
          </cell>
          <cell r="B107">
            <v>15000</v>
          </cell>
          <cell r="C107"/>
          <cell r="D107"/>
          <cell r="E107"/>
          <cell r="F107"/>
          <cell r="G107"/>
          <cell r="H107">
            <v>15000</v>
          </cell>
          <cell r="I107"/>
          <cell r="J107"/>
          <cell r="K107"/>
          <cell r="L107"/>
          <cell r="M107"/>
          <cell r="N107"/>
          <cell r="O107"/>
          <cell r="P107">
            <v>0</v>
          </cell>
        </row>
        <row r="108">
          <cell r="A108" t="str">
            <v>1.8.3</v>
          </cell>
          <cell r="B108"/>
          <cell r="C108"/>
          <cell r="D108"/>
          <cell r="E108"/>
          <cell r="F108"/>
          <cell r="G108"/>
          <cell r="H108">
            <v>0</v>
          </cell>
          <cell r="I108" t="str">
            <v>Budgétisédanslamesure1.22</v>
          </cell>
          <cell r="J108"/>
          <cell r="K108"/>
          <cell r="L108"/>
          <cell r="M108"/>
          <cell r="N108"/>
          <cell r="O108"/>
          <cell r="P108">
            <v>0</v>
          </cell>
        </row>
        <row r="109">
          <cell r="A109" t="str">
            <v>1.8.4</v>
          </cell>
          <cell r="B109"/>
          <cell r="C109">
            <v>10000</v>
          </cell>
          <cell r="D109"/>
          <cell r="E109"/>
          <cell r="F109"/>
          <cell r="G109"/>
          <cell r="H109">
            <v>10000</v>
          </cell>
          <cell r="I109"/>
          <cell r="J109"/>
          <cell r="K109"/>
          <cell r="L109"/>
          <cell r="M109"/>
          <cell r="N109"/>
          <cell r="O109"/>
          <cell r="P109">
            <v>0</v>
          </cell>
        </row>
        <row r="110">
          <cell r="A110" t="str">
            <v>1.8.5</v>
          </cell>
          <cell r="B110"/>
          <cell r="C110">
            <v>200000</v>
          </cell>
          <cell r="D110">
            <v>200000</v>
          </cell>
          <cell r="E110">
            <v>200000</v>
          </cell>
          <cell r="F110">
            <v>200000</v>
          </cell>
          <cell r="G110">
            <v>200000</v>
          </cell>
          <cell r="H110">
            <v>1000000</v>
          </cell>
          <cell r="I110"/>
          <cell r="J110"/>
          <cell r="K110"/>
          <cell r="L110"/>
          <cell r="M110"/>
          <cell r="N110"/>
          <cell r="O110"/>
          <cell r="P110">
            <v>0</v>
          </cell>
        </row>
        <row r="111">
          <cell r="A111" t="str">
            <v>1.8.6</v>
          </cell>
          <cell r="B111"/>
          <cell r="C111"/>
          <cell r="D111">
            <v>200000</v>
          </cell>
          <cell r="E111">
            <v>200000</v>
          </cell>
          <cell r="F111">
            <v>200000</v>
          </cell>
          <cell r="G111">
            <v>200000</v>
          </cell>
          <cell r="H111">
            <v>800000</v>
          </cell>
          <cell r="I111"/>
          <cell r="J111"/>
          <cell r="K111"/>
          <cell r="L111"/>
          <cell r="M111"/>
          <cell r="N111"/>
          <cell r="O111"/>
          <cell r="P111">
            <v>0</v>
          </cell>
        </row>
        <row r="112">
          <cell r="A112" t="str">
            <v>1.8.7</v>
          </cell>
          <cell r="B112">
            <v>50000</v>
          </cell>
          <cell r="C112">
            <v>50000</v>
          </cell>
          <cell r="D112">
            <v>50000</v>
          </cell>
          <cell r="E112">
            <v>50000</v>
          </cell>
          <cell r="F112">
            <v>50000</v>
          </cell>
          <cell r="G112">
            <v>50000</v>
          </cell>
          <cell r="H112">
            <v>300000</v>
          </cell>
          <cell r="I112"/>
          <cell r="J112"/>
          <cell r="K112"/>
          <cell r="L112"/>
          <cell r="M112"/>
          <cell r="N112"/>
          <cell r="O112"/>
          <cell r="P112">
            <v>0</v>
          </cell>
        </row>
        <row r="113">
          <cell r="A113" t="str">
            <v>1.8.8</v>
          </cell>
          <cell r="B113">
            <v>20000</v>
          </cell>
          <cell r="C113">
            <v>20000</v>
          </cell>
          <cell r="D113">
            <v>20000</v>
          </cell>
          <cell r="E113">
            <v>20000</v>
          </cell>
          <cell r="F113">
            <v>20000</v>
          </cell>
          <cell r="G113">
            <v>20000</v>
          </cell>
          <cell r="H113">
            <v>120000</v>
          </cell>
          <cell r="I113"/>
          <cell r="J113"/>
          <cell r="K113"/>
          <cell r="L113"/>
          <cell r="M113"/>
          <cell r="N113"/>
          <cell r="O113"/>
          <cell r="P113">
            <v>0</v>
          </cell>
        </row>
        <row r="114">
          <cell r="A114" t="str">
            <v>1,8,A</v>
          </cell>
          <cell r="B114"/>
          <cell r="C114"/>
          <cell r="D114"/>
          <cell r="E114"/>
          <cell r="F114"/>
          <cell r="G114"/>
          <cell r="H114">
            <v>0</v>
          </cell>
          <cell r="I114"/>
          <cell r="J114"/>
          <cell r="K114"/>
          <cell r="L114"/>
          <cell r="M114">
            <v>1000000</v>
          </cell>
          <cell r="N114">
            <v>1000000</v>
          </cell>
          <cell r="O114">
            <v>1000000</v>
          </cell>
          <cell r="P114">
            <v>3000000</v>
          </cell>
        </row>
        <row r="115">
          <cell r="A115" t="str">
            <v>1.9.1</v>
          </cell>
          <cell r="B115"/>
          <cell r="C115"/>
          <cell r="D115"/>
          <cell r="E115"/>
          <cell r="F115"/>
          <cell r="G115"/>
          <cell r="H115">
            <v>0</v>
          </cell>
          <cell r="I115"/>
          <cell r="J115"/>
          <cell r="K115"/>
          <cell r="L115"/>
          <cell r="M115"/>
          <cell r="N115"/>
          <cell r="O115"/>
          <cell r="P115">
            <v>0</v>
          </cell>
        </row>
        <row r="116">
          <cell r="A116" t="str">
            <v>1.9.2</v>
          </cell>
          <cell r="B116"/>
          <cell r="C116"/>
          <cell r="D116"/>
          <cell r="E116"/>
          <cell r="F116"/>
          <cell r="G116"/>
          <cell r="H116">
            <v>0</v>
          </cell>
          <cell r="I116" t="str">
            <v>Ressourcesinternes?</v>
          </cell>
          <cell r="J116"/>
          <cell r="K116"/>
          <cell r="L116"/>
          <cell r="M116"/>
          <cell r="N116"/>
          <cell r="O116"/>
          <cell r="P116">
            <v>0</v>
          </cell>
        </row>
        <row r="117">
          <cell r="A117" t="str">
            <v>1.9.3</v>
          </cell>
          <cell r="B117">
            <v>500000</v>
          </cell>
          <cell r="C117">
            <v>900000</v>
          </cell>
          <cell r="D117"/>
          <cell r="E117"/>
          <cell r="F117"/>
          <cell r="G117"/>
          <cell r="H117">
            <v>1400000</v>
          </cell>
          <cell r="I117"/>
          <cell r="J117"/>
          <cell r="K117"/>
          <cell r="L117"/>
          <cell r="M117"/>
          <cell r="N117"/>
          <cell r="O117"/>
          <cell r="P117">
            <v>0</v>
          </cell>
        </row>
        <row r="118">
          <cell r="A118" t="str">
            <v>1.9.4</v>
          </cell>
          <cell r="B118"/>
          <cell r="C118">
            <v>100000</v>
          </cell>
          <cell r="D118"/>
          <cell r="E118"/>
          <cell r="F118"/>
          <cell r="G118"/>
          <cell r="H118">
            <v>100000</v>
          </cell>
          <cell r="I118"/>
          <cell r="J118"/>
          <cell r="K118"/>
          <cell r="L118"/>
          <cell r="M118"/>
          <cell r="N118"/>
          <cell r="O118"/>
          <cell r="P118">
            <v>0</v>
          </cell>
        </row>
        <row r="119">
          <cell r="A119" t="str">
            <v>1.9.5</v>
          </cell>
          <cell r="B119">
            <v>100000</v>
          </cell>
          <cell r="C119"/>
          <cell r="D119"/>
          <cell r="E119"/>
          <cell r="F119"/>
          <cell r="G119"/>
          <cell r="H119">
            <v>100000</v>
          </cell>
          <cell r="I119"/>
          <cell r="J119"/>
          <cell r="K119"/>
          <cell r="L119"/>
          <cell r="M119"/>
          <cell r="N119"/>
          <cell r="O119"/>
          <cell r="P119">
            <v>0</v>
          </cell>
        </row>
        <row r="120">
          <cell r="A120" t="str">
            <v>1.9.6</v>
          </cell>
          <cell r="B120"/>
          <cell r="C120">
            <v>150000</v>
          </cell>
          <cell r="D120">
            <v>150000</v>
          </cell>
          <cell r="E120"/>
          <cell r="F120"/>
          <cell r="G120"/>
          <cell r="H120">
            <v>300000</v>
          </cell>
          <cell r="I120"/>
          <cell r="J120"/>
          <cell r="K120"/>
          <cell r="L120"/>
          <cell r="M120"/>
          <cell r="N120"/>
          <cell r="O120"/>
          <cell r="P120">
            <v>0</v>
          </cell>
        </row>
        <row r="121">
          <cell r="A121" t="str">
            <v>1.9.7</v>
          </cell>
          <cell r="B121"/>
          <cell r="C121"/>
          <cell r="D121"/>
          <cell r="E121">
            <v>20000</v>
          </cell>
          <cell r="F121"/>
          <cell r="G121"/>
          <cell r="H121">
            <v>20000</v>
          </cell>
          <cell r="I121"/>
          <cell r="J121"/>
          <cell r="K121"/>
          <cell r="L121"/>
          <cell r="M121"/>
          <cell r="N121"/>
          <cell r="O121"/>
          <cell r="P121">
            <v>0</v>
          </cell>
        </row>
        <row r="122">
          <cell r="A122" t="str">
            <v>1.9.8</v>
          </cell>
          <cell r="B122"/>
          <cell r="C122"/>
          <cell r="D122">
            <v>1500000</v>
          </cell>
          <cell r="E122">
            <v>1150000</v>
          </cell>
          <cell r="F122">
            <v>150000</v>
          </cell>
          <cell r="G122">
            <v>150000</v>
          </cell>
          <cell r="H122">
            <v>2950000</v>
          </cell>
          <cell r="I122"/>
          <cell r="J122"/>
          <cell r="K122"/>
          <cell r="L122"/>
          <cell r="M122"/>
          <cell r="N122"/>
          <cell r="O122"/>
          <cell r="P122">
            <v>0</v>
          </cell>
        </row>
        <row r="123">
          <cell r="A123" t="str">
            <v>1.9.8.1</v>
          </cell>
          <cell r="B123"/>
          <cell r="C123"/>
          <cell r="D123">
            <v>1500000</v>
          </cell>
          <cell r="E123">
            <v>1000000</v>
          </cell>
          <cell r="F123"/>
          <cell r="G123"/>
          <cell r="H123">
            <v>2500000</v>
          </cell>
          <cell r="I123" t="str">
            <v>SBGE</v>
          </cell>
          <cell r="J123"/>
          <cell r="K123"/>
          <cell r="L123"/>
          <cell r="M123"/>
          <cell r="N123"/>
          <cell r="O123"/>
          <cell r="P123">
            <v>0</v>
          </cell>
        </row>
        <row r="124">
          <cell r="A124" t="str">
            <v>1.9.8.2</v>
          </cell>
          <cell r="B124"/>
          <cell r="C124"/>
          <cell r="D124"/>
          <cell r="E124">
            <v>150000</v>
          </cell>
          <cell r="F124">
            <v>150000</v>
          </cell>
          <cell r="G124">
            <v>150000</v>
          </cell>
          <cell r="H124">
            <v>450000</v>
          </cell>
          <cell r="I124" t="str">
            <v>VIVAQUA</v>
          </cell>
          <cell r="J124"/>
          <cell r="K124"/>
          <cell r="L124"/>
          <cell r="M124"/>
          <cell r="N124"/>
          <cell r="O124"/>
          <cell r="P124">
            <v>0</v>
          </cell>
        </row>
        <row r="125">
          <cell r="A125" t="str">
            <v>1.9.A</v>
          </cell>
          <cell r="B125"/>
          <cell r="C125"/>
          <cell r="D125"/>
          <cell r="E125"/>
          <cell r="F125"/>
          <cell r="G125"/>
          <cell r="H125">
            <v>0</v>
          </cell>
          <cell r="I125" t="str">
            <v>Prévudanslamesure5,2*9</v>
          </cell>
          <cell r="J125"/>
          <cell r="K125"/>
          <cell r="L125"/>
          <cell r="M125"/>
          <cell r="N125"/>
          <cell r="O125"/>
          <cell r="P125">
            <v>0</v>
          </cell>
        </row>
        <row r="126">
          <cell r="A126" t="str">
            <v>1.10.1</v>
          </cell>
          <cell r="B126">
            <v>800000</v>
          </cell>
          <cell r="C126">
            <v>300000</v>
          </cell>
          <cell r="D126">
            <v>300000</v>
          </cell>
          <cell r="E126"/>
          <cell r="F126"/>
          <cell r="G126"/>
          <cell r="H126">
            <v>1400000</v>
          </cell>
          <cell r="I126"/>
          <cell r="J126"/>
          <cell r="K126"/>
          <cell r="L126"/>
          <cell r="M126"/>
          <cell r="N126"/>
          <cell r="O126"/>
          <cell r="P126">
            <v>0</v>
          </cell>
        </row>
        <row r="127">
          <cell r="A127" t="str">
            <v>1.10.2</v>
          </cell>
          <cell r="B127"/>
          <cell r="C127"/>
          <cell r="D127"/>
          <cell r="E127"/>
          <cell r="F127"/>
          <cell r="G127"/>
          <cell r="H127">
            <v>0</v>
          </cell>
          <cell r="I127"/>
          <cell r="J127"/>
          <cell r="K127"/>
          <cell r="L127"/>
          <cell r="M127"/>
          <cell r="N127"/>
          <cell r="O127"/>
          <cell r="P127">
            <v>0</v>
          </cell>
        </row>
        <row r="128">
          <cell r="A128" t="str">
            <v>1.10.3</v>
          </cell>
          <cell r="B128"/>
          <cell r="C128"/>
          <cell r="D128"/>
          <cell r="E128">
            <v>300000</v>
          </cell>
          <cell r="F128">
            <v>300000</v>
          </cell>
          <cell r="G128">
            <v>300000</v>
          </cell>
          <cell r="H128">
            <v>900000</v>
          </cell>
          <cell r="I128"/>
          <cell r="J128"/>
          <cell r="K128"/>
          <cell r="L128"/>
          <cell r="M128"/>
          <cell r="N128"/>
          <cell r="O128"/>
          <cell r="P128">
            <v>0</v>
          </cell>
        </row>
        <row r="129">
          <cell r="A129" t="str">
            <v>1.10.4</v>
          </cell>
          <cell r="B129"/>
          <cell r="C129"/>
          <cell r="D129"/>
          <cell r="E129"/>
          <cell r="F129"/>
          <cell r="G129"/>
          <cell r="H129">
            <v>0</v>
          </cell>
          <cell r="I129"/>
          <cell r="J129"/>
          <cell r="K129"/>
          <cell r="L129"/>
          <cell r="M129"/>
          <cell r="N129"/>
          <cell r="O129"/>
          <cell r="P129">
            <v>0</v>
          </cell>
        </row>
        <row r="130">
          <cell r="A130" t="str">
            <v>1.11.1 </v>
          </cell>
          <cell r="B130"/>
          <cell r="C130"/>
          <cell r="D130"/>
          <cell r="E130"/>
          <cell r="F130"/>
          <cell r="G130"/>
          <cell r="H130">
            <v>0</v>
          </cell>
          <cell r="I130"/>
          <cell r="J130"/>
          <cell r="K130"/>
          <cell r="L130"/>
          <cell r="M130"/>
          <cell r="N130"/>
          <cell r="O130"/>
          <cell r="P130">
            <v>0</v>
          </cell>
        </row>
        <row r="131">
          <cell r="A131" t="str">
            <v>1.11.2</v>
          </cell>
          <cell r="B131"/>
          <cell r="C131"/>
          <cell r="D131"/>
          <cell r="E131"/>
          <cell r="F131"/>
          <cell r="G131"/>
          <cell r="H131">
            <v>0</v>
          </cell>
          <cell r="I131"/>
          <cell r="J131"/>
          <cell r="K131"/>
          <cell r="L131"/>
          <cell r="M131"/>
          <cell r="N131"/>
          <cell r="O131"/>
          <cell r="P131">
            <v>0</v>
          </cell>
        </row>
        <row r="132">
          <cell r="A132" t="str">
            <v>1.11.3</v>
          </cell>
          <cell r="B132">
            <v>22000</v>
          </cell>
          <cell r="C132"/>
          <cell r="D132"/>
          <cell r="E132"/>
          <cell r="F132"/>
          <cell r="G132"/>
          <cell r="H132">
            <v>22000</v>
          </cell>
          <cell r="I132"/>
          <cell r="J132"/>
          <cell r="K132"/>
          <cell r="L132"/>
          <cell r="M132"/>
          <cell r="N132"/>
          <cell r="O132"/>
          <cell r="P132">
            <v>0</v>
          </cell>
        </row>
        <row r="133">
          <cell r="A133" t="str">
            <v>1.11.4</v>
          </cell>
          <cell r="B133"/>
          <cell r="C133">
            <v>200000</v>
          </cell>
          <cell r="D133"/>
          <cell r="E133"/>
          <cell r="F133"/>
          <cell r="G133"/>
          <cell r="H133">
            <v>200000</v>
          </cell>
          <cell r="I133"/>
          <cell r="J133"/>
          <cell r="K133"/>
          <cell r="L133"/>
          <cell r="M133"/>
          <cell r="N133"/>
          <cell r="O133"/>
          <cell r="P133">
            <v>0</v>
          </cell>
        </row>
        <row r="134">
          <cell r="A134" t="str">
            <v>1.11.5</v>
          </cell>
          <cell r="B134"/>
          <cell r="C134"/>
          <cell r="D134"/>
          <cell r="E134"/>
          <cell r="F134"/>
          <cell r="G134"/>
          <cell r="H134">
            <v>0</v>
          </cell>
          <cell r="I134"/>
          <cell r="J134"/>
          <cell r="K134"/>
          <cell r="L134"/>
          <cell r="M134"/>
          <cell r="N134"/>
          <cell r="O134"/>
          <cell r="P134">
            <v>0</v>
          </cell>
        </row>
        <row r="135">
          <cell r="A135" t="str">
            <v>1.11.6 </v>
          </cell>
          <cell r="B135"/>
          <cell r="C135"/>
          <cell r="D135"/>
          <cell r="E135"/>
          <cell r="F135"/>
          <cell r="G135"/>
          <cell r="H135">
            <v>0</v>
          </cell>
          <cell r="I135"/>
          <cell r="J135"/>
          <cell r="K135"/>
          <cell r="L135"/>
          <cell r="M135"/>
          <cell r="N135"/>
          <cell r="O135"/>
          <cell r="P135">
            <v>0</v>
          </cell>
        </row>
        <row r="136">
          <cell r="A136" t="str">
            <v>1.11.7</v>
          </cell>
          <cell r="B136"/>
          <cell r="C136"/>
          <cell r="D136"/>
          <cell r="E136"/>
          <cell r="F136"/>
          <cell r="G136"/>
          <cell r="H136">
            <v>0</v>
          </cell>
          <cell r="I136" t="str">
            <v>FraisdefonctionnementordinairesdeBE</v>
          </cell>
          <cell r="J136"/>
          <cell r="K136"/>
          <cell r="L136"/>
          <cell r="M136"/>
          <cell r="N136"/>
          <cell r="O136"/>
          <cell r="P136">
            <v>0</v>
          </cell>
        </row>
        <row r="137">
          <cell r="A137" t="str">
            <v>1.11.A</v>
          </cell>
          <cell r="B137"/>
          <cell r="C137"/>
          <cell r="D137"/>
          <cell r="E137"/>
          <cell r="F137"/>
          <cell r="G137"/>
          <cell r="H137">
            <v>0</v>
          </cell>
          <cell r="I137" t="str">
            <v>Mesure1.27</v>
          </cell>
          <cell r="J137"/>
          <cell r="K137"/>
          <cell r="L137"/>
          <cell r="M137"/>
          <cell r="N137"/>
          <cell r="O137"/>
          <cell r="P137">
            <v>0</v>
          </cell>
        </row>
        <row r="138">
          <cell r="A138" t="str">
            <v>1.11.8</v>
          </cell>
          <cell r="B138"/>
          <cell r="C138"/>
          <cell r="D138"/>
          <cell r="E138"/>
          <cell r="F138"/>
          <cell r="G138"/>
          <cell r="H138">
            <v>0</v>
          </cell>
          <cell r="I138"/>
          <cell r="J138"/>
          <cell r="K138"/>
          <cell r="L138"/>
          <cell r="M138"/>
          <cell r="N138"/>
          <cell r="O138"/>
          <cell r="P138">
            <v>0</v>
          </cell>
        </row>
        <row r="139">
          <cell r="A139" t="str">
            <v>1.11.9</v>
          </cell>
          <cell r="B139"/>
          <cell r="C139"/>
          <cell r="D139"/>
          <cell r="E139"/>
          <cell r="F139"/>
          <cell r="G139"/>
          <cell r="H139">
            <v>0</v>
          </cell>
          <cell r="I139"/>
          <cell r="J139"/>
          <cell r="K139"/>
          <cell r="L139"/>
          <cell r="M139"/>
          <cell r="N139"/>
          <cell r="O139"/>
          <cell r="P139">
            <v>0</v>
          </cell>
        </row>
        <row r="140">
          <cell r="A140" t="str">
            <v>1.11.10</v>
          </cell>
          <cell r="B140">
            <v>35000</v>
          </cell>
          <cell r="C140">
            <v>35000</v>
          </cell>
          <cell r="D140">
            <v>35000</v>
          </cell>
          <cell r="E140">
            <v>35000</v>
          </cell>
          <cell r="F140">
            <v>35000</v>
          </cell>
          <cell r="G140">
            <v>35000</v>
          </cell>
          <cell r="H140">
            <v>210000</v>
          </cell>
          <cell r="I140"/>
          <cell r="J140"/>
          <cell r="K140"/>
          <cell r="L140"/>
          <cell r="M140"/>
          <cell r="N140"/>
          <cell r="O140"/>
          <cell r="P140">
            <v>0</v>
          </cell>
        </row>
        <row r="141">
          <cell r="A141" t="str">
            <v>1.11.11</v>
          </cell>
          <cell r="B141"/>
          <cell r="C141">
            <v>5000</v>
          </cell>
          <cell r="D141">
            <v>5000</v>
          </cell>
          <cell r="E141">
            <v>5000</v>
          </cell>
          <cell r="F141">
            <v>5000</v>
          </cell>
          <cell r="G141">
            <v>5000</v>
          </cell>
          <cell r="H141">
            <v>25000</v>
          </cell>
          <cell r="I141"/>
          <cell r="J141"/>
          <cell r="K141"/>
          <cell r="L141"/>
          <cell r="M141"/>
          <cell r="N141"/>
          <cell r="O141"/>
          <cell r="P141">
            <v>0</v>
          </cell>
        </row>
        <row r="142">
          <cell r="A142" t="str">
            <v>1.11.B</v>
          </cell>
          <cell r="B142"/>
          <cell r="C142"/>
          <cell r="D142"/>
          <cell r="E142"/>
          <cell r="F142"/>
          <cell r="G142"/>
          <cell r="H142">
            <v>0</v>
          </cell>
          <cell r="I142" t="str">
            <v>2-3M€enscénariomaximaliste</v>
          </cell>
          <cell r="J142">
            <v>500000</v>
          </cell>
          <cell r="K142">
            <v>500000</v>
          </cell>
          <cell r="L142">
            <v>500000</v>
          </cell>
          <cell r="M142">
            <v>500000</v>
          </cell>
          <cell r="N142">
            <v>500000</v>
          </cell>
          <cell r="O142">
            <v>500000</v>
          </cell>
          <cell r="P142">
            <v>3000000</v>
          </cell>
        </row>
        <row r="143">
          <cell r="A143" t="str">
            <v>1.11.C</v>
          </cell>
          <cell r="B143"/>
          <cell r="C143"/>
          <cell r="D143"/>
          <cell r="E143"/>
          <cell r="F143"/>
          <cell r="G143"/>
          <cell r="H143">
            <v>0</v>
          </cell>
          <cell r="I143" t="str">
            <v>Mesure1.25</v>
          </cell>
          <cell r="J143"/>
          <cell r="K143"/>
          <cell r="L143"/>
          <cell r="M143"/>
          <cell r="N143"/>
          <cell r="O143"/>
          <cell r="P143">
            <v>0</v>
          </cell>
        </row>
        <row r="144">
          <cell r="A144" t="str">
            <v>1.12.1</v>
          </cell>
          <cell r="B144"/>
          <cell r="C144"/>
          <cell r="D144"/>
          <cell r="E144"/>
          <cell r="F144"/>
          <cell r="G144"/>
          <cell r="H144">
            <v>0</v>
          </cell>
          <cell r="I144" t="str">
            <v>BudgétisédanslamesureM1.21.2</v>
          </cell>
          <cell r="J144"/>
          <cell r="K144"/>
          <cell r="L144"/>
          <cell r="M144"/>
          <cell r="N144"/>
          <cell r="O144"/>
          <cell r="P144">
            <v>0</v>
          </cell>
        </row>
        <row r="145">
          <cell r="A145" t="str">
            <v>1.12.2</v>
          </cell>
          <cell r="B145"/>
          <cell r="C145"/>
          <cell r="D145"/>
          <cell r="E145"/>
          <cell r="F145"/>
          <cell r="G145"/>
          <cell r="H145">
            <v>0</v>
          </cell>
          <cell r="I145"/>
          <cell r="J145"/>
          <cell r="K145"/>
          <cell r="L145"/>
          <cell r="M145"/>
          <cell r="N145"/>
          <cell r="O145"/>
          <cell r="P145">
            <v>0</v>
          </cell>
        </row>
        <row r="146">
          <cell r="A146" t="str">
            <v>1.12.3</v>
          </cell>
          <cell r="B146"/>
          <cell r="C146"/>
          <cell r="D146"/>
          <cell r="E146"/>
          <cell r="F146"/>
          <cell r="G146"/>
          <cell r="H146">
            <v>0</v>
          </cell>
          <cell r="I146"/>
          <cell r="J146"/>
          <cell r="K146"/>
          <cell r="L146"/>
          <cell r="M146"/>
          <cell r="N146"/>
          <cell r="O146"/>
          <cell r="P146">
            <v>0</v>
          </cell>
        </row>
        <row r="147">
          <cell r="A147" t="str">
            <v>1.12.4</v>
          </cell>
          <cell r="B147"/>
          <cell r="C147"/>
          <cell r="D147"/>
          <cell r="E147"/>
          <cell r="F147"/>
          <cell r="G147"/>
          <cell r="H147">
            <v>0</v>
          </cell>
          <cell r="I147"/>
          <cell r="J147"/>
          <cell r="K147"/>
          <cell r="L147"/>
          <cell r="M147"/>
          <cell r="N147"/>
          <cell r="O147"/>
          <cell r="P147">
            <v>0</v>
          </cell>
        </row>
        <row r="148">
          <cell r="A148" t="str">
            <v>1.12.5</v>
          </cell>
          <cell r="B148"/>
          <cell r="C148"/>
          <cell r="D148"/>
          <cell r="E148"/>
          <cell r="F148"/>
          <cell r="G148"/>
          <cell r="H148">
            <v>0</v>
          </cell>
          <cell r="I148" t="str">
            <v>2023-2025</v>
          </cell>
          <cell r="J148"/>
          <cell r="K148"/>
          <cell r="L148"/>
          <cell r="M148"/>
          <cell r="N148"/>
          <cell r="O148"/>
          <cell r="P148"/>
        </row>
        <row r="149">
          <cell r="A149" t="str">
            <v>1.12.6</v>
          </cell>
          <cell r="B149"/>
          <cell r="C149"/>
          <cell r="D149"/>
          <cell r="E149"/>
          <cell r="F149"/>
          <cell r="G149"/>
          <cell r="H149">
            <v>0</v>
          </cell>
          <cell r="I149" t="str">
            <v>2024-2025</v>
          </cell>
          <cell r="J149"/>
          <cell r="K149"/>
          <cell r="L149"/>
          <cell r="M149"/>
          <cell r="N149"/>
          <cell r="O149"/>
          <cell r="P149"/>
        </row>
        <row r="150">
          <cell r="A150" t="str">
            <v>1.12.7</v>
          </cell>
          <cell r="B150"/>
          <cell r="C150"/>
          <cell r="D150"/>
          <cell r="E150"/>
          <cell r="F150"/>
          <cell r="G150"/>
          <cell r="H150">
            <v>0</v>
          </cell>
          <cell r="I150">
            <v>2026</v>
          </cell>
          <cell r="J150"/>
          <cell r="K150"/>
          <cell r="L150"/>
          <cell r="M150"/>
          <cell r="N150"/>
          <cell r="O150"/>
          <cell r="P150"/>
        </row>
        <row r="151">
          <cell r="A151" t="str">
            <v>1.12.8</v>
          </cell>
          <cell r="B151"/>
          <cell r="C151"/>
          <cell r="D151"/>
          <cell r="E151"/>
          <cell r="F151"/>
          <cell r="G151"/>
          <cell r="H151">
            <v>0</v>
          </cell>
          <cell r="I151" t="str">
            <v>2027-2030</v>
          </cell>
          <cell r="J151"/>
          <cell r="K151"/>
          <cell r="L151"/>
          <cell r="M151"/>
          <cell r="N151"/>
          <cell r="O151"/>
          <cell r="P151"/>
        </row>
        <row r="152">
          <cell r="A152" t="str">
            <v>1.13.2</v>
          </cell>
          <cell r="B152">
            <v>100000</v>
          </cell>
          <cell r="C152"/>
          <cell r="D152"/>
          <cell r="E152"/>
          <cell r="F152"/>
          <cell r="G152"/>
          <cell r="H152">
            <v>100000</v>
          </cell>
          <cell r="I152"/>
          <cell r="J152"/>
          <cell r="K152"/>
          <cell r="L152"/>
          <cell r="M152"/>
          <cell r="N152"/>
          <cell r="O152"/>
          <cell r="P152"/>
        </row>
        <row r="153">
          <cell r="A153" t="str">
            <v>1.13.3</v>
          </cell>
          <cell r="B153"/>
          <cell r="C153">
            <v>100000</v>
          </cell>
          <cell r="D153"/>
          <cell r="E153"/>
          <cell r="F153"/>
          <cell r="G153"/>
          <cell r="H153">
            <v>100000</v>
          </cell>
          <cell r="I153"/>
          <cell r="J153"/>
          <cell r="K153"/>
          <cell r="L153"/>
          <cell r="M153"/>
          <cell r="N153"/>
          <cell r="O153"/>
          <cell r="P153"/>
        </row>
        <row r="154">
          <cell r="A154" t="str">
            <v>1.14.1</v>
          </cell>
          <cell r="B154"/>
          <cell r="C154"/>
          <cell r="D154"/>
          <cell r="E154"/>
          <cell r="F154"/>
          <cell r="G154"/>
          <cell r="H154">
            <v>0</v>
          </cell>
          <cell r="I154"/>
          <cell r="J154"/>
          <cell r="K154"/>
          <cell r="L154"/>
          <cell r="M154"/>
          <cell r="N154"/>
          <cell r="O154"/>
          <cell r="P154">
            <v>0</v>
          </cell>
        </row>
        <row r="155">
          <cell r="A155" t="str">
            <v>1.14.A</v>
          </cell>
          <cell r="B155"/>
          <cell r="C155"/>
          <cell r="D155"/>
          <cell r="E155"/>
          <cell r="F155"/>
          <cell r="G155"/>
          <cell r="H155">
            <v>0</v>
          </cell>
          <cell r="I155" t="str">
            <v>Mesure1.13.2</v>
          </cell>
          <cell r="J155"/>
          <cell r="K155"/>
          <cell r="L155"/>
          <cell r="M155"/>
          <cell r="N155"/>
          <cell r="O155"/>
          <cell r="P155">
            <v>0</v>
          </cell>
        </row>
        <row r="156">
          <cell r="A156" t="str">
            <v>1.14.2</v>
          </cell>
          <cell r="B156"/>
          <cell r="C156"/>
          <cell r="D156"/>
          <cell r="E156"/>
          <cell r="F156"/>
          <cell r="G156"/>
          <cell r="H156">
            <v>0</v>
          </cell>
          <cell r="I156"/>
          <cell r="J156"/>
          <cell r="K156"/>
          <cell r="L156"/>
          <cell r="M156"/>
          <cell r="N156"/>
          <cell r="O156"/>
          <cell r="P156">
            <v>0</v>
          </cell>
        </row>
        <row r="157">
          <cell r="A157" t="str">
            <v>1.14.3</v>
          </cell>
          <cell r="B157">
            <v>15000</v>
          </cell>
          <cell r="C157">
            <v>15000</v>
          </cell>
          <cell r="D157">
            <v>15000</v>
          </cell>
          <cell r="E157">
            <v>15000</v>
          </cell>
          <cell r="F157">
            <v>15000</v>
          </cell>
          <cell r="G157">
            <v>15000</v>
          </cell>
          <cell r="H157">
            <v>90000</v>
          </cell>
          <cell r="I157"/>
          <cell r="J157"/>
          <cell r="K157"/>
          <cell r="L157"/>
          <cell r="M157"/>
          <cell r="N157"/>
          <cell r="O157"/>
          <cell r="P157">
            <v>0</v>
          </cell>
        </row>
        <row r="158">
          <cell r="A158" t="str">
            <v>1.15.1</v>
          </cell>
          <cell r="B158"/>
          <cell r="C158"/>
          <cell r="D158"/>
          <cell r="E158"/>
          <cell r="F158"/>
          <cell r="G158"/>
          <cell r="H158">
            <v>0</v>
          </cell>
          <cell r="I158"/>
          <cell r="J158"/>
          <cell r="K158"/>
          <cell r="L158"/>
          <cell r="M158"/>
          <cell r="N158"/>
          <cell r="O158"/>
          <cell r="P158"/>
        </row>
        <row r="159">
          <cell r="A159" t="str">
            <v>1.15.2</v>
          </cell>
          <cell r="B159"/>
          <cell r="C159"/>
          <cell r="D159"/>
          <cell r="E159"/>
          <cell r="F159"/>
          <cell r="G159"/>
          <cell r="H159">
            <v>0</v>
          </cell>
          <cell r="I159"/>
          <cell r="J159"/>
          <cell r="K159"/>
          <cell r="L159"/>
          <cell r="M159"/>
          <cell r="N159"/>
          <cell r="O159"/>
          <cell r="P159"/>
        </row>
        <row r="160">
          <cell r="A160" t="str">
            <v>1.15.3</v>
          </cell>
          <cell r="B160"/>
          <cell r="C160"/>
          <cell r="D160"/>
          <cell r="E160"/>
          <cell r="F160"/>
          <cell r="G160"/>
          <cell r="H160">
            <v>0</v>
          </cell>
          <cell r="I160"/>
          <cell r="J160"/>
          <cell r="K160"/>
          <cell r="L160"/>
          <cell r="M160"/>
          <cell r="N160"/>
          <cell r="O160"/>
          <cell r="P160"/>
        </row>
        <row r="161">
          <cell r="A161" t="str">
            <v>1.15.4</v>
          </cell>
          <cell r="B161"/>
          <cell r="C161"/>
          <cell r="D161"/>
          <cell r="E161"/>
          <cell r="F161"/>
          <cell r="G161"/>
          <cell r="H161">
            <v>0</v>
          </cell>
          <cell r="I161"/>
          <cell r="J161"/>
          <cell r="K161"/>
          <cell r="L161"/>
          <cell r="M161"/>
          <cell r="N161"/>
          <cell r="O161"/>
          <cell r="P161"/>
        </row>
        <row r="162">
          <cell r="A162" t="str">
            <v>1.15.5</v>
          </cell>
          <cell r="B162"/>
          <cell r="C162"/>
          <cell r="D162"/>
          <cell r="E162"/>
          <cell r="F162"/>
          <cell r="G162"/>
          <cell r="H162">
            <v>0</v>
          </cell>
          <cell r="I162"/>
          <cell r="J162"/>
          <cell r="K162"/>
          <cell r="L162"/>
          <cell r="M162"/>
          <cell r="N162"/>
          <cell r="O162"/>
          <cell r="P162"/>
        </row>
        <row r="163">
          <cell r="A163" t="str">
            <v>1.15.6</v>
          </cell>
          <cell r="B163"/>
          <cell r="C163"/>
          <cell r="D163"/>
          <cell r="E163"/>
          <cell r="F163"/>
          <cell r="G163"/>
          <cell r="H163">
            <v>0</v>
          </cell>
          <cell r="I163"/>
          <cell r="J163"/>
          <cell r="K163"/>
          <cell r="L163"/>
          <cell r="M163"/>
          <cell r="N163"/>
          <cell r="O163"/>
          <cell r="P163"/>
        </row>
        <row r="164">
          <cell r="A164" t="str">
            <v>1.15.7</v>
          </cell>
          <cell r="B164"/>
          <cell r="C164"/>
          <cell r="D164"/>
          <cell r="E164"/>
          <cell r="F164"/>
          <cell r="G164"/>
          <cell r="H164">
            <v>0</v>
          </cell>
          <cell r="I164"/>
          <cell r="J164"/>
          <cell r="K164"/>
          <cell r="L164"/>
          <cell r="M164"/>
          <cell r="N164"/>
          <cell r="O164"/>
          <cell r="P164"/>
        </row>
        <row r="165">
          <cell r="A165" t="str">
            <v>1.15.8</v>
          </cell>
          <cell r="B165"/>
          <cell r="C165"/>
          <cell r="D165"/>
          <cell r="E165"/>
          <cell r="F165"/>
          <cell r="G165"/>
          <cell r="H165">
            <v>0</v>
          </cell>
          <cell r="I165"/>
          <cell r="J165"/>
          <cell r="K165"/>
          <cell r="L165"/>
          <cell r="M165"/>
          <cell r="N165"/>
          <cell r="O165"/>
          <cell r="P165"/>
        </row>
        <row r="166">
          <cell r="A166" t="str">
            <v>1.15.9</v>
          </cell>
          <cell r="B166"/>
          <cell r="C166"/>
          <cell r="D166"/>
          <cell r="E166"/>
          <cell r="F166"/>
          <cell r="G166"/>
          <cell r="H166">
            <v>0</v>
          </cell>
          <cell r="I166"/>
          <cell r="J166"/>
          <cell r="K166"/>
          <cell r="L166"/>
          <cell r="M166"/>
          <cell r="N166"/>
          <cell r="O166"/>
          <cell r="P166"/>
        </row>
        <row r="167">
          <cell r="A167" t="str">
            <v>1.16.1</v>
          </cell>
          <cell r="B167"/>
          <cell r="C167"/>
          <cell r="D167"/>
          <cell r="E167">
            <v>50000</v>
          </cell>
          <cell r="F167"/>
          <cell r="G167"/>
          <cell r="H167">
            <v>50000</v>
          </cell>
          <cell r="I167"/>
          <cell r="J167"/>
          <cell r="K167"/>
          <cell r="L167"/>
          <cell r="M167"/>
          <cell r="N167"/>
          <cell r="O167"/>
          <cell r="P167">
            <v>0</v>
          </cell>
        </row>
        <row r="168">
          <cell r="A168" t="str">
            <v>1.16.2</v>
          </cell>
          <cell r="B168"/>
          <cell r="C168"/>
          <cell r="D168"/>
          <cell r="E168"/>
          <cell r="F168">
            <v>750000</v>
          </cell>
          <cell r="G168"/>
          <cell r="H168">
            <v>750000</v>
          </cell>
          <cell r="I168"/>
          <cell r="J168"/>
          <cell r="K168"/>
          <cell r="L168"/>
          <cell r="M168"/>
          <cell r="N168"/>
          <cell r="O168"/>
          <cell r="P168">
            <v>0</v>
          </cell>
        </row>
        <row r="169">
          <cell r="A169" t="str">
            <v>1.16.3</v>
          </cell>
          <cell r="B169"/>
          <cell r="C169"/>
          <cell r="D169"/>
          <cell r="E169"/>
          <cell r="F169">
            <v>850000</v>
          </cell>
          <cell r="G169"/>
          <cell r="H169">
            <v>850000</v>
          </cell>
          <cell r="I169"/>
          <cell r="J169"/>
          <cell r="K169"/>
          <cell r="L169"/>
          <cell r="M169"/>
          <cell r="N169"/>
          <cell r="O169"/>
          <cell r="P169">
            <v>0</v>
          </cell>
        </row>
        <row r="170">
          <cell r="A170" t="str">
            <v>1.16.4</v>
          </cell>
          <cell r="B170"/>
          <cell r="C170"/>
          <cell r="D170"/>
          <cell r="E170"/>
          <cell r="F170"/>
          <cell r="G170"/>
          <cell r="H170">
            <v>0</v>
          </cell>
          <cell r="I170"/>
          <cell r="J170"/>
          <cell r="K170"/>
          <cell r="L170"/>
          <cell r="M170"/>
          <cell r="N170"/>
          <cell r="O170"/>
          <cell r="P170">
            <v>0</v>
          </cell>
        </row>
        <row r="171">
          <cell r="A171" t="str">
            <v>1.17.1</v>
          </cell>
          <cell r="B171">
            <v>10000</v>
          </cell>
          <cell r="C171">
            <v>10000</v>
          </cell>
          <cell r="D171"/>
          <cell r="E171"/>
          <cell r="F171"/>
          <cell r="G171"/>
          <cell r="H171">
            <v>20000</v>
          </cell>
          <cell r="I171"/>
          <cell r="J171"/>
          <cell r="K171"/>
          <cell r="L171"/>
          <cell r="M171"/>
          <cell r="N171"/>
          <cell r="O171"/>
          <cell r="P171">
            <v>0</v>
          </cell>
        </row>
        <row r="172">
          <cell r="A172" t="str">
            <v>1.17.2</v>
          </cell>
          <cell r="B172">
            <v>40000</v>
          </cell>
          <cell r="C172"/>
          <cell r="D172"/>
          <cell r="E172"/>
          <cell r="F172"/>
          <cell r="G172"/>
          <cell r="H172">
            <v>40000</v>
          </cell>
          <cell r="I172"/>
          <cell r="J172"/>
          <cell r="K172"/>
          <cell r="L172"/>
          <cell r="M172"/>
          <cell r="N172"/>
          <cell r="O172"/>
          <cell r="P172">
            <v>0</v>
          </cell>
        </row>
        <row r="173">
          <cell r="A173" t="str">
            <v>1.17.3</v>
          </cell>
          <cell r="B173"/>
          <cell r="C173">
            <v>50000</v>
          </cell>
          <cell r="D173"/>
          <cell r="E173"/>
          <cell r="F173"/>
          <cell r="G173"/>
          <cell r="H173">
            <v>50000</v>
          </cell>
          <cell r="I173"/>
          <cell r="J173"/>
          <cell r="K173"/>
          <cell r="L173"/>
          <cell r="M173"/>
          <cell r="N173"/>
          <cell r="O173"/>
          <cell r="P173">
            <v>0</v>
          </cell>
        </row>
        <row r="174">
          <cell r="A174" t="str">
            <v>1.17.4</v>
          </cell>
          <cell r="B174"/>
          <cell r="C174"/>
          <cell r="D174">
            <v>100000</v>
          </cell>
          <cell r="E174"/>
          <cell r="F174"/>
          <cell r="G174"/>
          <cell r="H174">
            <v>100000</v>
          </cell>
          <cell r="I174"/>
          <cell r="J174"/>
          <cell r="K174"/>
          <cell r="L174"/>
          <cell r="M174"/>
          <cell r="N174"/>
          <cell r="O174"/>
          <cell r="P174">
            <v>0</v>
          </cell>
        </row>
        <row r="175">
          <cell r="A175" t="str">
            <v>1.17.5</v>
          </cell>
          <cell r="B175">
            <v>3000</v>
          </cell>
          <cell r="C175">
            <v>3000</v>
          </cell>
          <cell r="D175">
            <v>3000</v>
          </cell>
          <cell r="E175">
            <v>3000</v>
          </cell>
          <cell r="F175">
            <v>3000</v>
          </cell>
          <cell r="G175">
            <v>3000</v>
          </cell>
          <cell r="H175">
            <v>18000</v>
          </cell>
          <cell r="I175"/>
          <cell r="J175"/>
          <cell r="K175"/>
          <cell r="L175"/>
          <cell r="M175"/>
          <cell r="N175"/>
          <cell r="O175"/>
          <cell r="P175">
            <v>0</v>
          </cell>
        </row>
        <row r="176">
          <cell r="A176" t="str">
            <v>1.17.6</v>
          </cell>
          <cell r="B176"/>
          <cell r="C176"/>
          <cell r="D176"/>
          <cell r="E176"/>
          <cell r="F176"/>
          <cell r="G176"/>
          <cell r="H176">
            <v>0</v>
          </cell>
          <cell r="I176"/>
          <cell r="J176"/>
          <cell r="K176"/>
          <cell r="L176"/>
          <cell r="M176"/>
          <cell r="N176"/>
          <cell r="O176"/>
          <cell r="P176">
            <v>0</v>
          </cell>
        </row>
        <row r="177">
          <cell r="A177" t="str">
            <v>1.18.1</v>
          </cell>
          <cell r="B177">
            <v>25580</v>
          </cell>
          <cell r="C177">
            <v>25580</v>
          </cell>
          <cell r="D177">
            <v>25580</v>
          </cell>
          <cell r="E177">
            <v>25580</v>
          </cell>
          <cell r="F177">
            <v>25580</v>
          </cell>
          <cell r="G177">
            <v>25580</v>
          </cell>
          <cell r="H177">
            <v>153480</v>
          </cell>
          <cell r="I177"/>
          <cell r="J177"/>
          <cell r="K177"/>
          <cell r="L177"/>
          <cell r="M177"/>
          <cell r="N177"/>
          <cell r="O177"/>
          <cell r="P177">
            <v>0</v>
          </cell>
        </row>
      </sheetData>
      <sheetData sheetId="13">
        <row r="3">
          <cell r="A3" t="str">
            <v>1.1.A</v>
          </cell>
          <cell r="B3" t="str">
            <v>Remise à ciel ouvert complète de la Senne</v>
          </cell>
          <cell r="C3" t="str">
            <v>BE</v>
          </cell>
          <cell r="D3" t="str">
            <v>SEN</v>
          </cell>
        </row>
        <row r="4">
          <cell r="A4" t="str">
            <v>1.1.1</v>
          </cell>
          <cell r="B4" t="str">
            <v>Projet « Max-sur-Senne » : réaménagement du parc Maximilien avec mise à ciel ouvert de la Senne sur une longueur de 580 m minimum – Etude (également sur M6.6) (action C13_6 Belini)</v>
          </cell>
          <cell r="C4" t="str">
            <v>BE</v>
          </cell>
          <cell r="D4" t="str">
            <v>SEN</v>
          </cell>
        </row>
        <row r="5">
          <cell r="A5" t="str">
            <v>1.1.2</v>
          </cell>
          <cell r="B5" t="str">
            <v>Projet « Max-sur-Senne » : réaménagement du parc Maximilien avec mise à ciel ouvert de la Senne sur une longueur de 580 m minimum – Travaux (également sur M6.6)</v>
          </cell>
          <cell r="C5" t="str">
            <v>BE</v>
          </cell>
          <cell r="D5" t="str">
            <v>SEN</v>
          </cell>
        </row>
        <row r="6">
          <cell r="A6" t="str">
            <v>1.1.3</v>
          </cell>
          <cell r="B6" t="str">
            <v>Projet Schaerbeek Formation : mise à ciel ouvert de la Senne sur le site de Schaerbeek Formation – Etude (également sur M6.6)</v>
          </cell>
          <cell r="C6" t="str">
            <v>BE</v>
          </cell>
          <cell r="D6" t="str">
            <v>SEN</v>
          </cell>
        </row>
        <row r="7">
          <cell r="A7" t="str">
            <v>1.1.4</v>
          </cell>
          <cell r="B7" t="str">
            <v>Projet Schaerbeek Formation : mise à ciel ouvert de la Senne sur le site de Schaerbeek Formation –Travaux (également sur M6.6)</v>
          </cell>
          <cell r="C7" t="str">
            <v>BE</v>
          </cell>
          <cell r="D7" t="str">
            <v>SEN</v>
          </cell>
        </row>
        <row r="8">
          <cell r="A8" t="str">
            <v>1.1.5</v>
          </cell>
          <cell r="B8" t="str">
            <v>Projet Poincaré : mise en perspective de la Senne au niveau du musée des égouts - Etude (fait partie de l’action C12_4 Belini)</v>
          </cell>
          <cell r="C8" t="str">
            <v>BE
BM</v>
          </cell>
          <cell r="D8" t="str">
            <v>SEN</v>
          </cell>
        </row>
        <row r="9">
          <cell r="A9" t="str">
            <v>1.1.6</v>
          </cell>
          <cell r="B9" t="str">
            <v>Projet Poincaré : mise en perspective de la Senne au niveau du musée des égouts – Travaux</v>
          </cell>
          <cell r="C9" t="str">
            <v>BE
BM</v>
          </cell>
          <cell r="D9" t="str">
            <v>SEN</v>
          </cell>
        </row>
        <row r="10">
          <cell r="A10" t="str">
            <v>1.1.B</v>
          </cell>
          <cell r="B10" t="str">
            <v>Remise à ciel ouvert complète de la Woluwe</v>
          </cell>
          <cell r="C10" t="str">
            <v>BE</v>
          </cell>
          <cell r="D10" t="str">
            <v>WOL</v>
          </cell>
        </row>
        <row r="11">
          <cell r="A11" t="str">
            <v>1.1.7</v>
          </cell>
          <cell r="B11" t="str">
            <v>Projet site « Royale Belge » : Mise à ciel ouvert de la Woluwe sur une longueur de 250 m – Etude (voir également fiche M1.2)</v>
          </cell>
          <cell r="C11" t="str">
            <v>BE</v>
          </cell>
          <cell r="D11" t="str">
            <v>WOL</v>
          </cell>
        </row>
        <row r="12">
          <cell r="A12" t="str">
            <v>1.1.8</v>
          </cell>
          <cell r="B12" t="str">
            <v>Projet site « Royale Belge »: Mise à ciel ouvert de la Woluwe sur une longueur de 250 m – Travaux (financés par des charges d’urbanisme) (voir également fiche M1.2)</v>
          </cell>
          <cell r="C12" t="str">
            <v>BE</v>
          </cell>
          <cell r="D12" t="str">
            <v>WOL</v>
          </cell>
        </row>
        <row r="13">
          <cell r="A13" t="str">
            <v>1.1.9</v>
          </cell>
          <cell r="B13" t="str">
            <v>Mise à ciel ouvert du Roodkloosterbeek dans le parc Bergoge sur 100m – Etude (également sur M1.2)</v>
          </cell>
          <cell r="C13" t="str">
            <v>BE</v>
          </cell>
          <cell r="D13" t="str">
            <v>WOL</v>
          </cell>
        </row>
        <row r="14">
          <cell r="A14" t="str">
            <v>1.1.10</v>
          </cell>
          <cell r="B14" t="str">
            <v>Mise à ciel ouvert du Roodkloosterbeek dans le parc Bergoge sur 100m - Travaux (également sur M1.2)</v>
          </cell>
          <cell r="C14" t="str">
            <v>BE</v>
          </cell>
          <cell r="D14" t="str">
            <v>WOL</v>
          </cell>
        </row>
        <row r="15">
          <cell r="A15" t="str">
            <v>1.1.11</v>
          </cell>
          <cell r="B15" t="str">
            <v xml:space="preserve">Étude de faisabilité de mise à ciel ouvert du Kerkebeek sur 800 m au niveau du Moeraske </v>
          </cell>
          <cell r="C15" t="str">
            <v>BE</v>
          </cell>
          <cell r="D15" t="str">
            <v>SEN</v>
          </cell>
        </row>
        <row r="16">
          <cell r="A16" t="str">
            <v>1.1.12</v>
          </cell>
          <cell r="B16" t="str">
            <v xml:space="preserve">Etude Étude de faisabilité de mise à ciel ouvert du Hollebeek sur 100 m au niveau du site Citydev, rue du Bruel – Etude </v>
          </cell>
          <cell r="C16" t="str">
            <v>BE</v>
          </cell>
          <cell r="D16" t="str">
            <v>SEN</v>
          </cell>
        </row>
        <row r="17">
          <cell r="A17" t="str">
            <v>1.2.1</v>
          </cell>
          <cell r="B17" t="str">
            <v>Amélioration de la berge et l’aménagement d’une annexe hydraulique abritée (frayère) à hauteur du site d’Aquiris (action C12_2 Belini) – Etude (*)</v>
          </cell>
          <cell r="C17" t="str">
            <v>BE</v>
          </cell>
          <cell r="D17" t="str">
            <v>SEN</v>
          </cell>
        </row>
        <row r="18">
          <cell r="A18" t="str">
            <v>1.2.2</v>
          </cell>
          <cell r="B18" t="str">
            <v>Aménager la berge et une annexe hydraulique abritée (frayère) à hauteur d’Aquiris (action C12_2 Belini) – Travaux (*)</v>
          </cell>
          <cell r="C18" t="str">
            <v>BE</v>
          </cell>
          <cell r="D18" t="str">
            <v>SEN</v>
          </cell>
        </row>
        <row r="19">
          <cell r="A19" t="str">
            <v>1.2.3</v>
          </cell>
          <cell r="B19" t="str">
            <v>Aménager un lit et des berges naturelles en rives gauche et droite au niveau de l’Avenue de Vilvorde (action C13_4 Belini) - Travaux</v>
          </cell>
          <cell r="C19" t="str">
            <v>BE</v>
          </cell>
          <cell r="D19" t="str">
            <v>SEN</v>
          </cell>
        </row>
        <row r="20">
          <cell r="A20" t="str">
            <v>1.2.4</v>
          </cell>
          <cell r="B20" t="str">
            <v>Poursuivre l’aménagement de berges et lit naturels et d’un bras mort à hauteur de la Rue du Charroi (île Sainte Hélène, en aval du Boulevard Paepsem) – Etude (cf. aussi M 6.6) (*)</v>
          </cell>
          <cell r="C20" t="str">
            <v>BE</v>
          </cell>
          <cell r="D20" t="str">
            <v>SEN</v>
          </cell>
        </row>
        <row r="21">
          <cell r="A21" t="str">
            <v>1.2.5</v>
          </cell>
          <cell r="B21" t="str">
            <v>Poursuivre l’aménagement de berges et lit naturels et d’un bras mort à hauteur de la Rue du Charroi (île Sainte Hélène, en aval du Boulevard Paepsem) – Travaux (également sur Mesure 6.6)</v>
          </cell>
          <cell r="C21" t="str">
            <v>BE</v>
          </cell>
          <cell r="D21" t="str">
            <v>SEN</v>
          </cell>
        </row>
        <row r="22">
          <cell r="A22" t="str">
            <v>1.2.6</v>
          </cell>
          <cell r="B22" t="str">
            <v>Aménager des berges naturelles entre la Dérivation d’Aa et la Rue Bollinckx – Etude (voir également fiche M6.6)</v>
          </cell>
          <cell r="C22" t="str">
            <v>BE</v>
          </cell>
          <cell r="D22" t="str">
            <v>SEN</v>
          </cell>
        </row>
        <row r="23">
          <cell r="A23" t="str">
            <v>1.2.7</v>
          </cell>
          <cell r="B23" t="str">
            <v>Aménager des berges naturelles entre la Dérivation d’Aa et la Rue Bollinckx – Travaux (voir également fiche M6.6)</v>
          </cell>
          <cell r="C23" t="str">
            <v>BE</v>
          </cell>
          <cell r="D23" t="str">
            <v>SEN</v>
          </cell>
        </row>
        <row r="24">
          <cell r="A24" t="str">
            <v>1.2.8</v>
          </cell>
          <cell r="B24" t="str">
            <v>Aménager des berges naturelles et d’une promenade entre la Rue du Charroi et la Rue des Vétérinaires – Etude (voir également fiche M6.6)</v>
          </cell>
          <cell r="C24" t="str">
            <v>BE</v>
          </cell>
          <cell r="D24" t="str">
            <v>SEN</v>
          </cell>
        </row>
        <row r="25">
          <cell r="A25" t="str">
            <v>1.2.9</v>
          </cell>
          <cell r="B25" t="str">
            <v>Améliorer l’hydromorphologie de la Senne entre la Rue du Rupel (aval du Pont Van Praet) et la Rampe du Lion (état actuel : berges bétonnées au niveau d’Elia, voire également le lit) - Etude</v>
          </cell>
          <cell r="C25" t="str">
            <v>BE</v>
          </cell>
          <cell r="D25" t="str">
            <v>SEN</v>
          </cell>
        </row>
        <row r="26">
          <cell r="A26" t="str">
            <v>1.2.10</v>
          </cell>
          <cell r="B26" t="str">
            <v>Améliorer l’hydromorphologie de la Senne entre la Rue du Rupel (aval du Pont Van Praet) et la Rampe du Lion (état actuel : berges bétonnées au niveau d’Elia, voire également le lit) - Travaux</v>
          </cell>
          <cell r="C26" t="str">
            <v>BE</v>
          </cell>
          <cell r="D26" t="str">
            <v>SEN</v>
          </cell>
        </row>
        <row r="27">
          <cell r="A27" t="str">
            <v>1.2.11</v>
          </cell>
          <cell r="B27" t="str">
            <v>Aménager les berges et lit naturels entre la Chaussée de Buda et la sortie de la région, tenant compte du curage prévu de ce tronçon - Etude</v>
          </cell>
          <cell r="C27" t="str">
            <v>BE</v>
          </cell>
          <cell r="D27" t="str">
            <v>SEN</v>
          </cell>
        </row>
        <row r="28">
          <cell r="A28" t="str">
            <v>1.2.12</v>
          </cell>
          <cell r="B28" t="str">
            <v>Aménager les berges et lit naturels entre la Chaussée de Buda et la sortie de la région, tenant compte du curage de ce tronçon - Travaux</v>
          </cell>
          <cell r="C28" t="str">
            <v>BE</v>
          </cell>
          <cell r="D28" t="str">
            <v>SEN</v>
          </cell>
        </row>
        <row r="29">
          <cell r="A29" t="str">
            <v>1.2.13</v>
          </cell>
          <cell r="B29" t="str">
            <v>Aménager de berges naturelles entre la Rue de la Bienvenue et le Boulevard International - Etude</v>
          </cell>
          <cell r="C29" t="str">
            <v>BE</v>
          </cell>
          <cell r="D29" t="str">
            <v>SEN</v>
          </cell>
        </row>
        <row r="30">
          <cell r="A30" t="str">
            <v>1.2.14</v>
          </cell>
          <cell r="B30" t="str">
            <v>Travaux pour aménager une zone humide le long de la Woluwe au niveau de l’étang rond, Parc de la Woluwe – Etude</v>
          </cell>
          <cell r="C30" t="str">
            <v>BE</v>
          </cell>
          <cell r="D30" t="str">
            <v>WOL</v>
          </cell>
        </row>
        <row r="31">
          <cell r="A31" t="str">
            <v>1.2.15</v>
          </cell>
          <cell r="B31" t="str">
            <v>Travaux pour aménager une zone humide le long de la Woluwe au niveau de l’étang rond, Parc de la Woluwe – Travaux</v>
          </cell>
          <cell r="C31" t="str">
            <v>BE</v>
          </cell>
          <cell r="D31" t="str">
            <v>WOL</v>
          </cell>
        </row>
        <row r="32">
          <cell r="A32" t="str">
            <v>1.2.16</v>
          </cell>
          <cell r="B32" t="str">
            <v xml:space="preserve">Réaliser une étude pour l’aménagement de berges naturelles sur la Woluwe entre l’Avenue Debecker et l’Avenue Vandervelde </v>
          </cell>
          <cell r="C32" t="str">
            <v>BE</v>
          </cell>
          <cell r="D32" t="str">
            <v>WOL</v>
          </cell>
        </row>
        <row r="33">
          <cell r="A33" t="str">
            <v>1.2.17</v>
          </cell>
          <cell r="B33" t="str">
            <v>Aménager des berges naturelles sur la Woluwe entre l’Avenue Debecker et l’Avenue Vandervelde</v>
          </cell>
          <cell r="C33" t="str">
            <v>BE</v>
          </cell>
          <cell r="D33" t="str">
            <v>WOL</v>
          </cell>
        </row>
        <row r="34">
          <cell r="A34" t="str">
            <v>1.2.18</v>
          </cell>
          <cell r="B34" t="str">
            <v>Analyser les perspectives d’adoucissement de la pente des berges et d’augmentation de la sinuosité de la Woluwe entre le tronçon Vandervelde et l’Avenue Chapelle-aux-Champs</v>
          </cell>
          <cell r="C34" t="str">
            <v>BE</v>
          </cell>
          <cell r="D34" t="str">
            <v>WOL</v>
          </cell>
        </row>
        <row r="35">
          <cell r="A35" t="str">
            <v>1.2.19</v>
          </cell>
          <cell r="B35" t="str">
            <v xml:space="preserve">Analyser les perspectives d’adoucissement de la pente des berges et d’augmentation de la sinuosité de la Woluwe au niveau du domaine de Val Duchesse </v>
          </cell>
          <cell r="C35" t="str">
            <v>BE</v>
          </cell>
          <cell r="D35" t="str">
            <v>WOL</v>
          </cell>
        </row>
        <row r="36">
          <cell r="A36" t="str">
            <v>1.2.20</v>
          </cell>
          <cell r="B36" t="str">
            <v>Réaliser une étude de faisabilité pour l’installation d’un dispositif-test d’île flottante/radeaux végétalisés (cf. aussi M 5.21)</v>
          </cell>
          <cell r="C36" t="str">
            <v>Port de Bruxelles (en collaboration avec BE)</v>
          </cell>
          <cell r="D36" t="str">
            <v>CAN</v>
          </cell>
        </row>
        <row r="37">
          <cell r="A37" t="str">
            <v>1.2.21</v>
          </cell>
          <cell r="B37" t="str">
            <v>Installer un dispositif-test d’île flottante (en cours à hauteur du BRYC)</v>
          </cell>
          <cell r="C37" t="str">
            <v>Port de Bruxelles (en collaboration avec BE)</v>
          </cell>
          <cell r="D37" t="str">
            <v>CAN</v>
          </cell>
        </row>
        <row r="38">
          <cell r="A38" t="str">
            <v>1.2.22</v>
          </cell>
          <cell r="B38" t="str">
            <v>Réaliser une étude de faisabilité pour l’aménagement d’une berge naturelle avec zone de lagunage et éventuelle annexe hydraulique en rive gauche du bassin de batelage</v>
          </cell>
          <cell r="C38" t="str">
            <v>Port de Bruxelles (en collaboration avec BE)</v>
          </cell>
          <cell r="D38" t="str">
            <v>CAN</v>
          </cell>
        </row>
        <row r="39">
          <cell r="A39" t="str">
            <v>1.2.23</v>
          </cell>
          <cell r="B39" t="str">
            <v>Evaluer le résultat et l’expérience acquise avec le dispositif-test d’île flottante pour orienter l’extension de ce type d’aménagements à d’autres zones</v>
          </cell>
          <cell r="C39" t="str">
            <v>Port de Bruxelles (en collaboration avec BE)</v>
          </cell>
          <cell r="D39" t="str">
            <v>CAN</v>
          </cell>
        </row>
        <row r="40">
          <cell r="A40" t="str">
            <v>1.2.24</v>
          </cell>
          <cell r="B40" t="str">
            <v xml:space="preserve">Installer des aménagements de berges (tels que des îles flottantes) à d’autres endroits, en fonction du résultat et de l’expérience acquise avec le dispositif-test d’île flottante </v>
          </cell>
          <cell r="C40" t="str">
            <v>Port de Bruxelles (en collaboration avec BE)</v>
          </cell>
          <cell r="D40" t="str">
            <v>CAN</v>
          </cell>
        </row>
        <row r="41">
          <cell r="A41" t="str">
            <v>1.2.25</v>
          </cell>
          <cell r="B41" t="str">
            <v>Aménager la berge en rive gauche du bassin de batelage en fonction des résultats de l’étude de faisabilité (actuellement envisagé : berge naturelle avec zone de lagunage protégée des remous)</v>
          </cell>
          <cell r="C41" t="str">
            <v>Port de Bruxelles (en collaboration avec BE)</v>
          </cell>
          <cell r="D41" t="str">
            <v>CAN</v>
          </cell>
        </row>
        <row r="42">
          <cell r="A42" t="str">
            <v>1.2.26</v>
          </cell>
          <cell r="B42" t="str">
            <v>Mise en valeur des berges du Zuunbeek dans le cadre de l’aménagement du parc du Zuun - Travaux</v>
          </cell>
          <cell r="C42" t="str">
            <v>BE</v>
          </cell>
          <cell r="D42" t="str">
            <v>SEN</v>
          </cell>
        </row>
        <row r="43">
          <cell r="A43" t="str">
            <v>1.2.27</v>
          </cell>
          <cell r="B43" t="str">
            <v>Aménagement des berges du Molenbeek au niveau du Marais de Jette</v>
          </cell>
          <cell r="C43" t="str">
            <v>BE</v>
          </cell>
          <cell r="D43" t="str">
            <v>SEN</v>
          </cell>
        </row>
        <row r="44">
          <cell r="A44" t="str">
            <v>1.2.28</v>
          </cell>
          <cell r="B44" t="str">
            <v>Création de zone refuge en cas d’étiage du Molenbeek au niveau du Parc Roi Baudouin</v>
          </cell>
          <cell r="C44" t="str">
            <v>BE</v>
          </cell>
          <cell r="D44" t="str">
            <v>SEN</v>
          </cell>
        </row>
        <row r="45">
          <cell r="A45" t="str">
            <v>1.3.1</v>
          </cell>
          <cell r="B45" t="str">
            <v>Réaliser une étude de faisabilité pour l’aménagement d’une 1ère série d’obstacles sur la Woluwe (4 obstacles dans partie aval) et la Senne (action C12_1 Belini pour la Senne)</v>
          </cell>
          <cell r="C45" t="str">
            <v xml:space="preserve">BE (R. Bocquet, B. Thiebaux)
Accompagnement L. Dohet/A. Marescaux
</v>
          </cell>
          <cell r="D45" t="str">
            <v>WOL</v>
          </cell>
        </row>
        <row r="46">
          <cell r="A46" t="str">
            <v>1.3.2</v>
          </cell>
          <cell r="B46" t="str">
            <v>Mener une étude de projet pour l’aménagement d’une 1ère série de 4 obstacles sur la Woluwe (partie aval) + 1 obstacle sur la Senne</v>
          </cell>
          <cell r="C46" t="str">
            <v xml:space="preserve">BE (R. Bocquet)
Accompagnement L. Dohet/A. Marescaux
</v>
          </cell>
          <cell r="D46" t="str">
            <v>WOL</v>
          </cell>
        </row>
        <row r="47">
          <cell r="A47" t="str">
            <v>1.3.3</v>
          </cell>
          <cell r="B47" t="str">
            <v>Travaux d’aménagement de 2 obstacles parmi la 1ère série de 4 sur la Woluwe (partie aval)</v>
          </cell>
          <cell r="C47" t="str">
            <v xml:space="preserve">BE (R. Bocquet)
Accompagnement L. Dohet/A. Marescaux
</v>
          </cell>
          <cell r="D47" t="str">
            <v>WOL</v>
          </cell>
        </row>
        <row r="48">
          <cell r="A48" t="str">
            <v>1.3.4</v>
          </cell>
          <cell r="B48" t="str">
            <v>Travaux d’aménagement des 2 derniers obstacles parmi la 1ère série de 4 sur la Woluwe (partie aval)</v>
          </cell>
          <cell r="C48" t="str">
            <v xml:space="preserve">BE (R. Bocquet)
Accompagnement L. Dohet/A. Marescaux
</v>
          </cell>
          <cell r="D48" t="str">
            <v>WOL</v>
          </cell>
        </row>
        <row r="49">
          <cell r="A49" t="str">
            <v>1.3.5</v>
          </cell>
          <cell r="B49" t="str">
            <v>Travaux d’aménagement de l’obstacle sur la Senne</v>
          </cell>
          <cell r="C49" t="str">
            <v>BE (B. Thiebaux)
Accompagnement L. Dohet/A. Marescaux</v>
          </cell>
          <cell r="D49" t="str">
            <v>SEN</v>
          </cell>
        </row>
        <row r="50">
          <cell r="A50" t="str">
            <v>1.3.6</v>
          </cell>
          <cell r="B50" t="str">
            <v>Réaliser une étude de faisabilité pour l’aménagement d’une 2ème série de 5 obstacles sur la Woluwe (partie amont)</v>
          </cell>
          <cell r="C50" t="str">
            <v xml:space="preserve">BE (R. Bocquet)
Accompagnement L. Dohet/A. Marescaux
</v>
          </cell>
          <cell r="D50" t="str">
            <v>WOL</v>
          </cell>
        </row>
        <row r="51">
          <cell r="A51" t="str">
            <v>1.3.7</v>
          </cell>
          <cell r="B51" t="str">
            <v>Réaliser une étude de projet pour l’aménagement d’une 2ème série de 5 obstacles sur la Woluwe (partie amont)</v>
          </cell>
          <cell r="C51" t="str">
            <v xml:space="preserve">BE (R. Bocquet)
Accompagnement L. Dohet/A. Marescaux
</v>
          </cell>
          <cell r="D51" t="str">
            <v>WOL</v>
          </cell>
        </row>
        <row r="52">
          <cell r="A52" t="str">
            <v>1.3.8</v>
          </cell>
          <cell r="B52" t="str">
            <v>Travaux d’aménagement des 5 obstacles de la 2ème série sur la Woluwe (partie amont)</v>
          </cell>
          <cell r="C52" t="str">
            <v xml:space="preserve">BE (R. Bocquet)
Accompagnement L. Dohet/A. Marescaux
</v>
          </cell>
          <cell r="D52" t="str">
            <v>WOL</v>
          </cell>
        </row>
        <row r="53">
          <cell r="A53" t="str">
            <v>1.3.A</v>
          </cell>
          <cell r="B53" t="str">
            <v>Aménager les écluses du Canal de passes à poissons</v>
          </cell>
          <cell r="C53" t="str">
            <v>Port de BXL</v>
          </cell>
          <cell r="D53" t="str">
            <v>CAN</v>
          </cell>
        </row>
        <row r="54">
          <cell r="A54" t="str">
            <v>1.4.1</v>
          </cell>
          <cell r="B54" t="str">
            <v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v>
          </cell>
          <cell r="C54" t="str">
            <v xml:space="preserve">BE Serv. Biodiversité (O. Beck/X. Vermeersch)
BE Serv. Biodiversité (O. Beck/X. Vermeersch)
Collaboration BE Dpt. Eau (L. Dohet/A. Marescaux, N. Van Weyenbergh) et Port (A. Augem)
</v>
          </cell>
          <cell r="D54" t="str">
            <v>SEN / WOL / CAN</v>
          </cell>
        </row>
        <row r="55">
          <cell r="A55" t="str">
            <v>1.4.2</v>
          </cell>
          <cell r="B55" t="str">
            <v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v>
          </cell>
          <cell r="C55" t="str">
            <v xml:space="preserve">BE Serv. Biodiversité (O. Beck/X. Vermeersch)
BE Dpt. Eau (L. Dohet/A. Marescaux, N. Van Weyenbergh)
Collaboration Port (A. Augem) 
</v>
          </cell>
          <cell r="D55" t="str">
            <v>SEN / WOL / CAN</v>
          </cell>
        </row>
        <row r="56">
          <cell r="A56" t="str">
            <v>1.4.3</v>
          </cell>
          <cell r="B56" t="str">
            <v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v>
          </cell>
          <cell r="C56" t="str">
            <v xml:space="preserve">BE Dpt. Eau (L. Dohet/A. Marescaux, N. Van Weyenbergh)
BE Serv. Biodiversité (O. Beck/X. Vermeersch)
Collaboration Port (A. Augem), BE éco-cantonniers
</v>
          </cell>
          <cell r="D56" t="str">
            <v>SEN / WOL / CAN</v>
          </cell>
        </row>
        <row r="57">
          <cell r="A57" t="str">
            <v>1.4.4</v>
          </cell>
          <cell r="B57" t="str">
            <v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v>
          </cell>
          <cell r="C57" t="str">
            <v xml:space="preserve">BE Dpt. Eau (N. Van Weyenbergh)
BE Serv. Biodiversité (O. Beck/X. Vermeersch) 
Dpt.  Sol et Inspectorat
Port
</v>
          </cell>
          <cell r="D57" t="str">
            <v>SEN / WOL / CAN</v>
          </cell>
        </row>
        <row r="58">
          <cell r="A58" t="str">
            <v>1.4.5</v>
          </cell>
          <cell r="B58" t="str">
            <v xml:space="preserve">Développer et valider des « zones-tests » afin d’expérimenter des techniques nouvelles :
- d’éradication précoce,
- de contrôle (notamment biologique),
- de confinement.
Ex : pièges à écrevisses, plantation de plantes indigènes compétitrices, éco-pâturage
</v>
          </cell>
          <cell r="C58" t="str">
            <v xml:space="preserve">BE Serv. Biodiversité (O. Beck/X. Vermeersch)
BE Dpt. Eau (N. Van Weyenbergh)
Port
</v>
          </cell>
          <cell r="D58" t="str">
            <v>SEN / WOL / CAN</v>
          </cell>
        </row>
        <row r="59">
          <cell r="A59" t="str">
            <v>1.4.6</v>
          </cell>
          <cell r="B59" t="str">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v>
          </cell>
          <cell r="C59" t="str">
            <v xml:space="preserve">BE Dpt. Eau (N. Van Weyenbergh)
BE Serv. Biodiversité (O. Beck/X. Vermeersch)
</v>
          </cell>
          <cell r="D59" t="str">
            <v>SEN / WOL / CAN</v>
          </cell>
        </row>
        <row r="60">
          <cell r="A60" t="str">
            <v>1.4.7</v>
          </cell>
          <cell r="B60" t="str">
            <v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v>
          </cell>
          <cell r="C60" t="str">
            <v xml:space="preserve">BE Serv. Biodiversité (O. Beck/X. Vermeersch)
BE Dpt. Eau (N. Van Weyenbergh, L. Dohet/A. Marescaux)
</v>
          </cell>
          <cell r="D60" t="str">
            <v>SEN / WOL / CAN</v>
          </cell>
        </row>
        <row r="61">
          <cell r="A61" t="str">
            <v>1.4.8</v>
          </cell>
          <cell r="B61" t="str">
            <v>Etendre les mesures de lutte contre les EEE aquatiques sur le territoire de la région en fonction des résultats des zones-tests</v>
          </cell>
          <cell r="C61" t="str">
            <v xml:space="preserve">BE Serv. Biodiversité (O. Beck/X. Vermeersch)
BE Dpt. Eau (N. Van Weyenbergh)
Port
</v>
          </cell>
          <cell r="D61" t="str">
            <v>SEN / WOL / CAN</v>
          </cell>
        </row>
        <row r="62">
          <cell r="A62" t="str">
            <v>1.4.9</v>
          </cell>
          <cell r="B62" t="str">
            <v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v>
          </cell>
          <cell r="C62" t="str">
            <v xml:space="preserve">BE Serv. Biodiversité (O. Beck/X. Vermeersch)
BE Dpt. Eau (N. Van Weyenbergh)
</v>
          </cell>
          <cell r="D62" t="str">
            <v>SEN / WOL / CAN</v>
          </cell>
        </row>
        <row r="63">
          <cell r="A63" t="str">
            <v>1.4.10</v>
          </cell>
          <cell r="B63" t="str">
            <v>Porter  auprès des instances compétentes la problématique de la vente des EEE (pépinières, animaleries, etc.) de la liste européenne pour réaliser les contrôles nécessaires à faire appliquer l’interdiction. Sensibiliser les commerces quant à cette interdiction</v>
          </cell>
          <cell r="C63" t="str">
            <v>BE Serv. Biodiversité (O. Beck/X. Vermeersch)</v>
          </cell>
          <cell r="D63" t="str">
            <v>SEN / WOL / CAN</v>
          </cell>
        </row>
        <row r="64">
          <cell r="A64" t="str">
            <v>1.4.11</v>
          </cell>
          <cell r="B64" t="str">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v>
          </cell>
          <cell r="C64" t="str">
            <v xml:space="preserve">BE Serv. Biodiversité (O. Beck/X. Vermeersch)
BE Dpt. Eau (N. Van Weyenbergh)
Collaboration Port (A. Augem)
</v>
          </cell>
          <cell r="D64" t="str">
            <v>SEN / WOL / CAN</v>
          </cell>
        </row>
        <row r="65">
          <cell r="A65" t="str">
            <v>1.4.12</v>
          </cell>
          <cell r="B65" t="str">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v>
          </cell>
          <cell r="C65" t="str">
            <v xml:space="preserve">BE Serv. Biodiversité (O. Beck/X. Vermeersch)
BE Dpt. Eau (N. Van Weyenbergh
</v>
          </cell>
          <cell r="D65" t="str">
            <v>SEN / WOL / CAN</v>
          </cell>
        </row>
        <row r="66">
          <cell r="A66" t="str">
            <v>1.4.13</v>
          </cell>
          <cell r="B66" t="str">
            <v xml:space="preserve">Actions de confinement de certaines plantes aquatiques et ripicoles envahissantes dans des zones spécifiques </v>
          </cell>
          <cell r="C66" t="str">
            <v>BE Serv. Biodiversité (O. Beck/X. Vermeersch)</v>
          </cell>
          <cell r="D66" t="str">
            <v>SEN / WOL / CAN</v>
          </cell>
        </row>
        <row r="67">
          <cell r="A67" t="str">
            <v>1.4.A</v>
          </cell>
          <cell r="B67" t="str">
            <v>Sensibiliser et contrôler l’interdiction de nourrissage des animaux sauvages (oiseaux, poissons) à proximité des étangs et du Canal, car le nourrissage favorise les espèces invasives (= M 5.22.2)</v>
          </cell>
          <cell r="C67" t="str">
            <v xml:space="preserve">BE
Port de Bruxelles
</v>
          </cell>
          <cell r="D67" t="str">
            <v>SEN / WOL / CAN</v>
          </cell>
        </row>
        <row r="68">
          <cell r="A68" t="str">
            <v>1.5.1</v>
          </cell>
          <cell r="B68" t="str">
            <v xml:space="preserve">Définir les informations à récolter par point de rejet et créer un format permettant l’encodage dans la base de données géographique BE des rejets </v>
          </cell>
          <cell r="C68" t="str">
            <v>F. Mayer (BE),
E. Beke (BE)</v>
          </cell>
          <cell r="D68" t="str">
            <v>SEN / WOL / CAN</v>
          </cell>
        </row>
        <row r="69">
          <cell r="A69" t="str">
            <v>1.5.2</v>
          </cell>
          <cell r="B69" t="str">
            <v>Récupérer les données complémentaires disponibles auprès des opérateurs (chainons manquants, zones non raccordées…)</v>
          </cell>
          <cell r="C69" t="str">
            <v xml:space="preserve">F. Mayer (BE) avec la collaboration de la SBGE et  de VVQ </v>
          </cell>
          <cell r="D69" t="str">
            <v>SEN / WOL / CAN</v>
          </cell>
        </row>
        <row r="70">
          <cell r="A70" t="str">
            <v>1.5.3</v>
          </cell>
          <cell r="B70" t="str">
            <v xml:space="preserve">Dresser une carte des rejets avec les informations de la base de données </v>
          </cell>
          <cell r="C70" t="str">
            <v>E. Beke (BE)</v>
          </cell>
          <cell r="D70" t="str">
            <v>SEN / WOL / CAN</v>
          </cell>
        </row>
        <row r="71">
          <cell r="A71" t="str">
            <v>1.5.4</v>
          </cell>
          <cell r="B71" t="str">
            <v>Mettre la carte des rejets et les résultats à disposition du Port, de VVQ et de la SBGE</v>
          </cell>
          <cell r="C71" t="str">
            <v>E. Beke (BE)</v>
          </cell>
          <cell r="D71" t="str">
            <v>SEN / WOL / CAN</v>
          </cell>
        </row>
        <row r="72">
          <cell r="A72" t="str">
            <v>1.5.5</v>
          </cell>
          <cell r="B72" t="str">
            <v>Mettre à disposition les données pertinentes (masse d’eau réceptrice, localisation du point de rejet, source/propriétaire, éléments permettant d’estimer la charge et le débit de rejet, traitement d’épuration éventuel) des autorisations de rejet vers les eaux de surface</v>
          </cell>
          <cell r="C72" t="str">
            <v>A. Verbist (BE)</v>
          </cell>
          <cell r="D72" t="str">
            <v>SEN / WOL / CAN</v>
          </cell>
        </row>
        <row r="73">
          <cell r="A73" t="str">
            <v>1.5.6</v>
          </cell>
          <cell r="B73" t="str">
            <v>Mener des investigations sur l’origine des rejets non identifiés en remontant les tuyaux</v>
          </cell>
          <cell r="C73" t="str">
            <v>Communes</v>
          </cell>
          <cell r="D73" t="str">
            <v>SEN / WOL / CAN</v>
          </cell>
        </row>
        <row r="74">
          <cell r="A74" t="str">
            <v>1.5.7</v>
          </cell>
          <cell r="B74" t="str">
            <v>Caractériser la qualité d'effluents/rejets quand cela s’avère nécessaire pour déterminer la solution à privilégier pour le traiter</v>
          </cell>
          <cell r="C74" t="str">
            <v>B.Thiebaux (BE)
R.Bocquet (BE)
Accompagnement 
L. Dohet (BE)
A.Marescaux (BE)</v>
          </cell>
          <cell r="D74" t="str">
            <v>SEN / WOL / CAN</v>
          </cell>
        </row>
        <row r="75">
          <cell r="A75" t="str">
            <v>1.5.8</v>
          </cell>
          <cell r="B75" t="str">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ell>
          <cell r="C75" t="str">
            <v>L. Dohet
A.Marescaux (BE)</v>
          </cell>
          <cell r="D75" t="str">
            <v>SEN / WOL / CAN</v>
          </cell>
        </row>
        <row r="76">
          <cell r="A76" t="str">
            <v>1.5.9</v>
          </cell>
          <cell r="B76" t="str">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ell>
          <cell r="C76" t="str">
            <v>A. PETITJEAN (PORT DE BXLS)
AccompagnementF.Mayer (BE)</v>
          </cell>
          <cell r="D76" t="str">
            <v>SEN</v>
          </cell>
        </row>
        <row r="77">
          <cell r="A77" t="str">
            <v>1.5.10</v>
          </cell>
          <cell r="B77" t="str">
            <v xml:space="preserve">Compiler les données relatives au réseau d’écoulement des parcelles privées du domaine portuaire et les fournir à BE afin qu’elles soient intégrées dans la base de données BE des rejets </v>
          </cell>
          <cell r="C77" t="str">
            <v xml:space="preserve">A.PETITJEAN (PORT DE BXLS)
Accompagnement F.Mayer (BE) </v>
          </cell>
          <cell r="D77" t="str">
            <v>SEN</v>
          </cell>
        </row>
        <row r="78">
          <cell r="A78" t="str">
            <v>1.5.11</v>
          </cell>
          <cell r="B78" t="str">
            <v>Étudier la possibilité de caractériser un point noir (débit, charge EH, sources potentielles, photos…)</v>
          </cell>
          <cell r="C78" t="str">
            <v xml:space="preserve">F.Mayer, L. DOHET, A. MARESCAUX (BE) </v>
          </cell>
          <cell r="D78" t="str">
            <v>SEN</v>
          </cell>
        </row>
        <row r="79">
          <cell r="A79" t="str">
            <v>1.5.12</v>
          </cell>
          <cell r="B79" t="str">
            <v>Mise à jour du relevé sur terrain des rejets vers la Senne, notamment en s’aidant des connaissances déjà disponibles, et les compiler dans la base de données BE des rejets</v>
          </cell>
          <cell r="C79" t="str">
            <v>B.Thiebaux  (BE)</v>
          </cell>
          <cell r="D79" t="str">
            <v>SEN</v>
          </cell>
        </row>
        <row r="80">
          <cell r="A80" t="str">
            <v>1.5.13</v>
          </cell>
          <cell r="B80" t="str">
            <v>Faire un relevé sur terrain des rejets vers le Hollebeek, notamment en s’aidant des connaissances déjà disponibles, et les compiler dans la base de données BE des rejets</v>
          </cell>
          <cell r="C80" t="str">
            <v>B. Heuze (BE)</v>
          </cell>
          <cell r="D80" t="str">
            <v>SEN</v>
          </cell>
        </row>
        <row r="81">
          <cell r="A81" t="str">
            <v>1.5.14</v>
          </cell>
          <cell r="B81" t="str">
            <v>Faire un relevé sur terrain des rejets vers le Vogelzangbeek, notamment en s’aidant des connaissances déjà disponibles, et les compiler dans la base de données BE des rejets</v>
          </cell>
          <cell r="C81" t="str">
            <v>B. Heuze (BE)</v>
          </cell>
          <cell r="D81" t="str">
            <v>SEN</v>
          </cell>
        </row>
        <row r="82">
          <cell r="A82" t="str">
            <v>1.5.15</v>
          </cell>
          <cell r="B82" t="str">
            <v>Faire un relevé sur terrain des rejets vers le Verrewinkelbeek, notamment en s’aidant des connaissances déjà disponibles, et les compiler dans la base de données BE des rejets</v>
          </cell>
          <cell r="C82" t="str">
            <v>B. Heuze (BE)</v>
          </cell>
          <cell r="D82" t="str">
            <v>SEN</v>
          </cell>
        </row>
        <row r="83">
          <cell r="A83" t="str">
            <v>1.5.16</v>
          </cell>
          <cell r="B83" t="str">
            <v>Mise à jour du relevé sur terrain des rejets vers le Neerpedebeek, notamment en s’aidant des connaissances déjà disponibles, et les compiler dans la base de données BE des rejets</v>
          </cell>
          <cell r="C83" t="str">
            <v>B.ThiebauX  (BE)</v>
          </cell>
          <cell r="D83" t="str">
            <v>SEN</v>
          </cell>
        </row>
        <row r="84">
          <cell r="A84" t="str">
            <v>1.5.17</v>
          </cell>
          <cell r="B84" t="str">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ell>
          <cell r="C84" t="str">
            <v>A.AUGEM (PORT DE BXLS)
Accompagnement L. Dohet
A.Marescaux (BE)</v>
          </cell>
          <cell r="D84" t="str">
            <v>CAN</v>
          </cell>
        </row>
        <row r="85">
          <cell r="A85" t="str">
            <v>1.5.18</v>
          </cell>
          <cell r="B85" t="str">
            <v xml:space="preserve">Compiler les données des points de rejets des bateaux/navires permanents dans la base de données BE des rejets </v>
          </cell>
          <cell r="C85" t="str">
            <v>A.AUGEM (PORT DE BXLS)
Accompagnement F.MAYER (BE)</v>
          </cell>
          <cell r="D85" t="str">
            <v>CAN</v>
          </cell>
        </row>
        <row r="86">
          <cell r="A86" t="str">
            <v>1.5.19</v>
          </cell>
          <cell r="B86" t="str">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ell>
          <cell r="C86" t="str">
            <v>A.AUGEM (PORT DE BXLS)
Accompagnement F.MAYER (BE)</v>
          </cell>
          <cell r="D86" t="str">
            <v>CAN</v>
          </cell>
        </row>
        <row r="87">
          <cell r="A87" t="str">
            <v>1.5.20</v>
          </cell>
          <cell r="B87" t="str">
            <v xml:space="preserve">Compiler les données relatives au réseau d’écoulement des parcelles privées du domaine portuaire dans la base de données BE des rejets </v>
          </cell>
          <cell r="C87" t="str">
            <v>A.AUGEM (PORT DE BXLS)
Accompagnement F.MAYER (BE)</v>
          </cell>
          <cell r="D87" t="str">
            <v>CAN</v>
          </cell>
        </row>
        <row r="88">
          <cell r="A88" t="str">
            <v>1.5.21</v>
          </cell>
          <cell r="B88" t="str">
            <v>Compiler les données du Port relatives aux autorisations de rejet dans le Canal dans la base de données BE des rejets</v>
          </cell>
          <cell r="C88" t="str">
            <v>A.AUGEM (PORT DE BXLS)
Accompagnement F.MAYER (BE)</v>
          </cell>
          <cell r="D88" t="str">
            <v>CAN</v>
          </cell>
        </row>
        <row r="89">
          <cell r="A89" t="str">
            <v>1.5.22</v>
          </cell>
          <cell r="B89" t="str">
            <v>Faire un relevé sur terrain des rejets vers la Woluwe et les étangs de la Woluwe (y compris l’égout qui déborderait ponctuellement au Parc des Sources), notamment en s’aidant des connaissances déjà disponibles, et les compiler dans la base de données BE des rejets</v>
          </cell>
          <cell r="C89" t="str">
            <v>R. Bocquet (BE)
N. Van Weyenbergh (BE)
Accompagnement C. Gaulier (BE)</v>
          </cell>
          <cell r="D89" t="str">
            <v>WOL</v>
          </cell>
        </row>
        <row r="90">
          <cell r="A90" t="str">
            <v>1.5.23</v>
          </cell>
          <cell r="B90" t="str">
            <v>Finir les investigations des sources des rejets vers le Zwanewijdebeek qui ont été relevés sur terrain et les compiler dans la base de données BE des rejets</v>
          </cell>
          <cell r="C90" t="str">
            <v>R. Bocquet (BE)
N. Van Weyenbergh (BE)
Accompagnement C. Gaulier (BE)</v>
          </cell>
          <cell r="D90" t="str">
            <v>WOL</v>
          </cell>
        </row>
        <row r="91">
          <cell r="A91" t="str">
            <v>1.6.1</v>
          </cell>
          <cell r="B91" t="str">
            <v xml:space="preserve">Identifier et prioriser les travaux d’extension et de raccordement au réseau d’égouttage sur base de l’inventaire visé par la M  1.5 et de la cartographie des zones égouttables et des opportunités </v>
          </cell>
          <cell r="C91" t="str">
            <v>VIVAQUA
 (en coordination avec BE)</v>
          </cell>
          <cell r="D91" t="str">
            <v>SEN / WOL / CAN</v>
          </cell>
        </row>
        <row r="92">
          <cell r="A92" t="str">
            <v>1.6.2</v>
          </cell>
          <cell r="B92" t="str">
            <v>Identifier et prioriser les travaux d’extension et de raccordement au réseau d’égouttage  sur les parcelles privées du domaine portuaire sur base de l’inventaire visé par la M  1.5 pour les concessions du Port de Bruxelles</v>
          </cell>
          <cell r="C92" t="str">
            <v>PORT DE BXLS</v>
          </cell>
          <cell r="D92" t="str">
            <v>CAN</v>
          </cell>
        </row>
        <row r="93">
          <cell r="A93" t="str">
            <v>1.6.3</v>
          </cell>
          <cell r="B93" t="str">
            <v>Sur base de la DB reprenant les rejets directs d’eaux usées dans les cours d’eau (M1.5) procéder, lorsque c’est possible au niveau du cours d’eau, aux correctifs pour remédier à ces mauvaises connexions</v>
          </cell>
          <cell r="C93" t="str">
            <v xml:space="preserve">BE  </v>
          </cell>
          <cell r="D93" t="str">
            <v>SEN / WOL / CAN</v>
          </cell>
        </row>
        <row r="94">
          <cell r="A94" t="str">
            <v>1.6.4</v>
          </cell>
          <cell r="B94" t="str">
            <v>Définir et mettre en place une procédure de « raccordement »  permettant de coordonner les actions de chaque acteur et d’en clarifier les responsabilités</v>
          </cell>
          <cell r="C94" t="str">
            <v xml:space="preserve">BE </v>
          </cell>
          <cell r="D94" t="str">
            <v>SEN / WOL / CAN</v>
          </cell>
        </row>
        <row r="95">
          <cell r="A95" t="str">
            <v>1.6.5</v>
          </cell>
          <cell r="B95" t="str">
            <v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v>
          </cell>
          <cell r="C95" t="str">
            <v>BE 
Communes
PORT DE BXLS</v>
          </cell>
          <cell r="D95" t="str">
            <v>SEN / CAN</v>
          </cell>
        </row>
        <row r="96">
          <cell r="A96" t="str">
            <v>1.6.6</v>
          </cell>
          <cell r="B96" t="str">
            <v>Actualiser la carte des zones égouttées raccordées aux stations d’épuration dans l’inventaire des émissions polluantes vers les eaux de surface (WEISS)</v>
          </cell>
          <cell r="C96" t="str">
            <v>L. Dohet
A.Marescaux (BE)</v>
          </cell>
          <cell r="D96" t="str">
            <v>SEN / WOL / CAN</v>
          </cell>
        </row>
        <row r="97">
          <cell r="A97" t="str">
            <v>1.6.7</v>
          </cell>
          <cell r="B97" t="str">
            <v xml:space="preserve">Etudier l’opportunité de mettre en place un système de certification des installations privées à l’instar du système PEB existant pour l’énergie </v>
          </cell>
          <cell r="C97" t="str">
            <v xml:space="preserve">BE </v>
          </cell>
          <cell r="D97" t="str">
            <v>SEN / WOL / CAN</v>
          </cell>
        </row>
        <row r="98">
          <cell r="A98" t="str">
            <v>1.7.1</v>
          </cell>
          <cell r="B98" t="str">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v>
          </cell>
          <cell r="C98" t="str">
            <v>BE</v>
          </cell>
          <cell r="D98" t="str">
            <v>SEN / WOL / CAN</v>
          </cell>
        </row>
        <row r="99">
          <cell r="A99" t="str">
            <v>1.7.2</v>
          </cell>
          <cell r="B99" t="str">
            <v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v>
          </cell>
          <cell r="C99" t="str">
            <v>Communes</v>
          </cell>
          <cell r="D99" t="str">
            <v>SEN / WOL / CAN</v>
          </cell>
        </row>
        <row r="100">
          <cell r="A100" t="str">
            <v>1.7.3</v>
          </cell>
          <cell r="B100" t="str">
            <v>Assurer le contrôle des systèmes d’épuration individuels</v>
          </cell>
          <cell r="C100" t="str">
            <v>Communes</v>
          </cell>
          <cell r="D100" t="str">
            <v>SEN / WOL / CAN</v>
          </cell>
        </row>
        <row r="101">
          <cell r="A101" t="str">
            <v>1.7.4</v>
          </cell>
          <cell r="B101" t="str">
            <v>Offrir un soutien technique aux communes dans le cadre de la mise en œuvre de cette mesure M1.7</v>
          </cell>
          <cell r="C101" t="str">
            <v>BE</v>
          </cell>
          <cell r="D101" t="str">
            <v>SEN / WOL / CAN</v>
          </cell>
        </row>
        <row r="102">
          <cell r="A102" t="str">
            <v>1.7.5</v>
          </cell>
          <cell r="B102" t="str">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v>
          </cell>
          <cell r="C102" t="str">
            <v>Port de Bruxelles (A. AUGEM)
BE (Accompagnement
L. Dohet/ A.Marescaux/ F.Mayer)</v>
          </cell>
          <cell r="D102" t="str">
            <v>CAN</v>
          </cell>
        </row>
        <row r="103">
          <cell r="A103" t="str">
            <v>1.7.6</v>
          </cell>
          <cell r="B103" t="str">
            <v>Actualiser la carte des zones non égouttées soumises à épuration autonome dans l’inventaire BE des émissions polluantes vers les eaux de surface (WEISS), y compris les rejets ponctuels des bateaux/navires</v>
          </cell>
          <cell r="C103" t="str">
            <v>BE (L. Dohet, A.Marescaux)</v>
          </cell>
          <cell r="D103" t="str">
            <v>SEN / WOL / CAN</v>
          </cell>
        </row>
        <row r="104">
          <cell r="A104" t="str">
            <v>1.8.1</v>
          </cell>
          <cell r="B104" t="str">
            <v>Réaliser les plans des déversoirs d’orage principaux sous gestion de Vivaqua</v>
          </cell>
          <cell r="C104" t="str">
            <v>Vivaqua</v>
          </cell>
          <cell r="D104" t="str">
            <v>SEN / WOL / CAN</v>
          </cell>
        </row>
        <row r="105">
          <cell r="A105" t="str">
            <v>1.8.2</v>
          </cell>
          <cell r="B105" t="str">
            <v>Réaliser les plans des déversoirs d’orage principaux sous gestion de la SBGE</v>
          </cell>
          <cell r="C105" t="str">
            <v>SBGE</v>
          </cell>
          <cell r="D105" t="str">
            <v>SEN / WOL / CAN</v>
          </cell>
        </row>
        <row r="106">
          <cell r="A106" t="str">
            <v>1.8.3</v>
          </cell>
          <cell r="B106" t="str">
            <v>Installer des capteurs de fréquence ou de débit sur les déversoirs principaux et les ajouter à Flowbru (voir la mesure M1.22)</v>
          </cell>
          <cell r="C106" t="str">
            <v>SBGE</v>
          </cell>
          <cell r="D106" t="str">
            <v>SEN / WOL / CAN</v>
          </cell>
        </row>
        <row r="107">
          <cell r="A107" t="str">
            <v>1.8.4</v>
          </cell>
          <cell r="B107" t="str">
            <v>Calculer les fréquences et débit de déversements</v>
          </cell>
          <cell r="C107" t="str">
            <v>BE</v>
          </cell>
          <cell r="D107" t="str">
            <v>SEN / WOL / CAN</v>
          </cell>
        </row>
        <row r="108">
          <cell r="A108" t="str">
            <v>1.8.5</v>
          </cell>
          <cell r="B108" t="str">
            <v>Déterminer les niveaux idéaux des seuils de déversements des déversoirs sous gestion de Vivaqua et procéder à leur rehausse et/ou optimisation par la mise en place de vannes modulables et siphons/barrières aux flottants</v>
          </cell>
          <cell r="C108" t="str">
            <v>Vivaqua</v>
          </cell>
          <cell r="D108" t="str">
            <v>SEN</v>
          </cell>
        </row>
        <row r="109">
          <cell r="A109" t="str">
            <v>1.8.6</v>
          </cell>
          <cell r="B109" t="str">
            <v>Déterminer les niveaux idéaux des seuils de déversements des déversoirs sous gestion de SBGE  et procéder à leur rehausse  et/ou optimisation par la mise en place de vannes modulables et  siphons/barrières aux flottants</v>
          </cell>
          <cell r="C109" t="str">
            <v>SBGE</v>
          </cell>
          <cell r="D109" t="str">
            <v>SEN</v>
          </cell>
        </row>
        <row r="110">
          <cell r="A110" t="str">
            <v>1.8.7</v>
          </cell>
          <cell r="B110" t="str">
            <v>Adaptation des interceptions orifices limitant l’évacuation des flux vers les STEPS  dans le cadre de l’optimisation des déversoirs.</v>
          </cell>
          <cell r="C110" t="str">
            <v>SBGE</v>
          </cell>
          <cell r="D110" t="str">
            <v>SEN</v>
          </cell>
        </row>
        <row r="111">
          <cell r="A111" t="str">
            <v>1.8.8</v>
          </cell>
          <cell r="B111" t="str">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v>
          </cell>
          <cell r="C111" t="str">
            <v xml:space="preserve">BE
A.MARESCAUX
M. ANTOINE 
</v>
          </cell>
          <cell r="D111" t="str">
            <v>SEN</v>
          </cell>
        </row>
        <row r="112">
          <cell r="A112" t="str">
            <v>1.8.A</v>
          </cell>
          <cell r="B112" t="str">
            <v>Réaménager les déversoirs en "déversoirs améliorés" pour retenir le maximum de charge polluante à l’aval des  déversoirs (création de zone de rétention des sédiments et des flottants).   Scénario maximaliste</v>
          </cell>
          <cell r="C112" t="str">
            <v>Vivaqua</v>
          </cell>
          <cell r="D112" t="str">
            <v>SEN / CAN</v>
          </cell>
        </row>
        <row r="113">
          <cell r="A113" t="str">
            <v>1.9.1</v>
          </cell>
          <cell r="B113" t="str">
            <v xml:space="preserve">Coordonner les acteurs de l'eau autour de cette thématique </v>
          </cell>
          <cell r="C113" t="str">
            <v>BE</v>
          </cell>
          <cell r="D113" t="str">
            <v>SEN / WOL / CAN</v>
          </cell>
        </row>
        <row r="114">
          <cell r="A114" t="str">
            <v>1.9.2</v>
          </cell>
          <cell r="B114" t="str">
            <v>Analyser les modifications des règles de fonctionnement des bassins d'orage</v>
          </cell>
          <cell r="C114" t="str">
            <v>SBGE/VVQ</v>
          </cell>
          <cell r="D114" t="str">
            <v>SEN / WOL</v>
          </cell>
        </row>
        <row r="115">
          <cell r="A115" t="str">
            <v>1.9.3</v>
          </cell>
          <cell r="B115" t="str">
            <v xml:space="preserve">Procéder à la mise en œuvre d’un projet-pilote dans la vallée du Maelbeek </v>
          </cell>
          <cell r="C115" t="str">
            <v>SBGE</v>
          </cell>
          <cell r="D115" t="str">
            <v>SEN</v>
          </cell>
        </row>
        <row r="116">
          <cell r="A116" t="str">
            <v>1.9.4</v>
          </cell>
          <cell r="B116" t="str">
            <v>Assurer la surveillance et le bon fonctionnement du système mis place (1.9.4), établir un retour d’expérience pour l’élargir à d’autres vallées</v>
          </cell>
          <cell r="C116" t="str">
            <v>SBGE</v>
          </cell>
          <cell r="D116" t="str">
            <v>SEN</v>
          </cell>
        </row>
        <row r="117">
          <cell r="A117" t="str">
            <v>1.9.5</v>
          </cell>
          <cell r="B117" t="str">
            <v>Etudier et élaborer un système de prévisions du comportement du réseau et une stratégie de régulation des débits dans la vallée de la Senne (Bruxelles-centre)</v>
          </cell>
          <cell r="C117" t="str">
            <v>VIVAQUA</v>
          </cell>
          <cell r="D117" t="str">
            <v>SEN</v>
          </cell>
        </row>
        <row r="118">
          <cell r="A118" t="str">
            <v>1.9.6</v>
          </cell>
          <cell r="B118" t="str">
            <v>Mettre en place des dispositifs de contrôle des débits  (Projet-pilote dans la vallée de la Senne (Bruxelles-centre)</v>
          </cell>
          <cell r="C118" t="str">
            <v>VIVAQUA</v>
          </cell>
          <cell r="D118" t="str">
            <v>SEN</v>
          </cell>
        </row>
        <row r="119">
          <cell r="A119" t="str">
            <v>1.9.7</v>
          </cell>
          <cell r="B119" t="str">
            <v>Assurer la surveillance et le bon fonctionnement du système mis en place (1.9.7), établir un retour d’expérience pour l’élargir à d’autres vallées</v>
          </cell>
          <cell r="C119" t="str">
            <v>VIVAQUA</v>
          </cell>
          <cell r="D119" t="str">
            <v>SEN</v>
          </cell>
        </row>
        <row r="120">
          <cell r="A120" t="str">
            <v>1.9.8</v>
          </cell>
          <cell r="B120" t="str">
            <v>Procéder à la mise en œuvre dans d’autres vallées sur base du retour d’expérience dans la vallée du Maelbeek (si pertinent)</v>
          </cell>
          <cell r="C120" t="str">
            <v>SBGE
VIVAQUA</v>
          </cell>
          <cell r="D120" t="str">
            <v>SEN / WOL</v>
          </cell>
        </row>
        <row r="121">
          <cell r="A121" t="str">
            <v>1.9.A</v>
          </cell>
          <cell r="B121" t="str">
            <v>Etudier le fonctionnement des réseaux et leurs interactions, par le biais d’actions de modélisation (cf. M 5.29)</v>
          </cell>
          <cell r="C121" t="str">
            <v>SBGE
VIVAQUA</v>
          </cell>
          <cell r="D121" t="str">
            <v>SEN / WOL / CAN</v>
          </cell>
        </row>
        <row r="122">
          <cell r="A122" t="str">
            <v>1.10.1</v>
          </cell>
          <cell r="B122" t="str">
            <v>Pour les 4 points de rejets identifiés, procéder à la finalisation des études, à l’obtention des autorisations et aux travaux de raccordement de ces égouts orphelins aux réseaux d’égouttage connectés aux STEPs</v>
          </cell>
          <cell r="C122" t="str">
            <v>VIVAQUA</v>
          </cell>
          <cell r="D122" t="str">
            <v>SEN</v>
          </cell>
        </row>
        <row r="123">
          <cell r="A123" t="str">
            <v>1.10.2</v>
          </cell>
          <cell r="B123" t="str">
            <v xml:space="preserve"> Identifier d’autres chainons manquants du réseau d’assainissement public (« égouts orphelins ») sur base de pollution éventuelle et de la mesure M1.5</v>
          </cell>
          <cell r="C123" t="str">
            <v>BE</v>
          </cell>
          <cell r="D123" t="str">
            <v>SEN / CAN</v>
          </cell>
        </row>
        <row r="124">
          <cell r="A124" t="str">
            <v>1.10.3</v>
          </cell>
          <cell r="B124" t="str">
            <v>Procéder aux études et travaux de raccordement  aux réseaux d’égouttage connectés aux STEPs d’autres égouts orphelins qui auraient été identifiés</v>
          </cell>
          <cell r="C124" t="str">
            <v>VIVAQUA</v>
          </cell>
          <cell r="D124" t="str">
            <v>SEN / CAN</v>
          </cell>
        </row>
        <row r="125">
          <cell r="A125" t="str">
            <v>1.10.4</v>
          </cell>
          <cell r="B125" t="str">
            <v>Actualiser la carte des zones égouttées, mais non raccordées aux stations d’épuration dans l’inventaire BE des émissions polluantes vers les eaux de surface (WEISS)</v>
          </cell>
          <cell r="C125" t="str">
            <v>L. DOHET
A.MARESCAUX (BE)</v>
          </cell>
          <cell r="D125" t="str">
            <v>SEN / WOL / CAN</v>
          </cell>
        </row>
        <row r="126">
          <cell r="A126" t="str">
            <v>1.11.1</v>
          </cell>
          <cell r="B126" t="str">
            <v>Poursuivre le nettoyage régulier des macro-déchets flottants du Canal au moyen des bateaux et des litter traps, et des éventuels nouveaux dispositifs installés au niveau du Canal</v>
          </cell>
          <cell r="C126" t="str">
            <v>Port de Bruxelles / P. Herman  pilote le ramassage des déchets flottants sur le Canal</v>
          </cell>
          <cell r="D126" t="str">
            <v>CAN</v>
          </cell>
        </row>
        <row r="127">
          <cell r="A127" t="str">
            <v>1.11.2</v>
          </cell>
          <cell r="B127" t="str">
            <v>Identifier les zones d’accumulation de macro-déchets flottants dans le Canal, et des conditions et voies d’entrée principales</v>
          </cell>
          <cell r="C127" t="str">
            <v>Port de Bruxelles accompagnement BE (M. Antoine)</v>
          </cell>
          <cell r="D127" t="str">
            <v>CAN</v>
          </cell>
        </row>
        <row r="128">
          <cell r="A128" t="str">
            <v>1.11.3</v>
          </cell>
          <cell r="B128" t="str">
            <v>Réaliser une étude sur la gestion actuelle des macro-déchets flottants dans le Canal (évaluation sur une éventuelle optimisation de cette gestion par de nouveaux dispositifs et le choix de ceux-ci)</v>
          </cell>
          <cell r="C128" t="str">
            <v>Port de Bruxelles / A. Goriya et A. Augem accompagnement BE (M. Antoine)</v>
          </cell>
          <cell r="D128" t="str">
            <v>CAN</v>
          </cell>
        </row>
        <row r="129">
          <cell r="A129" t="str">
            <v>1.11.4</v>
          </cell>
          <cell r="B129" t="str">
            <v>Installer de nouveaux dispositifs de capture des macro-déchets flottants au niveau du Canal et mettre en œuvre de nouvelles mesures de gestion, suivant les recommandations de l’étude (1.11.3)</v>
          </cell>
          <cell r="C129" t="str">
            <v>Port de Bruxelles / A. Goriya et A. Augem accompagnement BE (M. Antoine)</v>
          </cell>
          <cell r="D129" t="str">
            <v>CAN</v>
          </cell>
        </row>
        <row r="130">
          <cell r="A130" t="str">
            <v>1.11.5</v>
          </cell>
          <cell r="B130" t="str">
            <v>Faire l’acquisition d’un troisième bateau de ramassage de déchets</v>
          </cell>
          <cell r="C130" t="str">
            <v>Port de Bruxelles</v>
          </cell>
          <cell r="D130" t="str">
            <v>CAN</v>
          </cell>
        </row>
        <row r="131">
          <cell r="A131" t="str">
            <v>1.11.6</v>
          </cell>
          <cell r="B131" t="str">
            <v>Créer un pool de nettoyage à l’écluse d’Anderlecht</v>
          </cell>
          <cell r="C131" t="str">
            <v>Port de Bruxelles</v>
          </cell>
          <cell r="D131" t="str">
            <v>CAN</v>
          </cell>
        </row>
        <row r="132">
          <cell r="A132" t="str">
            <v>1.11.7</v>
          </cell>
          <cell r="B132" t="str">
            <v>Assurer le dégrillage des eaux du Neerpedebeek en amont de sa confluence avec le Canal</v>
          </cell>
          <cell r="C132" t="str">
            <v>BE</v>
          </cell>
          <cell r="D132" t="str">
            <v>CAN</v>
          </cell>
        </row>
        <row r="133">
          <cell r="A133" t="str">
            <v>1.11.A</v>
          </cell>
          <cell r="B133" t="str">
            <v>Etudier la possibilité de reconnecter le Neerpedebeek à la Senne via un siphon existant (cf. M 1.27).</v>
          </cell>
          <cell r="C133" t="str">
            <v>BE</v>
          </cell>
          <cell r="D133" t="str">
            <v>SEN</v>
          </cell>
        </row>
        <row r="134">
          <cell r="A134" t="str">
            <v>1.11.8</v>
          </cell>
          <cell r="B134" t="str">
            <v>Etudier les meilleures solutions de rétention ou de collecte des macro-déchets flottants au niveau des déversoirs</v>
          </cell>
          <cell r="C134" t="str">
            <v>VIVAQUA (toutes eaux de surface)
PORT (A. Goriya) pour le Canal
accompagnement BE (M. Antoine)</v>
          </cell>
          <cell r="D134" t="str">
            <v>SEN / CAN</v>
          </cell>
        </row>
        <row r="135">
          <cell r="A135" t="str">
            <v>1.11.9</v>
          </cell>
          <cell r="B135" t="str">
            <v>Équiper les déversoirs des dispositifs retenus (lien vers la mesure M 1.8)</v>
          </cell>
          <cell r="C135" t="str">
            <v>VIVAQUA (toutes eaux de surface)
PORT (A. Goriya) pour le Canal
accompagnement BE (M. Antoine)</v>
          </cell>
          <cell r="D135" t="str">
            <v>SEN / CAN</v>
          </cell>
        </row>
        <row r="136">
          <cell r="A136" t="str">
            <v>1.11.10</v>
          </cell>
          <cell r="B136" t="str">
            <v>Entretenir le système de dégrillage de la Senne au niveau de la rue des Vétérinaires à Anderlecht</v>
          </cell>
          <cell r="C136" t="str">
            <v>VIVAQUA</v>
          </cell>
          <cell r="D136" t="str">
            <v>SEN</v>
          </cell>
        </row>
        <row r="137">
          <cell r="A137" t="str">
            <v>1.11.11</v>
          </cell>
          <cell r="B137" t="str">
            <v xml:space="preserve">Etudier et expérimenter la mise en place de systèmes de rétention des macro-déchets flottants sur les affluents de la Senne, en coordination avec les éco-cantonniers de BE </v>
          </cell>
          <cell r="C137" t="str">
            <v>BE (M. Ohsé ?, M. Antoine ?), BE écocantonniers</v>
          </cell>
          <cell r="D137" t="str">
            <v>SEN</v>
          </cell>
        </row>
        <row r="138">
          <cell r="A138" t="str">
            <v>1.11.B</v>
          </cell>
          <cell r="B138" t="str">
            <v>Installer un système de dégrillage en aval de la Senne (au niveau de la STEP Nord) pour diminuer la quantité de macro-déchets flottants sur la Senne en aval des déversoirs principaux de la région</v>
          </cell>
          <cell r="C138"/>
          <cell r="D138" t="str">
            <v>SEN</v>
          </cell>
        </row>
        <row r="139">
          <cell r="A139" t="str">
            <v>1.11.C</v>
          </cell>
          <cell r="B139" t="str">
            <v>Continuer la sensibilisation des citoyens pour limiter l’abandon des déchets (cf. M 1.25)</v>
          </cell>
          <cell r="C139" t="str">
            <v>BE - Port de Bruxelles</v>
          </cell>
          <cell r="D139" t="str">
            <v>SEN / WOL / CAN</v>
          </cell>
        </row>
        <row r="140">
          <cell r="A140" t="str">
            <v>1.12.1</v>
          </cell>
          <cell r="B140" t="str">
            <v>Mener une campagne de mesures pour déterminer de manière précise les rendements épuratoires actuels de la filière temps sec des STEPs Bruxelles-Nord et Sud pour une large gamme de paramètres établie sur base des données de monitoring de la qualité de la Senne</v>
          </cell>
          <cell r="C140" t="str">
            <v>BE Dpt. Eau (Loïc Dohet/A. Marescaux)</v>
          </cell>
          <cell r="D140" t="str">
            <v>SEN</v>
          </cell>
        </row>
        <row r="141">
          <cell r="A141" t="str">
            <v>1.12.2</v>
          </cell>
          <cell r="B141" t="str">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ell>
          <cell r="C141" t="str">
            <v>BE Dpt. Eau (Loïc Dohet/A. Marescaux)</v>
          </cell>
          <cell r="D141" t="str">
            <v>SEN</v>
          </cell>
        </row>
        <row r="142">
          <cell r="A142" t="str">
            <v>1.12.3</v>
          </cell>
          <cell r="B142" t="str">
            <v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v>
          </cell>
          <cell r="C142" t="str">
            <v>SBGE (D. Pireaux)
Accompagnement BE Dpt. Eau (Loïc Dohet/A. Marescaux)</v>
          </cell>
          <cell r="D142" t="str">
            <v>SEN</v>
          </cell>
        </row>
        <row r="143">
          <cell r="A143" t="str">
            <v>1.12.4</v>
          </cell>
          <cell r="B143" t="str">
            <v>Evaluer l’impact de la mise en œuvre des solutions proposées sur le prix de l’eau</v>
          </cell>
          <cell r="C143" t="str">
            <v>SBGE (D. Pireaux) Brugel
Accompagnement BE Dpt. Eau (P. Fragapane)</v>
          </cell>
          <cell r="D143" t="str">
            <v>SEN</v>
          </cell>
        </row>
        <row r="144">
          <cell r="A144" t="str">
            <v>1.12.5</v>
          </cell>
          <cell r="B144" t="str">
            <v>Etude de définition de détails et rédaction du cahier des charges des travaux</v>
          </cell>
          <cell r="C144" t="str">
            <v>?</v>
          </cell>
          <cell r="D144" t="str">
            <v>SEN</v>
          </cell>
        </row>
        <row r="145">
          <cell r="A145" t="str">
            <v>1.12.6</v>
          </cell>
          <cell r="B145" t="str">
            <v>Procédure d’obtention des permis d’environnement et d’urbanisme associés au projet</v>
          </cell>
          <cell r="C145" t="str">
            <v>?</v>
          </cell>
          <cell r="D145" t="str">
            <v>SEN</v>
          </cell>
        </row>
        <row r="146">
          <cell r="A146" t="str">
            <v>1.12.7</v>
          </cell>
          <cell r="B146" t="str">
            <v>Attribution du marché de travaux</v>
          </cell>
          <cell r="C146" t="str">
            <v>?</v>
          </cell>
          <cell r="D146" t="str">
            <v>SEN</v>
          </cell>
        </row>
        <row r="147">
          <cell r="A147" t="str">
            <v>1.12.8</v>
          </cell>
          <cell r="B147" t="str">
            <v>Réalisation des travaux sur l’usine en fonctionnement</v>
          </cell>
          <cell r="C147" t="str">
            <v>?</v>
          </cell>
          <cell r="D147" t="str">
            <v>SEN</v>
          </cell>
        </row>
        <row r="148">
          <cell r="A148" t="str">
            <v>1.13.1</v>
          </cell>
          <cell r="B148" t="str">
            <v>Réaliser un benchmarking des conditions générales et sectorielles de déversement d’eaux usées en Flandre et en Wallonie</v>
          </cell>
          <cell r="C148" t="str">
            <v>BE</v>
          </cell>
          <cell r="D148" t="str">
            <v>?</v>
          </cell>
        </row>
        <row r="149">
          <cell r="A149" t="str">
            <v>1.13.2</v>
          </cell>
          <cell r="B149" t="str">
            <v xml:space="preserve">Réaliser une campagne de mesures des polluants problématiques (pour une large gamme de paramètres, connus et potentiels) émis dans les eaux usées par les principaux secteurs d’activités de la Région, dont les secteurs industriels et les hôpitaux. </v>
          </cell>
          <cell r="C149" t="str">
            <v>BE</v>
          </cell>
          <cell r="D149" t="str">
            <v>?</v>
          </cell>
        </row>
        <row r="150">
          <cell r="A150" t="str">
            <v>1.13.3</v>
          </cell>
          <cell r="B150" t="str">
            <v xml:space="preserve">Sur base des résultats de l’action 1.13.2, analyser les possibilités de réduction à la source pour l’utilisation et le rejet de certaines substances et évaluer les améliorations possibles de leur traitement  pour fixer des normes acceptables environnementalement et pouvant être respectées techniquement </v>
          </cell>
          <cell r="C150" t="str">
            <v>BE</v>
          </cell>
          <cell r="D150" t="str">
            <v>?</v>
          </cell>
        </row>
        <row r="151">
          <cell r="A151" t="str">
            <v>1.13.4</v>
          </cell>
          <cell r="B151" t="str">
            <v>Proposer un arrêté du Gouvernement actualisant les conditions générales de déversement d’eaux usées, en établissant un lien avec les objectifs de qualité des eaux de surface lorsque le rejet a lieu dans une eau de surface</v>
          </cell>
          <cell r="C151" t="str">
            <v>BE</v>
          </cell>
          <cell r="D151" t="str">
            <v>?</v>
          </cell>
        </row>
        <row r="152">
          <cell r="A152" t="str">
            <v>1.13.5</v>
          </cell>
          <cell r="B152" t="str">
            <v>Actualiser les normes de rejet spécifiques dans le cadre des permis d’environnement et inclure l’obligation d’un automonitoring des eaux usées déversées dans les permis d’environnement pour certaines substances et industries pertinentes</v>
          </cell>
          <cell r="C152" t="str">
            <v>BE</v>
          </cell>
          <cell r="D152" t="str">
            <v>?</v>
          </cell>
        </row>
        <row r="153">
          <cell r="A153" t="str">
            <v>1.14.1</v>
          </cell>
          <cell r="B153" t="str">
            <v>Identifier les entreprises qui rejettent directement des eaux non domestiques dans les eaux de surface et encoder l’information dans la base de données des permis d’environnement</v>
          </cell>
          <cell r="C153" t="str">
            <v>BE (Inspectorat) et BE (Permis)</v>
          </cell>
          <cell r="D153" t="str">
            <v>SEN / WOL / CAN</v>
          </cell>
        </row>
        <row r="154">
          <cell r="A154" t="str">
            <v>1.14.A</v>
          </cell>
          <cell r="B154" t="str">
            <v>Sur base des résultats de l’analyse de secteurs (mesure 1.13.2), sélection des secteurs les plus problématiques et proposition de priorisation par secteur</v>
          </cell>
          <cell r="C154" t="str">
            <v>BE Permis (A. Verbist) et Dpt. Eau (L. Dohet/A. Marescaux)</v>
          </cell>
          <cell r="D154" t="str">
            <v>SEN / WOL / CAN</v>
          </cell>
        </row>
        <row r="155">
          <cell r="A155" t="str">
            <v>1.14.2</v>
          </cell>
          <cell r="B155" t="str">
            <v xml:space="preserve">Recenser, dans la base de données des permis d’environnement, les installations classées dont les rejets sont potentiellement problématiques au regard des objectifs de qualité des eaux de surface afin de permettre un contrôle ciblé de celles-ci.  </v>
          </cell>
          <cell r="C155" t="str">
            <v>BE (Inspectorat) et BE (Permis)</v>
          </cell>
          <cell r="D155" t="str">
            <v>SEN / WOL / CAN</v>
          </cell>
        </row>
        <row r="156">
          <cell r="A156" t="str">
            <v>1.14.3</v>
          </cell>
          <cell r="B156" t="str">
            <v>Etablissement d’un programme d’inspection spécifique pour ces installations classées en tenant compte des priorités proposées et réalise progressivement le contrôle les rejets.</v>
          </cell>
          <cell r="C156" t="str">
            <v>BE (Inspectorat)</v>
          </cell>
          <cell r="D156" t="str">
            <v>SEN / WOL / CAN</v>
          </cell>
        </row>
        <row r="157">
          <cell r="A157" t="str">
            <v>1.15.1</v>
          </cell>
          <cell r="B157" t="str">
            <v xml:space="preserve">Dans le cadre de REACH : 
• Mise en œuvre de la législation REACH : Contrôle et encadrement de l’utilisation/stockage des substances reprises à l’annexe 14 de REACH dans le cadre des permis d’environnement ;
• Identifier les données des permis d’environnement, notamment pour les substances suivantes : Anthracène ; Benzo(a)pyrène ; Benzo(g,h,i)perylène ; Fluoranthène ; Pyrène ; Plomb ; 4-n-nonylphénol ;Di(2-ethylhexyle)-phthalate ; Cadmium ; 1,2,5,6,9,10-hexabromocyclododécane (= alpha- + bêta- + gamma-HBCDD) ; procéder systématiquement à une analyse de risque et fixer les conditions adéquates dans les nouveaux permis ou prolongation de permis.
</v>
          </cell>
          <cell r="C157" t="str">
            <v>BE</v>
          </cell>
          <cell r="D157" t="str">
            <v>?</v>
          </cell>
        </row>
        <row r="158">
          <cell r="A158" t="str">
            <v>1.15.2</v>
          </cell>
          <cell r="B158" t="str">
            <v xml:space="preserve">Dans le cadre du NAPED : 
• Mise en œuvre des mesures du NAPED qui sont du ressort de la Région (lorsqu’il sera adopté). 
• Veiller plus précisément à celles concernant le nonylphénols et le di(2-ethylhexyle)-phthalate 
</v>
          </cell>
          <cell r="C158" t="str">
            <v>BE</v>
          </cell>
          <cell r="D158" t="str">
            <v>?</v>
          </cell>
        </row>
        <row r="159">
          <cell r="A159" t="str">
            <v>1.15.3</v>
          </cell>
          <cell r="B159" t="str">
            <v xml:space="preserve">Dans le cadre de la Convention de Stockholm et du règlement UE en matière de POP et du NIP belge : 
• Soutenir et appliquer les mesures de la convention par le biais des permis d’environnement et des inventaires des émissions (E-PRTR). 
• Veiller plus précisément à celles concernant l’heptachlore et époxyde d’heptachlore ; l’acide perfluorooctane-sulfonique et ses dérivés PCB ; les diphényléthers bromés (= PBDE28 + 47 + 99 + 100 + 153 + 154) ; 1,2,5,6,9,10-l’hexabromocyclododécane (= alpha- + bêta- + gamma-HBCDD) et les dioxines et composés de type dioxine.
</v>
          </cell>
          <cell r="C159" t="str">
            <v>BE</v>
          </cell>
          <cell r="D159" t="str">
            <v>?</v>
          </cell>
        </row>
        <row r="160">
          <cell r="A160" t="str">
            <v>1.15.4</v>
          </cell>
          <cell r="B160" t="str">
            <v xml:space="preserve">Dans le cadre du NAP-AMR : 
• Mise en œuvre des mesures du NAP-AMR. 
</v>
          </cell>
          <cell r="C160" t="str">
            <v>BE</v>
          </cell>
          <cell r="D160" t="str">
            <v>?</v>
          </cell>
        </row>
        <row r="161">
          <cell r="A161" t="str">
            <v>1.15.5</v>
          </cell>
          <cell r="B161" t="str">
            <v xml:space="preserve">Dans le cadre du PRRP et du NAPAN : 
• Mise en œuvre des mesures du PRRP et NAPAN (cf. aussi M 3.6)
• Définition d’une stratégie de monitoring et mise en œuvre d’une campagne de mesure spécifique:
• Définition d’une liste de substances à analyser, au-delà des listes de substances prioritaires et de vigilance européennes faisant déjà l’objet de monitoring, notamment au regard des données disponibles dans les autres régions ;
• Définition des sites les plus à risque (proximité des zones agricoles, proximité des voies ferrées, proximité de terrains de sport engazonnés, etc.)
• Définition du protocole d’échantillonnage (périodes de prélèvement, répétition dans le temps,…)
En cas de pollutions constatées dans les eaux souterraines ou de surface, les causes de celles-ci seront recherchées afin de proposer d’éventuelles mesures de remédiation.
</v>
          </cell>
          <cell r="C161" t="str">
            <v>BE</v>
          </cell>
          <cell r="D161" t="str">
            <v>?</v>
          </cell>
        </row>
        <row r="162">
          <cell r="A162" t="str">
            <v>1.15.6</v>
          </cell>
          <cell r="B162" t="str">
            <v xml:space="preserve">Dans le cadre du PRRP et du NAPAN : 
• Géolocaliser les données d’utilisation des pesticides 
• Analyser ces données avec celles des concentrations dans les eaux
</v>
          </cell>
          <cell r="C162" t="str">
            <v>BE</v>
          </cell>
          <cell r="D162" t="str">
            <v>?</v>
          </cell>
        </row>
        <row r="163">
          <cell r="A163" t="str">
            <v>1.15.7</v>
          </cell>
          <cell r="B163" t="str">
            <v xml:space="preserve">Dans le cadre du PRRP et du NAPAN : 
• Analyser des données scientifiques récentes sur l’efficacité de différentes modalités de zones tampons pour la protection du milieu aquatique ;
• Evaluer des mesures applicables dans d’autres pays et régions ; 
• Uniformiser, dans la mesure du possible, les mesures de réduction du risque pour les organismes aquatiques non cibles à l’échelle du pays, conformément à l’action belge 3.6.1 du NAPAN (Charte pour la lutte contre les dépassements des valeurs de référence des produits phytopharmaceutiques dans les eaux de surface en Belgique, mise en œuvre par le secteur de plans de réduction des émissions (PRE) pour certaines substances actives ;
• Évaluer la pertinence des zones tampons régionales actuellement d’application pour la protection du milieu aquatique pour les adapter, le cas échéant. (en complément de l’action belge 3.6.2 du NAPAN)
</v>
          </cell>
          <cell r="C163" t="str">
            <v>BE</v>
          </cell>
          <cell r="D163" t="str">
            <v>?</v>
          </cell>
        </row>
        <row r="164">
          <cell r="A164" t="str">
            <v>1.15.8</v>
          </cell>
          <cell r="B164" t="str">
            <v xml:space="preserve">Dans le cadre du Plan Climat Energie bruxellois:
• Faire le suivi de la mise en œuvre quant à l’impact sur la qualité des masses d’eau
• Réduire sur le territoire régional la combustion de pétrole (essence, diesel, mazout), de charbon et de bois ou encore l’incinération de déchets - contribuera à réduire les émissions de substances déclassant l’état chimique : les HAPs (Benzo(g,h,i)perylène, le fluoranthène, le benzo(a)pyrène, l'anthracène et le pyrène) et les métaux lourds (cadmium, plomb, nickel, cadmium, zinc) 
En addition de ce Plan Climat Energie, une analyse croisée des données de l’inventaire des émissions atmosphériques couvrant la période 1990-2019 réalisé par le département Evaluation Air Climat Energie et de celles de la qualité des eaux de surface pourrait être réalisée.
</v>
          </cell>
          <cell r="C164" t="str">
            <v>BE</v>
          </cell>
          <cell r="D164" t="str">
            <v>?</v>
          </cell>
        </row>
        <row r="165">
          <cell r="A165" t="str">
            <v>1.15.9</v>
          </cell>
          <cell r="B165" t="str">
            <v xml:space="preserve">Dans le cadre du règlement UE sur le mercure
Si à ce jour, aucune activité industrielle présente sur le territoire bruxellois n’est sujette au règlement UE, il y a lieu de suivre l’exploitation de l’incinérateur de déchets urbains au niveau des émissions et des meilleures techniques disponibles au sens de l’article 8 de la Convention de Minamata.
</v>
          </cell>
          <cell r="C165" t="str">
            <v>BE</v>
          </cell>
          <cell r="D165" t="str">
            <v>?</v>
          </cell>
        </row>
        <row r="166">
          <cell r="A166" t="str">
            <v>1.16.1</v>
          </cell>
          <cell r="B166" t="str">
            <v>Mener une étude des sédiments présents sur les 2 tronçons de la Senne qui n’ont pas encore été curés : Aquiris et Buda (bathymétrie et qualité des sédiments)</v>
          </cell>
          <cell r="C166" t="str">
            <v>BE
Accompagnement L. Dohet/A. Marescaux</v>
          </cell>
          <cell r="D166" t="str">
            <v>SEN</v>
          </cell>
        </row>
        <row r="167">
          <cell r="A167" t="str">
            <v>1.16.2</v>
          </cell>
          <cell r="B167" t="str">
            <v>Curer le tronçon ‘Aquiris’ et éliminer les boues polluées (Senne)</v>
          </cell>
          <cell r="C167" t="str">
            <v>BE</v>
          </cell>
          <cell r="D167" t="str">
            <v>SEN</v>
          </cell>
        </row>
        <row r="168">
          <cell r="A168" t="str">
            <v>1.16.3</v>
          </cell>
          <cell r="B168" t="str">
            <v>Curer le tronçon ‘Buda’ et éliminer les boues polluées (Senne)</v>
          </cell>
          <cell r="C168" t="str">
            <v>BE</v>
          </cell>
          <cell r="D168" t="str">
            <v>SEN</v>
          </cell>
        </row>
        <row r="169">
          <cell r="A169" t="str">
            <v>1.16.4</v>
          </cell>
          <cell r="B169" t="str">
            <v>Etablir une base de données des curages réalisés (en tant qu’outil de planification future)</v>
          </cell>
          <cell r="C169" t="str">
            <v>BE</v>
          </cell>
          <cell r="D169" t="str">
            <v>SEN / WOL / CAN</v>
          </cell>
        </row>
        <row r="170">
          <cell r="A170" t="str">
            <v>1.17.1</v>
          </cell>
          <cell r="B170" t="str">
            <v>Évaluer le besoin réel de déviation d’eau de la Senne vers le Canal, déterminer les règles d’activation des vannes en tenant compte des risques d’inondation (lien avec la M5.8) et de la surveillance des paramètres principaux (niveau d’eau)</v>
          </cell>
          <cell r="C170" t="str">
            <v>M.ANTOINE
(BE) en collaboration avec le Port de Bxl (P. Herman/J. Opsomer) pour la faisabilité/analyse des risques</v>
          </cell>
          <cell r="D170" t="str">
            <v>CAN</v>
          </cell>
        </row>
        <row r="171">
          <cell r="A171" t="str">
            <v>1.17.2</v>
          </cell>
          <cell r="B171" t="str">
            <v>Remplacer les vannes en bois par des vannes métalliques</v>
          </cell>
          <cell r="C171" t="str">
            <v>PORT DE BXLS (J. OPSOMER)</v>
          </cell>
          <cell r="D171" t="str">
            <v>CAN</v>
          </cell>
        </row>
        <row r="172">
          <cell r="A172" t="str">
            <v>1.17.3</v>
          </cell>
          <cell r="B172" t="str">
            <v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v>
          </cell>
          <cell r="C172" t="str">
            <v>PORT DE BXLS (J. OPSOMER pour étude remplacement système cric par système oléo-hydraulique)
Installation système de surveillance (camera ou sondes)</v>
          </cell>
          <cell r="D172" t="str">
            <v>CAN</v>
          </cell>
        </row>
        <row r="173">
          <cell r="A173" t="str">
            <v>1.17.4</v>
          </cell>
          <cell r="B173" t="str">
            <v>Aménager les vannes et implémenter les nouvelles règles de déviation d’eaux en fonction des étapes M 1.17.1 à M1.17.3</v>
          </cell>
          <cell r="C173" t="str">
            <v>PORT DE BXLS (J. OPSOMER)</v>
          </cell>
          <cell r="D173" t="str">
            <v>CAN</v>
          </cell>
        </row>
        <row r="174">
          <cell r="A174" t="str">
            <v>1.17.5</v>
          </cell>
          <cell r="B174" t="str">
            <v>Assurer la veille des niveaux d’eau
Mesures de sécurité additionnelle à prendre en compte</v>
          </cell>
          <cell r="C174" t="str">
            <v>PORT DE BXLS</v>
          </cell>
          <cell r="D174" t="str">
            <v>SEN</v>
          </cell>
        </row>
        <row r="175">
          <cell r="A175" t="str">
            <v>1.17.6</v>
          </cell>
          <cell r="B175" t="str">
            <v>Assurer le fonctionnement des vannes</v>
          </cell>
          <cell r="C175" t="str">
            <v>PORT DE BXLS (P. HERMAN)</v>
          </cell>
          <cell r="D175" t="str">
            <v>SEN / CAN</v>
          </cell>
        </row>
        <row r="176">
          <cell r="A176" t="str">
            <v>1.18.1</v>
          </cell>
          <cell r="B176" t="str">
            <v>Bathymétrie, localisation et mesure du volume de boue</v>
          </cell>
          <cell r="C176" t="str">
            <v>Haven van Brussel J.Opsomer</v>
          </cell>
          <cell r="D176" t="str">
            <v>CAN</v>
          </cell>
        </row>
        <row r="177">
          <cell r="A177" t="str">
            <v>1.18.2</v>
          </cell>
          <cell r="B177" t="str">
            <v>Poursuivre le dragage mécanique et l'élimination des sédiments pollués du Canal</v>
          </cell>
          <cell r="C177" t="str">
            <v>Port de BXL (J.Opsomer)</v>
          </cell>
          <cell r="D177" t="str">
            <v>CAN</v>
          </cell>
        </row>
        <row r="178">
          <cell r="A178" t="str">
            <v>1.18.3</v>
          </cell>
          <cell r="B178" t="str">
            <v>Mettre en évidence des zones préférentielles d’accumulation des sédiments pour en faciliter le curage, et pour alimenter l’étude des zones privilégiées d’accumulation des pollutions afin d’aider à identifier les sources et voies d’entrée des polluants dans le Canal</v>
          </cell>
          <cell r="C178" t="str">
            <v>Port de BXL (J. Opsome)</v>
          </cell>
          <cell r="D178" t="str">
            <v>CAN</v>
          </cell>
        </row>
        <row r="179">
          <cell r="A179" t="str">
            <v>1.18.4</v>
          </cell>
          <cell r="B179" t="str">
            <v>Suivre la problématique des sédiments et de leur curage dans la voie navigable du Canal Bruxelles-Escaut avec les régions flamande et wallonne pour une gestion cohérente de part et d’autre des frontières</v>
          </cell>
          <cell r="C179" t="str">
            <v>Port de BXL Consultation interrégionale Capitaine, J.Opsomer</v>
          </cell>
          <cell r="D179" t="str">
            <v>CAN</v>
          </cell>
        </row>
        <row r="180">
          <cell r="A180" t="str">
            <v>1.18.5</v>
          </cell>
          <cell r="B180" t="str">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v>
          </cell>
          <cell r="C180" t="str">
            <v>Port de BXL (E. Claeys)
Accompagnement BE (L. Dohet/A. Marescaux)</v>
          </cell>
          <cell r="D180" t="str">
            <v>CAN</v>
          </cell>
        </row>
        <row r="181">
          <cell r="A181" t="str">
            <v>1.18.6</v>
          </cell>
          <cell r="B181" t="str">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v>
          </cell>
          <cell r="C181" t="str">
            <v>Port de BXL (Johan/ Ewout / Amélie )
accompagnement BE (L. Dohet/A. Marescaux)</v>
          </cell>
          <cell r="D181" t="str">
            <v>CAN</v>
          </cell>
        </row>
        <row r="182">
          <cell r="A182" t="str">
            <v>1.18.A</v>
          </cell>
          <cell r="B182" t="str">
            <v>Curer la totalité des sédiments du Canal pour retirer la pollution historique. Scénario Maximaliste</v>
          </cell>
          <cell r="C182" t="str">
            <v>Port de BXL</v>
          </cell>
          <cell r="D182" t="str">
            <v>CAN</v>
          </cell>
        </row>
        <row r="183">
          <cell r="A183" t="str">
            <v>1.18.7</v>
          </cell>
          <cell r="B183" t="str">
            <v>Sensibiliser les usagers quant aux pollutions diffuses des navires et bateaux caractérisées dans la mesure M1.5</v>
          </cell>
          <cell r="C183" t="str">
            <v>Port de BXL (A. Augem) accompagnement BE (L. Dohet/A. Marescaux)</v>
          </cell>
          <cell r="D183" t="str">
            <v>CAN</v>
          </cell>
        </row>
        <row r="184">
          <cell r="A184" t="str">
            <v>1.18.8</v>
          </cell>
          <cell r="B184" t="str">
            <v>Émettre des recommandations pour limiter les pollutions diffuses des navires et bateaux caractérisées dans la mesure M1.5</v>
          </cell>
          <cell r="C184" t="str">
            <v>Port de BXL (A. Augem) et BE</v>
          </cell>
          <cell r="D184" t="str">
            <v>CAN</v>
          </cell>
        </row>
        <row r="185">
          <cell r="A185" t="str">
            <v>1.18.9</v>
          </cell>
          <cell r="B185" t="str">
            <v>Contrôler le respect de l'arrêté pour le transport et la manutention des marchandises dangereuses ou non dans le Canal</v>
          </cell>
          <cell r="C185" t="str">
            <v>Port de BXL (Capitaine, autorité de la police)</v>
          </cell>
          <cell r="D185" t="str">
            <v>CAN</v>
          </cell>
        </row>
        <row r="186">
          <cell r="A186" t="str">
            <v>1.18.10</v>
          </cell>
          <cell r="B186" t="str">
            <v>Identifier les décharges clandestines le long du canal, les éliminer et poursuivre les auteurs, et prévenir ces décharges (ex : surveillance des zones fortement sujettes, affichages)</v>
          </cell>
          <cell r="C186" t="str">
            <v>Port de Bruxelles (A. Augem), BE Inspectorat (K. Van Den Bruel), communes</v>
          </cell>
          <cell r="D186" t="str">
            <v>CAN</v>
          </cell>
        </row>
        <row r="187">
          <cell r="A187" t="str">
            <v>1.19.1</v>
          </cell>
          <cell r="B187" t="str">
            <v xml:space="preserve">Analyser les paramètres et normes de l’arrêté NQE devant être actualisés ou inclus (paramètres chimiques et physico-chimiques) </v>
          </cell>
          <cell r="C187" t="str">
            <v>BE</v>
          </cell>
          <cell r="D187" t="str">
            <v>SEN / WOL / CAN</v>
          </cell>
        </row>
        <row r="188">
          <cell r="A188" t="str">
            <v>1.19.2</v>
          </cell>
          <cell r="B188" t="str">
            <v>Identifier les polluants spécifiques au bassin versant (‘river basin specific pollutants’) dans l’arrêté NQE et les normes qui leur sont applicables</v>
          </cell>
          <cell r="C188" t="str">
            <v>BE</v>
          </cell>
          <cell r="D188" t="str">
            <v>SEN / WOL / CAN</v>
          </cell>
        </row>
        <row r="189">
          <cell r="A189" t="str">
            <v>1.19.3</v>
          </cell>
          <cell r="B189" t="str">
            <v>Intégrer les objectifs de qualité écologique dans l’arrêté NQE (en ce compris les objectifs de potentiel hydromorphologique) et y expliciter la méthode d’évaluation du potentiel écologique</v>
          </cell>
          <cell r="C189" t="str">
            <v>BE</v>
          </cell>
          <cell r="D189" t="str">
            <v>SEN / WOL / CAN</v>
          </cell>
        </row>
        <row r="190">
          <cell r="A190" t="str">
            <v>1.19.4</v>
          </cell>
          <cell r="B190" t="str">
            <v>Rédiger un projet d’arrêté actualisant l’ensemble des objectifs de qualité applicables aux masses d’eau de surface et le soumettre aux autres régions (consultations transfrontalières au sein du CCPIE) et le faire adopter</v>
          </cell>
          <cell r="C190" t="str">
            <v>BE</v>
          </cell>
          <cell r="D190" t="str">
            <v>SEN / WOL / CAN</v>
          </cell>
        </row>
        <row r="191">
          <cell r="A191" t="str">
            <v>1.20.1</v>
          </cell>
          <cell r="B191" t="str">
            <v xml:space="preserve">Rassembler dans une base de données les informations renseignées dans les permis d’environnement (entre autre via les directives et législations comme REACH ou IED) et les inventaires sols et de pollution de l’air concernant les sources et les quantités émises de chaque substance déclassant l’état des masses d’eau pour alimenter l’inventaire des émissions, pertes et rejets des substances prioritaires et prioritaires dangereuses et d’autres polluants.  </v>
          </cell>
          <cell r="C191" t="str">
            <v>BE</v>
          </cell>
          <cell r="D191" t="str">
            <v>SEN / WOL / CAN</v>
          </cell>
        </row>
        <row r="192">
          <cell r="A192" t="str">
            <v>1.20.2</v>
          </cell>
          <cell r="B192" t="str">
            <v xml:space="preserve">Faire une analyse comparative des résultats des campagnes de mesures prévues aux M 1.12 et M 1.13 au regard de données d’E-PRTR afin de valider les émissions prédites dans WEISS </v>
          </cell>
          <cell r="C192" t="str">
            <v>BE</v>
          </cell>
          <cell r="D192" t="str">
            <v>SEN / WOL / CAN</v>
          </cell>
        </row>
        <row r="193">
          <cell r="A193" t="str">
            <v>1.20.3</v>
          </cell>
          <cell r="B193" t="str">
            <v>Identifier les sources lacunaires et estimer les émissions des paramètres déclassant  via une revue de la littérature</v>
          </cell>
          <cell r="C193" t="str">
            <v>BE</v>
          </cell>
          <cell r="D193" t="str">
            <v>SEN / WOL / CAN</v>
          </cell>
        </row>
        <row r="194">
          <cell r="A194" t="str">
            <v>1.20.4</v>
          </cell>
          <cell r="B194" t="str">
            <v xml:space="preserve">Identifier les sources lacunaires et estimer les émissions des métaux déclassant l’état chimique de la Senne et du Canal (plomb, nickel, mercure, cadmium, zinc) via une campagne de mesures.
Cette campagne s’intéressera à l’apport de polluants via les affluents ainsi qu’aux rejets diffus issus du lessivage des parcelles portuaires.
</v>
          </cell>
          <cell r="C194" t="str">
            <v xml:space="preserve">BE 
Accompagnement Port de Bruxelles
</v>
          </cell>
          <cell r="D194" t="str">
            <v>SEN / WOL / CAN</v>
          </cell>
        </row>
        <row r="195">
          <cell r="A195" t="str">
            <v>1.20.5</v>
          </cell>
          <cell r="B195" t="str">
            <v>Comprendre la dynamique des nutriments et plus spécifiquement, du phosphore dans la vallée de la Woluwe via une campagne de mesures</v>
          </cell>
          <cell r="C195" t="str">
            <v>BE - SmartWater</v>
          </cell>
          <cell r="D195" t="str">
            <v>SEN / WOL / CAN</v>
          </cell>
        </row>
        <row r="196">
          <cell r="A196" t="str">
            <v>1.20.6</v>
          </cell>
          <cell r="B196" t="str">
            <v>Actualiser er améliorer l’outil de modélisation des émissions « WEISS »</v>
          </cell>
          <cell r="C196" t="str">
            <v>BE</v>
          </cell>
          <cell r="D196" t="str">
            <v>SEN / WOL / CAN</v>
          </cell>
        </row>
        <row r="197">
          <cell r="A197" t="str">
            <v>1.20.7</v>
          </cell>
          <cell r="B197" t="str">
            <v>Valider les données physico-chimiques et chimiques des eaux de surface de 2000 à 2027 et les analyser spatio-temporellement</v>
          </cell>
          <cell r="C197" t="str">
            <v>BE</v>
          </cell>
          <cell r="D197" t="str">
            <v>SEN / WOL / CAN</v>
          </cell>
        </row>
        <row r="198">
          <cell r="A198" t="str">
            <v>1.20.8</v>
          </cell>
          <cell r="B198" t="str">
            <v>Identifier les leviers d’action afin de diminuer les concentrations des paramètres déclassant l’état physico-chimique et chimique des masses d’eau de surface</v>
          </cell>
          <cell r="C198" t="str">
            <v>BE</v>
          </cell>
          <cell r="D198" t="str">
            <v>SEN / WOL / CAN</v>
          </cell>
        </row>
        <row r="199">
          <cell r="A199" t="str">
            <v>1.20.9</v>
          </cell>
          <cell r="B199" t="str">
            <v>Valoriser l’étude réalisée durant le PGE 2016-2021 portant sur la qualité des eaux de ruissellement (voiries, chemins de fer, trams, toitures)</v>
          </cell>
          <cell r="C199" t="str">
            <v>BE</v>
          </cell>
          <cell r="D199" t="str">
            <v>SEN / WOL / CAN</v>
          </cell>
        </row>
        <row r="200">
          <cell r="A200" t="str">
            <v>1.21.1</v>
          </cell>
          <cell r="B200" t="str">
            <v>Monitoring biologique dans les cours d'eau et étangs</v>
          </cell>
          <cell r="C200" t="str">
            <v>BE Dpt. Eau (L. Dohet/A. Marescaux)</v>
          </cell>
          <cell r="D200" t="str">
            <v>SEN / WOL / CAN</v>
          </cell>
        </row>
        <row r="201">
          <cell r="A201" t="str">
            <v>1.21.2</v>
          </cell>
          <cell r="B201" t="str">
            <v>Monitoring mensuel de la qualité de la colonne d'eau des eaux de surface</v>
          </cell>
          <cell r="C201" t="str">
            <v>BE Dpt. Eau (L. Dohet/A. Marescaux)</v>
          </cell>
          <cell r="D201" t="str">
            <v>SEN / WOL / CAN</v>
          </cell>
        </row>
        <row r="202">
          <cell r="A202" t="str">
            <v>1.21.3</v>
          </cell>
          <cell r="B202" t="str">
            <v xml:space="preserve">Monitoring de la qualité des sédiments des eaux de surface </v>
          </cell>
          <cell r="C202" t="str">
            <v xml:space="preserve">BE Dpt. Eau (L. Dohet/A. Marescaux)
</v>
          </cell>
          <cell r="D202" t="str">
            <v>SEN / WOL / CAN</v>
          </cell>
        </row>
        <row r="203">
          <cell r="A203" t="str">
            <v>1.21.4</v>
          </cell>
          <cell r="B203" t="str">
            <v>Monitoring de la qualité du biote des eaux de surface</v>
          </cell>
          <cell r="C203" t="str">
            <v xml:space="preserve">BE Dpt. Eau (L. Dohet/A. Marescaux)
</v>
          </cell>
          <cell r="D203" t="str">
            <v>SEN / WOL / CAN</v>
          </cell>
        </row>
        <row r="204">
          <cell r="A204" t="str">
            <v>1.21.5</v>
          </cell>
          <cell r="B204" t="str">
            <v>Intégrer et valider les données de chaque nouvelle année de qualité de la colonne d'eau dans la base de données des eaux de surface</v>
          </cell>
          <cell r="C204" t="str">
            <v>BE Dpt. Eau (L. Dohet/A. Marescaux)</v>
          </cell>
          <cell r="D204" t="str">
            <v>SEN / WOL / CAN</v>
          </cell>
        </row>
        <row r="205">
          <cell r="A205" t="str">
            <v>1.21.6</v>
          </cell>
          <cell r="B205" t="str">
            <v>Intégrer les données de qualité des sédiments et les données de qualité du biote dans la base de données des eaux de surface</v>
          </cell>
          <cell r="C205" t="str">
            <v>BE Dpt. Eau (L. Dohet/A. Marescaux)</v>
          </cell>
          <cell r="D205" t="str">
            <v>SEN / WOL / CAN</v>
          </cell>
        </row>
        <row r="206">
          <cell r="A206" t="str">
            <v>1.21.7</v>
          </cell>
          <cell r="B206" t="str">
            <v>Diffuser librement les données de surveillance de la qualité de l'eau</v>
          </cell>
          <cell r="C206" t="str">
            <v>BE Dpt. Eau (E.Beke/L. Dohet/A. Marescaux)</v>
          </cell>
          <cell r="D206" t="str">
            <v>SEN / WOL / CAN</v>
          </cell>
        </row>
        <row r="207">
          <cell r="A207" t="str">
            <v>1.21.8</v>
          </cell>
          <cell r="B207" t="str">
            <v>Inventorier les modifications hydromorphologiques des eaux de surface</v>
          </cell>
          <cell r="C207" t="str">
            <v>BE (réseau hydro)</v>
          </cell>
          <cell r="D207" t="str">
            <v>SEN / WOL / CAN</v>
          </cell>
        </row>
        <row r="208">
          <cell r="A208" t="str">
            <v>1.21.9</v>
          </cell>
          <cell r="B208" t="str">
            <v>Communiquer sur les états biologiques et hydromorphologiques via des publications de l'état de l'environnement</v>
          </cell>
          <cell r="C208" t="str">
            <v>BE (S. Davesne)</v>
          </cell>
          <cell r="D208" t="str">
            <v>SEN / WOL / CAN</v>
          </cell>
        </row>
        <row r="209">
          <cell r="A209" t="str">
            <v>1.21.10</v>
          </cell>
          <cell r="B209" t="str">
            <v>Actualisation du potentiel écologique et de l'état chimique des eaux de surface</v>
          </cell>
          <cell r="C209" t="str">
            <v>BE Dpt. Eau (L. Dohet/A. Marescaux)</v>
          </cell>
          <cell r="D209" t="str">
            <v>SEN / WOL / CAN</v>
          </cell>
        </row>
        <row r="210">
          <cell r="A210" t="str">
            <v>1.22.1</v>
          </cell>
          <cell r="B210" t="str">
            <v>Entretien et réparation/remplacement des sondes du réseau Flowbru existantes et nouvellement installées</v>
          </cell>
          <cell r="C210" t="str">
            <v>SBGE</v>
          </cell>
          <cell r="D210" t="str">
            <v>SEN / WOL / CAN</v>
          </cell>
        </row>
        <row r="211">
          <cell r="A211" t="str">
            <v>1.22.2</v>
          </cell>
          <cell r="B211" t="str">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v>
          </cell>
          <cell r="C211" t="str">
            <v>SBGE</v>
          </cell>
          <cell r="D211" t="str">
            <v>SEN / WOL / CAN</v>
          </cell>
        </row>
        <row r="212">
          <cell r="A212" t="str">
            <v>1.22.3</v>
          </cell>
          <cell r="B212" t="str">
            <v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v>
          </cell>
          <cell r="C212" t="str">
            <v>SBGE
Port de Bruxelles (Canal), Accompagnement L. DOHET A.MARESCAUX (BE)</v>
          </cell>
          <cell r="D212" t="str">
            <v>SEN / CAN</v>
          </cell>
        </row>
        <row r="213">
          <cell r="A213" t="str">
            <v>1.22.4</v>
          </cell>
          <cell r="B213" t="str">
            <v>Intégration des sondes déployées dans le site web de diffusion des données Flowbru et diffusion des données de toutes les sondes</v>
          </cell>
          <cell r="C213" t="str">
            <v>SBGE</v>
          </cell>
          <cell r="D213" t="str">
            <v>SEN / WOL / CAN</v>
          </cell>
        </row>
        <row r="214">
          <cell r="A214" t="str">
            <v>1.22.5</v>
          </cell>
          <cell r="B214" t="str">
            <v>Poursuivre la validation des nouvelles données pluviométriques, poursuivre la validation des données</v>
          </cell>
          <cell r="C214" t="str">
            <v>SBGE Accompagnement BE (L. DOHET/A.MARESCAUX)</v>
          </cell>
          <cell r="D214" t="str">
            <v>SEN / WOL / CAN</v>
          </cell>
        </row>
        <row r="215">
          <cell r="A215" t="str">
            <v>1.22.6</v>
          </cell>
          <cell r="B215" t="str">
            <v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v>
          </cell>
          <cell r="C215" t="str">
            <v xml:space="preserve">BE (L. DOHET/A.MARESCAUX)
Accompagnement SBGE (B. VERBEIREN) </v>
          </cell>
          <cell r="D215" t="str">
            <v>SEN / CAN</v>
          </cell>
        </row>
        <row r="216">
          <cell r="A216" t="str">
            <v>1.22.7</v>
          </cell>
          <cell r="B216" t="str">
            <v>Etude d'utilisation des données du réseau Flowbru afin d'améliorer la prédiction de la maintenance des sondes et la gestion dynamique.</v>
          </cell>
          <cell r="C216" t="str">
            <v>SBGE</v>
          </cell>
          <cell r="D216" t="str">
            <v>SEN / WOL / CAN</v>
          </cell>
        </row>
        <row r="217">
          <cell r="A217" t="str">
            <v>1.22.8</v>
          </cell>
          <cell r="B217" t="str">
            <v>Amélioration du site web de diffusion des données mesurées Flowbru (https://www.Flowbru.be/fr) et développement d'une application mobile.</v>
          </cell>
          <cell r="C217" t="str">
            <v>SBGE</v>
          </cell>
          <cell r="D217" t="str">
            <v>SEN / WOL / CAN</v>
          </cell>
        </row>
        <row r="218">
          <cell r="A218" t="str">
            <v>1.22.9</v>
          </cell>
          <cell r="B218" t="str">
            <v>Développement d'une API du site Flowbru pour faciliter la diffusion des données</v>
          </cell>
          <cell r="C218" t="str">
            <v>SBGE</v>
          </cell>
          <cell r="D218" t="str">
            <v>SEN / WOL / CAN</v>
          </cell>
        </row>
        <row r="219">
          <cell r="A219" t="str">
            <v>1.22.10</v>
          </cell>
          <cell r="B219" t="str">
            <v>Développer des alertes automatiques pour une liste de contacts (dont SBGE, Port, BE) en cas de modification alarmante de paramètres mesurés par les sondes Flowbru, en particulier concernant des chutes d'oxygène, ou hausses de conductivité ou de pigments de cyanobactéries</v>
          </cell>
          <cell r="C219" t="str">
            <v>SBGE / BE</v>
          </cell>
          <cell r="D219" t="str">
            <v>SEN / CAN</v>
          </cell>
        </row>
        <row r="220">
          <cell r="A220" t="str">
            <v>1.22.11</v>
          </cell>
          <cell r="B220" t="str">
            <v>Déployer 1-2 sondes supplémentaires, en amont/aval de la première sonde (prévue au niveau du bassin Béco), si celle-ci démontre que cela s'avère utile (dans la M 1.22.3)</v>
          </cell>
          <cell r="C220" t="str">
            <v>Port et SBGE</v>
          </cell>
          <cell r="D220" t="str">
            <v>CAN</v>
          </cell>
        </row>
        <row r="221">
          <cell r="A221" t="str">
            <v>1.22.12</v>
          </cell>
          <cell r="B221" t="str">
            <v>Analyser les données recueillies et les mettre à disposition du Port pour communiquer vers les usagers du Canal.</v>
          </cell>
          <cell r="C221" t="str">
            <v>SBGE, BE</v>
          </cell>
          <cell r="D221" t="str">
            <v>CAN</v>
          </cell>
        </row>
        <row r="222">
          <cell r="A222" t="str">
            <v>1.23.1</v>
          </cell>
          <cell r="B222" t="str">
            <v>Réaliser une caractérisation fine des entrées de polluants physico-chimique dans la Senne</v>
          </cell>
          <cell r="C222" t="str">
            <v>BE</v>
          </cell>
          <cell r="D222" t="str">
            <v xml:space="preserve">SEN </v>
          </cell>
        </row>
        <row r="223">
          <cell r="A223" t="str">
            <v>1.23.2</v>
          </cell>
          <cell r="B223" t="str">
            <v>Utiliser un modèle biogéochimique adapté pour la Senne en collaboration avec la VMM</v>
          </cell>
          <cell r="C223" t="str">
            <v>BE, VMM</v>
          </cell>
          <cell r="D223" t="str">
            <v xml:space="preserve">SEN </v>
          </cell>
        </row>
        <row r="224">
          <cell r="A224" t="str">
            <v>1.23.3</v>
          </cell>
          <cell r="B224" t="str">
            <v>Analyser les scénarios permettant d’améliorer la qualité physico-chimique de la Senne en collaboration avec la VMM et, le cas échéant, entamer l’argumentaire pour la formulation d’éventuels objectifs moins stricts)</v>
          </cell>
          <cell r="C224" t="str">
            <v>BE, VMM</v>
          </cell>
          <cell r="D224" t="str">
            <v xml:space="preserve">SEN </v>
          </cell>
        </row>
        <row r="225">
          <cell r="A225" t="str">
            <v>1.24.1</v>
          </cell>
          <cell r="B225" t="str">
            <v>Fine caractérisation des entrées de polluants physico-chimique dans la Senne</v>
          </cell>
          <cell r="C225" t="str">
            <v>BE (dpt. Eau- Audrey Marescaux / Loïc Dohet)</v>
          </cell>
          <cell r="D225" t="str">
            <v>SEN</v>
          </cell>
        </row>
        <row r="226">
          <cell r="A226" t="str">
            <v>1.24.2</v>
          </cell>
          <cell r="B226" t="str">
            <v>Utilisation d’un modèle biogéochimique adapté pour la Senne – collaboration avec la VMM</v>
          </cell>
          <cell r="C226" t="str">
            <v>BE (dpt. Eau- Audrey Marescaux) collaboration avec la VMM</v>
          </cell>
          <cell r="D226" t="str">
            <v>SEN</v>
          </cell>
        </row>
        <row r="227">
          <cell r="A227" t="str">
            <v>1.24.3</v>
          </cell>
          <cell r="B227" t="str">
            <v>Analyse de scénarios permettant d’améliorer la qualité physico-chimique de la Senne – collaboration avec la VMM</v>
          </cell>
          <cell r="C227" t="str">
            <v>BE (dpt. Eau- Audrey Marescaux / Loïc Dohet)
collaboration avec la VMM</v>
          </cell>
          <cell r="D227" t="str">
            <v>SEN</v>
          </cell>
        </row>
        <row r="228">
          <cell r="A228" t="str">
            <v>1.24.4</v>
          </cell>
          <cell r="B228" t="str">
            <v>Campagne de mesures des nutriments dans les étangs bruxellois pour initialiser et valider le modèle</v>
          </cell>
          <cell r="C228" t="str">
            <v>BE (dpt. Eau- Camille Gaulier et Audrey Marescaux)</v>
          </cell>
          <cell r="D228" t="str">
            <v>WOL</v>
          </cell>
        </row>
        <row r="229">
          <cell r="A229" t="str">
            <v>1.24.5</v>
          </cell>
          <cell r="B229" t="str">
            <v>Développement d’un modèle d’efflorescence de cyanobactéries en RBC</v>
          </cell>
          <cell r="C229" t="str">
            <v>ULB (Nathalie Gypens) accompagnement (dpt. Eau- Audrey Marescaux et Camille Gaulier)</v>
          </cell>
          <cell r="D229" t="str">
            <v>WOL</v>
          </cell>
        </row>
        <row r="230">
          <cell r="A230" t="str">
            <v>1.25.1</v>
          </cell>
          <cell r="B230" t="str">
            <v>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v>
          </cell>
          <cell r="C230" t="str">
            <v>BE Dpt. Déchet (C. Riffont), BE Dpt. Eau (P. Place/E. Beke, L. Dohet/A. Marescaux), BE Sous-Div. Information (T. Nguyen), SBGE, Vivaqua.
Collaboration BE Serv. Dév. Nature (H. Caulier/J. Ruelle)</v>
          </cell>
          <cell r="D230" t="str">
            <v>SEN / WOL / CAN</v>
          </cell>
        </row>
        <row r="231">
          <cell r="A231" t="str">
            <v>1.25.2</v>
          </cell>
          <cell r="B231" t="str">
            <v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v>
          </cell>
          <cell r="C231" t="str">
            <v>BE Dpt. Déchet (C.Riffont), BE Dpt. Eau (P. Place/E. Beke), Sous-Div. Information (J. Hairson et M. Cavelier), SBGE, Vivaqua,Communes</v>
          </cell>
          <cell r="D231" t="str">
            <v>SEN / WOL / CAN</v>
          </cell>
        </row>
        <row r="232">
          <cell r="A232" t="str">
            <v>1.25.3</v>
          </cell>
          <cell r="B232" t="str">
            <v>Fournir des informations au Musée des égouts (et autres lieux culturels relayant la préservation de l’environnement) en tant que lieu de sensibilisation</v>
          </cell>
          <cell r="C232" t="str">
            <v>BE Dpt. Eau (P. Place/E. Beke)
Collaboration Musée des égouts (Ville de Bruxelles).</v>
          </cell>
          <cell r="D232" t="str">
            <v>SEN / WOL / CAN</v>
          </cell>
        </row>
        <row r="233">
          <cell r="A233" t="str">
            <v>1.25.4</v>
          </cell>
          <cell r="B233" t="str">
            <v>Promouvoir l’interdiction d’utilisation des objets en plastique à usage unique et favoriser les alternatives réutilisables/durables.
Cette mesure s’établira en synergie également avec la M.7.2 sur la promotion de l’eau de distribution pour les besoins potables.</v>
          </cell>
          <cell r="C233" t="str">
            <v xml:space="preserve">BE Dpt. Déchet (C.Riffont) </v>
          </cell>
          <cell r="D233" t="str">
            <v>SEN / WOL / CAN</v>
          </cell>
        </row>
        <row r="234">
          <cell r="A234" t="str">
            <v>1.25.5</v>
          </cell>
          <cell r="B234" t="str">
            <v xml:space="preserve">Renforcer les campagnes existantes sur la promotion de la propreté urbaine via différents outils et canaux de communication </v>
          </cell>
          <cell r="C234" t="str">
            <v>Bruxelles Propreté (ARP)
Port de Bruxelles</v>
          </cell>
          <cell r="D234" t="str">
            <v>SEN / WOL / CAN</v>
          </cell>
        </row>
        <row r="235">
          <cell r="A235" t="str">
            <v>1.25.6</v>
          </cell>
          <cell r="B235" t="str">
            <v xml:space="preserve">Poursuivre et renforcer la campagne « Ici commence la mer » tout en considérant l’opportunité d’en étendre le périmètre. </v>
          </cell>
          <cell r="C235" t="str">
            <v xml:space="preserve">BE Dpt. Eau (P. Place)
ASBL
en collaboration  SBGE, Vivaqua </v>
          </cell>
          <cell r="D235" t="str">
            <v>SEN / WOL / CAN</v>
          </cell>
        </row>
        <row r="236">
          <cell r="A236" t="str">
            <v>1.25.7</v>
          </cell>
          <cell r="B236" t="str">
            <v>Développement d’une application de sensibilisation et de participation citoyenne à l’observation de pollution des eaux de surface</v>
          </cell>
          <cell r="C236" t="str">
            <v xml:space="preserve">BE Dpt. Eau (C. Gaulier/A. Marescaux)
Accompagnement projet SmartWater </v>
          </cell>
          <cell r="D236" t="str">
            <v>SEN / WOL / CAN</v>
          </cell>
        </row>
        <row r="237">
          <cell r="A237" t="str">
            <v>1.25.8</v>
          </cell>
          <cell r="B237" t="str">
            <v>Sensibiliser les acteurs de l’aménagement et de l’entretien des voiries à tenir compte des problématiques posées par le sel de déneigement (surconsommation, …)</v>
          </cell>
          <cell r="C237" t="str">
            <v>BE Dpt. Eau (P. Place/E. Beke, F. Mayer). 
Collaboration Bruxelles Mobilité et Communes</v>
          </cell>
          <cell r="D237" t="str">
            <v>SEN / WOL / CAN</v>
          </cell>
        </row>
        <row r="238">
          <cell r="A238" t="str">
            <v>1.26.1</v>
          </cell>
          <cell r="B238" t="str">
            <v>Intégrer les principes de gestion développés au niveau de la CIE dans les procédures de gestion de pollution au niveau bruxellois (Voir plan faitier CIE)</v>
          </cell>
          <cell r="C238" t="str">
            <v>BE</v>
          </cell>
          <cell r="D238" t="str">
            <v>SEN / WOL / CAN</v>
          </cell>
        </row>
        <row r="239">
          <cell r="A239" t="str">
            <v>1.26.2</v>
          </cell>
          <cell r="B239" t="str">
            <v>Appliquer les recommandations délivrées par la CIE en vue d’améliorer le fonctionnement et la communication au sein du SAAE (Voir plan faitier CIE)</v>
          </cell>
          <cell r="C239" t="str">
            <v>BE</v>
          </cell>
          <cell r="D239" t="str">
            <v>SEN / WOL / CAN</v>
          </cell>
        </row>
        <row r="240">
          <cell r="A240" t="str">
            <v>1.26.3</v>
          </cell>
          <cell r="B240" t="str">
            <v>Intégrer le Port de Bruxelles dans le marché de Bruxelles Environnement pour le CPA du Système d’alarme et d’alerte pour le district hydrographique de l’Escaut (Voir plan faitier CIE)</v>
          </cell>
          <cell r="C240" t="str">
            <v>BE</v>
          </cell>
          <cell r="D240" t="str">
            <v>SEN / WOL / CAN</v>
          </cell>
        </row>
        <row r="241">
          <cell r="A241" t="str">
            <v>1.26.4</v>
          </cell>
          <cell r="B241" t="str">
            <v>Clarifier la procédure de gestion de crise pour prendre les mesures rapides et efficaces en cas de pollution, notamment via la Protection civile</v>
          </cell>
          <cell r="C241" t="str">
            <v>BE</v>
          </cell>
          <cell r="D241" t="str">
            <v>SEN / WOL / CAN</v>
          </cell>
        </row>
        <row r="242">
          <cell r="A242" t="str">
            <v>1.26.5</v>
          </cell>
          <cell r="B242" t="str">
            <v>Etudier la faisabilité et définir les besoins de Bruxelles Environnement en vue de basculer vers un système de garde 24h/24 et 7j/7 commun aux thématiques de l’Eau et Seveso</v>
          </cell>
          <cell r="C242" t="str">
            <v>BE</v>
          </cell>
          <cell r="D242" t="str">
            <v>SEN / WOL / CAN</v>
          </cell>
        </row>
        <row r="243">
          <cell r="A243" t="str">
            <v>1.26.6</v>
          </cell>
          <cell r="B243" t="str">
            <v>Définir le cadre du service de garde en lien avec la thématique de l'eau et en coordination avec les opérateurs de l'eau</v>
          </cell>
          <cell r="C243" t="str">
            <v>BE</v>
          </cell>
          <cell r="D243" t="str">
            <v>SEN / WOL / CAN</v>
          </cell>
        </row>
        <row r="244">
          <cell r="A244" t="str">
            <v>1.26.7</v>
          </cell>
          <cell r="B244" t="str">
            <v>Organiser les procédures et contacts avec les services d’urgence en collaboration avec Bruxelles Prévention et Sécurité</v>
          </cell>
          <cell r="C244" t="str">
            <v>BE</v>
          </cell>
          <cell r="D244" t="str">
            <v>SEN / WOL / CAN</v>
          </cell>
        </row>
        <row r="245">
          <cell r="A245" t="str">
            <v>1.26.8</v>
          </cell>
          <cell r="B245" t="str">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ell>
          <cell r="C245" t="str">
            <v>Inspectorat et inspecteurs eau du Dpt Eau (réseau hydro)</v>
          </cell>
          <cell r="D245" t="str">
            <v>SEN / WOL / CAN</v>
          </cell>
        </row>
        <row r="246">
          <cell r="A246" t="str">
            <v>1.26.9</v>
          </cell>
          <cell r="B246" t="str">
            <v xml:space="preserve">Mener des actions contre la récurrence des pollutions aux hydrocarbures dans les égouts. </v>
          </cell>
          <cell r="C246" t="str">
            <v>Inspectorat</v>
          </cell>
          <cell r="D246" t="str">
            <v>SEN / CAN</v>
          </cell>
        </row>
        <row r="247">
          <cell r="A247" t="str">
            <v>1.26.A </v>
          </cell>
          <cell r="B247" t="str">
            <v>Etendre le réseau de monitoring en continu FlowBru et créer des alertes automatiques sur de potentielles pollutions/crises (voir M 1.22)</v>
          </cell>
          <cell r="C247" t="str">
            <v>SBGE accompagnement BE</v>
          </cell>
          <cell r="D247" t="str">
            <v>SEN / CAN</v>
          </cell>
        </row>
        <row r="248">
          <cell r="A248" t="str">
            <v>1.26.10</v>
          </cell>
          <cell r="B248" t="str">
            <v>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v>
          </cell>
          <cell r="C248" t="str">
            <v xml:space="preserve">BE (Inspectorat et réseau hydrographique)
Acteurs et opérateurs de l’eau </v>
          </cell>
          <cell r="D248" t="str">
            <v>SEN / WOL / CAN</v>
          </cell>
        </row>
        <row r="249">
          <cell r="A249" t="str">
            <v>1.26.11</v>
          </cell>
          <cell r="B249" t="str">
            <v>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v>
          </cell>
          <cell r="C249" t="str">
            <v>BE Dpt. Eau (M. Ohsé)
Collaboration Vivaqua (accès SIGASS)</v>
          </cell>
          <cell r="D249" t="str">
            <v>SEN / WOL / CAN</v>
          </cell>
        </row>
        <row r="250">
          <cell r="A250" t="str">
            <v>1.26.12</v>
          </cell>
          <cell r="B250" t="str">
            <v xml:space="preserve">Mise en œuvre des mesures définies (voir 1.26.12)
</v>
          </cell>
          <cell r="C250" t="str">
            <v>BE (Inspectorat et réseau hydrographique)
Acteurs et opérateurs de l’eau</v>
          </cell>
          <cell r="D250" t="str">
            <v>SEN / WOL / CAN</v>
          </cell>
        </row>
        <row r="251">
          <cell r="A251" t="str">
            <v>1.27.1</v>
          </cell>
          <cell r="B251" t="str">
            <v>Développer par vallée une vision des offres potentielles d'eau supplémentaire actuellement perdues à l'égout et des besoins des milieux récepteurs en aval qui pourraient bénéficier de ces eaux supplémentaires</v>
          </cell>
          <cell r="C251" t="str">
            <v>BE (réseau hydro)</v>
          </cell>
          <cell r="D251" t="str">
            <v>SEN / WOL / CAN</v>
          </cell>
        </row>
        <row r="252">
          <cell r="A252" t="str">
            <v>1.27.2</v>
          </cell>
          <cell r="B252" t="str">
            <v>Etude de faisabilité de reconnexion du Molenbeek à la Senne (action C13_1 Belini) + analyse du coûts-bénéfices</v>
          </cell>
          <cell r="C252" t="str">
            <v>BE (réseau hydro)</v>
          </cell>
          <cell r="D252" t="str">
            <v>SEN</v>
          </cell>
        </row>
        <row r="253">
          <cell r="A253" t="str">
            <v>1.27.3</v>
          </cell>
          <cell r="B253" t="str">
            <v>Etude de faisabilité de reconnexion du Neerpedebeek à la Senne + analyse du coûts-bénéfices</v>
          </cell>
          <cell r="C253" t="str">
            <v>BE (réseau hydro)</v>
          </cell>
          <cell r="D253" t="str">
            <v>SEN</v>
          </cell>
        </row>
        <row r="254">
          <cell r="A254" t="str">
            <v>1.27.4</v>
          </cell>
          <cell r="B254" t="str">
            <v>Réflexions sur la reconnexion du Watermaelbeek à la Woluwe + analyse du coûts-bénéfices</v>
          </cell>
          <cell r="C254" t="str">
            <v>BE (réseau hydro)</v>
          </cell>
          <cell r="D254" t="str">
            <v>WOL</v>
          </cell>
        </row>
        <row r="255">
          <cell r="A255" t="str">
            <v>1.27.5</v>
          </cell>
          <cell r="B255" t="str">
            <v>Etude de faisabilité de reconnexion du Ru du Zeyp à Ganshoren (étang Rivieren et Clos des tarins) au Marais de Jette et au Molenbeek + analyse du coûts-bénéfices</v>
          </cell>
          <cell r="C255" t="str">
            <v>BE (réseau hydro)</v>
          </cell>
          <cell r="D255" t="str">
            <v>SEN</v>
          </cell>
        </row>
        <row r="256">
          <cell r="A256" t="str">
            <v>1.27.6</v>
          </cell>
          <cell r="B256" t="str">
            <v>Investigation et Etude de faisabilité de reconnexion de l'Ukkelbeek à la Senne + analyse du coûts-bénéfices</v>
          </cell>
          <cell r="C256" t="str">
            <v>BE (réseau hydro)</v>
          </cell>
          <cell r="D256" t="str">
            <v>SEN</v>
          </cell>
        </row>
        <row r="257">
          <cell r="A257" t="str">
            <v>1.27.7</v>
          </cell>
          <cell r="B257" t="str">
            <v>Réflexions sur la récupération vers le réseau hydrographique des eaux claires de drainage s'infiltrant dans les collecteurs + analyse du coûts-bénéfices. (dont le collecteur passant dans le marais de Jette et Ganshoren)</v>
          </cell>
          <cell r="C257" t="str">
            <v>BE (réseau hydro)- Vivaqua</v>
          </cell>
          <cell r="D257" t="str">
            <v>SEN</v>
          </cell>
        </row>
        <row r="258">
          <cell r="A258" t="str">
            <v>1.27.8</v>
          </cell>
          <cell r="B258" t="str">
            <v>Travaux de reconnexion du Molenbeek à la Senne : 
Ces travaux ne pourront être envisagés qu'après les résultats de l'étude de faisabilité (1.27.2)</v>
          </cell>
          <cell r="C258" t="str">
            <v>BE (réseau hydro)</v>
          </cell>
          <cell r="D258" t="str">
            <v>SEN</v>
          </cell>
        </row>
        <row r="259">
          <cell r="A259" t="str">
            <v>1.27.9</v>
          </cell>
          <cell r="B259" t="str">
            <v>Travaux de reconnexion du Neerpedebeek à la Senne :
Ces travaux ne pourront être envisagés qu'après les résultats de l'étude de faisabilité (1.27.3)</v>
          </cell>
          <cell r="C259" t="str">
            <v>BE (réseau hydro)</v>
          </cell>
          <cell r="D259" t="str">
            <v>SEN</v>
          </cell>
        </row>
        <row r="260">
          <cell r="A260" t="str">
            <v>1.27.10</v>
          </cell>
          <cell r="B260" t="str">
            <v>Travaux de reconnexion de l'Ukkelbeek à la Senne :
Ces travaux ne pourront être envisagés qu'après les résultats de l'étude de faisabilité (1.27.6)</v>
          </cell>
          <cell r="C260" t="str">
            <v>BE (réseau hydro)</v>
          </cell>
          <cell r="D260" t="str">
            <v>SEN</v>
          </cell>
        </row>
        <row r="261">
          <cell r="A261" t="str">
            <v>1.27.11</v>
          </cell>
          <cell r="B261" t="str">
            <v>Programme Brusseau-Bis dans la vallée du Molenbeek</v>
          </cell>
          <cell r="C261" t="str">
            <v>Co-construction
(Communes/ citoyens)</v>
          </cell>
          <cell r="D261" t="str">
            <v>SEN</v>
          </cell>
        </row>
        <row r="262">
          <cell r="A262" t="str">
            <v>1.27.12</v>
          </cell>
          <cell r="B262" t="str">
            <v>Vérifier l'étanchéité des moines vers les collecteurs présents sur certains étangs spécifiques</v>
          </cell>
          <cell r="C262" t="str">
            <v>BE (réseau hydro)</v>
          </cell>
          <cell r="D262" t="str">
            <v>WOL</v>
          </cell>
        </row>
        <row r="263">
          <cell r="A263" t="str">
            <v>1.27.13</v>
          </cell>
          <cell r="B263" t="str">
            <v>Établir une méthodologie de calcul des débits minimums écologiques (ecological flows), l'appliquer aux différents tronçons du réseau hydrographique</v>
          </cell>
          <cell r="C263" t="str">
            <v>BE (MAT)</v>
          </cell>
          <cell r="D263" t="str">
            <v>SEN / CAN / WOL</v>
          </cell>
        </row>
        <row r="264">
          <cell r="A264" t="str">
            <v>2.1.1</v>
          </cell>
          <cell r="B264" t="str">
            <v>Poursuivre et élargir les programmes qualitatifs  de surveillance des eaux souterraines à d’autres sites de surveillance et à d’autres paramètres</v>
          </cell>
          <cell r="C264" t="str">
            <v>BE</v>
          </cell>
          <cell r="D264"/>
        </row>
        <row r="265">
          <cell r="A265" t="str">
            <v>2.1.2</v>
          </cell>
          <cell r="B265" t="str">
            <v>Améliorer l’estimation des concentrations de référence des paramètres présents naturellement dans les eaux souterraines et la compréhension aux processus chimiques influençant la composition géochimique de chacune des masses d’eau et de la présence de certains paramètres présents dans les masses d’eau souterraine, notamment pour l’ammonium, les chlorures et les sulfates des masses d’eau concernées</v>
          </cell>
          <cell r="C265" t="str">
            <v>BE</v>
          </cell>
          <cell r="D265"/>
        </row>
        <row r="266">
          <cell r="A266" t="str">
            <v>2.1.3</v>
          </cell>
          <cell r="B266" t="str">
            <v>Suite à l’acquisition de nouvelles données, renforcer les conclusions de l’étude réalisée sur l’identification des sources de pollution nitrique quant aux facteurs de pollution exerçant une pression sur la masse d’eau des sables du Bruxellien et renforcer la capacité de discrimination des sources de pollution nitriques provenant des eaux usées et des fertilisants organiques.</v>
          </cell>
          <cell r="C266" t="str">
            <v>BE</v>
          </cell>
          <cell r="D266"/>
        </row>
        <row r="267">
          <cell r="A267" t="str">
            <v>2.1.4</v>
          </cell>
          <cell r="B267" t="str">
            <v>Identifier les sources de pollution des sites présentant des contaminations aux pesticides, en particulier ceux qui présentent des tendances à la hausse de pesticides interdits d’usage</v>
          </cell>
          <cell r="C267" t="str">
            <v>BE</v>
          </cell>
          <cell r="D267"/>
        </row>
        <row r="268">
          <cell r="A268" t="str">
            <v>2.1.5</v>
          </cell>
          <cell r="B268" t="str">
            <v>Identification les sources de la pollution au tétrachloroéthylène et autres composés organochlorés volatils (trichloroéthylène, chloroforme et chlorure de vinyl) (cf. aussi M.2.6 et M.3.2)</v>
          </cell>
          <cell r="C268" t="str">
            <v>BE</v>
          </cell>
          <cell r="D268"/>
        </row>
        <row r="269">
          <cell r="A269" t="str">
            <v>2.1.6</v>
          </cell>
          <cell r="B269" t="str">
            <v>Identifier les pressions ayant un impact sur la salinisation de la masse d’eau souterraine des sables du Bruxellien</v>
          </cell>
          <cell r="C269" t="str">
            <v>BE</v>
          </cell>
          <cell r="D269"/>
        </row>
        <row r="270">
          <cell r="A270" t="str">
            <v>2.1.7</v>
          </cell>
          <cell r="B270" t="str">
            <v>En cas de contamination mise en évidence dans les résultats des programmes de surveillance, croiser la cartographie des sols pollués avec les résultats des analyses des programmes de surveillance et identifier les activités à risque actuelles ou passées dans les zones d’influence des sites de surveillance contaminés en vue d’identifier les sources de pollutioni</v>
          </cell>
          <cell r="C270" t="str">
            <v>BE</v>
          </cell>
          <cell r="D270"/>
        </row>
        <row r="271">
          <cell r="A271" t="str">
            <v>2.1.8.</v>
          </cell>
          <cell r="B271" t="str">
            <v>Poursuivre les études d’évaluation des risques de transfert de polluants sur sols pollués ou potentiellement non pollués par lessivage et transport latéral lors de réaffectation des sols dans le cadre de la gestion des sols pollués</v>
          </cell>
          <cell r="C271" t="str">
            <v>BE</v>
          </cell>
          <cell r="D271"/>
        </row>
        <row r="272">
          <cell r="A272" t="str">
            <v>2.1.9</v>
          </cell>
          <cell r="B272" t="str">
            <v xml:space="preserve">Poursuivre la caractérisation de l’état physico-chimique des eaux pluviales et de ruissellement en l’étendant à d’autres polluants et d’autres types de surface de ruissellement, notamment les toitures </v>
          </cell>
          <cell r="C272" t="str">
            <v>BE</v>
          </cell>
          <cell r="D272"/>
        </row>
        <row r="273">
          <cell r="A273" t="str">
            <v>2.1.10</v>
          </cell>
          <cell r="B273" t="str">
            <v>Poursuivre la cartographie de la vulnérabilité intrinsèque et spécifique du système phréatique bruxellois pour les polluants pertinents pour les eaux souterraines ayant été caractérisés dans les eaux pluviales de ruissellement et dans les eaux usées domestiques</v>
          </cell>
          <cell r="C273" t="str">
            <v>BE</v>
          </cell>
          <cell r="D273"/>
        </row>
        <row r="274">
          <cell r="A274" t="str">
            <v>2.1.11</v>
          </cell>
          <cell r="B274" t="str">
            <v>Développer un modèle de transfert de risques de dissémination de la pollution par lessivage et transport latéral vers les eaux souterraines phréatiques et les écosystèmes associés pour tout dispositif d’infiltration des eaux tant des eaux pluviales que des eaux usées domestiques</v>
          </cell>
          <cell r="C274" t="str">
            <v>BE</v>
          </cell>
          <cell r="D274"/>
        </row>
        <row r="275">
          <cell r="A275" t="str">
            <v>2.1.12</v>
          </cell>
          <cell r="B275" t="str">
            <v>Développer la carte des sols bruxellois en tenant compte de la teneur en matière organique des sols</v>
          </cell>
          <cell r="C275" t="str">
            <v>BE</v>
          </cell>
          <cell r="D275"/>
        </row>
        <row r="276">
          <cell r="A276" t="str">
            <v>2.1.13</v>
          </cell>
          <cell r="B276" t="str">
            <v>Mettre à jour l’inventaire des sources des émissions de la pollution, l’élargir à d’autres polluants pertinents pour les eaux souterraines et modéliser leur cheminement vers les eaux souterraines</v>
          </cell>
          <cell r="C276" t="str">
            <v>BE</v>
          </cell>
          <cell r="D276"/>
        </row>
        <row r="277">
          <cell r="A277" t="str">
            <v>2.1.14</v>
          </cell>
          <cell r="B277" t="str">
            <v xml:space="preserve">Evaluer les impacts d’une variation de température des eaux souterraines résultant de la présence de forte densité d’exploitations géothermiques en milieu urbain sur la qualité des eaux souterraines et les conflits d’usage susceptibles d’être engendrés. </v>
          </cell>
          <cell r="C277" t="str">
            <v>BE</v>
          </cell>
          <cell r="D277"/>
        </row>
        <row r="278">
          <cell r="A278" t="str">
            <v>2.1.15</v>
          </cell>
          <cell r="B278" t="str">
            <v>Renforcer les programmes de surveillance par l’extension des réseaux à de nouveaux sites de contrôle au sein des 5 masses d’eau et plus particulièrement au sein de la masse d’eau du système du Socle et des craies du Crétacé</v>
          </cell>
          <cell r="C278" t="str">
            <v>BE</v>
          </cell>
          <cell r="D278"/>
        </row>
        <row r="279">
          <cell r="A279" t="str">
            <v>2.1.16</v>
          </cell>
          <cell r="B279" t="str">
            <v>Renforcer la pérennité des sites de contrôle existants et futurs faisant partie des programmes de surveillance de l’état chimique</v>
          </cell>
          <cell r="C279" t="str">
            <v>BE</v>
          </cell>
          <cell r="D279"/>
        </row>
        <row r="280">
          <cell r="A280" t="str">
            <v>2.2.1</v>
          </cell>
          <cell r="B280" t="str">
            <v>Réviser les critères d’évaluation de l’état chimique des masses d’eau souterraine de l’annexe II de l’AGRBC du 10 juin 2010 en ce qui concerne les paramètres à risque et leurs valeurs</v>
          </cell>
          <cell r="C280" t="str">
            <v>BE</v>
          </cell>
          <cell r="D280"/>
        </row>
        <row r="281">
          <cell r="A281" t="str">
            <v>2.2.2</v>
          </cell>
          <cell r="B281" t="str">
            <v>Réviser l’annexe II de l’AGRBC du 10 juin 2010 en y précisant les valeurs seuils des critères d’évaluation de qualité plus stricts considérés au sein des zones d’alimentation hydrogéologiques des écosystèmes aquatiques et terrestres associés à la masse d’eau souterraine des sables du Bruxellien pour les nitrates, chlorures et sulfates (cf. aussi M 3.8)</v>
          </cell>
          <cell r="C281" t="str">
            <v>BE</v>
          </cell>
          <cell r="D281"/>
        </row>
        <row r="282">
          <cell r="A282" t="str">
            <v>2.2.3</v>
          </cell>
          <cell r="B282" t="str">
            <v>Compléter l’annexe II de l’AGRBC du 10 juin 2010 en y joignant les valeurs des concentrations de référence des paramètres présents naturellement dans les masses d’eau souterraine par paramètre et par masse d’eau</v>
          </cell>
          <cell r="C282" t="str">
            <v>BE</v>
          </cell>
          <cell r="D282"/>
        </row>
        <row r="283">
          <cell r="A283" t="str">
            <v>2.2.4</v>
          </cell>
          <cell r="B283" t="str">
            <v>Compléter l’annexe II de l’AGRBC du 10 juin 2010 en y joignant la liste des métabolites considérés comme pertinents et non-pertinents suivis dans le cadre du programme de surveillance mené au cours du Plan de Gestion (2016-2021)</v>
          </cell>
          <cell r="C283" t="str">
            <v>BE</v>
          </cell>
          <cell r="D283"/>
        </row>
        <row r="284">
          <cell r="A284" t="str">
            <v>2.2.5</v>
          </cell>
          <cell r="B284" t="str">
            <v>Réaliser une veille juridique et transposer en droit bruxellois, le cas échéant, les révisions qui seraient aux annexes I et/ou II de la Directive 2006/118/CE en ce qui concerne notamment l’ajout de polluants émergents (PFAS, substances pharmaceutiques, métabolites de pesticides non pertinents) et leurs valeurs</v>
          </cell>
          <cell r="C284" t="str">
            <v>BE</v>
          </cell>
          <cell r="D284"/>
        </row>
        <row r="285">
          <cell r="A285" t="str">
            <v>2.2.6</v>
          </cell>
          <cell r="B285" t="str">
            <v>Réviser la liste et les valeurs seuils des critères d’évaluation de la qualité des masses d’eau de l’annexe II de l’AGRBC du 10 juin 2010 compte tenu de la révision des exigences minimales relatives aux valeurs paramétriques utilisées pour évaluer la qualité des eaux destinées à la consommation humaine</v>
          </cell>
          <cell r="C285" t="str">
            <v>BE</v>
          </cell>
          <cell r="D285"/>
        </row>
        <row r="286">
          <cell r="A286" t="str">
            <v>2.3.1</v>
          </cell>
          <cell r="B286" t="str">
            <v>Finaliser et adopter la cartographie des zones égouttables et non égouttables prévue par l’article 40/1 de l’Ordonnance Cadre Eau</v>
          </cell>
          <cell r="C286" t="str">
            <v>Vivaqua
BE</v>
          </cell>
          <cell r="D286" t="str">
            <v>SEN / WOL / CAN</v>
          </cell>
        </row>
        <row r="287">
          <cell r="A287" t="str">
            <v>2.3.2</v>
          </cell>
          <cell r="B287" t="str">
            <v>Poursuivre l’inventaire de l’état des lieux et le cartographier (projet ETAL)</v>
          </cell>
          <cell r="C287" t="str">
            <v>Vivaqua</v>
          </cell>
          <cell r="D287" t="str">
            <v>SEN / WOL / CAN</v>
          </cell>
        </row>
        <row r="288">
          <cell r="A288" t="str">
            <v>2.3.3</v>
          </cell>
          <cell r="B288" t="str">
            <v>Planifier les travaux de rénovation du réseau d’égouttage à l’horizon 2027 en maintenant un objectif de taux de rénovation entre 0.8% et 1.1% par an en priorisant la rénovation dans les zones de vulnérabilité élevée de la masse d’eau des sables du Bruxellien fortement urbanisée et dans les zones de protection des captages d’eau destinée à la consommation humaine</v>
          </cell>
          <cell r="C288" t="str">
            <v>Vivaqua
BE</v>
          </cell>
          <cell r="D288" t="str">
            <v>SEN / WOL / CAN</v>
          </cell>
        </row>
        <row r="289">
          <cell r="A289" t="str">
            <v>2.3.4</v>
          </cell>
          <cell r="B289" t="str">
            <v>Réaliser les travaux de rénovation du réseau d’égouttage (à concurrence de 0.8 à 1.1% /an)</v>
          </cell>
          <cell r="C289" t="str">
            <v>Vivaqua</v>
          </cell>
          <cell r="D289" t="str">
            <v>SEN / WOL / CAN</v>
          </cell>
        </row>
        <row r="290">
          <cell r="A290" t="str">
            <v>2.3.5</v>
          </cell>
          <cell r="B290" t="str">
            <v>Etendre le réseau d’égouttage sur base de la cartographie des zones d’assainissement collectif et autonome.</v>
          </cell>
          <cell r="C290" t="str">
            <v>Vivaqua</v>
          </cell>
          <cell r="D290" t="str">
            <v>SEN / WOL / CAN</v>
          </cell>
        </row>
        <row r="291">
          <cell r="A291" t="str">
            <v>2.3.6</v>
          </cell>
          <cell r="B291" t="str">
            <v xml:space="preserve">Etablir une programmation des investissements pour la réhabilitation de certains collecteurs avec une priorisation dans les zones à enjeux environnementaux </v>
          </cell>
          <cell r="C291" t="str">
            <v>SBGE</v>
          </cell>
          <cell r="D291" t="str">
            <v>SEN / WOL / CAN</v>
          </cell>
        </row>
        <row r="292">
          <cell r="A292" t="str">
            <v>2.4.1</v>
          </cell>
          <cell r="B292" t="str">
            <v>(In)former et soutenir les communes dans leur mise à jour des règlements communaux relatifs à l’égouttage et assurer la cohérence régionale.</v>
          </cell>
          <cell r="C292" t="str">
            <v xml:space="preserve">Vivaqua
BE
</v>
          </cell>
          <cell r="D292" t="str">
            <v>SEN / WOL / CAN</v>
          </cell>
        </row>
        <row r="293">
          <cell r="A293" t="str">
            <v>2.4.2</v>
          </cell>
          <cell r="B293" t="str">
            <v>Informer les habitants de leur obligation de raccordement, en priorité là où des tronçons d’égouttage ont été récemment installés ou sont en cours de pose, et à terme, à toute la zone d’assainissement collectif</v>
          </cell>
          <cell r="C293" t="str">
            <v xml:space="preserve">Vivaqua
BE
</v>
          </cell>
          <cell r="D293" t="str">
            <v>SEN / WOL / CAN</v>
          </cell>
        </row>
        <row r="294">
          <cell r="A294" t="str">
            <v>2.4.3</v>
          </cell>
          <cell r="B294" t="str">
            <v>Contrôler le raccordement effectif au réseau d’égouttage en priorité pour les tronçons récemment égouttés et à terme pour l’ensemble du réseau d’assainissement collectif présent sur le territoire bruxellois</v>
          </cell>
          <cell r="C294" t="str">
            <v>Communes
 Vivaqua</v>
          </cell>
          <cell r="D294" t="str">
            <v>SEN / WOL / CAN</v>
          </cell>
        </row>
        <row r="295">
          <cell r="A295" t="str">
            <v>2.4.4</v>
          </cell>
          <cell r="B295" t="str">
            <v>Etablir l’inventaire des systèmes d’épuration et de dispersion dans les zones non égouttées et non égouttables, faisant l’objet d’un permis d’environnement</v>
          </cell>
          <cell r="C295" t="str">
            <v>BE</v>
          </cell>
          <cell r="D295" t="str">
            <v>SEN / WOL / CAN</v>
          </cell>
        </row>
        <row r="296">
          <cell r="A296" t="str">
            <v>2.4.5</v>
          </cell>
          <cell r="B296" t="str">
            <v>Mettre en place un cadre règlementaire précis pour les systèmes d’épuration individuels et un système de contrôle et d’entretien de ces systèmes</v>
          </cell>
          <cell r="C296" t="str">
            <v xml:space="preserve">BE
Communes 
</v>
          </cell>
          <cell r="D296" t="str">
            <v>SEN / WOL / CAN</v>
          </cell>
        </row>
        <row r="297">
          <cell r="A297" t="str">
            <v>2.4.6</v>
          </cell>
          <cell r="B297" t="str">
            <v>Informer et contraindre tout habitant se trouvant dans la zone d’assainissement autonome à la mise en place d’un système d’épuration individuel performant et supprimer si possible les puits perdants, en priorité dans les zones de protection des captages destinées à la consommation humaine et où des écosystèmes aquatiques et terrestres sont présents</v>
          </cell>
          <cell r="C297" t="str">
            <v xml:space="preserve">BE
Communes </v>
          </cell>
          <cell r="D297" t="str">
            <v>SEN / WOL / CAN</v>
          </cell>
        </row>
        <row r="298">
          <cell r="A298" t="str">
            <v>2.5.1</v>
          </cell>
          <cell r="B298" t="str">
            <v xml:space="preserve">Approfondir l’analyse liée à la légère augmentation statistique en nitrates des zones faiblement urbanisée et analyser des pressions qui pourraient y être liées </v>
          </cell>
          <cell r="C298" t="str">
            <v>BE</v>
          </cell>
          <cell r="D298" t="str">
            <v>SEN / WOL / CAN</v>
          </cell>
        </row>
        <row r="299">
          <cell r="A299" t="str">
            <v>2.5.2</v>
          </cell>
          <cell r="B299" t="str">
            <v>Si nécessaire sur base de l’analyse en 2.5.1, contrôler le respect des conditions d’exploiter pour les exploitations à risques nitriques autorisées par permis d’environnement</v>
          </cell>
          <cell r="C299" t="str">
            <v>BE / INSP</v>
          </cell>
          <cell r="D299" t="str">
            <v>SEN / WOL / CAN</v>
          </cell>
        </row>
        <row r="300">
          <cell r="A300" t="str">
            <v>2.5.3</v>
          </cell>
          <cell r="B300" t="str">
            <v>Si nécessaire, revoir l’AGRBC du 19 novembre afin d’en garantir une meilleure applicabilité par les activités agricoles présentes sur le territoire bruxellois et y adapter le code de Bonnes Pratiques</v>
          </cell>
          <cell r="C300" t="str">
            <v>BE / AUTO</v>
          </cell>
          <cell r="D300" t="str">
            <v>SEN / WOL / CAN</v>
          </cell>
        </row>
        <row r="301">
          <cell r="A301" t="str">
            <v>2.5.4</v>
          </cell>
          <cell r="B301" t="str">
            <v>Editer une brochure de sensibilisation à l’égard des exploitants, notamment sur base du Code de Bonnes Pratiques</v>
          </cell>
          <cell r="C301" t="str">
            <v>BE (cellule agri urbaine)</v>
          </cell>
          <cell r="D301" t="str">
            <v>SEN / WOL / CAN</v>
          </cell>
        </row>
        <row r="302">
          <cell r="A302" t="str">
            <v>2.6.A</v>
          </cell>
          <cell r="B302" t="str">
            <v>Identifier les sources de la pollution au tétrachloroéthylène (cf. M.2.1 et M.3.3)</v>
          </cell>
          <cell r="C302" t="str">
            <v xml:space="preserve">BE </v>
          </cell>
          <cell r="D302" t="str">
            <v>SEN / WOL / CAN</v>
          </cell>
        </row>
        <row r="303">
          <cell r="A303" t="str">
            <v>2.6.B</v>
          </cell>
          <cell r="B303" t="str">
            <v>Poursuivre l’inventaire de l’état des sols pollués en matière de tétrachloroéthylène et les composés organochlorés volatils et le cartographier (cf. M.2.1 et M.3.3)</v>
          </cell>
          <cell r="C303" t="str">
            <v>BE</v>
          </cell>
          <cell r="D303" t="str">
            <v>SEN / WOL / CAN</v>
          </cell>
        </row>
        <row r="304">
          <cell r="A304" t="str">
            <v>2.6.1</v>
          </cell>
          <cell r="B304" t="str">
            <v>Poursuivre  l’assainissement des sols pollués au tétrachloroéthylène et des composés organochlorés tel que prévu à l’OSOL (cf.  M 2.13 et M 3.3)</v>
          </cell>
          <cell r="C304" t="str">
            <v xml:space="preserve">BE </v>
          </cell>
          <cell r="D304"/>
        </row>
        <row r="305">
          <cell r="A305" t="str">
            <v>2.6.2</v>
          </cell>
          <cell r="B305" t="str">
            <v>Contrôler les conditions d’exploiter des permis d’environnement liés à des activités  utilisant du tétrachloroéthylène (cf. aussi M. 3.3)</v>
          </cell>
          <cell r="C305" t="str">
            <v xml:space="preserve">BE </v>
          </cell>
          <cell r="D305"/>
        </row>
        <row r="306">
          <cell r="A306" t="str">
            <v>2.6.3</v>
          </cell>
          <cell r="B306" t="str">
            <v>Promouvoir l’usage de substances alternatives au tétrachloroéthylène, pour en réduire l’usage et à terme l’interdire</v>
          </cell>
          <cell r="C306" t="str">
            <v>BE</v>
          </cell>
          <cell r="D306"/>
        </row>
        <row r="307">
          <cell r="A307" t="str">
            <v>2.7.1</v>
          </cell>
          <cell r="B307" t="str">
            <v>Contrôler l’absence de rejets directs dans les prises d’eau autorisées, en priorité pour les activités à risque de pollution autorisées et présentes à proximité des prises d’eau</v>
          </cell>
          <cell r="C307" t="str">
            <v>BE 
INSP</v>
          </cell>
          <cell r="D307"/>
        </row>
        <row r="308">
          <cell r="A308" t="str">
            <v>2.7.A</v>
          </cell>
          <cell r="B308" t="str">
            <v>Contrôler l’application de l’interdiction d’usages des pesticides dans les zones à risque accrus délimités dans l’ordonnance du 20 juin 2013 relative à l’utilisation des pesticides compatible avec le développement durable, en particulier dans les zones de protection des zones de prises d’eau des installation de captages en activité ou non</v>
          </cell>
          <cell r="C308" t="str">
            <v>BE 
Communes</v>
          </cell>
          <cell r="D308"/>
        </row>
        <row r="309">
          <cell r="A309" t="str">
            <v>2.7.2</v>
          </cell>
          <cell r="B309" t="str">
            <v>Contrôler la mise en œuvre des conditions imposées dans les permis lors de la réalisation de l’installation de prise d’eau et des piézomètres mis en place pour le suivi de chantiers (imposition d’une hauteur de l’ouvrage, d’une fermeture) et dans le cadre des études de reconnaissance de l’état des sols (M.2.8)</v>
          </cell>
          <cell r="C309" t="str">
            <v>BE </v>
          </cell>
          <cell r="D309"/>
        </row>
        <row r="310">
          <cell r="A310" t="str">
            <v>2.7.3</v>
          </cell>
          <cell r="B310" t="str">
            <v>Assurer une gestion appropriée des ouvrages soumis à permis d’environnement en contrôlant le respect des conditions liées à la cessation de l’activité, à savoir le rebouchage de l’ouvrage ou, le cas échéant, l’intégration dans un programme de surveillance tant pour les puits que pour les piézomètres (contrôle via attestation)</v>
          </cell>
          <cell r="C310" t="str">
            <v>BE </v>
          </cell>
          <cell r="D310"/>
        </row>
        <row r="311">
          <cell r="A311" t="str">
            <v>2.7.4</v>
          </cell>
          <cell r="B311" t="str">
            <v>Assurer un contrôle approprié des piézomètres mis en place lors d’ études de reconnaissance de l’état des sols dans le cadre de la gestion de l’assainissement des sols pollués, en fin de procédure, imposer et contrôler le rebouchage des piézomètre selon la procédure reprise à l’AR du 8 novembre 2018 – art 11 § 6 3° réglementant les captages dans les eaux souterraines</v>
          </cell>
          <cell r="C311" t="str">
            <v>BE</v>
          </cell>
          <cell r="D311"/>
        </row>
        <row r="312">
          <cell r="A312" t="str">
            <v>2.7.5</v>
          </cell>
          <cell r="B312" t="str">
            <v>Etablir un inventaire des ouvrages et des piézomètres dont le permis d’environnement est échu ou non autorisés sur le territoire bruxellois et contraindre leur rebouchage ou le cas échéant l’intégration dans un programme de surveillance</v>
          </cell>
          <cell r="C312" t="str">
            <v xml:space="preserve">BE </v>
          </cell>
          <cell r="D312"/>
        </row>
        <row r="313">
          <cell r="A313" t="str">
            <v>2.7.6</v>
          </cell>
          <cell r="B313" t="str">
            <v>Évaluer les incidences particulièrement pour la réinjection d’eau utilisée à des fins géothermiques au sein d’une même masse d’eau</v>
          </cell>
          <cell r="C313" t="str">
            <v>BE</v>
          </cell>
          <cell r="D313"/>
        </row>
        <row r="314">
          <cell r="A314" t="str">
            <v>2.8.1</v>
          </cell>
          <cell r="B314" t="str">
            <v>Poursuivre la gestion et l’assainissement des sols pollués</v>
          </cell>
          <cell r="C314" t="str">
            <v>BE</v>
          </cell>
          <cell r="D314"/>
        </row>
        <row r="315">
          <cell r="A315" t="str">
            <v>2.8.A</v>
          </cell>
          <cell r="B315" t="str">
            <v>Assurer un contrôle approprié des piézomètres mis en place lors des études de reconnaissance de l’état des sols et suivi de leur assainissement ; imposer et contrôler en fin de procédure le rebouchage des piézomètres (cf M 2.7)</v>
          </cell>
          <cell r="C315" t="str">
            <v>BE</v>
          </cell>
          <cell r="D315"/>
        </row>
        <row r="316">
          <cell r="A316" t="str">
            <v>2.8.2</v>
          </cell>
          <cell r="B316" t="str">
            <v>Evaluer la pertinence de revoir les normes d’intervention de façon à l’adapter aux paramètres problématiques pour les masses d’eau souterraines, en lien avec la DCE</v>
          </cell>
          <cell r="C316" t="str">
            <v>BE</v>
          </cell>
          <cell r="D316"/>
        </row>
        <row r="317">
          <cell r="A317" t="str">
            <v>2.9.1</v>
          </cell>
          <cell r="B317" t="str">
            <v>Inventorier les activités critiques autour des zones de protection de captages d’eau, grader les risques, et procéder à des aménagements spécifiques pour les contrer</v>
          </cell>
          <cell r="C317" t="str">
            <v>BE
Vivaqua</v>
          </cell>
          <cell r="D317"/>
        </row>
        <row r="318">
          <cell r="A318" t="str">
            <v>2.9.2</v>
          </cell>
          <cell r="B318" t="str">
            <v>Renforcer les conditions d’exploiter des permis d’environnement proches de points critiques</v>
          </cell>
          <cell r="C318" t="str">
            <v>BE</v>
          </cell>
          <cell r="D318"/>
        </row>
        <row r="319">
          <cell r="A319" t="str">
            <v>2.9.3</v>
          </cell>
          <cell r="B319" t="str">
            <v>Contrôler la mise en place des conditions d’exploitation renforcées dans les permis environnement</v>
          </cell>
          <cell r="C319" t="str">
            <v>BE</v>
          </cell>
          <cell r="D319"/>
        </row>
        <row r="320">
          <cell r="A320" t="str">
            <v>2.9.4</v>
          </cell>
          <cell r="B320" t="str">
            <v>Développer un système de signalement de pollution accidentelle à usage de la population vers les acteurs concernés</v>
          </cell>
          <cell r="C320" t="str">
            <v>Vivaqua</v>
          </cell>
          <cell r="D320"/>
        </row>
        <row r="321">
          <cell r="A321" t="str">
            <v>2.9.5</v>
          </cell>
          <cell r="B321" t="str">
            <v>Mettre en place un plan d’intervention d’urgence de gestion de pollution avec tous les acteurs concernés</v>
          </cell>
          <cell r="C321" t="str">
            <v>Vivaqua, BE</v>
          </cell>
          <cell r="D321"/>
        </row>
        <row r="322">
          <cell r="A322" t="str">
            <v>2.10.1</v>
          </cell>
          <cell r="B322" t="str">
            <v>Poursuivre la surveillance quantitative (piézomètres et sources pérennes)</v>
          </cell>
          <cell r="C322" t="str">
            <v>BE</v>
          </cell>
          <cell r="D322"/>
        </row>
        <row r="323">
          <cell r="A323" t="str">
            <v>2.10.2</v>
          </cell>
          <cell r="B323" t="str">
            <v>Améliorer la surveillance quantitative, en intégrant de nouveaux sites de surveillance piézométriques au réseau existant</v>
          </cell>
          <cell r="C323" t="str">
            <v>BE</v>
          </cell>
          <cell r="D323"/>
        </row>
        <row r="324">
          <cell r="A324" t="str">
            <v>2.10.3</v>
          </cell>
          <cell r="B324" t="str">
            <v>Assurer et renforcer la pérennité des sites de surveillance</v>
          </cell>
          <cell r="C324" t="str">
            <v>BE</v>
          </cell>
          <cell r="D324"/>
        </row>
        <row r="325">
          <cell r="A325" t="str">
            <v>2.11.1</v>
          </cell>
          <cell r="B325" t="str">
            <v>Upgrade BrugeoTool (v2+)</v>
          </cell>
          <cell r="C325" t="str">
            <v>BE</v>
          </cell>
          <cell r="D325"/>
        </row>
        <row r="326">
          <cell r="A326" t="str">
            <v>2.11.2</v>
          </cell>
          <cell r="B326" t="str">
            <v>Upgrade Brustrati3D (v2+)</v>
          </cell>
          <cell r="C326" t="str">
            <v>BE</v>
          </cell>
          <cell r="D326"/>
        </row>
        <row r="327">
          <cell r="A327" t="str">
            <v>2.11.3</v>
          </cell>
          <cell r="B327" t="str">
            <v>Upgrade BPSM (v2+)</v>
          </cell>
          <cell r="C327" t="str">
            <v>BE</v>
          </cell>
          <cell r="D327"/>
        </row>
        <row r="328">
          <cell r="A328" t="str">
            <v>2.11.4</v>
          </cell>
          <cell r="B328" t="str">
            <v>Upgrade Hydroland (v2+)</v>
          </cell>
          <cell r="C328" t="str">
            <v>BE</v>
          </cell>
          <cell r="D328"/>
        </row>
        <row r="329">
          <cell r="A329" t="str">
            <v>2.11.5</v>
          </cell>
          <cell r="B329" t="str">
            <v>Simulations prédictives prioritaires (BPSM, Hydroland)</v>
          </cell>
          <cell r="C329" t="str">
            <v>BE</v>
          </cell>
          <cell r="D329"/>
        </row>
        <row r="330">
          <cell r="A330" t="str">
            <v>2.12.1</v>
          </cell>
          <cell r="B330" t="str">
            <v>Développer une stratégie de gestion des captages d’eau souterraine</v>
          </cell>
          <cell r="C330" t="str">
            <v>BE</v>
          </cell>
          <cell r="D330"/>
        </row>
        <row r="331">
          <cell r="A331" t="str">
            <v>2.12.2</v>
          </cell>
          <cell r="B331" t="str">
            <v>Opérationnaliser cette stratégie dans le cadre des futures autorisations de captage et révision d’autorisation.</v>
          </cell>
          <cell r="C331" t="str">
            <v>BE</v>
          </cell>
          <cell r="D331"/>
        </row>
        <row r="332">
          <cell r="A332" t="str">
            <v>2.13.1</v>
          </cell>
          <cell r="B332" t="str">
            <v>Effectuer un recensement annuel de tous les captages permanents et temporaires existants et dresser un état des lieux des captages actifs, inactifs et hors service</v>
          </cell>
          <cell r="C332" t="str">
            <v>BE</v>
          </cell>
          <cell r="D332"/>
        </row>
        <row r="333">
          <cell r="A333" t="str">
            <v>2.13.2</v>
          </cell>
          <cell r="B333" t="str">
            <v>Tenir à jour la base de données reprenant l’ensemble des données technico-administratives relatives aux captages et à leur autorisation</v>
          </cell>
          <cell r="C333" t="str">
            <v>BE</v>
          </cell>
          <cell r="D333"/>
        </row>
        <row r="334">
          <cell r="A334" t="str">
            <v>2.13.3</v>
          </cell>
          <cell r="B334" t="str">
            <v>Evaluer l’application de l’arrêté du Gouvernement de la Région de Bruxelles-Capitale du 8 novembre 2018 règlementant les captages d’eau souterraine et les systèmes géothermiques en circuit ouvert quant à sa mise en œuvre et son efficacité, proposer un agrément des entreprises de forage et faire référence à des conditions de type BATNEEC, le cas échéant.</v>
          </cell>
          <cell r="C334" t="str">
            <v>BE</v>
          </cell>
          <cell r="D334"/>
        </row>
        <row r="335">
          <cell r="A335" t="str">
            <v>2.13.4</v>
          </cell>
          <cell r="B335" t="str">
            <v>Assurer un contrôle spécifique des exploitants de captage, en particulier les captages temporaires (rabattements de nappe)</v>
          </cell>
          <cell r="C335" t="str">
            <v>BE</v>
          </cell>
          <cell r="D335"/>
        </row>
        <row r="336">
          <cell r="A336" t="str">
            <v>2.14.1</v>
          </cell>
          <cell r="B336" t="str">
            <v>Assurer la maintenance de la carte des profondeurs de nappe pouvant servir de base pour l’indentification des zones où les collecteurs seraient en contact avec la nappe.</v>
          </cell>
          <cell r="C336" t="str">
            <v>BE</v>
          </cell>
          <cell r="D336"/>
        </row>
        <row r="337">
          <cell r="A337" t="str">
            <v>2.14.2</v>
          </cell>
          <cell r="B337" t="str">
            <v>Lors de chantier d’étanchéification d’égout, dans les zones à risque, identifier le risque local de remontée de nappe post-rénovation et étudier la faisabilité de mettre en œuvre, dans le cadre du chantier, dun système de drainage adapté, le cas échéant</v>
          </cell>
          <cell r="C337" t="str">
            <v>BE
 VIVAQUA</v>
          </cell>
          <cell r="D337"/>
        </row>
        <row r="338">
          <cell r="A338" t="str">
            <v>2.15.1</v>
          </cell>
          <cell r="B338" t="str">
            <v>amélioration continue des cartes de risque d’effet barrage (fonction des upgrades de BPSM)</v>
          </cell>
          <cell r="C338" t="str">
            <v>BE</v>
          </cell>
          <cell r="D338"/>
        </row>
        <row r="339">
          <cell r="A339" t="str">
            <v>2.15.2</v>
          </cell>
          <cell r="B339" t="str">
            <v>amélioration et renforcement de l’analyse du risque d’effet barrage dans le cadre de la procédure d’instruction du permis d’environnement, voire d’urbanisme</v>
          </cell>
          <cell r="C339" t="str">
            <v>BE</v>
          </cell>
          <cell r="D339"/>
        </row>
        <row r="340">
          <cell r="A340" t="str">
            <v>3.1.1</v>
          </cell>
          <cell r="B340" t="str">
            <v>Poursuivre la surveillance qualitative et quantitative dans les zones de protection de captages sur les eaux brutes souterraines destinées à la consommation humaine</v>
          </cell>
          <cell r="C340" t="str">
            <v>BE</v>
          </cell>
          <cell r="D340"/>
        </row>
        <row r="341">
          <cell r="A341" t="str">
            <v>3.1.2</v>
          </cell>
          <cell r="B341" t="str">
            <v>Poursuivre la surveillance quantitative dans les zones de protection de captages sur les eaux brutes souterraines destinées à la consommation humaine</v>
          </cell>
          <cell r="C341" t="str">
            <v>VIVAQUA</v>
          </cell>
          <cell r="D341"/>
        </row>
        <row r="342">
          <cell r="A342" t="str">
            <v>3.1.3</v>
          </cell>
          <cell r="B342" t="str">
            <v>Etendre la surveillance qualitative des eaux souterraines brutes destinées à la consommation humaine aux substances polluantes émergentes, aux biocides et aux paramètres repris dans la nouvelle directive « eau potable » (2020/2184/UE)</v>
          </cell>
          <cell r="C342" t="str">
            <v>BE</v>
          </cell>
          <cell r="D342"/>
        </row>
        <row r="343">
          <cell r="A343" t="str">
            <v>3.1.4</v>
          </cell>
          <cell r="B343" t="str">
            <v>Evaluer l’état qualitatif de la masse d’eau des Sables du Bruxellien en zone de protection des captages et identifier des tendances globales et individuelles à la hausse pour certains paramètres</v>
          </cell>
          <cell r="C343" t="str">
            <v>BE</v>
          </cell>
          <cell r="D343"/>
        </row>
        <row r="344">
          <cell r="A344" t="str">
            <v>3.1.A</v>
          </cell>
          <cell r="B344" t="str">
            <v>Etablir un inventaire des activités à risques sur base des permis environnement en cours et échus et les contrôler</v>
          </cell>
          <cell r="C344" t="str">
            <v>BE</v>
          </cell>
          <cell r="D344"/>
        </row>
        <row r="345">
          <cell r="A345" t="str">
            <v>3.2.1</v>
          </cell>
          <cell r="B345" t="str">
            <v>Elaborer un programme de mesures en vue de protéger les captages d’eau destinée à la consommation humaine intégrant les mesures de restauration de la zone de captage en matière de nitrates et de prévention et de protection globales de façon à éviter la dégradation de la qualité chimique vis-à-vis des autres substances</v>
          </cell>
          <cell r="C345" t="str">
            <v>VIVAQUA</v>
          </cell>
          <cell r="D345"/>
        </row>
        <row r="346">
          <cell r="A346" t="str">
            <v>3.2.2</v>
          </cell>
          <cell r="B346" t="str">
            <v>Poursuivre et renforcer la surveillance préventive et de gestion des risques liés à la contamination malveillante ou accidentelle des eaux souterraines en zone de protection effectuée par les cantonniers de VIVAQUA</v>
          </cell>
          <cell r="C346" t="str">
            <v>VIVAQUA</v>
          </cell>
          <cell r="D346"/>
        </row>
        <row r="347">
          <cell r="A347" t="str">
            <v>3.2.3</v>
          </cell>
          <cell r="B347" t="str">
            <v>Poursuivre et renforcer la sensibilisation des occupants de la zone de captages par la distribution de brochure à l’existence de la zone de captage et à sa protection en matière des risques liés aux pesticides et aux hydrocarbures</v>
          </cell>
          <cell r="C347" t="str">
            <v>BE</v>
          </cell>
          <cell r="D347"/>
        </row>
        <row r="348">
          <cell r="A348" t="str">
            <v>3.2.4</v>
          </cell>
          <cell r="B348" t="str">
            <v>Sensibiliser la population sur la présence de captages d’eaux destinés à la consommation humaine et à sa protection par la pose de panneaux de signalisation</v>
          </cell>
          <cell r="C348" t="str">
            <v>VIVAQUA</v>
          </cell>
          <cell r="D348"/>
        </row>
        <row r="349">
          <cell r="A349" t="str">
            <v>3.2.5</v>
          </cell>
          <cell r="B349" t="str">
            <v>Renforcer les contrôles pour les réservoirs d’hydrocarbures situés dans la zone de protection III.</v>
          </cell>
          <cell r="C349" t="str">
            <v xml:space="preserve">BE </v>
          </cell>
          <cell r="D349"/>
        </row>
        <row r="350">
          <cell r="A350" t="str">
            <v>3.2.A</v>
          </cell>
          <cell r="B350" t="str">
            <v>Renforcer le contrôle des obligations et interdictions relatives à l’utilisation, le stockage et la manipulation des pesticides dans les zones de protection des captages</v>
          </cell>
          <cell r="C350" t="str">
            <v xml:space="preserve">BE </v>
          </cell>
          <cell r="D350"/>
        </row>
        <row r="351">
          <cell r="A351" t="str">
            <v>3.3.1</v>
          </cell>
          <cell r="B351" t="str">
            <v>Poursuivre la surveillance des eaux souterraines, en ce compris dans la zone vulnérable aux nitrates</v>
          </cell>
          <cell r="C351" t="str">
            <v>BE</v>
          </cell>
          <cell r="D351"/>
        </row>
        <row r="352">
          <cell r="A352" t="str">
            <v>3.3.2</v>
          </cell>
          <cell r="B352" t="str">
            <v>Poursuivre la surveillance des composés azotés dans les eaux brutes souterraines prélevées par l’exploitant, VIVAQUA, en application de l’arrêté du Gouvernement du 19 novembre 1998</v>
          </cell>
          <cell r="C352" t="str">
            <v>VIVAQUA</v>
          </cell>
          <cell r="D352"/>
        </row>
        <row r="353">
          <cell r="A353" t="str">
            <v>3.3.A</v>
          </cell>
          <cell r="B353" t="str">
            <v>Poursuivre et élargir l’identification des sources et cause de pollution nitrique (en lien avec M.2.1) dans la zone vulnérable</v>
          </cell>
          <cell r="C353" t="str">
            <v>BE</v>
          </cell>
          <cell r="D353"/>
        </row>
        <row r="354">
          <cell r="A354" t="str">
            <v>3.4.1</v>
          </cell>
          <cell r="B354" t="str">
            <v>Renforcer et adapter la surveillance des eaux souterraines aux écosystèmes terrestres et aquatiques en interaction hydraulique avec la masse d’eau des sables du Bruxellien,</v>
          </cell>
          <cell r="C354" t="str">
            <v>BE</v>
          </cell>
          <cell r="D354"/>
        </row>
        <row r="355">
          <cell r="A355" t="str">
            <v>3.4.A</v>
          </cell>
          <cell r="B355" t="str">
            <v>Poursuivre le réseau de surveillance et opérationnel des monitorings physico-chimique et chimique de la colonne d’eau, du biote, des sédiments et de la biologie pour la Woluwe (M1.21)</v>
          </cell>
          <cell r="C355" t="str">
            <v>BE</v>
          </cell>
          <cell r="D355"/>
        </row>
        <row r="356">
          <cell r="A356" t="str">
            <v>3.4.B</v>
          </cell>
          <cell r="B356" t="str">
            <v>Identifier les sources des pollutions de la Woluwe (M1.20)</v>
          </cell>
          <cell r="C356" t="str">
            <v>BE</v>
          </cell>
          <cell r="D356"/>
        </row>
        <row r="357">
          <cell r="A357" t="str">
            <v>3.4.2</v>
          </cell>
          <cell r="B357" t="str">
            <v>Poursuivre l’identification des écosystèmes dépendants des eaux souterraines et établir une typologie des interactions eau souterraine, eau de surface et écosystèmes terrestres</v>
          </cell>
          <cell r="C357" t="str">
            <v>BE</v>
          </cell>
          <cell r="D357"/>
        </row>
        <row r="358">
          <cell r="A358" t="str">
            <v>3.4.C</v>
          </cell>
          <cell r="B358" t="str">
            <v>Affiner le développement des outils de modélisation hydrogéologiques existant BPSM en tenant compte de la présence des écosystèmes aquatiques et terrestres dépendants des eaux souterraines</v>
          </cell>
          <cell r="C358" t="str">
            <v>BE</v>
          </cell>
          <cell r="D358"/>
        </row>
        <row r="359">
          <cell r="A359" t="str">
            <v>3.4.3</v>
          </cell>
          <cell r="B359" t="str">
            <v>Etudier l’impact de variations quantitatives de niveau des eaux souterraines sur les écosystèmes terrestres et caractériser les risques d’altération du bon état de conservation des écosystèmes dépendants</v>
          </cell>
          <cell r="C359" t="str">
            <v>BE</v>
          </cell>
          <cell r="D359"/>
        </row>
        <row r="360">
          <cell r="A360" t="str">
            <v>3.4.4</v>
          </cell>
          <cell r="B360" t="str">
            <v>Evaluer le potentiel de migration de polluants des eaux souterraines vers les eaux de surface et écosystèmes aquatiques et terrestres – et inversement – ainsi que leur potentiel d’atténuation.</v>
          </cell>
          <cell r="C360" t="str">
            <v>BE</v>
          </cell>
          <cell r="D360"/>
        </row>
        <row r="361">
          <cell r="A361" t="str">
            <v>3.4.5</v>
          </cell>
          <cell r="B361" t="str">
            <v>Etendre l’identification des écosystèmes dépendants à la masse d’eau du système nord-ouest des sables du Bruxellien et de Tielt</v>
          </cell>
          <cell r="C361" t="str">
            <v>BE</v>
          </cell>
          <cell r="D361"/>
        </row>
        <row r="362">
          <cell r="A362" t="str">
            <v>3.4.6</v>
          </cell>
          <cell r="B362" t="str">
            <v>Identifier les pressions exercées par les eaux souterraines dans les zones d’alimentation hydrogéologiques sur les écosystèmes aquatiques et terrestres en matière de nitrates, sulfates et chlorures pour y apporter les mesures adéquates de restauration et de prévention</v>
          </cell>
          <cell r="C362" t="str">
            <v>BE</v>
          </cell>
          <cell r="D362"/>
        </row>
        <row r="363">
          <cell r="A363" t="str">
            <v>3.4.7</v>
          </cell>
          <cell r="B363" t="str">
            <v>Mettre en œuvre les mesures de restauration de la qualité des écosystèmes terrestres dépendants de l’eau souterraine et/ou aquatiques en matière de nitrates, sulfates, ammonium, chlorures pour les habitats Natura 2000 au travers des plans de gestion ‘Natura 2000’</v>
          </cell>
          <cell r="C363" t="str">
            <v>BE</v>
          </cell>
          <cell r="D363"/>
        </row>
        <row r="364">
          <cell r="A364" t="str">
            <v>3.5.1</v>
          </cell>
          <cell r="B364" t="str">
            <v>Assurer le traitement tertiaire des deux stations d'épuration situées en Région de Bruxelles-Capitale</v>
          </cell>
          <cell r="C364" t="str">
            <v>SBGE</v>
          </cell>
          <cell r="D364"/>
        </row>
        <row r="365">
          <cell r="A365" t="str">
            <v>3.5.2</v>
          </cell>
          <cell r="B365" t="str">
            <v>Contrôler le respect des performances épuratoires et des normes de déversement des effluents par les STEP collectives régionales</v>
          </cell>
          <cell r="C365" t="str">
            <v>SBGE</v>
          </cell>
          <cell r="D365"/>
        </row>
        <row r="366">
          <cell r="A366" t="str">
            <v>3.5.3</v>
          </cell>
          <cell r="B366" t="str">
            <v>Contrôler les rejets des stations d’épuration collectives et autonomes au regard des permis d’environnement couvrant chaque installation (cf aussi M 1.12)</v>
          </cell>
          <cell r="C366" t="str">
            <v>BE Communes</v>
          </cell>
          <cell r="D366"/>
        </row>
        <row r="367">
          <cell r="A367" t="str">
            <v>3.5.4</v>
          </cell>
          <cell r="B367" t="str">
            <v>Contrôler le bon raccordement des particuliers et entreprises au réseau d'égouttage</v>
          </cell>
          <cell r="C367" t="str">
            <v>Communes
VIVAQUA</v>
          </cell>
          <cell r="D367"/>
        </row>
        <row r="368">
          <cell r="A368" t="str">
            <v>3.5.5</v>
          </cell>
          <cell r="B368" t="str">
            <v>Imposer l'installation de stations d'épuration individuelles performantes lorsque le raccordement au réseau d'égouttage n'est techniquement et/ou économiquement pas réalisable (cf. M 2.4)</v>
          </cell>
          <cell r="C368" t="str">
            <v>Communes  BE</v>
          </cell>
          <cell r="D368"/>
        </row>
        <row r="369">
          <cell r="A369" t="str">
            <v>3.6.1</v>
          </cell>
          <cell r="B369" t="str">
            <v>Assurer la surveillance qualitative des masses d’eau en lien avec les pesticides</v>
          </cell>
          <cell r="C369" t="str">
            <v>BE</v>
          </cell>
          <cell r="D369"/>
        </row>
        <row r="370">
          <cell r="A370" t="str">
            <v>3.6.2</v>
          </cell>
          <cell r="B370" t="str">
            <v>Mettre en œuvre le Programme Régional de Réduction des pesticides</v>
          </cell>
          <cell r="C370" t="str">
            <v>BE</v>
          </cell>
          <cell r="D370"/>
        </row>
        <row r="371">
          <cell r="A371" t="str">
            <v>3.7.1</v>
          </cell>
          <cell r="B371" t="str">
            <v>Valoriser une zone humide au niveau du grand étang Mellaerts – Etude et Travaux</v>
          </cell>
          <cell r="C371" t="str">
            <v>BE</v>
          </cell>
          <cell r="D371"/>
        </row>
        <row r="372">
          <cell r="A372" t="str">
            <v>3.7.2</v>
          </cell>
          <cell r="B372" t="str">
            <v>Réaménagement étang Sobieski - Travaux</v>
          </cell>
          <cell r="C372" t="str">
            <v>BE</v>
          </cell>
          <cell r="D372"/>
        </row>
        <row r="373">
          <cell r="A373" t="str">
            <v>3.7.3</v>
          </cell>
          <cell r="B373" t="str">
            <v>Réhabilitation et assainissement étang Parc Roi Baudouin phase 1 – Etude et Travaux</v>
          </cell>
          <cell r="C373" t="str">
            <v>BE</v>
          </cell>
          <cell r="D373"/>
        </row>
        <row r="374">
          <cell r="A374" t="str">
            <v>3.7.4</v>
          </cell>
          <cell r="B374" t="str">
            <v>Réhabilitation et assainissement étangs Tournay Solvay – Etude et Travaux</v>
          </cell>
          <cell r="C374" t="str">
            <v>BE</v>
          </cell>
          <cell r="D374"/>
        </row>
        <row r="375">
          <cell r="A375" t="str">
            <v>3.7.5</v>
          </cell>
          <cell r="B375" t="str">
            <v>Réhabilitation et assainissement étang Marius Renard – Etude et Travaux</v>
          </cell>
          <cell r="C375" t="str">
            <v>BE</v>
          </cell>
          <cell r="D375"/>
        </row>
        <row r="376">
          <cell r="A376" t="str">
            <v>3.7.6</v>
          </cell>
          <cell r="B376" t="str">
            <v>Réhabilitation mare Sauvagère (naturalisation, patrimoine, berge, cascades, ...) – Etude et Travaux</v>
          </cell>
          <cell r="C376" t="str">
            <v>BE</v>
          </cell>
          <cell r="D376"/>
        </row>
        <row r="377">
          <cell r="A377" t="str">
            <v>3.7.7</v>
          </cell>
          <cell r="B377" t="str">
            <v>Réhabilitation et assainissement étang Ten Reuken - Travaux</v>
          </cell>
          <cell r="C377" t="str">
            <v>BE</v>
          </cell>
          <cell r="D377"/>
        </row>
        <row r="378">
          <cell r="A378" t="str">
            <v>3.7.8</v>
          </cell>
          <cell r="B378" t="str">
            <v>Remplacement moine Rouge Cloître Woluwe – Etude et Travaux</v>
          </cell>
          <cell r="C378" t="str">
            <v>BE</v>
          </cell>
          <cell r="D378"/>
        </row>
        <row r="379">
          <cell r="A379" t="str">
            <v>3.7.9</v>
          </cell>
          <cell r="B379" t="str">
            <v>Aménagement et naturalisation du Marais Wiels – Etude et Travaux</v>
          </cell>
          <cell r="C379" t="str">
            <v>BE
Beliris</v>
          </cell>
          <cell r="D379"/>
        </row>
        <row r="380">
          <cell r="A380" t="str">
            <v>3.7.10</v>
          </cell>
          <cell r="B380" t="str">
            <v>Aménagement et naturalisation de l’étangs Moyen et Mayfair au parc de la Pede (pour la partie baignade, voir également M 6.7) – Etude et Travaux</v>
          </cell>
          <cell r="C380" t="str">
            <v>BE</v>
          </cell>
          <cell r="D380"/>
        </row>
        <row r="381">
          <cell r="A381" t="str">
            <v>3.7.11</v>
          </cell>
          <cell r="B381" t="str">
            <v>Réaliser une étude pour l’aménagement de berges naturelles aux Etangs Bémel, Long, Denis et Rond du Parc de Woluwe (état actuel : berges en palplanches de bois) tel que prévu dans le Plan de Gestion de site Natura 2000</v>
          </cell>
          <cell r="C381" t="str">
            <v>BE</v>
          </cell>
          <cell r="D381"/>
        </row>
        <row r="382">
          <cell r="A382" t="str">
            <v>3.7.12</v>
          </cell>
          <cell r="B382" t="str">
            <v>Aménager des berges naturelles aux Etangs Bémel, Long, Denis et Rond du Parc de Woluwe (état actuel : berges en palplanches de bois) tel que prévu dans le Plan de Gestion de site Natura 2000</v>
          </cell>
          <cell r="C382" t="str">
            <v>BE</v>
          </cell>
          <cell r="D382"/>
        </row>
        <row r="383">
          <cell r="A383" t="str">
            <v>3.7.13</v>
          </cell>
          <cell r="B383" t="str">
            <v>Réaliser une étude pour l’aménagement de berges naturelles à l’Etang Grand Mellaerts (état actuel : berges en palplanches en bois) tel que prévu dans le Plan de Gestion de site Natura 2000</v>
          </cell>
          <cell r="C383" t="str">
            <v>BE</v>
          </cell>
          <cell r="D383"/>
        </row>
        <row r="384">
          <cell r="A384" t="str">
            <v>3.7.14</v>
          </cell>
          <cell r="B384" t="str">
            <v>Aménager de berges naturelles à l’Etang Grand Mellaerts (état actuel : berges en palplanches en bois) tel que prévu dans le Plan de Gestion de site Natura 2000</v>
          </cell>
          <cell r="C384" t="str">
            <v>BE</v>
          </cell>
          <cell r="D384"/>
        </row>
        <row r="385">
          <cell r="A385" t="str">
            <v>3.7.15</v>
          </cell>
          <cell r="B385" t="str">
            <v>Mener une gestion alternative des étangs, Mise en assec, Culture des vases, Bio-dragage, Installation d’îles flottantes (radeaux végétalisés) (voir également M 1.2 et M 6.2.3).</v>
          </cell>
          <cell r="C385" t="str">
            <v>BE</v>
          </cell>
          <cell r="D385"/>
        </row>
        <row r="386">
          <cell r="A386" t="str">
            <v>3.7.16</v>
          </cell>
          <cell r="B386" t="str">
            <v>Mener une campagne de mesures des nutriments dans les étangs bruxellois pour initialiser et valider un modèle</v>
          </cell>
          <cell r="C386" t="str">
            <v>BE</v>
          </cell>
          <cell r="D386"/>
        </row>
        <row r="387">
          <cell r="A387" t="str">
            <v>3.7.17</v>
          </cell>
          <cell r="B387" t="str">
            <v xml:space="preserve">Développer un modèle de prédiction des crises cyanobactéries afin de guider la gestion des étangs </v>
          </cell>
          <cell r="C387" t="str">
            <v>BE (en partenariat avec l’ULB)</v>
          </cell>
          <cell r="D387"/>
        </row>
        <row r="388">
          <cell r="A388" t="str">
            <v>3.7.A</v>
          </cell>
          <cell r="B388" t="str">
            <v>Rendre au réseau hydrographique, y compris les étangs, sa fonction d’exutoire et de zone de débordement naturel, via la reconnexion des eaux claires et la gestion intégrée des eaux pluviales (GiEP), (voir également M 1.27 et 5.4)</v>
          </cell>
          <cell r="C388" t="str">
            <v>BE</v>
          </cell>
          <cell r="D388"/>
        </row>
        <row r="389">
          <cell r="A389" t="str">
            <v>3.7.18</v>
          </cell>
          <cell r="B389" t="str">
            <v>Ajuster les niveaux des étangs en fonction des saisons</v>
          </cell>
          <cell r="C389" t="str">
            <v>BE</v>
          </cell>
          <cell r="D389"/>
        </row>
        <row r="390">
          <cell r="A390" t="str">
            <v>3.7.19</v>
          </cell>
          <cell r="B390" t="str">
            <v>Gérer les populations de poissons</v>
          </cell>
          <cell r="C390" t="str">
            <v>BE</v>
          </cell>
          <cell r="D390"/>
        </row>
        <row r="391">
          <cell r="A391" t="str">
            <v>3.7.20</v>
          </cell>
          <cell r="B391" t="str">
            <v>Mener des campagnes d’information quant à l’interdiction de nourrissage des animaux sauvages (oiseaux, poissons) à proximité des étangs et du Canal</v>
          </cell>
          <cell r="C391" t="str">
            <v>BE</v>
          </cell>
          <cell r="D391"/>
        </row>
        <row r="392">
          <cell r="A392" t="str">
            <v>4.1.1</v>
          </cell>
          <cell r="B392" t="str">
            <v>Analyse et comparaison des deux approches tarifaires (basée sur le seul volume vs. sur la charge polluante) par rapport au respect du principe Pollueur-Payeur</v>
          </cell>
          <cell r="C392" t="str">
            <v>BE</v>
          </cell>
          <cell r="D392"/>
        </row>
        <row r="393">
          <cell r="A393" t="str">
            <v>4.1.2</v>
          </cell>
          <cell r="B393" t="str">
            <v>Benchmark/analyse des approches mise en place dans les pays européens</v>
          </cell>
          <cell r="C393" t="str">
            <v>BE</v>
          </cell>
          <cell r="D393"/>
        </row>
        <row r="394">
          <cell r="A394" t="str">
            <v>4.1.3</v>
          </cell>
          <cell r="B394" t="str">
            <v>Présentation de nouvelles pistes de réflexion aux parties prenantes et discussion au sein d’un groupe de travail</v>
          </cell>
          <cell r="C394" t="str">
            <v>BE
SBGE
VIVAQUA
BRUGEL</v>
          </cell>
          <cell r="D394"/>
        </row>
        <row r="395">
          <cell r="A395" t="str">
            <v>4.1.4</v>
          </cell>
          <cell r="B395" t="str">
            <v>Détermination d’une nouvelle modalité de tarification</v>
          </cell>
          <cell r="C395" t="str">
            <v>BE
SBGE
VIVAQUA
BRUGEL</v>
          </cell>
          <cell r="D395"/>
        </row>
        <row r="396">
          <cell r="A396" t="str">
            <v>4.2.1</v>
          </cell>
          <cell r="B396" t="str">
            <v>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v>
          </cell>
          <cell r="C396" t="str">
            <v>BE</v>
          </cell>
          <cell r="D396"/>
        </row>
        <row r="397">
          <cell r="A397" t="str">
            <v>4.2.2</v>
          </cell>
          <cell r="B397" t="str">
            <v>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v>
          </cell>
          <cell r="C397" t="str">
            <v>BE</v>
          </cell>
          <cell r="D397"/>
        </row>
        <row r="398">
          <cell r="A398" t="str">
            <v>4.2.3</v>
          </cell>
          <cell r="B398" t="str">
            <v>Identifier les odifications d’ordre régleentaire, adinistratif et opérationnel à réaliser aux différentes échelles adinistratives (régionales et counales) pour perettre la ise en œuvre des nouveaux écanises de financeent.</v>
          </cell>
          <cell r="C398" t="str">
            <v>BE</v>
          </cell>
          <cell r="D398"/>
        </row>
        <row r="399">
          <cell r="A399" t="str">
            <v>4.2.4</v>
          </cell>
          <cell r="B399" t="str">
            <v>ettre en œuvre toutes les actions nécessaires au déploieent du niveau écanise de financeent et en assurer la bonne counication auprès des différents publics cibles</v>
          </cell>
          <cell r="C399" t="str">
            <v>BE</v>
          </cell>
          <cell r="D399"/>
        </row>
        <row r="400">
          <cell r="A400" t="str">
            <v>4.2.1</v>
          </cell>
          <cell r="B400" t="str">
            <v>Déterminer les coûts liés à l’assainissement des eaux pluviales et à la lutte contre les inondations supportés par les opérateurs et répercutés sur la facturation en se basant sur leurs données de comptabilité analytique (ventilation des coûts sur les différents étiers des opérateurs)</v>
          </cell>
          <cell r="C400" t="str">
            <v>BE</v>
          </cell>
          <cell r="D400"/>
        </row>
        <row r="401">
          <cell r="A401" t="str">
            <v>4.2.2</v>
          </cell>
          <cell r="B401" t="str">
            <v>Mener une étude sur la faisabilité de mettre en place de nouveaux mécanismes de financement via une analyse comparative dans le cadre de la gestion des eaux pluviales et identifier celui/ceux qui répondraient au mieux aux spécifiés du contexte Bruxellois</v>
          </cell>
          <cell r="C401" t="str">
            <v>BE</v>
          </cell>
          <cell r="D401"/>
        </row>
        <row r="402">
          <cell r="A402" t="str">
            <v>4.2.3</v>
          </cell>
          <cell r="B402" t="str">
            <v>Identifier les modifications d’ordre réglementaire, administratif et opérationnel à réaliser aux différentes échelles administratives (régionales et communales) pour permettre la mise en œuvre des nouveaux mécanismes de financement.</v>
          </cell>
          <cell r="C402" t="str">
            <v>BE</v>
          </cell>
          <cell r="D402"/>
        </row>
        <row r="403">
          <cell r="A403" t="str">
            <v>4.2.4</v>
          </cell>
          <cell r="B403" t="str">
            <v>Mettre en œuvre toutes les actions nécessaires au déploiement du niveau mécanisme de financement et en assurer la bonne communication auprès des différents publics cibles</v>
          </cell>
          <cell r="C403" t="str">
            <v>BE</v>
          </cell>
          <cell r="D403"/>
        </row>
        <row r="404">
          <cell r="A404" t="str">
            <v>4.3.1</v>
          </cell>
          <cell r="B404" t="str">
            <v>Mener une évaluation monétaire des impacts environnementaux et pour la ressources liés à l’utilisation de l’eau en s’appuyant notamment sur la modélisation WEISS qui inventorie les sources majeures des polluants impactant les masses d’eau en RBC</v>
          </cell>
          <cell r="C404" t="str">
            <v>BE</v>
          </cell>
          <cell r="D404"/>
        </row>
        <row r="405">
          <cell r="A405" t="str">
            <v>4.3.2</v>
          </cell>
          <cell r="B405" t="str">
            <v>Inventorier et évaluer les mesures de mitigation/prévention des impacts environnementaux à mettre en place</v>
          </cell>
          <cell r="C405" t="str">
            <v>BE</v>
          </cell>
          <cell r="D405"/>
        </row>
        <row r="406">
          <cell r="A406" t="str">
            <v>4.3.3</v>
          </cell>
          <cell r="B406" t="str">
            <v>Réaliser une analyse coût-bénéfice visant à prioriser les infrastructures ou les mesures encore à mettre en œuvre pour prévenir /atténuer les impacts environnementaux et influer positivement sur la qualité des masses d’eau</v>
          </cell>
          <cell r="C406" t="str">
            <v>BE</v>
          </cell>
          <cell r="D406"/>
        </row>
        <row r="407">
          <cell r="A407" t="str">
            <v>4.3.4</v>
          </cell>
          <cell r="B407" t="str">
            <v>Intégrer dans la tarification de l’eau les besoins financiers pour la mise en œuvre des infrastructures ou mesures de prévention/mitigation</v>
          </cell>
          <cell r="C407" t="str">
            <v>Brugel</v>
          </cell>
          <cell r="D407"/>
        </row>
        <row r="408">
          <cell r="A408" t="str">
            <v>4.4.1</v>
          </cell>
          <cell r="B408" t="str">
            <v>Fournir annuellement les données relatives aux soldes tarifaires à BE</v>
          </cell>
          <cell r="C408" t="str">
            <v>Brugel</v>
          </cell>
          <cell r="D408"/>
        </row>
        <row r="409">
          <cell r="A409" t="str">
            <v>4.4.2</v>
          </cell>
          <cell r="B409" t="str">
            <v>Calculer les indicateurs de récupération des coûts nécessaires et assurer le reporting auprès des institutions européennes</v>
          </cell>
          <cell r="C409" t="str">
            <v>BE</v>
          </cell>
          <cell r="D409"/>
        </row>
        <row r="410">
          <cell r="A410" t="str">
            <v>4.5.1</v>
          </cell>
          <cell r="B410" t="str">
            <v>Elaboration des indicateurs constituant le « tableau de bord PH » permettant d’assurer le suivi de la PH en RBC</v>
          </cell>
          <cell r="C410" t="str">
            <v>GT PH</v>
          </cell>
          <cell r="D410"/>
        </row>
        <row r="411">
          <cell r="A411" t="str">
            <v>4.5.2</v>
          </cell>
          <cell r="B411" t="str">
            <v>Production des indicateurs</v>
          </cell>
          <cell r="C411" t="str">
            <v>Vivaqua
CPAS
Acteurs Sociaux</v>
          </cell>
          <cell r="D411"/>
        </row>
        <row r="412">
          <cell r="A412" t="str">
            <v>4.5.3</v>
          </cell>
          <cell r="B412" t="str">
            <v>Consolidation et analyse des indicateurs et élaboration d’un reporting visant à guider l’action du gouvernement</v>
          </cell>
          <cell r="C412" t="str">
            <v>Brugel et/ou FDSS</v>
          </cell>
          <cell r="D412"/>
        </row>
        <row r="413">
          <cell r="A413" t="str">
            <v>4.6.1</v>
          </cell>
          <cell r="B413" t="str">
            <v>Réaliser une analyse multicritère permettant d’évaluer l’efficience du fonds quant à l’atteinte des objectifs visés par l’Ordonnance</v>
          </cell>
          <cell r="C413" t="str">
            <v>CPAS
VIVAQUA</v>
          </cell>
          <cell r="D413"/>
        </row>
        <row r="414">
          <cell r="A414" t="str">
            <v>4.6.2</v>
          </cell>
          <cell r="B414" t="str">
            <v>Mettre en place de nouveaux indicateurs permettant de produire une analyse plus fine des usages du fonds à la fois au niveau quantitatif et qualitatif</v>
          </cell>
          <cell r="C414" t="str">
            <v>CPAS
VIVAQUA</v>
          </cell>
          <cell r="D414"/>
        </row>
        <row r="415">
          <cell r="A415" t="str">
            <v>4.6.3</v>
          </cell>
          <cell r="B415" t="str">
            <v>Produire un rapport faisant état de l'adéquation du fonds social de l'eau en regard des missions et des moyens des CPAS, ainsi que de l'objectif visé par l'ordonnance tel que spécifié dans l’arrêté</v>
          </cell>
          <cell r="C415" t="str">
            <v>CPAS
VIVAQUA</v>
          </cell>
          <cell r="D415"/>
        </row>
        <row r="416">
          <cell r="A416" t="str">
            <v>4.6.4</v>
          </cell>
          <cell r="B416" t="str">
            <v>Définir et mettre en place les nouvelles de modalités de fonctionnement afin d’en améliorer l’accès (amoindrir le non recours), la flexibilité (élargir le droit de tirage) et la répartition des usages (ex : définir un « fonds d’améliorations techniques »)</v>
          </cell>
          <cell r="C416" t="str">
            <v>CPAS
VIVAQUA</v>
          </cell>
          <cell r="D416"/>
        </row>
        <row r="417">
          <cell r="A417" t="str">
            <v>4.8.1</v>
          </cell>
          <cell r="B417" t="str">
            <v>Réaliser un état des lieux précis des points d’accès d’eau potable en RBC et des installations sanitaires accessibles aux publics plus vulnérables(*). Cet état des lieux permettraient de géoréférencer ces points d’accès afin d’être communiqués auprès du grand public sous la forme d’une carte numérique interactive.</v>
          </cell>
          <cell r="C417" t="str">
            <v>A définir</v>
          </cell>
          <cell r="D417"/>
        </row>
        <row r="418">
          <cell r="A418" t="str">
            <v>4.8.2</v>
          </cell>
          <cell r="B418" t="str">
            <v>Analyser les besoins au regard des objectifs sociaux, environnementaux et d’adaptation au changement climatique</v>
          </cell>
          <cell r="C418" t="str">
            <v>A définir</v>
          </cell>
          <cell r="D418"/>
        </row>
        <row r="419">
          <cell r="A419" t="str">
            <v>4.8.3</v>
          </cell>
          <cell r="B419" t="str">
            <v>Définir une stratégie coordonnée de déploiement d’équipements intérieurs et extérieurs dans les espaces publics (voirie, place, parc,..) avec l’ensemble des acteurs en charge (Institutions communales, régionales et le monde associatif)</v>
          </cell>
          <cell r="C419" t="str">
            <v>A définir</v>
          </cell>
          <cell r="D419"/>
        </row>
        <row r="420">
          <cell r="A420" t="str">
            <v>4.8.4</v>
          </cell>
          <cell r="B420" t="str">
            <v>Réaliser l’installation et l’entretien des fontaines publiques sur le territoire de la RBC</v>
          </cell>
          <cell r="C420" t="str">
            <v>BM
Communes
VIVAQUA
BE (facilities et DEV)</v>
          </cell>
          <cell r="D420"/>
        </row>
        <row r="421">
          <cell r="A421" t="str">
            <v>5.1.1</v>
          </cell>
          <cell r="B421" t="str">
            <v>Accompagner les acteurs (administrations et auteurs de projets) dans le développement de leurs compétences (voir M.5.3)</v>
          </cell>
          <cell r="C421" t="str">
            <v>BE</v>
          </cell>
          <cell r="D421"/>
        </row>
        <row r="422">
          <cell r="A422" t="str">
            <v>5.1.2</v>
          </cell>
          <cell r="B422" t="str">
            <v>Règlement régional d’urbanisme (RRU) – réviser les prescriptions existantes et en ajouter de nouvelles relatives à la gestion des eaux tant pour les espaces privés que publics(*)</v>
          </cell>
          <cell r="C422" t="str">
            <v>Urban</v>
          </cell>
          <cell r="D422"/>
        </row>
        <row r="423">
          <cell r="A423" t="str">
            <v>5.1.3</v>
          </cell>
          <cell r="B423" t="str">
            <v>Mettre en place une procédure permettant d’imposer la mise en œuvre de la GiEP aux travers des permis d’environnement et/ou d’urbanisme</v>
          </cell>
          <cell r="C423" t="str">
            <v>Urban
BE</v>
          </cell>
          <cell r="D423"/>
        </row>
        <row r="424">
          <cell r="A424" t="str">
            <v>5.1.4</v>
          </cell>
          <cell r="B424" t="str">
            <v>COBAT- adapter le cadre législatif et procédures établies au 5.1.3, le cas échéant.</v>
          </cell>
          <cell r="C424" t="str">
            <v>Urban
BE</v>
          </cell>
          <cell r="D424"/>
        </row>
        <row r="425">
          <cell r="A425" t="str">
            <v>5.1.5</v>
          </cell>
          <cell r="B425" t="str">
            <v>Plan régional d’affectation des sols (PRAS) –
·        Dans le cadre de la révision du nouveau PRAS, tenir compte de la gestion intégrée des eaux pluviales et de ses objectifs en termes de perméabilités des sols et végétalisation (lutte contre les îlots de chaleur urbain) au niveau des différents documents constitutifs, notamment au niveau des  prescriptions générales et le cas échéant, des prescriptions particulières de certaines zones. Il conviendrait notamment d’assurer un ratio suffisant de pleine terre dans toutes les zones constructibles.
.   Lors de révisions ponctuelles du PRAS actuel (changement d’affectation, inscription de nouveaux tracés…) tenir compte de l’impact des différents scenarios sur la gestion des eaux de ruissellement et assurer des mesures d’atténuation complètes ou à défaut, des compensations basées sur les principes de gestion intégrée des eaux pluviales pour en limiter les incidences au minimum</v>
          </cell>
          <cell r="C425" t="str">
            <v>Perspective Brussels</v>
          </cell>
          <cell r="D425"/>
        </row>
        <row r="426">
          <cell r="A426" t="str">
            <v>5.1.6</v>
          </cell>
          <cell r="B426" t="str">
            <v>Plans d’aménagement directeur (PAD) – obliger l’auteur de projet à réaliser une étude hydrologique dans le cadre de l’établissement de la situation existante et à établir les prescriptions générales sur la base de celle-ci.</v>
          </cell>
          <cell r="C426" t="str">
            <v>Perspective.Brussels</v>
          </cell>
          <cell r="D426"/>
        </row>
        <row r="427">
          <cell r="A427" t="str">
            <v>5.1.7</v>
          </cell>
          <cell r="B427" t="str">
            <v>Plans particuliers d’affectation des sols (PPAS) – intégrer des prescriptions pour garantir la gestion intégrée des eaux pluviales et le cas échéant, compléter les prescriptions des outils de normes supérieures (PAD,…).</v>
          </cell>
          <cell r="C427" t="str">
            <v>Communes</v>
          </cell>
          <cell r="D427"/>
        </row>
        <row r="428">
          <cell r="A428" t="str">
            <v>5.1.8</v>
          </cell>
          <cell r="B428" t="str">
            <v>Faire des études du potentiel de déconnexion (% de surfaces déconnectées) via un outil qui soutiendra les différents plans de développement territorial.
Cette mesure pourra à termes s’appuyer sur un outil cartographique que Bruxelles Environnement compte mettre en place via la M.5.6</v>
          </cell>
          <cell r="C428" t="str">
            <v>BE</v>
          </cell>
          <cell r="D428"/>
        </row>
        <row r="429">
          <cell r="A429" t="str">
            <v>5.1.9</v>
          </cell>
          <cell r="B429" t="str">
            <v>Etudier la gestion et le placement des impétrants dans l’espace public afin d’établir, le cas échéant, des lignes directrices pour assurer la bonne compatibilité entre GIEP et impétrants.
Actuellement le manque d’information concrète sur leur positionnement, les exigences aléatoires liées à leur placement, le manque de prise en charge de certaines anciennes installations devenues obsolètes, représentent un obstacle à la GIEP et à la végétalisation des espaces publics.</v>
          </cell>
          <cell r="C429" t="str">
            <v>BE</v>
          </cell>
          <cell r="D429"/>
        </row>
        <row r="430">
          <cell r="A430" t="str">
            <v>5.1.10</v>
          </cell>
          <cell r="B430" t="str">
            <v>Dans l’expectative de cette intégration généralisée d’une bonne prise en compte de la gestion durable de l’eau, remettre des avis et conditions dans les permis d’urbanisme et selon demande, lors des procédures liées à délivrance de permis d’urbanisme (Commission de concertation, Avis d’instance,…)</v>
          </cell>
          <cell r="C430" t="str">
            <v>BE</v>
          </cell>
          <cell r="D430"/>
        </row>
        <row r="431">
          <cell r="A431" t="str">
            <v>5.1.11</v>
          </cell>
          <cell r="B431" t="str">
            <v>Veiller à la bonne mise en œuvre des principes de gestion de l’eau édictés dans le BKP
Beeldkwaliteitsplan ou plan de qualité paysagère et urbanistique) qui s’appliquent à tout projet d’aménagement et de rénovation d’espace public sur le territoire du Canal dont le périmètre s’étend sur différentes zones administratives aux niveaux de pouvoir multiples( il s’agit du périmètre du Plan Canal de 2012 repris à la page 24 du BKP )</v>
          </cell>
          <cell r="C431" t="str">
            <v>Perspective</v>
          </cell>
          <cell r="D431"/>
        </row>
        <row r="432">
          <cell r="A432" t="str">
            <v>5.1.12</v>
          </cell>
          <cell r="B432" t="str">
            <v>Etablir une veille de tous  les plans, programmes et règlementations  développant d’autres thématiques afin que, lorsque cela s’avère pertinent, les principes qui sous-tendent le PGE (GiEP, préservation de la ressource, réseau hydrographique,…) soient pris en compte
Liste d'exemples (non-exhaustif) : les plans climat communaux, plans de mobilité, etc.</v>
          </cell>
          <cell r="C432" t="str">
            <v>BE
Communes</v>
          </cell>
          <cell r="D432"/>
        </row>
        <row r="433">
          <cell r="A433" t="str">
            <v>5.2.1</v>
          </cell>
          <cell r="B433" t="str">
            <v>Evaluer les coûts d’investissement et opérationnels qu’implique le déploiement d’une politique de GiEP visant à protéger la Région contre les risques d’inondation (pluies TR20) en complément du réseau d’assainissement.</v>
          </cell>
          <cell r="C433" t="str">
            <v>BE</v>
          </cell>
          <cell r="D433"/>
        </row>
        <row r="434">
          <cell r="A434" t="str">
            <v>5.2.2</v>
          </cell>
          <cell r="B434" t="str">
            <v>Définir un ou plusieurs mécanismes de financement équitables et incitatifs créant une source de fonds permettant le déploiement pérenne d’ouvrages de GiEP dans l’espace privé et public du territoire de la RBC</v>
          </cell>
          <cell r="C434" t="str">
            <v>BE</v>
          </cell>
          <cell r="D434"/>
        </row>
        <row r="435">
          <cell r="A435" t="str">
            <v>5.2.3</v>
          </cell>
          <cell r="B435" t="str">
            <v>Apporter les modifications légales nécessaires relatives à la mise en œuvre opérationnelle de ces nouveaux mécanismes de prélèvement qui permettront le financement des projets GiEP, par exemple via la mise en place d’un fonds de financement.</v>
          </cell>
          <cell r="C435" t="str">
            <v>BE</v>
          </cell>
          <cell r="D435"/>
        </row>
        <row r="436">
          <cell r="A436" t="str">
            <v>5.3.1</v>
          </cell>
          <cell r="B436" t="str">
            <v>Définir les rôles et répartition des compétences de la gestion des eaux de pluie entre les acteurs(*).
Tous les acteurs de la mise en œuvre sont déjà identifiés pour la GiEP (car implique le 0 rejet), et les responsabilités sont établies dans la plupart des cas. Il reste cependant des éléments de réseaux pluviaux (séparatif,…) pour lesquels des clarifications de prise en charge doivent être spécifiées.
Il faut ensuite vérifier si l’OCE doit être modifiée pour intégrer les résultats de ces travaux d’identification ou si un arrêté d’exécution doit être rédigé.</v>
          </cell>
          <cell r="C436" t="str">
            <v>BE</v>
          </cell>
          <cell r="D436"/>
        </row>
        <row r="437">
          <cell r="A437" t="str">
            <v>5.3.2</v>
          </cell>
          <cell r="B437" t="str">
            <v>Tenir à jour un inventaire de tous les acteurs concernés (Stakeholder Management Plan), identifier leurs freins, craintes et intérêts afin de cibler au mieux les actions qui leur permettront de passer le seuil de résistance au changement.</v>
          </cell>
          <cell r="C437" t="str">
            <v>BE</v>
          </cell>
          <cell r="D437"/>
        </row>
        <row r="438">
          <cell r="A438" t="str">
            <v>5.3.3</v>
          </cell>
          <cell r="B438" t="str">
            <v>Accompagner les acteurs concernés (stakeholders) dans la mise en place du changement au sein de leur organisme, en commençant par identifier des personnes relais au sein de chacune d’elles.</v>
          </cell>
          <cell r="C438" t="str">
            <v xml:space="preserve">BE </v>
          </cell>
          <cell r="D438"/>
        </row>
        <row r="439">
          <cell r="A439" t="str">
            <v>5.3.4</v>
          </cell>
          <cell r="B439" t="str">
            <v>Emettre des conseils et des guidances techniques dans le cadre de nouveaux projets d’aménagement du territoire : espaces public (communes, STIB, Bruxelles Mobilité, Perspectives, Urban…) et privé (lotisseurs, bureau d’étude, entrepreneurs,…) en collaboration avec le Facilitateur Eau.
Offrir aux professionnels un accès facilité à des réponses techniques « sur mesure ».</v>
          </cell>
          <cell r="C439" t="str">
            <v>BE</v>
          </cell>
          <cell r="D439"/>
        </row>
        <row r="440">
          <cell r="A440" t="str">
            <v>5.3.5</v>
          </cell>
          <cell r="B440" t="str">
            <v>Concevoir, diffuser des outils (tableurs de calcul, guide de conception,…) et le cas échéant, revoir en collaboration les outils régionaux existants (ex. Manuels de conception) ou en développer de nouveaux pour aider les questions de mise en œuvre de la GIEP  et autres mesures de résilience climatique liées à la gestion de l’eau.</v>
          </cell>
          <cell r="C440" t="str">
            <v xml:space="preserve">BE </v>
          </cell>
          <cell r="D440"/>
        </row>
        <row r="441">
          <cell r="A441" t="str">
            <v>5.3.6</v>
          </cell>
          <cell r="B441" t="str">
            <v>Rédiger, diffuser et mettre à jour des fiches techniques pour aider les questions de mise en œuvre de la GIEP et autres mesures de résilience climatique liée à la gestion de l’eau (via le site internet du Guide Bâtiment durable et des FAQ disponibles sur le site EAU de BE).</v>
          </cell>
          <cell r="C441" t="str">
            <v>BE</v>
          </cell>
          <cell r="D441"/>
        </row>
        <row r="442">
          <cell r="A442" t="str">
            <v>5.3.7</v>
          </cell>
          <cell r="B442" t="str">
            <v>Mettre en place un accompagnement spécifique avec Bruxelles Mobilité pour que les porteurs de projet et le service entretien systématisent la prise en compte de la GiEP et autres mesures de résilience climatique liées à la gestion de l’eau.</v>
          </cell>
          <cell r="C442" t="str">
            <v>BE</v>
          </cell>
          <cell r="D442"/>
        </row>
        <row r="443">
          <cell r="A443" t="str">
            <v>5.3.8</v>
          </cell>
          <cell r="B443" t="str">
            <v>Poursuivre et amplifier l’effet de réseau d’expertise en développement des conseillers communaux « Eau », avec une représentation dans chaque commune et avec un rôle légitimé auprès des autres agents communaux, et notamment :
·        Poursuivre la mise en réseau pour partage d’expériences
·        Mettre en place un accompagnement rapproché (ateliers sur les projets concrets, retour des expériences réalisées avec le facilitateur, construction d’outils répondant aux besoins) pour que les porteurs de projet systématisent la prise en compte de la GIEP et autres mesures de résilience climatique liées à la gestion de l’eau.</v>
          </cell>
          <cell r="C443" t="str">
            <v>BE</v>
          </cell>
          <cell r="D443"/>
        </row>
        <row r="444">
          <cell r="A444" t="str">
            <v>5.3.9</v>
          </cell>
          <cell r="B444" t="str">
            <v>Accompagner les pouvoirs organisateurs des écoles dans une stratégie de végétalisation et de gestion durable des eaux pluviales (déminéralisation,…), notamment par :
-        Diffusion des bonnes pratiques (Guide,…)
-        Formation aux associations actives à l’appui aux écoles ;
-        Soutien financier via appel à projet dédié pour le  (ré) aménagements des cours d’école (« Ré-création ») « Voir M.8.5 »
-        Accompagnement des bureaux d’études mandatés par les pouvoirs organisateurs d’une 20aine d’écoles via un pool multiexperts
Il s’agit de poursuivre les actions en cours de soutien aux écoles pour de la déminéralisation.</v>
          </cell>
          <cell r="C444" t="str">
            <v xml:space="preserve">BE </v>
          </cell>
          <cell r="D444"/>
        </row>
        <row r="445">
          <cell r="A445" t="str">
            <v>5.3.10</v>
          </cell>
          <cell r="B445" t="str">
            <v>Intégrer la thématique « GIEP-résilience climatique » dans les programmes existants qui visent la mise à niveau des secteurs professionnels et métiers de la construction-rénovation-parcs et jardins (entrepreneurs, jardiniers, architectes,…)</v>
          </cell>
          <cell r="C445" t="str">
            <v xml:space="preserve">BE </v>
          </cell>
          <cell r="D445"/>
        </row>
        <row r="446">
          <cell r="A446" t="str">
            <v>5.3.11</v>
          </cell>
          <cell r="B446" t="str">
            <v>Envisager la mise en place d’un service gratuit de conseils ou d’accompagnement technique à la mise en œuvre de la GIEP (et à la gestion durable de l’eau) à destination des particuliers (*).</v>
          </cell>
          <cell r="C446" t="str">
            <v>BE</v>
          </cell>
          <cell r="D446"/>
        </row>
        <row r="447">
          <cell r="A447" t="str">
            <v>5.4.1</v>
          </cell>
          <cell r="B447" t="str">
            <v>Établir et mettre en œuvre une stratégie de déminéralisation et de végétalisation (plantation et entretien)  en voirie tenant compte de la gestion de l’eau</v>
          </cell>
          <cell r="C447" t="str">
            <v>BM 
Communes</v>
          </cell>
          <cell r="D447" t="str">
            <v>SEN / WOL / CAN</v>
          </cell>
        </row>
        <row r="448">
          <cell r="A448" t="str">
            <v>5.4.2</v>
          </cell>
          <cell r="B448" t="str">
            <v>Intégrer les prescriptions techniques des ouvrages et revêtements nécessaires à la mise en œuvre de la GIEP dans le Cahier des Charges Type Travaux (CCT)</v>
          </cell>
          <cell r="C448" t="str">
            <v>BM</v>
          </cell>
          <cell r="D448" t="str">
            <v>SEN / WOL / CAN</v>
          </cell>
        </row>
        <row r="449">
          <cell r="A449" t="str">
            <v>5.4.7</v>
          </cell>
          <cell r="B449" t="str">
            <v>Etablir un cadre régional pour faciliter et inciter les déconnexions de particuliers</v>
          </cell>
          <cell r="C449" t="str">
            <v>BE</v>
          </cell>
          <cell r="D449"/>
        </row>
        <row r="450">
          <cell r="A450" t="str">
            <v>5.4.3</v>
          </cell>
          <cell r="B450" t="str">
            <v>Rédiger et diffuser un Vademecum sur la gestion des eaux pluviales dans les espaces publics</v>
          </cell>
          <cell r="C450" t="str">
            <v>BM</v>
          </cell>
          <cell r="D450" t="str">
            <v>SEN / WOL / CAN</v>
          </cell>
        </row>
        <row r="451">
          <cell r="A451" t="str">
            <v>5.4.B</v>
          </cell>
          <cell r="B451" t="str">
            <v>Les différents acteurs et privés feront en outre l’objet de mesures de soutien telles que  Subventions, primes, labels et autres mesures de soutien (M 8.3)</v>
          </cell>
          <cell r="C451" t="str">
            <v>BE</v>
          </cell>
          <cell r="D451"/>
        </row>
        <row r="452">
          <cell r="A452" t="str">
            <v>5.4.4</v>
          </cell>
          <cell r="B452" t="str">
            <v>Mise en œuvre d’une gestion intégrée des eaux pluviales dans les chantiers publics en suivant les lignes directrices d’un Vademecum « gestion des eaux pluviales »</v>
          </cell>
          <cell r="C452" t="str">
            <v>BM Communes</v>
          </cell>
          <cell r="D452" t="str">
            <v>SEN / WOL / CAN</v>
          </cell>
        </row>
        <row r="453">
          <cell r="A453" t="str">
            <v>5.4.5</v>
          </cell>
          <cell r="B453" t="str">
            <v>Se doter d’une Assistance à Maîtrise d’ouvrage pour garantir la bonne réalisation des chantiers/travaux dans le domaine de la gestion des eaux pluviales</v>
          </cell>
          <cell r="C453" t="str">
            <v>BM</v>
          </cell>
          <cell r="D453" t="str">
            <v>SEN / WOL / CAN</v>
          </cell>
        </row>
        <row r="454">
          <cell r="A454" t="str">
            <v>5.4.6</v>
          </cell>
          <cell r="B454" t="str">
            <v>Mettre en œuvre des projets de déconnexion et déminéralisation sur les espaces gérés par BE (Parc, espaces verts,...) comme lieux exemplaires de gestion intégrée et d’autres mesures de résilience</v>
          </cell>
          <cell r="C454" t="str">
            <v xml:space="preserve">BE </v>
          </cell>
          <cell r="D454" t="str">
            <v>SEN / WOL / CAN</v>
          </cell>
        </row>
        <row r="455">
          <cell r="A455" t="str">
            <v>5.4.7</v>
          </cell>
          <cell r="B455" t="str">
            <v>Etablir un cadre régional pour faciliter et inciter les déconnexions de particuliers</v>
          </cell>
          <cell r="C455" t="str">
            <v xml:space="preserve">BE </v>
          </cell>
          <cell r="D455" t="str">
            <v>SEN / WOL / CAN</v>
          </cell>
        </row>
        <row r="456">
          <cell r="A456" t="str">
            <v>5.4.A</v>
          </cell>
          <cell r="B456" t="str">
            <v>Cette mesure se fera également via l’accompagnement des acteurs concernés (M 5.3)</v>
          </cell>
          <cell r="C456"/>
          <cell r="D456" t="str">
            <v>SEN / WOL / CAN</v>
          </cell>
        </row>
        <row r="457">
          <cell r="A457" t="str">
            <v>5.4.B</v>
          </cell>
          <cell r="B457" t="str">
            <v>Les différents acteurs et privés feront en outre l’objet de mesures de soutien telles que  Subventions, primes, labels et autres mesures de soutien (M 8.3)</v>
          </cell>
          <cell r="C457"/>
          <cell r="D457" t="str">
            <v>SEN / WOL / CAN</v>
          </cell>
        </row>
        <row r="458">
          <cell r="A458" t="str">
            <v>5.4.C</v>
          </cell>
          <cell r="B458" t="str">
            <v>Des mesures de communication et de sensibilisation seront également prévues (M 5.29)</v>
          </cell>
          <cell r="C458"/>
          <cell r="D458" t="str">
            <v>SEN / WOL / CAN</v>
          </cell>
        </row>
        <row r="459">
          <cell r="A459" t="str">
            <v>5.4.D</v>
          </cell>
          <cell r="B459" t="str">
            <v>L’intégration de la GIEP dans les outils de l’aménagement du territoire est prévu (M 5.1)</v>
          </cell>
          <cell r="C459"/>
          <cell r="D459" t="str">
            <v>SEN / WOL / CAN</v>
          </cell>
        </row>
        <row r="460">
          <cell r="A460" t="str">
            <v>5.5.1</v>
          </cell>
          <cell r="B460" t="str">
            <v>Poursuivre et améliorer la cartographie du « Maillage Pluie » répertoriant les dispositifs GiEP déployés dans les communes bruxelloises
Au fur et à mesure de la mise en place de dispositifs, il s’agit d’en établir un cadastre géo référencé robuste, pour ensuite maitriser l’information relative à leur efficacité, leur entretien,…en bref : permettre une gestion patrimoniale efficace.
Une gestion patrimoniale efficace des dispositifs implique un inventaire précis des installations en les catégorisant par typologie et en définissant les gestionnaires de chaque dispositif.</v>
          </cell>
          <cell r="C460" t="str">
            <v>BE</v>
          </cell>
          <cell r="D460"/>
        </row>
        <row r="461">
          <cell r="A461" t="str">
            <v>5.5.2</v>
          </cell>
          <cell r="B461" t="str">
            <v>Mettre en place un tableau de bord permettant d’assurer un suivi optimal de la performance des dispositifs GiEP déployés en RBC
Ancré sur le cadastre géo référencé, et dans le but de suivre l’efficacité de la mise en œuvre de l’ensemble de la politique de l’eau, les mesures nécessaires seront prises pour mettre en place les moyens de relever les indicateurs de performance.
Ce tableau de bord permettra également  de planifier les entretiens  des ouvrages, ainsi que leur réhabilitation éventuelle avec une budgétisation des coûts.
Les critères décrivant la performance devront être définis par rapport à plusieurs paramètres : comme par exemple celui de la capacité d’infiltration mais également la protection des eaux souterraines.</v>
          </cell>
          <cell r="C461" t="str">
            <v>BE</v>
          </cell>
          <cell r="D461"/>
        </row>
        <row r="462">
          <cell r="A462" t="str">
            <v>5.5.3</v>
          </cell>
          <cell r="B462" t="str">
            <v>Sur base de l’inventaire détaillé des dispositifs GIEP, mettre en place un contrôle de leur efficacité/performance dans le temps. A la fois pour s’assurer de leur efficacité hydraulique et de résilience climatique, ainsi que pour bénéficier des retours d’expériences dans un objectif d’amélioration continue.
Rédiger le règlement utile à la mise en œuvre de cette mesure, et mettre en place un mécanisme et une cellule de contrôle des dispositifs.
Ce type de mesure nécessite de nouvelles ressources humaines.</v>
          </cell>
          <cell r="C462" t="str">
            <v>BE</v>
          </cell>
          <cell r="D462"/>
        </row>
        <row r="463">
          <cell r="A463" t="str">
            <v>5.5.4</v>
          </cell>
          <cell r="B463" t="str">
            <v>Assurer un suivi des ouvrages de gestion d’eau et leur alimentation via notamment des sondes dans les plantations (tensiométriques et qualité)</v>
          </cell>
          <cell r="C463" t="str">
            <v xml:space="preserve">BM
 BE
</v>
          </cell>
          <cell r="D463"/>
        </row>
        <row r="464">
          <cell r="A464" t="str">
            <v>5.6.1</v>
          </cell>
          <cell r="B464" t="str">
            <v>Réaliser des études et projets « pilotes » pour cartographier progressivement sur chaque parcelle le potentiel de déconnexion par bassins versants sur l’ensemble de la Région et rendre les résultats accessibles pour en faire un outil d’aide à la décision de mise en œuvre accélérée de la GiEP (M 5.5.)</v>
          </cell>
          <cell r="C464" t="str">
            <v>BE</v>
          </cell>
          <cell r="D464"/>
        </row>
        <row r="465">
          <cell r="A465" t="str">
            <v>5.6.2</v>
          </cell>
          <cell r="B465" t="str">
            <v>Sur base de ces études et d’un inventaire de l’existant (voir M 5.5), évaluer l’impact attendu de différents scenarios d’ambition de déconnexion sur une série d’indicateurs de performance (volumes pouvant être soustraits des réseaux, …) et des bénéfices écosystémiques (îlots de chaleur urbains)</v>
          </cell>
          <cell r="C465" t="str">
            <v>BE</v>
          </cell>
          <cell r="D465"/>
        </row>
        <row r="466">
          <cell r="A466" t="str">
            <v>5.6.3</v>
          </cell>
          <cell r="B466" t="str">
            <v>Développer un outil permettant, à l’instar de BEST (Benefits Estimation Tool), d’évaluer et monétiser les avantages écosystémiques des aménagements GiEP, en les comparant à leurs coûts de mise en œuvre et d’entretien tout au long de leur cycle de vie.</v>
          </cell>
          <cell r="C466" t="str">
            <v>BE</v>
          </cell>
          <cell r="D466"/>
        </row>
        <row r="467">
          <cell r="A467" t="str">
            <v>5.6.4</v>
          </cell>
          <cell r="B467" t="str">
            <v>Mieux caractériser dans le contexte bruxellois les risques posés par les ouvrages de gestion en se basant sur les résultats de monitoring et d’études complémentaires, notamment modélisation de la vulnérabilité des eaux souterraines dans le contexte bruxellois, et sur cette base, revoir les outils d’aide à la décision (lignes directrices, vademecums, outils de calculs,…).</v>
          </cell>
          <cell r="C467" t="str">
            <v>BE</v>
          </cell>
          <cell r="D467"/>
        </row>
        <row r="468">
          <cell r="A468" t="str">
            <v>5.6.5</v>
          </cell>
          <cell r="B468" t="str">
            <v>Etudier l’impact environnemental de différents revêtements, notamment par rapport aux ilots de chaleur urbains afin d’objectiver les stratégies de pose (choix des matériaux, emplacement, modalités de mise en œuvre,…)</v>
          </cell>
          <cell r="C468" t="str">
            <v>BE
CRR</v>
          </cell>
          <cell r="D468"/>
        </row>
        <row r="469">
          <cell r="A469" t="str">
            <v>5.6.6</v>
          </cell>
          <cell r="B469" t="str">
            <v>Sur base des mesures précédentes, établir une balance risque/bénéfice pour aboutir à la meilleure stratégie de gestion possible</v>
          </cell>
          <cell r="C469" t="str">
            <v>BE</v>
          </cell>
          <cell r="D469"/>
        </row>
        <row r="470">
          <cell r="A470" t="str">
            <v>5.6.7</v>
          </cell>
          <cell r="B470" t="str">
            <v>Afin de mieux catégoriser le risque spécifique posé pour les ouvrages de gestion, réaliser un diagnostic à l’échelle communale et régionale dans l’usage du sel comme fondant chimique</v>
          </cell>
          <cell r="C470" t="str">
            <v>BE
BM
Communes</v>
          </cell>
          <cell r="D470"/>
        </row>
        <row r="471">
          <cell r="A471" t="str">
            <v>5.6.8</v>
          </cell>
          <cell r="B471" t="str">
            <v>Actualiser la cartographie régionale du taux d’imperméabilisation des sols</v>
          </cell>
          <cell r="C471" t="str">
            <v xml:space="preserve">BE </v>
          </cell>
          <cell r="D471"/>
        </row>
        <row r="472">
          <cell r="A472" t="str">
            <v>5.7.1</v>
          </cell>
          <cell r="B472" t="str">
            <v>Intégrer dans les outils règlementaires des mesures dérogatoires menant au recours à une simple temporisation avec débit limité, lorsque la solution GIEP est démontrée avoir atteint sa limite, pour gérer en tout ou en partie les eaux de ruissellement de la parcelle privée ou publique considérée.</v>
          </cell>
          <cell r="C472" t="str">
            <v>BE</v>
          </cell>
          <cell r="D472"/>
        </row>
        <row r="473">
          <cell r="A473" t="str">
            <v>5.7.2</v>
          </cell>
          <cell r="B473" t="str">
            <v>Intégrer dans les nouvelles Conditions générales « eaux pluviales » du Permis d’Environnement, des mesures dérogatoires menant au recours à une simple temporisation avec débit limité, lorsque la solution GIEP est démontrée avoir atteint sa limite, pour gérer en tout ou en partie les eaux de ruissellement de la parcelle privée ou publique considérée.</v>
          </cell>
          <cell r="C473" t="str">
            <v>BE</v>
          </cell>
          <cell r="D473"/>
        </row>
        <row r="474">
          <cell r="A474" t="str">
            <v>5.7.3</v>
          </cell>
          <cell r="B474" t="str">
            <v>Poursuivre le recensement des bassins d’orage visés par l’arrêté du Gouvernement du 23 mai 2019</v>
          </cell>
          <cell r="C474" t="str">
            <v>BE communes</v>
          </cell>
          <cell r="D474"/>
        </row>
        <row r="475">
          <cell r="A475" t="str">
            <v>5.7.4</v>
          </cell>
          <cell r="B475" t="str">
            <v>Etablir un guide « exploitant » pour ces installations classées</v>
          </cell>
          <cell r="C475" t="str">
            <v>BE</v>
          </cell>
          <cell r="D475"/>
        </row>
        <row r="476">
          <cell r="A476" t="str">
            <v>5.7.5</v>
          </cell>
          <cell r="B476" t="str">
            <v>Assurer les contrôles prévus par l’arrêté du Gouvernement de la région de Bruxelles-Capitale du 23 mai 2019 ou délégués par Bruxelles Environnement sur base des données transmises par Bruxelles Environnement, Urban et/ou les communes</v>
          </cell>
          <cell r="C476" t="str">
            <v>VIVAQUA</v>
          </cell>
          <cell r="D476"/>
        </row>
        <row r="477">
          <cell r="A477" t="str">
            <v>5.7.6</v>
          </cell>
          <cell r="B477" t="str">
            <v>Evaluer la bonne effectivité de la règlementation au regard des objectifs poursuivis et proposer d’éventuelles améliorations</v>
          </cell>
          <cell r="C477" t="str">
            <v>BE</v>
          </cell>
          <cell r="D477"/>
        </row>
        <row r="478">
          <cell r="A478" t="str">
            <v>5.7.7</v>
          </cell>
          <cell r="B478" t="str">
            <v>Favoriser l’utilisation des méthodes de tamponnage avec débit limité qui ont le moindre impact négatif environnemental.
Certains types de matériaux (plastic, béton, résines,…) ou mise en œuvre (profondeur, surface imperméable supplémentaire) présentent un impact environnemental plus négatif que d’autres. Une sensibilisation sur l’importance de ces choix doit être réalisée.</v>
          </cell>
          <cell r="C478" t="str">
            <v>BE</v>
          </cell>
          <cell r="D478"/>
        </row>
        <row r="479">
          <cell r="A479" t="str">
            <v>5.8.1</v>
          </cell>
          <cell r="B479" t="str">
            <v>Entretenir la déviation d’Aa et les vannes vers le Canal</v>
          </cell>
          <cell r="C479" t="str">
            <v>Port de BXL</v>
          </cell>
          <cell r="D479"/>
        </row>
        <row r="480">
          <cell r="A480" t="str">
            <v>5.8.2</v>
          </cell>
          <cell r="B480" t="str">
            <v>Assurer la surveillance pour activer au besoin la déviation</v>
          </cell>
          <cell r="C480" t="str">
            <v>Port de BXL</v>
          </cell>
          <cell r="D480"/>
        </row>
        <row r="481">
          <cell r="A481" t="str">
            <v>5.9.1</v>
          </cell>
          <cell r="B481" t="str">
            <v>Analyser cartographiquement les besoin de libération d’emprise, surveiller les opportunités dans le lit majeur des cours d’eau et faire respecter la zone non aedificandi</v>
          </cell>
          <cell r="C481" t="str">
            <v>BE</v>
          </cell>
          <cell r="D481"/>
        </row>
        <row r="482">
          <cell r="A482" t="str">
            <v>5.9.2</v>
          </cell>
          <cell r="B482" t="str">
            <v>Intégrer l'objectif hydraulique lors de réaménagements des cours d’eau et des berges</v>
          </cell>
          <cell r="C482" t="str">
            <v>BE</v>
          </cell>
          <cell r="D482"/>
        </row>
        <row r="483">
          <cell r="A483" t="str">
            <v>5.9.3</v>
          </cell>
          <cell r="B483" t="str">
            <v>Renforcer le tamponnage dans les étangs (adaptation des moines), pièces d’eau et dans le lit majeur des cours d’eau</v>
          </cell>
          <cell r="C483" t="str">
            <v>BE</v>
          </cell>
          <cell r="D483"/>
        </row>
        <row r="484">
          <cell r="A484" t="str">
            <v>5.9.4</v>
          </cell>
          <cell r="B484" t="str">
            <v>Reprendre les eaux de ruissellement, les réseaux séparatifs dans le réseau hydrographique, quand le ratio coûts-bénéfices est favorable.</v>
          </cell>
          <cell r="C484" t="str">
            <v>BE
Communes</v>
          </cell>
          <cell r="D484"/>
        </row>
        <row r="485">
          <cell r="A485" t="str">
            <v>5.9.5</v>
          </cell>
          <cell r="B485" t="str">
            <v>Mettre en place des mesures visant l'utilisation du Canal comme milieu récepteur potentiel des eaux de ruissellement en provenance des zones limitrophes
-         Etablir un inventaire des réseaux d’eaux claires existants dans les berges/quais du Canal. Ils présentent un atout d’opportunité de branchements dont le rejet est déjà percé dans le mur de quai (cfr M1.5.9).
-         Définir les conditions applicables aux rejets d'eaux claires dans le Canal (qualité, débit)
-         Proposer une procédure facilitée au demandeur (formulaire de  demande, dossier-type…)</v>
          </cell>
          <cell r="C485" t="str">
            <v>Port de Bruxelles</v>
          </cell>
          <cell r="D485"/>
        </row>
        <row r="486">
          <cell r="A486" t="str">
            <v>5.10.1</v>
          </cell>
          <cell r="B486" t="str">
            <v>Poursuivre le programme d’état des lieux des égouts permettant d’identifier les tronçons nécessitant des travaux d’entretien.</v>
          </cell>
          <cell r="C486" t="str">
            <v>Vivaqua</v>
          </cell>
          <cell r="D486"/>
        </row>
        <row r="487">
          <cell r="A487" t="str">
            <v>5.10.2</v>
          </cell>
          <cell r="B487" t="str">
            <v>Définition d’un plan structurel d’entretien pour les réseaux Identifier les zones sensibles pour les atterrissements</v>
          </cell>
          <cell r="C487" t="str">
            <v>Vivaqua</v>
          </cell>
          <cell r="D487"/>
        </row>
        <row r="488">
          <cell r="A488" t="str">
            <v>5.10.3</v>
          </cell>
          <cell r="B488" t="str">
            <v>Entretenir les infrastructures hydrauliques existantes (pompes,…)</v>
          </cell>
          <cell r="C488" t="str">
            <v>Vivaqua</v>
          </cell>
          <cell r="D488"/>
        </row>
        <row r="489">
          <cell r="A489" t="str">
            <v>5.10.4</v>
          </cell>
          <cell r="B489" t="str">
            <v>Procéder au curage régulier des cunettes en zone sensible sur base du programme d’entretien des infrastructures</v>
          </cell>
          <cell r="C489" t="str">
            <v xml:space="preserve">Vivaqua
SBGE </v>
          </cell>
          <cell r="D489"/>
        </row>
        <row r="490">
          <cell r="A490" t="str">
            <v>5.11.1</v>
          </cell>
          <cell r="B490" t="str">
            <v>Vallée de la Woluwe aval</v>
          </cell>
          <cell r="C490" t="str">
            <v>SBGE</v>
          </cell>
          <cell r="D490"/>
        </row>
        <row r="491">
          <cell r="A491" t="str">
            <v>5.11.2</v>
          </cell>
          <cell r="B491" t="str">
            <v>Vallée du Molenbeek-aval/Heyselbeek</v>
          </cell>
          <cell r="C491" t="str">
            <v>SBGE</v>
          </cell>
          <cell r="D491"/>
        </row>
        <row r="492">
          <cell r="A492" t="str">
            <v>5.11.3</v>
          </cell>
          <cell r="B492" t="str">
            <v>Versant de Forest/Saint Gilles</v>
          </cell>
          <cell r="C492" t="str">
            <v>VIVAQUA</v>
          </cell>
          <cell r="D492"/>
        </row>
        <row r="493">
          <cell r="A493" t="str">
            <v>5.11.4</v>
          </cell>
          <cell r="B493" t="str">
            <v>Vallée du Broeckbeek</v>
          </cell>
          <cell r="C493" t="str">
            <v>VIVAQUA</v>
          </cell>
          <cell r="D493"/>
        </row>
        <row r="494">
          <cell r="A494" t="str">
            <v>5.11.5</v>
          </cell>
          <cell r="B494" t="str">
            <v>Vallée du Verrewinkelbeek</v>
          </cell>
          <cell r="C494"/>
          <cell r="D494"/>
        </row>
        <row r="495">
          <cell r="A495" t="str">
            <v>5.11.6</v>
          </cell>
          <cell r="B495" t="str">
            <v>Vallée du Paruck</v>
          </cell>
          <cell r="C495" t="str">
            <v>VIVAQUA</v>
          </cell>
          <cell r="D495"/>
        </row>
        <row r="496">
          <cell r="A496" t="str">
            <v>5.11.7</v>
          </cell>
          <cell r="B496" t="str">
            <v>Ten Reuken</v>
          </cell>
          <cell r="C496" t="str">
            <v>SBGE</v>
          </cell>
          <cell r="D496"/>
        </row>
        <row r="497">
          <cell r="A497" t="str">
            <v>5.12.1</v>
          </cell>
          <cell r="B497" t="str">
            <v>Finaliser la carte répondant aux critères de l’arrêté royal du 12 octobre 2005 à partir des données de VIVAQUA</v>
          </cell>
          <cell r="C497" t="str">
            <v>BE
VIVAQUA</v>
          </cell>
          <cell r="D497"/>
        </row>
        <row r="498">
          <cell r="A498" t="str">
            <v>5.12.2</v>
          </cell>
          <cell r="B498" t="str">
            <v>Valider en plateforme de coordination  la carte</v>
          </cell>
          <cell r="C498" t="str">
            <v>BE</v>
          </cell>
          <cell r="D498"/>
        </row>
        <row r="499">
          <cell r="A499" t="str">
            <v>5.12.3</v>
          </cell>
          <cell r="B499" t="str">
            <v>Faire acter la cartographie par le Gouvernement bruxellois avant de l’envoyer au service fédéral compétent pour modifier l’arrêté royal du 28 février 2007 portant délimitation des zones à risque visées à l'article 129, § 1er, de la loi du 4 avril 2014 relative aux assurances</v>
          </cell>
          <cell r="C499" t="str">
            <v>Gouvernement</v>
          </cell>
          <cell r="D499"/>
        </row>
        <row r="500">
          <cell r="A500" t="str">
            <v>5.13.1</v>
          </cell>
          <cell r="B500" t="str">
            <v>Croiser la carte des zones inondables avec la localisation des activités dangereuses (DB permis, Seveso,…)</v>
          </cell>
          <cell r="C500" t="str">
            <v>BE</v>
          </cell>
          <cell r="D500"/>
        </row>
        <row r="501">
          <cell r="A501" t="str">
            <v>5.13.2</v>
          </cell>
          <cell r="B501" t="str">
            <v>Informer les propriétaires du risque d’inondation, impliquer la cellule refoulement d’égout de Vivaqua</v>
          </cell>
          <cell r="C501" t="str">
            <v>Vivaqua</v>
          </cell>
          <cell r="D501"/>
        </row>
        <row r="502">
          <cell r="A502" t="str">
            <v>5.13.3</v>
          </cell>
          <cell r="B502" t="str">
            <v>Etudier la faisabilité juridique d’intégrer des mesures spéciales de préservation dans les permis dans les zones inondables</v>
          </cell>
          <cell r="C502" t="str">
            <v>BE</v>
          </cell>
          <cell r="D502"/>
        </row>
        <row r="503">
          <cell r="A503" t="str">
            <v>5.13.4</v>
          </cell>
          <cell r="B503" t="str">
            <v>Informer le centre de crise des infrastructures sensibles</v>
          </cell>
          <cell r="C503" t="str">
            <v>BE</v>
          </cell>
          <cell r="D503"/>
        </row>
        <row r="504">
          <cell r="A504" t="str">
            <v>5.14.1</v>
          </cell>
          <cell r="B504" t="str">
            <v>Intégrer dans la réglementation urbanistique des prescriptions :
· visant une conception adaptée du bâti en zone inondable pour minimiser les conséquences néfastes en cas d'inondation (au moins démontrer une réflexion sur le risque que court le bâti considéré et les solutions envisagées) ;
· faisant de la carte des zones inondables un outil à portée réglementaire ;
· imposant un avis relatif à la thématique de l'eau à toute construction d'infrastructures et bâtiments situés en zone inondable.</v>
          </cell>
          <cell r="C504" t="str">
            <v>BE</v>
          </cell>
          <cell r="D504"/>
        </row>
        <row r="505">
          <cell r="A505" t="str">
            <v>5.14.2</v>
          </cell>
          <cell r="B505" t="str">
            <v>Mettre en place une cellule "conseils" :
Délivrer des conseils techniques aux habitants dont l’habitation est fréquemment touchée par des inondations du fait de la non étanchéité du système d’évacuation des eaux usées jusqu’au niveau de la voirie.</v>
          </cell>
          <cell r="C505" t="str">
            <v xml:space="preserve">BE </v>
          </cell>
          <cell r="D505"/>
        </row>
        <row r="506">
          <cell r="A506" t="str">
            <v>5.15.1</v>
          </cell>
          <cell r="B506" t="str">
            <v>Assurer un suivi régulier des prévisions météorologiques et des consommations en eau en période de sécheresse prolongée</v>
          </cell>
          <cell r="C506" t="str">
            <v>VIVAQUA</v>
          </cell>
          <cell r="D506"/>
        </row>
        <row r="507">
          <cell r="A507" t="str">
            <v>5.15.2</v>
          </cell>
          <cell r="B507" t="str">
            <v>Pourvoir à une alimentation optimale des réservoirs d’eau alimentant la Région de Bruxelles-Capitale, par la mise en service de captages de réserve, le cas échéant</v>
          </cell>
          <cell r="C507" t="str">
            <v>VIVAQUA</v>
          </cell>
          <cell r="D507"/>
        </row>
        <row r="508">
          <cell r="A508" t="str">
            <v>5.15.3</v>
          </cell>
          <cell r="B508" t="str">
            <v>Sensibiliser la population en cas de risque de pénuries d’eau lors des périodes de pics de consommation</v>
          </cell>
          <cell r="C508" t="str">
            <v>VIVAQUA</v>
          </cell>
          <cell r="D508"/>
        </row>
        <row r="509">
          <cell r="A509" t="str">
            <v>5.16.1</v>
          </cell>
          <cell r="B509" t="str">
            <v>Déterminer les seuils en-deçà desquels des restrictions de captages et de prélèvement d’eau doivent pouvoir être imposées, notamment dans ou à proximité immédiate de zones protégées.</v>
          </cell>
          <cell r="C509" t="str">
            <v>BE</v>
          </cell>
          <cell r="D509"/>
        </row>
        <row r="510">
          <cell r="A510" t="str">
            <v>5.16.2</v>
          </cell>
          <cell r="B510" t="str">
            <v>Définir les règles de priorisation des usages de l’eau en cas de risque de pénurie.</v>
          </cell>
          <cell r="C510" t="str">
            <v>BE</v>
          </cell>
          <cell r="D510"/>
        </row>
        <row r="511">
          <cell r="A511" t="str">
            <v>5.16.3</v>
          </cell>
          <cell r="B511" t="str">
            <v>Adapter les conditions fixées dans les nouvelles autorisations de captages d’eau souterraine  pour tenir compte des épisodes de sécheresse ou de pénurie d’eau.</v>
          </cell>
          <cell r="C511" t="str">
            <v>BE</v>
          </cell>
          <cell r="D511"/>
        </row>
        <row r="512">
          <cell r="A512" t="str">
            <v>5.16.4</v>
          </cell>
          <cell r="B512" t="str">
            <v>Imposer de nouvelles conditions dans les autorisations de prélèvements d’eau dans les cours d’eau non navigables</v>
          </cell>
          <cell r="C512" t="str">
            <v>BE</v>
          </cell>
          <cell r="D512"/>
        </row>
        <row r="513">
          <cell r="A513" t="str">
            <v>5.16.5</v>
          </cell>
          <cell r="B513" t="str">
            <v>Etablir un registre des prélèvements autorisés dans les cours d’eau non navigables</v>
          </cell>
          <cell r="C513" t="str">
            <v>BE</v>
          </cell>
          <cell r="D513"/>
        </row>
        <row r="514">
          <cell r="A514" t="str">
            <v>5.16.6</v>
          </cell>
          <cell r="B514" t="str">
            <v>Assurer le contrôle du respect des mesures de restriction et de priorisation.</v>
          </cell>
          <cell r="C514" t="str">
            <v>BE</v>
          </cell>
          <cell r="D514"/>
        </row>
        <row r="515">
          <cell r="A515" t="str">
            <v>5.17.1</v>
          </cell>
          <cell r="B515" t="str">
            <v>Dresser un inventaire des éléments et sites naturels les plus vulnérables aux épisodes de sécheresse, pour fonder et prioriser les actions qui permettront d’assurer les différents critères de conservation (taux d’humidité, niveaux des pièces d’eau, ecological flow,…) en cas de crise sècheresse</v>
          </cell>
          <cell r="C515" t="str">
            <v>BE</v>
          </cell>
          <cell r="D515"/>
        </row>
        <row r="516">
          <cell r="A516" t="str">
            <v>5.17.A</v>
          </cell>
          <cell r="B516" t="str">
            <v>Renforcer  le suivi des niveaux piézométriques  (fréquence des mesures, densité des sites mesurés,…), du débit des sources, dans les zones d’alimentation hydrogéologiques de certains écosystèmes terrestres et aquatiques associés en cas de crise sécheresse (cf. aussi M 3.4)</v>
          </cell>
          <cell r="C516" t="str">
            <v>BE</v>
          </cell>
          <cell r="D516"/>
        </row>
        <row r="517">
          <cell r="A517" t="str">
            <v>5.17.2</v>
          </cell>
          <cell r="B517" t="str">
            <v>Etablir des seuils critiques de niveaux piézométriques en lien avec les observations faites in situ et les valeurs de référence des critères hydrologiques de bon état de conservation des habitats Natura 2000 associés aux eaux souterraines et les résultats des simulations faites qui déclenchent la mise en œuvre de mesures de sauvegarde pour les écosystèmes associés (cf. aussi M 3.4)</v>
          </cell>
          <cell r="C517" t="str">
            <v>BE</v>
          </cell>
          <cell r="D517"/>
        </row>
        <row r="518">
          <cell r="A518" t="str">
            <v>5.17.3</v>
          </cell>
          <cell r="B518" t="str">
            <v>Mettre en place des mesures de prévention (aménagements limitant le ruissellement, …) et de sauvegarde des écosystèmes dépendants (irrigation ciblée, gestion spécifique des captages, …), et de la faune en péril (création de zones refuges, déplacement temporaire des poissons,..)</v>
          </cell>
          <cell r="C518" t="str">
            <v>BE</v>
          </cell>
          <cell r="D518"/>
        </row>
        <row r="519">
          <cell r="A519" t="str">
            <v>5.17.4</v>
          </cell>
          <cell r="B519" t="str">
            <v>Assurer un monitoring renforcé (recours à la télémétrie du réseau de piézomètres) des nappes wallonnes et rivière alimentant la Région de Bruxelles-Capitale en eau potable</v>
          </cell>
          <cell r="C519" t="str">
            <v>VIVAQUA</v>
          </cell>
          <cell r="D519"/>
        </row>
        <row r="520">
          <cell r="A520" t="str">
            <v>5.17.5</v>
          </cell>
          <cell r="B520" t="str">
            <v>Détecter les signes précoces de manque d’eau dans les zones d’approvisionnement en eau potable, dont la Meuse</v>
          </cell>
          <cell r="C520" t="str">
            <v>VIVAQUA</v>
          </cell>
          <cell r="D520"/>
        </row>
        <row r="521">
          <cell r="A521" t="str">
            <v>5.18.1</v>
          </cell>
          <cell r="B521" t="str">
            <v>Poursuivre la surveillance continue des niveaux permettant la sécurité de la navigation</v>
          </cell>
          <cell r="C521" t="str">
            <v>Port de Bruxelles</v>
          </cell>
          <cell r="D521"/>
        </row>
        <row r="522">
          <cell r="A522" t="str">
            <v>5.18.2</v>
          </cell>
          <cell r="B522" t="str">
            <v>Entretenir les systèmes de pompage des écluses permettant de réguler le niveau d’eau</v>
          </cell>
          <cell r="C522" t="str">
            <v>Port de Bruxelles</v>
          </cell>
          <cell r="D522"/>
        </row>
        <row r="523">
          <cell r="A523" t="str">
            <v>5.18.3</v>
          </cell>
          <cell r="B523" t="str">
            <v>Mettre en oeuvre des mesures permettant de limiter la diminution du niveau d’eau dans les biefs (ex: activation des vannes, regroupement des bateaux lors des éclusages en période de sécheresse)</v>
          </cell>
          <cell r="C523" t="str">
            <v>Port de Bruxelles</v>
          </cell>
          <cell r="D523"/>
        </row>
        <row r="524">
          <cell r="A524" t="str">
            <v>5.18.A</v>
          </cell>
          <cell r="B524" t="str">
            <v>Equiper le Canal de nouvelles sondes de pression raccordées au réseau Flowbru (Bassin Béco, Pont de Buda) = M.1.22</v>
          </cell>
          <cell r="C524" t="str">
            <v>Port de Bruxelles</v>
          </cell>
          <cell r="D524"/>
        </row>
        <row r="525">
          <cell r="A525" t="str">
            <v>5.19.1</v>
          </cell>
          <cell r="B525" t="str">
            <v>Tenir à jour l’inventaire annuel des prises d’eau et restitutions dans le Canal et effectuer une visite de contrôle annuelle</v>
          </cell>
          <cell r="C525" t="str">
            <v>Port de Bruxelles</v>
          </cell>
          <cell r="D525"/>
        </row>
        <row r="526">
          <cell r="A526" t="str">
            <v>5.19.2</v>
          </cell>
          <cell r="B526" t="str">
            <v>Equiper les prises d’eau dans le Canal de compteurs connectés permettant un suivi régulier des prélèvements et effectuer une visite de contrôle annuelle</v>
          </cell>
          <cell r="C526" t="str">
            <v>Port de Bruxelles</v>
          </cell>
          <cell r="D526"/>
        </row>
        <row r="527">
          <cell r="A527" t="str">
            <v>5.19.3</v>
          </cell>
          <cell r="B527" t="str">
            <v>Examiner les nouvelles demandes de prises d’eau dans le Canal</v>
          </cell>
          <cell r="C527" t="str">
            <v>Port de Bruxelles</v>
          </cell>
          <cell r="D527"/>
        </row>
        <row r="528">
          <cell r="A528" t="str">
            <v>5.19.4</v>
          </cell>
          <cell r="B528" t="str">
            <v>Adapter la politique de captage d’eau dans le Canal en cas d’augmentation notable de la demande en eau, ou de modification substantielle de son utilisation (en particulier : avec ou sans restitution) ou de ses conditions de rejet (notamment température)</v>
          </cell>
          <cell r="C528" t="str">
            <v>Port de Bruxelles /</v>
          </cell>
          <cell r="D528"/>
        </row>
        <row r="529">
          <cell r="A529" t="str">
            <v>5.19.5</v>
          </cell>
          <cell r="B529" t="str">
            <v>Poursuivre l’imposition de conditions environnementales sur les rejets de prélèvements et restitution en fonction de l’usage de ceux-ci</v>
          </cell>
          <cell r="C529" t="str">
            <v>BE</v>
          </cell>
          <cell r="D529"/>
        </row>
        <row r="530">
          <cell r="A530" t="str">
            <v>5.20.1</v>
          </cell>
          <cell r="B530" t="str">
            <v>Mener des campagnes d’information sur le phénomène d’algues bleues</v>
          </cell>
          <cell r="C530" t="str">
            <v>BE 
 Port de Bruxelles</v>
          </cell>
          <cell r="D530"/>
        </row>
        <row r="531">
          <cell r="A531" t="str">
            <v>5.20.2</v>
          </cell>
          <cell r="B531" t="str">
            <v>Prise de mesures ponctuelles au moyen de la sonde multiparamètres mobile et de tests immuno-enzymatiques ELISA quand cela s’avère pertinent (par ex : suspicion de bloom de cyanobactéries, surmortalité de poissons)</v>
          </cell>
          <cell r="C531" t="str">
            <v>Port de Bruxelles
BE</v>
          </cell>
          <cell r="D531"/>
        </row>
        <row r="532">
          <cell r="A532" t="str">
            <v>5.20.3</v>
          </cell>
          <cell r="B532" t="str">
            <v>Etudier les phénomènes de surmortalité de poissons  : analyse de données qualité de la (les) sonde(s) en continu FlowBru sur le Canal, analyse de données ponctuelles de la sonde qualité mobile et des tests immuno-enzymatiques ELISA récoltées dans le Canal, installation et analyse de données qualité des robots du projet Smart Water, et modélisation des blooms d’algues bleues, dans l’optique de comprendre les phénomènes à l’origine de la surmortalité des poissons de rechercher des solutions permettant d’en réduire les effets</v>
          </cell>
          <cell r="C532" t="str">
            <v>BE
Smart Water
 Port de Bruxelles</v>
          </cell>
          <cell r="D532"/>
        </row>
        <row r="533">
          <cell r="A533" t="str">
            <v>5.20.4</v>
          </cell>
          <cell r="B533" t="str">
            <v>Etudier la faisabilité de mettre en œuvre des actions ou d’installer des dispositifs sur le Canal permettant d’apporter de l’oxygène en période d’hypoxie (ou de risque d’hypoxie, comme lors de blooms d’algues bleues ou de sécheresse) (tels que, de façon non-exhaustive : renouvellement d’eau, aérateur, barrière à bulles, installation locale de radeaux végétalisés)</v>
          </cell>
          <cell r="C533" t="str">
            <v xml:space="preserve">Port de Bruxelles
BE </v>
          </cell>
          <cell r="D533"/>
        </row>
        <row r="534">
          <cell r="A534" t="str">
            <v>5.20.5</v>
          </cell>
          <cell r="B534" t="str">
            <v>Étudier la possibilité d’ouvrir les écluses pour renouveler les eaux du Canal en cas de besoin (canicule/sécheresse/manque de passage de bateau/présence de blooms de cyanobactéries/eau très turbide/hypoxie/animaux en détresse ou morts)</v>
          </cell>
          <cell r="C534" t="str">
            <v>Port de Bruxelles BE</v>
          </cell>
          <cell r="D534"/>
        </row>
        <row r="535">
          <cell r="A535" t="str">
            <v>5.21.1</v>
          </cell>
          <cell r="B535" t="str">
            <v>Revoir le choix des végétaux à mettre en place dans les espaces verts bruxellois</v>
          </cell>
          <cell r="C535" t="str">
            <v>BE</v>
          </cell>
          <cell r="D535"/>
        </row>
        <row r="536">
          <cell r="A536" t="str">
            <v>5.21.2</v>
          </cell>
          <cell r="B536" t="str">
            <v>Concevoir les espaces verts et apporter les aménagements nécessaires à une gestion plus rationnelle de l’eau</v>
          </cell>
          <cell r="C536" t="str">
            <v>BE</v>
          </cell>
          <cell r="D536"/>
        </row>
        <row r="537">
          <cell r="A537" t="str">
            <v>5.21.A</v>
          </cell>
          <cell r="B537" t="str">
            <v>Prendre les mesures visant à diminuer le recours à l’eau potable en favorisant l’eau pluviale et en limitant les besoins en eau</v>
          </cell>
          <cell r="C537" t="str">
            <v>BE</v>
          </cell>
          <cell r="D537"/>
        </row>
        <row r="538">
          <cell r="A538" t="str">
            <v>5.21.3</v>
          </cell>
          <cell r="B538" t="str">
            <v>Communication et sensibilisation à cette gestion raisonnée des espaces verts via un référentiel de gestion écologique</v>
          </cell>
          <cell r="C538" t="str">
            <v>BE</v>
          </cell>
          <cell r="D538"/>
        </row>
        <row r="539">
          <cell r="A539" t="str">
            <v>5.22.1</v>
          </cell>
          <cell r="B539" t="str">
            <v>Tous publics :
Accompagner les différentes catégories de public par le développement d’outils techniques notamment pour estimer les besoins en eaux (calculateur) et pour identifier les solutions à mettre en place au cas par cas.</v>
          </cell>
          <cell r="C539" t="str">
            <v>Facilitateur AU, FédéAU
-Citoyens : réseaux des Maîtres maraîchers
-Potagers collectifs : asbl le début des haricots</v>
          </cell>
          <cell r="D539"/>
        </row>
        <row r="540">
          <cell r="A540" t="str">
            <v>5.22.2</v>
          </cell>
          <cell r="B540" t="str">
            <v>Maraîchers/cultures Professionnels
- Mise en place d’un soutien dédicacé pour une transition vers des pratiques plus exemplaires en s’appuyant sur les structures existantes (primes à la récupération, pour la réalisation d’audits…);
- Prise en  compte de la question de la gestion de l’eau lors de l’attribution de subsides (ex. appel à projets en agriculture durable, économie et emploi)  et lors de l’acquisition de foncier ou création infrastructures (conditionnalités de certaines aides à étudier)
Ces actions s’établissent en coordination avec la Stratégie Good Food vers un système alimentaire durable en Région de Bruxelles-Capitale</v>
          </cell>
          <cell r="C540" t="str">
            <v>BE 
SPRB</v>
          </cell>
          <cell r="D540"/>
        </row>
        <row r="541">
          <cell r="A541" t="str">
            <v>5.22.3</v>
          </cell>
          <cell r="B541" t="str">
            <v>Potagers collectifs :
encourager le placement et le raccordement des citernes de récupération d’eau de pluie et pratiques agricoles économes en eaux par de de l’accompagnement via :
a)     via formations (voir M 5.4), et développement de contenus didactiques ;
b)     l’adoption et révision des Chartes et pratiques associées, notamment en incitant à une mise en commun des ressources (citerne enterrée de récupération de grande capacité, mise en place d’un référent Eau, constitution de stocks communs en hiver sur une parcelle,…) ;
c)) Soutien à la mise en place de projets exemplaires via appel à projet Inspirons le quartier (projets collectifs citoyens) ou Actions Climat (projets communaux) – voir M.8.5</v>
          </cell>
          <cell r="C541" t="str">
            <v>BE 
Communes</v>
          </cell>
          <cell r="D541"/>
        </row>
        <row r="542">
          <cell r="A542" t="str">
            <v>5.22.4</v>
          </cell>
          <cell r="B542" t="str">
            <v>Dans les potagers sous gestion de Bruxelles Environnement, étudier au regard des contraintes éventuelles (enjeux paysagers,…) des alternatives (techniques ou de mise en œuvre) à l’utilisation d’eau potable (bornes fontaines) pour l’irrigation</v>
          </cell>
          <cell r="C542" t="str">
            <v>BE</v>
          </cell>
          <cell r="D542"/>
        </row>
        <row r="543">
          <cell r="A543" t="str">
            <v>5.22.5</v>
          </cell>
          <cell r="B543" t="str">
            <v>Lors de projet d’urbanisation ou de revitalisation urbaine, analyser systématiquement la possibilité de répondre aux besoins en eau de l’agriculture urbaine à proximité via la récupération d’eaux de toitures (convention pour alimenter les potagers)</v>
          </cell>
          <cell r="C543" t="str">
            <v xml:space="preserve">Communes </v>
          </cell>
          <cell r="D543"/>
        </row>
        <row r="544">
          <cell r="A544" t="str">
            <v>5.22.6</v>
          </cell>
          <cell r="B544" t="str">
            <v>Tous publics :
Développer des lignes directrices permettant d’assurer l’équilibre entre enjeux socio-économiques (continuité d’approvisionnement en eau) et environnementaux (préservation de la ressource) en se basant sur quelques cas d’étude (10 aine)</v>
          </cell>
          <cell r="C544" t="str">
            <v>BE 
SPRB</v>
          </cell>
          <cell r="D544"/>
        </row>
        <row r="545">
          <cell r="A545" t="str">
            <v>5.22.7</v>
          </cell>
          <cell r="B545" t="str">
            <v>Tous publics :
Etudier le coût-bénéfice d’alternatives à l’eau potable aux regards notamment des aspects sanitaires et traitements possibles (eaux grises, eaux d’exhaure, …) et intégrer le cas échéant aux lignes directrices, en coordination avec les instances fédérales (Afsca,…)</v>
          </cell>
          <cell r="C545" t="str">
            <v>BE  
Innoviris
SPRB</v>
          </cell>
          <cell r="D545"/>
        </row>
        <row r="546">
          <cell r="A546" t="str">
            <v>5.23.1</v>
          </cell>
          <cell r="B546" t="str">
            <v>Mise en place formelle et officielle de la cellule « sécheresse », groupe de travail initialement mis en place pour l’élaboration de ces mesures, en identifiant et attribuant les rôles à chaque intervenant.</v>
          </cell>
          <cell r="C546" t="str">
            <v>BE</v>
          </cell>
          <cell r="D546"/>
        </row>
        <row r="547">
          <cell r="A547" t="str">
            <v>5.23.2</v>
          </cell>
          <cell r="B547" t="str">
            <v>Assurer une communication cohérente à travers cette cellule « sécheresse »</v>
          </cell>
          <cell r="C547" t="str">
            <v>Cellule sécheresse</v>
          </cell>
          <cell r="D547"/>
        </row>
        <row r="548">
          <cell r="A548" t="str">
            <v>5.24.1</v>
          </cell>
          <cell r="B548" t="str">
            <v>Au sein de la cellule Sécheresse (cf. M 5.23), créer une groupe de travail impliquant les différents acteurs de l’eau, les services météorologiques et les autorités gérant les crises sur le terrain afin de s’accorder sur un indicateur « sécheresse » permettant de déterminer les phases d’alerte</v>
          </cell>
          <cell r="C548" t="str">
            <v>BPS</v>
          </cell>
          <cell r="D548"/>
        </row>
        <row r="549">
          <cell r="A549" t="str">
            <v>5.24.2</v>
          </cell>
          <cell r="B549" t="str">
            <v>Mettre en place un premier système d'alerte pour les inondations fluviales. Préalablement, les démarches auprès des autorités flamandes seront entreprises pour établir un partenariat dans le cadre de waterinfo, et adapter le cas échéant le format et le traitement de nos données d’observations et de simulations</v>
          </cell>
          <cell r="C549" t="str">
            <v>BE-SBGE-Port de Bruxelles</v>
          </cell>
          <cell r="D549"/>
        </row>
        <row r="550">
          <cell r="A550" t="str">
            <v>5.24.3</v>
          </cell>
          <cell r="B550" t="str">
            <v>Opérationaliser le « nowcasting » orage et le déclenchement de phase d’alerte « sécheresse » sur base de l’indicateur développé et des échanges avec les centre de crise wallon et commission sécheresse de Flandre</v>
          </cell>
          <cell r="C550" t="str">
            <v>BE-IRM-CIRB</v>
          </cell>
          <cell r="D550"/>
        </row>
        <row r="551">
          <cell r="A551" t="str">
            <v>5.24.4</v>
          </cell>
          <cell r="B551" t="str">
            <v>Etendre le système d’alerte fluvial en y intégrant les inondations pluviales, sur base de l’expérience acquise avec le système fluvial.</v>
          </cell>
          <cell r="C551" t="str">
            <v>BE-VIVAQUA-SBGE-Port de Bruxelles</v>
          </cell>
          <cell r="D551"/>
        </row>
        <row r="552">
          <cell r="A552" t="str">
            <v>5.24.5</v>
          </cell>
          <cell r="B552" t="str">
            <v>Valoriser le système dans le cadre de la gestion dynamique visant à limiter les déversements d’orage (cf. M 1.9)</v>
          </cell>
          <cell r="C552" t="str">
            <v>SBGE-Vivaqua-BE</v>
          </cell>
          <cell r="D552"/>
        </row>
        <row r="553">
          <cell r="A553" t="str">
            <v>5.25.1</v>
          </cell>
          <cell r="B553" t="str">
            <v>Etablir une évaluation de la planification d’intervention d’urgence telle qu’actuellement en vigueur en Région de Bruxelles-Capitale, dresser un état des lieux sur le fonctionnement propre des intervenants (opérateur de l’eau, services d'intervention), les moyens particuliers d'intervention disponibles, les coordonnées des personnes spécifiquement concernées par le risque, et se nourrir des outils existants dans les autres Régions ou mis en place suite aux expériences récentes de gestion de crise.</v>
          </cell>
          <cell r="C553" t="str">
            <v xml:space="preserve"> BPS
 BE</v>
          </cell>
          <cell r="D553"/>
        </row>
        <row r="554">
          <cell r="A554" t="str">
            <v>5.25.2</v>
          </cell>
          <cell r="B554" t="str">
            <v>Sur base de l’évaluation, établir une « fiche-réflexe » ou un « schéma d’alerte » qui serait adapté pour une situation de crise (inondation ou sécheresse) comme prémisse au Plan Particulier d’Urgence et d’intervention (PPUI)</v>
          </cell>
          <cell r="C554" t="str">
            <v>BPS</v>
          </cell>
          <cell r="D554"/>
        </row>
        <row r="555">
          <cell r="A555" t="str">
            <v>5.25.3</v>
          </cell>
          <cell r="B555" t="str">
            <v>Réaliser un Plan Particulier d'Urgence et d'Intervention consacré au risque spécifique d’inondation et de sécheresse, qui :
-  décrit les risques et détermine les zones de planification d'urgence, distingue les différents scénarios possibles et les procédures d'intervention spécifiques à chacun d’eux, détermine l'organisation de la coordination des opérations et la chaine de commandement sous la direction de BPS;
- détermine les mesures de protection des biens et des personnes (notamment des intervenants), les localisations pouvant être intégrée dans un dispositif opérationnel (établissement d’un poste de commandement opérationnel multidisciplinaire, d’un éventuel poste médical avancé, d’un centre d’accueil pour personnes impliquées, d’un centre d’accueil pour la presse, etc.)d) détermine les procédures d'information des services de secours et de la population.</v>
          </cell>
          <cell r="C555" t="str">
            <v>BPS
Communes
BE</v>
          </cell>
          <cell r="D555"/>
        </row>
        <row r="556">
          <cell r="A556" t="str">
            <v>5.25.4</v>
          </cell>
          <cell r="B556" t="str">
            <v>Intégrer aux Plans d'Intervention Psychosociale existants la prise en compte spécifique du risque d'inondation et de sécheresse et préparer notamment l'accompagnement psychologique des victimes, ainsi que leur éventuel relogement temporaire (recensement de la population potentiellement concernée, identification des possibilités de relogement et de catering existantes, prise des contacts préalables nécessaires)</v>
          </cell>
          <cell r="C556"/>
          <cell r="D556"/>
        </row>
        <row r="557">
          <cell r="A557" t="str">
            <v>5.25.5</v>
          </cell>
          <cell r="B557" t="str">
            <v>Organiser à fréquence régulière des exercices spécifiquement consacrés à la problématique des inondations en vue notamment de :
- sensibiliser les participants,
- favoriser et tester la gestion tant mono- que multidisciplinaire de l’intervention portant sur divers aspects tels que la mise en alerte, le commandement, la communication ou encore la coordination,
- améliorer les connaissances, savoir, savoir-faire et savoir être sur le terrain,- connaitre et faire connaitre l’ensemble des acteurs concernés,- rendre chaque intervenant capable de réagir à l’imprévu et de faire face à la situation d’urgence et de stress,- évaluer l’application des différents plans et procédures existants, leur interaction et, le cas échéant, les adapter aux conclusions de l’évaluation consécutive à l'exercice.</v>
          </cell>
          <cell r="C557"/>
          <cell r="D557"/>
        </row>
        <row r="558">
          <cell r="A558" t="str">
            <v>5.26.1</v>
          </cell>
          <cell r="B558" t="str">
            <v>Harmoniser et valider les données ‘quantité’ de Flowbru</v>
          </cell>
          <cell r="C558" t="str">
            <v>SBGE</v>
          </cell>
          <cell r="D558"/>
        </row>
        <row r="559">
          <cell r="A559" t="str">
            <v>5.26.2</v>
          </cell>
          <cell r="B559" t="str">
            <v>Harmoniser les données géométriques des réseaux</v>
          </cell>
          <cell r="C559" t="str">
            <v>GT Carto (BE)</v>
          </cell>
          <cell r="D559"/>
        </row>
        <row r="560">
          <cell r="A560" t="str">
            <v>5.26.3</v>
          </cell>
          <cell r="B560" t="str">
            <v>Faire évoluer le GT Carto vers un GT Modélisation, harmoniser les outils de modélisation</v>
          </cell>
          <cell r="C560" t="str">
            <v>GT Carto (BE)</v>
          </cell>
          <cell r="D560"/>
        </row>
        <row r="561">
          <cell r="A561" t="str">
            <v>5.26.4</v>
          </cell>
          <cell r="B561" t="str">
            <v>Réalisation des modèles hydrauliques interconnectés simplifiés</v>
          </cell>
          <cell r="C561" t="str">
            <v>SBGE-Vivaqua</v>
          </cell>
          <cell r="D561"/>
        </row>
        <row r="562">
          <cell r="A562" t="str">
            <v>5.26.5</v>
          </cell>
          <cell r="B562" t="str">
            <v>Réalisation des modèles hydrologiques simplifiés</v>
          </cell>
          <cell r="C562" t="str">
            <v>SBGE-Vivaqua</v>
          </cell>
          <cell r="D562"/>
        </row>
        <row r="563">
          <cell r="A563" t="str">
            <v>5.26.6</v>
          </cell>
          <cell r="B563" t="str">
            <v>Identifier les zones de débordement, améliorer les cartes d’aléa d’inondation pluviale</v>
          </cell>
          <cell r="C563" t="str">
            <v>BE</v>
          </cell>
          <cell r="D563"/>
        </row>
        <row r="564">
          <cell r="A564" t="str">
            <v>5.26.7</v>
          </cell>
          <cell r="B564" t="str">
            <v>Analyser virtuellement les scénarios de gestion dynamiques</v>
          </cell>
          <cell r="C564" t="str">
            <v>SBGE-Vivaqua</v>
          </cell>
          <cell r="D564"/>
        </row>
        <row r="565">
          <cell r="A565" t="str">
            <v>5.27.1</v>
          </cell>
          <cell r="B565" t="str">
            <v>Optimiser les captages actuellement exploités par VIVAQUA où certaines portions, bien qu’autorisées, sont en décharge permanente à cause d’une grande sensibilité aux évènements pluvieux. Une modernisation de ces captages (avec ou sans traitement selon les cas) permettrait d’adduire des volumes supplémentaires</v>
          </cell>
          <cell r="C565" t="str">
            <v>VIVAQUA</v>
          </cell>
          <cell r="D565"/>
        </row>
        <row r="566">
          <cell r="A566" t="str">
            <v>5.27.2</v>
          </cell>
          <cell r="B566" t="str">
            <v>Optimiser les captages actuellement exploités par VIVAQUA où un fonctionnement alternatif est possible moyennant une adaptation des autorisations ou des captages où les autorisations permettent le prélèvement de volumes supplémentaires moyennant de nouvelles installations</v>
          </cell>
          <cell r="C566" t="str">
            <v>VIVAQUA</v>
          </cell>
          <cell r="D566"/>
        </row>
        <row r="567">
          <cell r="A567" t="str">
            <v>5.27.3</v>
          </cell>
          <cell r="B567" t="str">
            <v>Réhabiliter les anciens captages ou la mise en adduction des eaux de dalots (des drains construits sous certaines portions des collecteurs d’amenée des eaux et dont les eaux sont mises en décharge) est également une piste que VIVAQUA investigue depuis qu’un monitoring de ces eaux, initié dans le Water Quantity Plan, a montré qu’elles étaient potables ou potabilisables</v>
          </cell>
          <cell r="C567" t="str">
            <v>VIVAQUA</v>
          </cell>
          <cell r="D567"/>
        </row>
        <row r="568">
          <cell r="A568" t="str">
            <v>5.27.4</v>
          </cell>
          <cell r="B568" t="str">
            <v>Valoriser les eaux d’exhaure de carrières, eaux qui sont aujourd’hui rejetées dans les eaux de surface alors qu’elles sont potables ou potabilisables. VIVAQUA étudie d’ores et déjà une piste très concrète</v>
          </cell>
          <cell r="C568" t="str">
            <v>VIVAQUA</v>
          </cell>
          <cell r="D568"/>
        </row>
        <row r="569">
          <cell r="A569" t="str">
            <v>5.27.5</v>
          </cell>
          <cell r="B569" t="str">
            <v>Prospecter de nouveaux sites de captage le long du réseau d’adduction de VIVAQUA, tant pour des besoins d’eau en continu que pour satisfaire à des pics de consommation. Un exemple est l’aquifère du socle paléozoïque présent sous Bruxelles à plus grande profondeur ou dans le Nord Namurois et le Brabant Wallon</v>
          </cell>
          <cell r="C569" t="str">
            <v>VIVAQUA</v>
          </cell>
          <cell r="D569"/>
        </row>
        <row r="570">
          <cell r="A570" t="str">
            <v>5.27.6</v>
          </cell>
          <cell r="B570" t="str">
            <v>Mettre en place l’entretien et la régénération des ouvrages de captage au niveau de Bruxelles. La prospection du socle paléozoïque est également une piste envisagée pour le prélèvement ponctuel d’eau potable ou potabilisable lors de pics de consommation.</v>
          </cell>
          <cell r="C570" t="str">
            <v>VIVAQUA</v>
          </cell>
          <cell r="D570"/>
        </row>
        <row r="571">
          <cell r="A571" t="str">
            <v>5.28.1</v>
          </cell>
          <cell r="B571" t="str">
            <v>Analyse de l’opportunité de recourir à la recharge artificielle et/ou à des aménagements favorisant l’infiltration des eaux de pluie (à plus large échelle que la GiEP)</v>
          </cell>
          <cell r="C571" t="str">
            <v>VIVAQUA-BE</v>
          </cell>
          <cell r="D571"/>
        </row>
        <row r="572">
          <cell r="A572" t="str">
            <v>5.28.2</v>
          </cell>
          <cell r="B572" t="str">
            <v>Identifier les lieux qui s’y disposent, le cas échéant</v>
          </cell>
          <cell r="C572" t="str">
            <v>VIVAQUA-BE</v>
          </cell>
          <cell r="D572"/>
        </row>
        <row r="573">
          <cell r="A573" t="str">
            <v>5.29.1</v>
          </cell>
          <cell r="B573" t="str">
            <v>Mener une politique de communication portant sur la culture du risque lié aux inondations et aux épisodes de sécheresse pour la Région via les canaux appropriés.</v>
          </cell>
          <cell r="C573" t="str">
            <v>BE</v>
          </cell>
          <cell r="D573"/>
        </row>
        <row r="574">
          <cell r="A574" t="str">
            <v>5.29.2</v>
          </cell>
          <cell r="B574" t="str">
            <v>Prévenir et accompagner les personnes sinistrées en cas de survenance d’inondation ou de sécheresse</v>
          </cell>
          <cell r="C574" t="str">
            <v>BPS
Communes</v>
          </cell>
          <cell r="D574"/>
        </row>
        <row r="575">
          <cell r="A575" t="str">
            <v>5.29.3</v>
          </cell>
          <cell r="B575" t="str">
            <v>GiEP et mesures de protection 
Proposer des séances de sensibilisation, de partage d’expériences et d’échanges de connaissance sous forme de visites, de conférences ou d’atelier dirigées vers tous les publics professionnels ou privés.</v>
          </cell>
          <cell r="C575" t="str">
            <v>BE</v>
          </cell>
          <cell r="D575"/>
        </row>
        <row r="576">
          <cell r="A576" t="str">
            <v>5.29.4</v>
          </cell>
          <cell r="B576" t="str">
            <v>GiEP et mesures de protection
Offrir une gamme de formations adaptées aux différents publics (régionaux, communaux, bâti, espace public, professionnels, sensibilisation, avancés,…). Les formations sont assurées par le Facilitateur Eau (avec sous-traitants selon besoin) et co-organisées soit par le Département Eau, soit par le Service Formation de BE.</v>
          </cell>
          <cell r="C576" t="str">
            <v>BE</v>
          </cell>
          <cell r="D576"/>
        </row>
        <row r="577">
          <cell r="A577" t="str">
            <v>5.29.5</v>
          </cell>
          <cell r="B577" t="str">
            <v>GiEP et mesures de protection
Développer et diffuser du contenu à destination des particuliers en vue de les informer/sensibiliser au mieux sur leur rôle et les actions qui sont entre leurs mains, via tous les canaux de communication de BE mais aussi  via nos partenaires externes dans leurs missions quotidiennes (homegrade.brussels, le Réseau Habitat, associations proches des citoyens,…). Des FAQs seraient également développées dans cet objectif et un canal de communication ad hoc identifié pour répondre de manière personnalisée aux questions plus spécifiques.</v>
          </cell>
          <cell r="C577" t="str">
            <v>BE
Réseau Habitat -Homegrade.brussels- ASBLs</v>
          </cell>
          <cell r="D577"/>
        </row>
        <row r="578">
          <cell r="A578" t="str">
            <v>5.29.6</v>
          </cell>
          <cell r="B578" t="str">
            <v>GiEP et mesures de protection
Envoi vers M 5.5 : carte du Maillage Pluie</v>
          </cell>
          <cell r="C578" t="str">
            <v>BE</v>
          </cell>
          <cell r="D578"/>
        </row>
        <row r="579">
          <cell r="A579" t="str">
            <v>5.29.7</v>
          </cell>
          <cell r="B579" t="str">
            <v>GiEP et mesures de protection
Développer des contenus en commun et intégrer aux outils existants un focus sur des réalisations exemplaires (success-story)  en espaces publics pour les mettre en avant et leur offrir une visibilité plus pérenne</v>
          </cell>
          <cell r="C579" t="str">
            <v>BE-BM-Communes-STIB</v>
          </cell>
          <cell r="D579"/>
        </row>
        <row r="580">
          <cell r="A580" t="str">
            <v>5.29.8</v>
          </cell>
          <cell r="B580" t="str">
            <v>Sécheresse
Communiquer sur l’effet d’Îlots de chaleur urbain (ICU) et la manière de limiter localement cet effet</v>
          </cell>
          <cell r="C580" t="str">
            <v>BE</v>
          </cell>
          <cell r="D580"/>
        </row>
        <row r="581">
          <cell r="A581" t="str">
            <v>5.29.9</v>
          </cell>
          <cell r="B581" t="str">
            <v>Inondation
Conscientiser les habitants sur l’impact favorable de l’adaptation du bâti.</v>
          </cell>
          <cell r="C581" t="str">
            <v>BE</v>
          </cell>
          <cell r="D581"/>
        </row>
        <row r="582">
          <cell r="A582" t="str">
            <v>5.30.1</v>
          </cell>
          <cell r="B582" t="str">
            <v>Finaliser le projet prioritaire 25 - Water Quantity Plan (phase 2 : 2025-2040)</v>
          </cell>
          <cell r="C582" t="str">
            <v xml:space="preserve">VIVAQUA </v>
          </cell>
          <cell r="D582"/>
        </row>
        <row r="583">
          <cell r="A583" t="str">
            <v>5.30.2</v>
          </cell>
          <cell r="B583" t="str">
            <v>Communiquer sur le Water Quantity Plan</v>
          </cell>
          <cell r="C583" t="str">
            <v>VIVAQUA</v>
          </cell>
          <cell r="D583"/>
        </row>
        <row r="584">
          <cell r="A584" t="str">
            <v>5.30.3</v>
          </cell>
          <cell r="B584" t="str">
            <v>Assurer une veille scientifique et poursuivre la collecte de données utiles</v>
          </cell>
          <cell r="C584" t="str">
            <v>VIVAQUA-BE</v>
          </cell>
          <cell r="D584"/>
        </row>
        <row r="585">
          <cell r="A585" t="str">
            <v>5.30.4</v>
          </cell>
          <cell r="B585" t="str">
            <v>Évaluer (sur base de modélisation et de scénarios climatiques) l’impact du changement climatique sur les eaux souterraines : baisse piézométrique, baisse de débit de la galerie VIVAQUA et de l’alimentation des eaux de surface, impact sur les écosystèmes dépendants des eaux souterraines, incidence sur les usages des eaux souterraines (captages et géothermie)</v>
          </cell>
          <cell r="C585" t="str">
            <v xml:space="preserve">BE </v>
          </cell>
          <cell r="D585"/>
        </row>
        <row r="586">
          <cell r="A586" t="str">
            <v>5.30.5</v>
          </cell>
          <cell r="B586" t="str">
            <v>Evaluer l’impact du changement climatique sur les étangs en termes budgétaire afin de pouvoir anticiper l’ampleur des surcoûts à prévoir</v>
          </cell>
          <cell r="C586" t="str">
            <v>BE</v>
          </cell>
          <cell r="D586"/>
        </row>
        <row r="587">
          <cell r="A587" t="str">
            <v>5.30.6</v>
          </cell>
          <cell r="B587" t="str">
            <v>Évaluer l’impact du changement climatique sur la qualité des masses d’eau de surface</v>
          </cell>
          <cell r="C587" t="str">
            <v>BE</v>
          </cell>
          <cell r="D587"/>
        </row>
        <row r="588">
          <cell r="A588" t="str">
            <v>5.30.7</v>
          </cell>
          <cell r="B588" t="str">
            <v>Encourager les projets d’innovation en matière de résilience de la Région face aux perturbations du cycle de l’eau</v>
          </cell>
          <cell r="C588" t="str">
            <v>BE Innoviris</v>
          </cell>
          <cell r="D588"/>
        </row>
        <row r="589">
          <cell r="A589" t="str">
            <v>5.30.8</v>
          </cell>
          <cell r="B589" t="str">
            <v>Prendre part aux appels à projets menant à des partenariats européens d’innovation</v>
          </cell>
          <cell r="C589" t="str">
            <v>BE</v>
          </cell>
          <cell r="D589"/>
        </row>
        <row r="590">
          <cell r="A590" t="str">
            <v>6.1.1</v>
          </cell>
          <cell r="B590" t="str">
            <v>Etablir une vision programmatique par sous-bassin versant pour les travaux extraordinaires à réaliser sur le réseau hydrographique</v>
          </cell>
          <cell r="C590" t="str">
            <v>BE</v>
          </cell>
          <cell r="D590"/>
        </row>
        <row r="591">
          <cell r="A591" t="str">
            <v>6.1.2</v>
          </cell>
          <cell r="B591" t="str">
            <v>Etablir un plan d’entretien par sous-bassin versant pour les travaux ordinaires et de lutte contre les espèces invasives</v>
          </cell>
          <cell r="C591" t="str">
            <v>BE</v>
          </cell>
          <cell r="D591"/>
        </row>
        <row r="592">
          <cell r="A592" t="str">
            <v>6.2.1</v>
          </cell>
          <cell r="B592" t="str">
            <v>Finalisation et approbation du plan de gestion des étangs</v>
          </cell>
          <cell r="C592" t="str">
            <v>BE</v>
          </cell>
          <cell r="D592"/>
        </row>
        <row r="593">
          <cell r="A593" t="str">
            <v>6.2.2</v>
          </cell>
          <cell r="B593" t="str">
            <v>Mener à bien le Projet « SmartWater », projet de sciences citoyennes de monitoring pour optimiser l'état des eaux de surface et comprenant un volet de modélisation des cyanobactéries, pour orienter la gestion des étangs selon les résultats observés</v>
          </cell>
          <cell r="C593" t="str">
            <v>BE 
SmartWater</v>
          </cell>
          <cell r="D593"/>
        </row>
        <row r="594">
          <cell r="A594" t="str">
            <v>6.2.3</v>
          </cell>
          <cell r="B594" t="str">
            <v>Intégration du plan de gestion des étangs dans les différents plans de gestion des sites Natura 2000</v>
          </cell>
          <cell r="C594" t="str">
            <v>BE</v>
          </cell>
          <cell r="D594"/>
        </row>
        <row r="595">
          <cell r="A595" t="str">
            <v>6.2.4</v>
          </cell>
          <cell r="B595" t="str">
            <v>Mesure de suivi de la qualité des étangs et du degré d’envasement : monitoring de la qualité de la colonne d’eau, des sédiments et de la qualité biologique, bathymétries, et autres suivis réguliers ou ponctuels</v>
          </cell>
          <cell r="C595" t="str">
            <v>BE</v>
          </cell>
          <cell r="D595"/>
        </row>
        <row r="596">
          <cell r="A596" t="str">
            <v>6.3.1</v>
          </cell>
          <cell r="B596" t="str">
            <v>Réaliser les entretiens des siphons</v>
          </cell>
          <cell r="C596" t="str">
            <v>BE</v>
          </cell>
          <cell r="D596"/>
        </row>
        <row r="597">
          <cell r="A597" t="str">
            <v>6.3.2</v>
          </cell>
          <cell r="B597" t="str">
            <v>Mener des actions ponctuelles d’investigation et de débouchage</v>
          </cell>
          <cell r="C597" t="str">
            <v>BE</v>
          </cell>
          <cell r="D597"/>
        </row>
        <row r="598">
          <cell r="A598" t="str">
            <v>6.3.3</v>
          </cell>
          <cell r="B598" t="str">
            <v>Réaliser les travaux  d’entretien hydraulique sur les cours d’eau et étangs (y compris curage des cours d’eau en plein air ou en pertuis)</v>
          </cell>
          <cell r="C598" t="str">
            <v>BE</v>
          </cell>
          <cell r="D598"/>
        </row>
        <row r="599">
          <cell r="A599" t="str">
            <v>6.3.4</v>
          </cell>
          <cell r="B599" t="str">
            <v>Réaliser des plantations, débroussaillages, des actions d’éco-pâturage, de nettoyage et d’élagage</v>
          </cell>
          <cell r="C599" t="str">
            <v>BE</v>
          </cell>
          <cell r="D599"/>
        </row>
        <row r="600">
          <cell r="A600" t="str">
            <v>6.3.5</v>
          </cell>
          <cell r="B600" t="str">
            <v>Assurer les curages  d’entretien nécessaires des étangs et mares</v>
          </cell>
          <cell r="C600" t="str">
            <v>BE</v>
          </cell>
          <cell r="D600"/>
        </row>
        <row r="601">
          <cell r="A601" t="str">
            <v>6.3.6</v>
          </cell>
          <cell r="B601" t="str">
            <v>Evaluer les rôles et responsabilités des gestionnaires présumés (évacuation des produits de fauches, plan de plantation avec des plantes indigènes, ….)</v>
          </cell>
          <cell r="C601" t="str">
            <v>BE</v>
          </cell>
          <cell r="D601"/>
        </row>
        <row r="602">
          <cell r="A602" t="str">
            <v>6.3.7</v>
          </cell>
          <cell r="B602" t="str">
            <v>Entretenir le pertuis de la Senne (ouvrage)</v>
          </cell>
          <cell r="C602" t="str">
            <v>Vivaqua-BM-Port de Bruxelles</v>
          </cell>
          <cell r="D602"/>
        </row>
        <row r="603">
          <cell r="A603" t="str">
            <v>6.3.8</v>
          </cell>
          <cell r="B603" t="str">
            <v>Evacuer préventivement les sources d’embâcles le long des cours d’eau (branchages,…)</v>
          </cell>
          <cell r="C603" t="str">
            <v xml:space="preserve">BE-Vivaqua </v>
          </cell>
          <cell r="D603"/>
        </row>
        <row r="604">
          <cell r="A604" t="str">
            <v>6.4.1</v>
          </cell>
          <cell r="B604" t="str">
            <v>Identification et géolocalisation des résurgences</v>
          </cell>
          <cell r="C604" t="str">
            <v>Secteur associatif</v>
          </cell>
          <cell r="D604"/>
        </row>
        <row r="605">
          <cell r="A605" t="str">
            <v>6.4.2</v>
          </cell>
          <cell r="B605" t="str">
            <v>Validation hydrogéologique et intégration dans une base de données et outils cartographiques (atlas, geodata)</v>
          </cell>
          <cell r="C605" t="str">
            <v>BE</v>
          </cell>
          <cell r="D605"/>
        </row>
        <row r="606">
          <cell r="A606" t="str">
            <v>6.4.3</v>
          </cell>
          <cell r="B606" t="str">
            <v>Communication et mise à disposition des cartes de sensibilisation au public</v>
          </cell>
          <cell r="C606" t="str">
            <v>BE -Secteur associatif</v>
          </cell>
          <cell r="D606"/>
        </row>
        <row r="607">
          <cell r="A607" t="str">
            <v>6.4.4</v>
          </cell>
          <cell r="B607" t="str">
            <v>Envisager la mise en valeur des sources par l’amélioration de leur visibilité dans l’espace public</v>
          </cell>
          <cell r="C607" t="str">
            <v>BE-Secteur associatif</v>
          </cell>
          <cell r="D607"/>
        </row>
        <row r="608">
          <cell r="A608" t="str">
            <v>6.5.1</v>
          </cell>
          <cell r="B608" t="str">
            <v>Assurer une présence sur terrain pour sensibiliser, contrôler et, le cas échéant, sanctionner les personnes qui contreviendraient aux règles établies pour la préservation du réseau hydrographique (y compris formation des agents)</v>
          </cell>
          <cell r="C608" t="str">
            <v xml:space="preserve">BE </v>
          </cell>
          <cell r="D608"/>
        </row>
        <row r="609">
          <cell r="A609" t="str">
            <v>6.7.1</v>
          </cell>
          <cell r="B609" t="str">
            <v>Mener une étude projet d’aménagement d’un étang de baignade et ses abords (pour les parties qui ne concernent pas l’étang de baignade, voir également fiche M 3.7)</v>
          </cell>
          <cell r="C609" t="str">
            <v>BE</v>
          </cell>
          <cell r="D609"/>
        </row>
        <row r="610">
          <cell r="A610" t="str">
            <v>6.7.2</v>
          </cell>
          <cell r="B610" t="str">
            <v>Adapter le cadre réglementaire des piscines</v>
          </cell>
          <cell r="C610" t="str">
            <v>BE</v>
          </cell>
          <cell r="D610"/>
        </row>
        <row r="611">
          <cell r="A611" t="str">
            <v>6.7.3</v>
          </cell>
          <cell r="B611" t="str">
            <v>Réaliser les travaux d’aménagement d’un étang de baignade et de ses abords (pour les parties qui ne concernent pas l’étang de baignade, voir également fiche M 3.7)</v>
          </cell>
          <cell r="C611" t="str">
            <v>BE-Beliris</v>
          </cell>
          <cell r="D611"/>
        </row>
        <row r="612">
          <cell r="A612" t="str">
            <v>6.7.4</v>
          </cell>
          <cell r="B612" t="str">
            <v>Gestion de l’étang de baignade</v>
          </cell>
          <cell r="C612" t="str">
            <v>A déterminer</v>
          </cell>
          <cell r="D612"/>
        </row>
        <row r="613">
          <cell r="A613" t="str">
            <v>6.8.1</v>
          </cell>
          <cell r="B613" t="str">
            <v xml:space="preserve">Etablir une vision interne et partagée de la pratique de la pêche en Région de Bruxelles-Capitale </v>
          </cell>
          <cell r="C613" t="str">
            <v>BE</v>
          </cell>
          <cell r="D613"/>
        </row>
        <row r="614">
          <cell r="A614" t="str">
            <v>6.8.2</v>
          </cell>
          <cell r="B614" t="str">
            <v xml:space="preserve">Rédiger et adopter un arrêté fixant la réglementation et le contrôle de la pratique de la pêche en Région de Bruxelles-Capitale </v>
          </cell>
          <cell r="C614" t="str">
            <v>BE</v>
          </cell>
          <cell r="D614"/>
        </row>
        <row r="615">
          <cell r="A615" t="str">
            <v>6.8.3</v>
          </cell>
          <cell r="B615" t="str">
            <v>Mettre en œuvre les instruments définis dans l’arrêté</v>
          </cell>
          <cell r="C615" t="str">
            <v>BE</v>
          </cell>
          <cell r="D615"/>
        </row>
        <row r="616">
          <cell r="A616" t="str">
            <v>6.8.4</v>
          </cell>
          <cell r="B616" t="str">
            <v>Rédiger un cadre de bonnes pratiques pour la promotion d’une pratique plus durable de la pêche dans les espaces privés et communaux</v>
          </cell>
          <cell r="C616" t="str">
            <v>BE</v>
          </cell>
          <cell r="D616"/>
        </row>
        <row r="617">
          <cell r="A617" t="str">
            <v>6.9.1</v>
          </cell>
          <cell r="B617" t="str">
            <v>Etudier les différents traitements d’eau permettant d’assurer une recirculation d’eau tout en facilitant la gestion et l’entretien des installations</v>
          </cell>
          <cell r="C617" t="str">
            <v>BE</v>
          </cell>
          <cell r="D617"/>
        </row>
        <row r="618">
          <cell r="A618" t="str">
            <v>6.9.2</v>
          </cell>
          <cell r="B618" t="str">
            <v>Mettre en œuvre la plaine de jeu d’eau de l’hippodrome d’Uccle-Boitsfort</v>
          </cell>
          <cell r="C618" t="str">
            <v>BE</v>
          </cell>
          <cell r="D618"/>
        </row>
        <row r="619">
          <cell r="A619" t="str">
            <v>6.9.3</v>
          </cell>
          <cell r="B619" t="str">
            <v>Etudier et mettre en œuvre un pôle récréatif au niveau du parc régional de la Pede comprenant des jeux d’eau</v>
          </cell>
          <cell r="C619" t="str">
            <v>BE</v>
          </cell>
          <cell r="D619"/>
        </row>
        <row r="620">
          <cell r="A620" t="str">
            <v>6.9.4</v>
          </cell>
          <cell r="B620" t="str">
            <v>Assurer l’entretien des installations</v>
          </cell>
          <cell r="C620" t="str">
            <v>BE</v>
          </cell>
          <cell r="D620"/>
        </row>
        <row r="621">
          <cell r="A621" t="str">
            <v>6.10.1</v>
          </cell>
          <cell r="B621" t="str">
            <v>Réaliser des aménagements divers pour renforcer la place du Canal dans l’environnement urbain en fonction de développements de projets portés par le Port de Bruxelles, les entreprises portuaires ou par d’autres acteurs publics (par exemple : création de connexions cyclo-piétonnes, d’espaces accessibles au public, d’abaissements de quais...) </v>
          </cell>
          <cell r="C621" t="str">
            <v>Port de Bruxelles-SAU-BM-BE</v>
          </cell>
          <cell r="D621"/>
        </row>
        <row r="622">
          <cell r="A622" t="str">
            <v>6.10.2</v>
          </cell>
          <cell r="B622" t="str">
            <v>Mise en place d’une dynamique de communication avec les habitants/riverains</v>
          </cell>
          <cell r="C622" t="str">
            <v>Port de Bruxelles</v>
          </cell>
          <cell r="D622"/>
        </row>
        <row r="623">
          <cell r="A623" t="str">
            <v>6.11.1</v>
          </cell>
          <cell r="B623" t="str">
            <v>Organisation par le Port d’événements tout public, comme la « fête du Port »</v>
          </cell>
          <cell r="C623" t="str">
            <v>Port de Bruxelles</v>
          </cell>
          <cell r="D623"/>
        </row>
        <row r="624">
          <cell r="A624" t="str">
            <v>6.11.2</v>
          </cell>
          <cell r="B624" t="str">
            <v>Encadrer les activités nautiques et récréatives sur la voie d’eau et assurer l’entretien des quais, pontons et berges pour en permettre la pratique en toute sécurité</v>
          </cell>
          <cell r="C624" t="str">
            <v>Port de Bruxelles</v>
          </cell>
          <cell r="D624"/>
        </row>
        <row r="625">
          <cell r="A625" t="str">
            <v>6.11.3</v>
          </cell>
          <cell r="B625" t="str">
            <v>Autoriser, sous forme de convention, l’organisation d’activités ponctuelles, festives et/ou récréatives</v>
          </cell>
          <cell r="C625" t="str">
            <v xml:space="preserve">Port de Bruxelles </v>
          </cell>
          <cell r="D625"/>
        </row>
        <row r="626">
          <cell r="A626" t="str">
            <v>6.11.4</v>
          </cell>
          <cell r="B626" t="str">
            <v>Communiquer adéquatement sur les activités autorisées ou interdites sur la voie d’eau (pêche, navimodélisme, baignade)</v>
          </cell>
          <cell r="C626" t="str">
            <v xml:space="preserve">Port de Bruxelles </v>
          </cell>
          <cell r="D626"/>
        </row>
        <row r="627">
          <cell r="A627" t="str">
            <v>6.12.1</v>
          </cell>
          <cell r="B627" t="str">
            <v xml:space="preserve">Recenser les cours d’eau non navigables classés / non classés pouvant faire l’objet d’un statut particulier de protection et valider cette proposition de classement auprès des communes. </v>
          </cell>
          <cell r="C627" t="str">
            <v>BE</v>
          </cell>
          <cell r="D627"/>
        </row>
        <row r="628">
          <cell r="A628" t="str">
            <v>6.12.2</v>
          </cell>
          <cell r="B628" t="str">
            <v>Recenser et désigner les étangs régionaux</v>
          </cell>
          <cell r="C628" t="str">
            <v>BE</v>
          </cell>
          <cell r="D628"/>
        </row>
        <row r="629">
          <cell r="A629" t="str">
            <v>6.12.3</v>
          </cell>
          <cell r="B629" t="str">
            <v>Faire les relevés topographiques par des géomètres pour les tronçons du réseau hydrographique qui n'ont pas encore fait l'objet d'un relevé récent ou qui ont fait l'objet de travaux d’aménagement ou de rénovation pour la mise à jour continue de l’Atlas.</v>
          </cell>
          <cell r="C629" t="str">
            <v>BE</v>
          </cell>
          <cell r="D629"/>
        </row>
        <row r="630">
          <cell r="A630" t="str">
            <v>6.12.4</v>
          </cell>
          <cell r="B630" t="str">
            <v xml:space="preserve">Introduire l’ensemble des données relevées dans une base de données informatique géoréférencée, valider ces données et définir la forme, le contenu et la présentation de l'Atlas. </v>
          </cell>
          <cell r="C630" t="str">
            <v>BE</v>
          </cell>
          <cell r="D630"/>
        </row>
        <row r="631">
          <cell r="A631" t="str">
            <v>6.12.5</v>
          </cell>
          <cell r="B631" t="str">
            <v>Rédiger et adopter l’arrêté du Gouvernement opérant le classement des cours d’eau non navigables et approuvant l’Atlas</v>
          </cell>
          <cell r="C631" t="str">
            <v>BE</v>
          </cell>
          <cell r="D631"/>
        </row>
        <row r="632">
          <cell r="A632" t="str">
            <v>6.12.6</v>
          </cell>
          <cell r="B632" t="str">
            <v>Enquête publique auprès des communes</v>
          </cell>
          <cell r="C632" t="str">
            <v>BE</v>
          </cell>
          <cell r="D632"/>
        </row>
        <row r="633">
          <cell r="A633" t="str">
            <v>6.12.7</v>
          </cell>
          <cell r="B633" t="str">
            <v>Assurer la diffusion de l’Atlas</v>
          </cell>
          <cell r="C633" t="str">
            <v>BE</v>
          </cell>
          <cell r="D633"/>
        </row>
        <row r="634">
          <cell r="A634" t="str">
            <v>7.1.1</v>
          </cell>
          <cell r="B634" t="str">
            <v>Sectorisation accrue des réseaux.
1er Objectif: obtenir 65 zones DMA pour fin 2024 
2ème Objectif: obtenir 72 zones DMA pour fin 2027</v>
          </cell>
          <cell r="C634" t="str">
            <v>Vivaqua</v>
          </cell>
          <cell r="D634"/>
        </row>
        <row r="635">
          <cell r="A635" t="str">
            <v>7.1.2</v>
          </cell>
          <cell r="B635" t="str">
            <v>Campagne de détection de fuites via images par satellite . Vision des 2380 km de réseau en RBC tous les 3 ans</v>
          </cell>
          <cell r="C635" t="str">
            <v>Vivaqua</v>
          </cell>
          <cell r="D635"/>
        </row>
        <row r="636">
          <cell r="A636" t="str">
            <v>7.1.3</v>
          </cell>
          <cell r="B636" t="str">
            <v>Réaliser une veille technologique sur les compteurs d’eau  à l’'aide du programme de monitoring Leakredux Totalement opérationnel en 2022 puis maintenance et mise à niveau annuelle en fonction de l’avancée de la sectorisation</v>
          </cell>
          <cell r="C636" t="str">
            <v>Vivaqua</v>
          </cell>
          <cell r="D636"/>
        </row>
        <row r="637">
          <cell r="A637" t="str">
            <v>7.1.4</v>
          </cell>
          <cell r="B637" t="str">
            <v>Assurer des équipes compétentes et efficaces permettant de réagir rapidement en cas de problèmes constatés (fuites, …) et apporter les correctifs nécessaires</v>
          </cell>
          <cell r="C637" t="str">
            <v>Vivaqua</v>
          </cell>
          <cell r="D637"/>
        </row>
        <row r="638">
          <cell r="A638" t="str">
            <v>7.1.5</v>
          </cell>
          <cell r="B638" t="str">
            <v>Tenir à jour une cartographie des réseaux localisant les conduites et leurs caractéristiques et leur état de vétusté</v>
          </cell>
          <cell r="C638" t="str">
            <v>Vivaqua</v>
          </cell>
          <cell r="D638"/>
        </row>
        <row r="639">
          <cell r="A639" t="str">
            <v>7.1.6</v>
          </cell>
          <cell r="B639" t="str">
            <v>Réaliser les travaux de renouvellement des canalisations de distribution et répartition</v>
          </cell>
          <cell r="C639" t="str">
            <v>Vivaqua</v>
          </cell>
          <cell r="D639"/>
        </row>
        <row r="640">
          <cell r="A640" t="str">
            <v>7.1.7</v>
          </cell>
          <cell r="B640" t="str">
            <v>Assurer un contrôle et entretien régulier des hydrants (à charge des communes après  2022)</v>
          </cell>
          <cell r="C640" t="str">
            <v>Vivaqua</v>
          </cell>
          <cell r="D640"/>
        </row>
        <row r="641">
          <cell r="A641" t="str">
            <v>7.2.1</v>
          </cell>
          <cell r="B641" t="str">
            <v>Encourager la fourniture de l’eau du robinet, à titre gratuit ou moyennant des frais de services peu élevés, dans l’HORECA, les cantines, les centres sportifs, les centres culturels et dans tous les types de services de restauration ainsi que lors d’événement organisés par ces services.
Pour les écoles, cet encouragement peut passer par la mise à disposition de dossiers pédagogiques par exemple.</v>
          </cell>
          <cell r="C641" t="str">
            <v>BE</v>
          </cell>
          <cell r="D641"/>
        </row>
        <row r="642">
          <cell r="A642" t="str">
            <v>7.2.2</v>
          </cell>
          <cell r="B642" t="str">
            <v>Dans les secteurs momentanément non concernés par l’interdiction décrite dans le Brudalex : promouvoir dans tous les labels et chartes (Good Food, eco-schools, bubble, etc.) une utilisation rationnelle de l’eau et une utilisation de l’eau de distribution comme critère.</v>
          </cell>
          <cell r="C642" t="str">
            <v>BE</v>
          </cell>
          <cell r="D642"/>
        </row>
        <row r="643">
          <cell r="A643" t="str">
            <v>7.2.3</v>
          </cell>
          <cell r="B643" t="str">
            <v>Promotion et sensibilisation de l’utilisation de l’eau du robinet dans les établissements scolaires par l’installation de fontaines d’eau potable avec des  soutiens technique à la maintenance et pédagogique à la sensibilisation.</v>
          </cell>
          <cell r="C643" t="str">
            <v>BE</v>
          </cell>
          <cell r="D643"/>
        </row>
        <row r="644">
          <cell r="A644" t="str">
            <v>7.2.4</v>
          </cell>
          <cell r="B644" t="str">
            <v>Imposer l’abandon du recours à l’eau en bouteille au profit de l’eau de distribution lors d’événements subventionnés par les pouvoirs publics.</v>
          </cell>
          <cell r="C644" t="str">
            <v>BE</v>
          </cell>
          <cell r="D644"/>
        </row>
        <row r="645">
          <cell r="A645" t="str">
            <v>7.2.5</v>
          </cell>
          <cell r="B645" t="str">
            <v>Communiquer auprès des citoyens concernant la qualité de l’eau du robinet (via les réseaux sociaux, newsletter client, site web, stands pédagogiques, etc.).</v>
          </cell>
          <cell r="C645" t="str">
            <v>Vivaqua</v>
          </cell>
          <cell r="D645"/>
        </row>
        <row r="646">
          <cell r="A646" t="str">
            <v>7.2.6</v>
          </cell>
          <cell r="B646" t="str">
            <v>Encourager l’utilisation de l’eau de distribution dans les espaces privés dans les communications régionales et communales (site Internet par exemple)</v>
          </cell>
          <cell r="C646" t="str">
            <v>BE</v>
          </cell>
          <cell r="D646"/>
        </row>
        <row r="647">
          <cell r="A647" t="str">
            <v>7.2.7</v>
          </cell>
          <cell r="B647" t="str">
            <v>Proposition de mesures de Brudalex :
interdire aux autorités régionales  de servir des boissons dans des récipients à usage unique dans leurs propres activités et lors des événements qu'elles organisent
interdire la consommation des bouteilles d’eau au sein des bâtiments dépendants des pouvoirs publics régionaux et communaux, tout comme lors d’événements sponsorisés par ceux-ci.
Après, une première phase de mise en œuvre, élargir l’interdiction à tous les évènements accessibles au public tant en intérieur qu’en extérieur, en impliquant en particulier les fédérations sportives et les organisateurs d’évènements.</v>
          </cell>
          <cell r="C647" t="str">
            <v>BE</v>
          </cell>
          <cell r="D647"/>
        </row>
        <row r="648">
          <cell r="A648" t="str">
            <v>7.3.1</v>
          </cell>
          <cell r="B648" t="str">
            <v>Actualiser et améliorer le matériel et contenu existants</v>
          </cell>
          <cell r="C648" t="str">
            <v>BE</v>
          </cell>
          <cell r="D648"/>
        </row>
        <row r="649">
          <cell r="A649" t="str">
            <v>7.3.2</v>
          </cell>
          <cell r="B649" t="str">
            <v>Optimaliser la promotion de ce matériel et contenu</v>
          </cell>
          <cell r="C649" t="str">
            <v>BE</v>
          </cell>
          <cell r="D649"/>
        </row>
        <row r="650">
          <cell r="A650" t="str">
            <v>7.3.3</v>
          </cell>
          <cell r="B650" t="str">
            <v>Renforcer la promotion des équipements et aménagements sur les canaux BE</v>
          </cell>
          <cell r="C650" t="str">
            <v>BE</v>
          </cell>
          <cell r="D650"/>
        </row>
        <row r="651">
          <cell r="A651" t="str">
            <v>7.3.4</v>
          </cell>
          <cell r="B651" t="str">
            <v>Renforcer la promotion des équipements et aménagements via les partenaires externes</v>
          </cell>
          <cell r="C651" t="str">
            <v>BE</v>
          </cell>
          <cell r="D651"/>
        </row>
        <row r="652">
          <cell r="A652" t="str">
            <v>7.3.5</v>
          </cell>
          <cell r="B652" t="str">
            <v>Permettre aux usagers de l’eau de faire réaliser un « Audit Eau » de leurs installations (// waterscan)</v>
          </cell>
          <cell r="C652" t="str">
            <v>Vivaqua</v>
          </cell>
          <cell r="D652"/>
        </row>
        <row r="653">
          <cell r="A653" t="str">
            <v>7.4.1</v>
          </cell>
          <cell r="B653" t="str">
            <v>Evaluer la faisabilité d’introduire la thématique « eau » dans le programme PLAGE et son efficacité quant à son impact environnemental par rapport aux investissements consentis.</v>
          </cell>
          <cell r="C653" t="str">
            <v>BE</v>
          </cell>
          <cell r="D653"/>
        </row>
        <row r="654">
          <cell r="A654" t="str">
            <v>7.4.2</v>
          </cell>
          <cell r="B654" t="str">
            <v>Préparer l’intégration à la démarche PLAGE en menant des projets pilotes de sensibilisation à la prise en compte de la performance en matière de consommation d’eau sur une base volontaire notamment via le réseau des « agents eau » communaux et les acteurs du PLAGE « énergie »</v>
          </cell>
          <cell r="C654" t="str">
            <v>BE</v>
          </cell>
          <cell r="D654"/>
        </row>
        <row r="655">
          <cell r="A655" t="str">
            <v>7.4.3</v>
          </cell>
          <cell r="B655" t="str">
            <v>Modifier le Code bruxellois de l'Air, du Climat et de la Maîtrise de l'Energie</v>
          </cell>
          <cell r="C655" t="str">
            <v>BE</v>
          </cell>
          <cell r="D655"/>
        </row>
        <row r="656">
          <cell r="A656" t="str">
            <v>7.4.4</v>
          </cell>
          <cell r="B656" t="str">
            <v xml:space="preserve">Appliquer la législation révisée et complétée à la </v>
          </cell>
          <cell r="C656" t="str">
            <v>BE</v>
          </cell>
          <cell r="D656"/>
        </row>
        <row r="657">
          <cell r="A657" t="str">
            <v>7.5.1</v>
          </cell>
          <cell r="B657" t="str">
            <v>Actualiser, regrouper et améliorer le matériel et contenu existants relatifs aux bonnes pratiques, selon les secteurs cibles</v>
          </cell>
          <cell r="C657" t="str">
            <v>BE</v>
          </cell>
          <cell r="D657"/>
        </row>
        <row r="658">
          <cell r="A658" t="str">
            <v>7.5.2</v>
          </cell>
          <cell r="B658" t="str">
            <v>Optimaliser la promotion de ce matériel et contenu</v>
          </cell>
          <cell r="C658" t="str">
            <v>BE</v>
          </cell>
          <cell r="D658"/>
        </row>
        <row r="659">
          <cell r="A659" t="str">
            <v>7.5.3</v>
          </cell>
          <cell r="B659" t="str">
            <v>Préparer des contenus, matériels, et formats adaptés, sur base des retours d’expérience</v>
          </cell>
          <cell r="C659" t="str">
            <v>BE</v>
          </cell>
          <cell r="D659"/>
        </row>
        <row r="660">
          <cell r="A660" t="str">
            <v>7.5.4</v>
          </cell>
          <cell r="B660" t="str">
            <v>Veiller à un partage large de ces recommandations concrètes</v>
          </cell>
          <cell r="C660" t="str">
            <v>BE</v>
          </cell>
          <cell r="D660"/>
        </row>
        <row r="661">
          <cell r="A661" t="str">
            <v>7.5.5</v>
          </cell>
          <cell r="B661" t="str">
            <v>Diffuser plus largement le  matériel existant à destination des écoles, le développer et soutenir les associations travaillant sur la thématique de l’utilisation rationnelle d’eau dans ce secteur.</v>
          </cell>
          <cell r="C661" t="str">
            <v>BE</v>
          </cell>
          <cell r="D661"/>
        </row>
        <row r="662">
          <cell r="A662" t="str">
            <v>7.5.6</v>
          </cell>
          <cell r="B662" t="str">
            <v>Placer des compteurs « col de cygne » dans les communes partenaires pour identifier les consommations d’eau de certaines activités (marchés, …) en vue de chercher des approvisionnements alternatifs</v>
          </cell>
          <cell r="C662" t="str">
            <v>Vivaqua</v>
          </cell>
          <cell r="D662"/>
        </row>
        <row r="663">
          <cell r="A663" t="str">
            <v>7.5.7</v>
          </cell>
          <cell r="B663" t="str">
            <v>Assurer un suivi systématique des consommations d’eau dans les potagers gérés par Bruxelles Environnement</v>
          </cell>
          <cell r="C663" t="str">
            <v>BE</v>
          </cell>
          <cell r="D663"/>
        </row>
        <row r="664">
          <cell r="A664" t="str">
            <v>7.5.8</v>
          </cell>
          <cell r="B664" t="str">
            <v>Mettre en place en partenariat avec notamment les universités (écoles d’été), centre agro-écologique et FédéAU des formations sur l’utilisation rationnelle d’eau et bonnes pratiques agricoles (agro-écologiques,…) </v>
          </cell>
          <cell r="C664" t="str">
            <v xml:space="preserve">BE </v>
          </cell>
          <cell r="D664"/>
        </row>
        <row r="665">
          <cell r="A665" t="str">
            <v>7.6.A</v>
          </cell>
          <cell r="B665" t="str">
            <v xml:space="preserve">Sensibiliser et/ou soutenir les projets d’innovation visant à valoriser les eaux issues des rabattements de nappe (cf. aussi M 8.5) </v>
          </cell>
          <cell r="C665" t="str">
            <v>BE</v>
          </cell>
          <cell r="D665"/>
        </row>
        <row r="666">
          <cell r="A666" t="str">
            <v>7.6.1</v>
          </cell>
          <cell r="B666" t="str">
            <v xml:space="preserve">Mettre en place un mécanisme financier incitatif à la valorisation des eaux de rabattement (telle une redevance ‘assainissement’ spécifique) </v>
          </cell>
          <cell r="C666" t="str">
            <v>BE</v>
          </cell>
          <cell r="D666"/>
        </row>
        <row r="667">
          <cell r="A667" t="str">
            <v>7.6.2</v>
          </cell>
          <cell r="B667" t="str">
            <v>Sensibiliser/informer les exploitants de chantier à la valorisation des eaux issues des rabattements de nappe</v>
          </cell>
          <cell r="C667" t="str">
            <v>BE</v>
          </cell>
          <cell r="D667"/>
        </row>
        <row r="668">
          <cell r="A668" t="str">
            <v>7.6.3</v>
          </cell>
          <cell r="B668" t="str">
            <v>Prévoir des conditions spécifiques dans les autorisations de captage visant à encourager une valorisation des eaux de rabattements et encadrant cette valorisation.</v>
          </cell>
          <cell r="C668" t="str">
            <v>BE</v>
          </cell>
          <cell r="D668"/>
        </row>
        <row r="669">
          <cell r="A669" t="str">
            <v>7.6.4</v>
          </cell>
          <cell r="B669" t="str">
            <v xml:space="preserve">Lever les éventuels freins pour le rejet des eaux de rabattement vers le réseau hydrographique :
- Faire évoluer les procédures permettant une valorisation de l’eau issue de rabattement temporaires et permanents en eau de surface ;
- Assurer la cohérence entre les  normes de qualité des eaux de surface avec celles des eaux du sol en cas de rabattement effectué dans le cadre d’un assainissement de sol pollué ;
- Prévoir ensuite les conditions spécifiques en cas de de rejet direct dans le réseau hydrographique (respect des berges et des normes de rejet) </v>
          </cell>
          <cell r="C669" t="str">
            <v>BE</v>
          </cell>
          <cell r="D669"/>
        </row>
        <row r="670">
          <cell r="A670" t="str">
            <v>7.6.5</v>
          </cell>
          <cell r="B670" t="str">
            <v>Envisager une clause particulière dans les marchés publics de travaux des autorités publiques impliquant un rabattement de nappe afin de valoriser les eaux de rabattement et assurer un rôle d’exemplarité(*)</v>
          </cell>
          <cell r="C670" t="str">
            <v>BE</v>
          </cell>
          <cell r="D670"/>
        </row>
        <row r="671">
          <cell r="A671" t="str">
            <v>7.7.1</v>
          </cell>
          <cell r="B671" t="str">
            <v>Mise en place d’une installation pilote d’eau de "re-use" industrielle</v>
          </cell>
          <cell r="C671" t="str">
            <v>SBGE</v>
          </cell>
          <cell r="D671"/>
        </row>
        <row r="672">
          <cell r="A672" t="str">
            <v>7.7.2</v>
          </cell>
          <cell r="B672" t="str">
            <v xml:space="preserve">Adoption d’un arrêté spécifique à la réutilisation de l’eau de 2ème circuit (water reuse) </v>
          </cell>
          <cell r="C672" t="str">
            <v>SBGE</v>
          </cell>
          <cell r="D672"/>
        </row>
        <row r="673">
          <cell r="A673" t="str">
            <v>7.7.3</v>
          </cell>
          <cell r="B673" t="str">
            <v>Encourager le développement et le recours à l’eau de "re-use"</v>
          </cell>
          <cell r="C673" t="str">
            <v>SBGE</v>
          </cell>
          <cell r="D673"/>
        </row>
        <row r="674">
          <cell r="A674" t="str">
            <v>7.8.1</v>
          </cell>
          <cell r="B674" t="str">
            <v>Déterminer les usages qui peuvent être faits des sources inventoriées en fonction de leur productivité et de la qualité des eaux</v>
          </cell>
          <cell r="C674" t="str">
            <v>BE</v>
          </cell>
          <cell r="D674"/>
        </row>
        <row r="675">
          <cell r="A675" t="str">
            <v>7.8.2</v>
          </cell>
          <cell r="B675" t="str">
            <v>Mettre en place une signalétique adéquate en fonction des usages autorisés, lorsque l’usage de l’eau est autorisé.</v>
          </cell>
          <cell r="C675" t="str">
            <v>BE</v>
          </cell>
          <cell r="D675"/>
        </row>
        <row r="676">
          <cell r="A676" t="str">
            <v>7.9.1</v>
          </cell>
          <cell r="B676" t="str">
            <v>Consultation des experts et du secteur sur la règlementation à mettre en place pour les systèmes géothermiques fermés</v>
          </cell>
          <cell r="C676" t="str">
            <v>BE</v>
          </cell>
          <cell r="D676"/>
        </row>
        <row r="677">
          <cell r="A677" t="str">
            <v>7.9.2</v>
          </cell>
          <cell r="B677" t="str">
            <v xml:space="preserve"> Rédaction d’un arrêté relatif aux systèmes géothermiques fermés</v>
          </cell>
          <cell r="C677" t="str">
            <v>BE</v>
          </cell>
          <cell r="D677"/>
        </row>
        <row r="678">
          <cell r="A678" t="str">
            <v>7.9.3</v>
          </cell>
          <cell r="B678" t="str">
            <v>Adoption d’un arrêté déterminant des conditions-types pour les systèmes géothermiques fermés</v>
          </cell>
          <cell r="C678" t="str">
            <v>BE</v>
          </cell>
          <cell r="D678"/>
        </row>
        <row r="679">
          <cell r="A679" t="str">
            <v>7.10.1</v>
          </cell>
          <cell r="B679" t="str">
            <v>Recensement des installations géothermiques en Région de Bruxelles-Capitale</v>
          </cell>
          <cell r="C679" t="str">
            <v>BE</v>
          </cell>
          <cell r="D679"/>
        </row>
        <row r="680">
          <cell r="A680" t="str">
            <v>7.10.2</v>
          </cell>
          <cell r="B680" t="str">
            <v>Régularisation des installations mises en service avant le 1er avril 2019 et n’ayant pas rempli une déclaration environnementale ne disposant pas d’un permis d’environnement pour exploiter</v>
          </cell>
          <cell r="C680" t="str">
            <v>BE
(la demande est à charge de l’exploitant)</v>
          </cell>
          <cell r="D680"/>
        </row>
        <row r="681">
          <cell r="A681" t="str">
            <v>7.10.3</v>
          </cell>
          <cell r="B681" t="str">
            <v>Mise à jour continue du cadastre des installations géothermiques</v>
          </cell>
          <cell r="C681" t="str">
            <v>BE</v>
          </cell>
          <cell r="D681"/>
        </row>
        <row r="682">
          <cell r="A682" t="str">
            <v>7.11.1</v>
          </cell>
          <cell r="B682" t="str">
            <v>Procéder aux upgrades de BrugeoTool (v2+) – fonctionnalité « analyse géothermique »</v>
          </cell>
          <cell r="C682" t="str">
            <v>BE</v>
          </cell>
          <cell r="D682"/>
        </row>
        <row r="683">
          <cell r="A683" t="str">
            <v>7.11.2</v>
          </cell>
          <cell r="B683" t="str">
            <v>Pérenniser le réseau institutionnel et académique bruxellois constitué d’experts en géothermie</v>
          </cell>
          <cell r="C683" t="str">
            <v>BE</v>
          </cell>
          <cell r="D683"/>
        </row>
        <row r="684">
          <cell r="A684" t="str">
            <v>7.11.3</v>
          </cell>
          <cell r="B684" t="str">
            <v>Réaliser des missions de facilitation et de formations sur le thème de la géothermie</v>
          </cell>
          <cell r="C684" t="str">
            <v>BE</v>
          </cell>
          <cell r="D684"/>
        </row>
        <row r="685">
          <cell r="A685" t="str">
            <v>7.12.1</v>
          </cell>
          <cell r="B685" t="str">
            <v>Assurer un monitoring du premier projet à Uccle afin de pouvoir évaluer les performances du système</v>
          </cell>
          <cell r="C685" t="str">
            <v>VIVAQUA</v>
          </cell>
          <cell r="D685"/>
        </row>
        <row r="686">
          <cell r="A686" t="str">
            <v>7.12.2</v>
          </cell>
          <cell r="B686" t="str">
            <v>Mise en œuvre d’un dispositif de riothermie pour le futur centre administratif de Bruxelles-Ville et assurer un monitoring de ce projet afin de pouvoir évaluer les performances du système</v>
          </cell>
          <cell r="C686" t="str">
            <v>VIVAQUA</v>
          </cell>
          <cell r="D686"/>
        </row>
        <row r="687">
          <cell r="A687" t="str">
            <v>7.12.3</v>
          </cell>
          <cell r="B687" t="str">
            <v>Assurer une veille technologique et collaborer avec les bureaux d’études et maitres d’ouvrage intéressés afin de développer différents projets et déterminer les avantages et limites de cette technique</v>
          </cell>
          <cell r="C687" t="str">
            <v>VIVAQUA</v>
          </cell>
          <cell r="D687"/>
        </row>
        <row r="688">
          <cell r="A688" t="str">
            <v>8.1.1</v>
          </cell>
          <cell r="B688" t="str">
            <v xml:space="preserve">Rédaction coordonnée et concertée du plan faîtier </v>
          </cell>
          <cell r="C688" t="str">
            <v>CIE</v>
          </cell>
          <cell r="D688"/>
        </row>
        <row r="689">
          <cell r="A689" t="str">
            <v>8.1.2</v>
          </cell>
          <cell r="B689" t="str">
            <v>Coordination et partage d’informations entre les Etats membres du DHI de l’Escaut</v>
          </cell>
          <cell r="C689" t="str">
            <v>CIE</v>
          </cell>
          <cell r="D689"/>
        </row>
        <row r="690">
          <cell r="A690" t="str">
            <v>8.2.1</v>
          </cell>
          <cell r="B690" t="str">
            <v xml:space="preserve">Participer aux réunions CCPIE </v>
          </cell>
          <cell r="C690" t="str">
            <v>BE</v>
          </cell>
          <cell r="D690"/>
        </row>
        <row r="691">
          <cell r="A691" t="str">
            <v>8.2.2</v>
          </cell>
          <cell r="B691" t="str">
            <v>Participer à la concertation transfrontière au niveau local (‘GOW’) (+- 1/an)</v>
          </cell>
          <cell r="C691" t="str">
            <v>BE</v>
          </cell>
          <cell r="D691"/>
        </row>
        <row r="692">
          <cell r="A692" t="str">
            <v>8.2.3</v>
          </cell>
          <cell r="B692" t="str">
            <v>Mener à terme les actions bruxelloises inscrites dans le projet inter-régional LIFE Belini d’ici fin 2026 </v>
          </cell>
          <cell r="C692" t="str">
            <v>BE</v>
          </cell>
          <cell r="D692"/>
        </row>
        <row r="693">
          <cell r="A693" t="str">
            <v>8.2.4</v>
          </cell>
          <cell r="B693" t="str">
            <v>Faciliter l'échange d'informations et en améliorer la transparence</v>
          </cell>
          <cell r="C693" t="str">
            <v>BE</v>
          </cell>
          <cell r="D693"/>
        </row>
        <row r="694">
          <cell r="A694" t="str">
            <v>8.2.5</v>
          </cell>
          <cell r="B694" t="str">
            <v>Poursuivre les échanges interrégionaux menant à une gestion coordonnée des voies navigables</v>
          </cell>
          <cell r="C694" t="str">
            <v>Port de Bruxelles</v>
          </cell>
          <cell r="D694"/>
        </row>
        <row r="695">
          <cell r="A695" t="str">
            <v>8.3.1</v>
          </cell>
          <cell r="B695" t="str">
            <v>Coordonner les missions de service public des opérateurs et acteurs dans la mise en œuvre de la politique de l’eau.</v>
          </cell>
          <cell r="C695" t="str">
            <v>Plateforme des opérateurs de l’eau</v>
          </cell>
          <cell r="D695"/>
        </row>
        <row r="696">
          <cell r="A696" t="str">
            <v>8.3.2</v>
          </cell>
          <cell r="B696" t="str">
            <v>Renforcer la coordination thématique au sein de groupes de travail ad hoc créés dans le cadre de la Plateforme de coordination.</v>
          </cell>
          <cell r="C696" t="str">
            <v>Plateforme des opérateurs de l’eau</v>
          </cell>
          <cell r="D696"/>
        </row>
        <row r="697">
          <cell r="A697" t="str">
            <v>8.3.3</v>
          </cell>
          <cell r="B697" t="str">
            <v>Renforcer la coordination par bassin versant au sein de groupes de travail ad hoc créés dans le cadre de la Plateforme de coordination.</v>
          </cell>
          <cell r="C697" t="str">
            <v>Plateforme des opérateurs de l’eau</v>
          </cell>
          <cell r="D697"/>
        </row>
        <row r="698">
          <cell r="A698" t="str">
            <v>8.3.4</v>
          </cell>
          <cell r="B698" t="str">
            <v>Renforcer la coordination et l’échange entre les différents groupes de travail thématiques et par bassin versant avec les acteurs de l’eau (administrations régionales, associations, monde académique et de la recherche, etc.).</v>
          </cell>
          <cell r="C698" t="str">
            <v>Plateforme des opérateurs de l’eau</v>
          </cell>
          <cell r="D698"/>
        </row>
        <row r="699">
          <cell r="A699" t="str">
            <v>8.3.5</v>
          </cell>
          <cell r="B699" t="str">
            <v>Faciliter l'échange d'informations en améliorant la transparence de la Plateforme de coordination et en intensifiant les échanges avec les autres acteurs régionaux concernés.</v>
          </cell>
          <cell r="C699" t="str">
            <v>Plateforme des opérateurs de l’eau</v>
          </cell>
          <cell r="D699"/>
        </row>
        <row r="700">
          <cell r="A700" t="str">
            <v>8.3.6</v>
          </cell>
          <cell r="B700" t="str">
            <v>Émettre des avis coordonnés dans le cadre de modifications réglementaires, sur des projets d’aménagement du territoire, le développement d’outils, de méthodes ayant un impact sur le secteur de l’eau. Mais également émettre des réponses coordonnées suite à des interpellations d’un ou plusieurs opérateurs de l’eau.</v>
          </cell>
          <cell r="C700" t="str">
            <v>Plateforme des opérateurs de l’eau</v>
          </cell>
          <cell r="D700"/>
        </row>
        <row r="701">
          <cell r="A701" t="str">
            <v>8.3.7</v>
          </cell>
          <cell r="B701" t="str">
            <v>Organiser des événements d’échanges de connaissance :
avec les associations et le monde académique (les rencontres bruxelloises de l’eau) ;
avec les professionnels (la journée mondiale de l’eau)
avec les citoyens (les journées bruxelloises de l’eau)</v>
          </cell>
          <cell r="C701" t="str">
            <v>Plateforme des opérateurs de l’eau</v>
          </cell>
          <cell r="D701"/>
        </row>
        <row r="702">
          <cell r="A702" t="str">
            <v>8.4.1</v>
          </cell>
          <cell r="B702" t="str">
            <v>Assurer l’organisation de séminaires/colloques sur les différentes thématiques de l’eau afin de permettre l’échange de bonnes pratiques et/ou de savoirs scientifiques.</v>
          </cell>
          <cell r="C702" t="str">
            <v>Aquabru</v>
          </cell>
          <cell r="D702"/>
        </row>
        <row r="703">
          <cell r="A703" t="str">
            <v>8.4.2</v>
          </cell>
          <cell r="B703" t="str">
            <v>Participer en tant qu’observateur ou orateur aux séminaires/colloques/forums sur les différentes thématiques de l’eau pour veiller à ce que la RBC reste parfaitement informée des bonnes pratiques et/ou savoirs scientifiques internationaux, ou veiller en tant qu’orateur à partager/informer sur les bonnes pratiques et/ou savoirs scientifiques développés au sein de la Région.</v>
          </cell>
          <cell r="C703" t="str">
            <v>Aquabru
BE</v>
          </cell>
          <cell r="D703"/>
        </row>
        <row r="704">
          <cell r="A704" t="str">
            <v>8.4.3</v>
          </cell>
          <cell r="B704" t="str">
            <v>Valoriser toujours davantage l’expérience de la RBC en matière de gestion de l’eau spécifique au milieu urbain au travers de la participation aux séminaires/colloques/forums sur les différentes thématiques de l’eau.</v>
          </cell>
          <cell r="C704" t="str">
            <v>Aquabru
BE</v>
          </cell>
          <cell r="D704"/>
        </row>
        <row r="705">
          <cell r="A705" t="str">
            <v>8.5.1</v>
          </cell>
          <cell r="B705" t="str">
            <v>Continuer l’« appel à projets » auprès des communes et CPAS bruxellois afin d’encourager prioritairement à réaliser des travaux d’aménagement « nature-based solutions » ou des études préalables. Les subsides ainsi octroyés sont de l’ordre de 400.000€/an pour les travaux et de 200.000€/an pour les études.
Les objectifs de l’appel à projets recouvrent également l’ensemble des mesures du PGE (donc lutte contre les inondations, utilisation rationnelle des ressources, etc.)
A noter l’existence d’un soutien complémentaire de Bruxelles Mobilité aux communes, via appel à projet pour petits projets de déminéralisation.</v>
          </cell>
          <cell r="C705" t="str">
            <v>BE</v>
          </cell>
          <cell r="D705"/>
        </row>
        <row r="706">
          <cell r="A706" t="str">
            <v>8.5.2</v>
          </cell>
          <cell r="B706" t="str">
            <v>Mettre en place ou étendre l’appel à projet 
- à d’autres institutions régionales (ex : STIB, BM,…) pour développer des projets « GIEP » d’aménagement du territoire ;
- vers des acteurs privés pour développer des initiatives GIEP sur leurs parcelles 
Action à développer dans l’appel à projets « Inspirons le quartier ».</v>
          </cell>
          <cell r="C706" t="str">
            <v>BE</v>
          </cell>
          <cell r="D706"/>
        </row>
        <row r="707">
          <cell r="A707" t="str">
            <v>8.5.3</v>
          </cell>
          <cell r="B707" t="str">
            <v>Introduire la thématique Eau dans l’appel à projets           « Inspirons Le Quartier».</v>
          </cell>
          <cell r="C707" t="str">
            <v>BE</v>
          </cell>
          <cell r="D707"/>
        </row>
        <row r="708">
          <cell r="A708" t="str">
            <v>8.5.4</v>
          </cell>
          <cell r="B708" t="str">
            <v>Soutenir les Pouvoirs organisateurs des écoles pour des projets de déminéralisation et végétalisation via l’appel à projet ‘Ré-création’.</v>
          </cell>
          <cell r="C708" t="str">
            <v>BE</v>
          </cell>
          <cell r="D708"/>
        </row>
        <row r="709">
          <cell r="A709" t="str">
            <v>8.5.5</v>
          </cell>
          <cell r="B709" t="str">
            <v>Evaluer l’opportunité d’octroyer des primes aux communes plutôt que des subventions, pour faciliter leurs actions positives.</v>
          </cell>
          <cell r="C709" t="str">
            <v>BE</v>
          </cell>
          <cell r="D709"/>
        </row>
        <row r="710">
          <cell r="A710" t="str">
            <v>8.5.6</v>
          </cell>
          <cell r="B710" t="str">
            <v xml:space="preserve">Promouvoir un label visant à encourager et valoriser les projets GiEP « exemplaires » dans le domaine public ou privé en RBC.  </v>
          </cell>
          <cell r="C710" t="str">
            <v>BE</v>
          </cell>
          <cell r="D710"/>
        </row>
        <row r="711">
          <cell r="A711" t="str">
            <v>8.5.7</v>
          </cell>
          <cell r="B711" t="str">
            <v>Soutenir les mouvements citoyens et associatifs qui mettent en œuvre le PGE 2022-2027 et plus large (comme par exemple le soutien à l’éducation à l’eau sur la qualité de l’eau du robinet).</v>
          </cell>
          <cell r="C711" t="str">
            <v>BE</v>
          </cell>
          <cell r="D711"/>
        </row>
        <row r="712">
          <cell r="A712" t="str">
            <v>8.5.8</v>
          </cell>
          <cell r="B712" t="str">
            <v>Réaliser un diagnostic des mécanismes financiers existants au sein des institutions régionales et communales  et assurer la promotion et diffusion large de cet existant via leurs canaux de communication, les différents canaux de communication de Bruxelles Environnement ainsi que ceux des autres organismes pour lesquels la thématique s’inscrit dans les missions quotidiennes (e.g. réseau habitat, Homegrade,…).</v>
          </cell>
          <cell r="C712" t="str">
            <v>BE</v>
          </cell>
          <cell r="D712"/>
        </row>
        <row r="713">
          <cell r="A713" t="str">
            <v>8.5.9</v>
          </cell>
          <cell r="B713" t="str">
            <v>Réaliser un diagnostic des besoins spécifiques identifiés (e.g. demandes récurrentes, manques, raisons derrière le fait que certaines primes fonctionnement et d’autres moins, analyse des situations socio-économiques…).</v>
          </cell>
          <cell r="C713" t="str">
            <v>BE</v>
          </cell>
          <cell r="D713"/>
        </row>
        <row r="714">
          <cell r="A714" t="str">
            <v>8.5.10</v>
          </cell>
          <cell r="B714" t="str">
            <v>Mettre en place des primes ou des ajouts/extensions de champ d’application pour des primes existantes à destination des particuliers et des professionnels, avec les informations sur les étapes juridiques à établir et les couts liés à l’encadrement RH.
Cette mesure devra être accompagnée d’une réflexion sur la situation socio-économique du public-cible (locataire ou propriétaire par exemple).</v>
          </cell>
          <cell r="C714" t="str">
            <v>BE</v>
          </cell>
          <cell r="D714"/>
        </row>
        <row r="715">
          <cell r="A715" t="str">
            <v>8.5.11</v>
          </cell>
          <cell r="B715" t="str">
            <v>Assurer l’actualisation régulière des informations disponibles sur les canaux de communication des instances délivrantes, les différents canaux de communication de Bruxelles Environnement ainsi que sur ceux des autres organismes pour lesquels la thématique s’inscrit dans les missions quotidiennes (e.g. réseau habitat, Homegrade,…).</v>
          </cell>
          <cell r="C715" t="str">
            <v>BE</v>
          </cell>
          <cell r="D715"/>
        </row>
        <row r="716">
          <cell r="A716"/>
          <cell r="B716"/>
          <cell r="C716"/>
          <cell r="D716"/>
        </row>
        <row r="717">
          <cell r="A717"/>
          <cell r="B717"/>
          <cell r="C717"/>
          <cell r="D717"/>
        </row>
      </sheetData>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GAPANE Pietro" refreshedDate="44813.022498958337" createdVersion="5" refreshedVersion="7" minRefreshableVersion="3" recordCount="713" xr:uid="{00000000-000A-0000-FFFF-FFFF01000000}">
  <cacheSource type="worksheet">
    <worksheetSource ref="D2:N715" sheet="5. Consolidation"/>
  </cacheSource>
  <cacheFields count="11">
    <cacheField name="Mesure#" numFmtId="0">
      <sharedItems count="114">
        <s v="M 1.1"/>
        <s v="M 1.2"/>
        <s v="M 1.3"/>
        <s v="M 1.4"/>
        <s v="M 1.5"/>
        <s v="M 1.6"/>
        <s v="M 1.7"/>
        <s v="M 1.8"/>
        <s v="M 1.9"/>
        <s v="M 1.10"/>
        <s v="M 1.11"/>
        <s v="M 1.12"/>
        <s v="M 1.13"/>
        <s v="M 1.14"/>
        <s v="M 1.15"/>
        <s v="M 1.16"/>
        <s v="M 1.17"/>
        <s v="M 1.18"/>
        <s v="M 1.19"/>
        <s v="M 1.20"/>
        <s v="M 1.21"/>
        <s v="M 1.22"/>
        <s v="M 1.23"/>
        <s v="M 1.24"/>
        <s v="M 1.25"/>
        <s v="M 1.26"/>
        <s v="M 2.1"/>
        <s v="M 2.2"/>
        <s v="M 2.3"/>
        <s v="M 2.4"/>
        <s v="M 2.5"/>
        <s v="M 2.6"/>
        <s v="M 2.7"/>
        <s v="M 2.8"/>
        <s v="M 2.9"/>
        <s v="M 2.10"/>
        <s v="M 2.11"/>
        <s v="M 2.12"/>
        <s v="M 2.13"/>
        <s v="M 2.14"/>
        <s v="M 2.15"/>
        <s v="M 3.1"/>
        <s v="M 3.2"/>
        <s v="M 3.3"/>
        <s v="M 3.4"/>
        <s v="M 3.5"/>
        <s v="M 3.6"/>
        <s v="M 3.7"/>
        <s v="M 4.1"/>
        <s v="M 4.2"/>
        <s v="M 4.3"/>
        <s v="M 4.4"/>
        <s v="M 4.5"/>
        <s v="M 4.6"/>
        <s v="M 4.8"/>
        <s v="M 5.1"/>
        <s v="M 5.2"/>
        <s v="M 5.3"/>
        <s v="M 5.4"/>
        <s v="M 5.5"/>
        <s v="M 5.6"/>
        <s v="M 5.7"/>
        <s v="M 5.8"/>
        <s v="M 5.9"/>
        <s v="M 5.10"/>
        <s v="M 5.11"/>
        <s v="M 5.12"/>
        <s v="M 5.13"/>
        <s v="M 5.14"/>
        <s v="M 5.15"/>
        <s v="M 5.16"/>
        <s v="M 5.17"/>
        <s v="M 5.18"/>
        <s v="M 5.19"/>
        <s v="M 5.20"/>
        <s v="M 5.21"/>
        <s v="M 5.22"/>
        <s v="M 5.23"/>
        <s v="M 5.24"/>
        <s v="M 5.25"/>
        <s v="M 5.26"/>
        <s v="M 5.27"/>
        <s v="M 5.28"/>
        <s v="M 5.29"/>
        <s v="M 5.30"/>
        <s v="M 6.1"/>
        <s v="M 6.2"/>
        <s v="M 6.3"/>
        <s v="M 6.4"/>
        <s v="M 6.5"/>
        <s v="M 6.6"/>
        <s v="M 6.7"/>
        <s v="M 6.8"/>
        <s v="M 6.9"/>
        <s v="M 6.10"/>
        <s v="M 6.11"/>
        <s v="M 6.12"/>
        <s v="M 7.1"/>
        <s v="M 7.2"/>
        <s v="M 7.3"/>
        <s v="M 7.4"/>
        <s v="M 7.5"/>
        <s v="M 7.6"/>
        <s v="M 7.7"/>
        <s v="M 7.8"/>
        <s v="M 7.9"/>
        <s v="M 7.10"/>
        <s v="M 7.11"/>
        <s v="M 7.12"/>
        <s v="M 8.1"/>
        <s v="M 8.2"/>
        <s v="M 8.3"/>
        <s v="M 8.4"/>
        <s v="M 8.5"/>
      </sharedItems>
    </cacheField>
    <cacheField name="Action #" numFmtId="0">
      <sharedItems count="710">
        <s v="1.1.1"/>
        <s v="1.1.2"/>
        <s v="1.1.3"/>
        <s v="1.1.4"/>
        <s v="1.1.5"/>
        <s v="1.1.6"/>
        <s v="1.1.7"/>
        <s v="1.1.8"/>
        <s v="1.1.9"/>
        <s v="1.1.10"/>
        <s v="1.1.11"/>
        <s v="1.1.12"/>
        <s v="1.2.1"/>
        <s v="1.2.2"/>
        <s v="1.2.3"/>
        <s v="1.2.4"/>
        <s v="1.2.5"/>
        <s v="1.2.6"/>
        <s v="1.2.7"/>
        <s v="1.2.8"/>
        <s v="1.2.9"/>
        <s v="1.2.10"/>
        <s v="1.2.11"/>
        <s v="1.2.12"/>
        <s v="1.2.13"/>
        <s v="1.2.14"/>
        <s v="1.2.15"/>
        <s v="1.2.16"/>
        <s v="1.2.17"/>
        <s v="1.2.18"/>
        <s v="1.2.19"/>
        <s v="1.2.20"/>
        <s v="1.2.21"/>
        <s v="1.2.22"/>
        <s v="1.2.23"/>
        <s v="1.2.24"/>
        <s v="1.2.25"/>
        <s v="1.2.26"/>
        <s v="1.2.27"/>
        <s v="1.2.28"/>
        <s v="1.3.1"/>
        <s v="1.3.2"/>
        <s v="1.3.3"/>
        <s v="1.3.4"/>
        <s v="1.3.5"/>
        <s v="1.3.6"/>
        <s v="1.3.7"/>
        <s v="1.3.8"/>
        <s v="1.3.A"/>
        <s v="1.4.1"/>
        <s v="1.4.2"/>
        <s v="1.4.3"/>
        <s v="1.4.4"/>
        <s v="1.4.5"/>
        <s v="1.4.6"/>
        <s v="1.4.7"/>
        <s v="1.4.8"/>
        <s v="1.4.9"/>
        <s v="1.4.10"/>
        <s v="1.4.11"/>
        <s v="1.4.12"/>
        <s v="1.4.13"/>
        <s v="1.4.A"/>
        <s v="1.5.1"/>
        <s v="1.5.2"/>
        <s v="1.5.3"/>
        <s v="1.5.4"/>
        <s v="1.5.5"/>
        <s v="1.5.6"/>
        <s v="1.5.7"/>
        <s v="1.5.8"/>
        <s v="1.5.9"/>
        <s v="1.5.10"/>
        <s v="1.5.11"/>
        <s v="1.5.12"/>
        <s v="1.5.13"/>
        <s v="1.5.14"/>
        <s v="1.5.15"/>
        <s v="1.5.16"/>
        <s v="1.5.17"/>
        <s v="1.5.18"/>
        <s v="1.5.19"/>
        <s v="1.5.20"/>
        <s v="1.5.21"/>
        <s v="1.5.22"/>
        <s v="1.5.23"/>
        <s v="1.6.1"/>
        <s v="1.6.2"/>
        <s v="1.6.3"/>
        <s v="1.6.4"/>
        <s v="1.6.5"/>
        <s v="1.6.6"/>
        <s v="1.6.7"/>
        <s v="1.7.1"/>
        <s v="1.7.2"/>
        <s v="1.7.3"/>
        <s v="1.7.4"/>
        <s v="1.7.5"/>
        <s v="1.7.6"/>
        <s v="1.8.1"/>
        <s v="1.8.2"/>
        <s v="1.8.3"/>
        <s v="1.8.4"/>
        <s v="1.8.5"/>
        <s v="1.8.6"/>
        <s v="1.8.7"/>
        <s v="1.8.8"/>
        <s v="1.8.A"/>
        <s v="1.9.1"/>
        <s v="1.9.2"/>
        <s v="1.9.3"/>
        <s v="1.9.4"/>
        <s v="1.9.5"/>
        <s v="1.9.6"/>
        <s v="1.9.7"/>
        <s v="1.9.8"/>
        <s v="1.9.A"/>
        <s v="1.10.1"/>
        <s v="1.10.2"/>
        <s v="1.10.3"/>
        <s v="1.10.4"/>
        <s v="1.11.1"/>
        <s v="1.11.2"/>
        <s v="1.11.3"/>
        <s v="1.11.4"/>
        <s v="1.11.5"/>
        <s v="1.11.6"/>
        <s v="1.11.7"/>
        <s v="1.11.A"/>
        <s v="1.11.8"/>
        <s v="1.11.9"/>
        <s v="1.11.10"/>
        <s v="1.11.11"/>
        <s v="1.11.B"/>
        <s v="1.11.C"/>
        <s v="1.12.2"/>
        <s v="1.12.3"/>
        <s v="1.12.4"/>
        <s v="1.12.5"/>
        <s v="1.12.6"/>
        <s v="1.12.7"/>
        <s v="1.12.8"/>
        <s v="1.13.1"/>
        <s v="1.13.2"/>
        <s v="1.13.3"/>
        <s v="1.13.4"/>
        <s v="1.13.5"/>
        <s v="1.14.1"/>
        <s v="1.14.A"/>
        <s v="1.14.2"/>
        <s v="1.14.3"/>
        <s v="1.15.1"/>
        <s v="1.15.2"/>
        <s v="1.15.3"/>
        <s v="1.15.4"/>
        <s v="1.15.5"/>
        <s v="1.15.6"/>
        <s v="1.15.7"/>
        <s v="1.15.8"/>
        <s v="1.15.9"/>
        <s v="1.16.1"/>
        <s v="1.16.2"/>
        <s v="1.16.3"/>
        <s v="1.16.4"/>
        <s v="1.17.1"/>
        <s v="1.17.2"/>
        <s v="1.17.3"/>
        <s v="1.17.4"/>
        <s v="1.17.5"/>
        <s v="1.17.6"/>
        <s v="1.18.1"/>
        <s v="1.18.2"/>
        <s v="1.18.3"/>
        <s v="1.18.4"/>
        <s v="1.18.5"/>
        <s v="1.18.6"/>
        <s v="1.18.A"/>
        <s v="1.18.7"/>
        <s v="1.18.8"/>
        <s v="1.18.9"/>
        <s v="1.18.10"/>
        <s v="1.19.1"/>
        <s v="1.19.2"/>
        <s v="1.19.3"/>
        <s v="1.19.4"/>
        <s v="1.20.1"/>
        <s v="1.20.2"/>
        <s v="1.20.3"/>
        <s v="1.20.4"/>
        <s v="1.20.5"/>
        <s v="1.20.6"/>
        <s v="1.20.7"/>
        <s v="1.20.8"/>
        <s v="1.20.9"/>
        <s v="1.21.1"/>
        <s v="1.21.2"/>
        <s v="1.21.3"/>
        <s v="1.21.4"/>
        <s v="1.21.5"/>
        <s v="1.21.6"/>
        <s v="1.21.7"/>
        <s v="1.21.8"/>
        <s v="1.21.9"/>
        <s v="1.21.10"/>
        <s v="1.22.1"/>
        <s v="1.22.2"/>
        <s v="1.22.3"/>
        <s v="1.22.4"/>
        <s v="1.22.5"/>
        <s v="1.22.6"/>
        <s v="1.22.7"/>
        <s v="1.22.8"/>
        <s v="1.22.9"/>
        <s v="1.22.10"/>
        <s v="1.22.11"/>
        <s v="1.22.12"/>
        <s v="1.23.1"/>
        <s v="1.23.2"/>
        <s v="1.23.3"/>
        <s v="1.24.1"/>
        <s v="1.24.2"/>
        <s v="1.24.3"/>
        <s v="1.24.4"/>
        <s v="1.24.5"/>
        <s v="1.24.6"/>
        <s v="1.24.7"/>
        <s v="1.25.1"/>
        <s v="1.25.2"/>
        <s v="1.25.3"/>
        <s v="1.25.4"/>
        <s v="1.25.5"/>
        <s v="1.25.6"/>
        <s v="1.25.7"/>
        <s v="1.25.8"/>
        <s v="1.25.9"/>
        <s v="1.25.A"/>
        <s v="1.25.10"/>
        <s v="1.25.11"/>
        <s v="1.25.12"/>
        <s v="1.26.1"/>
        <s v="1.26.2"/>
        <s v="1.26.3"/>
        <s v="1.26.4"/>
        <s v="1.26.5"/>
        <s v="1.26.6"/>
        <s v="1.26.7"/>
        <s v="1.26.8"/>
        <s v="1.26.9"/>
        <s v="1.26.10"/>
        <s v="1.26.11"/>
        <s v="1.26.12"/>
        <s v="1.26.13"/>
        <s v="2.1.1"/>
        <s v="2.1.2"/>
        <s v="2.1.3"/>
        <s v="2.1.4"/>
        <s v="2.1.5"/>
        <s v="2.1.6"/>
        <s v="2.1.7"/>
        <s v="2.1.8."/>
        <s v="2.1.9"/>
        <s v="2.1.10"/>
        <s v="2.1.11"/>
        <s v="2.1.12"/>
        <s v="2.1.13"/>
        <s v="2.1.14"/>
        <s v="2.1.15"/>
        <s v="2.1.16"/>
        <s v="2.2.1"/>
        <s v="2.2.2"/>
        <s v="2.2.3"/>
        <s v="2.2.4"/>
        <s v="2.2.5"/>
        <s v="2.2.6"/>
        <s v="2.3.1"/>
        <s v="2.3.2"/>
        <s v="2.3.3"/>
        <s v="2.3.4"/>
        <s v="2.3.5"/>
        <s v="2.3.6"/>
        <s v="2.4.1"/>
        <s v="2.4.2"/>
        <s v="2.4.3"/>
        <s v="2.4.4"/>
        <s v="2.4.5"/>
        <s v="2.4.6"/>
        <s v="2.5.1"/>
        <s v="2.5.2"/>
        <s v="2.5.3"/>
        <s v="2.5.4"/>
        <s v="2.6.A"/>
        <s v="2.6.B"/>
        <s v="2.6.1"/>
        <s v="2.6.2"/>
        <s v="2.6.3"/>
        <s v="2.7.1"/>
        <s v="2.7.A"/>
        <s v="2.7.2"/>
        <s v="2.7.3"/>
        <s v="2.7.4"/>
        <s v="2.7.5"/>
        <s v="2.7.6"/>
        <s v="2.8.1"/>
        <s v="2.8.A"/>
        <s v="2.8.2"/>
        <s v="2.9.1"/>
        <s v="2.9.2"/>
        <s v="2.9.3"/>
        <s v="2.9.4"/>
        <s v="2.9.5"/>
        <s v="2.10.1"/>
        <s v="2.10.2"/>
        <s v="2.10.3"/>
        <s v="2.11.1"/>
        <s v="2.11.2"/>
        <s v="2.11.3"/>
        <s v="2.11.4"/>
        <s v="2.11.5"/>
        <s v="2.12.1"/>
        <s v="2.12.2"/>
        <s v="2.13.1"/>
        <s v="2.13.2"/>
        <s v="2.13.3"/>
        <s v="2.13.4"/>
        <s v="2.14.1"/>
        <s v="2.14.2"/>
        <s v="2.15.1"/>
        <s v="2.15.2"/>
        <s v="3.1.1"/>
        <s v="3.1.2"/>
        <s v="3.1.3"/>
        <s v="3.1.4"/>
        <s v="3.1.A"/>
        <s v="3.2.1"/>
        <s v="3.2.2"/>
        <s v="3.2.3"/>
        <s v="3.2.4"/>
        <s v="3.2.5"/>
        <s v="3.2.A"/>
        <s v="3.3.1"/>
        <s v="3.3.2"/>
        <s v="3.3.A"/>
        <s v="3.4.1"/>
        <s v="3.4.A"/>
        <s v="3.4.B"/>
        <s v="3.4.2"/>
        <s v="3.4.C"/>
        <s v="3.4.3"/>
        <s v="3.4.4"/>
        <s v="3.4.5"/>
        <s v="3.4.6"/>
        <s v="3.4.7"/>
        <s v="3.5.1"/>
        <s v="3.5.2"/>
        <s v="3.5.3"/>
        <s v="3.5.4"/>
        <s v="3.5.5"/>
        <s v="3.6.1"/>
        <s v="3.6.2"/>
        <s v="3.7.1"/>
        <s v="3.7.2"/>
        <s v="3.7.3"/>
        <s v="3.7.4"/>
        <s v="3.7.5"/>
        <s v="3.7.6"/>
        <s v="3.7.7"/>
        <s v="3.7.8"/>
        <s v="3.7.9"/>
        <s v="3.7.10"/>
        <s v="3.7.11"/>
        <s v="3.7.12"/>
        <s v="3.7.13"/>
        <s v="3.7.14"/>
        <s v="3.7.15"/>
        <s v="3.7.16"/>
        <s v="3.7.17"/>
        <s v="3.7.A"/>
        <s v="3.7.18"/>
        <s v="3.7.19"/>
        <s v="3.7.20"/>
        <s v="4.1.1"/>
        <s v="4.1.2"/>
        <s v="4.1.3"/>
        <s v="4.1.4"/>
        <s v="4.2.1"/>
        <s v="4.2.2"/>
        <s v="4.2.3"/>
        <s v="4.2.4"/>
        <s v="4.3.1"/>
        <s v="4.3.2"/>
        <s v="4.3.3"/>
        <s v="4.3.4"/>
        <s v="4.4.1"/>
        <s v="4.4.2"/>
        <s v="4.5.1"/>
        <s v="4.5.2"/>
        <s v="4.5.3"/>
        <s v="4.6.1"/>
        <s v="4.6.2"/>
        <s v="4.6.3"/>
        <s v="4.6.4"/>
        <s v="4.8.1"/>
        <s v="4.8.2"/>
        <s v="4.8.3"/>
        <s v="4.8.4"/>
        <s v="5.1.1"/>
        <s v="5.1.2"/>
        <s v="5.1.3"/>
        <s v="5.1.4"/>
        <s v="5.1.5"/>
        <s v="5.1.6"/>
        <s v="5.1.7"/>
        <s v="5.1.8"/>
        <s v="5.1.9"/>
        <s v="5.1.10"/>
        <s v="5.1.11"/>
        <s v="5.1.12"/>
        <s v="5.2.1"/>
        <s v="5.2.2"/>
        <s v="5.2.3"/>
        <s v="5.3.1"/>
        <s v="5.3.2"/>
        <s v="5.3.3"/>
        <s v="5.3.4"/>
        <s v="5.3.5"/>
        <s v="5.3.6"/>
        <s v="5.3.7"/>
        <s v="5.3.8"/>
        <s v="5.3.9"/>
        <s v="5.3.10"/>
        <s v="5.3.11"/>
        <s v="5.4.1"/>
        <s v="5.4.2"/>
        <s v="5.4.7"/>
        <s v="5.4.3"/>
        <s v="5.4.B"/>
        <s v="5.4.4"/>
        <s v="5.4.5"/>
        <s v="5.4.6"/>
        <s v="5.4.A"/>
        <s v="5.4.C"/>
        <s v="5.4.D"/>
        <s v="5.5.1"/>
        <s v="5.5.2"/>
        <s v="5.5.3"/>
        <s v="5.5.4"/>
        <s v="5.6.1"/>
        <s v="5.6.2"/>
        <s v="5.6.3"/>
        <s v="5.6.4"/>
        <s v="5.6.5"/>
        <s v="5.6.6"/>
        <s v="5.6.7"/>
        <s v="5.6.8"/>
        <s v="5.7.1"/>
        <s v="5.7.2"/>
        <s v="5.7.3"/>
        <s v="5.7.4"/>
        <s v="5.7.5"/>
        <s v="5.7.6"/>
        <s v="5.7.7"/>
        <s v="5.8.1"/>
        <s v="5.8.2"/>
        <s v="5.9.1"/>
        <s v="5.9.2"/>
        <s v="5.9.3"/>
        <s v="5.9.4"/>
        <s v="5.9.5"/>
        <s v="5.10.1"/>
        <s v="5.10.2"/>
        <s v="5.10.3"/>
        <s v="5.10.4"/>
        <s v="5.11.1"/>
        <s v="5.11.2"/>
        <s v="5.11.3"/>
        <s v="5.11.4"/>
        <s v="5.11.5"/>
        <s v="5.11.6"/>
        <s v="5.11.7"/>
        <s v="5.12.1"/>
        <s v="5.12.2"/>
        <s v="5.12.3"/>
        <s v="5.13.1"/>
        <s v="5.13.2"/>
        <s v="5.13.3"/>
        <s v="5.13.4"/>
        <s v="5.14.1"/>
        <s v="5.14.2"/>
        <s v="5.15.1"/>
        <s v="5.15.2"/>
        <s v="5.15.3"/>
        <s v="5.16.1"/>
        <s v="5.16.2"/>
        <s v="5.16.3"/>
        <s v="5.16.4"/>
        <s v="5.16.5"/>
        <s v="5.16.6"/>
        <s v="5.17.1"/>
        <s v="5.17.A"/>
        <s v="5.17.2"/>
        <s v="5.17.3"/>
        <s v="5.17.4"/>
        <s v="5.17.5"/>
        <s v="5.18.1"/>
        <s v="5.18.2"/>
        <s v="5.18.3"/>
        <s v="5.18.A"/>
        <s v="5.19.1"/>
        <s v="5.19.2"/>
        <s v="5.19.3"/>
        <s v="5.19.4"/>
        <s v="5.19.5"/>
        <s v="5.20.1"/>
        <s v="5.20.2"/>
        <s v="5.20.3"/>
        <s v="5.20.4"/>
        <s v="5.20.5"/>
        <s v="5.21.1"/>
        <s v="5.21.2"/>
        <s v="5.21.A"/>
        <s v="5.21.3"/>
        <s v="5.22.1"/>
        <s v="5.22.2"/>
        <s v="5.22.3"/>
        <s v="5.22.4"/>
        <s v="5.22.5"/>
        <s v="5.22.6"/>
        <s v="5.22.7"/>
        <s v="5.23.1"/>
        <s v="5.23.2"/>
        <s v="5.24.1"/>
        <s v="5.24.2"/>
        <s v="5.24.3"/>
        <s v="5.24.4"/>
        <s v="5.24.5"/>
        <s v="5.25.1"/>
        <s v="5.25.2"/>
        <s v="5.25.3"/>
        <s v="5.25.4"/>
        <s v="5.25.5"/>
        <s v="5.26.1"/>
        <s v="5.26.2"/>
        <s v="5.26.3"/>
        <s v="5.26.4"/>
        <s v="5.26.5"/>
        <s v="5.26.6"/>
        <s v="5.26.7"/>
        <s v="5.27.1"/>
        <s v="5.27.2"/>
        <s v="5.27.3"/>
        <s v="5.27.4"/>
        <s v="5.27.5"/>
        <s v="5.27.6"/>
        <s v="5.28.1"/>
        <s v="5.28.2"/>
        <s v="5.29.1"/>
        <s v="5.29.2"/>
        <s v="5.29.3"/>
        <s v="5.29.4"/>
        <s v="5.29.5"/>
        <s v="5.29.6"/>
        <s v="5.29.7"/>
        <s v="5.29.8"/>
        <s v="5.29.9"/>
        <s v="5.30.1"/>
        <s v="5.30.2"/>
        <s v="5.30.3"/>
        <s v="5.30.4"/>
        <s v="5.30.5"/>
        <s v="5.30.6"/>
        <s v="5.30.7"/>
        <s v="5.30.8"/>
        <s v="6.1.1"/>
        <s v="6.1.2"/>
        <s v="6.2.1"/>
        <s v="6.2.2"/>
        <s v="6.2.3"/>
        <s v="6.2.4"/>
        <s v="6.3.1"/>
        <s v="6.3.2"/>
        <s v="6.3.3"/>
        <s v="6.3.4"/>
        <s v="6.3.5"/>
        <s v="6.3.6"/>
        <s v="6.3.7"/>
        <s v="6.3.8"/>
        <s v="6.4.1"/>
        <s v="6.4.2"/>
        <s v="6.4.3"/>
        <s v="6.4.4"/>
        <s v="6.5.1"/>
        <s v="6.6.1"/>
        <s v="6.6.2"/>
        <s v="6.6.3"/>
        <s v="6.6.4"/>
        <s v="6.6.5"/>
        <s v="6.6.6"/>
        <s v="6.6.7"/>
        <s v="6.6.8"/>
        <s v="6.6.9"/>
        <s v="6.6.10"/>
        <s v="6.6.11"/>
        <s v="6.6.12"/>
        <s v="6.7.1"/>
        <s v="6.7.2"/>
        <s v="6.7.3"/>
        <s v="6.7.4"/>
        <s v="6.8.1"/>
        <s v="6.8.2"/>
        <s v="6.8.3"/>
        <s v="6.8.4"/>
        <s v="6.9.1"/>
        <s v="6.9.2"/>
        <s v="6.9.3"/>
        <s v="6.9.4"/>
        <s v="6.10.1"/>
        <s v="6.10.2"/>
        <s v="6.11.1"/>
        <s v="6.11.2"/>
        <s v="6.11.3"/>
        <s v="6.11.4"/>
        <s v="6.12.1"/>
        <s v="6.12.2"/>
        <s v="6.12.3"/>
        <s v="6.12.4"/>
        <s v="6.12.5"/>
        <s v="6.12.6"/>
        <s v="6.12.7"/>
        <s v="7.1.1"/>
        <s v="7.1.2"/>
        <s v="7.1.3"/>
        <s v="7.1.4"/>
        <s v="7.1.5"/>
        <s v="7.1.6"/>
        <s v="7.1.7"/>
        <s v="7.2.1"/>
        <s v="7.2.2"/>
        <s v="7.2.3"/>
        <s v="7.2.4"/>
        <s v="7.2.5"/>
        <s v="7.2.6"/>
        <s v="7.2.7"/>
        <s v="7.3.1"/>
        <s v="7.3.2"/>
        <s v="7.3.3"/>
        <s v="7.3.4"/>
        <s v="7.3.5"/>
        <s v="7.4.1"/>
        <s v="7.4.2"/>
        <s v="7.4.3"/>
        <s v="7.4.4"/>
        <s v="7.5.1"/>
        <s v="7.5.2"/>
        <s v="7.5.3"/>
        <s v="7.5.4"/>
        <s v="7.5.5"/>
        <s v="7.5.6"/>
        <s v="7.5.7"/>
        <s v="7.5.8"/>
        <s v="7.6.A"/>
        <s v="7.6.1"/>
        <s v="7.6.2"/>
        <s v="7.6.3"/>
        <s v="7.6.4"/>
        <s v="7.6.5"/>
        <s v="7.7.1"/>
        <s v="7.7.2"/>
        <s v="7.7.3"/>
        <s v="7.8.1"/>
        <s v="7.8.2"/>
        <s v="7.9.1"/>
        <s v="7.9.2"/>
        <s v="7.9.3"/>
        <s v="7.10.1"/>
        <s v="7.10.2"/>
        <s v="7.10.3"/>
        <s v="7.11.1"/>
        <s v="7.11.2"/>
        <s v="7.11.3"/>
        <s v="7.12.1"/>
        <s v="7.12.2"/>
        <s v="7.12.3"/>
        <s v="8.1.1"/>
        <s v="8.1.2"/>
        <s v="8.2.1"/>
        <s v="8.2.2"/>
        <s v="8.2.3"/>
        <s v="8.2.4"/>
        <s v="8.2.5"/>
        <s v="8.3.1"/>
        <s v="8.3.2"/>
        <s v="8.3.3"/>
        <s v="8.3.4"/>
        <s v="8.3.5"/>
        <s v="8.3.6"/>
        <s v="8.3.7"/>
        <s v="8.4.1"/>
        <s v="8.4.2"/>
        <s v="8.4.3"/>
        <s v="8.5.1"/>
        <s v="8.5.2"/>
        <s v="8.5.3"/>
        <s v="8.5.4"/>
        <s v="8.5.5"/>
        <s v="8.5.6"/>
        <s v="8.5.7"/>
        <s v="8.5.8"/>
        <s v="8.5.9"/>
        <s v="8.5.10"/>
        <s v="8.5.11"/>
      </sharedItems>
    </cacheField>
    <cacheField name="Action Description" numFmtId="0">
      <sharedItems count="704" longText="1">
        <s v="Projet « Max-sur-Senne » : réaménagement du parc Maximilien avec mise à ciel ouvert de la Senne sur une longueur de 580 m minimum – Etude (également sur M6.6) (action C13_6 Belini)"/>
        <s v="Projet « Max-sur-Senne » : réaménagement du parc Maximilien avec mise à ciel ouvert de la Senne sur une longueur de 580 m minimum – Travaux (également sur M6.6)"/>
        <s v="Projet Schaerbeek Formation : mise à ciel ouvert de la Senne sur le site de Schaerbeek Formation – Etude (également sur M6.6)"/>
        <s v="Projet Schaerbeek Formation : mise à ciel ouvert de la Senne sur le site de Schaerbeek Formation –Travaux (également sur M6.6)"/>
        <s v="Projet Poincaré : mise en perspective de la Senne au niveau du musée des égouts - Etude (fait partie de l’action C12_4 Belini)"/>
        <s v="Projet Poincaré : mise en perspective de la Senne au niveau du musée des égouts – Travaux"/>
        <s v="Projet site « Royale Belge » : Mise à ciel ouvert de la Woluwe sur une longueur de 250 m – Etude (voir également fiche M1.2)"/>
        <s v="Projet site « Royale Belge »: Mise à ciel ouvert de la Woluwe sur une longueur de 250 m – Travaux (financés par des charges d’urbanisme) (voir également fiche M1.2)"/>
        <s v="Mise à ciel ouvert du Roodkloosterbeek dans le parc Bergoge sur 100m – Etude (également sur M1.2)"/>
        <s v="Mise à ciel ouvert du Roodkloosterbeek dans le parc Bergoge sur 100m - Travaux (également sur M1.2)"/>
        <s v="Étude de faisabilité de mise à ciel ouvert du Kerkebeek sur 800 m au niveau du Moeraske "/>
        <s v="Etude Étude de faisabilité de mise à ciel ouvert du Hollebeek sur 100 m au niveau du site Citydev, rue du Bruel – Etude "/>
        <s v="Amélioration de la berge et l’aménagement d’une annexe hydraulique abritée (frayère) à hauteur du site d’Aquiris (action C12_2 Belini) – Etude (*)"/>
        <s v="Aménager la berge et une annexe hydraulique abritée (frayère) à hauteur d’Aquiris (action C12_2 Belini) – Travaux (*)"/>
        <s v="Aménager un lit et des berges naturelles en rives gauche et droite au niveau de l’Avenue de Vilvorde (action C13_4 Belini) - Travaux"/>
        <s v="Poursuivre l’aménagement de berges et lit naturels et d’un bras mort à hauteur de la Rue du Charroi (île Sainte Hélène, en aval du Boulevard Paepsem) – Etude (cf. aussi M 6.6) (*)"/>
        <s v="Poursuivre l’aménagement de berges et lit naturels et d’un bras mort à hauteur de la Rue du Charroi (île Sainte Hélène, en aval du Boulevard Paepsem) – Travaux (également sur Mesure 6.6)"/>
        <s v="Aménager des berges naturelles entre la Dérivation d’Aa et la Rue Bollinckx – Etude (voir également fiche M6.6)"/>
        <s v="Aménager des berges naturelles entre la Dérivation d’Aa et la Rue Bollinckx – Travaux (voir également fiche M6.6)"/>
        <s v="Aménager des berges naturelles et d’une promenade entre la Rue du Charroi et la Rue des Vétérinaires – Etude (voir également fiche M6.6)"/>
        <s v="Améliorer l’hydromorphologie de la Senne entre la Rue du Rupel (aval du Pont Van Praet) et la Rampe du Lion (état actuel : berges bétonnées au niveau d’Elia, voire également le lit) - Etude"/>
        <s v="Améliorer l’hydromorphologie de la Senne entre la Rue du Rupel (aval du Pont Van Praet) et la Rampe du Lion (état actuel : berges bétonnées au niveau d’Elia, voire également le lit) - Travaux"/>
        <s v="Aménager les berges et lit naturels entre la Chaussée de Buda et la sortie de la région, tenant compte du curage prévu de ce tronçon - Etude"/>
        <s v="Aménager les berges et lit naturels entre la Chaussée de Buda et la sortie de la région, tenant compte du curage de ce tronçon - Travaux"/>
        <s v="Aménager de berges naturelles entre la Rue de la Bienvenue et le Boulevard International - Etude"/>
        <s v="Travaux pour aménager une zone humide le long de la Woluwe au niveau de l’étang rond, Parc de la Woluwe – Etude"/>
        <s v="Travaux pour aménager une zone humide le long de la Woluwe au niveau de l’étang rond, Parc de la Woluwe – Travaux"/>
        <s v="Réaliser une étude pour l’aménagement de berges naturelles sur la Woluwe entre l’Avenue Debecker et l’Avenue Vandervelde "/>
        <s v="Aménager des berges naturelles sur la Woluwe entre l’Avenue Debecker et l’Avenue Vandervelde"/>
        <s v="Analyser les perspectives d’adoucissement de la pente des berges et d’augmentation de la sinuosité de la Woluwe entre le tronçon Vandervelde et l’Avenue Chapelle-aux-Champs"/>
        <s v="Analyser les perspectives d’adoucissement de la pente des berges et d’augmentation de la sinuosité de la Woluwe au niveau du domaine de Val Duchesse "/>
        <s v="Réaliser une étude de faisabilité pour l’installation d’un dispositif-test d’île flottante/radeaux végétalisés (cf. aussi M 5.21)"/>
        <s v="Installer un dispositif-test d’île flottante (en cours à hauteur du BRYC)"/>
        <s v="Réaliser une étude de faisabilité pour l’aménagement d’une berge naturelle avec zone de lagunage et éventuelle annexe hydraulique en rive gauche du bassin de batelage"/>
        <s v="Evaluer le résultat et l’expérience acquise avec le dispositif-test d’île flottante pour orienter l’extension de ce type d’aménagements à d’autres zones"/>
        <s v="Installer des aménagements de berges (tels que des îles flottantes) à d’autres endroits, en fonction du résultat et de l’expérience acquise avec le dispositif-test d’île flottante "/>
        <s v="Aménager la berge en rive gauche du bassin de batelage en fonction des résultats de l’étude de faisabilité (actuellement envisagé : berge naturelle avec zone de lagunage protégée des remous)"/>
        <s v="Mise en valeur des berges du Zuunbeek dans le cadre de l’aménagement du parc du Zuun - Travaux"/>
        <s v="Aménagement des berges du Molenbeek au niveau du Marais de Jette"/>
        <s v="Création de zone refuge en cas d’étiage du Molenbeek au niveau du Parc Roi Baudouin"/>
        <s v="Réaliser une étude de faisabilité pour l’aménagement d’une 1ère série d’obstacles sur la Woluwe (4 obstacles dans partie aval) et la Senne (action C12_1 Belini pour la Senne)"/>
        <s v="Mener une étude de projet pour l’aménagement d’une 1ère série de 4 obstacles sur la Woluwe (partie aval) + 1 obstacle sur la Senne"/>
        <s v="Travaux d’aménagement de 2 obstacles parmi la 1ère série de 4 sur la Woluwe (partie aval)"/>
        <s v="Travaux d’aménagement des 2 derniers obstacles parmi la 1ère série de 4 sur la Woluwe (partie aval)"/>
        <s v="Travaux d’aménagement de l’obstacle sur la Senne"/>
        <s v="Réaliser une étude de faisabilité pour l’aménagement d’une 2ème série de 5 obstacles sur la Woluwe (partie amont)"/>
        <s v="Réaliser une étude de projet pour l’aménagement d’une 2ème série de 5 obstacles sur la Woluwe (partie amont)"/>
        <s v="Travaux d’aménagement des 5 obstacles de la 2ème série sur la Woluwe (partie amont)"/>
        <s v="Aménager les écluses du Canal de passes à poissons"/>
        <s v="Réaliser un diagnostic global de l’état d’invasion et risque d’invasion des milieux aquatiques et ripariens dans la région :_x000a_    -         ²fournir des données de surveillance pour chaque EEE mentionnée dans la section ‘motivation’ :_x000a_                   o    Port pour les berges du Canal_x000a_                   o    BE Dpt. Eau pour espèces aquatiques et les berges des autres eaux de surface_x000a_                   o    BE Serv. Biodiversité pour des données complémentaires, notamment de LIFE RIPARIAS  et                         de Observations.be/Waarnemingen.be_x000a_   -       rassembler ces données (BE Serv. Biodiversité)_x000a_   -       établir un statut de distribution et stade d’invasion pour chaque EEE (BE Serv. Biodiversité),_x000a_   -       identifier les espèces invasives potentielles (ex : capables de s’acclimater à la région et déjà présentes dans des régions proches aux mêmes conditions environnementales) et établir un risque d’invasion) (BE Serv. Biodiversité)_x000a__x000a_"/>
        <s v="Élaboration d’une stratégie de gestion des EEE :_x000a_- rassembler des informations bibliographiques pour chaque EEE sur les meilleures techniques de prévention, quant à l’introduction et la dispersion, et de gestion (éradication/contrôle/confinement)_x000a_- définir des objectifs à atteindre pour chaque espèce,_x000a_- établir des protocoles d’intervention (workflows décisionnels) spécifiques par espèce, y compris des réactions rapides (rapid responses) en cas de détection précoce d’une nouvelle EEE ou de détection en dehors d’une zone de confinement, _x000a_- identifier les espèces et zones d’actions prioritaires (tenant compte de l’ampleur de la problématique pour chaque espèce* mais aussi du besoin d’agir à un stade précoce d’invasion) nécessitant des interventions notamment via l’évaluation du rapport risque/bénéfice,_x000a_- planifier les interventions en vue des objectifs, _x000a_- diffuser les protocoles d’intervention auprès de professionnels (agents BE - Eau, Port de Bruxelles, BE - espaces verts, Bruxelles Mobilité - entretien…)_x000a_"/>
        <s v="Mise en place d’une stratégie de surveillance des EEE liées à l’eau et de signalement précoce (early warning) de l’apparition de nouvelles espèces_x000a_- surveillance des EEE :_x000a_   o Port pour les berges du Canal_x000a_   o BE Dpt. Eau pour espèces aquatiques et les berges des autres eaux de surface_x000a_   o BE Serv. Biodiversité pour des données complémentaires, notamment de RiparIAS et de Observations.be/Waarnemingen.be_x000a_- développement/Utilisation d’un outil d’encodage des EEE et de signalement précoce d’une nouvelle EEE sur le territoire bruxellois (notamment via le site observations.be/ waarnemingen.be) (BE Serv. Biodiversité)_x000a_- sensibilisation à la reconnaissance et à l’encodage des EEE par des professionnels (agents BE - Eau, Port de Bruxelles, BE - espaces verts…)_x000a_- sensibilisation par des campagnes sur une espèce et participation citoyenne à la reconnaissance et encodage des EEE_x000a_"/>
        <s v="Appliquer les techniques de prévention usuelles :_x000a_    - respecter des clauses bio-sanitaires spécifiques selon les espèces en présences durant les chantiers (engins de chantier, gestion de terres contaminées, excavées, …), _x000a_    - éviter l’introduction de nouvelles EEE et la propagation des EEE existantes_x000a_"/>
        <s v="Développer et valider des « zones-tests » afin d’expérimenter des techniques nouvelles :_x000a_- d’éradication précoce,_x000a_- de contrôle (notamment biologique),_x000a_- de confinement._x000a_Ex : pièges à écrevisses, plantation de plantes indigènes compétitrices, éco-pâturage_x000a_"/>
        <s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
        <s v="Coopérer avec les régions flamande et wallonne dans la lutte contre les EEE aquatiques et ripariennes_x000a_- comparer les techniques et protocoles d’actions avec ceux utilisés dans les autres régions,_x000a_- participer aux échanges et réunions_x000a_- suivre l’évolution des invasions en amont et en aval de la région_x000a_"/>
        <s v="Etendre les mesures de lutte contre les EEE aquatiques sur le territoire de la région en fonction des résultats des zones-tests"/>
        <s v="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
        <s v="Porter  auprès des instances compétentes la problématique de la vente des EEE (pépinières, animaleries, etc.) de la liste européenne pour réaliser les contrôles nécessaires à faire appliquer l’interdiction. Sensibiliser les commerces quant à cette interdiction"/>
        <s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
        <s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
        <s v="Actions de confinement de certaines plantes aquatiques et ripicoles envahissantes dans des zones spécifiques "/>
        <s v="Sensibiliser et contrôler l’interdiction de nourrissage des animaux sauvages (oiseaux, poissons) à proximité des étangs et du Canal, car le nourrissage favorise les espèces invasives (= M 5.22.2)"/>
        <s v="Définir les informations à récolter par point de rejet et créer un format permettant l’encodage dans la base de données géographique BE des rejets "/>
        <s v="Récupérer les données complémentaires disponibles auprès des opérateurs (chainons manquants, zones non raccordées…)"/>
        <s v="Dresser une carte des rejets avec les informations de la base de données "/>
        <s v="Mettre la carte des rejets et les résultats à disposition du Port, de VVQ et de la SBGE"/>
        <s v="Mettre à disposition les données pertinentes (masse d’eau réceptrice, localisation du point de rejet, source/propriétaire, éléments permettant d’estimer la charge et le débit de rejet, traitement d’épuration éventuel) des autorisations de rejet vers les eaux de surface"/>
        <s v="Mener des investigations sur l’origine des rejets non identifiés en remontant les tuyaux"/>
        <s v="Caractériser la qualité d'effluents/rejets quand cela s’avère nécessaire pour déterminer la solution à privilégier pour le traiter"/>
        <s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
        <s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
        <s v="Compiler les données relatives au réseau d’écoulement des parcelles privées du domaine portuaire et les fournir à BE afin qu’elles soient intégrées dans la base de données BE des rejets "/>
        <s v="Étudier la possibilité de caractériser un point noir (débit, charge EH, sources potentielles, photos…)"/>
        <s v="Mise à jour du relevé sur terrain des rejets vers la Senne, notamment en s’aidant des connaissances déjà disponibles, et les compiler dans la base de données BE des rejets"/>
        <s v="Faire un relevé sur terrain des rejets vers le Hollebeek, notamment en s’aidant des connaissances déjà disponibles, et les compiler dans la base de données BE des rejets"/>
        <s v="Faire un relevé sur terrain des rejets vers le Vogelzangbeek, notamment en s’aidant des connaissances déjà disponibles, et les compiler dans la base de données BE des rejets"/>
        <s v="Faire un relevé sur terrain des rejets vers le Verrewinkelbeek, notamment en s’aidant des connaissances déjà disponibles, et les compiler dans la base de données BE des rejets"/>
        <s v="Mise à jour du relevé sur terrain des rejets vers le Neerpedebeek, notamment en s’aidant des connaissances déjà disponibles, et les compiler dans la base de données BE des rejets"/>
        <s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
        <s v="Compiler les données des points de rejets des bateaux/navires permanents dans la base de données BE des rejets "/>
        <s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
        <s v="Compiler les données relatives au réseau d’écoulement des parcelles privées du domaine portuaire dans la base de données BE des rejets "/>
        <s v="Compiler les données du Port relatives aux autorisations de rejet dans le Canal dans la base de données BE des rejets"/>
        <s v="Faire un relevé sur terrain des rejets vers la Woluwe et les étangs de la Woluwe (y compris l’égout qui déborderait ponctuellement au Parc des Sources), notamment en s’aidant des connaissances déjà disponibles, et les compiler dans la base de données BE des rejets"/>
        <s v="Finir les investigations des sources des rejets vers le Zwanewijdebeek qui ont été relevés sur terrain et les compiler dans la base de données BE des rejets"/>
        <s v="Identifier et prioriser les travaux d’extension et de raccordement au réseau d’égouttage sur base de l’inventaire visé par la M  1.5 et de la cartographie des zones égouttables et des opportunités "/>
        <s v="Identifier et prioriser les travaux d’extension et de raccordement au réseau d’égouttage  sur les parcelles privées du domaine portuaire sur base de l’inventaire visé par la M  1.5 pour les concessions du Port de Bruxelles"/>
        <s v="Sur base de la DB reprenant les rejets directs d’eaux usées dans les cours d’eau (M1.5) procéder, lorsque c’est possible au niveau du cours d’eau, aux correctifs pour remédier à ces mauvaises connexions"/>
        <s v="Définir et mettre en place une procédure de « raccordement »  permettant de coordonner les actions de chaque acteur et d’en clarifier les responsabilités"/>
        <s v="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
        <s v="Actualiser la carte des zones égouttées raccordées aux stations d’épuration dans l’inventaire des émissions polluantes vers les eaux de surface (WEISS)"/>
        <s v="Etudier l’opportunité de mettre en place un système de certification des installations privées à l’instar du système PEB existant pour l’énergie "/>
        <s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
        <s v="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
        <s v="Assurer le contrôle des systèmes d’épuration individuels"/>
        <s v="Offrir un soutien technique aux communes dans le cadre de la mise en œuvre de cette mesure M1.7"/>
        <s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
        <s v="Actualiser la carte des zones non égouttées soumises à épuration autonome dans l’inventaire BE des émissions polluantes vers les eaux de surface (WEISS), y compris les rejets ponctuels des bateaux/navires"/>
        <s v="Réaliser les plans des déversoirs d’orage principaux sous gestion de Vivaqua"/>
        <s v="Réaliser les plans des déversoirs d’orage principaux sous gestion de la SBGE"/>
        <s v="Installer des capteurs de fréquence ou de débit sur les déversoirs principaux et les ajouter à Flowbru (voir la mesure M1.22)"/>
        <s v="Calculer les fréquences et débit de déversements"/>
        <s v="Déterminer les niveaux idéaux des seuils de déversements des déversoirs sous gestion de Vivaqua et procéder à leur rehausse et/ou optimisation par la mise en place de vannes modulables et siphons/barrières aux flottants"/>
        <s v="Déterminer les niveaux idéaux des seuils de déversements des déversoirs sous gestion de SBGE  et procéder à leur rehausse  et/ou optimisation par la mise en place de vannes modulables et  siphons/barrières aux flottants"/>
        <s v="Adaptation des interceptions orifices limitant l’évacuation des flux vers les STEPS  dans le cadre de l’optimisation des déversoirs."/>
        <s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
        <s v="Réaménager les déversoirs en &quot;déversoirs améliorés&quot; pour retenir le maximum de charge polluante à l’aval des  déversoirs (création de zone de rétention des sédiments et des flottants).   Scénario maximaliste"/>
        <s v="Coordonner les acteurs de l'eau autour de cette thématique "/>
        <s v="Analyser les modifications des règles de fonctionnement des bassins d'orage"/>
        <s v="Procéder à la mise en œuvre d’un projet-pilote dans la vallée du Maelbeek "/>
        <s v="Assurer la surveillance et le bon fonctionnement du système mis place (1.9.4), établir un retour d’expérience pour l’élargir à d’autres vallées"/>
        <s v="Etudier et élaborer un système de prévisions du comportement du réseau et une stratégie de régulation des débits dans la vallée de la Senne (Bruxelles-centre)"/>
        <s v="Mettre en place des dispositifs de contrôle des débits  (Projet-pilote dans la vallée de la Senne (Bruxelles-centre)"/>
        <s v="Assurer la surveillance et le bon fonctionnement du système mis en place (1.9.7), établir un retour d’expérience pour l’élargir à d’autres vallées"/>
        <s v="Procéder à la mise en œuvre dans d’autres vallées sur base du retour d’expérience dans la vallée du Maelbeek (si pertinent)"/>
        <s v="Etudier le fonctionnement des réseaux et leurs interactions, par le biais d’actions de modélisation (cf. M 5.29)"/>
        <s v="Pour les 4 points de rejets identifiés, procéder à la finalisation des études, à l’obtention des autorisations et aux travaux de raccordement de ces égouts orphelins aux réseaux d’égouttage connectés aux STEPs"/>
        <s v=" Identifier d’autres chainons manquants du réseau d’assainissement public (« égouts orphelins ») sur base de pollution éventuelle et de la mesure M1.5"/>
        <s v="Procéder aux études et travaux de raccordement  aux réseaux d’égouttage connectés aux STEPs d’autres égouts orphelins qui auraient été identifiés"/>
        <s v="Actualiser la carte des zones égouttées, mais non raccordées aux stations d’épuration dans l’inventaire BE des émissions polluantes vers les eaux de surface (WEISS)"/>
        <s v="Poursuivre le nettoyage régulier des macro-déchets flottants du Canal au moyen des bateaux et des litter traps, et des éventuels nouveaux dispositifs installés au niveau du Canal"/>
        <s v="Identifier les zones d’accumulation de macro-déchets flottants dans le Canal, et des conditions et voies d’entrée principales"/>
        <s v="Réaliser une étude sur la gestion actuelle des macro-déchets flottants dans le Canal (évaluation sur une éventuelle optimisation de cette gestion par de nouveaux dispositifs et le choix de ceux-ci)"/>
        <s v="Installer de nouveaux dispositifs de capture des macro-déchets flottants au niveau du Canal et mettre en œuvre de nouvelles mesures de gestion, suivant les recommandations de l’étude (1.11.3)"/>
        <s v="Faire l’acquisition d’un troisième bateau de ramassage de déchets"/>
        <s v="Créer un pool de nettoyage à l’écluse d’Anderlecht"/>
        <s v="Assurer le dégrillage des eaux du Neerpedebeek en amont de sa confluence avec le Canal"/>
        <s v="Etudier la possibilité de reconnecter le Neerpedebeek à la Senne via un siphon existant (cf. M 1.27)."/>
        <s v="Etudier les meilleures solutions de rétention ou de collecte des macro-déchets flottants au niveau des déversoirs"/>
        <s v="Équiper les déversoirs des dispositifs retenus (lien vers la mesure M 1.8)"/>
        <s v="Entretenir le système de dégrillage de la Senne au niveau de la rue des Vétérinaires à Anderlecht"/>
        <s v="Etudier et expérimenter la mise en place de systèmes de rétention des macro-déchets flottants sur les affluents de la Senne, en coordination avec les éco-cantonniers de BE "/>
        <s v="Installer un système de dégrillage en aval de la Senne (au niveau de la STEP Nord) pour diminuer la quantité de macro-déchets flottants sur la Senne en aval des déversoirs principaux de la région"/>
        <s v="Continuer la sensibilisation des citoyens pour limiter l’abandon des déchets (cf. M 1.25)"/>
        <s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
        <s v="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
        <s v="Evaluer l’impact de la mise en œuvre des solutions proposées sur le prix de l’eau"/>
        <s v="Etude de définition de détails et rédaction du cahier des charges des travaux"/>
        <s v="Procédure d’obtention des permis d’environnement et d’urbanisme associés au projet"/>
        <s v="Attribution du marché de travaux"/>
        <s v="Réalisation des travaux sur l’usine en fonctionnement"/>
        <s v="Réaliser un benchmarking des conditions générales et sectorielles de déversement d’eaux usées en Flandre et en Wallonie"/>
        <s v="Réaliser une campagne de mesures des polluants problématiques (pour une large gamme de paramètres, connus et potentiels) émis dans les eaux usées par les principaux secteurs d’activités de la Région, dont les secteurs industriels et les hôpitaux. "/>
        <s v="Sur base des résultats de l’action 1.13.2, analyser les possibilités de réduction à la source pour l’utilisation et le rejet de certaines substances et évaluer les améliorations possibles de leur traitement  pour fixer des normes acceptables environnementalement et pouvant être respectées techniquement "/>
        <s v="Proposer un arrêté du Gouvernement actualisant les conditions générales de déversement d’eaux usées, en établissant un lien avec les objectifs de qualité des eaux de surface lorsque le rejet a lieu dans une eau de surface"/>
        <s v="Actualiser les normes de rejet spécifiques dans le cadre des permis d’environnement et inclure l’obligation d’un automonitoring des eaux usées déversées dans les permis d’environnement pour certaines substances et industries pertinentes"/>
        <s v="Identifier les entreprises qui rejettent directement des eaux non domestiques dans les eaux de surface et encoder l’information dans la base de données des permis d’environnement"/>
        <s v="Sur base des résultats de l’analyse de secteurs (mesure 1.13.2), sélection des secteurs les plus problématiques et proposition de priorisation par secteur"/>
        <s v="Recenser, dans la base de données des permis d’environnement, les installations classées dont les rejets sont potentiellement problématiques au regard des objectifs de qualité des eaux de surface afin de permettre un contrôle ciblé de celles-ci.  "/>
        <s v="Etablissement d’un programme d’inspection spécifique pour ces installations classées en tenant compte des priorités proposées et réalise progressivement le contrôle les rejets."/>
        <s v="Dans le cadre de REACH : _x000a_• Mise en œuvre de la législation REACH : Contrôle et encadrement de l’utilisation/stockage des substances reprises à l’annexe 14 de REACH dans le cadre des permis d’environnement ;_x000a_• Identifier les données des permis d’environnement, notamment pour les substances suivantes : Anthracène ; Benzo(a)pyrène ; Benzo(g,h,i)perylène ; Fluoranthène ; Pyrène ; Plomb ; 4-n-nonylphénol ;Di(2-ethylhexyle)-phthalate ; Cadmium ; 1,2,5,6,9,10-hexabromocyclododécane (= alpha- + bêta- + gamma-HBCDD) ; procéder systématiquement à une analyse de risque et fixer les conditions adéquates dans les nouveaux permis ou prolongation de permis._x000a_"/>
        <s v="Dans le cadre du NAPED : _x000a_• Mise en œuvre des mesures du NAPED qui sont du ressort de la Région (lorsqu’il sera adopté). _x000a_• Veiller plus précisément à celles concernant le nonylphénols et le di(2-ethylhexyle)-phthalate _x000a_"/>
        <s v="Dans le cadre de la Convention de Stockholm et du règlement UE en matière de POP et du NIP belge : _x000a_• Soutenir et appliquer les mesures de la convention par le biais des permis d’environnement et des inventaires des émissions (E-PRTR). _x000a_• Veiller plus précisément à celles concernant l’heptachlore et époxyde d’heptachlore ; l’acide perfluorooctane-sulfonique et ses dérivés PCB ; les diphényléthers bromés (= PBDE28 + 47 + 99 + 100 + 153 + 154) ; 1,2,5,6,9,10-l’hexabromocyclododécane (= alpha- + bêta- + gamma-HBCDD) et les dioxines et composés de type dioxine._x000a__x000a_"/>
        <s v="Dans le cadre du NAP-AMR : _x000a_• Mise en œuvre des mesures du NAP-AMR. _x000a_"/>
        <s v="Dans le cadre du PRRP et du NAPAN : _x000a_• Mise en œuvre des mesures du PRRP et NAPAN (cf. aussi M 3.6)_x000a_• Définition d’une stratégie de monitoring et mise en œuvre d’une campagne de mesure spécifique:_x000a_• Définition d’une liste de substances à analyser, au-delà des listes de substances prioritaires et de vigilance européennes faisant déjà l’objet de monitoring, notamment au regard des données disponibles dans les autres régions ;_x000a_• Définition des sites les plus à risque (proximité des zones agricoles, proximité des voies ferrées, proximité de terrains de sport engazonnés, etc.)_x000a_• Définition du protocole d’échantillonnage (périodes de prélèvement, répétition dans le temps,…)_x000a_En cas de pollutions constatées dans les eaux souterraines ou de surface, les causes de celles-ci seront recherchées afin de proposer d’éventuelles mesures de remédiation._x000a_"/>
        <s v="Dans le cadre du PRRP et du NAPAN : _x000a_• Géolocaliser les données d’utilisation des pesticides _x000a_• Analyser ces données avec celles des concentrations dans les eaux_x000a__x000a_"/>
        <s v="Dans le cadre du PRRP et du NAPAN : _x000a_• Analyser des données scientifiques récentes sur l’efficacité de différentes modalités de zones tampons pour la protection du milieu aquatique ;_x000a_• Evaluer des mesures applicables dans d’autres pays et régions ; _x000a_• Uniformiser, dans la mesure du possible, les mesures de réduction du risque pour les organismes aquatiques non cibles à l’échelle du pays, conformément à l’action belge 3.6.1 du NAPAN (Charte pour la lutte contre les dépassements des valeurs de référence des produits phytopharmaceutiques dans les eaux de surface en Belgique, mise en œuvre par le secteur de plans de réduction des émissions (PRE) pour certaines substances actives ;_x000a_• Évaluer la pertinence des zones tampons régionales actuellement d’application pour la protection du milieu aquatique pour les adapter, le cas échéant. (en complément de l’action belge 3.6.2 du NAPAN)_x000a__x000a_"/>
        <s v="Dans le cadre du Plan Climat Energie bruxellois:_x000a_• Faire le suivi de la mise en œuvre quant à l’impact sur la qualité des masses d’eau_x000a_• Réduire sur le territoire régional la combustion de pétrole (essence, diesel, mazout), de charbon et de bois ou encore l’incinération de déchets - contribuera à réduire les émissions de substances déclassant l’état chimique : les HAPs (Benzo(g,h,i)perylène, le fluoranthène, le benzo(a)pyrène, l'anthracène et le pyrène) et les métaux lourds (cadmium, plomb, nickel, cadmium, zinc) _x000a_En addition de ce Plan Climat Energie, une analyse croisée des données de l’inventaire des émissions atmosphériques couvrant la période 1990-2019 réalisé par le département Evaluation Air Climat Energie et de celles de la qualité des eaux de surface pourrait être réalisée._x000a_"/>
        <s v="Dans le cadre du règlement UE sur le mercure_x000a_Si à ce jour, aucune activité industrielle présente sur le territoire bruxellois n’est sujette au règlement UE, il y a lieu de suivre l’exploitation de l’incinérateur de déchets urbains au niveau des émissions et des meilleures techniques disponibles au sens de l’article 8 de la Convention de Minamata._x000a_"/>
        <s v="Mener une étude des sédiments présents sur les 2 tronçons de la Senne qui n’ont pas encore été curés : Aquiris et Buda (bathymétrie et qualité des sédiments)"/>
        <s v="Curer le tronçon ‘Aquiris’ et éliminer les boues polluées (Senne)"/>
        <s v="Curer le tronçon ‘Buda’ et éliminer les boues polluées (Senne)"/>
        <s v="Etablir une base de données des curages réalisés (en tant qu’outil de planification future)"/>
        <s v="Évaluer le besoin réel de déviation d’eau de la Senne vers le Canal, déterminer les règles d’activation des vannes en tenant compte des risques d’inondation (lien avec la M5.8) et de la surveillance des paramètres principaux (niveau d’eau)"/>
        <s v="Remplacer les vannes en bois par des vannes métalliques"/>
        <s v="Installation des systèmes de surveillance des paramètres principaux sur base des résultats de l’étude hydraulique (niveau d’eau) _x000a_Etude de remplacement du système de levage au cric par un système oléo-hydraulique (règles d’utilisation des vannes, coût, fiabilité du système,…)._x000a_Décision d’adapter ou pas le système de levage, selon le budget disponible (nb: un système au cric est beaucoup moins susceptible aux pannes, qu’un système oléo-hydraulique/électrique qui sera peu utilisé). "/>
        <s v="Aménager les vannes et implémenter les nouvelles règles de déviation d’eaux en fonction des étapes M 1.17.1 à M1.17.3"/>
        <s v="Assurer la veille des niveaux d’eau_x000a_Mesures de sécurité additionnelle à prendre en compte"/>
        <s v="Assurer le fonctionnement des vannes"/>
        <s v="Bathymétrie, localisation et mesure du volume de boue"/>
        <s v="Poursuivre le dragage mécanique et l'élimination des sédiments pollués du Canal"/>
        <s v="Mettre en évidence des zones préférentielles d’accumulation des sédiments pour en faciliter le curage, et pour alimenter l’étude des zones privilégiées d’accumulation des pollutions afin d’aider à identifier les sources et voies d’entrée des polluants dans le Canal"/>
        <s v="Suivre la problématique des sédiments et de leur curage dans la voie navigable du Canal Bruxelles-Escaut avec les régions flamande et wallonne pour une gestion cohérente de part et d’autre des frontières"/>
        <s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
        <s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
        <s v="Curer la totalité des sédiments du Canal pour retirer la pollution historique. Scénario Maximaliste"/>
        <s v="Sensibiliser les usagers quant aux pollutions diffuses des navires et bateaux caractérisées dans la mesure M1.5"/>
        <s v="Émettre des recommandations pour limiter les pollutions diffuses des navires et bateaux caractérisées dans la mesure M1.5"/>
        <s v="Contrôler le respect de l'arrêté pour le transport et la manutention des marchandises dangereuses ou non dans le Canal"/>
        <s v="Identifier les décharges clandestines le long du canal, les éliminer et poursuivre les auteurs, et prévenir ces décharges (ex : surveillance des zones fortement sujettes, affichages)"/>
        <s v="Analyser les paramètres et normes de l’arrêté NQE devant être actualisés ou inclus (paramètres chimiques et physico-chimiques) "/>
        <s v="Identifier les polluants spécifiques au bassin versant (‘river basin specific pollutants’) dans l’arrêté NQE et les normes qui leur sont applicables"/>
        <s v="Intégrer les objectifs de qualité écologique dans l’arrêté NQE (en ce compris les objectifs de potentiel hydromorphologique) et y expliciter la méthode d’évaluation du potentiel écologique"/>
        <s v="Rédiger un projet d’arrêté actualisant l’ensemble des objectifs de qualité applicables aux masses d’eau de surface et le soumettre aux autres régions (consultations transfrontalières au sein du CCPIE) et le faire adopter"/>
        <s v="Rassembler dans une base de données les informations renseignées dans les permis d’environnement (entre autre via les directives et législations comme REACH ou IED) et les inventaires sols et de pollution de l’air concernant les sources et les quantités émises de chaque substance déclassant l’état des masses d’eau pour alimenter l’inventaire des émissions, pertes et rejets des substances prioritaires et prioritaires dangereuses et d’autres polluants.  "/>
        <s v="Faire une analyse comparative des résultats des campagnes de mesures prévues aux M 1.12 et M 1.13 au regard de données d’E-PRTR afin de valider les émissions prédites dans WEISS "/>
        <s v="Identifier les sources lacunaires et estimer les émissions des paramètres déclassant  via une revue de la littérature"/>
        <s v="Identifier les sources lacunaires et estimer les émissions des métaux déclassant l’état chimique de la Senne et du Canal (plomb, nickel, mercure, cadmium, zinc) via une campagne de mesures._x000a_Cette campagne s’intéressera à l’apport de polluants via les affluents ainsi qu’aux rejets diffus issus du lessivage des parcelles portuaires._x000a_"/>
        <s v="Comprendre la dynamique des nutriments et plus spécifiquement, du phosphore dans la vallée de la Woluwe via une campagne de mesures"/>
        <s v="Actualiser er améliorer l’outil de modélisation des émissions « WEISS »"/>
        <s v="Valider les données physico-chimiques et chimiques des eaux de surface de 2000 à 2027 et les analyser spatio-temporellement"/>
        <s v="Identifier les leviers d’action afin de diminuer les concentrations des paramètres déclassant l’état physico-chimique et chimique des masses d’eau de surface"/>
        <s v="Valoriser l’étude réalisée durant le PGE 2016-2021 portant sur la qualité des eaux de ruissellement (voiries, chemins de fer, trams, toitures)"/>
        <s v="Monitoring biologique dans les cours d'eau et étangs"/>
        <s v="Monitoring mensuel de la qualité de la colonne d'eau des eaux de surface"/>
        <s v="Monitoring de la qualité des sédiments des eaux de surface "/>
        <s v="Monitoring de la qualité du biote des eaux de surface"/>
        <s v="Intégrer et valider les données de chaque nouvelle année de qualité de la colonne d'eau dans la base de données des eaux de surface"/>
        <s v="Intégrer les données de qualité des sédiments et les données de qualité du biote dans la base de données des eaux de surface"/>
        <s v="Diffuser librement les données de surveillance de la qualité de l'eau"/>
        <s v="Inventorier les modifications hydromorphologiques des eaux de surface"/>
        <s v="Communiquer sur les états biologiques et hydromorphologiques via des publications de l'état de l'environnement"/>
        <s v="Actualisation du potentiel écologique et de l'état chimique des eaux de surface"/>
        <s v="Entretien et réparation/remplacement des sondes du réseau Flowbru existantes et nouvellement installées"/>
        <s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
        <s v="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
        <s v="Intégration des sondes déployées dans le site web de diffusion des données Flowbru et diffusion des données de toutes les sondes"/>
        <s v="Poursuivre la validation des nouvelles données pluviométriques, poursuivre la validation des données"/>
        <s v="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
        <s v="Etude d'utilisation des données du réseau Flowbru afin d'améliorer la prédiction de la maintenance des sondes et la gestion dynamique."/>
        <s v="Amélioration du site web de diffusion des données mesurées Flowbru (https://www.Flowbru.be/fr) et développement d'une application mobile."/>
        <s v="Développement d'une API du site Flowbru pour faciliter la diffusion des données"/>
        <s v="Développer des alertes automatiques pour une liste de contacts (dont SBGE, Port, BE) en cas de modification alarmante de paramètres mesurés par les sondes Flowbru, en particulier concernant des chutes d'oxygène, ou hausses de conductivité ou de pigments de cyanobactéries"/>
        <s v="Déployer 1-2 sondes supplémentaires, en amont/aval de la première sonde (prévue au niveau du bassin Béco), si celle-ci démontre que cela s'avère utile (dans la M 1.22.3)"/>
        <s v="Analyser les données recueillies et les mettre à disposition du Port pour communiquer vers les usagers du Canal."/>
        <s v="Fine caractérisation des entrées de polluants physico-chimique dans la Senne"/>
        <s v="Utilisation d’un modèle biogéochimique adapté pour la Senne – collaboration avec la VMM"/>
        <s v="Analyse de scénarios permettant d’améliorer la qualité physico-chimique de la Senne – collaboration avec la VMM"/>
        <s v="Campagne de mesures des nutriments dans les étangs bruxellois pour initialiser et valider le modèle"/>
        <s v="Développement d’un modèle d’efflorescence de cyanobactéries en RBC"/>
        <s v="Poursuivre et renforcer la campagne « Ici commence la mer » tout en considérant l’opportunité d’en étendre le périmètre. "/>
        <s v="Développement d’une application de sensibilisation et de participation citoyenne à l’observation de pollution des eaux de surface"/>
        <s v="Rassembler et diffuser une information claire et cohérente sur les sites internet de l’administration et des opérateurs concernant :_x000a_-         Les déchets ne pouvant pas être jetés dans les égouts_x000a_-         Les alternatives aux produits d’entretien (ménagers, jardins, trottoirs, terrasses, toitures, …) nocifs_x000a_-         La bonne utilisation des autres produits d’entretien (sel de déneigement,…)"/>
        <s v="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
        <s v="Fournir des informations au Musée des égouts (et autres lieux culturels relayant la préservation de l’environnement) en tant que lieu de sensibilisation"/>
        <s v="Promouvoir l’interdiction d’utilisation des objets en plastique à usage unique et favoriser les alternatives réutilisables/durables._x000a_Cette mesure s’établira en synergie également avec la M.7.2 sur la promotion de l’eau de distribution pour les besoins potables."/>
        <s v="Renforcer les campagnes existantes sur la promotion de la propreté urbaine via différents outils et canaux de communication "/>
        <s v="Sensibiliser les acteurs de l’aménagement et de l’entretien des voiries à tenir compte des problématiques posées par le sel de déneigement (surconsommation, …)"/>
        <s v="Mener des actions contre la récurrence des pollutions aux hydrocarbures dans les égouts. "/>
        <s v="Etendre le réseau de monitoring en continu FlowBru et créer des alertes automatiques sur de potentielles pollutions/crises (voir M 1.22)"/>
        <s v="Optimiser et appliquer la procédure d’alerte lors d’une pollution intra-régionale :_x000a_-         Identifier le contact des personnes/services à alerter dans l’ensemble des administrations régionales et des grands opérateurs publics (SNCB, Infrabel, Sibelga, …)_x000a_.         Réalisation d’un logigramme selon :_x000a_·        La personne/institution qui alerte,_x000a_·        Le type de pollution,_x000a_·        L’heure de pollution (jour ou garde) permettant d’établir les actions à mettre en œuvre,_x000a_.·        Sur le terrain  _x000a_·        De communication entre acteurs/opérateurs ou vers la presse et le grand public  _x000a_-         Evaluer les moyens nécessaires disponibles dans les différentes administrations (matériels, marchés publics, …) pour la mise en œuvre de mesures de protection et/ou de remise en état"/>
        <s v="Sensibiliser les services d’intervention urgente quant à la pollution potentielle de l’environnement (en particulier les eaux de surface) en cas de gestion d’accident de voirie dont les avaloirs ne vont pas directement à l’égout. _x000a_En autre en mettant à leur disposition la plateforme de SIG de Vivaqua (SIGASS)"/>
        <s v="Mise en œuvre des mesures définies (voir 1.25.11)_x000a_"/>
        <s v="Développer par vallée une vision des offres potentielles d'eau supplémentaire actuellement perdues à l'égout et des besoins des milieux récepteurs en aval qui pourraient bénéficier de ces eaux supplémentaires"/>
        <s v="Etude de faisabilité de reconnexion du Molenbeek à la Senne (action C13_1 Belini) + analyse du coûts-bénéfices"/>
        <s v="Etude de faisabilité de reconnexion du Neerpedebeek à la Senne + analyse du coûts-bénéfices"/>
        <s v="Réflexions sur la reconnexion du Watermaelbeek à la Woluwe + analyse du coûts-bénéfices"/>
        <s v="Etude de faisabilité de reconnexion du Ru du Zeyp à Ganshoren (étang Rivieren et Clos des tarins) au Marais de Jette et au Molenbeek + analyse du coûts-bénéfices"/>
        <s v="Investigation et Etude de faisabilité de reconnexion de l'Ukkelbeek à la Senne + analyse du coûts-bénéfices"/>
        <s v="Réflexions sur la récupération vers le réseau hydrographique des eaux claires de drainage s'infiltrant dans les collecteurs + analyse du coûts-bénéfices. (dont le collecteur passant dans le marais de Jette et Ganshoren)"/>
        <s v="Travaux de reconnexion du Molenbeek à la Senne : _x000a_Ces travaux ne pourront être envisagés qu'après les résultats de l'étude de faisabilité (1.26.2)"/>
        <s v="Travaux de reconnexion du Neerpedebeek à la Senne :_x000a_Ces travaux ne pourront être envisagés qu'après les résultats de l'étude de faisabilité (1.26.3)"/>
        <s v="Travaux de reconnexion de l'Ukkelbeek à la Senne :_x000a_Ces travaux ne pourront être envisagés qu'après les résultats de l'étude de faisabilité (1.26.6)"/>
        <s v="Programme Brusseau-Bis dans la vallée du Molenbeek"/>
        <s v="Vérifier l'étanchéité des moines vers les collecteurs présents sur certains étangs spécifiques"/>
        <s v="Établir une méthodologie de calcul des débits minimums écologiques (ecological flows), l'appliquer aux différents tronçons du réseau hydrographique"/>
        <s v="Poursuivre et élargir les programmes qualitatifs  de surveillance des eaux souterraines à d’autres sites de surveillance et à d’autres paramètres"/>
        <s v="Améliorer l’estimation des concentrations de référence des paramètres présents naturellement dans les eaux souterraines et la compréhension aux processus chimiques influençant la composition géochimique de chacune des masses d’eau et de la présence de certains paramètres présents dans les masses d’eau souterraine, notamment pour l’ammonium, les chlorures et les sulfates des masses d’eau concernées"/>
        <s v="Suite à l’acquisition de nouvelles données, renforcer les conclusions de l’étude réalisée sur l’identification des sources de pollution nitrique quant aux facteurs de pollution exerçant une pression sur la masse d’eau des sables du Bruxellien et renforcer la capacité de discrimination des sources de pollution nitriques provenant des eaux usées et des fertilisants organiques."/>
        <s v="Identifier les sources de pollution des sites présentant des contaminations aux pesticides, en particulier ceux qui présentent des tendances à la hausse de pesticides interdits d’usage"/>
        <s v="Identification les sources de la pollution au tétrachloroéthylène et autres composés organochlorés volatils (trichloroéthylène, chloroforme et chlorure de vinyl) (cf. aussi M.2.6 et M.3.2)"/>
        <s v="Identifier les pressions ayant un impact sur la salinisation de la masse d’eau souterraine des sables du Bruxellien"/>
        <s v="En cas de contamination mise en évidence dans les résultats des programmes de surveillance, croiser la cartographie des sols pollués avec les résultats des analyses des programmes de surveillance et identifier les activités à risque actuelles ou passées dans les zones d’influence des sites de surveillance contaminés en vue d’identifier les sources de pollutioni"/>
        <s v="Poursuivre les études d’évaluation des risques de transfert de polluants sur sols pollués ou potentiellement non pollués par lessivage et transport latéral lors de réaffectation des sols dans le cadre de la gestion des sols pollués"/>
        <s v="Poursuivre la caractérisation de l’état physico-chimique des eaux pluviales et de ruissellement en l’étendant à d’autres polluants et d’autres types de surface de ruissellement, notamment les toitures "/>
        <s v="Poursuivre la cartographie de la vulnérabilité intrinsèque et spécifique du système phréatique bruxellois pour les polluants pertinents pour les eaux souterraines ayant été caractérisés dans les eaux pluviales de ruissellement et dans les eaux usées domestiques"/>
        <s v="Développer un modèle de transfert de risques de dissémination de la pollution par lessivage et transport latéral vers les eaux souterraines phréatiques et les écosystèmes associés pour tout dispositif d’infiltration des eaux tant des eaux pluviales que des eaux usées domestiques"/>
        <s v="Développer la carte des sols bruxellois en tenant compte de la teneur en matière organique des sols"/>
        <s v="Mettre à jour l’inventaire des sources des émissions de la pollution, l’élargir à d’autres polluants pertinents pour les eaux souterraines et modéliser leur cheminement vers les eaux souterraines"/>
        <s v="Evaluer les impacts d’une variation de température des eaux souterraines résultant de la présence de forte densité d’exploitations géothermiques en milieu urbain sur la qualité des eaux souterraines et les conflits d’usage susceptibles d’être engendrés. "/>
        <s v="Renforcer les programmes de surveillance par l’extension des réseaux à de nouveaux sites de contrôle au sein des 5 masses d’eau et plus particulièrement au sein de la masse d’eau du système du Socle et des craies du Crétacé"/>
        <s v="Renforcer la pérennité des sites de contrôle existants et futurs faisant partie des programmes de surveillance de l’état chimique"/>
        <s v="Réviser les critères d’évaluation de l’état chimique des masses d’eau souterraine de l’annexe II de l’AGRBC du 10 juin 2010 en ce qui concerne les paramètres à risque et leurs valeurs"/>
        <s v="Réviser l’annexe II de l’AGRBC du 10 juin 2010 en y précisant les valeurs seuils des critères d’évaluation de qualité plus stricts considérés au sein des zones d’alimentation hydrogéologiques des écosystèmes aquatiques et terrestres associés à la masse d’eau souterraine des sables du Bruxellien pour les nitrates, chlorures et sulfates (cf. aussi M 3.8)"/>
        <s v="Compléter l’annexe II de l’AGRBC du 10 juin 2010 en y joignant les valeurs des concentrations de référence des paramètres présents naturellement dans les masses d’eau souterraine par paramètre et par masse d’eau"/>
        <s v="Compléter l’annexe II de l’AGRBC du 10 juin 2010 en y joignant la liste des métabolites considérés comme pertinents et non-pertinents suivis dans le cadre du programme de surveillance mené au cours du Plan de Gestion (2016-2021)"/>
        <s v="Réaliser une veille juridique et transposer en droit bruxellois, le cas échéant, les révisions qui seraient aux annexes I et/ou II de la Directive 2006/118/CE en ce qui concerne notamment l’ajout de polluants émergents (PFAS, substances pharmaceutiques, métabolites de pesticides non pertinents) et leurs valeurs"/>
        <s v="Réviser la liste et les valeurs seuils des critères d’évaluation de la qualité des masses d’eau de l’annexe II de l’AGRBC du 10 juin 2010 compte tenu de la révision des exigences minimales relatives aux valeurs paramétriques utilisées pour évaluer la qualité des eaux destinées à la consommation humaine"/>
        <s v="Finaliser et adopter la cartographie des zones égouttables et non égouttables prévue par l’article 40/1 de l’Ordonnance Cadre Eau"/>
        <s v="Poursuivre l’inventaire de l’état des lieux et le cartographier (projet ETAL)"/>
        <s v="Planifier les travaux de rénovation du réseau d’égouttage à l’horizon 2027 en maintenant un objectif de taux de rénovation entre 0.8% et 1.1% par an en priorisant la rénovation dans les zones de vulnérabilité élevée de la masse d’eau des sables du Bruxellien fortement urbanisée et dans les zones de protection des captages d’eau destinée à la consommation humaine"/>
        <s v="Réaliser les travaux de rénovation du réseau d’égouttage (à concurrence de 0.8 à 1.1% /an)"/>
        <s v="Etendre le réseau d’égouttage sur base de la cartographie des zones d’assainissement collectif et autonome."/>
        <s v="Etablir une programmation des investissements pour la réhabilitation de certains collecteurs avec une priorisation dans les zones à enjeux environnementaux "/>
        <s v="(In)former et soutenir les communes dans leur mise à jour des règlements communaux relatifs à l’égouttage et assurer la cohérence régionale."/>
        <s v="Informer les habitants de leur obligation de raccordement, en priorité là où des tronçons d’égouttage ont été récemment installés ou sont en cours de pose, et à terme, à toute la zone d’assainissement collectif"/>
        <s v="Contrôler le raccordement effectif au réseau d’égouttage en priorité pour les tronçons récemment égouttés et à terme pour l’ensemble du réseau d’assainissement collectif présent sur le territoire bruxellois"/>
        <s v="Etablir l’inventaire des systèmes d’épuration et de dispersion dans les zones non égouttées et non égouttables, faisant l’objet d’un permis d’environnement"/>
        <s v="Mettre en place un cadre règlementaire précis pour les systèmes d’épuration individuels et un système de contrôle et d’entretien de ces systèmes"/>
        <s v="Informer et contraindre tout habitant se trouvant dans la zone d’assainissement autonome à la mise en place d’un système d’épuration individuel performant et supprimer si possible les puits perdants, en priorité dans les zones de protection des captages destinées à la consommation humaine et où des écosystèmes aquatiques et terrestres sont présents"/>
        <s v="Approfondir l’analyse liée à la légère augmentation statistique en nitrates des zones faiblement urbanisée et analyser des pressions qui pourraient y être liées "/>
        <s v="Si nécessaire sur base de l’analyse en 2.5.1, contrôler le respect des conditions d’exploiter pour les exploitations à risques nitriques autorisées par permis d’environnement"/>
        <s v="Si nécessaire, revoir l’AGRBC du 19 novembre afin d’en garantir une meilleure applicabilité par les activités agricoles présentes sur le territoire bruxellois et y adapter le code de Bonnes Pratiques"/>
        <s v="Editer une brochure de sensibilisation à l’égard des exploitants, notamment sur base du Code de Bonnes Pratiques"/>
        <s v="Identifier les sources de la pollution au tétrachloroéthylène (cf. M.2.1 et M.3.3)"/>
        <s v="Poursuivre l’inventaire de l’état des sols pollués en matière de tétrachloroéthylène et les composés organochlorés volatils et le cartographier (cf. M.2.1 et M.3.3)"/>
        <s v="Poursuivre  l’assainissement des sols pollués au tétrachloroéthylène et des composés organochlorés tel que prévu à l’OSOL (cf.  M 2.13 et M 3.3)"/>
        <s v="Contrôler les conditions d’exploiter des permis d’environnement liés à des activités  utilisant du tétrachloroéthylène (cf. aussi M. 3.3)"/>
        <s v="Promouvoir l’usage de substances alternatives au tétrachloroéthylène, pour en réduire l’usage et à terme l’interdire"/>
        <s v="Contrôler l’absence de rejets directs dans les prises d’eau autorisées, en priorité pour les activités à risque de pollution autorisées et présentes à proximité des prises d’eau"/>
        <s v="Contrôler l’application de l’interdiction d’usages des pesticides dans les zones à risque accrus délimités dans l’ordonnance du 20 juin 2013 relative à l’utilisation des pesticides compatible avec le développement durable, en particulier dans les zones de protection des zones de prises d’eau des installation de captages en activité ou non"/>
        <s v="Contrôler la mise en œuvre des conditions imposées dans les permis lors de la réalisation de l’installation de prise d’eau et des piézomètres mis en place pour le suivi de chantiers (imposition d’une hauteur de l’ouvrage, d’une fermeture) et dans le cadre des études de reconnaissance de l’état des sols (M.2.8)"/>
        <s v="Assurer une gestion appropriée des ouvrages soumis à permis d’environnement en contrôlant le respect des conditions liées à la cessation de l’activité, à savoir le rebouchage de l’ouvrage ou, le cas échéant, l’intégration dans un programme de surveillance tant pour les puits que pour les piézomètres (contrôle via attestation)"/>
        <s v="Assurer un contrôle approprié des piézomètres mis en place lors d’ études de reconnaissance de l’état des sols dans le cadre de la gestion de l’assainissement des sols pollués, en fin de procédure, imposer et contrôler le rebouchage des piézomètre selon la procédure reprise à l’AR du 8 novembre 2018 – art 11 § 6 3° réglementant les captages dans les eaux souterraines"/>
        <s v="Etablir un inventaire des ouvrages et des piézomètres dont le permis d’environnement est échu ou non autorisés sur le territoire bruxellois et contraindre leur rebouchage ou le cas échéant l’intégration dans un programme de surveillance"/>
        <s v="Évaluer les incidences particulièrement pour la réinjection d’eau utilisée à des fins géothermiques au sein d’une même masse d’eau"/>
        <s v="Poursuivre la gestion et l’assainissement des sols pollués"/>
        <s v="Assurer un contrôle approprié des piézomètres mis en place lors des études de reconnaissance de l’état des sols et suivi de leur assainissement ; imposer et contrôler en fin de procédure le rebouchage des piézomètres (cf M 2.7)"/>
        <s v="Evaluer la pertinence de revoir les normes d’intervention de façon à l’adapter aux paramètres problématiques pour les masses d’eau souterraines, en lien avec la DCE"/>
        <s v="Inventorier les activités critiques autour des zones de protection de captages d’eau, grader les risques, et procéder à des aménagements spécifiques pour les contrer"/>
        <s v="Renforcer les conditions d’exploiter des permis d’environnement proches de points critiques"/>
        <s v="Contrôler la mise en place des conditions d’exploitation renforcées dans les permis environnement"/>
        <s v="Développer un système de signalement de pollution accidentelle à usage de la population vers les acteurs concernés"/>
        <s v="Mettre en place un plan d’intervention d’urgence de gestion de pollution avec tous les acteurs concernés"/>
        <s v="Poursuivre la surveillance quantitative (piézomètres et sources pérennes)"/>
        <s v="Améliorer la surveillance quantitative, en intégrant de nouveaux sites de surveillance piézométriques au réseau existant"/>
        <s v="Assurer et renforcer la pérennité des sites de surveillance"/>
        <s v="Upgrade BrugeoTool (v2+)"/>
        <s v="Upgrade Brustrati3D (v2+)"/>
        <s v="Upgrade BPSM (v2+)"/>
        <s v="Upgrade Hydroland (v2+)"/>
        <s v="Simulations prédictives prioritaires (BPSM, Hydroland)"/>
        <s v="Développer une stratégie de gestion des captages d’eau souterraine"/>
        <s v="Opérationnaliser cette stratégie dans le cadre des futures autorisations de captage et révision d’autorisation."/>
        <s v="Effectuer un recensement annuel de tous les captages permanents et temporaires existants et dresser un état des lieux des captages actifs, inactifs et hors service"/>
        <s v="Tenir à jour la base de données reprenant l’ensemble des données technico-administratives relatives aux captages et à leur autorisation"/>
        <s v="Evaluer l’application de l’arrêté du Gouvernement de la Région de Bruxelles-Capitale du 8 novembre 2018 règlementant les captages d’eau souterraine et les systèmes géothermiques en circuit ouvert quant à sa mise en œuvre et son efficacité, proposer un agrément des entreprises de forage et faire référence à des conditions de type BATNEEC, le cas échéant."/>
        <s v="Assurer un contrôle spécifique des exploitants de captage, en particulier les captages temporaires (rabattements de nappe)"/>
        <s v="Assurer la maintenance de la carte des profondeurs de nappe pouvant servir de base pour l’indentification des zones où les collecteurs seraient en contact avec la nappe."/>
        <s v="Lors de chantier d’étanchéification d’égout, dans les zones à risque, identifier le risque local de remontée de nappe post-rénovation et étudier la faisabilité de mettre en œuvre, dans le cadre du chantier, dun système de drainage adapté, le cas échéant"/>
        <s v="amélioration continue des cartes de risque d’effet barrage (fonction des upgrades de BPSM)"/>
        <s v="amélioration et renforcement de l’analyse du risque d’effet barrage dans le cadre de la procédure d’instruction du permis d’environnement, voire d’urbanisme"/>
        <s v="Poursuivre la surveillance qualitative et quantitative dans les zones de protection de captages sur les eaux brutes souterraines destinées à la consommation humaine"/>
        <s v="Poursuivre la surveillance quantitative dans les zones de protection de captages sur les eaux brutes souterraines destinées à la consommation humaine"/>
        <s v="Etendre la surveillance qualitative des eaux souterraines brutes destinées à la consommation humaine aux substances polluantes émergentes, aux biocides et aux paramètres repris dans la nouvelle directive « eau potable » (2020/2184/UE)"/>
        <s v="Evaluer l’état qualitatif de la masse d’eau des Sables du Bruxellien en zone de protection des captages et identifier des tendances globales et individuelles à la hausse pour certains paramètres"/>
        <s v="Etablir un inventaire des activités à risques sur base des permis environnement en cours et échus et les contrôler"/>
        <s v="Elaborer un programme de mesures en vue de protéger les captages d’eau destinée à la consommation humaine intégrant les mesures de restauration de la zone de captage en matière de nitrates et de prévention et de protection globales de façon à éviter la dégradation de la qualité chimique vis-à-vis des autres substances"/>
        <s v="Poursuivre et renforcer la surveillance préventive et de gestion des risques liés à la contamination malveillante ou accidentelle des eaux souterraines en zone de protection effectuée par les cantonniers de VIVAQUA"/>
        <s v="Poursuivre et renforcer la sensibilisation des occupants de la zone de captages par la distribution de brochure à l’existence de la zone de captage et à sa protection en matière des risques liés aux pesticides et aux hydrocarbures"/>
        <s v="Sensibiliser la population sur la présence de captages d’eaux destinés à la consommation humaine et à sa protection par la pose de panneaux de signalisation"/>
        <s v="Renforcer les contrôles pour les réservoirs d’hydrocarbures situés dans la zone de protection III."/>
        <s v="Renforcer le contrôle des obligations et interdictions relatives à l’utilisation, le stockage et la manipulation des pesticides dans les zones de protection des captages"/>
        <s v="Poursuivre la surveillance des eaux souterraines, en ce compris dans la zone vulnérable aux nitrates"/>
        <s v="Poursuivre la surveillance des composés azotés dans les eaux brutes souterraines prélevées par l’exploitant, VIVAQUA, en application de l’arrêté du Gouvernement du 19 novembre 1998"/>
        <s v="Poursuivre et élargir l’identification des sources et cause de pollution nitrique (en lien avec M.2.1) dans la zone vulnérable"/>
        <s v="Renforcer et adapter la surveillance des eaux souterraines aux écosystèmes terrestres et aquatiques en interaction hydraulique avec la masse d’eau des sables du Bruxellien,"/>
        <s v="Poursuivre le réseau de surveillance et opérationnel des monitorings physico-chimique et chimique de la colonne d’eau, du biote, des sédiments et de la biologie pour la Woluwe (M1.21)"/>
        <s v="Identifier les sources des pollutions de la Woluwe (M1.20)"/>
        <s v="Poursuivre l’identification des écosystèmes dépendants des eaux souterraines et établir une typologie des interactions eau souterraine, eau de surface et écosystèmes terrestres"/>
        <s v="Affiner le développement des outils de modélisation hydrogéologiques existant BPSM en tenant compte de la présence des écosystèmes aquatiques et terrestres dépendants des eaux souterraines"/>
        <s v="Etudier l’impact de variations quantitatives de niveau des eaux souterraines sur les écosystèmes terrestres et caractériser les risques d’altération du bon état de conservation des écosystèmes dépendants"/>
        <s v="Evaluer le potentiel de migration de polluants des eaux souterraines vers les eaux de surface et écosystèmes aquatiques et terrestres – et inversement – ainsi que leur potentiel d’atténuation."/>
        <s v="Etendre l’identification des écosystèmes dépendants à la masse d’eau du système nord-ouest des sables du Bruxellien et de Tielt"/>
        <s v="Identifier les pressions exercées par les eaux souterraines dans les zones d’alimentation hydrogéologiques sur les écosystèmes aquatiques et terrestres en matière de nitrates, sulfates et chlorures pour y apporter les mesures adéquates de restauration et de prévention"/>
        <s v="Mettre en œuvre les mesures de restauration de la qualité des écosystèmes terrestres dépendants de l’eau souterraine et/ou aquatiques en matière de nitrates, sulfates, ammonium, chlorures pour les habitats Natura 2000 au travers des plans de gestion ‘Natura 2000’"/>
        <s v="Assurer le traitement tertiaire des deux stations d'épuration situées en Région de Bruxelles-Capitale"/>
        <s v="Contrôler le respect des performances épuratoires et des normes de déversement des effluents par les STEP collectives régionales"/>
        <s v="Contrôler les rejets des stations d’épuration collectives et autonomes au regard des permis d’environnement couvrant chaque installation (cf aussi M 1.12)"/>
        <s v="Contrôler le bon raccordement des particuliers et entreprises au réseau d'égouttage"/>
        <s v="Imposer l'installation de stations d'épuration individuelles performantes lorsque le raccordement au réseau d'égouttage n'est techniquement et/ou économiquement pas réalisable (cf. M 2.4)"/>
        <s v="Assurer la surveillance qualitative des masses d’eau en lien avec les pesticides"/>
        <s v="Mettre en œuvre le Programme Régional de Réduction des pesticides"/>
        <s v="Valoriser une zone humide au niveau du grand étang Mellaerts – Etude et Travaux"/>
        <s v="Réaménagement étang Sobieski - Travaux"/>
        <s v="Réhabilitation et assainissement étang Parc Roi Baudouin phase 1 – Etude et Travaux"/>
        <s v="Réhabilitation et assainissement étangs Tournay Solvay – Etude et Travaux"/>
        <s v="Réhabilitation et assainissement étang Marius Renard – Etude et Travaux"/>
        <s v="Réhabilitation mare Sauvagère (naturalisation, patrimoine, berge, cascades, ...) – Etude et Travaux"/>
        <s v="Réhabilitation et assainissement étang Ten Reuken - Travaux"/>
        <s v="Remplacement moine Rouge Cloître Woluwe – Etude et Travaux"/>
        <s v="Aménagement et naturalisation du Marais Wiels – Etude et Travaux"/>
        <s v="Aménagement et naturalisation de l’étangs Moyen et Mayfair au parc de la Pede (pour la partie baignade, voir également M 6.7) – Etude et Travaux"/>
        <s v="Réaliser une étude pour l’aménagement de berges naturelles aux Etangs Bémel, Long, Denis et Rond du Parc de Woluwe (état actuel : berges en palplanches de bois) tel que prévu dans le Plan de Gestion de site Natura 2000"/>
        <s v="Aménager des berges naturelles aux Etangs Bémel, Long, Denis et Rond du Parc de Woluwe (état actuel : berges en palplanches de bois) tel que prévu dans le Plan de Gestion de site Natura 2000"/>
        <s v="Réaliser une étude pour l’aménagement de berges naturelles à l’Etang Grand Mellaerts (état actuel : berges en palplanches en bois) tel que prévu dans le Plan de Gestion de site Natura 2000"/>
        <s v="Aménager de berges naturelles à l’Etang Grand Mellaerts (état actuel : berges en palplanches en bois) tel que prévu dans le Plan de Gestion de site Natura 2000"/>
        <s v="Mener une gestion alternative des étangs, Mise en assec, Culture des vases, Bio-dragage, Installation d’îles flottantes (radeaux végétalisés) (voir également M 1.2 et M 6.2.3)."/>
        <s v="Mener une campagne de mesures des nutriments dans les étangs bruxellois pour initialiser et valider un modèle"/>
        <s v="Développer un modèle de prédiction des crises cyanobactéries afin de guider la gestion des étangs "/>
        <s v="Rendre au réseau hydrographique, y compris les étangs, sa fonction d’exutoire et de zone de débordement naturel, via la reconnexion des eaux claires et la gestion intégrée des eaux pluviales (GiEP), (voir également M 1.27 et 5.4)"/>
        <s v="Ajuster les niveaux des étangs en fonction des saisons"/>
        <s v="Gérer les populations de poissons"/>
        <s v="Mener des campagnes d’information quant à l’interdiction de nourrissage des animaux sauvages (oiseaux, poissons) à proximité des étangs et du Canal"/>
        <s v="Analyse et comparaison des deux approches tarifaires (basée sur le seul volume vs. sur la charge polluante) par rapport au respect du principe Pollueur-Payeur"/>
        <s v="Benchmark/analyse des approches mise en place dans les pays européens"/>
        <s v="Présentation de nouvelles pistes de réflexion aux parties prenantes et discussion au sein d’un groupe de travail"/>
        <s v="Détermination d’une nouvelle modalité de tarification"/>
        <s v="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
        <s v="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
        <s v="Identifier les odifications d’ordre régleentaire, adinistratif et opérationnel à réaliser aux différentes échelles adinistratives (régionales et counales) pour perettre la ise en œuvre des nouveaux écanises de financeent."/>
        <s v="ettre en œuvre toutes les actions nécessaires au déploieent du niveau écanise de financeent et en assurer la bonne counication auprès des différents publics cibles"/>
        <s v="Mener une évaluation monétaire des impacts environnementaux et pour la ressources liés à l’utilisation de l’eau en s’appuyant notamment sur la modélisation WEISS qui inventorie les sources majeures des polluants impactant les masses d’eau en RBC"/>
        <s v="Inventorier et évaluer les mesures de mitigation/prévention des impacts environnementaux à mettre en place"/>
        <s v="Réaliser une analyse coût-bénéfice visant à prioriser les infrastructures ou les mesures encore à mettre en œuvre pour prévenir /atténuer les impacts environnementaux et influer positivement sur la qualité des masses d’eau"/>
        <s v="Intégrer dans la tarification de l’eau les besoins financiers pour la mise en œuvre des infrastructures ou mesures de prévention/mitigation"/>
        <s v="Fournir annuellement les données relatives aux soldes tarifaires à BE"/>
        <s v="Calculer les indicateurs de récupération des coûts nécessaires et assurer le reporting auprès des institutions européennes"/>
        <s v="Elaboration des indicateurs constituant le « tableau de bord PH » permettant d’assurer le suivi de la PH en RBC"/>
        <s v="Production des indicateurs"/>
        <s v="Consolidation et analyse des indicateurs et élaboration d’un reporting visant à guider l’action du gouvernement"/>
        <s v="Réaliser une analyse multicritère permettant d’évaluer l’efficience du fonds quant à l’atteinte des objectifs visés par l’Ordonnance"/>
        <s v="Mettre en place de nouveaux indicateurs permettant de produire une analyse plus fine des usages du fonds à la fois au niveau quantitatif et qualitatif"/>
        <s v="Produire un rapport faisant état de l'adéquation du fonds social de l'eau en regard des missions et des moyens des CPAS, ainsi que de l'objectif visé par l'ordonnance tel que spécifié dans l’arrêté"/>
        <s v="Définir et mettre en place les nouvelles de modalités de fonctionnement afin d’en améliorer l’accès (amoindrir le non recours), la flexibilité (élargir le droit de tirage) et la répartition des usages (ex : définir un « fonds d’améliorations techniques »)"/>
        <s v="Réaliser un état des lieux précis des points d’accès d’eau potable en RBC et des installations sanitaires accessibles aux publics plus vulnérables(*). Cet état des lieux permettraient de géoréférencer ces points d’accès afin d’être communiqués auprès du grand public sous la forme d’une carte numérique interactive."/>
        <s v="Analyser les besoins au regard des objectifs sociaux, environnementaux et d’adaptation au changement climatique"/>
        <s v="Définir une stratégie coordonnée de déploiement d’équipements intérieurs et extérieurs dans les espaces publics (voirie, place, parc,..) avec l’ensemble des acteurs en charge (Institutions communales, régionales et le monde associatif)"/>
        <s v="Réaliser l’installation et l’entretien des fontaines publiques sur le territoire de la RBC"/>
        <s v="Accompagner les acteurs (administrations et auteurs de projets) dans le développement de leurs compétences (voir M.5.3)"/>
        <s v="Règlement régional d’urbanisme (RRU) – réviser les prescriptions existantes et en ajouter de nouvelles relatives à la gestion des eaux tant pour les espaces privés que publics(*)"/>
        <s v="Mettre en place une procédure permettant d’imposer la mise en œuvre de la GiEP aux travers des permis d’environnement et/ou d’urbanisme"/>
        <s v="COBAT- adapter le cadre législatif et procédures établies au 5.1.3, le cas échéant."/>
        <s v="Plan régional d’affectation des sols (PRAS) –_x000a_·        Dans le cadre de la révision du nouveau PRAS, tenir compte de la gestion intégrée des eaux pluviales et de ses objectifs en termes de perméabilités des sols et végétalisation (lutte contre les îlots de chaleur urbain) au niveau des différents documents constitutifs, notamment au niveau des  prescriptions générales et le cas échéant, des prescriptions particulières de certaines zones. Il conviendrait notamment d’assurer un ratio suffisant de pleine terre dans toutes les zones constructibles._x000a_.   Lors de révisions ponctuelles du PRAS actuel (changement d’affectation, inscription de nouveaux tracés…) tenir compte de l’impact des différents scenarios sur la gestion des eaux de ruissellement et assurer des mesures d’atténuation complètes ou à défaut, des compensations basées sur les principes de gestion intégrée des eaux pluviales pour en limiter les incidences au minimum"/>
        <s v="Plans d’aménagement directeur (PAD) – obliger l’auteur de projet à réaliser une étude hydrologique dans le cadre de l’établissement de la situation existante et à établir les prescriptions générales sur la base de celle-ci."/>
        <s v="Plans particuliers d’affectation des sols (PPAS) – intégrer des prescriptions pour garantir la gestion intégrée des eaux pluviales et le cas échéant, compléter les prescriptions des outils de normes supérieures (PAD,…)."/>
        <s v="Faire des études du potentiel de déconnexion (% de surfaces déconnectées) via un outil qui soutiendra les différents plans de développement territorial._x000a_Cette mesure pourra à termes s’appuyer sur un outil cartographique que Bruxelles Environnement compte mettre en place via la M.5.6"/>
        <s v="Etudier la gestion et le placement des impétrants dans l’espace public afin d’établir, le cas échéant, des lignes directrices pour assurer la bonne compatibilité entre GIEP et impétrants._x000a_Actuellement le manque d’information concrète sur leur positionnement, les exigences aléatoires liées à leur placement, le manque de prise en charge de certaines anciennes installations devenues obsolètes, représentent un obstacle à la GIEP et à la végétalisation des espaces publics."/>
        <s v="Dans l’expectative de cette intégration généralisée d’une bonne prise en compte de la gestion durable de l’eau, remettre des avis et conditions dans les permis d’urbanisme et selon demande, lors des procédures liées à délivrance de permis d’urbanisme (Commission de concertation, Avis d’instance,…)"/>
        <s v="Veiller à la bonne mise en œuvre des principes de gestion de l’eau édictés dans le BKP_x000a_Beeldkwaliteitsplan ou plan de qualité paysagère et urbanistique) qui s’appliquent à tout projet d’aménagement et de rénovation d’espace public sur le territoire du Canal dont le périmètre s’étend sur différentes zones administratives aux niveaux de pouvoir multiples( il s’agit du périmètre du Plan Canal de 2012 repris à la page 24 du BKP )"/>
        <s v="Etablir une veille de tous  les plans, programmes et règlementations  développant d’autres thématiques afin que, lorsque cela s’avère pertinent, les principes qui sous-tendent le PGE (GiEP, préservation de la ressource, réseau hydrographique,…) soient pris en compte_x000a_Liste d'exemples (non-exhaustif) : les plans climat communaux, plans de mobilité, etc."/>
        <s v="Evaluer les coûts d’investissement et opérationnels qu’implique le déploiement d’une politique de GiEP visant à protéger la Région contre les risques d’inondation (pluies TR20) en complément du réseau d’assainissement."/>
        <s v="Définir un ou plusieurs mécanismes de financement équitables et incitatifs créant une source de fonds permettant le déploiement pérenne d’ouvrages de GiEP dans l’espace privé et public du territoire de la RBC"/>
        <s v="Apporter les modifications légales nécessaires relatives à la mise en œuvre opérationnelle de ces nouveaux mécanismes de prélèvement qui permettront le financement des projets GiEP, par exemple via la mise en place d’un fonds de financement."/>
        <s v="Définir les rôles et répartition des compétences de la gestion des eaux de pluie entre les acteurs(*)._x000a_Tous les acteurs de la mise en œuvre sont déjà identifiés pour la GiEP (car implique le 0 rejet), et les responsabilités sont établies dans la plupart des cas. Il reste cependant des éléments de réseaux pluviaux (séparatif,…) pour lesquels des clarifications de prise en charge doivent être spécifiées._x000a_Il faut ensuite vérifier si l’OCE doit être modifiée pour intégrer les résultats de ces travaux d’identification ou si un arrêté d’exécution doit être rédigé."/>
        <s v="Tenir à jour un inventaire de tous les acteurs concernés (Stakeholder Management Plan), identifier leurs freins, craintes et intérêts afin de cibler au mieux les actions qui leur permettront de passer le seuil de résistance au changement."/>
        <s v="Accompagner les acteurs concernés (stakeholders) dans la mise en place du changement au sein de leur organisme, en commençant par identifier des personnes relais au sein de chacune d’elles."/>
        <s v="Emettre des conseils et des guidances techniques dans le cadre de nouveaux projets d’aménagement du territoire : espaces public (communes, STIB, Bruxelles Mobilité, Perspectives, Urban…) et privé (lotisseurs, bureau d’étude, entrepreneurs,…) en collaboration avec le Facilitateur Eau._x000a_Offrir aux professionnels un accès facilité à des réponses techniques « sur mesure »."/>
        <s v="Concevoir, diffuser des outils (tableurs de calcul, guide de conception,…) et le cas échéant, revoir en collaboration les outils régionaux existants (ex. Manuels de conception) ou en développer de nouveaux pour aider les questions de mise en œuvre de la GIEP  et autres mesures de résilience climatique liées à la gestion de l’eau."/>
        <s v="Rédiger, diffuser et mettre à jour des fiches techniques pour aider les questions de mise en œuvre de la GIEP et autres mesures de résilience climatique liée à la gestion de l’eau (via le site internet du Guide Bâtiment durable et des FAQ disponibles sur le site EAU de BE)."/>
        <s v="Mettre en place un accompagnement spécifique avec Bruxelles Mobilité pour que les porteurs de projet et le service entretien systématisent la prise en compte de la GiEP et autres mesures de résilience climatique liées à la gestion de l’eau."/>
        <s v="Poursuivre et amplifier l’effet de réseau d’expertise en développement des conseillers communaux « Eau », avec une représentation dans chaque commune et avec un rôle légitimé auprès des autres agents communaux, et notamment :_x000a_·        Poursuivre la mise en réseau pour partage d’expériences_x000a_·        Mettre en place un accompagnement rapproché (ateliers sur les projets concrets, retour des expériences réalisées avec le facilitateur, construction d’outils répondant aux besoins) pour que les porteurs de projet systématisent la prise en compte de la GIEP et autres mesures de résilience climatique liées à la gestion de l’eau."/>
        <s v="Accompagner les pouvoirs organisateurs des écoles dans une stratégie de végétalisation et de gestion durable des eaux pluviales (déminéralisation,…), notamment par :_x000a_-        Diffusion des bonnes pratiques (Guide,…)_x000a_-        Formation aux associations actives à l’appui aux écoles ;_x000a_-        Soutien financier via appel à projet dédié pour le  (ré) aménagements des cours d’école (« Ré-création ») « Voir M.8.5 »_x000a_-        Accompagnement des bureaux d’études mandatés par les pouvoirs organisateurs d’une 20aine d’écoles via un pool multiexperts_x000a_Il s’agit de poursuivre les actions en cours de soutien aux écoles pour de la déminéralisation."/>
        <s v="Intégrer la thématique « GIEP-résilience climatique » dans les programmes existants qui visent la mise à niveau des secteurs professionnels et métiers de la construction-rénovation-parcs et jardins (entrepreneurs, jardiniers, architectes,…)"/>
        <s v="Envisager la mise en place d’un service gratuit de conseils ou d’accompagnement technique à la mise en œuvre de la GIEP (et à la gestion durable de l’eau) à destination des particuliers (*)."/>
        <s v="Établir et mettre en œuvre une stratégie de déminéralisation et de végétalisation (plantation et entretien)  en voirie tenant compte de la gestion de l’eau"/>
        <s v="Intégrer les prescriptions techniques des ouvrages et revêtements nécessaires à la mise en œuvre de la GIEP dans le Cahier des Charges Type Travaux (CCT)"/>
        <s v="Etablir un cadre régional pour faciliter et inciter les déconnexions de particuliers"/>
        <s v="Rédiger et diffuser un Vademecum sur la gestion des eaux pluviales dans les espaces publics"/>
        <s v="Les différents acteurs et privés feront en outre l’objet de mesures de soutien telles que  Subventions, primes, labels et autres mesures de soutien (M 8.3)"/>
        <s v="Mise en œuvre d’une gestion intégrée des eaux pluviales dans les chantiers publics en suivant les lignes directrices d’un Vademecum « gestion des eaux pluviales »"/>
        <s v="Se doter d’une Assistance à Maîtrise d’ouvrage pour garantir la bonne réalisation des chantiers/travaux dans le domaine de la gestion des eaux pluviales"/>
        <s v="Mettre en œuvre des projets de déconnexion et déminéralisation sur les espaces gérés par BE (Parc, espaces verts,...) comme lieux exemplaires de gestion intégrée et d’autres mesures de résilience"/>
        <s v="Cette mesure se fera également via l’accompagnement des acteurs concernés (M 5.3)"/>
        <s v="Des mesures de communication et de sensibilisation seront également prévues (M 5.29)"/>
        <s v="L’intégration de la GIEP dans les outils de l’aménagement du territoire est prévu (M 5.1)"/>
        <s v="Poursuivre et améliorer la cartographie du « Maillage Pluie » répertoriant les dispositifs GiEP déployés dans les communes bruxelloises_x000a_Au fur et à mesure de la mise en place de dispositifs, il s’agit d’en établir un cadastre géo référencé robuste, pour ensuite maitriser l’information relative à leur efficacité, leur entretien,…en bref : permettre une gestion patrimoniale efficace._x000a_Une gestion patrimoniale efficace des dispositifs implique un inventaire précis des installations en les catégorisant par typologie et en définissant les gestionnaires de chaque dispositif."/>
        <s v="Mettre en place un tableau de bord permettant d’assurer un suivi optimal de la performance des dispositifs GiEP déployés en RBC_x000a_Ancré sur le cadastre géo référencé, et dans le but de suivre l’efficacité de la mise en œuvre de l’ensemble de la politique de l’eau, les mesures nécessaires seront prises pour mettre en place les moyens de relever les indicateurs de performance._x000a_Ce tableau de bord permettra également  de planifier les entretiens  des ouvrages, ainsi que leur réhabilitation éventuelle avec une budgétisation des coûts._x000a_Les critères décrivant la performance devront être définis par rapport à plusieurs paramètres : comme par exemple celui de la capacité d’infiltration mais également la protection des eaux souterraines."/>
        <s v="Sur base de l’inventaire détaillé des dispositifs GIEP, mettre en place un contrôle de leur efficacité/performance dans le temps. A la fois pour s’assurer de leur efficacité hydraulique et de résilience climatique, ainsi que pour bénéficier des retours d’expériences dans un objectif d’amélioration continue._x000a_Rédiger le règlement utile à la mise en œuvre de cette mesure, et mettre en place un mécanisme et une cellule de contrôle des dispositifs._x000a_Ce type de mesure nécessite de nouvelles ressources humaines."/>
        <s v="Assurer un suivi des ouvrages de gestion d’eau et leur alimentation via notamment des sondes dans les plantations (tensiométriques et qualité)"/>
        <s v="Réaliser des études et projets « pilotes » pour cartographier progressivement sur chaque parcelle le potentiel de déconnexion par bassins versants sur l’ensemble de la Région et rendre les résultats accessibles pour en faire un outil d’aide à la décision de mise en œuvre accélérée de la GiEP (M 5.5.)"/>
        <s v="Sur base de ces études et d’un inventaire de l’existant (voir M 5.5), évaluer l’impact attendu de différents scenarios d’ambition de déconnexion sur une série d’indicateurs de performance (volumes pouvant être soustraits des réseaux, …) et des bénéfices écosystémiques (îlots de chaleur urbains)"/>
        <s v="Développer un outil permettant, à l’instar de BEST (Benefits Estimation Tool), d’évaluer et monétiser les avantages écosystémiques des aménagements GiEP, en les comparant à leurs coûts de mise en œuvre et d’entretien tout au long de leur cycle de vie."/>
        <s v="Mieux caractériser dans le contexte bruxellois les risques posés par les ouvrages de gestion en se basant sur les résultats de monitoring et d’études complémentaires, notamment modélisation de la vulnérabilité des eaux souterraines dans le contexte bruxellois, et sur cette base, revoir les outils d’aide à la décision (lignes directrices, vademecums, outils de calculs,…)."/>
        <s v="Etudier l’impact environnemental de différents revêtements, notamment par rapport aux ilots de chaleur urbains afin d’objectiver les stratégies de pose (choix des matériaux, emplacement, modalités de mise en œuvre,…)"/>
        <s v="Sur base des mesures précédentes, établir une balance risque/bénéfice pour aboutir à la meilleure stratégie de gestion possible"/>
        <s v="Afin de mieux catégoriser le risque spécifique posé pour les ouvrages de gestion, réaliser un diagnostic à l’échelle communale et régionale dans l’usage du sel comme fondant chimique"/>
        <s v="Actualiser la cartographie régionale du taux d’imperméabilisation des sols"/>
        <s v="Intégrer dans les outils règlementaires des mesures dérogatoires menant au recours à une simple temporisation avec débit limité, lorsque la solution GIEP est démontrée avoir atteint sa limite, pour gérer en tout ou en partie les eaux de ruissellement de la parcelle privée ou publique considérée."/>
        <s v="Intégrer dans les nouvelles Conditions générales « eaux pluviales » du Permis d’Environnement, des mesures dérogatoires menant au recours à une simple temporisation avec débit limité, lorsque la solution GIEP est démontrée avoir atteint sa limite, pour gérer en tout ou en partie les eaux de ruissellement de la parcelle privée ou publique considérée."/>
        <s v="Poursuivre le recensement des bassins d’orage visés par l’arrêté du Gouvernement du 23 mai 2019"/>
        <s v="Etablir un guide « exploitant » pour ces installations classées"/>
        <s v="Assurer les contrôles prévus par l’arrêté du Gouvernement de la région de Bruxelles-Capitale du 23 mai 2019 ou délégués par Bruxelles Environnement sur base des données transmises par Bruxelles Environnement, Urban et/ou les communes"/>
        <s v="Evaluer la bonne effectivité de la règlementation au regard des objectifs poursuivis et proposer d’éventuelles améliorations"/>
        <s v="Favoriser l’utilisation des méthodes de tamponnage avec débit limité qui ont le moindre impact négatif environnemental._x000a_Certains types de matériaux (plastic, béton, résines,…) ou mise en œuvre (profondeur, surface imperméable supplémentaire) présentent un impact environnemental plus négatif que d’autres. Une sensibilisation sur l’importance de ces choix doit être réalisée."/>
        <s v="Entretenir la déviation d’Aa et les vannes vers le Canal"/>
        <s v="Assurer la surveillance pour activer au besoin la déviation"/>
        <s v="Analyser cartographiquement les besoin de libération d’emprise, surveiller les opportunités dans le lit majeur des cours d’eau et faire respecter la zone non aedificandi"/>
        <s v="Intégrer l'objectif hydraulique lors de réaménagements des cours d’eau et des berges"/>
        <s v="Renforcer le tamponnage dans les étangs (adaptation des moines), pièces d’eau et dans le lit majeur des cours d’eau"/>
        <s v="Reprendre les eaux de ruissellement, les réseaux séparatifs dans le réseau hydrographique, quand le ratio coûts-bénéfices est favorable."/>
        <s v="Mettre en place des mesures visant l'utilisation du Canal comme milieu récepteur potentiel des eaux de ruissellement en provenance des zones limitrophes_x000a_-         Etablir un inventaire des réseaux d’eaux claires existants dans les berges/quais du Canal. Ils présentent un atout d’opportunité de branchements dont le rejet est déjà percé dans le mur de quai (cfr M1.5.9)._x000a_-         Définir les conditions applicables aux rejets d'eaux claires dans le Canal (qualité, débit)_x000a_-         Proposer une procédure facilitée au demandeur (formulaire de  demande, dossier-type…)"/>
        <s v="Poursuivre le programme d’état des lieux des égouts permettant d’identifier les tronçons nécessitant des travaux d’entretien."/>
        <s v="Définition d’un plan structurel d’entretien pour les réseaux Identifier les zones sensibles pour les atterrissements"/>
        <s v="Entretenir les infrastructures hydrauliques existantes (pompes,…)"/>
        <s v="Procéder au curage régulier des cunettes en zone sensible sur base du programme d’entretien des infrastructures"/>
        <s v="Vallée de la Woluwe aval"/>
        <s v="Vallée du Molenbeek-aval/Heyselbeek"/>
        <s v="Versant de Forest/Saint Gilles"/>
        <s v="Vallée du Broeckbeek"/>
        <s v="Vallée du Verrewinkelbeek"/>
        <s v="Vallée du Paruck"/>
        <s v="Ten Reuken"/>
        <s v="Finaliser la carte répondant aux critères de l’arrêté royal du 12 octobre 2005 à partir des données de VIVAQUA"/>
        <s v="Valider en plateforme de coordination  la carte"/>
        <s v="Faire acter la cartographie par le Gouvernement bruxellois avant de l’envoyer au service fédéral compétent pour modifier l’arrêté royal du 28 février 2007 portant délimitation des zones à risque visées à l'article 129, § 1er, de la loi du 4 avril 2014 relative aux assurances"/>
        <s v="Croiser la carte des zones inondables avec la localisation des activités dangereuses (DB permis, Seveso,…)"/>
        <s v="Informer les propriétaires du risque d’inondation, impliquer la cellule refoulement d’égout de Vivaqua"/>
        <s v="Etudier la faisabilité juridique d’intégrer des mesures spéciales de préservation dans les permis dans les zones inondables"/>
        <s v="Informer le centre de crise des infrastructures sensibles"/>
        <s v="Intégrer dans la réglementation urbanistique des prescriptions :_x000a_· visant une conception adaptée du bâti en zone inondable pour minimiser les conséquences néfastes en cas d'inondation (au moins démontrer une réflexion sur le risque que court le bâti considéré et les solutions envisagées) ;_x000a_· faisant de la carte des zones inondables un outil à portée réglementaire ;_x000a_· imposant un avis relatif à la thématique de l'eau à toute construction d'infrastructures et bâtiments situés en zone inondable."/>
        <s v="Mettre en place une cellule &quot;conseils&quot; :_x000a_Délivrer des conseils techniques aux habitants dont l’habitation est fréquemment touchée par des inondations du fait de la non étanchéité du système d’évacuation des eaux usées jusqu’au niveau de la voirie."/>
        <s v="Assurer un suivi régulier des prévisions météorologiques et des consommations en eau en période de sécheresse prolongée"/>
        <s v="Pourvoir à une alimentation optimale des réservoirs d’eau alimentant la Région de Bruxelles-Capitale, par la mise en service de captages de réserve, le cas échéant"/>
        <s v="Sensibiliser la population en cas de risque de pénuries d’eau lors des périodes de pics de consommation"/>
        <s v="Déterminer les seuils en-deçà desquels des restrictions de captages et de prélèvement d’eau doivent pouvoir être imposées, notamment dans ou à proximité immédiate de zones protégées."/>
        <s v="Définir les règles de priorisation des usages de l’eau en cas de risque de pénurie."/>
        <s v="Adapter les conditions fixées dans les nouvelles autorisations de captages d’eau souterraine  pour tenir compte des épisodes de sécheresse ou de pénurie d’eau."/>
        <s v="Imposer de nouvelles conditions dans les autorisations de prélèvements d’eau dans les cours d’eau non navigables"/>
        <s v="Etablir un registre des prélèvements autorisés dans les cours d’eau non navigables"/>
        <s v="Assurer le contrôle du respect des mesures de restriction et de priorisation."/>
        <s v="Dresser un inventaire des éléments et sites naturels les plus vulnérables aux épisodes de sécheresse, pour fonder et prioriser les actions qui permettront d’assurer les différents critères de conservation (taux d’humidité, niveaux des pièces d’eau, ecological flow,…) en cas de crise sècheresse"/>
        <s v="Renforcer  le suivi des niveaux piézométriques  (fréquence des mesures, densité des sites mesurés,…), du débit des sources, dans les zones d’alimentation hydrogéologiques de certains écosystèmes terrestres et aquatiques associés en cas de crise sécheresse (cf. aussi M 3.4)"/>
        <s v="Etablir des seuils critiques de niveaux piézométriques en lien avec les observations faites in situ et les valeurs de référence des critères hydrologiques de bon état de conservation des habitats Natura 2000 associés aux eaux souterraines et les résultats des simulations faites qui déclenchent la mise en œuvre de mesures de sauvegarde pour les écosystèmes associés (cf. aussi M 3.4)"/>
        <s v="Mettre en place des mesures de prévention (aménagements limitant le ruissellement, …) et de sauvegarde des écosystèmes dépendants (irrigation ciblée, gestion spécifique des captages, …), et de la faune en péril (création de zones refuges, déplacement temporaire des poissons,..)"/>
        <s v="Assurer un monitoring renforcé (recours à la télémétrie du réseau de piézomètres) des nappes wallonnes et rivière alimentant la Région de Bruxelles-Capitale en eau potable"/>
        <s v="Détecter les signes précoces de manque d’eau dans les zones d’approvisionnement en eau potable, dont la Meuse"/>
        <s v="Poursuivre la surveillance continue des niveaux permettant la sécurité de la navigation"/>
        <s v="Entretenir les systèmes de pompage des écluses permettant de réguler le niveau d’eau"/>
        <s v="Mettre en oeuvre des mesures permettant de limiter la diminution du niveau d’eau dans les biefs (ex: activation des vannes, regroupement des bateaux lors des éclusages en période de sécheresse)"/>
        <s v="Equiper le Canal de nouvelles sondes de pression raccordées au réseau Flowbru (Bassin Béco, Pont de Buda) = M.1.22"/>
        <s v="Tenir à jour l’inventaire annuel des prises d’eau et restitutions dans le Canal et effectuer une visite de contrôle annuelle"/>
        <s v="Equiper les prises d’eau dans le Canal de compteurs connectés permettant un suivi régulier des prélèvements et effectuer une visite de contrôle annuelle"/>
        <s v="Examiner les nouvelles demandes de prises d’eau dans le Canal"/>
        <s v="Adapter la politique de captage d’eau dans le Canal en cas d’augmentation notable de la demande en eau, ou de modification substantielle de son utilisation (en particulier : avec ou sans restitution) ou de ses conditions de rejet (notamment température)"/>
        <s v="Poursuivre l’imposition de conditions environnementales sur les rejets de prélèvements et restitution en fonction de l’usage de ceux-ci"/>
        <s v="Mener des campagnes d’information sur le phénomène d’algues bleues"/>
        <s v="Prise de mesures ponctuelles au moyen de la sonde multiparamètres mobile et de tests immuno-enzymatiques ELISA quand cela s’avère pertinent (par ex : suspicion de bloom de cyanobactéries, surmortalité de poissons)"/>
        <s v="Etudier les phénomènes de surmortalité de poissons  : analyse de données qualité de la (les) sonde(s) en continu FlowBru sur le Canal, analyse de données ponctuelles de la sonde qualité mobile et des tests immuno-enzymatiques ELISA récoltées dans le Canal, installation et analyse de données qualité des robots du projet Smart Water, et modélisation des blooms d’algues bleues, dans l’optique de comprendre les phénomènes à l’origine de la surmortalité des poissons de rechercher des solutions permettant d’en réduire les effets"/>
        <s v="Etudier la faisabilité de mettre en œuvre des actions ou d’installer des dispositifs sur le Canal permettant d’apporter de l’oxygène en période d’hypoxie (ou de risque d’hypoxie, comme lors de blooms d’algues bleues ou de sécheresse) (tels que, de façon non-exhaustive : renouvellement d’eau, aérateur, barrière à bulles, installation locale de radeaux végétalisés)"/>
        <s v="Étudier la possibilité d’ouvrir les écluses pour renouveler les eaux du Canal en cas de besoin (canicule/sécheresse/manque de passage de bateau/présence de blooms de cyanobactéries/eau très turbide/hypoxie/animaux en détresse ou morts)"/>
        <s v="Revoir le choix des végétaux à mettre en place dans les espaces verts bruxellois"/>
        <s v="Concevoir les espaces verts et apporter les aménagements nécessaires à une gestion plus rationnelle de l’eau"/>
        <s v="Prendre les mesures visant à diminuer le recours à l’eau potable en favorisant l’eau pluviale et en limitant les besoins en eau"/>
        <s v="Communication et sensibilisation à cette gestion raisonnée des espaces verts via un référentiel de gestion écologique"/>
        <s v="Tous publics :_x000a_Accompagner les différentes catégories de public par le développement d’outils techniques notamment pour estimer les besoins en eaux (calculateur) et pour identifier les solutions à mettre en place au cas par cas."/>
        <s v="Maraîchers/cultures Professionnels_x000a_- Mise en place d’un soutien dédicacé pour une transition vers des pratiques plus exemplaires en s’appuyant sur les structures existantes (primes à la récupération, pour la réalisation d’audits…);_x000a_- Prise en  compte de la question de la gestion de l’eau lors de l’attribution de subsides (ex. appel à projets en agriculture durable, économie et emploi)  et lors de l’acquisition de foncier ou création infrastructures (conditionnalités de certaines aides à étudier)_x000a_Ces actions s’établissent en coordination avec la Stratégie Good Food vers un système alimentaire durable en Région de Bruxelles-Capitale"/>
        <s v="Potagers collectifs :_x000a_encourager le placement et le raccordement des citernes de récupération d’eau de pluie et pratiques agricoles économes en eaux par de de l’accompagnement via :_x000a_a)     via formations (voir M 5.4), et développement de contenus didactiques ;_x000a_b)     l’adoption et révision des Chartes et pratiques associées, notamment en incitant à une mise en commun des ressources (citerne enterrée de récupération de grande capacité, mise en place d’un référent Eau, constitution de stocks communs en hiver sur une parcelle,…) ;_x000a_c)) Soutien à la mise en place de projets exemplaires via appel à projet Inspirons le quartier (projets collectifs citoyens) ou Actions Climat (projets communaux) – voir M.8.5"/>
        <s v="Dans les potagers sous gestion de Bruxelles Environnement, étudier au regard des contraintes éventuelles (enjeux paysagers,…) des alternatives (techniques ou de mise en œuvre) à l’utilisation d’eau potable (bornes fontaines) pour l’irrigation"/>
        <s v="Lors de projet d’urbanisation ou de revitalisation urbaine, analyser systématiquement la possibilité de répondre aux besoins en eau de l’agriculture urbaine à proximité via la récupération d’eaux de toitures (convention pour alimenter les potagers)"/>
        <s v="Tous publics :_x000a_Développer des lignes directrices permettant d’assurer l’équilibre entre enjeux socio-économiques (continuité d’approvisionnement en eau) et environnementaux (préservation de la ressource) en se basant sur quelques cas d’étude (10 aine)"/>
        <s v="Tous publics :_x000a_Etudier le coût-bénéfice d’alternatives à l’eau potable aux regards notamment des aspects sanitaires et traitements possibles (eaux grises, eaux d’exhaure, …) et intégrer le cas échéant aux lignes directrices, en coordination avec les instances fédérales (Afsca,…)"/>
        <s v="Mise en place formelle et officielle de la cellule « sécheresse », groupe de travail initialement mis en place pour l’élaboration de ces mesures, en identifiant et attribuant les rôles à chaque intervenant."/>
        <s v="Assurer une communication cohérente à travers cette cellule « sécheresse »"/>
        <s v="Au sein de la cellule Sécheresse (cf. M 5.23), créer une groupe de travail impliquant les différents acteurs de l’eau, les services météorologiques et les autorités gérant les crises sur le terrain afin de s’accorder sur un indicateur « sécheresse » permettant de déterminer les phases d’alerte"/>
        <s v="Mettre en place un premier système d'alerte pour les inondations fluviales. Préalablement, les démarches auprès des autorités flamandes seront entreprises pour établir un partenariat dans le cadre de waterinfo, et adapter le cas échéant le format et le traitement de nos données d’observations et de simulations"/>
        <s v="Opérationaliser le « nowcasting » orage et le déclenchement de phase d’alerte « sécheresse » sur base de l’indicateur développé et des échanges avec les centre de crise wallon et commission sécheresse de Flandre"/>
        <s v="Etendre le système d’alerte fluvial en y intégrant les inondations pluviales, sur base de l’expérience acquise avec le système fluvial."/>
        <s v="Valoriser le système dans le cadre de la gestion dynamique visant à limiter les déversements d’orage (cf. M 1.9)"/>
        <s v="Etablir une évaluation de la planification d’intervention d’urgence telle qu’actuellement en vigueur en Région de Bruxelles-Capitale, dresser un état des lieux sur le fonctionnement propre des intervenants (opérateur de l’eau, services d'intervention), les moyens particuliers d'intervention disponibles, les coordonnées des personnes spécifiquement concernées par le risque, et se nourrir des outils existants dans les autres Régions ou mis en place suite aux expériences récentes de gestion de crise."/>
        <s v="Sur base de l’évaluation, établir une « fiche-réflexe » ou un « schéma d’alerte » qui serait adapté pour une situation de crise (inondation ou sécheresse) comme prémisse au Plan Particulier d’Urgence et d’intervention (PPUI)"/>
        <s v="Réaliser un Plan Particulier d'Urgence et d'Intervention consacré au risque spécifique d’inondation et de sécheresse, qui :_x000a_-  décrit les risques et détermine les zones de planification d'urgence, distingue les différents scénarios possibles et les procédures d'intervention spécifiques à chacun d’eux, détermine l'organisation de la coordination des opérations et la chaine de commandement sous la direction de BPS;_x000a_- détermine les mesures de protection des biens et des personnes (notamment des intervenants), les localisations pouvant être intégrée dans un dispositif opérationnel (établissement d’un poste de commandement opérationnel multidisciplinaire, d’un éventuel poste médical avancé, d’un centre d’accueil pour personnes impliquées, d’un centre d’accueil pour la presse, etc.)d) détermine les procédures d'information des services de secours et de la population."/>
        <s v="Intégrer aux Plans d'Intervention Psychosociale existants la prise en compte spécifique du risque d'inondation et de sécheresse et préparer notamment l'accompagnement psychologique des victimes, ainsi que leur éventuel relogement temporaire (recensement de la population potentiellement concernée, identification des possibilités de relogement et de catering existantes, prise des contacts préalables nécessaires)"/>
        <s v="Organiser à fréquence régulière des exercices spécifiquement consacrés à la problématique des inondations en vue notamment de :_x000a_- sensibiliser les participants,_x000a_- favoriser et tester la gestion tant mono- que multidisciplinaire de l’intervention portant sur divers aspects tels que la mise en alerte, le commandement, la communication ou encore la coordination,_x000a_- améliorer les connaissances, savoir, savoir-faire et savoir être sur le terrain,- connaitre et faire connaitre l’ensemble des acteurs concernés,- rendre chaque intervenant capable de réagir à l’imprévu et de faire face à la situation d’urgence et de stress,- évaluer l’application des différents plans et procédures existants, leur interaction et, le cas échéant, les adapter aux conclusions de l’évaluation consécutive à l'exercice."/>
        <s v="Harmoniser et valider les données ‘quantité’ de Flowbru"/>
        <s v="Harmoniser les données géométriques des réseaux"/>
        <s v="Faire évoluer le GT Carto vers un GT Modélisation, harmoniser les outils de modélisation"/>
        <s v="Réalisation des modèles hydrauliques interconnectés simplifiés"/>
        <s v="Réalisation des modèles hydrologiques simplifiés"/>
        <s v="Identifier les zones de débordement, améliorer les cartes d’aléa d’inondation pluviale"/>
        <s v="Analyser virtuellement les scénarios de gestion dynamiques"/>
        <s v="Optimiser les captages actuellement exploités par VIVAQUA où certaines portions, bien qu’autorisées, sont en décharge permanente à cause d’une grande sensibilité aux évènements pluvieux. Une modernisation de ces captages (avec ou sans traitement selon les cas) permettrait d’adduire des volumes supplémentaires"/>
        <s v="Optimiser les captages actuellement exploités par VIVAQUA où un fonctionnement alternatif est possible moyennant une adaptation des autorisations ou des captages où les autorisations permettent le prélèvement de volumes supplémentaires moyennant de nouvelles installations"/>
        <s v="Réhabiliter les anciens captages ou la mise en adduction des eaux de dalots (des drains construits sous certaines portions des collecteurs d’amenée des eaux et dont les eaux sont mises en décharge) est également une piste que VIVAQUA investigue depuis qu’un monitoring de ces eaux, initié dans le Water Quantity Plan, a montré qu’elles étaient potables ou potabilisables"/>
        <s v="Valoriser les eaux d’exhaure de carrières, eaux qui sont aujourd’hui rejetées dans les eaux de surface alors qu’elles sont potables ou potabilisables. VIVAQUA étudie d’ores et déjà une piste très concrète"/>
        <s v="Prospecter de nouveaux sites de captage le long du réseau d’adduction de VIVAQUA, tant pour des besoins d’eau en continu que pour satisfaire à des pics de consommation. Un exemple est l’aquifère du socle paléozoïque présent sous Bruxelles à plus grande profondeur ou dans le Nord Namurois et le Brabant Wallon"/>
        <s v="Mettre en place l’entretien et la régénération des ouvrages de captage au niveau de Bruxelles. La prospection du socle paléozoïque est également une piste envisagée pour le prélèvement ponctuel d’eau potable ou potabilisable lors de pics de consommation."/>
        <s v="Analyse de l’opportunité de recourir à la recharge artificielle et/ou à des aménagements favorisant l’infiltration des eaux de pluie (à plus large échelle que la GiEP)"/>
        <s v="Identifier les lieux qui s’y disposent, le cas échéant"/>
        <s v="Mener une politique de communication portant sur la culture du risque lié aux inondations et aux épisodes de sécheresse pour la Région via les canaux appropriés."/>
        <s v="Prévenir et accompagner les personnes sinistrées en cas de survenance d’inondation ou de sécheresse"/>
        <s v="GiEP et mesures de protection _x000a_Proposer des séances de sensibilisation, de partage d’expériences et d’échanges de connaissance sous forme de visites, de conférences ou d’atelier dirigées vers tous les publics professionnels ou privés."/>
        <s v="GiEP et mesures de protection_x000a_Offrir une gamme de formations adaptées aux différents publics (régionaux, communaux, bâti, espace public, professionnels, sensibilisation, avancés,…). Les formations sont assurées par le Facilitateur Eau (avec sous-traitants selon besoin) et co-organisées soit par le Département Eau, soit par le Service Formation de BE."/>
        <s v="GiEP et mesures de protection_x000a_Développer et diffuser du contenu à destination des particuliers en vue de les informer/sensibiliser au mieux sur leur rôle et les actions qui sont entre leurs mains, via tous les canaux de communication de BE mais aussi  via nos partenaires externes dans leurs missions quotidiennes (homegrade.brussels, le Réseau Habitat, associations proches des citoyens,…). Des FAQs seraient également développées dans cet objectif et un canal de communication ad hoc identifié pour répondre de manière personnalisée aux questions plus spécifiques."/>
        <s v="GiEP et mesures de protection_x000a_Envoi vers M 5.5 : carte du Maillage Pluie"/>
        <s v="GiEP et mesures de protection_x000a_Développer des contenus en commun et intégrer aux outils existants un focus sur des réalisations exemplaires (success-story)  en espaces publics pour les mettre en avant et leur offrir une visibilité plus pérenne"/>
        <s v="Sécheresse_x000a_Communiquer sur l’effet d’Îlots de chaleur urbain (ICU) et la manière de limiter localement cet effet"/>
        <s v="Inondation_x000a_Conscientiser les habitants sur l’impact favorable de l’adaptation du bâti."/>
        <s v="Finaliser le projet prioritaire 25 - Water Quantity Plan (phase 2 : 2025-2040)"/>
        <s v="Communiquer sur le Water Quantity Plan"/>
        <s v="Assurer une veille scientifique et poursuivre la collecte de données utiles"/>
        <s v="Évaluer (sur base de modélisation et de scénarios climatiques) l’impact du changement climatique sur les eaux souterraines : baisse piézométrique, baisse de débit de la galerie VIVAQUA et de l’alimentation des eaux de surface, impact sur les écosystèmes dépendants des eaux souterraines, incidence sur les usages des eaux souterraines (captages et géothermie)"/>
        <s v="Evaluer l’impact du changement climatique sur les étangs en termes budgétaire afin de pouvoir anticiper l’ampleur des surcoûts à prévoir"/>
        <s v="Évaluer l’impact du changement climatique sur la qualité des masses d’eau de surface"/>
        <s v="Encourager les projets d’innovation en matière de résilience de la Région face aux perturbations du cycle de l’eau"/>
        <s v="Prendre part aux appels à projets menant à des partenariats européens d’innovation"/>
        <s v="Etablir une vision programmatique par sous-bassin versant pour les travaux extraordinaires à réaliser sur le réseau hydrographique"/>
        <s v="Etablir un plan d’entretien par sous-bassin versant pour les travaux ordinaires et de lutte contre les espèces invasives"/>
        <s v="Finalisation et approbation du plan de gestion des étangs"/>
        <s v="Mener à bien le Projet « SmartWater », projet de sciences citoyennes de monitoring pour optimiser l'état des eaux de surface et comprenant un volet de modélisation des cyanobactéries, pour orienter la gestion des étangs selon les résultats observés"/>
        <s v="Intégration du plan de gestion des étangs dans les différents plans de gestion des sites Natura 2000"/>
        <s v="Mesure de suivi de la qualité des étangs et du degré d’envasement : monitoring de la qualité de la colonne d’eau, des sédiments et de la qualité biologique, bathymétries, et autres suivis réguliers ou ponctuels"/>
        <s v="Réaliser les entretiens des siphons"/>
        <s v="Mener des actions ponctuelles d’investigation et de débouchage"/>
        <s v="Réaliser les travaux  d’entretien hydraulique sur les cours d’eau et étangs (y compris curage des cours d’eau en plein air ou en pertuis)"/>
        <s v="Réaliser des plantations, débroussaillages, des actions d’éco-pâturage, de nettoyage et d’élagage"/>
        <s v="Assurer les curages  d’entretien nécessaires des étangs et mares"/>
        <s v="Evaluer les rôles et responsabilités des gestionnaires présumés (évacuation des produits de fauches, plan de plantation avec des plantes indigènes, ….)"/>
        <s v="Entretenir le pertuis de la Senne (ouvrage)"/>
        <s v="Evacuer préventivement les sources d’embâcles le long des cours d’eau (branchages,…)"/>
        <s v="Identification et géolocalisation des résurgences"/>
        <s v="Validation hydrogéologique et intégration dans une base de données et outils cartographiques (atlas, geodata)"/>
        <s v="Communication et mise à disposition des cartes de sensibilisation au public"/>
        <s v="Envisager la mise en valeur des sources par l’amélioration de leur visibilité dans l’espace public"/>
        <s v="Assurer une présence sur terrain pour sensibiliser, contrôler et, le cas échéant, sanctionner les personnes qui contreviendraient aux règles établies pour la préservation du réseau hydrographique (y compris formation des agents)"/>
        <s v="Réaliser une étude pour créer une promenade lors de l’aménagement de berges de la Senne et lit naturels et d’un bras mort à hauteur de la Rue du Charroi (île Sainte Hélène, en aval du Boulevard Paepsem) (partie balade - voir également fiche M1.2)"/>
        <s v="Poursuivre l’aménagement de berges de la Senne et lit naturels et d’un bras mort à hauteur de la Rue du Charroi (île Sainte Hélène, en aval du Boulevard Paepsem)_x000a_(partie  promenade - voir également fiche M1.2 pour la renaturation)"/>
        <s v="Réaliser une étude de faisabilité pour l’aménagement d’une promenade le long de la Senne entre la Rue du Charroi et la Rue des Vétérinaires"/>
        <s v="Projet « Max-sur-Senne » : réaménagement du parc Maximilien avec mise à ciel ouvert de la Senne sur une longueur de 580 m minimum – Etude (partie promenade - voir également fiche M 1.1 pour la mise à ciel ouvert du cours d’eau)"/>
        <s v="Projet « Max-sur-Senne » : réaménagement du parc Maximilien avec mise à ciel ouvert de la Senne sur une longueur de 580 m minimum – Travaux (partie promenade - voir également fiche M 1.1 pour la mise à ciel ouvert du cours d’eau)"/>
        <s v="Mettre en valeur la Senne sur le site de Schaerbeek Formation par la création de promenade – phase étude (partie promenade  - voir également fiche M 1.1 pour la mise à ciel ouvert du cours d’eau)"/>
        <s v="Mettre en valeur la Senne sur le site de Schaerbeek Formation par la création de promenade – phase travaux (partie promenade - voir également fiche M 1.1 pour la mise à ciel ouvert du cours d’eau)"/>
        <s v="Réaliser une étude interne de faisabilité pour l’ouverture de la promenade existante du domaine de Val Duchesse  pour permettre la promenade le long de la Woluwe"/>
        <s v="Mettre en valeur le réseau hydrographique et son histoire au travers de promenades thématiques"/>
        <s v="Aménager des berges naturelles et d’une promenade entre la Rue du Charroi et la Rue des Vétérinaires – Etude (partie promenade - voir également fiche M1.2 pour la renaturation)"/>
        <s v="Aménager des berges naturelles entre la Dérivation d’Aa et la Rue Bollinckx – Etude (voir également fiche M1.2 pour la renaturation)"/>
        <s v="Aménager des berges naturelles entre la Dérivation d’Aa et la Rue Bollinckx – Travaux (voir également fiche M1.2 pour la renaturation)"/>
        <s v="Mener une étude projet d’aménagement d’un étang de baignade et ses abords (pour les parties qui ne concernent pas l’étang de baignade, voir également fiche M 3.7)"/>
        <s v="Adapter le cadre réglementaire des piscines"/>
        <s v="Réaliser les travaux d’aménagement d’un étang de baignade et de ses abords (pour les parties qui ne concernent pas l’étang de baignade, voir également fiche M 3.7)"/>
        <s v="Gestion de l’étang de baignade"/>
        <s v="Etablir une vision interne et partagée de la pratique de la pêche en Région de Bruxelles-Capitale "/>
        <s v="Rédiger et adopter un arrêté fixant la réglementation et le contrôle de la pratique de la pêche en Région de Bruxelles-Capitale "/>
        <s v="Mettre en œuvre les instruments définis dans l’arrêté"/>
        <s v="Rédiger un cadre de bonnes pratiques pour la promotion d’une pratique plus durable de la pêche dans les espaces privés et communaux"/>
        <s v="Etudier les différents traitements d’eau permettant d’assurer une recirculation d’eau tout en facilitant la gestion et l’entretien des installations"/>
        <s v="Mettre en œuvre la plaine de jeu d’eau de l’hippodrome d’Uccle-Boitsfort"/>
        <s v="Etudier et mettre en œuvre un pôle récréatif au niveau du parc régional de la Pede comprenant des jeux d’eau"/>
        <s v="Assurer l’entretien des installations"/>
        <s v="Réaliser des aménagements divers pour renforcer la place du Canal dans l’environnement urbain en fonction de développements de projets portés par le Port de Bruxelles, les entreprises portuaires ou par d’autres acteurs publics (par exemple : création de connexions cyclo-piétonnes, d’espaces accessibles au public, d’abaissements de quais...) "/>
        <s v="Mise en place d’une dynamique de communication avec les habitants/riverains"/>
        <s v="Organisation par le Port d’événements tout public, comme la « fête du Port »"/>
        <s v="Encadrer les activités nautiques et récréatives sur la voie d’eau et assurer l’entretien des quais, pontons et berges pour en permettre la pratique en toute sécurité"/>
        <s v="Autoriser, sous forme de convention, l’organisation d’activités ponctuelles, festives et/ou récréatives"/>
        <s v="Communiquer adéquatement sur les activités autorisées ou interdites sur la voie d’eau (pêche, navimodélisme, baignade)"/>
        <s v="Recenser les cours d’eau non navigables classés / non classés pouvant faire l’objet d’un statut particulier de protection et valider cette proposition de classement auprès des communes. "/>
        <s v="Recenser et désigner les étangs régionaux"/>
        <s v="Faire les relevés topographiques par des géomètres pour les tronçons du réseau hydrographique qui n'ont pas encore fait l'objet d'un relevé récent ou qui ont fait l'objet de travaux d’aménagement ou de rénovation pour la mise à jour continue de l’Atlas."/>
        <s v="Introduire l’ensemble des données relevées dans une base de données informatique géoréférencée, valider ces données et définir la forme, le contenu et la présentation de l'Atlas. "/>
        <s v="Rédiger et adopter l’arrêté du Gouvernement opérant le classement des cours d’eau non navigables et approuvant l’Atlas"/>
        <s v="Enquête publique auprès des communes"/>
        <s v="Assurer la diffusion de l’Atlas"/>
        <s v="Sectorisation accrue des réseaux._x000a_1er Objectif: obtenir 65 zones DMA pour fin 2024 _x000a_2ème Objectif: obtenir 72 zones DMA pour fin 2027"/>
        <s v="Campagne de détection de fuites via images par satellite . Vision des 2380 km de réseau en RBC tous les 3 ans"/>
        <s v="Réaliser une veille technologique sur les compteurs d’eau  à l’'aide du programme de monitoring Leakredux Totalement opérationnel en 2022 puis maintenance et mise à niveau annuelle en fonction de l’avancée de la sectorisation"/>
        <s v="Assurer des équipes compétentes et efficaces permettant de réagir rapidement en cas de problèmes constatés (fuites, …) et apporter les correctifs nécessaires"/>
        <s v="Tenir à jour une cartographie des réseaux localisant les conduites et leurs caractéristiques et leur état de vétusté"/>
        <s v="Réaliser les travaux de renouvellement des canalisations de distribution et répartition"/>
        <s v="Assurer un contrôle et entretien régulier des hydrants (à charge des communes après  2022)"/>
        <s v="Encourager la fourniture de l’eau du robinet, à titre gratuit ou moyennant des frais de services peu élevés, dans l’HORECA, les cantines, les centres sportifs, les centres culturels et dans tous les types de services de restauration ainsi que lors d’événement organisés par ces services._x000a_Pour les écoles, cet encouragement peut passer par la mise à disposition de dossiers pédagogiques par exemple."/>
        <s v="Dans les secteurs momentanément non concernés par l’interdiction décrite dans le Brudalex : promouvoir dans tous les labels et chartes (Good Food, eco-schools, bubble, etc.) une utilisation rationnelle de l’eau et une utilisation de l’eau de distribution comme critère."/>
        <s v="Promotion et sensibilisation de l’utilisation de l’eau du robinet dans les établissements scolaires par l’installation de fontaines d’eau potable avec des  soutiens technique à la maintenance et pédagogique à la sensibilisation."/>
        <s v="Imposer l’abandon du recours à l’eau en bouteille au profit de l’eau de distribution lors d’événements subventionnés par les pouvoirs publics."/>
        <s v="Communiquer auprès des citoyens concernant la qualité de l’eau du robinet (via les réseaux sociaux, newsletter client, site web, stands pédagogiques, etc.)."/>
        <s v="Encourager l’utilisation de l’eau de distribution dans les espaces privés dans les communications régionales et communales (site Internet par exemple)"/>
        <s v="Proposition de mesures de Brudalex :_x000a_interdire aux autorités régionales  de servir des boissons dans des récipients à usage unique dans leurs propres activités et lors des événements qu'elles organisent_x000a_interdire la consommation des bouteilles d’eau au sein des bâtiments dépendants des pouvoirs publics régionaux et communaux, tout comme lors d’événements sponsorisés par ceux-ci._x000a_Après, une première phase de mise en œuvre, élargir l’interdiction à tous les évènements accessibles au public tant en intérieur qu’en extérieur, en impliquant en particulier les fédérations sportives et les organisateurs d’évènements."/>
        <s v="Actualiser et améliorer le matériel et contenu existants"/>
        <s v="Optimaliser la promotion de ce matériel et contenu"/>
        <s v="Renforcer la promotion des équipements et aménagements sur les canaux BE"/>
        <s v="Renforcer la promotion des équipements et aménagements via les partenaires externes"/>
        <s v="Permettre aux usagers de l’eau de faire réaliser un « Audit Eau » de leurs installations (// waterscan)"/>
        <s v="Evaluer la faisabilité d’introduire la thématique « eau » dans le programme PLAGE et son efficacité quant à son impact environnemental par rapport aux investissements consentis."/>
        <s v="Préparer l’intégration à la démarche PLAGE en menant des projets pilotes de sensibilisation à la prise en compte de la performance en matière de consommation d’eau sur une base volontaire notamment via le réseau des « agents eau » communaux et les acteurs du PLAGE « énergie »"/>
        <s v="Modifier le Code bruxellois de l'Air, du Climat et de la Maîtrise de l'Energie"/>
        <s v="Appliquer la législation révisée et complétée à la "/>
        <s v="Actualiser, regrouper et améliorer le matériel et contenu existants relatifs aux bonnes pratiques, selon les secteurs cibles"/>
        <s v="Préparer des contenus, matériels, et formats adaptés, sur base des retours d’expérience"/>
        <s v="Veiller à un partage large de ces recommandations concrètes"/>
        <s v="Diffuser plus largement le  matériel existant à destination des écoles, le développer et soutenir les associations travaillant sur la thématique de l’utilisation rationnelle d’eau dans ce secteur."/>
        <s v="Placer des compteurs « col de cygne » dans les communes partenaires pour identifier les consommations d’eau de certaines activités (marchés, …) en vue de chercher des approvisionnements alternatifs"/>
        <s v="Assurer un suivi systématique des consommations d’eau dans les potagers gérés par Bruxelles Environnement"/>
        <s v="Mettre en place en partenariat avec notamment les universités (écoles d’été), centre agro-écologique et FédéAU des formations sur l’utilisation rationnelle d’eau et bonnes pratiques agricoles (agro-écologiques,…) "/>
        <s v="Sensibiliser et/ou soutenir les projets d’innovation visant à valoriser les eaux issues des rabattements de nappe (cf. aussi M 8.5) "/>
        <s v="Mettre en place un mécanisme financier incitatif à la valorisation des eaux de rabattement (telle une redevance ‘assainissement’ spécifique) "/>
        <s v="Sensibiliser/informer les exploitants de chantier à la valorisation des eaux issues des rabattements de nappe"/>
        <s v="Prévoir des conditions spécifiques dans les autorisations de captage visant à encourager une valorisation des eaux de rabattements et encadrant cette valorisation."/>
        <s v="Lever les éventuels freins pour le rejet des eaux de rabattement vers le réseau hydrographique :_x000a_- Faire évoluer les procédures permettant une valorisation de l’eau issue de rabattement temporaires et permanents en eau de surface ;_x000a_- Assurer la cohérence entre les  normes de qualité des eaux de surface avec celles des eaux du sol en cas de rabattement effectué dans le cadre d’un assainissement de sol pollué ;_x000a_- Prévoir ensuite les conditions spécifiques en cas de de rejet direct dans le réseau hydrographique (respect des berges et des normes de rejet) "/>
        <s v="Envisager une clause particulière dans les marchés publics de travaux des autorités publiques impliquant un rabattement de nappe afin de valoriser les eaux de rabattement et assurer un rôle d’exemplarité(*)"/>
        <s v="Mise en place d’une installation pilote d’eau de &quot;re-use&quot; industrielle"/>
        <s v="Adoption d’un arrêté spécifique à la réutilisation de l’eau de 2ème circuit (water reuse) "/>
        <s v="Encourager le développement et le recours à l’eau de &quot;re-use&quot;"/>
        <s v="Déterminer les usages qui peuvent être faits des sources inventoriées en fonction de leur productivité et de la qualité des eaux"/>
        <s v="Mettre en place une signalétique adéquate en fonction des usages autorisés, lorsque l’usage de l’eau est autorisé."/>
        <s v="Consultation des experts et du secteur sur la règlementation à mettre en place pour les systèmes géothermiques fermés"/>
        <s v=" Rédaction d’un arrêté relatif aux systèmes géothermiques fermés"/>
        <s v="Adoption d’un arrêté déterminant des conditions-types pour les systèmes géothermiques fermés"/>
        <s v="Recensement des installations géothermiques en Région de Bruxelles-Capitale"/>
        <s v="Régularisation des installations mises en service avant le 1er avril 2019 et n’ayant pas rempli une déclaration environnementale ne disposant pas d’un permis d’environnement pour exploiter"/>
        <s v="Mise à jour continue du cadastre des installations géothermiques"/>
        <s v="Procéder aux upgrades de BrugeoTool (v2+) – fonctionnalité « analyse géothermique »"/>
        <s v="Pérenniser le réseau institutionnel et académique bruxellois constitué d’experts en géothermie"/>
        <s v="Réaliser des missions de facilitation et de formations sur le thème de la géothermie"/>
        <s v="Assurer un monitoring du premier projet à Uccle afin de pouvoir évaluer les performances du système"/>
        <s v="Mise en œuvre d’un dispositif de riothermie pour le futur centre administratif de Bruxelles-Ville et assurer un monitoring de ce projet afin de pouvoir évaluer les performances du système"/>
        <s v="Assurer une veille technologique et collaborer avec les bureaux d’études et maitres d’ouvrage intéressés afin de développer différents projets et déterminer les avantages et limites de cette technique"/>
        <s v="Rédaction coordonnée et concertée du plan faîtier "/>
        <s v="Coordination et partage d’informations entre les Etats membres du DHI de l’Escaut"/>
        <s v="Participer aux réunions CCPIE "/>
        <s v="Participer à la concertation transfrontière au niveau local (‘GOW’) (+- 1/an)"/>
        <s v="Mener à terme les actions bruxelloises inscrites dans le projet inter-régional LIFE Belini d’ici fin 2026 "/>
        <s v="Faciliter l'échange d'informations et en améliorer la transparence"/>
        <s v="Poursuivre les échanges interrégionaux menant à une gestion coordonnée des voies navigables"/>
        <s v="Coordonner les missions de service public des opérateurs et acteurs dans la mise en œuvre de la politique de l’eau."/>
        <s v="Renforcer la coordination thématique au sein de groupes de travail ad hoc créés dans le cadre de la Plateforme de coordination."/>
        <s v="Renforcer la coordination par bassin versant au sein de groupes de travail ad hoc créés dans le cadre de la Plateforme de coordination."/>
        <s v="Renforcer la coordination et l’échange entre les différents groupes de travail thématiques et par bassin versant avec les acteurs de l’eau (administrations régionales, associations, monde académique et de la recherche, etc.)."/>
        <s v="Faciliter l'échange d'informations en améliorant la transparence de la Plateforme de coordination et en intensifiant les échanges avec les autres acteurs régionaux concernés."/>
        <s v="Émettre des avis coordonnés dans le cadre de modifications réglementaires, sur des projets d’aménagement du territoire, le développement d’outils, de méthodes ayant un impact sur le secteur de l’eau. Mais également émettre des réponses coordonnées suite à des interpellations d’un ou plusieurs opérateurs de l’eau."/>
        <s v="Organiser des événements d’échanges de connaissance :_x000a_avec les associations et le monde académique (les rencontres bruxelloises de l’eau) ;_x000a_avec les professionnels (la journée mondiale de l’eau)_x000a_avec les citoyens (les journées bruxelloises de l’eau)"/>
        <s v="Assurer l’organisation de séminaires/colloques sur les différentes thématiques de l’eau afin de permettre l’échange de bonnes pratiques et/ou de savoirs scientifiques."/>
        <s v="Participer en tant qu’observateur ou orateur aux séminaires/colloques/forums sur les différentes thématiques de l’eau pour veiller à ce que la RBC reste parfaitement informée des bonnes pratiques et/ou savoirs scientifiques internationaux, ou veiller en tant qu’orateur à partager/informer sur les bonnes pratiques et/ou savoirs scientifiques développés au sein de la Région."/>
        <s v="Valoriser toujours davantage l’expérience de la RBC en matière de gestion de l’eau spécifique au milieu urbain au travers de la participation aux séminaires/colloques/forums sur les différentes thématiques de l’eau."/>
        <s v="Continuer l’« appel à projets » auprès des communes et CPAS bruxellois afin d’encourager prioritairement à réaliser des travaux d’aménagement « nature-based solutions » ou des études préalables. Les subsides ainsi octroyés sont de l’ordre de 400.000€/an pour les travaux et de 200.000€/an pour les études._x000a_Les objectifs de l’appel à projets recouvrent également l’ensemble des mesures du PGE (donc lutte contre les inondations, utilisation rationnelle des ressources, etc.)_x000a_A noter l’existence d’un soutien complémentaire de Bruxelles Mobilité aux communes, via appel à projet pour petits projets de déminéralisation."/>
        <s v="Mettre en place ou étendre l’appel à projet _x000a_- à d’autres institutions régionales (ex : STIB, BM,…) pour développer des projets « GIEP » d’aménagement du territoire ;_x000a_- vers des acteurs privés pour développer des initiatives GIEP sur leurs parcelles _x000a_Action à développer dans l’appel à projets « Inspirons le quartier »."/>
        <s v="Introduire la thématique Eau dans l’appel à projets           « Inspirons Le Quartier»."/>
        <s v="Soutenir les Pouvoirs organisateurs des écoles pour des projets de déminéralisation et végétalisation via l’appel à projet ‘Ré-création’."/>
        <s v="Evaluer l’opportunité d’octroyer des primes aux communes plutôt que des subventions, pour faciliter leurs actions positives."/>
        <s v="Promouvoir un label visant à encourager et valoriser les projets GiEP « exemplaires » dans le domaine public ou privé en RBC.  "/>
        <s v="Soutenir les mouvements citoyens et associatifs qui mettent en œuvre le PGE 2022-2027 et plus large (comme par exemple le soutien à l’éducation à l’eau sur la qualité de l’eau du robinet)."/>
        <s v="Réaliser un diagnostic des mécanismes financiers existants au sein des institutions régionales et communales  et assurer la promotion et diffusion large de cet existant via leurs canaux de communication, les différents canaux de communication de Bruxelles Environnement ainsi que ceux des autres organismes pour lesquels la thématique s’inscrit dans les missions quotidiennes (e.g. réseau habitat, Homegrade,…)."/>
        <s v="Réaliser un diagnostic des besoins spécifiques identifiés (e.g. demandes récurrentes, manques, raisons derrière le fait que certaines primes fonctionnement et d’autres moins, analyse des situations socio-économiques…)."/>
        <s v="Mettre en place des primes ou des ajouts/extensions de champ d’application pour des primes existantes à destination des particuliers et des professionnels, avec les informations sur les étapes juridiques à établir et les couts liés à l’encadrement RH._x000a_Cette mesure devra être accompagnée d’une réflexion sur la situation socio-économique du public-cible (locataire ou propriétaire par exemple)."/>
        <s v="Assurer l’actualisation régulière des informations disponibles sur les canaux de communication des instances délivrantes, les différents canaux de communication de Bruxelles Environnement ainsi que sur ceux des autres organismes pour lesquels la thématique s’inscrit dans les missions quotidiennes (e.g. réseau habitat, Homegrade,…)."/>
      </sharedItems>
    </cacheField>
    <cacheField name="Masse d'eau" numFmtId="0">
      <sharedItems containsBlank="1" containsMixedTypes="1" containsNumber="1" containsInteger="1" minValue="0" maxValue="0"/>
    </cacheField>
    <cacheField name="2022" numFmtId="164">
      <sharedItems containsBlank="1" containsMixedTypes="1" containsNumber="1" containsInteger="1" minValue="0" maxValue="51800000"/>
    </cacheField>
    <cacheField name="2023" numFmtId="164">
      <sharedItems containsBlank="1" containsMixedTypes="1" containsNumber="1" containsInteger="1" minValue="0" maxValue="55860000"/>
    </cacheField>
    <cacheField name="2024" numFmtId="164">
      <sharedItems containsBlank="1" containsMixedTypes="1" containsNumber="1" containsInteger="1" minValue="0" maxValue="58520000"/>
    </cacheField>
    <cacheField name="2025" numFmtId="164">
      <sharedItems containsBlank="1" containsMixedTypes="1" containsNumber="1" containsInteger="1" minValue="0" maxValue="58520000"/>
    </cacheField>
    <cacheField name="2026" numFmtId="164">
      <sharedItems containsBlank="1" containsMixedTypes="1" containsNumber="1" containsInteger="1" minValue="0" maxValue="58520000"/>
    </cacheField>
    <cacheField name="2027" numFmtId="164">
      <sharedItems containsBlank="1" containsMixedTypes="1" containsNumber="1" containsInteger="1" minValue="0" maxValue="58520000"/>
    </cacheField>
    <cacheField name="Total" numFmtId="164">
      <sharedItems containsString="0" containsBlank="1" containsNumber="1" containsInteger="1" minValue="0" maxValue="34048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3">
  <r>
    <x v="0"/>
    <x v="0"/>
    <x v="0"/>
    <s v="SEN"/>
    <n v="100000"/>
    <n v="0"/>
    <n v="0"/>
    <n v="0"/>
    <n v="0"/>
    <n v="0"/>
    <n v="100000"/>
  </r>
  <r>
    <x v="0"/>
    <x v="1"/>
    <x v="1"/>
    <s v="SEN"/>
    <n v="0"/>
    <n v="1500000"/>
    <n v="1200000"/>
    <n v="1000000"/>
    <n v="0"/>
    <n v="0"/>
    <n v="3700000"/>
  </r>
  <r>
    <x v="0"/>
    <x v="2"/>
    <x v="2"/>
    <s v="SEN"/>
    <n v="0"/>
    <n v="100000"/>
    <n v="0"/>
    <n v="0"/>
    <n v="0"/>
    <n v="0"/>
    <n v="100000"/>
  </r>
  <r>
    <x v="0"/>
    <x v="3"/>
    <x v="3"/>
    <s v="SEN"/>
    <n v="0"/>
    <n v="0"/>
    <n v="0"/>
    <n v="0"/>
    <n v="0"/>
    <n v="0"/>
    <n v="0"/>
  </r>
  <r>
    <x v="0"/>
    <x v="4"/>
    <x v="4"/>
    <s v="SEN"/>
    <n v="50000"/>
    <n v="0"/>
    <n v="0"/>
    <n v="0"/>
    <n v="0"/>
    <n v="0"/>
    <n v="50000"/>
  </r>
  <r>
    <x v="0"/>
    <x v="5"/>
    <x v="5"/>
    <s v="SEN"/>
    <n v="0"/>
    <n v="0"/>
    <n v="1000000"/>
    <n v="1000000"/>
    <n v="0"/>
    <n v="0"/>
    <n v="2000000"/>
  </r>
  <r>
    <x v="0"/>
    <x v="6"/>
    <x v="6"/>
    <s v="WOL"/>
    <n v="140000"/>
    <n v="0"/>
    <n v="0"/>
    <n v="0"/>
    <n v="0"/>
    <n v="0"/>
    <n v="140000"/>
  </r>
  <r>
    <x v="0"/>
    <x v="7"/>
    <x v="7"/>
    <s v="WOL"/>
    <n v="0"/>
    <n v="0"/>
    <n v="1200000"/>
    <n v="0"/>
    <n v="0"/>
    <n v="0"/>
    <n v="1200000"/>
  </r>
  <r>
    <x v="0"/>
    <x v="8"/>
    <x v="8"/>
    <s v="WOL"/>
    <n v="0"/>
    <n v="90000"/>
    <n v="0"/>
    <n v="0"/>
    <n v="0"/>
    <n v="0"/>
    <n v="90000"/>
  </r>
  <r>
    <x v="0"/>
    <x v="9"/>
    <x v="9"/>
    <s v="WOL"/>
    <n v="0"/>
    <n v="0"/>
    <n v="0"/>
    <n v="900000"/>
    <n v="0"/>
    <n v="0"/>
    <n v="900000"/>
  </r>
  <r>
    <x v="0"/>
    <x v="10"/>
    <x v="10"/>
    <s v="SEN"/>
    <n v="0"/>
    <n v="0"/>
    <n v="100000"/>
    <n v="0"/>
    <n v="0"/>
    <n v="0"/>
    <n v="100000"/>
  </r>
  <r>
    <x v="0"/>
    <x v="11"/>
    <x v="11"/>
    <s v="SEN"/>
    <n v="0"/>
    <n v="70000"/>
    <n v="0"/>
    <n v="0"/>
    <n v="0"/>
    <n v="0"/>
    <n v="70000"/>
  </r>
  <r>
    <x v="1"/>
    <x v="12"/>
    <x v="12"/>
    <s v="SEN"/>
    <n v="80000"/>
    <n v="0"/>
    <n v="0"/>
    <n v="0"/>
    <n v="0"/>
    <n v="0"/>
    <n v="80000"/>
  </r>
  <r>
    <x v="1"/>
    <x v="13"/>
    <x v="13"/>
    <s v="SEN"/>
    <n v="0"/>
    <n v="0"/>
    <n v="0"/>
    <n v="0"/>
    <n v="1500000"/>
    <n v="0"/>
    <n v="1500000"/>
  </r>
  <r>
    <x v="1"/>
    <x v="14"/>
    <x v="14"/>
    <s v="SEN"/>
    <n v="0"/>
    <n v="0"/>
    <n v="0"/>
    <n v="0"/>
    <n v="2500000"/>
    <n v="0"/>
    <n v="2500000"/>
  </r>
  <r>
    <x v="1"/>
    <x v="15"/>
    <x v="15"/>
    <s v="SEN"/>
    <n v="90000"/>
    <n v="0"/>
    <n v="0"/>
    <n v="0"/>
    <n v="0"/>
    <n v="0"/>
    <n v="90000"/>
  </r>
  <r>
    <x v="1"/>
    <x v="16"/>
    <x v="16"/>
    <s v="SEN"/>
    <n v="0"/>
    <n v="550000"/>
    <n v="0"/>
    <n v="0"/>
    <n v="0"/>
    <n v="0"/>
    <n v="550000"/>
  </r>
  <r>
    <x v="1"/>
    <x v="17"/>
    <x v="17"/>
    <s v="SEN"/>
    <n v="0"/>
    <n v="150000"/>
    <n v="0"/>
    <n v="0"/>
    <n v="0"/>
    <n v="0"/>
    <n v="150000"/>
  </r>
  <r>
    <x v="1"/>
    <x v="18"/>
    <x v="18"/>
    <s v="SEN"/>
    <n v="0"/>
    <n v="0"/>
    <n v="0"/>
    <n v="0"/>
    <n v="0"/>
    <n v="600000"/>
    <n v="600000"/>
  </r>
  <r>
    <x v="1"/>
    <x v="19"/>
    <x v="19"/>
    <s v="SEN"/>
    <n v="0"/>
    <n v="0"/>
    <n v="0"/>
    <n v="0"/>
    <n v="150000"/>
    <n v="0"/>
    <n v="150000"/>
  </r>
  <r>
    <x v="1"/>
    <x v="20"/>
    <x v="20"/>
    <s v="SEN"/>
    <n v="0"/>
    <n v="0"/>
    <n v="0"/>
    <n v="0"/>
    <n v="0"/>
    <n v="50000"/>
    <n v="50000"/>
  </r>
  <r>
    <x v="1"/>
    <x v="21"/>
    <x v="21"/>
    <s v="SEN"/>
    <n v="0"/>
    <n v="0"/>
    <n v="0"/>
    <n v="0"/>
    <n v="0"/>
    <n v="0"/>
    <n v="0"/>
  </r>
  <r>
    <x v="1"/>
    <x v="22"/>
    <x v="22"/>
    <s v="SEN"/>
    <n v="0"/>
    <n v="0"/>
    <n v="0"/>
    <n v="0"/>
    <n v="0"/>
    <n v="0"/>
    <n v="0"/>
  </r>
  <r>
    <x v="1"/>
    <x v="23"/>
    <x v="23"/>
    <s v="SEN"/>
    <n v="0"/>
    <n v="0"/>
    <n v="0"/>
    <n v="0"/>
    <n v="0"/>
    <n v="0"/>
    <n v="0"/>
  </r>
  <r>
    <x v="1"/>
    <x v="24"/>
    <x v="24"/>
    <s v="SEN"/>
    <n v="0"/>
    <n v="0"/>
    <n v="0"/>
    <n v="0"/>
    <n v="0"/>
    <n v="0"/>
    <n v="0"/>
  </r>
  <r>
    <x v="1"/>
    <x v="25"/>
    <x v="25"/>
    <s v="WOL"/>
    <n v="90000"/>
    <n v="0"/>
    <n v="0"/>
    <n v="0"/>
    <n v="0"/>
    <n v="0"/>
    <n v="90000"/>
  </r>
  <r>
    <x v="1"/>
    <x v="26"/>
    <x v="26"/>
    <s v="WOL"/>
    <n v="0"/>
    <n v="600000"/>
    <n v="0"/>
    <n v="0"/>
    <n v="0"/>
    <n v="0"/>
    <n v="600000"/>
  </r>
  <r>
    <x v="1"/>
    <x v="27"/>
    <x v="27"/>
    <s v="WOL"/>
    <n v="0"/>
    <n v="0"/>
    <n v="0"/>
    <n v="0"/>
    <n v="0"/>
    <n v="0"/>
    <n v="0"/>
  </r>
  <r>
    <x v="1"/>
    <x v="28"/>
    <x v="28"/>
    <s v="WOL"/>
    <n v="0"/>
    <n v="0"/>
    <n v="0"/>
    <n v="0"/>
    <n v="0"/>
    <n v="0"/>
    <n v="0"/>
  </r>
  <r>
    <x v="1"/>
    <x v="29"/>
    <x v="29"/>
    <s v="WOL"/>
    <n v="0"/>
    <n v="0"/>
    <n v="0"/>
    <n v="0"/>
    <n v="0"/>
    <n v="0"/>
    <n v="0"/>
  </r>
  <r>
    <x v="1"/>
    <x v="30"/>
    <x v="30"/>
    <s v="WOL"/>
    <n v="0"/>
    <n v="0"/>
    <n v="0"/>
    <n v="0"/>
    <n v="0"/>
    <n v="0"/>
    <n v="0"/>
  </r>
  <r>
    <x v="1"/>
    <x v="31"/>
    <x v="31"/>
    <s v="CAN"/>
    <n v="0"/>
    <n v="0"/>
    <n v="0"/>
    <n v="0"/>
    <n v="0"/>
    <n v="0"/>
    <n v="0"/>
  </r>
  <r>
    <x v="1"/>
    <x v="32"/>
    <x v="32"/>
    <s v="CAN"/>
    <n v="200000"/>
    <n v="0"/>
    <n v="0"/>
    <n v="0"/>
    <n v="0"/>
    <n v="0"/>
    <n v="200000"/>
  </r>
  <r>
    <x v="1"/>
    <x v="33"/>
    <x v="33"/>
    <s v="CAN"/>
    <n v="0"/>
    <n v="30000"/>
    <n v="0"/>
    <n v="0"/>
    <n v="0"/>
    <n v="0"/>
    <n v="30000"/>
  </r>
  <r>
    <x v="1"/>
    <x v="34"/>
    <x v="34"/>
    <s v="CAN"/>
    <n v="0"/>
    <n v="0"/>
    <n v="0"/>
    <n v="0"/>
    <n v="0"/>
    <n v="0"/>
    <n v="0"/>
  </r>
  <r>
    <x v="1"/>
    <x v="35"/>
    <x v="35"/>
    <s v="CAN"/>
    <n v="0"/>
    <n v="250000"/>
    <n v="300000"/>
    <n v="285000"/>
    <n v="0"/>
    <n v="0"/>
    <n v="835000"/>
  </r>
  <r>
    <x v="1"/>
    <x v="36"/>
    <x v="36"/>
    <s v="CAN"/>
    <n v="0"/>
    <n v="0"/>
    <n v="0"/>
    <n v="200000"/>
    <n v="0"/>
    <n v="0"/>
    <n v="200000"/>
  </r>
  <r>
    <x v="1"/>
    <x v="37"/>
    <x v="37"/>
    <s v="SEN"/>
    <n v="0"/>
    <n v="0"/>
    <n v="300000"/>
    <n v="0"/>
    <n v="0"/>
    <n v="0"/>
    <n v="300000"/>
  </r>
  <r>
    <x v="1"/>
    <x v="38"/>
    <x v="38"/>
    <s v="SEN"/>
    <n v="0"/>
    <n v="0"/>
    <n v="500000"/>
    <n v="0"/>
    <n v="0"/>
    <n v="0"/>
    <n v="500000"/>
  </r>
  <r>
    <x v="1"/>
    <x v="39"/>
    <x v="39"/>
    <s v="SEN"/>
    <n v="0"/>
    <n v="0"/>
    <n v="0"/>
    <n v="200000"/>
    <n v="0"/>
    <n v="0"/>
    <n v="200000"/>
  </r>
  <r>
    <x v="2"/>
    <x v="40"/>
    <x v="40"/>
    <s v="WOL"/>
    <n v="50000"/>
    <n v="0"/>
    <n v="0"/>
    <n v="0"/>
    <n v="0"/>
    <n v="0"/>
    <n v="50000"/>
  </r>
  <r>
    <x v="2"/>
    <x v="41"/>
    <x v="41"/>
    <s v="WOL"/>
    <n v="0"/>
    <n v="0"/>
    <n v="50000"/>
    <n v="0"/>
    <n v="0"/>
    <n v="0"/>
    <n v="50000"/>
  </r>
  <r>
    <x v="2"/>
    <x v="42"/>
    <x v="42"/>
    <s v="WOL"/>
    <n v="0"/>
    <n v="0"/>
    <n v="0"/>
    <n v="0"/>
    <n v="100000"/>
    <n v="0"/>
    <n v="100000"/>
  </r>
  <r>
    <x v="2"/>
    <x v="43"/>
    <x v="43"/>
    <s v="WOL"/>
    <n v="0"/>
    <n v="0"/>
    <n v="0"/>
    <n v="0"/>
    <n v="0"/>
    <n v="0"/>
    <n v="0"/>
  </r>
  <r>
    <x v="2"/>
    <x v="44"/>
    <x v="44"/>
    <s v="SEN"/>
    <n v="0"/>
    <n v="0"/>
    <n v="0"/>
    <n v="0"/>
    <n v="250000"/>
    <n v="0"/>
    <n v="250000"/>
  </r>
  <r>
    <x v="2"/>
    <x v="45"/>
    <x v="45"/>
    <s v="WOL"/>
    <n v="0"/>
    <n v="0"/>
    <n v="0"/>
    <n v="0"/>
    <n v="0"/>
    <n v="0"/>
    <n v="0"/>
  </r>
  <r>
    <x v="2"/>
    <x v="46"/>
    <x v="46"/>
    <s v="WOL"/>
    <n v="0"/>
    <n v="0"/>
    <n v="0"/>
    <n v="0"/>
    <n v="0"/>
    <n v="0"/>
    <n v="0"/>
  </r>
  <r>
    <x v="2"/>
    <x v="47"/>
    <x v="47"/>
    <s v="WOL"/>
    <n v="0"/>
    <n v="0"/>
    <n v="0"/>
    <n v="0"/>
    <n v="0"/>
    <n v="0"/>
    <n v="0"/>
  </r>
  <r>
    <x v="2"/>
    <x v="48"/>
    <x v="48"/>
    <s v="CAN"/>
    <n v="0"/>
    <n v="0"/>
    <n v="0"/>
    <n v="0"/>
    <n v="0"/>
    <n v="0"/>
    <n v="0"/>
  </r>
  <r>
    <x v="3"/>
    <x v="49"/>
    <x v="49"/>
    <s v="SEN / WOL / CAN"/>
    <n v="0"/>
    <n v="0"/>
    <n v="0"/>
    <n v="0"/>
    <n v="0"/>
    <n v="0"/>
    <n v="0"/>
  </r>
  <r>
    <x v="3"/>
    <x v="50"/>
    <x v="50"/>
    <s v="SEN / WOL / CAN"/>
    <n v="0"/>
    <n v="0"/>
    <n v="0"/>
    <n v="0"/>
    <n v="0"/>
    <n v="0"/>
    <n v="0"/>
  </r>
  <r>
    <x v="3"/>
    <x v="51"/>
    <x v="51"/>
    <s v="SEN / WOL / CAN"/>
    <n v="0"/>
    <n v="0"/>
    <n v="0"/>
    <n v="0"/>
    <n v="0"/>
    <n v="0"/>
    <n v="0"/>
  </r>
  <r>
    <x v="3"/>
    <x v="52"/>
    <x v="52"/>
    <s v="SEN / WOL / CAN"/>
    <n v="0"/>
    <n v="0"/>
    <n v="0"/>
    <n v="0"/>
    <n v="0"/>
    <n v="0"/>
    <n v="0"/>
  </r>
  <r>
    <x v="3"/>
    <x v="53"/>
    <x v="53"/>
    <s v="SEN / WOL / CAN"/>
    <n v="0"/>
    <n v="0"/>
    <n v="0"/>
    <n v="0"/>
    <n v="0"/>
    <n v="0"/>
    <n v="0"/>
  </r>
  <r>
    <x v="3"/>
    <x v="54"/>
    <x v="54"/>
    <s v="SEN / WOL / CAN"/>
    <n v="0"/>
    <n v="0"/>
    <n v="0"/>
    <n v="0"/>
    <n v="0"/>
    <n v="0"/>
    <n v="0"/>
  </r>
  <r>
    <x v="3"/>
    <x v="55"/>
    <x v="55"/>
    <s v="SEN / WOL / CAN"/>
    <n v="0"/>
    <n v="0"/>
    <n v="0"/>
    <n v="0"/>
    <n v="0"/>
    <n v="0"/>
    <n v="0"/>
  </r>
  <r>
    <x v="3"/>
    <x v="56"/>
    <x v="56"/>
    <s v="SEN / WOL / CAN"/>
    <n v="40000"/>
    <n v="40000"/>
    <n v="40000"/>
    <n v="45000"/>
    <n v="0"/>
    <n v="0"/>
    <n v="165000"/>
  </r>
  <r>
    <x v="3"/>
    <x v="57"/>
    <x v="57"/>
    <s v="SEN / WOL / CAN"/>
    <n v="0"/>
    <n v="0"/>
    <n v="0"/>
    <n v="0"/>
    <n v="0"/>
    <n v="0"/>
    <n v="0"/>
  </r>
  <r>
    <x v="3"/>
    <x v="58"/>
    <x v="58"/>
    <s v="SEN / WOL / CAN"/>
    <n v="0"/>
    <n v="0"/>
    <n v="0"/>
    <n v="0"/>
    <n v="0"/>
    <n v="0"/>
    <n v="0"/>
  </r>
  <r>
    <x v="3"/>
    <x v="59"/>
    <x v="59"/>
    <s v="SEN / WOL / CAN"/>
    <n v="0"/>
    <n v="0"/>
    <n v="0"/>
    <n v="0"/>
    <n v="0"/>
    <n v="0"/>
    <n v="0"/>
  </r>
  <r>
    <x v="3"/>
    <x v="60"/>
    <x v="60"/>
    <s v="SEN / WOL / CAN"/>
    <n v="0"/>
    <n v="0"/>
    <n v="0"/>
    <n v="0"/>
    <n v="0"/>
    <n v="0"/>
    <n v="0"/>
  </r>
  <r>
    <x v="3"/>
    <x v="61"/>
    <x v="61"/>
    <s v="SEN / WOL / CAN"/>
    <n v="0"/>
    <n v="55000"/>
    <n v="55000"/>
    <n v="55000"/>
    <n v="0"/>
    <n v="0"/>
    <n v="165000"/>
  </r>
  <r>
    <x v="3"/>
    <x v="62"/>
    <x v="62"/>
    <s v="SEN / WOL / CAN"/>
    <n v="0"/>
    <n v="0"/>
    <n v="0"/>
    <n v="0"/>
    <n v="0"/>
    <n v="0"/>
    <n v="0"/>
  </r>
  <r>
    <x v="4"/>
    <x v="63"/>
    <x v="63"/>
    <s v="SEN / WOL / CAN"/>
    <n v="0"/>
    <n v="0"/>
    <n v="0"/>
    <n v="0"/>
    <n v="0"/>
    <n v="0"/>
    <n v="0"/>
  </r>
  <r>
    <x v="4"/>
    <x v="64"/>
    <x v="64"/>
    <s v="SEN / WOL / CAN"/>
    <n v="0"/>
    <n v="0"/>
    <n v="0"/>
    <n v="0"/>
    <n v="0"/>
    <n v="0"/>
    <n v="0"/>
  </r>
  <r>
    <x v="4"/>
    <x v="65"/>
    <x v="65"/>
    <s v="SEN / WOL / CAN"/>
    <n v="0"/>
    <n v="0"/>
    <n v="0"/>
    <n v="0"/>
    <n v="0"/>
    <n v="0"/>
    <n v="0"/>
  </r>
  <r>
    <x v="4"/>
    <x v="66"/>
    <x v="66"/>
    <s v="SEN / WOL / CAN"/>
    <n v="0"/>
    <n v="0"/>
    <n v="0"/>
    <n v="0"/>
    <n v="0"/>
    <n v="0"/>
    <n v="0"/>
  </r>
  <r>
    <x v="4"/>
    <x v="67"/>
    <x v="67"/>
    <s v="SEN / WOL / CAN"/>
    <n v="0"/>
    <n v="0"/>
    <n v="0"/>
    <n v="0"/>
    <n v="0"/>
    <n v="0"/>
    <n v="0"/>
  </r>
  <r>
    <x v="4"/>
    <x v="68"/>
    <x v="68"/>
    <s v="SEN / WOL / CAN"/>
    <n v="0"/>
    <n v="0"/>
    <n v="0"/>
    <n v="0"/>
    <n v="0"/>
    <n v="0"/>
    <n v="0"/>
  </r>
  <r>
    <x v="4"/>
    <x v="69"/>
    <x v="69"/>
    <s v="SEN / WOL / CAN"/>
    <n v="0"/>
    <n v="0"/>
    <n v="0"/>
    <n v="0"/>
    <n v="0"/>
    <n v="0"/>
    <n v="0"/>
  </r>
  <r>
    <x v="4"/>
    <x v="70"/>
    <x v="70"/>
    <s v="SEN / WOL / CAN"/>
    <n v="0"/>
    <n v="0"/>
    <n v="0"/>
    <n v="0"/>
    <n v="0"/>
    <n v="0"/>
    <n v="0"/>
  </r>
  <r>
    <x v="4"/>
    <x v="71"/>
    <x v="71"/>
    <s v="SEN"/>
    <n v="25000"/>
    <n v="0"/>
    <n v="0"/>
    <n v="0"/>
    <n v="0"/>
    <n v="0"/>
    <n v="25000"/>
  </r>
  <r>
    <x v="4"/>
    <x v="72"/>
    <x v="72"/>
    <s v="SEN"/>
    <n v="0"/>
    <n v="0"/>
    <n v="0"/>
    <n v="0"/>
    <n v="0"/>
    <n v="0"/>
    <n v="0"/>
  </r>
  <r>
    <x v="4"/>
    <x v="73"/>
    <x v="73"/>
    <s v="SEN"/>
    <n v="0"/>
    <n v="0"/>
    <n v="0"/>
    <n v="0"/>
    <n v="0"/>
    <n v="0"/>
    <n v="0"/>
  </r>
  <r>
    <x v="4"/>
    <x v="74"/>
    <x v="74"/>
    <s v="SEN"/>
    <n v="0"/>
    <n v="0"/>
    <n v="0"/>
    <n v="0"/>
    <n v="0"/>
    <n v="0"/>
    <n v="0"/>
  </r>
  <r>
    <x v="4"/>
    <x v="75"/>
    <x v="75"/>
    <s v="SEN"/>
    <n v="0"/>
    <n v="0"/>
    <n v="0"/>
    <n v="0"/>
    <n v="0"/>
    <n v="0"/>
    <n v="0"/>
  </r>
  <r>
    <x v="4"/>
    <x v="76"/>
    <x v="76"/>
    <s v="SEN"/>
    <n v="0"/>
    <n v="0"/>
    <n v="0"/>
    <n v="0"/>
    <n v="0"/>
    <n v="0"/>
    <n v="0"/>
  </r>
  <r>
    <x v="4"/>
    <x v="77"/>
    <x v="77"/>
    <s v="SEN"/>
    <n v="0"/>
    <n v="0"/>
    <n v="0"/>
    <n v="0"/>
    <n v="0"/>
    <n v="0"/>
    <n v="0"/>
  </r>
  <r>
    <x v="4"/>
    <x v="78"/>
    <x v="78"/>
    <s v="SEN"/>
    <n v="0"/>
    <n v="0"/>
    <n v="0"/>
    <n v="0"/>
    <n v="0"/>
    <n v="0"/>
    <n v="0"/>
  </r>
  <r>
    <x v="4"/>
    <x v="79"/>
    <x v="79"/>
    <s v="CAN"/>
    <n v="17000"/>
    <n v="0"/>
    <n v="0"/>
    <n v="0"/>
    <n v="0"/>
    <n v="0"/>
    <n v="17000"/>
  </r>
  <r>
    <x v="4"/>
    <x v="80"/>
    <x v="80"/>
    <s v="CAN"/>
    <n v="0"/>
    <n v="0"/>
    <n v="0"/>
    <n v="0"/>
    <n v="0"/>
    <n v="0"/>
    <n v="0"/>
  </r>
  <r>
    <x v="4"/>
    <x v="81"/>
    <x v="81"/>
    <s v="CAN"/>
    <n v="25000"/>
    <n v="0"/>
    <n v="0"/>
    <n v="0"/>
    <n v="0"/>
    <n v="0"/>
    <n v="25000"/>
  </r>
  <r>
    <x v="4"/>
    <x v="82"/>
    <x v="82"/>
    <s v="CAN"/>
    <n v="0"/>
    <n v="0"/>
    <n v="0"/>
    <n v="0"/>
    <n v="0"/>
    <n v="0"/>
    <n v="0"/>
  </r>
  <r>
    <x v="4"/>
    <x v="83"/>
    <x v="83"/>
    <s v="CAN"/>
    <n v="0"/>
    <n v="0"/>
    <n v="0"/>
    <n v="0"/>
    <n v="0"/>
    <n v="0"/>
    <n v="0"/>
  </r>
  <r>
    <x v="4"/>
    <x v="84"/>
    <x v="84"/>
    <s v="WOL"/>
    <n v="0"/>
    <n v="0"/>
    <n v="0"/>
    <n v="0"/>
    <n v="0"/>
    <n v="0"/>
    <n v="0"/>
  </r>
  <r>
    <x v="4"/>
    <x v="85"/>
    <x v="85"/>
    <s v="WOL"/>
    <n v="0"/>
    <n v="0"/>
    <n v="0"/>
    <n v="0"/>
    <n v="0"/>
    <n v="0"/>
    <n v="0"/>
  </r>
  <r>
    <x v="5"/>
    <x v="86"/>
    <x v="86"/>
    <s v="SEN / WOL / CAN"/>
    <n v="0"/>
    <n v="0"/>
    <n v="0"/>
    <n v="0"/>
    <n v="0"/>
    <n v="0"/>
    <n v="0"/>
  </r>
  <r>
    <x v="5"/>
    <x v="87"/>
    <x v="87"/>
    <s v="CAN"/>
    <n v="100000"/>
    <n v="0"/>
    <n v="0"/>
    <n v="100000"/>
    <n v="0"/>
    <n v="0"/>
    <n v="200000"/>
  </r>
  <r>
    <x v="5"/>
    <x v="88"/>
    <x v="88"/>
    <s v="SEN / WOL / CAN"/>
    <n v="0"/>
    <n v="0"/>
    <n v="0"/>
    <n v="0"/>
    <n v="0"/>
    <n v="0"/>
    <n v="0"/>
  </r>
  <r>
    <x v="5"/>
    <x v="89"/>
    <x v="89"/>
    <s v="SEN / WOL / CAN"/>
    <n v="0"/>
    <n v="0"/>
    <n v="0"/>
    <n v="0"/>
    <n v="0"/>
    <n v="0"/>
    <n v="0"/>
  </r>
  <r>
    <x v="5"/>
    <x v="90"/>
    <x v="90"/>
    <s v="SEN / CAN"/>
    <n v="0"/>
    <n v="0"/>
    <n v="0"/>
    <n v="0"/>
    <n v="0"/>
    <n v="0"/>
    <n v="0"/>
  </r>
  <r>
    <x v="5"/>
    <x v="91"/>
    <x v="91"/>
    <s v="SEN / WOL / CAN"/>
    <n v="0"/>
    <n v="0"/>
    <n v="0"/>
    <n v="0"/>
    <n v="0"/>
    <n v="0"/>
    <n v="0"/>
  </r>
  <r>
    <x v="5"/>
    <x v="92"/>
    <x v="92"/>
    <s v="SEN / WOL / CAN"/>
    <n v="0"/>
    <n v="0"/>
    <n v="0"/>
    <n v="0"/>
    <n v="0"/>
    <n v="0"/>
    <n v="0"/>
  </r>
  <r>
    <x v="6"/>
    <x v="93"/>
    <x v="93"/>
    <s v="SEN / WOL / CAN"/>
    <n v="0"/>
    <n v="0"/>
    <n v="0"/>
    <n v="0"/>
    <n v="0"/>
    <n v="0"/>
    <n v="0"/>
  </r>
  <r>
    <x v="6"/>
    <x v="94"/>
    <x v="94"/>
    <s v="SEN / WOL / CAN"/>
    <n v="0"/>
    <n v="0"/>
    <n v="0"/>
    <n v="0"/>
    <n v="0"/>
    <n v="0"/>
    <n v="0"/>
  </r>
  <r>
    <x v="6"/>
    <x v="95"/>
    <x v="95"/>
    <s v="SEN / WOL / CAN"/>
    <n v="0"/>
    <n v="0"/>
    <n v="0"/>
    <n v="0"/>
    <n v="0"/>
    <n v="0"/>
    <n v="0"/>
  </r>
  <r>
    <x v="6"/>
    <x v="96"/>
    <x v="96"/>
    <s v="SEN / WOL / CAN"/>
    <n v="0"/>
    <n v="0"/>
    <n v="0"/>
    <n v="0"/>
    <n v="0"/>
    <n v="0"/>
    <n v="0"/>
  </r>
  <r>
    <x v="6"/>
    <x v="97"/>
    <x v="97"/>
    <s v="CAN"/>
    <n v="0"/>
    <n v="40000"/>
    <n v="35000"/>
    <n v="0"/>
    <n v="0"/>
    <n v="0"/>
    <n v="75000"/>
  </r>
  <r>
    <x v="6"/>
    <x v="98"/>
    <x v="98"/>
    <s v="SEN / WOL / CAN"/>
    <n v="0"/>
    <n v="0"/>
    <n v="0"/>
    <n v="0"/>
    <n v="0"/>
    <n v="0"/>
    <n v="0"/>
  </r>
  <r>
    <x v="7"/>
    <x v="99"/>
    <x v="99"/>
    <s v="SEN / WOL / CAN"/>
    <n v="15000"/>
    <n v="0"/>
    <n v="0"/>
    <n v="0"/>
    <n v="0"/>
    <n v="0"/>
    <n v="15000"/>
  </r>
  <r>
    <x v="7"/>
    <x v="100"/>
    <x v="100"/>
    <s v="SEN / WOL / CAN"/>
    <n v="15000"/>
    <n v="0"/>
    <n v="0"/>
    <n v="0"/>
    <n v="0"/>
    <n v="0"/>
    <n v="15000"/>
  </r>
  <r>
    <x v="7"/>
    <x v="101"/>
    <x v="101"/>
    <s v="SEN / WOL / CAN"/>
    <n v="0"/>
    <n v="0"/>
    <n v="0"/>
    <n v="0"/>
    <n v="0"/>
    <n v="0"/>
    <n v="0"/>
  </r>
  <r>
    <x v="7"/>
    <x v="102"/>
    <x v="102"/>
    <s v="SEN / WOL / CAN"/>
    <n v="0"/>
    <n v="10000"/>
    <n v="0"/>
    <n v="0"/>
    <n v="0"/>
    <n v="0"/>
    <n v="10000"/>
  </r>
  <r>
    <x v="7"/>
    <x v="103"/>
    <x v="103"/>
    <s v="SEN"/>
    <n v="0"/>
    <n v="200000"/>
    <n v="200000"/>
    <n v="200000"/>
    <n v="200000"/>
    <n v="200000"/>
    <n v="1000000"/>
  </r>
  <r>
    <x v="7"/>
    <x v="104"/>
    <x v="104"/>
    <s v="SEN"/>
    <n v="0"/>
    <n v="0"/>
    <n v="200000"/>
    <n v="200000"/>
    <n v="200000"/>
    <n v="200000"/>
    <n v="800000"/>
  </r>
  <r>
    <x v="7"/>
    <x v="105"/>
    <x v="105"/>
    <s v="SEN"/>
    <n v="50000"/>
    <n v="50000"/>
    <n v="50000"/>
    <n v="50000"/>
    <n v="50000"/>
    <n v="50000"/>
    <n v="300000"/>
  </r>
  <r>
    <x v="7"/>
    <x v="106"/>
    <x v="106"/>
    <s v="SEN"/>
    <n v="20000"/>
    <n v="20000"/>
    <n v="20000"/>
    <n v="20000"/>
    <n v="20000"/>
    <n v="20000"/>
    <n v="120000"/>
  </r>
  <r>
    <x v="7"/>
    <x v="107"/>
    <x v="107"/>
    <s v="SEN / CAN"/>
    <n v="0"/>
    <n v="0"/>
    <n v="0"/>
    <n v="0"/>
    <n v="0"/>
    <n v="0"/>
    <n v="0"/>
  </r>
  <r>
    <x v="8"/>
    <x v="108"/>
    <x v="108"/>
    <s v="SEN / WOL / CAN"/>
    <n v="0"/>
    <n v="0"/>
    <n v="0"/>
    <n v="0"/>
    <n v="0"/>
    <n v="0"/>
    <n v="0"/>
  </r>
  <r>
    <x v="8"/>
    <x v="109"/>
    <x v="109"/>
    <s v="SEN / WOL"/>
    <n v="0"/>
    <n v="0"/>
    <n v="0"/>
    <n v="0"/>
    <n v="0"/>
    <n v="0"/>
    <n v="0"/>
  </r>
  <r>
    <x v="8"/>
    <x v="110"/>
    <x v="110"/>
    <s v="SEN"/>
    <n v="500000"/>
    <n v="900000"/>
    <n v="0"/>
    <n v="0"/>
    <n v="0"/>
    <n v="0"/>
    <n v="1400000"/>
  </r>
  <r>
    <x v="8"/>
    <x v="111"/>
    <x v="111"/>
    <s v="SEN"/>
    <n v="0"/>
    <n v="100000"/>
    <n v="0"/>
    <n v="0"/>
    <n v="0"/>
    <n v="0"/>
    <n v="100000"/>
  </r>
  <r>
    <x v="8"/>
    <x v="112"/>
    <x v="112"/>
    <s v="SEN"/>
    <n v="100000"/>
    <n v="0"/>
    <n v="0"/>
    <n v="0"/>
    <n v="0"/>
    <n v="0"/>
    <n v="100000"/>
  </r>
  <r>
    <x v="8"/>
    <x v="113"/>
    <x v="113"/>
    <s v="SEN"/>
    <n v="0"/>
    <n v="150000"/>
    <n v="150000"/>
    <n v="0"/>
    <n v="0"/>
    <n v="0"/>
    <n v="300000"/>
  </r>
  <r>
    <x v="8"/>
    <x v="114"/>
    <x v="114"/>
    <s v="SEN"/>
    <n v="0"/>
    <n v="0"/>
    <n v="0"/>
    <n v="20000"/>
    <n v="0"/>
    <n v="0"/>
    <n v="20000"/>
  </r>
  <r>
    <x v="8"/>
    <x v="115"/>
    <x v="115"/>
    <s v="SEN / WOL"/>
    <n v="0"/>
    <n v="0"/>
    <n v="1500000"/>
    <n v="1150000"/>
    <n v="150000"/>
    <n v="150000"/>
    <n v="2950000"/>
  </r>
  <r>
    <x v="8"/>
    <x v="116"/>
    <x v="116"/>
    <s v="SEN / WOL / CAN"/>
    <n v="0"/>
    <n v="0"/>
    <n v="0"/>
    <n v="0"/>
    <n v="0"/>
    <n v="0"/>
    <n v="0"/>
  </r>
  <r>
    <x v="9"/>
    <x v="117"/>
    <x v="117"/>
    <s v="SEN"/>
    <n v="800000"/>
    <n v="300000"/>
    <n v="300000"/>
    <n v="0"/>
    <n v="0"/>
    <n v="0"/>
    <n v="1400000"/>
  </r>
  <r>
    <x v="9"/>
    <x v="118"/>
    <x v="118"/>
    <s v="SEN / CAN"/>
    <n v="0"/>
    <n v="0"/>
    <n v="0"/>
    <n v="0"/>
    <n v="0"/>
    <n v="0"/>
    <n v="0"/>
  </r>
  <r>
    <x v="9"/>
    <x v="119"/>
    <x v="119"/>
    <s v="SEN / CAN"/>
    <n v="0"/>
    <n v="0"/>
    <n v="0"/>
    <n v="300000"/>
    <n v="300000"/>
    <n v="300000"/>
    <n v="900000"/>
  </r>
  <r>
    <x v="9"/>
    <x v="120"/>
    <x v="120"/>
    <s v="SEN / WOL / CAN"/>
    <n v="0"/>
    <n v="0"/>
    <n v="0"/>
    <n v="0"/>
    <n v="0"/>
    <n v="0"/>
    <n v="0"/>
  </r>
  <r>
    <x v="10"/>
    <x v="121"/>
    <x v="121"/>
    <s v="CAN"/>
    <n v="0"/>
    <n v="0"/>
    <n v="0"/>
    <n v="0"/>
    <n v="0"/>
    <n v="0"/>
    <n v="0"/>
  </r>
  <r>
    <x v="10"/>
    <x v="122"/>
    <x v="122"/>
    <s v="CAN"/>
    <n v="0"/>
    <n v="0"/>
    <n v="0"/>
    <n v="0"/>
    <n v="0"/>
    <n v="0"/>
    <n v="0"/>
  </r>
  <r>
    <x v="10"/>
    <x v="123"/>
    <x v="123"/>
    <s v="CAN"/>
    <n v="22000"/>
    <n v="0"/>
    <n v="0"/>
    <n v="0"/>
    <n v="0"/>
    <n v="0"/>
    <n v="22000"/>
  </r>
  <r>
    <x v="10"/>
    <x v="124"/>
    <x v="124"/>
    <s v="CAN"/>
    <n v="0"/>
    <n v="200000"/>
    <n v="0"/>
    <n v="0"/>
    <n v="0"/>
    <n v="0"/>
    <n v="200000"/>
  </r>
  <r>
    <x v="10"/>
    <x v="125"/>
    <x v="125"/>
    <s v="CAN"/>
    <n v="0"/>
    <n v="0"/>
    <n v="0"/>
    <n v="0"/>
    <n v="0"/>
    <n v="0"/>
    <n v="0"/>
  </r>
  <r>
    <x v="10"/>
    <x v="126"/>
    <x v="126"/>
    <s v="CAN"/>
    <n v="0"/>
    <n v="0"/>
    <n v="0"/>
    <n v="0"/>
    <n v="0"/>
    <n v="0"/>
    <n v="0"/>
  </r>
  <r>
    <x v="10"/>
    <x v="127"/>
    <x v="127"/>
    <s v="CAN"/>
    <n v="0"/>
    <n v="0"/>
    <n v="0"/>
    <n v="0"/>
    <n v="0"/>
    <n v="0"/>
    <n v="0"/>
  </r>
  <r>
    <x v="10"/>
    <x v="128"/>
    <x v="128"/>
    <s v="SEN"/>
    <n v="0"/>
    <n v="0"/>
    <n v="0"/>
    <n v="0"/>
    <n v="0"/>
    <n v="0"/>
    <n v="0"/>
  </r>
  <r>
    <x v="10"/>
    <x v="129"/>
    <x v="129"/>
    <s v="SEN / CAN"/>
    <n v="0"/>
    <n v="0"/>
    <n v="0"/>
    <n v="0"/>
    <n v="0"/>
    <n v="0"/>
    <n v="0"/>
  </r>
  <r>
    <x v="10"/>
    <x v="130"/>
    <x v="130"/>
    <s v="SEN / CAN"/>
    <n v="0"/>
    <n v="0"/>
    <n v="0"/>
    <n v="0"/>
    <n v="0"/>
    <n v="0"/>
    <n v="0"/>
  </r>
  <r>
    <x v="10"/>
    <x v="131"/>
    <x v="131"/>
    <s v="SEN"/>
    <n v="35000"/>
    <n v="35000"/>
    <n v="35000"/>
    <n v="35000"/>
    <n v="35000"/>
    <n v="35000"/>
    <n v="210000"/>
  </r>
  <r>
    <x v="10"/>
    <x v="132"/>
    <x v="132"/>
    <s v="SEN"/>
    <n v="0"/>
    <n v="5000"/>
    <n v="5000"/>
    <n v="5000"/>
    <n v="5000"/>
    <n v="5000"/>
    <n v="25000"/>
  </r>
  <r>
    <x v="10"/>
    <x v="133"/>
    <x v="133"/>
    <s v="SEN"/>
    <n v="0"/>
    <n v="0"/>
    <n v="0"/>
    <n v="0"/>
    <n v="0"/>
    <n v="0"/>
    <n v="0"/>
  </r>
  <r>
    <x v="10"/>
    <x v="134"/>
    <x v="134"/>
    <s v="SEN / WOL / CAN"/>
    <n v="0"/>
    <n v="0"/>
    <n v="0"/>
    <n v="0"/>
    <n v="0"/>
    <n v="0"/>
    <n v="0"/>
  </r>
  <r>
    <x v="11"/>
    <x v="135"/>
    <x v="135"/>
    <s v="SEN"/>
    <n v="0"/>
    <n v="0"/>
    <n v="0"/>
    <n v="0"/>
    <n v="0"/>
    <n v="0"/>
    <n v="0"/>
  </r>
  <r>
    <x v="11"/>
    <x v="135"/>
    <x v="135"/>
    <s v="SEN"/>
    <n v="0"/>
    <n v="0"/>
    <n v="0"/>
    <n v="0"/>
    <n v="0"/>
    <n v="0"/>
    <n v="0"/>
  </r>
  <r>
    <x v="11"/>
    <x v="136"/>
    <x v="136"/>
    <s v="SEN"/>
    <n v="0"/>
    <n v="0"/>
    <n v="0"/>
    <n v="0"/>
    <n v="0"/>
    <n v="0"/>
    <n v="0"/>
  </r>
  <r>
    <x v="11"/>
    <x v="137"/>
    <x v="137"/>
    <s v="SEN"/>
    <n v="0"/>
    <n v="0"/>
    <n v="0"/>
    <n v="0"/>
    <n v="0"/>
    <n v="0"/>
    <n v="0"/>
  </r>
  <r>
    <x v="11"/>
    <x v="138"/>
    <x v="138"/>
    <s v="SEN"/>
    <n v="0"/>
    <n v="0"/>
    <n v="0"/>
    <n v="0"/>
    <n v="0"/>
    <n v="0"/>
    <n v="0"/>
  </r>
  <r>
    <x v="11"/>
    <x v="139"/>
    <x v="139"/>
    <s v="SEN"/>
    <n v="0"/>
    <n v="0"/>
    <n v="0"/>
    <n v="0"/>
    <n v="0"/>
    <n v="0"/>
    <n v="0"/>
  </r>
  <r>
    <x v="11"/>
    <x v="140"/>
    <x v="140"/>
    <s v="SEN"/>
    <n v="0"/>
    <n v="0"/>
    <n v="0"/>
    <n v="0"/>
    <n v="0"/>
    <n v="0"/>
    <n v="0"/>
  </r>
  <r>
    <x v="11"/>
    <x v="141"/>
    <x v="141"/>
    <s v="SEN"/>
    <n v="0"/>
    <n v="0"/>
    <n v="0"/>
    <n v="0"/>
    <n v="0"/>
    <n v="0"/>
    <n v="0"/>
  </r>
  <r>
    <x v="12"/>
    <x v="142"/>
    <x v="142"/>
    <s v="?"/>
    <n v="0"/>
    <n v="0"/>
    <n v="0"/>
    <n v="0"/>
    <n v="0"/>
    <n v="0"/>
    <n v="0"/>
  </r>
  <r>
    <x v="12"/>
    <x v="143"/>
    <x v="143"/>
    <s v="?"/>
    <n v="100000"/>
    <n v="0"/>
    <n v="0"/>
    <n v="0"/>
    <n v="0"/>
    <n v="0"/>
    <n v="100000"/>
  </r>
  <r>
    <x v="12"/>
    <x v="144"/>
    <x v="144"/>
    <s v="?"/>
    <n v="0"/>
    <n v="100000"/>
    <n v="0"/>
    <n v="0"/>
    <n v="0"/>
    <n v="0"/>
    <n v="100000"/>
  </r>
  <r>
    <x v="12"/>
    <x v="145"/>
    <x v="145"/>
    <s v="?"/>
    <n v="0"/>
    <n v="0"/>
    <n v="0"/>
    <n v="0"/>
    <n v="0"/>
    <n v="0"/>
    <n v="0"/>
  </r>
  <r>
    <x v="12"/>
    <x v="146"/>
    <x v="146"/>
    <s v="?"/>
    <n v="0"/>
    <n v="0"/>
    <n v="0"/>
    <n v="0"/>
    <n v="0"/>
    <n v="0"/>
    <n v="0"/>
  </r>
  <r>
    <x v="13"/>
    <x v="147"/>
    <x v="147"/>
    <s v="SEN / WOL / CAN"/>
    <n v="0"/>
    <n v="0"/>
    <n v="0"/>
    <n v="0"/>
    <n v="0"/>
    <n v="0"/>
    <n v="0"/>
  </r>
  <r>
    <x v="13"/>
    <x v="148"/>
    <x v="148"/>
    <s v="SEN / WOL / CAN"/>
    <n v="0"/>
    <n v="0"/>
    <n v="0"/>
    <n v="0"/>
    <n v="0"/>
    <n v="0"/>
    <n v="0"/>
  </r>
  <r>
    <x v="13"/>
    <x v="149"/>
    <x v="149"/>
    <s v="SEN / WOL / CAN"/>
    <n v="0"/>
    <n v="0"/>
    <n v="0"/>
    <n v="0"/>
    <n v="0"/>
    <n v="0"/>
    <n v="0"/>
  </r>
  <r>
    <x v="13"/>
    <x v="150"/>
    <x v="150"/>
    <s v="SEN / WOL / CAN"/>
    <n v="15000"/>
    <n v="15000"/>
    <n v="15000"/>
    <n v="15000"/>
    <n v="15000"/>
    <n v="15000"/>
    <n v="90000"/>
  </r>
  <r>
    <x v="14"/>
    <x v="151"/>
    <x v="151"/>
    <s v="?"/>
    <n v="0"/>
    <n v="0"/>
    <n v="0"/>
    <n v="0"/>
    <n v="0"/>
    <n v="0"/>
    <n v="0"/>
  </r>
  <r>
    <x v="14"/>
    <x v="152"/>
    <x v="152"/>
    <s v="?"/>
    <n v="0"/>
    <n v="0"/>
    <n v="0"/>
    <n v="0"/>
    <n v="0"/>
    <n v="0"/>
    <n v="0"/>
  </r>
  <r>
    <x v="14"/>
    <x v="153"/>
    <x v="153"/>
    <s v="?"/>
    <n v="0"/>
    <n v="0"/>
    <n v="0"/>
    <n v="0"/>
    <n v="0"/>
    <n v="0"/>
    <n v="0"/>
  </r>
  <r>
    <x v="14"/>
    <x v="154"/>
    <x v="154"/>
    <s v="?"/>
    <n v="0"/>
    <n v="0"/>
    <n v="0"/>
    <n v="0"/>
    <n v="0"/>
    <n v="0"/>
    <n v="0"/>
  </r>
  <r>
    <x v="14"/>
    <x v="155"/>
    <x v="155"/>
    <s v="?"/>
    <n v="0"/>
    <n v="0"/>
    <n v="0"/>
    <n v="0"/>
    <n v="0"/>
    <n v="0"/>
    <n v="0"/>
  </r>
  <r>
    <x v="14"/>
    <x v="156"/>
    <x v="156"/>
    <s v="?"/>
    <n v="0"/>
    <n v="0"/>
    <n v="0"/>
    <n v="0"/>
    <n v="0"/>
    <n v="0"/>
    <n v="0"/>
  </r>
  <r>
    <x v="14"/>
    <x v="157"/>
    <x v="157"/>
    <s v="?"/>
    <n v="0"/>
    <n v="0"/>
    <n v="0"/>
    <n v="0"/>
    <n v="0"/>
    <n v="0"/>
    <n v="0"/>
  </r>
  <r>
    <x v="14"/>
    <x v="158"/>
    <x v="158"/>
    <s v="?"/>
    <n v="0"/>
    <n v="0"/>
    <n v="0"/>
    <n v="0"/>
    <n v="0"/>
    <n v="0"/>
    <n v="0"/>
  </r>
  <r>
    <x v="14"/>
    <x v="159"/>
    <x v="159"/>
    <s v="?"/>
    <n v="0"/>
    <n v="0"/>
    <n v="0"/>
    <n v="0"/>
    <n v="0"/>
    <n v="0"/>
    <n v="0"/>
  </r>
  <r>
    <x v="15"/>
    <x v="160"/>
    <x v="160"/>
    <s v="SEN"/>
    <n v="0"/>
    <n v="0"/>
    <n v="0"/>
    <n v="50000"/>
    <n v="0"/>
    <n v="0"/>
    <n v="50000"/>
  </r>
  <r>
    <x v="15"/>
    <x v="161"/>
    <x v="161"/>
    <s v="SEN"/>
    <n v="0"/>
    <n v="0"/>
    <n v="0"/>
    <n v="0"/>
    <n v="750000"/>
    <n v="0"/>
    <n v="750000"/>
  </r>
  <r>
    <x v="15"/>
    <x v="162"/>
    <x v="162"/>
    <s v="SEN"/>
    <n v="0"/>
    <n v="0"/>
    <n v="0"/>
    <n v="0"/>
    <n v="850000"/>
    <n v="0"/>
    <n v="850000"/>
  </r>
  <r>
    <x v="15"/>
    <x v="163"/>
    <x v="163"/>
    <s v="SEN / WOL / CAN"/>
    <n v="0"/>
    <n v="0"/>
    <n v="0"/>
    <n v="0"/>
    <n v="0"/>
    <n v="0"/>
    <n v="0"/>
  </r>
  <r>
    <x v="16"/>
    <x v="164"/>
    <x v="164"/>
    <s v="CAN"/>
    <n v="10000"/>
    <n v="10000"/>
    <n v="0"/>
    <n v="0"/>
    <n v="0"/>
    <n v="0"/>
    <n v="20000"/>
  </r>
  <r>
    <x v="16"/>
    <x v="165"/>
    <x v="165"/>
    <s v="CAN"/>
    <n v="40000"/>
    <n v="0"/>
    <n v="0"/>
    <n v="0"/>
    <n v="0"/>
    <n v="0"/>
    <n v="40000"/>
  </r>
  <r>
    <x v="16"/>
    <x v="166"/>
    <x v="166"/>
    <s v="CAN"/>
    <n v="0"/>
    <n v="50000"/>
    <n v="0"/>
    <n v="0"/>
    <n v="0"/>
    <n v="0"/>
    <n v="50000"/>
  </r>
  <r>
    <x v="16"/>
    <x v="167"/>
    <x v="167"/>
    <s v="CAN"/>
    <n v="0"/>
    <n v="0"/>
    <n v="100000"/>
    <n v="0"/>
    <n v="0"/>
    <n v="0"/>
    <n v="100000"/>
  </r>
  <r>
    <x v="16"/>
    <x v="168"/>
    <x v="168"/>
    <s v="SEN"/>
    <n v="3000"/>
    <n v="3000"/>
    <n v="3000"/>
    <n v="3000"/>
    <n v="3000"/>
    <n v="3000"/>
    <n v="18000"/>
  </r>
  <r>
    <x v="16"/>
    <x v="169"/>
    <x v="169"/>
    <s v="SEN / CAN"/>
    <n v="0"/>
    <n v="0"/>
    <n v="0"/>
    <n v="0"/>
    <n v="0"/>
    <n v="0"/>
    <n v="0"/>
  </r>
  <r>
    <x v="17"/>
    <x v="170"/>
    <x v="170"/>
    <s v="CAN"/>
    <n v="25580"/>
    <n v="25580"/>
    <n v="25580"/>
    <n v="25580"/>
    <n v="25580"/>
    <n v="25580"/>
    <n v="153480"/>
  </r>
  <r>
    <x v="17"/>
    <x v="171"/>
    <x v="171"/>
    <s v="CAN"/>
    <n v="1816000"/>
    <n v="1816000"/>
    <n v="1816000"/>
    <n v="1816000"/>
    <n v="1816000"/>
    <n v="1816000"/>
    <n v="10896000"/>
  </r>
  <r>
    <x v="17"/>
    <x v="172"/>
    <x v="172"/>
    <s v="CAN"/>
    <n v="0"/>
    <n v="0"/>
    <n v="0"/>
    <n v="0"/>
    <n v="0"/>
    <n v="0"/>
    <n v="0"/>
  </r>
  <r>
    <x v="17"/>
    <x v="173"/>
    <x v="173"/>
    <s v="CAN"/>
    <n v="0"/>
    <n v="0"/>
    <n v="0"/>
    <n v="0"/>
    <n v="0"/>
    <n v="0"/>
    <n v="0"/>
  </r>
  <r>
    <x v="17"/>
    <x v="174"/>
    <x v="174"/>
    <s v="CAN"/>
    <n v="0"/>
    <n v="30000"/>
    <n v="0"/>
    <n v="0"/>
    <n v="0"/>
    <n v="0"/>
    <n v="30000"/>
  </r>
  <r>
    <x v="17"/>
    <x v="175"/>
    <x v="175"/>
    <s v="CAN"/>
    <n v="0"/>
    <n v="0"/>
    <n v="15000"/>
    <n v="15000"/>
    <n v="0"/>
    <n v="0"/>
    <n v="30000"/>
  </r>
  <r>
    <x v="17"/>
    <x v="176"/>
    <x v="176"/>
    <s v="CAN"/>
    <n v="0"/>
    <n v="0"/>
    <n v="0"/>
    <n v="0"/>
    <n v="0"/>
    <n v="0"/>
    <n v="0"/>
  </r>
  <r>
    <x v="17"/>
    <x v="177"/>
    <x v="177"/>
    <s v="CAN"/>
    <n v="0"/>
    <n v="0"/>
    <n v="0"/>
    <n v="0"/>
    <n v="0"/>
    <n v="0"/>
    <n v="0"/>
  </r>
  <r>
    <x v="17"/>
    <x v="178"/>
    <x v="178"/>
    <s v="CAN"/>
    <n v="0"/>
    <n v="0"/>
    <n v="0"/>
    <n v="0"/>
    <n v="0"/>
    <n v="0"/>
    <n v="0"/>
  </r>
  <r>
    <x v="17"/>
    <x v="179"/>
    <x v="179"/>
    <s v="CAN"/>
    <n v="0"/>
    <n v="0"/>
    <n v="0"/>
    <n v="0"/>
    <n v="0"/>
    <n v="0"/>
    <n v="0"/>
  </r>
  <r>
    <x v="17"/>
    <x v="180"/>
    <x v="180"/>
    <s v="CAN"/>
    <n v="0"/>
    <n v="0"/>
    <n v="0"/>
    <n v="0"/>
    <n v="0"/>
    <n v="0"/>
    <n v="0"/>
  </r>
  <r>
    <x v="18"/>
    <x v="181"/>
    <x v="181"/>
    <s v="SEN / WOL / CAN"/>
    <n v="0"/>
    <n v="0"/>
    <n v="0"/>
    <n v="0"/>
    <n v="0"/>
    <n v="0"/>
    <n v="0"/>
  </r>
  <r>
    <x v="18"/>
    <x v="182"/>
    <x v="182"/>
    <s v="SEN / WOL / CAN"/>
    <n v="0"/>
    <n v="0"/>
    <n v="0"/>
    <n v="0"/>
    <n v="0"/>
    <n v="0"/>
    <n v="0"/>
  </r>
  <r>
    <x v="18"/>
    <x v="183"/>
    <x v="183"/>
    <s v="SEN / WOL / CAN"/>
    <n v="0"/>
    <n v="0"/>
    <n v="0"/>
    <n v="0"/>
    <n v="0"/>
    <n v="0"/>
    <n v="0"/>
  </r>
  <r>
    <x v="18"/>
    <x v="184"/>
    <x v="184"/>
    <s v="SEN / WOL / CAN"/>
    <n v="0"/>
    <n v="0"/>
    <n v="0"/>
    <n v="0"/>
    <n v="0"/>
    <n v="0"/>
    <n v="0"/>
  </r>
  <r>
    <x v="19"/>
    <x v="185"/>
    <x v="185"/>
    <s v="SEN / WOL / CAN"/>
    <n v="0"/>
    <n v="0"/>
    <n v="0"/>
    <n v="0"/>
    <n v="0"/>
    <n v="0"/>
    <n v="0"/>
  </r>
  <r>
    <x v="19"/>
    <x v="186"/>
    <x v="186"/>
    <s v="SEN / WOL / CAN"/>
    <n v="0"/>
    <n v="0"/>
    <n v="0"/>
    <n v="0"/>
    <n v="0"/>
    <n v="0"/>
    <n v="0"/>
  </r>
  <r>
    <x v="19"/>
    <x v="187"/>
    <x v="187"/>
    <s v="SEN / WOL / CAN"/>
    <n v="0"/>
    <n v="0"/>
    <n v="0"/>
    <n v="0"/>
    <n v="0"/>
    <n v="0"/>
    <n v="0"/>
  </r>
  <r>
    <x v="19"/>
    <x v="188"/>
    <x v="188"/>
    <s v="SEN / WOL / CAN"/>
    <n v="0"/>
    <n v="0"/>
    <n v="0"/>
    <n v="0"/>
    <n v="0"/>
    <n v="0"/>
    <n v="0"/>
  </r>
  <r>
    <x v="19"/>
    <x v="189"/>
    <x v="189"/>
    <s v="SEN / WOL / CAN"/>
    <n v="0"/>
    <n v="0"/>
    <n v="0"/>
    <n v="0"/>
    <n v="0"/>
    <n v="0"/>
    <n v="0"/>
  </r>
  <r>
    <x v="19"/>
    <x v="190"/>
    <x v="190"/>
    <s v="SEN / WOL / CAN"/>
    <n v="0"/>
    <n v="0"/>
    <n v="60000"/>
    <n v="60000"/>
    <n v="0"/>
    <n v="0"/>
    <n v="120000"/>
  </r>
  <r>
    <x v="19"/>
    <x v="191"/>
    <x v="191"/>
    <s v="SEN / WOL / CAN"/>
    <n v="0"/>
    <n v="0"/>
    <n v="0"/>
    <n v="0"/>
    <n v="0"/>
    <n v="0"/>
    <n v="0"/>
  </r>
  <r>
    <x v="19"/>
    <x v="192"/>
    <x v="192"/>
    <s v="SEN / WOL / CAN"/>
    <n v="0"/>
    <n v="0"/>
    <n v="0"/>
    <n v="0"/>
    <n v="0"/>
    <n v="0"/>
    <n v="0"/>
  </r>
  <r>
    <x v="19"/>
    <x v="193"/>
    <x v="193"/>
    <s v="SEN / WOL / CAN"/>
    <n v="0"/>
    <n v="0"/>
    <n v="0"/>
    <n v="0"/>
    <n v="0"/>
    <n v="0"/>
    <n v="0"/>
  </r>
  <r>
    <x v="20"/>
    <x v="194"/>
    <x v="194"/>
    <s v="SEN / WOL / CAN"/>
    <n v="0"/>
    <n v="169000"/>
    <n v="0"/>
    <n v="0"/>
    <n v="163500"/>
    <n v="0"/>
    <n v="332500"/>
  </r>
  <r>
    <x v="20"/>
    <x v="195"/>
    <x v="195"/>
    <s v="SEN / WOL / CAN"/>
    <n v="262000"/>
    <n v="262000"/>
    <n v="192000"/>
    <n v="192000"/>
    <n v="192000"/>
    <n v="192000"/>
    <n v="1292000"/>
  </r>
  <r>
    <x v="20"/>
    <x v="196"/>
    <x v="196"/>
    <s v="SEN / WOL / CAN"/>
    <n v="0"/>
    <n v="95000"/>
    <n v="0"/>
    <n v="0"/>
    <n v="0"/>
    <n v="0"/>
    <n v="95000"/>
  </r>
  <r>
    <x v="20"/>
    <x v="197"/>
    <x v="197"/>
    <s v="SEN / WOL / CAN"/>
    <n v="0"/>
    <n v="0"/>
    <n v="50000"/>
    <n v="0"/>
    <n v="0"/>
    <n v="0"/>
    <n v="50000"/>
  </r>
  <r>
    <x v="20"/>
    <x v="198"/>
    <x v="198"/>
    <s v="SEN / WOL / CAN"/>
    <n v="0"/>
    <n v="0"/>
    <n v="0"/>
    <n v="0"/>
    <n v="0"/>
    <n v="0"/>
    <n v="0"/>
  </r>
  <r>
    <x v="20"/>
    <x v="199"/>
    <x v="199"/>
    <s v="SEN / WOL / CAN"/>
    <n v="0"/>
    <n v="0"/>
    <n v="0"/>
    <n v="0"/>
    <n v="0"/>
    <n v="0"/>
    <n v="0"/>
  </r>
  <r>
    <x v="20"/>
    <x v="200"/>
    <x v="200"/>
    <s v="SEN / WOL / CAN"/>
    <n v="0"/>
    <n v="0"/>
    <n v="0"/>
    <n v="0"/>
    <n v="0"/>
    <n v="0"/>
    <n v="0"/>
  </r>
  <r>
    <x v="20"/>
    <x v="201"/>
    <x v="201"/>
    <s v="SEN / WOL / CAN"/>
    <n v="0"/>
    <n v="0"/>
    <n v="0"/>
    <n v="0"/>
    <n v="0"/>
    <n v="0"/>
    <n v="0"/>
  </r>
  <r>
    <x v="20"/>
    <x v="202"/>
    <x v="202"/>
    <s v="SEN / WOL / CAN"/>
    <n v="0"/>
    <n v="0"/>
    <n v="0"/>
    <n v="0"/>
    <n v="0"/>
    <n v="0"/>
    <n v="0"/>
  </r>
  <r>
    <x v="20"/>
    <x v="203"/>
    <x v="203"/>
    <s v="SEN / WOL / CAN"/>
    <n v="0"/>
    <n v="0"/>
    <n v="0"/>
    <n v="0"/>
    <n v="0"/>
    <n v="0"/>
    <n v="0"/>
  </r>
  <r>
    <x v="21"/>
    <x v="204"/>
    <x v="204"/>
    <s v="SEN / WOL / CAN"/>
    <n v="250000"/>
    <n v="350000"/>
    <n v="350000"/>
    <n v="350000"/>
    <n v="350000"/>
    <n v="350000"/>
    <n v="2000000"/>
  </r>
  <r>
    <x v="21"/>
    <x v="205"/>
    <x v="205"/>
    <s v="SEN / WOL / CAN"/>
    <n v="125000"/>
    <n v="125000"/>
    <n v="85000"/>
    <n v="0"/>
    <n v="0"/>
    <n v="0"/>
    <n v="335000"/>
  </r>
  <r>
    <x v="21"/>
    <x v="206"/>
    <x v="206"/>
    <s v="SEN / CAN"/>
    <n v="140000"/>
    <n v="70000"/>
    <n v="70000"/>
    <n v="0"/>
    <n v="0"/>
    <n v="0"/>
    <n v="280000"/>
  </r>
  <r>
    <x v="21"/>
    <x v="207"/>
    <x v="207"/>
    <s v="SEN / WOL / CAN"/>
    <n v="5000"/>
    <n v="5000"/>
    <n v="5000"/>
    <n v="5000"/>
    <n v="5000"/>
    <n v="5000"/>
    <n v="30000"/>
  </r>
  <r>
    <x v="21"/>
    <x v="208"/>
    <x v="208"/>
    <s v="SEN / WOL / CAN"/>
    <n v="5000"/>
    <n v="5000"/>
    <n v="5000"/>
    <n v="5000"/>
    <n v="5000"/>
    <n v="5000"/>
    <n v="30000"/>
  </r>
  <r>
    <x v="21"/>
    <x v="209"/>
    <x v="209"/>
    <s v="SEN / CAN"/>
    <n v="0"/>
    <n v="0"/>
    <n v="0"/>
    <n v="0"/>
    <n v="0"/>
    <n v="0"/>
    <n v="0"/>
  </r>
  <r>
    <x v="21"/>
    <x v="210"/>
    <x v="210"/>
    <s v="SEN / WOL / CAN"/>
    <n v="105000"/>
    <n v="105000"/>
    <n v="105000"/>
    <n v="0"/>
    <n v="0"/>
    <n v="0"/>
    <n v="315000"/>
  </r>
  <r>
    <x v="21"/>
    <x v="211"/>
    <x v="211"/>
    <s v="SEN / WOL / CAN"/>
    <n v="20000"/>
    <n v="20000"/>
    <n v="20000"/>
    <n v="0"/>
    <n v="0"/>
    <n v="0"/>
    <n v="60000"/>
  </r>
  <r>
    <x v="21"/>
    <x v="212"/>
    <x v="212"/>
    <s v="SEN / WOL / CAN"/>
    <n v="20000"/>
    <n v="0"/>
    <n v="0"/>
    <n v="0"/>
    <n v="0"/>
    <n v="0"/>
    <n v="20000"/>
  </r>
  <r>
    <x v="21"/>
    <x v="213"/>
    <x v="213"/>
    <s v="SEN / CAN"/>
    <n v="0"/>
    <n v="0"/>
    <n v="0"/>
    <n v="0"/>
    <n v="0"/>
    <n v="0"/>
    <n v="0"/>
  </r>
  <r>
    <x v="21"/>
    <x v="214"/>
    <x v="214"/>
    <s v="CAN"/>
    <n v="0"/>
    <n v="20000"/>
    <n v="0"/>
    <n v="0"/>
    <n v="0"/>
    <n v="0"/>
    <n v="20000"/>
  </r>
  <r>
    <x v="21"/>
    <x v="215"/>
    <x v="215"/>
    <s v="CAN"/>
    <n v="0"/>
    <n v="0"/>
    <n v="0"/>
    <n v="0"/>
    <n v="0"/>
    <n v="0"/>
    <n v="0"/>
  </r>
  <r>
    <x v="22"/>
    <x v="216"/>
    <x v="215"/>
    <s v="CAN"/>
    <n v="0"/>
    <n v="0"/>
    <n v="0"/>
    <n v="0"/>
    <n v="0"/>
    <n v="0"/>
    <n v="0"/>
  </r>
  <r>
    <x v="22"/>
    <x v="217"/>
    <x v="215"/>
    <s v="CAN"/>
    <n v="0"/>
    <n v="0"/>
    <n v="0"/>
    <n v="0"/>
    <n v="0"/>
    <n v="0"/>
    <n v="0"/>
  </r>
  <r>
    <x v="22"/>
    <x v="218"/>
    <x v="215"/>
    <s v="CAN"/>
    <n v="0"/>
    <n v="0"/>
    <n v="0"/>
    <n v="0"/>
    <n v="0"/>
    <n v="0"/>
    <n v="0"/>
  </r>
  <r>
    <x v="23"/>
    <x v="219"/>
    <x v="216"/>
    <s v="SEN"/>
    <s v="-"/>
    <s v="-"/>
    <s v="-"/>
    <s v="-"/>
    <s v="-"/>
    <s v="-"/>
    <n v="0"/>
  </r>
  <r>
    <x v="23"/>
    <x v="220"/>
    <x v="217"/>
    <s v="SEN"/>
    <s v="-"/>
    <s v="-"/>
    <s v="-"/>
    <s v="-"/>
    <s v="-"/>
    <s v="-"/>
    <n v="0"/>
  </r>
  <r>
    <x v="23"/>
    <x v="221"/>
    <x v="218"/>
    <s v="SEN"/>
    <s v="-"/>
    <s v="-"/>
    <s v="-"/>
    <s v="-"/>
    <s v="-"/>
    <s v="-"/>
    <n v="0"/>
  </r>
  <r>
    <x v="23"/>
    <x v="222"/>
    <x v="219"/>
    <s v="WOL"/>
    <s v="-"/>
    <s v="-"/>
    <s v="-"/>
    <s v="-"/>
    <s v="-"/>
    <s v="-"/>
    <n v="0"/>
  </r>
  <r>
    <x v="23"/>
    <x v="223"/>
    <x v="220"/>
    <s v="WOL"/>
    <s v="-"/>
    <s v="-"/>
    <s v="-"/>
    <s v="-"/>
    <s v="-"/>
    <s v="-"/>
    <n v="0"/>
  </r>
  <r>
    <x v="23"/>
    <x v="224"/>
    <x v="221"/>
    <s v="SEN / WOL / CAN"/>
    <s v="-"/>
    <s v="-"/>
    <s v="-"/>
    <s v="-"/>
    <s v="-"/>
    <s v="-"/>
    <n v="0"/>
  </r>
  <r>
    <x v="23"/>
    <x v="225"/>
    <x v="222"/>
    <s v="SEN / WOL / CAN"/>
    <n v="20000"/>
    <n v="20000"/>
    <n v="0"/>
    <n v="0"/>
    <n v="0"/>
    <n v="0"/>
    <n v="40000"/>
  </r>
  <r>
    <x v="24"/>
    <x v="226"/>
    <x v="223"/>
    <s v="SEN / WOL / CAN"/>
    <s v="-"/>
    <s v="-"/>
    <s v="-"/>
    <s v="-"/>
    <s v="-"/>
    <s v="-"/>
    <n v="0"/>
  </r>
  <r>
    <x v="24"/>
    <x v="227"/>
    <x v="224"/>
    <s v="SEN / WOL / CAN"/>
    <s v="-"/>
    <s v="-"/>
    <s v="-"/>
    <s v="-"/>
    <s v="-"/>
    <s v="-"/>
    <n v="0"/>
  </r>
  <r>
    <x v="24"/>
    <x v="228"/>
    <x v="225"/>
    <s v="SEN / WOL / CAN"/>
    <n v="3750"/>
    <n v="3800"/>
    <n v="3800"/>
    <n v="3800"/>
    <n v="3800"/>
    <n v="3850"/>
    <n v="22800"/>
  </r>
  <r>
    <x v="24"/>
    <x v="229"/>
    <x v="226"/>
    <s v="SEN / WOL / CAN"/>
    <s v="-"/>
    <s v="-"/>
    <s v="-"/>
    <s v="-"/>
    <s v="-"/>
    <s v="-"/>
    <n v="0"/>
  </r>
  <r>
    <x v="24"/>
    <x v="230"/>
    <x v="227"/>
    <s v="SEN / WOL / CAN"/>
    <s v="-"/>
    <s v="-"/>
    <s v="-"/>
    <s v="-"/>
    <s v="-"/>
    <s v="-"/>
    <n v="0"/>
  </r>
  <r>
    <x v="24"/>
    <x v="231"/>
    <x v="221"/>
    <s v="SEN / WOL / CAN"/>
    <s v="-"/>
    <s v="-"/>
    <s v="-"/>
    <s v="-"/>
    <s v="-"/>
    <s v="-"/>
    <n v="0"/>
  </r>
  <r>
    <x v="24"/>
    <x v="232"/>
    <x v="222"/>
    <s v="SEN / WOL / CAN"/>
    <s v="-"/>
    <s v="-"/>
    <s v="-"/>
    <s v="-"/>
    <s v="-"/>
    <s v="-"/>
    <n v="0"/>
  </r>
  <r>
    <x v="24"/>
    <x v="233"/>
    <x v="228"/>
    <s v="SEN / WOL / CAN"/>
    <s v="-"/>
    <s v="-"/>
    <s v="-"/>
    <s v="-"/>
    <s v="-"/>
    <s v="-"/>
    <n v="0"/>
  </r>
  <r>
    <x v="24"/>
    <x v="234"/>
    <x v="229"/>
    <s v="SEN / CAN"/>
    <s v="-"/>
    <s v="-"/>
    <s v="-"/>
    <s v="-"/>
    <s v="-"/>
    <s v="-"/>
    <n v="0"/>
  </r>
  <r>
    <x v="24"/>
    <x v="235"/>
    <x v="230"/>
    <s v="SEN / CAN"/>
    <n v="0"/>
    <n v="0"/>
    <n v="0"/>
    <n v="0"/>
    <n v="0"/>
    <n v="0"/>
    <n v="0"/>
  </r>
  <r>
    <x v="24"/>
    <x v="236"/>
    <x v="231"/>
    <s v="SEN / WOL / CAN"/>
    <s v="-"/>
    <s v="-"/>
    <s v="-"/>
    <s v="-"/>
    <s v="-"/>
    <s v="-"/>
    <n v="0"/>
  </r>
  <r>
    <x v="24"/>
    <x v="237"/>
    <x v="232"/>
    <s v="SEN / WOL / CAN"/>
    <s v="-"/>
    <s v="-"/>
    <s v="-"/>
    <s v="-"/>
    <s v="-"/>
    <s v="-"/>
    <n v="0"/>
  </r>
  <r>
    <x v="24"/>
    <x v="238"/>
    <x v="233"/>
    <s v="SEN / WOL / CAN"/>
    <s v="-"/>
    <s v="-"/>
    <s v="-"/>
    <s v="-"/>
    <s v="-"/>
    <s v="-"/>
    <n v="0"/>
  </r>
  <r>
    <x v="25"/>
    <x v="239"/>
    <x v="234"/>
    <s v="SEN / WOL / CAN"/>
    <n v="0"/>
    <n v="0"/>
    <n v="0"/>
    <n v="0"/>
    <n v="0"/>
    <n v="0"/>
    <n v="0"/>
  </r>
  <r>
    <x v="25"/>
    <x v="240"/>
    <x v="235"/>
    <s v="SEN"/>
    <n v="77000"/>
    <n v="0"/>
    <n v="0"/>
    <n v="0"/>
    <n v="0"/>
    <n v="0"/>
    <n v="77000"/>
  </r>
  <r>
    <x v="25"/>
    <x v="241"/>
    <x v="236"/>
    <s v="SEN"/>
    <n v="50000"/>
    <n v="0"/>
    <n v="0"/>
    <n v="0"/>
    <n v="0"/>
    <n v="0"/>
    <n v="50000"/>
  </r>
  <r>
    <x v="25"/>
    <x v="242"/>
    <x v="237"/>
    <s v="WOL"/>
    <n v="0"/>
    <n v="0"/>
    <n v="40000"/>
    <n v="0"/>
    <n v="0"/>
    <n v="0"/>
    <n v="40000"/>
  </r>
  <r>
    <x v="25"/>
    <x v="243"/>
    <x v="238"/>
    <s v="SEN"/>
    <n v="0"/>
    <n v="0"/>
    <n v="0"/>
    <n v="50000"/>
    <n v="0"/>
    <n v="0"/>
    <n v="50000"/>
  </r>
  <r>
    <x v="25"/>
    <x v="244"/>
    <x v="239"/>
    <s v="SEN"/>
    <n v="30000"/>
    <n v="50000"/>
    <n v="0"/>
    <n v="0"/>
    <n v="0"/>
    <n v="0"/>
    <n v="80000"/>
  </r>
  <r>
    <x v="25"/>
    <x v="245"/>
    <x v="240"/>
    <s v="SEN"/>
    <n v="0"/>
    <n v="0"/>
    <n v="0"/>
    <n v="0"/>
    <n v="0"/>
    <n v="0"/>
    <n v="0"/>
  </r>
  <r>
    <x v="25"/>
    <x v="246"/>
    <x v="241"/>
    <s v="SEN"/>
    <n v="0"/>
    <n v="0"/>
    <n v="500000"/>
    <n v="500000"/>
    <n v="500000"/>
    <n v="500000"/>
    <n v="2000000"/>
  </r>
  <r>
    <x v="25"/>
    <x v="247"/>
    <x v="242"/>
    <s v="SEN"/>
    <n v="0"/>
    <n v="300000"/>
    <n v="0"/>
    <n v="0"/>
    <n v="0"/>
    <n v="0"/>
    <n v="300000"/>
  </r>
  <r>
    <x v="25"/>
    <x v="248"/>
    <x v="243"/>
    <s v="SEN"/>
    <n v="0"/>
    <n v="0"/>
    <n v="0"/>
    <n v="0"/>
    <n v="0"/>
    <n v="0"/>
    <n v="0"/>
  </r>
  <r>
    <x v="25"/>
    <x v="249"/>
    <x v="244"/>
    <s v="SEN"/>
    <n v="0"/>
    <n v="0"/>
    <n v="0"/>
    <n v="0"/>
    <n v="0"/>
    <n v="0"/>
    <n v="0"/>
  </r>
  <r>
    <x v="25"/>
    <x v="250"/>
    <x v="245"/>
    <s v="WOL"/>
    <n v="0"/>
    <n v="0"/>
    <n v="0"/>
    <n v="0"/>
    <n v="0"/>
    <n v="0"/>
    <n v="0"/>
  </r>
  <r>
    <x v="25"/>
    <x v="251"/>
    <x v="246"/>
    <s v="SEN / CAN / WOL"/>
    <n v="0"/>
    <n v="0"/>
    <n v="0"/>
    <n v="0"/>
    <n v="0"/>
    <n v="0"/>
    <n v="0"/>
  </r>
  <r>
    <x v="26"/>
    <x v="252"/>
    <x v="247"/>
    <n v="0"/>
    <n v="0"/>
    <n v="0"/>
    <n v="0"/>
    <n v="0"/>
    <n v="0"/>
    <n v="0"/>
    <n v="0"/>
  </r>
  <r>
    <x v="26"/>
    <x v="253"/>
    <x v="248"/>
    <n v="0"/>
    <n v="0"/>
    <n v="0"/>
    <n v="0"/>
    <n v="0"/>
    <n v="0"/>
    <n v="0"/>
    <n v="0"/>
  </r>
  <r>
    <x v="26"/>
    <x v="254"/>
    <x v="249"/>
    <n v="0"/>
    <n v="0"/>
    <n v="0"/>
    <n v="0"/>
    <n v="0"/>
    <n v="0"/>
    <n v="0"/>
    <n v="0"/>
  </r>
  <r>
    <x v="26"/>
    <x v="255"/>
    <x v="250"/>
    <n v="0"/>
    <n v="0"/>
    <n v="0"/>
    <n v="0"/>
    <n v="0"/>
    <n v="0"/>
    <n v="0"/>
    <n v="0"/>
  </r>
  <r>
    <x v="26"/>
    <x v="256"/>
    <x v="251"/>
    <n v="0"/>
    <n v="0"/>
    <n v="0"/>
    <n v="0"/>
    <n v="0"/>
    <n v="0"/>
    <n v="0"/>
    <n v="0"/>
  </r>
  <r>
    <x v="26"/>
    <x v="257"/>
    <x v="252"/>
    <n v="0"/>
    <n v="0"/>
    <n v="0"/>
    <n v="0"/>
    <n v="0"/>
    <n v="0"/>
    <n v="0"/>
    <n v="0"/>
  </r>
  <r>
    <x v="26"/>
    <x v="258"/>
    <x v="253"/>
    <n v="0"/>
    <n v="0"/>
    <n v="0"/>
    <n v="0"/>
    <n v="0"/>
    <n v="0"/>
    <n v="0"/>
    <n v="0"/>
  </r>
  <r>
    <x v="26"/>
    <x v="259"/>
    <x v="254"/>
    <n v="0"/>
    <n v="0"/>
    <n v="0"/>
    <n v="0"/>
    <n v="0"/>
    <n v="0"/>
    <n v="0"/>
    <n v="0"/>
  </r>
  <r>
    <x v="26"/>
    <x v="260"/>
    <x v="255"/>
    <n v="0"/>
    <n v="0"/>
    <n v="0"/>
    <n v="0"/>
    <n v="0"/>
    <n v="0"/>
    <n v="0"/>
    <n v="0"/>
  </r>
  <r>
    <x v="26"/>
    <x v="261"/>
    <x v="256"/>
    <n v="0"/>
    <n v="0"/>
    <n v="0"/>
    <n v="0"/>
    <n v="0"/>
    <n v="0"/>
    <n v="0"/>
    <n v="0"/>
  </r>
  <r>
    <x v="26"/>
    <x v="262"/>
    <x v="257"/>
    <n v="0"/>
    <n v="0"/>
    <n v="0"/>
    <n v="0"/>
    <n v="0"/>
    <n v="0"/>
    <n v="0"/>
    <n v="0"/>
  </r>
  <r>
    <x v="26"/>
    <x v="263"/>
    <x v="258"/>
    <n v="0"/>
    <n v="0"/>
    <n v="0"/>
    <n v="0"/>
    <n v="0"/>
    <n v="0"/>
    <n v="0"/>
    <n v="0"/>
  </r>
  <r>
    <x v="26"/>
    <x v="264"/>
    <x v="259"/>
    <n v="0"/>
    <n v="0"/>
    <n v="0"/>
    <n v="0"/>
    <n v="0"/>
    <n v="0"/>
    <n v="0"/>
    <n v="0"/>
  </r>
  <r>
    <x v="26"/>
    <x v="265"/>
    <x v="260"/>
    <n v="0"/>
    <n v="0"/>
    <n v="0"/>
    <n v="0"/>
    <n v="0"/>
    <n v="0"/>
    <n v="0"/>
    <n v="0"/>
  </r>
  <r>
    <x v="26"/>
    <x v="266"/>
    <x v="261"/>
    <n v="0"/>
    <n v="0"/>
    <n v="0"/>
    <n v="0"/>
    <n v="0"/>
    <n v="0"/>
    <n v="0"/>
    <n v="0"/>
  </r>
  <r>
    <x v="26"/>
    <x v="267"/>
    <x v="262"/>
    <n v="0"/>
    <n v="0"/>
    <n v="0"/>
    <n v="0"/>
    <n v="0"/>
    <n v="0"/>
    <n v="0"/>
    <n v="0"/>
  </r>
  <r>
    <x v="27"/>
    <x v="268"/>
    <x v="263"/>
    <n v="0"/>
    <n v="0"/>
    <n v="0"/>
    <n v="0"/>
    <n v="0"/>
    <n v="0"/>
    <n v="0"/>
    <n v="0"/>
  </r>
  <r>
    <x v="27"/>
    <x v="269"/>
    <x v="264"/>
    <n v="0"/>
    <n v="0"/>
    <n v="0"/>
    <n v="0"/>
    <n v="0"/>
    <n v="0"/>
    <n v="0"/>
    <n v="0"/>
  </r>
  <r>
    <x v="27"/>
    <x v="270"/>
    <x v="265"/>
    <n v="0"/>
    <n v="0"/>
    <n v="0"/>
    <n v="0"/>
    <n v="0"/>
    <n v="0"/>
    <n v="0"/>
    <n v="0"/>
  </r>
  <r>
    <x v="27"/>
    <x v="271"/>
    <x v="266"/>
    <n v="0"/>
    <n v="0"/>
    <n v="0"/>
    <n v="0"/>
    <n v="0"/>
    <n v="0"/>
    <n v="0"/>
    <n v="0"/>
  </r>
  <r>
    <x v="27"/>
    <x v="272"/>
    <x v="267"/>
    <n v="0"/>
    <n v="0"/>
    <n v="0"/>
    <n v="0"/>
    <n v="0"/>
    <n v="0"/>
    <n v="0"/>
    <n v="0"/>
  </r>
  <r>
    <x v="27"/>
    <x v="273"/>
    <x v="268"/>
    <n v="0"/>
    <n v="0"/>
    <n v="0"/>
    <n v="0"/>
    <n v="0"/>
    <n v="0"/>
    <n v="0"/>
    <n v="0"/>
  </r>
  <r>
    <x v="28"/>
    <x v="274"/>
    <x v="269"/>
    <s v="SEN / WOL / CAN"/>
    <n v="0"/>
    <n v="0"/>
    <n v="0"/>
    <n v="0"/>
    <n v="0"/>
    <n v="0"/>
    <n v="0"/>
  </r>
  <r>
    <x v="28"/>
    <x v="275"/>
    <x v="270"/>
    <s v="SEN / WOL / CAN"/>
    <n v="1768900"/>
    <n v="1955100"/>
    <n v="2048200"/>
    <n v="2048200"/>
    <n v="2048200"/>
    <n v="2048200"/>
    <n v="11916800"/>
  </r>
  <r>
    <x v="28"/>
    <x v="276"/>
    <x v="271"/>
    <s v="SEN / WOL / CAN"/>
    <n v="0"/>
    <n v="0"/>
    <n v="0"/>
    <n v="0"/>
    <n v="0"/>
    <n v="0"/>
    <n v="0"/>
  </r>
  <r>
    <x v="28"/>
    <x v="277"/>
    <x v="272"/>
    <s v="SEN / WOL / CAN"/>
    <n v="50540000"/>
    <n v="55860000"/>
    <n v="58520000"/>
    <n v="58520000"/>
    <n v="58520000"/>
    <n v="58520000"/>
    <n v="340480000"/>
  </r>
  <r>
    <x v="28"/>
    <x v="278"/>
    <x v="273"/>
    <s v="SEN / WOL / CAN"/>
    <n v="2550000"/>
    <n v="2550000"/>
    <n v="2550000"/>
    <n v="2550000"/>
    <n v="2550000"/>
    <n v="2550000"/>
    <n v="15300000"/>
  </r>
  <r>
    <x v="28"/>
    <x v="279"/>
    <x v="274"/>
    <s v="SEN / WOL / CAN"/>
    <n v="330000"/>
    <n v="330000"/>
    <n v="330000"/>
    <n v="330000"/>
    <n v="330000"/>
    <n v="330000"/>
    <n v="1980000"/>
  </r>
  <r>
    <x v="29"/>
    <x v="280"/>
    <x v="275"/>
    <s v="SEN / WOL / CAN"/>
    <n v="0"/>
    <n v="0"/>
    <n v="0"/>
    <n v="0"/>
    <n v="0"/>
    <n v="0"/>
    <n v="0"/>
  </r>
  <r>
    <x v="29"/>
    <x v="281"/>
    <x v="276"/>
    <s v="SEN / WOL / CAN"/>
    <n v="0"/>
    <n v="0"/>
    <n v="0"/>
    <n v="0"/>
    <n v="0"/>
    <n v="0"/>
    <n v="0"/>
  </r>
  <r>
    <x v="29"/>
    <x v="282"/>
    <x v="277"/>
    <s v="SEN / WOL / CAN"/>
    <n v="0"/>
    <n v="0"/>
    <n v="0"/>
    <n v="0"/>
    <n v="0"/>
    <n v="0"/>
    <n v="0"/>
  </r>
  <r>
    <x v="29"/>
    <x v="283"/>
    <x v="278"/>
    <s v="SEN / WOL / CAN"/>
    <n v="0"/>
    <n v="0"/>
    <n v="0"/>
    <n v="0"/>
    <n v="0"/>
    <n v="0"/>
    <n v="0"/>
  </r>
  <r>
    <x v="29"/>
    <x v="284"/>
    <x v="279"/>
    <s v="SEN / WOL / CAN"/>
    <n v="0"/>
    <n v="0"/>
    <n v="0"/>
    <n v="0"/>
    <n v="0"/>
    <n v="0"/>
    <n v="0"/>
  </r>
  <r>
    <x v="29"/>
    <x v="285"/>
    <x v="280"/>
    <s v="SEN / WOL / CAN"/>
    <n v="0"/>
    <n v="0"/>
    <n v="0"/>
    <n v="0"/>
    <n v="0"/>
    <n v="0"/>
    <n v="0"/>
  </r>
  <r>
    <x v="30"/>
    <x v="286"/>
    <x v="281"/>
    <s v="SEN / WOL / CAN"/>
    <n v="0"/>
    <n v="0"/>
    <n v="50000"/>
    <n v="0"/>
    <n v="0"/>
    <n v="0"/>
    <n v="50000"/>
  </r>
  <r>
    <x v="30"/>
    <x v="287"/>
    <x v="282"/>
    <s v="SEN / WOL / CAN"/>
    <n v="0"/>
    <n v="0"/>
    <n v="0"/>
    <n v="0"/>
    <n v="0"/>
    <n v="0"/>
    <n v="0"/>
  </r>
  <r>
    <x v="30"/>
    <x v="288"/>
    <x v="283"/>
    <s v="SEN / WOL / CAN"/>
    <n v="0"/>
    <n v="0"/>
    <n v="0"/>
    <n v="0"/>
    <n v="0"/>
    <n v="0"/>
    <n v="0"/>
  </r>
  <r>
    <x v="30"/>
    <x v="289"/>
    <x v="284"/>
    <s v="SEN / WOL / CAN"/>
    <n v="0"/>
    <n v="0"/>
    <n v="0"/>
    <n v="50000"/>
    <n v="0"/>
    <n v="0"/>
    <n v="50000"/>
  </r>
  <r>
    <x v="31"/>
    <x v="290"/>
    <x v="285"/>
    <s v="SEN / WOL / CAN"/>
    <n v="0"/>
    <n v="0"/>
    <n v="0"/>
    <n v="0"/>
    <n v="0"/>
    <n v="0"/>
    <n v="0"/>
  </r>
  <r>
    <x v="31"/>
    <x v="291"/>
    <x v="286"/>
    <s v="SEN / WOL / CAN"/>
    <n v="0"/>
    <n v="0"/>
    <n v="0"/>
    <n v="0"/>
    <n v="0"/>
    <n v="0"/>
    <n v="0"/>
  </r>
  <r>
    <x v="31"/>
    <x v="292"/>
    <x v="287"/>
    <n v="0"/>
    <n v="0"/>
    <n v="0"/>
    <n v="0"/>
    <n v="0"/>
    <n v="0"/>
    <n v="0"/>
    <n v="0"/>
  </r>
  <r>
    <x v="31"/>
    <x v="293"/>
    <x v="288"/>
    <n v="0"/>
    <n v="0"/>
    <n v="0"/>
    <n v="0"/>
    <n v="0"/>
    <n v="0"/>
    <n v="0"/>
    <n v="0"/>
  </r>
  <r>
    <x v="31"/>
    <x v="294"/>
    <x v="289"/>
    <n v="0"/>
    <n v="0"/>
    <n v="0"/>
    <n v="0"/>
    <n v="0"/>
    <n v="0"/>
    <n v="0"/>
    <n v="0"/>
  </r>
  <r>
    <x v="32"/>
    <x v="295"/>
    <x v="290"/>
    <n v="0"/>
    <n v="0"/>
    <n v="0"/>
    <n v="0"/>
    <n v="0"/>
    <n v="0"/>
    <n v="0"/>
    <n v="0"/>
  </r>
  <r>
    <x v="32"/>
    <x v="296"/>
    <x v="291"/>
    <n v="0"/>
    <n v="0"/>
    <n v="0"/>
    <n v="0"/>
    <n v="0"/>
    <n v="0"/>
    <n v="0"/>
    <n v="0"/>
  </r>
  <r>
    <x v="32"/>
    <x v="297"/>
    <x v="292"/>
    <n v="0"/>
    <n v="0"/>
    <n v="0"/>
    <n v="0"/>
    <n v="0"/>
    <n v="0"/>
    <n v="0"/>
    <n v="0"/>
  </r>
  <r>
    <x v="32"/>
    <x v="298"/>
    <x v="293"/>
    <n v="0"/>
    <n v="0"/>
    <n v="0"/>
    <n v="0"/>
    <n v="0"/>
    <n v="0"/>
    <n v="0"/>
    <n v="0"/>
  </r>
  <r>
    <x v="32"/>
    <x v="299"/>
    <x v="294"/>
    <n v="0"/>
    <n v="0"/>
    <n v="0"/>
    <n v="0"/>
    <n v="0"/>
    <n v="0"/>
    <n v="0"/>
    <n v="0"/>
  </r>
  <r>
    <x v="32"/>
    <x v="300"/>
    <x v="295"/>
    <n v="0"/>
    <n v="0"/>
    <n v="0"/>
    <n v="0"/>
    <n v="50000"/>
    <n v="0"/>
    <n v="0"/>
    <n v="50000"/>
  </r>
  <r>
    <x v="32"/>
    <x v="301"/>
    <x v="296"/>
    <n v="0"/>
    <n v="0"/>
    <n v="0"/>
    <n v="0"/>
    <n v="50000"/>
    <n v="0"/>
    <n v="0"/>
    <n v="50000"/>
  </r>
  <r>
    <x v="33"/>
    <x v="302"/>
    <x v="297"/>
    <n v="0"/>
    <n v="0"/>
    <n v="0"/>
    <n v="0"/>
    <n v="0"/>
    <n v="0"/>
    <n v="0"/>
    <n v="0"/>
  </r>
  <r>
    <x v="33"/>
    <x v="303"/>
    <x v="298"/>
    <n v="0"/>
    <n v="0"/>
    <n v="0"/>
    <n v="0"/>
    <n v="0"/>
    <n v="0"/>
    <n v="0"/>
    <n v="0"/>
  </r>
  <r>
    <x v="33"/>
    <x v="304"/>
    <x v="299"/>
    <n v="0"/>
    <n v="0"/>
    <n v="0"/>
    <n v="0"/>
    <n v="0"/>
    <n v="0"/>
    <n v="0"/>
    <n v="0"/>
  </r>
  <r>
    <x v="34"/>
    <x v="305"/>
    <x v="300"/>
    <n v="0"/>
    <n v="0"/>
    <n v="0"/>
    <n v="0"/>
    <n v="0"/>
    <n v="0"/>
    <n v="0"/>
    <n v="0"/>
  </r>
  <r>
    <x v="34"/>
    <x v="306"/>
    <x v="301"/>
    <n v="0"/>
    <n v="0"/>
    <n v="0"/>
    <n v="0"/>
    <n v="0"/>
    <n v="0"/>
    <n v="0"/>
    <n v="0"/>
  </r>
  <r>
    <x v="34"/>
    <x v="307"/>
    <x v="302"/>
    <n v="0"/>
    <n v="0"/>
    <n v="0"/>
    <n v="0"/>
    <n v="0"/>
    <n v="0"/>
    <n v="0"/>
    <n v="0"/>
  </r>
  <r>
    <x v="34"/>
    <x v="308"/>
    <x v="303"/>
    <n v="0"/>
    <n v="0"/>
    <n v="30000"/>
    <n v="0"/>
    <n v="0"/>
    <n v="0"/>
    <n v="0"/>
    <n v="30000"/>
  </r>
  <r>
    <x v="34"/>
    <x v="309"/>
    <x v="304"/>
    <n v="0"/>
    <n v="0"/>
    <n v="0"/>
    <n v="0"/>
    <n v="0"/>
    <n v="0"/>
    <n v="0"/>
    <n v="0"/>
  </r>
  <r>
    <x v="35"/>
    <x v="310"/>
    <x v="305"/>
    <n v="0"/>
    <n v="0"/>
    <n v="0"/>
    <n v="0"/>
    <n v="0"/>
    <n v="0"/>
    <n v="0"/>
    <n v="0"/>
  </r>
  <r>
    <x v="35"/>
    <x v="311"/>
    <x v="306"/>
    <n v="0"/>
    <n v="0"/>
    <n v="150000"/>
    <n v="0"/>
    <n v="0"/>
    <n v="0"/>
    <n v="0"/>
    <n v="150000"/>
  </r>
  <r>
    <x v="35"/>
    <x v="312"/>
    <x v="307"/>
    <n v="0"/>
    <n v="0"/>
    <n v="0"/>
    <n v="0"/>
    <n v="0"/>
    <n v="0"/>
    <n v="0"/>
    <n v="0"/>
  </r>
  <r>
    <x v="36"/>
    <x v="313"/>
    <x v="308"/>
    <n v="0"/>
    <n v="30000"/>
    <n v="0"/>
    <n v="0"/>
    <n v="30000"/>
    <n v="0"/>
    <n v="0"/>
    <n v="60000"/>
  </r>
  <r>
    <x v="36"/>
    <x v="314"/>
    <x v="309"/>
    <n v="0"/>
    <n v="50000"/>
    <n v="0"/>
    <n v="0"/>
    <n v="50000"/>
    <n v="0"/>
    <n v="0"/>
    <n v="100000"/>
  </r>
  <r>
    <x v="36"/>
    <x v="315"/>
    <x v="310"/>
    <n v="0"/>
    <n v="0"/>
    <n v="0"/>
    <n v="0"/>
    <n v="0"/>
    <n v="0"/>
    <n v="0"/>
    <n v="0"/>
  </r>
  <r>
    <x v="36"/>
    <x v="316"/>
    <x v="311"/>
    <n v="0"/>
    <n v="0"/>
    <n v="0"/>
    <n v="0"/>
    <n v="0"/>
    <n v="0"/>
    <n v="0"/>
    <n v="0"/>
  </r>
  <r>
    <x v="36"/>
    <x v="317"/>
    <x v="312"/>
    <n v="0"/>
    <n v="0"/>
    <n v="0"/>
    <n v="0"/>
    <n v="0"/>
    <n v="0"/>
    <n v="0"/>
    <n v="0"/>
  </r>
  <r>
    <x v="37"/>
    <x v="318"/>
    <x v="313"/>
    <n v="0"/>
    <n v="0"/>
    <n v="0"/>
    <n v="0"/>
    <n v="0"/>
    <n v="0"/>
    <n v="0"/>
    <n v="0"/>
  </r>
  <r>
    <x v="37"/>
    <x v="319"/>
    <x v="314"/>
    <n v="0"/>
    <n v="0"/>
    <n v="0"/>
    <n v="0"/>
    <n v="0"/>
    <n v="0"/>
    <n v="0"/>
    <n v="0"/>
  </r>
  <r>
    <x v="38"/>
    <x v="320"/>
    <x v="315"/>
    <n v="0"/>
    <n v="0"/>
    <n v="0"/>
    <n v="0"/>
    <n v="0"/>
    <n v="0"/>
    <n v="0"/>
    <n v="0"/>
  </r>
  <r>
    <x v="38"/>
    <x v="321"/>
    <x v="316"/>
    <n v="0"/>
    <n v="0"/>
    <n v="0"/>
    <n v="0"/>
    <n v="0"/>
    <n v="0"/>
    <n v="0"/>
    <n v="0"/>
  </r>
  <r>
    <x v="38"/>
    <x v="322"/>
    <x v="317"/>
    <n v="0"/>
    <n v="0"/>
    <n v="0"/>
    <n v="0"/>
    <n v="0"/>
    <n v="0"/>
    <n v="0"/>
    <n v="0"/>
  </r>
  <r>
    <x v="38"/>
    <x v="323"/>
    <x v="318"/>
    <n v="0"/>
    <n v="0"/>
    <n v="0"/>
    <n v="0"/>
    <n v="0"/>
    <n v="0"/>
    <n v="0"/>
    <n v="0"/>
  </r>
  <r>
    <x v="39"/>
    <x v="324"/>
    <x v="319"/>
    <n v="0"/>
    <n v="0"/>
    <n v="0"/>
    <n v="0"/>
    <n v="0"/>
    <n v="0"/>
    <n v="0"/>
    <n v="0"/>
  </r>
  <r>
    <x v="39"/>
    <x v="325"/>
    <x v="320"/>
    <n v="0"/>
    <n v="0"/>
    <n v="0"/>
    <n v="0"/>
    <n v="0"/>
    <n v="0"/>
    <n v="0"/>
    <n v="0"/>
  </r>
  <r>
    <x v="40"/>
    <x v="326"/>
    <x v="321"/>
    <n v="0"/>
    <n v="0"/>
    <n v="0"/>
    <n v="0"/>
    <n v="0"/>
    <n v="0"/>
    <n v="0"/>
    <n v="0"/>
  </r>
  <r>
    <x v="40"/>
    <x v="327"/>
    <x v="322"/>
    <n v="0"/>
    <n v="0"/>
    <n v="0"/>
    <n v="0"/>
    <n v="0"/>
    <n v="0"/>
    <n v="0"/>
    <n v="0"/>
  </r>
  <r>
    <x v="41"/>
    <x v="328"/>
    <x v="323"/>
    <n v="0"/>
    <n v="0"/>
    <n v="0"/>
    <n v="0"/>
    <n v="0"/>
    <n v="0"/>
    <n v="0"/>
    <n v="0"/>
  </r>
  <r>
    <x v="41"/>
    <x v="329"/>
    <x v="324"/>
    <n v="0"/>
    <n v="0"/>
    <n v="0"/>
    <n v="0"/>
    <n v="0"/>
    <n v="0"/>
    <n v="0"/>
    <n v="0"/>
  </r>
  <r>
    <x v="41"/>
    <x v="330"/>
    <x v="325"/>
    <n v="0"/>
    <n v="0"/>
    <n v="0"/>
    <n v="0"/>
    <n v="0"/>
    <n v="0"/>
    <n v="0"/>
    <n v="0"/>
  </r>
  <r>
    <x v="41"/>
    <x v="331"/>
    <x v="326"/>
    <n v="0"/>
    <n v="0"/>
    <n v="0"/>
    <n v="0"/>
    <n v="0"/>
    <n v="0"/>
    <n v="0"/>
    <n v="0"/>
  </r>
  <r>
    <x v="41"/>
    <x v="332"/>
    <x v="327"/>
    <n v="0"/>
    <n v="0"/>
    <n v="0"/>
    <n v="0"/>
    <n v="0"/>
    <n v="0"/>
    <n v="0"/>
    <n v="0"/>
  </r>
  <r>
    <x v="42"/>
    <x v="333"/>
    <x v="328"/>
    <n v="0"/>
    <n v="0"/>
    <n v="0"/>
    <n v="0"/>
    <n v="0"/>
    <n v="0"/>
    <n v="0"/>
    <n v="0"/>
  </r>
  <r>
    <x v="42"/>
    <x v="334"/>
    <x v="329"/>
    <n v="0"/>
    <n v="0"/>
    <n v="0"/>
    <n v="0"/>
    <n v="0"/>
    <n v="0"/>
    <n v="0"/>
    <n v="0"/>
  </r>
  <r>
    <x v="42"/>
    <x v="335"/>
    <x v="330"/>
    <n v="0"/>
    <n v="0"/>
    <n v="0"/>
    <n v="0"/>
    <n v="0"/>
    <n v="0"/>
    <n v="0"/>
    <n v="0"/>
  </r>
  <r>
    <x v="42"/>
    <x v="336"/>
    <x v="331"/>
    <n v="0"/>
    <n v="0"/>
    <n v="0"/>
    <n v="0"/>
    <n v="0"/>
    <n v="0"/>
    <n v="0"/>
    <n v="0"/>
  </r>
  <r>
    <x v="42"/>
    <x v="337"/>
    <x v="332"/>
    <n v="0"/>
    <n v="0"/>
    <n v="0"/>
    <n v="0"/>
    <n v="0"/>
    <n v="0"/>
    <n v="0"/>
    <n v="0"/>
  </r>
  <r>
    <x v="42"/>
    <x v="338"/>
    <x v="333"/>
    <n v="0"/>
    <n v="0"/>
    <n v="0"/>
    <n v="0"/>
    <n v="0"/>
    <n v="0"/>
    <n v="0"/>
    <n v="0"/>
  </r>
  <r>
    <x v="43"/>
    <x v="339"/>
    <x v="334"/>
    <n v="0"/>
    <n v="0"/>
    <n v="0"/>
    <n v="0"/>
    <n v="0"/>
    <n v="0"/>
    <n v="0"/>
    <n v="0"/>
  </r>
  <r>
    <x v="43"/>
    <x v="340"/>
    <x v="335"/>
    <n v="0"/>
    <n v="0"/>
    <n v="0"/>
    <n v="0"/>
    <n v="0"/>
    <n v="0"/>
    <n v="0"/>
    <n v="0"/>
  </r>
  <r>
    <x v="43"/>
    <x v="341"/>
    <x v="336"/>
    <n v="0"/>
    <n v="0"/>
    <n v="0"/>
    <n v="0"/>
    <n v="0"/>
    <n v="0"/>
    <n v="0"/>
    <n v="0"/>
  </r>
  <r>
    <x v="44"/>
    <x v="342"/>
    <x v="337"/>
    <n v="0"/>
    <n v="0"/>
    <n v="0"/>
    <n v="0"/>
    <n v="0"/>
    <n v="0"/>
    <n v="0"/>
    <n v="0"/>
  </r>
  <r>
    <x v="44"/>
    <x v="343"/>
    <x v="338"/>
    <n v="0"/>
    <n v="0"/>
    <n v="0"/>
    <n v="0"/>
    <n v="0"/>
    <n v="0"/>
    <n v="0"/>
    <n v="0"/>
  </r>
  <r>
    <x v="44"/>
    <x v="344"/>
    <x v="339"/>
    <n v="0"/>
    <n v="0"/>
    <n v="0"/>
    <n v="0"/>
    <n v="0"/>
    <n v="0"/>
    <n v="0"/>
    <n v="0"/>
  </r>
  <r>
    <x v="44"/>
    <x v="345"/>
    <x v="340"/>
    <n v="0"/>
    <n v="0"/>
    <n v="0"/>
    <n v="0"/>
    <n v="0"/>
    <n v="0"/>
    <n v="0"/>
    <n v="0"/>
  </r>
  <r>
    <x v="44"/>
    <x v="346"/>
    <x v="341"/>
    <n v="0"/>
    <n v="0"/>
    <n v="0"/>
    <n v="0"/>
    <n v="0"/>
    <n v="0"/>
    <n v="0"/>
    <n v="0"/>
  </r>
  <r>
    <x v="44"/>
    <x v="347"/>
    <x v="342"/>
    <n v="0"/>
    <n v="0"/>
    <n v="0"/>
    <n v="0"/>
    <n v="0"/>
    <n v="0"/>
    <n v="0"/>
    <n v="0"/>
  </r>
  <r>
    <x v="44"/>
    <x v="348"/>
    <x v="343"/>
    <n v="0"/>
    <n v="0"/>
    <n v="0"/>
    <n v="0"/>
    <n v="0"/>
    <n v="0"/>
    <n v="0"/>
    <n v="0"/>
  </r>
  <r>
    <x v="44"/>
    <x v="349"/>
    <x v="344"/>
    <n v="0"/>
    <n v="0"/>
    <n v="0"/>
    <n v="0"/>
    <n v="0"/>
    <n v="0"/>
    <n v="0"/>
    <n v="0"/>
  </r>
  <r>
    <x v="44"/>
    <x v="350"/>
    <x v="345"/>
    <n v="0"/>
    <n v="0"/>
    <n v="0"/>
    <n v="0"/>
    <n v="0"/>
    <n v="0"/>
    <n v="0"/>
    <n v="0"/>
  </r>
  <r>
    <x v="44"/>
    <x v="351"/>
    <x v="346"/>
    <n v="0"/>
    <n v="0"/>
    <n v="0"/>
    <n v="0"/>
    <n v="0"/>
    <n v="0"/>
    <n v="0"/>
    <n v="0"/>
  </r>
  <r>
    <x v="45"/>
    <x v="352"/>
    <x v="347"/>
    <n v="0"/>
    <n v="51800000"/>
    <n v="51800000"/>
    <n v="51800000"/>
    <n v="51800000"/>
    <n v="51800000"/>
    <n v="51800000"/>
    <n v="310800000"/>
  </r>
  <r>
    <x v="45"/>
    <x v="353"/>
    <x v="348"/>
    <n v="0"/>
    <n v="0"/>
    <n v="0"/>
    <n v="0"/>
    <n v="0"/>
    <n v="0"/>
    <n v="0"/>
    <n v="0"/>
  </r>
  <r>
    <x v="45"/>
    <x v="354"/>
    <x v="349"/>
    <n v="0"/>
    <n v="0"/>
    <n v="0"/>
    <n v="0"/>
    <n v="0"/>
    <n v="0"/>
    <n v="0"/>
    <n v="0"/>
  </r>
  <r>
    <x v="45"/>
    <x v="355"/>
    <x v="350"/>
    <n v="0"/>
    <n v="0"/>
    <n v="0"/>
    <n v="0"/>
    <n v="0"/>
    <n v="0"/>
    <n v="0"/>
    <n v="0"/>
  </r>
  <r>
    <x v="45"/>
    <x v="356"/>
    <x v="351"/>
    <n v="0"/>
    <n v="0"/>
    <n v="0"/>
    <n v="0"/>
    <n v="0"/>
    <n v="0"/>
    <n v="0"/>
    <n v="0"/>
  </r>
  <r>
    <x v="46"/>
    <x v="357"/>
    <x v="352"/>
    <n v="0"/>
    <n v="0"/>
    <n v="0"/>
    <n v="0"/>
    <n v="0"/>
    <n v="0"/>
    <n v="0"/>
    <n v="0"/>
  </r>
  <r>
    <x v="46"/>
    <x v="358"/>
    <x v="353"/>
    <n v="0"/>
    <n v="0"/>
    <n v="0"/>
    <n v="0"/>
    <n v="0"/>
    <n v="0"/>
    <n v="0"/>
    <n v="0"/>
  </r>
  <r>
    <x v="47"/>
    <x v="359"/>
    <x v="354"/>
    <n v="0"/>
    <n v="35000"/>
    <n v="0"/>
    <n v="200000"/>
    <n v="0"/>
    <n v="0"/>
    <n v="0"/>
    <n v="235000"/>
  </r>
  <r>
    <x v="47"/>
    <x v="360"/>
    <x v="355"/>
    <n v="0"/>
    <n v="60000"/>
    <n v="800000"/>
    <n v="0"/>
    <n v="0"/>
    <n v="0"/>
    <n v="0"/>
    <n v="860000"/>
  </r>
  <r>
    <x v="47"/>
    <x v="361"/>
    <x v="356"/>
    <n v="0"/>
    <n v="60000"/>
    <n v="0"/>
    <n v="800000"/>
    <n v="0"/>
    <n v="0"/>
    <n v="0"/>
    <n v="860000"/>
  </r>
  <r>
    <x v="47"/>
    <x v="362"/>
    <x v="357"/>
    <n v="0"/>
    <n v="50000"/>
    <n v="0"/>
    <n v="1000000"/>
    <n v="0"/>
    <n v="0"/>
    <n v="0"/>
    <n v="1050000"/>
  </r>
  <r>
    <x v="47"/>
    <x v="363"/>
    <x v="358"/>
    <n v="0"/>
    <n v="0"/>
    <n v="0"/>
    <n v="0"/>
    <n v="200000"/>
    <n v="1600000"/>
    <n v="0"/>
    <n v="1800000"/>
  </r>
  <r>
    <x v="47"/>
    <x v="364"/>
    <x v="359"/>
    <n v="0"/>
    <n v="50000"/>
    <n v="250000"/>
    <n v="0"/>
    <n v="0"/>
    <n v="0"/>
    <n v="0"/>
    <n v="300000"/>
  </r>
  <r>
    <x v="47"/>
    <x v="365"/>
    <x v="360"/>
    <n v="0"/>
    <n v="500000"/>
    <n v="500000"/>
    <n v="0"/>
    <n v="0"/>
    <n v="0"/>
    <n v="0"/>
    <n v="1000000"/>
  </r>
  <r>
    <x v="47"/>
    <x v="366"/>
    <x v="361"/>
    <n v="0"/>
    <n v="85000"/>
    <n v="350000"/>
    <n v="0"/>
    <n v="0"/>
    <n v="0"/>
    <n v="0"/>
    <n v="435000"/>
  </r>
  <r>
    <x v="47"/>
    <x v="367"/>
    <x v="362"/>
    <n v="0"/>
    <n v="100000"/>
    <n v="0"/>
    <n v="1000000"/>
    <n v="0"/>
    <n v="0"/>
    <n v="0"/>
    <n v="1100000"/>
  </r>
  <r>
    <x v="47"/>
    <x v="368"/>
    <x v="363"/>
    <n v="0"/>
    <n v="50000"/>
    <n v="500000"/>
    <n v="500000"/>
    <n v="0"/>
    <n v="0"/>
    <n v="0"/>
    <n v="1050000"/>
  </r>
  <r>
    <x v="47"/>
    <x v="369"/>
    <x v="364"/>
    <n v="0"/>
    <n v="0"/>
    <n v="0"/>
    <n v="0"/>
    <n v="0"/>
    <n v="0"/>
    <n v="0"/>
    <n v="0"/>
  </r>
  <r>
    <x v="47"/>
    <x v="370"/>
    <x v="365"/>
    <n v="0"/>
    <n v="0"/>
    <n v="0"/>
    <n v="0"/>
    <n v="0"/>
    <n v="0"/>
    <n v="0"/>
    <n v="0"/>
  </r>
  <r>
    <x v="47"/>
    <x v="371"/>
    <x v="366"/>
    <n v="0"/>
    <n v="0"/>
    <n v="0"/>
    <n v="0"/>
    <n v="0"/>
    <n v="0"/>
    <n v="0"/>
    <n v="0"/>
  </r>
  <r>
    <x v="47"/>
    <x v="372"/>
    <x v="367"/>
    <n v="0"/>
    <n v="0"/>
    <n v="0"/>
    <n v="0"/>
    <n v="0"/>
    <n v="0"/>
    <n v="0"/>
    <n v="0"/>
  </r>
  <r>
    <x v="47"/>
    <x v="373"/>
    <x v="368"/>
    <n v="0"/>
    <n v="20000"/>
    <n v="20000"/>
    <n v="20000"/>
    <n v="20000"/>
    <n v="20000"/>
    <n v="20000"/>
    <n v="120000"/>
  </r>
  <r>
    <x v="47"/>
    <x v="374"/>
    <x v="369"/>
    <n v="0"/>
    <n v="20000"/>
    <n v="0"/>
    <n v="0"/>
    <n v="0"/>
    <n v="0"/>
    <n v="0"/>
    <n v="20000"/>
  </r>
  <r>
    <x v="47"/>
    <x v="375"/>
    <x v="370"/>
    <n v="0"/>
    <n v="45000"/>
    <n v="44333"/>
    <n v="0"/>
    <n v="0"/>
    <n v="0"/>
    <n v="0"/>
    <n v="89333"/>
  </r>
  <r>
    <x v="47"/>
    <x v="376"/>
    <x v="371"/>
    <n v="0"/>
    <n v="0"/>
    <n v="0"/>
    <n v="0"/>
    <n v="0"/>
    <n v="0"/>
    <n v="0"/>
    <n v="0"/>
  </r>
  <r>
    <x v="47"/>
    <x v="377"/>
    <x v="372"/>
    <n v="0"/>
    <n v="0"/>
    <n v="0"/>
    <n v="0"/>
    <n v="0"/>
    <n v="0"/>
    <n v="0"/>
    <n v="0"/>
  </r>
  <r>
    <x v="47"/>
    <x v="378"/>
    <x v="373"/>
    <n v="0"/>
    <n v="5000"/>
    <n v="5000"/>
    <n v="5000"/>
    <n v="5000"/>
    <n v="5000"/>
    <n v="5000"/>
    <n v="30000"/>
  </r>
  <r>
    <x v="47"/>
    <x v="379"/>
    <x v="374"/>
    <n v="0"/>
    <n v="0"/>
    <n v="0"/>
    <n v="0"/>
    <n v="0"/>
    <n v="0"/>
    <n v="0"/>
    <n v="0"/>
  </r>
  <r>
    <x v="48"/>
    <x v="380"/>
    <x v="375"/>
    <n v="0"/>
    <n v="0"/>
    <n v="0"/>
    <n v="0"/>
    <n v="0"/>
    <n v="0"/>
    <n v="0"/>
    <n v="0"/>
  </r>
  <r>
    <x v="48"/>
    <x v="381"/>
    <x v="376"/>
    <n v="0"/>
    <n v="0"/>
    <n v="0"/>
    <n v="0"/>
    <n v="0"/>
    <n v="0"/>
    <n v="0"/>
    <n v="0"/>
  </r>
  <r>
    <x v="48"/>
    <x v="382"/>
    <x v="377"/>
    <n v="0"/>
    <n v="0"/>
    <n v="0"/>
    <n v="0"/>
    <n v="0"/>
    <n v="0"/>
    <n v="0"/>
    <n v="0"/>
  </r>
  <r>
    <x v="48"/>
    <x v="383"/>
    <x v="378"/>
    <n v="0"/>
    <n v="0"/>
    <n v="0"/>
    <n v="0"/>
    <n v="0"/>
    <n v="0"/>
    <n v="0"/>
    <n v="0"/>
  </r>
  <r>
    <x v="49"/>
    <x v="384"/>
    <x v="379"/>
    <n v="0"/>
    <n v="0"/>
    <n v="0"/>
    <n v="0"/>
    <n v="0"/>
    <n v="0"/>
    <n v="0"/>
    <n v="0"/>
  </r>
  <r>
    <x v="49"/>
    <x v="385"/>
    <x v="380"/>
    <n v="0"/>
    <n v="0"/>
    <n v="30000"/>
    <n v="0"/>
    <n v="0"/>
    <n v="0"/>
    <n v="0"/>
    <n v="30000"/>
  </r>
  <r>
    <x v="49"/>
    <x v="386"/>
    <x v="381"/>
    <n v="0"/>
    <n v="0"/>
    <n v="0"/>
    <n v="0"/>
    <n v="0"/>
    <n v="0"/>
    <n v="0"/>
    <n v="0"/>
  </r>
  <r>
    <x v="49"/>
    <x v="387"/>
    <x v="382"/>
    <n v="0"/>
    <n v="0"/>
    <n v="0"/>
    <n v="0"/>
    <n v="0"/>
    <n v="0"/>
    <n v="0"/>
    <n v="0"/>
  </r>
  <r>
    <x v="50"/>
    <x v="388"/>
    <x v="383"/>
    <n v="0"/>
    <n v="90000"/>
    <n v="0"/>
    <n v="0"/>
    <n v="0"/>
    <n v="0"/>
    <n v="0"/>
    <n v="90000"/>
  </r>
  <r>
    <x v="50"/>
    <x v="389"/>
    <x v="384"/>
    <n v="0"/>
    <n v="0"/>
    <n v="0"/>
    <n v="0"/>
    <n v="0"/>
    <n v="0"/>
    <n v="0"/>
    <n v="0"/>
  </r>
  <r>
    <x v="50"/>
    <x v="390"/>
    <x v="385"/>
    <n v="0"/>
    <n v="0"/>
    <n v="0"/>
    <n v="0"/>
    <n v="0"/>
    <n v="0"/>
    <n v="0"/>
    <n v="0"/>
  </r>
  <r>
    <x v="50"/>
    <x v="391"/>
    <x v="386"/>
    <n v="0"/>
    <n v="0"/>
    <n v="0"/>
    <n v="0"/>
    <n v="0"/>
    <n v="0"/>
    <n v="0"/>
    <n v="0"/>
  </r>
  <r>
    <x v="51"/>
    <x v="392"/>
    <x v="387"/>
    <n v="0"/>
    <n v="0"/>
    <n v="0"/>
    <n v="0"/>
    <n v="0"/>
    <n v="0"/>
    <n v="0"/>
    <n v="0"/>
  </r>
  <r>
    <x v="51"/>
    <x v="393"/>
    <x v="388"/>
    <n v="0"/>
    <n v="0"/>
    <n v="0"/>
    <n v="0"/>
    <n v="0"/>
    <n v="0"/>
    <n v="0"/>
    <n v="0"/>
  </r>
  <r>
    <x v="52"/>
    <x v="394"/>
    <x v="389"/>
    <n v="0"/>
    <n v="0"/>
    <n v="0"/>
    <n v="0"/>
    <n v="0"/>
    <n v="0"/>
    <n v="0"/>
    <n v="0"/>
  </r>
  <r>
    <x v="52"/>
    <x v="395"/>
    <x v="390"/>
    <n v="0"/>
    <n v="0"/>
    <n v="0"/>
    <n v="0"/>
    <n v="0"/>
    <n v="0"/>
    <n v="0"/>
    <n v="0"/>
  </r>
  <r>
    <x v="52"/>
    <x v="396"/>
    <x v="391"/>
    <n v="0"/>
    <n v="20000"/>
    <n v="20000"/>
    <n v="20000"/>
    <n v="20000"/>
    <n v="20000"/>
    <n v="20000"/>
    <n v="120000"/>
  </r>
  <r>
    <x v="53"/>
    <x v="397"/>
    <x v="392"/>
    <n v="0"/>
    <n v="30000"/>
    <n v="0"/>
    <n v="0"/>
    <n v="0"/>
    <n v="0"/>
    <n v="0"/>
    <n v="30000"/>
  </r>
  <r>
    <x v="53"/>
    <x v="398"/>
    <x v="393"/>
    <n v="0"/>
    <n v="0"/>
    <n v="0"/>
    <n v="0"/>
    <n v="0"/>
    <n v="0"/>
    <n v="0"/>
    <n v="0"/>
  </r>
  <r>
    <x v="53"/>
    <x v="399"/>
    <x v="394"/>
    <n v="0"/>
    <n v="0"/>
    <n v="0"/>
    <n v="0"/>
    <n v="0"/>
    <n v="0"/>
    <n v="0"/>
    <n v="0"/>
  </r>
  <r>
    <x v="53"/>
    <x v="400"/>
    <x v="395"/>
    <n v="0"/>
    <n v="0"/>
    <n v="0"/>
    <n v="0"/>
    <n v="0"/>
    <n v="0"/>
    <n v="0"/>
    <n v="0"/>
  </r>
  <r>
    <x v="54"/>
    <x v="401"/>
    <x v="396"/>
    <n v="0"/>
    <n v="0"/>
    <n v="0"/>
    <n v="0"/>
    <n v="0"/>
    <n v="0"/>
    <n v="0"/>
    <n v="0"/>
  </r>
  <r>
    <x v="54"/>
    <x v="402"/>
    <x v="397"/>
    <n v="0"/>
    <n v="0"/>
    <n v="0"/>
    <n v="0"/>
    <n v="0"/>
    <n v="0"/>
    <n v="0"/>
    <n v="0"/>
  </r>
  <r>
    <x v="54"/>
    <x v="403"/>
    <x v="398"/>
    <n v="0"/>
    <n v="0"/>
    <n v="0"/>
    <n v="0"/>
    <n v="0"/>
    <n v="0"/>
    <n v="0"/>
    <n v="0"/>
  </r>
  <r>
    <x v="54"/>
    <x v="404"/>
    <x v="399"/>
    <n v="0"/>
    <n v="750000"/>
    <n v="0"/>
    <n v="0"/>
    <n v="0"/>
    <n v="0"/>
    <n v="0"/>
    <n v="750000"/>
  </r>
  <r>
    <x v="55"/>
    <x v="405"/>
    <x v="400"/>
    <n v="0"/>
    <n v="0"/>
    <n v="0"/>
    <n v="0"/>
    <n v="0"/>
    <n v="0"/>
    <n v="0"/>
    <n v="0"/>
  </r>
  <r>
    <x v="55"/>
    <x v="406"/>
    <x v="401"/>
    <n v="0"/>
    <n v="0"/>
    <n v="0"/>
    <n v="0"/>
    <n v="0"/>
    <n v="0"/>
    <n v="0"/>
    <n v="0"/>
  </r>
  <r>
    <x v="55"/>
    <x v="407"/>
    <x v="402"/>
    <n v="0"/>
    <n v="0"/>
    <n v="0"/>
    <n v="0"/>
    <n v="0"/>
    <n v="0"/>
    <n v="0"/>
    <n v="0"/>
  </r>
  <r>
    <x v="55"/>
    <x v="408"/>
    <x v="403"/>
    <n v="0"/>
    <n v="0"/>
    <n v="0"/>
    <n v="0"/>
    <n v="0"/>
    <n v="0"/>
    <n v="0"/>
    <n v="0"/>
  </r>
  <r>
    <x v="55"/>
    <x v="409"/>
    <x v="404"/>
    <n v="0"/>
    <n v="0"/>
    <n v="0"/>
    <n v="0"/>
    <n v="0"/>
    <n v="0"/>
    <n v="0"/>
    <n v="0"/>
  </r>
  <r>
    <x v="55"/>
    <x v="410"/>
    <x v="405"/>
    <n v="0"/>
    <n v="0"/>
    <n v="0"/>
    <n v="0"/>
    <n v="0"/>
    <n v="0"/>
    <n v="0"/>
    <n v="0"/>
  </r>
  <r>
    <x v="55"/>
    <x v="411"/>
    <x v="406"/>
    <n v="0"/>
    <n v="0"/>
    <n v="0"/>
    <n v="0"/>
    <n v="0"/>
    <n v="0"/>
    <n v="0"/>
    <n v="0"/>
  </r>
  <r>
    <x v="55"/>
    <x v="412"/>
    <x v="407"/>
    <n v="0"/>
    <n v="0"/>
    <n v="0"/>
    <n v="0"/>
    <n v="0"/>
    <n v="0"/>
    <n v="0"/>
    <n v="0"/>
  </r>
  <r>
    <x v="55"/>
    <x v="413"/>
    <x v="408"/>
    <n v="0"/>
    <n v="0"/>
    <n v="0"/>
    <n v="0"/>
    <n v="0"/>
    <n v="0"/>
    <n v="0"/>
    <n v="0"/>
  </r>
  <r>
    <x v="55"/>
    <x v="414"/>
    <x v="409"/>
    <n v="0"/>
    <n v="0"/>
    <n v="0"/>
    <n v="0"/>
    <n v="0"/>
    <n v="0"/>
    <n v="0"/>
    <n v="0"/>
  </r>
  <r>
    <x v="55"/>
    <x v="415"/>
    <x v="410"/>
    <n v="0"/>
    <n v="0"/>
    <n v="0"/>
    <n v="0"/>
    <n v="0"/>
    <n v="0"/>
    <n v="0"/>
    <n v="0"/>
  </r>
  <r>
    <x v="55"/>
    <x v="416"/>
    <x v="411"/>
    <n v="0"/>
    <n v="0"/>
    <n v="0"/>
    <n v="0"/>
    <n v="0"/>
    <n v="0"/>
    <n v="0"/>
    <n v="0"/>
  </r>
  <r>
    <x v="56"/>
    <x v="417"/>
    <x v="412"/>
    <n v="0"/>
    <n v="100000"/>
    <n v="0"/>
    <n v="0"/>
    <n v="0"/>
    <n v="0"/>
    <n v="0"/>
    <n v="100000"/>
  </r>
  <r>
    <x v="56"/>
    <x v="418"/>
    <x v="413"/>
    <n v="0"/>
    <n v="0"/>
    <n v="0"/>
    <n v="0"/>
    <n v="0"/>
    <n v="0"/>
    <n v="0"/>
    <n v="0"/>
  </r>
  <r>
    <x v="56"/>
    <x v="419"/>
    <x v="414"/>
    <n v="0"/>
    <n v="0"/>
    <n v="0"/>
    <n v="0"/>
    <n v="0"/>
    <n v="0"/>
    <n v="0"/>
    <n v="0"/>
  </r>
  <r>
    <x v="57"/>
    <x v="420"/>
    <x v="415"/>
    <n v="0"/>
    <n v="0"/>
    <n v="0"/>
    <n v="0"/>
    <n v="0"/>
    <n v="0"/>
    <n v="0"/>
    <n v="0"/>
  </r>
  <r>
    <x v="57"/>
    <x v="421"/>
    <x v="416"/>
    <n v="0"/>
    <n v="0"/>
    <n v="0"/>
    <n v="0"/>
    <n v="0"/>
    <n v="0"/>
    <n v="0"/>
    <n v="0"/>
  </r>
  <r>
    <x v="57"/>
    <x v="422"/>
    <x v="417"/>
    <n v="0"/>
    <n v="0"/>
    <n v="0"/>
    <n v="0"/>
    <n v="0"/>
    <n v="0"/>
    <n v="0"/>
    <n v="0"/>
  </r>
  <r>
    <x v="57"/>
    <x v="423"/>
    <x v="418"/>
    <n v="0"/>
    <n v="130000"/>
    <n v="130000"/>
    <n v="130000"/>
    <n v="130000"/>
    <n v="130000"/>
    <n v="130000"/>
    <n v="780000"/>
  </r>
  <r>
    <x v="57"/>
    <x v="424"/>
    <x v="419"/>
    <n v="0"/>
    <n v="30000"/>
    <n v="5000"/>
    <n v="5000"/>
    <n v="30000"/>
    <n v="5000"/>
    <n v="5000"/>
    <n v="80000"/>
  </r>
  <r>
    <x v="57"/>
    <x v="425"/>
    <x v="420"/>
    <n v="0"/>
    <n v="0"/>
    <n v="0"/>
    <n v="0"/>
    <n v="0"/>
    <n v="0"/>
    <n v="0"/>
    <n v="0"/>
  </r>
  <r>
    <x v="57"/>
    <x v="426"/>
    <x v="421"/>
    <n v="0"/>
    <n v="0"/>
    <n v="0"/>
    <n v="0"/>
    <n v="0"/>
    <n v="0"/>
    <n v="0"/>
    <n v="0"/>
  </r>
  <r>
    <x v="57"/>
    <x v="427"/>
    <x v="422"/>
    <n v="0"/>
    <n v="10000"/>
    <n v="10000"/>
    <n v="10000"/>
    <n v="10000"/>
    <n v="10000"/>
    <n v="10000"/>
    <n v="60000"/>
  </r>
  <r>
    <x v="57"/>
    <x v="428"/>
    <x v="423"/>
    <n v="0"/>
    <n v="410000"/>
    <n v="410000"/>
    <n v="0"/>
    <n v="0"/>
    <n v="0"/>
    <n v="0"/>
    <n v="820000"/>
  </r>
  <r>
    <x v="57"/>
    <x v="429"/>
    <x v="424"/>
    <n v="0"/>
    <n v="0"/>
    <n v="0"/>
    <n v="0"/>
    <n v="0"/>
    <n v="0"/>
    <n v="0"/>
    <n v="0"/>
  </r>
  <r>
    <x v="57"/>
    <x v="430"/>
    <x v="425"/>
    <n v="0"/>
    <n v="0"/>
    <n v="0"/>
    <n v="0"/>
    <n v="0"/>
    <n v="0"/>
    <n v="0"/>
    <n v="0"/>
  </r>
  <r>
    <x v="58"/>
    <x v="431"/>
    <x v="426"/>
    <s v="SEN / WOL / CAN"/>
    <n v="0"/>
    <n v="0"/>
    <n v="0"/>
    <n v="0"/>
    <n v="0"/>
    <n v="0"/>
    <n v="0"/>
  </r>
  <r>
    <x v="58"/>
    <x v="432"/>
    <x v="427"/>
    <s v="SEN / WOL / CAN"/>
    <n v="0"/>
    <n v="0"/>
    <n v="0"/>
    <n v="0"/>
    <n v="0"/>
    <n v="0"/>
    <n v="0"/>
  </r>
  <r>
    <x v="58"/>
    <x v="433"/>
    <x v="428"/>
    <n v="0"/>
    <n v="0"/>
    <n v="0"/>
    <n v="0"/>
    <n v="0"/>
    <n v="0"/>
    <n v="0"/>
    <n v="0"/>
  </r>
  <r>
    <x v="58"/>
    <x v="434"/>
    <x v="429"/>
    <s v="SEN / WOL / CAN"/>
    <n v="0"/>
    <n v="0"/>
    <n v="0"/>
    <n v="0"/>
    <n v="0"/>
    <n v="0"/>
    <n v="0"/>
  </r>
  <r>
    <x v="58"/>
    <x v="435"/>
    <x v="430"/>
    <n v="0"/>
    <n v="0"/>
    <n v="0"/>
    <n v="0"/>
    <n v="0"/>
    <n v="0"/>
    <n v="0"/>
    <n v="0"/>
  </r>
  <r>
    <x v="58"/>
    <x v="436"/>
    <x v="431"/>
    <s v="SEN / WOL / CAN"/>
    <n v="0"/>
    <n v="0"/>
    <n v="0"/>
    <n v="0"/>
    <n v="0"/>
    <n v="0"/>
    <n v="0"/>
  </r>
  <r>
    <x v="58"/>
    <x v="437"/>
    <x v="432"/>
    <s v="SEN / WOL / CAN"/>
    <n v="100000"/>
    <n v="100000"/>
    <n v="0"/>
    <n v="0"/>
    <n v="0"/>
    <n v="0"/>
    <n v="200000"/>
  </r>
  <r>
    <x v="58"/>
    <x v="438"/>
    <x v="433"/>
    <s v="SEN / WOL / CAN"/>
    <n v="200000"/>
    <n v="200000"/>
    <n v="200000"/>
    <n v="200000"/>
    <s v="…"/>
    <s v="…"/>
    <n v="800000"/>
  </r>
  <r>
    <x v="58"/>
    <x v="433"/>
    <x v="428"/>
    <n v="0"/>
    <n v="0"/>
    <n v="0"/>
    <n v="0"/>
    <n v="0"/>
    <n v="0"/>
    <n v="0"/>
    <n v="0"/>
  </r>
  <r>
    <x v="58"/>
    <x v="439"/>
    <x v="434"/>
    <s v="SEN / WOL / CAN"/>
    <n v="0"/>
    <n v="0"/>
    <n v="0"/>
    <n v="0"/>
    <n v="0"/>
    <n v="0"/>
    <n v="0"/>
  </r>
  <r>
    <x v="58"/>
    <x v="435"/>
    <x v="430"/>
    <n v="0"/>
    <n v="0"/>
    <n v="0"/>
    <n v="0"/>
    <n v="0"/>
    <n v="0"/>
    <n v="0"/>
    <n v="0"/>
  </r>
  <r>
    <x v="58"/>
    <x v="440"/>
    <x v="435"/>
    <s v="SEN / WOL / CAN"/>
    <n v="0"/>
    <n v="0"/>
    <n v="0"/>
    <n v="0"/>
    <n v="0"/>
    <n v="0"/>
    <n v="0"/>
  </r>
  <r>
    <x v="58"/>
    <x v="441"/>
    <x v="436"/>
    <s v="SEN / WOL / CAN"/>
    <n v="0"/>
    <n v="0"/>
    <n v="0"/>
    <n v="0"/>
    <n v="0"/>
    <n v="0"/>
    <n v="0"/>
  </r>
  <r>
    <x v="59"/>
    <x v="442"/>
    <x v="437"/>
    <n v="0"/>
    <n v="0"/>
    <n v="0"/>
    <n v="0"/>
    <n v="0"/>
    <n v="0"/>
    <n v="0"/>
    <n v="0"/>
  </r>
  <r>
    <x v="59"/>
    <x v="443"/>
    <x v="438"/>
    <n v="0"/>
    <n v="0"/>
    <n v="10000"/>
    <n v="0"/>
    <n v="0"/>
    <n v="0"/>
    <n v="0"/>
    <n v="10000"/>
  </r>
  <r>
    <x v="59"/>
    <x v="444"/>
    <x v="439"/>
    <n v="0"/>
    <n v="0"/>
    <n v="0"/>
    <n v="100000"/>
    <n v="100000"/>
    <n v="100000"/>
    <n v="100000"/>
    <n v="400000"/>
  </r>
  <r>
    <x v="59"/>
    <x v="445"/>
    <x v="440"/>
    <n v="0"/>
    <n v="0"/>
    <n v="0"/>
    <n v="0"/>
    <n v="0"/>
    <n v="0"/>
    <n v="0"/>
    <n v="0"/>
  </r>
  <r>
    <x v="60"/>
    <x v="446"/>
    <x v="441"/>
    <n v="0"/>
    <n v="485000"/>
    <n v="215000"/>
    <n v="0"/>
    <n v="0"/>
    <n v="0"/>
    <n v="0"/>
    <n v="700000"/>
  </r>
  <r>
    <x v="60"/>
    <x v="447"/>
    <x v="442"/>
    <n v="0"/>
    <n v="35000"/>
    <n v="35000"/>
    <n v="0"/>
    <n v="0"/>
    <n v="0"/>
    <n v="0"/>
    <n v="70000"/>
  </r>
  <r>
    <x v="60"/>
    <x v="448"/>
    <x v="443"/>
    <n v="0"/>
    <n v="0"/>
    <n v="20000"/>
    <n v="20000"/>
    <n v="0"/>
    <n v="0"/>
    <n v="0"/>
    <n v="40000"/>
  </r>
  <r>
    <x v="60"/>
    <x v="449"/>
    <x v="444"/>
    <n v="0"/>
    <n v="80000"/>
    <n v="70000"/>
    <n v="70000"/>
    <n v="0"/>
    <n v="0"/>
    <n v="0"/>
    <n v="220000"/>
  </r>
  <r>
    <x v="60"/>
    <x v="450"/>
    <x v="445"/>
    <n v="0"/>
    <n v="0"/>
    <n v="0"/>
    <n v="0"/>
    <n v="0"/>
    <n v="0"/>
    <n v="0"/>
    <n v="0"/>
  </r>
  <r>
    <x v="60"/>
    <x v="451"/>
    <x v="446"/>
    <n v="0"/>
    <n v="0"/>
    <n v="0"/>
    <n v="0"/>
    <n v="0"/>
    <n v="0"/>
    <n v="0"/>
    <n v="0"/>
  </r>
  <r>
    <x v="60"/>
    <x v="452"/>
    <x v="447"/>
    <n v="0"/>
    <n v="0"/>
    <n v="40000"/>
    <n v="0"/>
    <n v="0"/>
    <n v="0"/>
    <n v="0"/>
    <n v="40000"/>
  </r>
  <r>
    <x v="60"/>
    <x v="453"/>
    <x v="448"/>
    <n v="0"/>
    <n v="40000"/>
    <n v="0"/>
    <n v="0"/>
    <n v="0"/>
    <n v="0"/>
    <n v="0"/>
    <n v="40000"/>
  </r>
  <r>
    <x v="61"/>
    <x v="454"/>
    <x v="449"/>
    <n v="0"/>
    <n v="0"/>
    <n v="0"/>
    <n v="0"/>
    <n v="0"/>
    <n v="0"/>
    <n v="0"/>
    <n v="0"/>
  </r>
  <r>
    <x v="61"/>
    <x v="455"/>
    <x v="450"/>
    <n v="0"/>
    <n v="0"/>
    <n v="0"/>
    <n v="0"/>
    <n v="0"/>
    <n v="0"/>
    <n v="0"/>
    <n v="0"/>
  </r>
  <r>
    <x v="61"/>
    <x v="456"/>
    <x v="451"/>
    <n v="0"/>
    <n v="0"/>
    <n v="0"/>
    <n v="0"/>
    <n v="0"/>
    <n v="0"/>
    <n v="0"/>
    <n v="0"/>
  </r>
  <r>
    <x v="61"/>
    <x v="457"/>
    <x v="452"/>
    <n v="0"/>
    <n v="0"/>
    <n v="0"/>
    <n v="0"/>
    <n v="0"/>
    <n v="0"/>
    <n v="0"/>
    <n v="0"/>
  </r>
  <r>
    <x v="61"/>
    <x v="458"/>
    <x v="453"/>
    <n v="0"/>
    <n v="0"/>
    <n v="0"/>
    <n v="0"/>
    <n v="0"/>
    <n v="0"/>
    <n v="0"/>
    <n v="0"/>
  </r>
  <r>
    <x v="61"/>
    <x v="459"/>
    <x v="454"/>
    <n v="0"/>
    <n v="0"/>
    <n v="0"/>
    <n v="0"/>
    <n v="0"/>
    <n v="0"/>
    <n v="0"/>
    <n v="0"/>
  </r>
  <r>
    <x v="61"/>
    <x v="460"/>
    <x v="455"/>
    <n v="0"/>
    <n v="0"/>
    <n v="0"/>
    <n v="0"/>
    <n v="0"/>
    <n v="0"/>
    <n v="0"/>
    <n v="0"/>
  </r>
  <r>
    <x v="62"/>
    <x v="461"/>
    <x v="456"/>
    <n v="0"/>
    <n v="0"/>
    <n v="0"/>
    <n v="0"/>
    <n v="0"/>
    <n v="0"/>
    <n v="0"/>
    <n v="0"/>
  </r>
  <r>
    <x v="62"/>
    <x v="462"/>
    <x v="457"/>
    <n v="0"/>
    <n v="0"/>
    <n v="0"/>
    <n v="0"/>
    <n v="0"/>
    <n v="0"/>
    <n v="0"/>
    <n v="0"/>
  </r>
  <r>
    <x v="63"/>
    <x v="463"/>
    <x v="458"/>
    <n v="0"/>
    <n v="5000"/>
    <n v="5000"/>
    <n v="5000"/>
    <n v="5000"/>
    <n v="5000"/>
    <n v="5000"/>
    <n v="30000"/>
  </r>
  <r>
    <x v="63"/>
    <x v="464"/>
    <x v="459"/>
    <n v="0"/>
    <n v="0"/>
    <n v="0"/>
    <n v="0"/>
    <n v="0"/>
    <n v="0"/>
    <n v="0"/>
    <n v="0"/>
  </r>
  <r>
    <x v="63"/>
    <x v="465"/>
    <x v="460"/>
    <n v="0"/>
    <n v="0"/>
    <n v="0"/>
    <n v="0"/>
    <n v="0"/>
    <n v="0"/>
    <n v="0"/>
    <n v="0"/>
  </r>
  <r>
    <x v="63"/>
    <x v="466"/>
    <x v="461"/>
    <n v="0"/>
    <n v="0"/>
    <n v="0"/>
    <n v="0"/>
    <n v="0"/>
    <n v="0"/>
    <n v="0"/>
    <n v="0"/>
  </r>
  <r>
    <x v="63"/>
    <x v="467"/>
    <x v="462"/>
    <n v="0"/>
    <n v="0"/>
    <n v="0"/>
    <n v="0"/>
    <n v="0"/>
    <n v="0"/>
    <n v="0"/>
    <n v="0"/>
  </r>
  <r>
    <x v="64"/>
    <x v="468"/>
    <x v="463"/>
    <n v="0"/>
    <n v="0"/>
    <n v="0"/>
    <n v="0"/>
    <n v="0"/>
    <n v="0"/>
    <n v="0"/>
    <n v="0"/>
  </r>
  <r>
    <x v="64"/>
    <x v="469"/>
    <x v="464"/>
    <n v="0"/>
    <n v="0"/>
    <n v="0"/>
    <n v="0"/>
    <n v="0"/>
    <n v="0"/>
    <n v="0"/>
    <n v="0"/>
  </r>
  <r>
    <x v="64"/>
    <x v="470"/>
    <x v="465"/>
    <n v="0"/>
    <n v="0"/>
    <n v="0"/>
    <n v="0"/>
    <n v="0"/>
    <n v="0"/>
    <n v="0"/>
    <n v="0"/>
  </r>
  <r>
    <x v="64"/>
    <x v="471"/>
    <x v="466"/>
    <n v="0"/>
    <n v="0"/>
    <n v="0"/>
    <n v="0"/>
    <n v="0"/>
    <n v="0"/>
    <n v="0"/>
    <n v="0"/>
  </r>
  <r>
    <x v="65"/>
    <x v="472"/>
    <x v="467"/>
    <n v="0"/>
    <n v="0"/>
    <n v="0"/>
    <n v="1000000"/>
    <n v="17000000"/>
    <n v="20000000"/>
    <n v="19000000"/>
    <n v="57000000"/>
  </r>
  <r>
    <x v="65"/>
    <x v="473"/>
    <x v="468"/>
    <n v="0"/>
    <n v="0"/>
    <n v="0"/>
    <n v="600000"/>
    <n v="12000000"/>
    <n v="14000000"/>
    <n v="12000000"/>
    <n v="38600000"/>
  </r>
  <r>
    <x v="65"/>
    <x v="474"/>
    <x v="469"/>
    <n v="0"/>
    <n v="0"/>
    <n v="0"/>
    <n v="0"/>
    <n v="4800000"/>
    <n v="1200000"/>
    <n v="0"/>
    <n v="6000000"/>
  </r>
  <r>
    <x v="65"/>
    <x v="475"/>
    <x v="470"/>
    <n v="0"/>
    <n v="0"/>
    <n v="0"/>
    <n v="0"/>
    <n v="0"/>
    <n v="0"/>
    <n v="0"/>
    <n v="0"/>
  </r>
  <r>
    <x v="65"/>
    <x v="476"/>
    <x v="471"/>
    <n v="0"/>
    <n v="500000"/>
    <n v="2200000"/>
    <n v="0"/>
    <n v="0"/>
    <n v="0"/>
    <n v="0"/>
    <n v="2700000"/>
  </r>
  <r>
    <x v="65"/>
    <x v="477"/>
    <x v="472"/>
    <n v="0"/>
    <n v="0"/>
    <n v="0"/>
    <n v="0"/>
    <n v="0"/>
    <n v="0"/>
    <n v="0"/>
    <n v="0"/>
  </r>
  <r>
    <x v="65"/>
    <x v="478"/>
    <x v="473"/>
    <n v="0"/>
    <n v="4000000"/>
    <n v="2500000"/>
    <n v="0"/>
    <n v="0"/>
    <n v="0"/>
    <n v="0"/>
    <n v="6500000"/>
  </r>
  <r>
    <x v="66"/>
    <x v="479"/>
    <x v="474"/>
    <n v="0"/>
    <n v="0"/>
    <n v="0"/>
    <n v="0"/>
    <n v="0"/>
    <n v="0"/>
    <n v="0"/>
    <n v="0"/>
  </r>
  <r>
    <x v="66"/>
    <x v="480"/>
    <x v="475"/>
    <n v="0"/>
    <n v="0"/>
    <n v="0"/>
    <n v="0"/>
    <n v="0"/>
    <n v="0"/>
    <n v="0"/>
    <n v="0"/>
  </r>
  <r>
    <x v="66"/>
    <x v="481"/>
    <x v="476"/>
    <n v="0"/>
    <n v="0"/>
    <n v="0"/>
    <n v="0"/>
    <n v="0"/>
    <n v="0"/>
    <n v="0"/>
    <n v="0"/>
  </r>
  <r>
    <x v="67"/>
    <x v="482"/>
    <x v="477"/>
    <n v="0"/>
    <n v="0"/>
    <n v="0"/>
    <n v="0"/>
    <n v="0"/>
    <n v="0"/>
    <n v="0"/>
    <n v="0"/>
  </r>
  <r>
    <x v="67"/>
    <x v="483"/>
    <x v="478"/>
    <n v="0"/>
    <n v="0"/>
    <n v="0"/>
    <n v="0"/>
    <n v="0"/>
    <n v="0"/>
    <n v="0"/>
    <n v="0"/>
  </r>
  <r>
    <x v="67"/>
    <x v="484"/>
    <x v="479"/>
    <n v="0"/>
    <n v="0"/>
    <n v="0"/>
    <n v="0"/>
    <n v="0"/>
    <n v="0"/>
    <n v="0"/>
    <n v="0"/>
  </r>
  <r>
    <x v="67"/>
    <x v="485"/>
    <x v="480"/>
    <n v="0"/>
    <n v="0"/>
    <n v="0"/>
    <n v="0"/>
    <n v="0"/>
    <n v="0"/>
    <n v="0"/>
    <n v="0"/>
  </r>
  <r>
    <x v="68"/>
    <x v="486"/>
    <x v="481"/>
    <n v="0"/>
    <n v="0"/>
    <n v="0"/>
    <n v="0"/>
    <n v="0"/>
    <n v="0"/>
    <n v="0"/>
    <n v="0"/>
  </r>
  <r>
    <x v="68"/>
    <x v="487"/>
    <x v="482"/>
    <n v="0"/>
    <n v="0"/>
    <n v="0"/>
    <n v="0"/>
    <n v="0"/>
    <n v="0"/>
    <n v="0"/>
    <n v="0"/>
  </r>
  <r>
    <x v="69"/>
    <x v="488"/>
    <x v="483"/>
    <n v="0"/>
    <n v="0"/>
    <n v="0"/>
    <n v="0"/>
    <n v="0"/>
    <n v="0"/>
    <n v="0"/>
    <n v="0"/>
  </r>
  <r>
    <x v="69"/>
    <x v="489"/>
    <x v="484"/>
    <n v="0"/>
    <n v="0"/>
    <n v="0"/>
    <n v="0"/>
    <n v="0"/>
    <n v="0"/>
    <n v="0"/>
    <n v="0"/>
  </r>
  <r>
    <x v="69"/>
    <x v="490"/>
    <x v="485"/>
    <n v="0"/>
    <n v="0"/>
    <n v="0"/>
    <n v="0"/>
    <n v="0"/>
    <n v="0"/>
    <n v="0"/>
    <n v="0"/>
  </r>
  <r>
    <x v="70"/>
    <x v="491"/>
    <x v="486"/>
    <n v="0"/>
    <n v="0"/>
    <n v="0"/>
    <n v="0"/>
    <n v="0"/>
    <n v="0"/>
    <n v="0"/>
    <n v="0"/>
  </r>
  <r>
    <x v="70"/>
    <x v="492"/>
    <x v="487"/>
    <n v="0"/>
    <n v="0"/>
    <n v="0"/>
    <n v="0"/>
    <n v="0"/>
    <n v="0"/>
    <n v="0"/>
    <n v="0"/>
  </r>
  <r>
    <x v="70"/>
    <x v="493"/>
    <x v="488"/>
    <n v="0"/>
    <n v="0"/>
    <n v="0"/>
    <n v="0"/>
    <n v="0"/>
    <n v="0"/>
    <n v="0"/>
    <n v="0"/>
  </r>
  <r>
    <x v="70"/>
    <x v="494"/>
    <x v="489"/>
    <n v="0"/>
    <n v="0"/>
    <n v="0"/>
    <n v="0"/>
    <n v="0"/>
    <n v="0"/>
    <n v="0"/>
    <n v="0"/>
  </r>
  <r>
    <x v="70"/>
    <x v="495"/>
    <x v="490"/>
    <n v="0"/>
    <n v="0"/>
    <n v="0"/>
    <n v="0"/>
    <n v="0"/>
    <n v="0"/>
    <n v="0"/>
    <n v="0"/>
  </r>
  <r>
    <x v="70"/>
    <x v="496"/>
    <x v="491"/>
    <n v="0"/>
    <n v="0"/>
    <n v="0"/>
    <n v="0"/>
    <n v="0"/>
    <n v="0"/>
    <n v="0"/>
    <n v="0"/>
  </r>
  <r>
    <x v="71"/>
    <x v="497"/>
    <x v="492"/>
    <n v="0"/>
    <n v="0"/>
    <n v="0"/>
    <n v="0"/>
    <n v="0"/>
    <n v="0"/>
    <n v="0"/>
    <n v="0"/>
  </r>
  <r>
    <x v="71"/>
    <x v="498"/>
    <x v="493"/>
    <n v="0"/>
    <n v="0"/>
    <n v="0"/>
    <n v="0"/>
    <n v="0"/>
    <n v="0"/>
    <n v="0"/>
    <n v="0"/>
  </r>
  <r>
    <x v="71"/>
    <x v="499"/>
    <x v="494"/>
    <n v="0"/>
    <n v="0"/>
    <n v="0"/>
    <n v="0"/>
    <n v="0"/>
    <n v="0"/>
    <n v="0"/>
    <n v="0"/>
  </r>
  <r>
    <x v="71"/>
    <x v="500"/>
    <x v="495"/>
    <n v="0"/>
    <n v="0"/>
    <n v="0"/>
    <n v="0"/>
    <n v="0"/>
    <n v="0"/>
    <n v="0"/>
    <n v="0"/>
  </r>
  <r>
    <x v="71"/>
    <x v="501"/>
    <x v="496"/>
    <n v="0"/>
    <n v="0"/>
    <n v="0"/>
    <n v="0"/>
    <n v="0"/>
    <n v="0"/>
    <n v="0"/>
    <n v="0"/>
  </r>
  <r>
    <x v="71"/>
    <x v="502"/>
    <x v="497"/>
    <n v="0"/>
    <n v="0"/>
    <n v="0"/>
    <n v="0"/>
    <n v="0"/>
    <n v="0"/>
    <n v="0"/>
    <n v="0"/>
  </r>
  <r>
    <x v="72"/>
    <x v="503"/>
    <x v="498"/>
    <n v="0"/>
    <n v="0"/>
    <n v="0"/>
    <n v="0"/>
    <n v="0"/>
    <n v="0"/>
    <n v="0"/>
    <n v="0"/>
  </r>
  <r>
    <x v="72"/>
    <x v="504"/>
    <x v="499"/>
    <n v="0"/>
    <n v="0"/>
    <n v="0"/>
    <n v="0"/>
    <n v="0"/>
    <n v="0"/>
    <n v="0"/>
    <n v="0"/>
  </r>
  <r>
    <x v="72"/>
    <x v="505"/>
    <x v="500"/>
    <n v="0"/>
    <n v="0"/>
    <n v="0"/>
    <n v="0"/>
    <n v="0"/>
    <n v="0"/>
    <n v="0"/>
    <n v="0"/>
  </r>
  <r>
    <x v="72"/>
    <x v="506"/>
    <x v="501"/>
    <n v="0"/>
    <n v="0"/>
    <n v="0"/>
    <n v="0"/>
    <n v="0"/>
    <n v="0"/>
    <n v="0"/>
    <n v="0"/>
  </r>
  <r>
    <x v="73"/>
    <x v="507"/>
    <x v="502"/>
    <n v="0"/>
    <n v="0"/>
    <n v="0"/>
    <n v="0"/>
    <n v="0"/>
    <n v="0"/>
    <n v="0"/>
    <n v="0"/>
  </r>
  <r>
    <x v="73"/>
    <x v="508"/>
    <x v="503"/>
    <n v="0"/>
    <n v="3000"/>
    <n v="0"/>
    <n v="0"/>
    <n v="0"/>
    <n v="0"/>
    <n v="0"/>
    <n v="3000"/>
  </r>
  <r>
    <x v="73"/>
    <x v="509"/>
    <x v="504"/>
    <n v="0"/>
    <n v="0"/>
    <n v="0"/>
    <n v="0"/>
    <n v="0"/>
    <n v="0"/>
    <n v="0"/>
    <n v="0"/>
  </r>
  <r>
    <x v="73"/>
    <x v="510"/>
    <x v="505"/>
    <n v="0"/>
    <n v="0"/>
    <n v="0"/>
    <n v="0"/>
    <n v="0"/>
    <n v="0"/>
    <n v="0"/>
    <n v="0"/>
  </r>
  <r>
    <x v="73"/>
    <x v="511"/>
    <x v="506"/>
    <n v="0"/>
    <n v="0"/>
    <n v="0"/>
    <n v="0"/>
    <n v="0"/>
    <n v="0"/>
    <n v="0"/>
    <n v="0"/>
  </r>
  <r>
    <x v="74"/>
    <x v="512"/>
    <x v="507"/>
    <n v="0"/>
    <n v="0"/>
    <n v="0"/>
    <n v="0"/>
    <n v="0"/>
    <n v="0"/>
    <n v="0"/>
    <n v="0"/>
  </r>
  <r>
    <x v="74"/>
    <x v="513"/>
    <x v="508"/>
    <n v="0"/>
    <n v="2000"/>
    <n v="2000"/>
    <n v="2000"/>
    <n v="2000"/>
    <n v="2000"/>
    <n v="2000"/>
    <n v="12000"/>
  </r>
  <r>
    <x v="74"/>
    <x v="514"/>
    <x v="509"/>
    <n v="0"/>
    <n v="0"/>
    <n v="0"/>
    <n v="0"/>
    <n v="0"/>
    <n v="0"/>
    <n v="0"/>
    <n v="0"/>
  </r>
  <r>
    <x v="74"/>
    <x v="515"/>
    <x v="510"/>
    <n v="0"/>
    <n v="0"/>
    <n v="0"/>
    <n v="0"/>
    <n v="0"/>
    <n v="0"/>
    <n v="0"/>
    <n v="0"/>
  </r>
  <r>
    <x v="74"/>
    <x v="516"/>
    <x v="511"/>
    <n v="0"/>
    <n v="0"/>
    <n v="0"/>
    <n v="0"/>
    <n v="0"/>
    <n v="0"/>
    <n v="0"/>
    <n v="0"/>
  </r>
  <r>
    <x v="75"/>
    <x v="517"/>
    <x v="512"/>
    <n v="0"/>
    <n v="0"/>
    <n v="0"/>
    <n v="0"/>
    <n v="0"/>
    <n v="0"/>
    <n v="0"/>
    <n v="0"/>
  </r>
  <r>
    <x v="75"/>
    <x v="518"/>
    <x v="513"/>
    <n v="0"/>
    <n v="0"/>
    <n v="0"/>
    <n v="0"/>
    <n v="0"/>
    <n v="0"/>
    <n v="0"/>
    <n v="0"/>
  </r>
  <r>
    <x v="75"/>
    <x v="519"/>
    <x v="514"/>
    <n v="0"/>
    <n v="0"/>
    <n v="0"/>
    <n v="0"/>
    <n v="0"/>
    <n v="0"/>
    <n v="0"/>
    <n v="0"/>
  </r>
  <r>
    <x v="75"/>
    <x v="520"/>
    <x v="515"/>
    <n v="0"/>
    <n v="0"/>
    <n v="0"/>
    <n v="0"/>
    <n v="0"/>
    <n v="0"/>
    <n v="0"/>
    <n v="0"/>
  </r>
  <r>
    <x v="76"/>
    <x v="521"/>
    <x v="516"/>
    <n v="0"/>
    <n v="0"/>
    <n v="0"/>
    <n v="0"/>
    <n v="0"/>
    <n v="0"/>
    <n v="0"/>
    <n v="0"/>
  </r>
  <r>
    <x v="76"/>
    <x v="522"/>
    <x v="517"/>
    <n v="0"/>
    <n v="0"/>
    <n v="100000"/>
    <n v="100000"/>
    <n v="100000"/>
    <n v="0"/>
    <n v="0"/>
    <n v="300000"/>
  </r>
  <r>
    <x v="76"/>
    <x v="523"/>
    <x v="518"/>
    <n v="0"/>
    <n v="0"/>
    <n v="0"/>
    <n v="0"/>
    <n v="0"/>
    <n v="0"/>
    <n v="0"/>
    <n v="0"/>
  </r>
  <r>
    <x v="76"/>
    <x v="524"/>
    <x v="519"/>
    <n v="0"/>
    <n v="0"/>
    <n v="0"/>
    <n v="70000"/>
    <n v="0"/>
    <n v="0"/>
    <n v="0"/>
    <n v="70000"/>
  </r>
  <r>
    <x v="76"/>
    <x v="525"/>
    <x v="520"/>
    <n v="0"/>
    <n v="0"/>
    <n v="0"/>
    <n v="0"/>
    <n v="0"/>
    <n v="0"/>
    <n v="0"/>
    <n v="0"/>
  </r>
  <r>
    <x v="76"/>
    <x v="526"/>
    <x v="521"/>
    <n v="0"/>
    <n v="0"/>
    <n v="0"/>
    <n v="0"/>
    <n v="0"/>
    <n v="0"/>
    <n v="0"/>
    <n v="0"/>
  </r>
  <r>
    <x v="76"/>
    <x v="527"/>
    <x v="522"/>
    <n v="0"/>
    <n v="0"/>
    <n v="0"/>
    <n v="29000"/>
    <n v="31000"/>
    <n v="0"/>
    <n v="0"/>
    <n v="60000"/>
  </r>
  <r>
    <x v="77"/>
    <x v="528"/>
    <x v="523"/>
    <n v="0"/>
    <n v="0"/>
    <n v="0"/>
    <n v="0"/>
    <n v="0"/>
    <n v="0"/>
    <n v="0"/>
    <n v="0"/>
  </r>
  <r>
    <x v="77"/>
    <x v="529"/>
    <x v="524"/>
    <n v="0"/>
    <n v="0"/>
    <n v="0"/>
    <n v="0"/>
    <n v="0"/>
    <n v="0"/>
    <n v="0"/>
    <n v="0"/>
  </r>
  <r>
    <x v="78"/>
    <x v="530"/>
    <x v="525"/>
    <n v="0"/>
    <n v="25000"/>
    <n v="25000"/>
    <n v="10000"/>
    <n v="10000"/>
    <n v="10000"/>
    <n v="10000"/>
    <n v="90000"/>
  </r>
  <r>
    <x v="78"/>
    <x v="531"/>
    <x v="526"/>
    <n v="0"/>
    <n v="25000"/>
    <n v="10000"/>
    <n v="10000"/>
    <n v="10000"/>
    <n v="10000"/>
    <n v="10000"/>
    <n v="75000"/>
  </r>
  <r>
    <x v="78"/>
    <x v="532"/>
    <x v="527"/>
    <n v="0"/>
    <n v="25000"/>
    <n v="25000"/>
    <n v="10000"/>
    <n v="10000"/>
    <n v="10000"/>
    <n v="10000"/>
    <n v="90000"/>
  </r>
  <r>
    <x v="78"/>
    <x v="533"/>
    <x v="528"/>
    <n v="0"/>
    <n v="0"/>
    <n v="50000"/>
    <n v="50000"/>
    <n v="10000"/>
    <n v="10000"/>
    <n v="10000"/>
    <n v="130000"/>
  </r>
  <r>
    <x v="78"/>
    <x v="534"/>
    <x v="529"/>
    <n v="0"/>
    <n v="0"/>
    <n v="0"/>
    <n v="0"/>
    <n v="0"/>
    <n v="0"/>
    <n v="0"/>
    <n v="0"/>
  </r>
  <r>
    <x v="79"/>
    <x v="535"/>
    <x v="530"/>
    <n v="0"/>
    <n v="0"/>
    <n v="0"/>
    <n v="0"/>
    <n v="0"/>
    <n v="0"/>
    <n v="0"/>
    <n v="0"/>
  </r>
  <r>
    <x v="79"/>
    <x v="536"/>
    <x v="531"/>
    <n v="0"/>
    <n v="0"/>
    <n v="0"/>
    <n v="0"/>
    <n v="0"/>
    <n v="0"/>
    <n v="0"/>
    <n v="0"/>
  </r>
  <r>
    <x v="79"/>
    <x v="537"/>
    <x v="532"/>
    <n v="0"/>
    <n v="0"/>
    <n v="0"/>
    <n v="0"/>
    <n v="0"/>
    <n v="0"/>
    <n v="0"/>
    <n v="0"/>
  </r>
  <r>
    <x v="79"/>
    <x v="538"/>
    <x v="533"/>
    <n v="0"/>
    <n v="0"/>
    <n v="0"/>
    <n v="0"/>
    <n v="0"/>
    <n v="0"/>
    <n v="0"/>
    <n v="0"/>
  </r>
  <r>
    <x v="79"/>
    <x v="539"/>
    <x v="534"/>
    <n v="0"/>
    <n v="0"/>
    <n v="0"/>
    <n v="0"/>
    <n v="0"/>
    <n v="0"/>
    <n v="0"/>
    <n v="0"/>
  </r>
  <r>
    <x v="80"/>
    <x v="540"/>
    <x v="535"/>
    <n v="0"/>
    <n v="25000"/>
    <n v="25000"/>
    <n v="0"/>
    <n v="0"/>
    <n v="0"/>
    <n v="0"/>
    <n v="50000"/>
  </r>
  <r>
    <x v="80"/>
    <x v="541"/>
    <x v="536"/>
    <n v="0"/>
    <n v="10000"/>
    <n v="10000"/>
    <n v="0"/>
    <n v="0"/>
    <n v="0"/>
    <n v="0"/>
    <n v="20000"/>
  </r>
  <r>
    <x v="80"/>
    <x v="542"/>
    <x v="537"/>
    <n v="0"/>
    <n v="0"/>
    <n v="0"/>
    <n v="0"/>
    <n v="0"/>
    <n v="0"/>
    <n v="0"/>
    <n v="0"/>
  </r>
  <r>
    <x v="80"/>
    <x v="543"/>
    <x v="538"/>
    <n v="0"/>
    <n v="0"/>
    <n v="50000"/>
    <n v="50000"/>
    <n v="0"/>
    <n v="0"/>
    <n v="0"/>
    <n v="100000"/>
  </r>
  <r>
    <x v="80"/>
    <x v="544"/>
    <x v="539"/>
    <n v="0"/>
    <n v="25000"/>
    <n v="25000"/>
    <n v="0"/>
    <n v="0"/>
    <n v="0"/>
    <n v="0"/>
    <n v="50000"/>
  </r>
  <r>
    <x v="80"/>
    <x v="545"/>
    <x v="540"/>
    <n v="0"/>
    <n v="0"/>
    <n v="0"/>
    <n v="0"/>
    <n v="0"/>
    <n v="0"/>
    <n v="0"/>
    <n v="0"/>
  </r>
  <r>
    <x v="80"/>
    <x v="546"/>
    <x v="541"/>
    <n v="0"/>
    <n v="0"/>
    <n v="0"/>
    <n v="30000"/>
    <n v="0"/>
    <n v="0"/>
    <n v="0"/>
    <n v="30000"/>
  </r>
  <r>
    <x v="81"/>
    <x v="547"/>
    <x v="542"/>
    <n v="0"/>
    <n v="0"/>
    <n v="0"/>
    <n v="0"/>
    <n v="0"/>
    <n v="0"/>
    <n v="0"/>
    <n v="0"/>
  </r>
  <r>
    <x v="81"/>
    <x v="548"/>
    <x v="543"/>
    <n v="0"/>
    <n v="0"/>
    <n v="0"/>
    <n v="0"/>
    <n v="0"/>
    <n v="0"/>
    <n v="0"/>
    <n v="0"/>
  </r>
  <r>
    <x v="81"/>
    <x v="549"/>
    <x v="544"/>
    <n v="0"/>
    <n v="0"/>
    <n v="0"/>
    <n v="0"/>
    <n v="0"/>
    <n v="0"/>
    <n v="0"/>
    <n v="0"/>
  </r>
  <r>
    <x v="81"/>
    <x v="550"/>
    <x v="545"/>
    <n v="0"/>
    <n v="0"/>
    <n v="0"/>
    <n v="0"/>
    <n v="0"/>
    <n v="0"/>
    <n v="0"/>
    <n v="0"/>
  </r>
  <r>
    <x v="81"/>
    <x v="551"/>
    <x v="546"/>
    <n v="0"/>
    <n v="0"/>
    <n v="0"/>
    <n v="0"/>
    <n v="0"/>
    <n v="0"/>
    <n v="0"/>
    <n v="0"/>
  </r>
  <r>
    <x v="81"/>
    <x v="552"/>
    <x v="547"/>
    <n v="0"/>
    <n v="0"/>
    <n v="0"/>
    <n v="0"/>
    <n v="0"/>
    <n v="0"/>
    <n v="0"/>
    <n v="0"/>
  </r>
  <r>
    <x v="82"/>
    <x v="553"/>
    <x v="548"/>
    <n v="0"/>
    <n v="0"/>
    <n v="0"/>
    <n v="0"/>
    <n v="0"/>
    <n v="0"/>
    <n v="0"/>
    <n v="0"/>
  </r>
  <r>
    <x v="82"/>
    <x v="554"/>
    <x v="549"/>
    <n v="0"/>
    <n v="0"/>
    <n v="0"/>
    <n v="0"/>
    <n v="0"/>
    <n v="0"/>
    <n v="0"/>
    <n v="0"/>
  </r>
  <r>
    <x v="83"/>
    <x v="555"/>
    <x v="550"/>
    <n v="0"/>
    <n v="0"/>
    <n v="0"/>
    <n v="0"/>
    <n v="0"/>
    <n v="0"/>
    <n v="0"/>
    <n v="0"/>
  </r>
  <r>
    <x v="83"/>
    <x v="556"/>
    <x v="551"/>
    <n v="0"/>
    <n v="0"/>
    <n v="0"/>
    <n v="0"/>
    <n v="0"/>
    <n v="0"/>
    <n v="0"/>
    <n v="0"/>
  </r>
  <r>
    <x v="83"/>
    <x v="557"/>
    <x v="552"/>
    <n v="0"/>
    <n v="10000"/>
    <n v="10000"/>
    <n v="10000"/>
    <n v="10000"/>
    <n v="10000"/>
    <n v="10000"/>
    <n v="60000"/>
  </r>
  <r>
    <x v="83"/>
    <x v="558"/>
    <x v="553"/>
    <n v="0"/>
    <n v="30000"/>
    <n v="30000"/>
    <n v="30000"/>
    <n v="30000"/>
    <n v="30000"/>
    <n v="30000"/>
    <n v="180000"/>
  </r>
  <r>
    <x v="83"/>
    <x v="559"/>
    <x v="554"/>
    <n v="0"/>
    <n v="0"/>
    <n v="0"/>
    <n v="0"/>
    <n v="0"/>
    <n v="0"/>
    <n v="0"/>
    <n v="0"/>
  </r>
  <r>
    <x v="83"/>
    <x v="560"/>
    <x v="555"/>
    <n v="0"/>
    <n v="0"/>
    <n v="0"/>
    <n v="0"/>
    <n v="0"/>
    <n v="0"/>
    <n v="0"/>
    <n v="0"/>
  </r>
  <r>
    <x v="83"/>
    <x v="561"/>
    <x v="556"/>
    <n v="0"/>
    <n v="0"/>
    <n v="0"/>
    <n v="0"/>
    <n v="0"/>
    <n v="0"/>
    <n v="0"/>
    <n v="0"/>
  </r>
  <r>
    <x v="83"/>
    <x v="562"/>
    <x v="557"/>
    <n v="0"/>
    <n v="0"/>
    <n v="0"/>
    <n v="0"/>
    <n v="0"/>
    <n v="0"/>
    <n v="0"/>
    <n v="0"/>
  </r>
  <r>
    <x v="83"/>
    <x v="563"/>
    <x v="558"/>
    <n v="0"/>
    <n v="0"/>
    <n v="0"/>
    <n v="0"/>
    <n v="0"/>
    <n v="0"/>
    <n v="0"/>
    <n v="0"/>
  </r>
  <r>
    <x v="84"/>
    <x v="564"/>
    <x v="559"/>
    <n v="0"/>
    <n v="0"/>
    <n v="0"/>
    <n v="0"/>
    <n v="0"/>
    <n v="0"/>
    <n v="0"/>
    <n v="0"/>
  </r>
  <r>
    <x v="84"/>
    <x v="565"/>
    <x v="560"/>
    <n v="0"/>
    <n v="0"/>
    <n v="0"/>
    <n v="0"/>
    <n v="0"/>
    <n v="0"/>
    <n v="0"/>
    <n v="0"/>
  </r>
  <r>
    <x v="84"/>
    <x v="566"/>
    <x v="561"/>
    <n v="0"/>
    <n v="0"/>
    <n v="0"/>
    <n v="0"/>
    <n v="0"/>
    <n v="0"/>
    <n v="0"/>
    <n v="0"/>
  </r>
  <r>
    <x v="84"/>
    <x v="567"/>
    <x v="562"/>
    <n v="0"/>
    <n v="0"/>
    <n v="0"/>
    <n v="0"/>
    <n v="0"/>
    <n v="0"/>
    <n v="0"/>
    <n v="0"/>
  </r>
  <r>
    <x v="84"/>
    <x v="568"/>
    <x v="563"/>
    <n v="0"/>
    <n v="0"/>
    <n v="0"/>
    <n v="0"/>
    <n v="0"/>
    <n v="0"/>
    <n v="0"/>
    <n v="0"/>
  </r>
  <r>
    <x v="84"/>
    <x v="569"/>
    <x v="564"/>
    <n v="0"/>
    <n v="0"/>
    <n v="0"/>
    <n v="10000"/>
    <n v="0"/>
    <n v="10000"/>
    <n v="0"/>
    <n v="20000"/>
  </r>
  <r>
    <x v="84"/>
    <x v="570"/>
    <x v="565"/>
    <n v="0"/>
    <n v="0"/>
    <n v="0"/>
    <n v="0"/>
    <n v="0"/>
    <n v="0"/>
    <n v="0"/>
    <n v="0"/>
  </r>
  <r>
    <x v="84"/>
    <x v="571"/>
    <x v="566"/>
    <n v="0"/>
    <n v="0"/>
    <n v="0"/>
    <n v="0"/>
    <n v="0"/>
    <n v="0"/>
    <n v="0"/>
    <n v="0"/>
  </r>
  <r>
    <x v="85"/>
    <x v="572"/>
    <x v="567"/>
    <n v="0"/>
    <n v="0"/>
    <n v="0"/>
    <n v="0"/>
    <n v="0"/>
    <n v="0"/>
    <n v="0"/>
    <n v="0"/>
  </r>
  <r>
    <x v="85"/>
    <x v="573"/>
    <x v="568"/>
    <n v="0"/>
    <n v="0"/>
    <n v="0"/>
    <n v="0"/>
    <n v="0"/>
    <n v="0"/>
    <n v="0"/>
    <n v="0"/>
  </r>
  <r>
    <x v="86"/>
    <x v="574"/>
    <x v="569"/>
    <n v="0"/>
    <n v="0"/>
    <n v="0"/>
    <n v="0"/>
    <n v="0"/>
    <n v="0"/>
    <n v="0"/>
    <n v="0"/>
  </r>
  <r>
    <x v="86"/>
    <x v="575"/>
    <x v="570"/>
    <n v="0"/>
    <n v="68600"/>
    <n v="68600"/>
    <n v="0"/>
    <n v="0"/>
    <n v="0"/>
    <n v="0"/>
    <n v="137200"/>
  </r>
  <r>
    <x v="86"/>
    <x v="576"/>
    <x v="571"/>
    <n v="0"/>
    <n v="0"/>
    <n v="0"/>
    <n v="0"/>
    <n v="0"/>
    <n v="0"/>
    <n v="0"/>
    <n v="0"/>
  </r>
  <r>
    <x v="86"/>
    <x v="577"/>
    <x v="572"/>
    <n v="0"/>
    <n v="8000"/>
    <n v="8000"/>
    <n v="8000"/>
    <n v="8000"/>
    <n v="8000"/>
    <n v="8000"/>
    <n v="48000"/>
  </r>
  <r>
    <x v="87"/>
    <x v="578"/>
    <x v="573"/>
    <n v="0"/>
    <n v="50000"/>
    <n v="50000"/>
    <n v="50000"/>
    <n v="50000"/>
    <n v="50000"/>
    <n v="50000"/>
    <n v="300000"/>
  </r>
  <r>
    <x v="87"/>
    <x v="579"/>
    <x v="574"/>
    <n v="0"/>
    <n v="35000"/>
    <n v="35000"/>
    <n v="35000"/>
    <n v="35000"/>
    <n v="35000"/>
    <n v="35000"/>
    <n v="210000"/>
  </r>
  <r>
    <x v="87"/>
    <x v="580"/>
    <x v="575"/>
    <n v="0"/>
    <n v="300000"/>
    <n v="300000"/>
    <n v="300000"/>
    <n v="300000"/>
    <n v="300000"/>
    <n v="300000"/>
    <n v="1800000"/>
  </r>
  <r>
    <x v="87"/>
    <x v="581"/>
    <x v="576"/>
    <n v="0"/>
    <n v="250000"/>
    <n v="250000"/>
    <n v="250000"/>
    <n v="250000"/>
    <n v="250000"/>
    <n v="250000"/>
    <n v="1500000"/>
  </r>
  <r>
    <x v="87"/>
    <x v="582"/>
    <x v="577"/>
    <n v="0"/>
    <n v="200000"/>
    <n v="140000"/>
    <n v="490000"/>
    <n v="120000"/>
    <n v="0"/>
    <n v="0"/>
    <n v="950000"/>
  </r>
  <r>
    <x v="87"/>
    <x v="583"/>
    <x v="578"/>
    <n v="0"/>
    <n v="0"/>
    <n v="0"/>
    <n v="0"/>
    <n v="0"/>
    <n v="0"/>
    <n v="0"/>
    <n v="0"/>
  </r>
  <r>
    <x v="87"/>
    <x v="584"/>
    <x v="579"/>
    <n v="0"/>
    <n v="0"/>
    <n v="0"/>
    <n v="0"/>
    <n v="0"/>
    <n v="0"/>
    <n v="0"/>
    <n v="0"/>
  </r>
  <r>
    <x v="87"/>
    <x v="585"/>
    <x v="580"/>
    <n v="0"/>
    <n v="0"/>
    <n v="0"/>
    <n v="0"/>
    <n v="0"/>
    <n v="0"/>
    <n v="0"/>
    <n v="0"/>
  </r>
  <r>
    <x v="88"/>
    <x v="586"/>
    <x v="581"/>
    <n v="0"/>
    <n v="10000"/>
    <n v="10000"/>
    <n v="10000"/>
    <n v="10000"/>
    <n v="10000"/>
    <n v="10000"/>
    <n v="60000"/>
  </r>
  <r>
    <x v="88"/>
    <x v="587"/>
    <x v="582"/>
    <n v="0"/>
    <n v="0"/>
    <n v="0"/>
    <n v="0"/>
    <n v="0"/>
    <n v="0"/>
    <n v="0"/>
    <n v="0"/>
  </r>
  <r>
    <x v="88"/>
    <x v="588"/>
    <x v="583"/>
    <n v="0"/>
    <n v="0"/>
    <n v="0"/>
    <n v="0"/>
    <n v="0"/>
    <n v="0"/>
    <n v="0"/>
    <n v="0"/>
  </r>
  <r>
    <x v="88"/>
    <x v="589"/>
    <x v="584"/>
    <n v="0"/>
    <n v="0"/>
    <n v="5000"/>
    <n v="5000"/>
    <n v="5000"/>
    <n v="5000"/>
    <n v="5000"/>
    <n v="25000"/>
  </r>
  <r>
    <x v="89"/>
    <x v="590"/>
    <x v="585"/>
    <n v="0"/>
    <n v="0"/>
    <n v="0"/>
    <n v="0"/>
    <n v="0"/>
    <n v="0"/>
    <n v="0"/>
    <n v="0"/>
  </r>
  <r>
    <x v="90"/>
    <x v="591"/>
    <x v="586"/>
    <m/>
    <m/>
    <m/>
    <m/>
    <m/>
    <m/>
    <m/>
    <m/>
  </r>
  <r>
    <x v="90"/>
    <x v="592"/>
    <x v="587"/>
    <m/>
    <m/>
    <m/>
    <m/>
    <m/>
    <m/>
    <m/>
    <m/>
  </r>
  <r>
    <x v="90"/>
    <x v="593"/>
    <x v="588"/>
    <m/>
    <m/>
    <m/>
    <m/>
    <m/>
    <m/>
    <m/>
    <m/>
  </r>
  <r>
    <x v="90"/>
    <x v="594"/>
    <x v="589"/>
    <m/>
    <m/>
    <m/>
    <m/>
    <m/>
    <m/>
    <m/>
    <m/>
  </r>
  <r>
    <x v="90"/>
    <x v="595"/>
    <x v="590"/>
    <m/>
    <m/>
    <m/>
    <m/>
    <m/>
    <m/>
    <m/>
    <m/>
  </r>
  <r>
    <x v="90"/>
    <x v="596"/>
    <x v="591"/>
    <m/>
    <m/>
    <m/>
    <m/>
    <m/>
    <m/>
    <m/>
    <m/>
  </r>
  <r>
    <x v="90"/>
    <x v="597"/>
    <x v="592"/>
    <m/>
    <m/>
    <m/>
    <m/>
    <m/>
    <m/>
    <m/>
    <m/>
  </r>
  <r>
    <x v="90"/>
    <x v="598"/>
    <x v="593"/>
    <m/>
    <m/>
    <m/>
    <m/>
    <m/>
    <m/>
    <m/>
    <m/>
  </r>
  <r>
    <x v="90"/>
    <x v="599"/>
    <x v="594"/>
    <m/>
    <m/>
    <m/>
    <m/>
    <m/>
    <m/>
    <m/>
    <m/>
  </r>
  <r>
    <x v="90"/>
    <x v="600"/>
    <x v="595"/>
    <m/>
    <m/>
    <m/>
    <m/>
    <m/>
    <m/>
    <m/>
    <m/>
  </r>
  <r>
    <x v="90"/>
    <x v="601"/>
    <x v="596"/>
    <m/>
    <m/>
    <m/>
    <m/>
    <m/>
    <m/>
    <m/>
    <m/>
  </r>
  <r>
    <x v="90"/>
    <x v="602"/>
    <x v="597"/>
    <m/>
    <m/>
    <m/>
    <m/>
    <m/>
    <m/>
    <m/>
    <m/>
  </r>
  <r>
    <x v="91"/>
    <x v="603"/>
    <x v="598"/>
    <n v="0"/>
    <n v="200000"/>
    <n v="65000"/>
    <n v="0"/>
    <n v="0"/>
    <n v="0"/>
    <n v="0"/>
    <n v="265000"/>
  </r>
  <r>
    <x v="91"/>
    <x v="604"/>
    <x v="599"/>
    <n v="0"/>
    <n v="0"/>
    <n v="0"/>
    <n v="0"/>
    <n v="0"/>
    <n v="0"/>
    <n v="0"/>
    <n v="0"/>
  </r>
  <r>
    <x v="91"/>
    <x v="605"/>
    <x v="600"/>
    <n v="0"/>
    <n v="0"/>
    <n v="2000000"/>
    <n v="4200000"/>
    <n v="0"/>
    <n v="0"/>
    <n v="0"/>
    <n v="6200000"/>
  </r>
  <r>
    <x v="91"/>
    <x v="606"/>
    <x v="601"/>
    <n v="0"/>
    <n v="0"/>
    <n v="0"/>
    <n v="0"/>
    <n v="0"/>
    <n v="0"/>
    <n v="0"/>
    <n v="0"/>
  </r>
  <r>
    <x v="92"/>
    <x v="607"/>
    <x v="602"/>
    <n v="0"/>
    <n v="0"/>
    <n v="0"/>
    <n v="0"/>
    <n v="0"/>
    <n v="0"/>
    <n v="0"/>
    <n v="0"/>
  </r>
  <r>
    <x v="92"/>
    <x v="608"/>
    <x v="603"/>
    <n v="0"/>
    <n v="0"/>
    <n v="0"/>
    <n v="0"/>
    <n v="0"/>
    <n v="0"/>
    <n v="0"/>
    <n v="0"/>
  </r>
  <r>
    <x v="92"/>
    <x v="609"/>
    <x v="604"/>
    <n v="0"/>
    <n v="0"/>
    <n v="0"/>
    <n v="0"/>
    <n v="0"/>
    <n v="0"/>
    <n v="0"/>
    <n v="0"/>
  </r>
  <r>
    <x v="92"/>
    <x v="610"/>
    <x v="605"/>
    <n v="0"/>
    <n v="0"/>
    <n v="0"/>
    <n v="0"/>
    <n v="0"/>
    <n v="0"/>
    <n v="0"/>
    <n v="0"/>
  </r>
  <r>
    <x v="93"/>
    <x v="611"/>
    <x v="606"/>
    <n v="0"/>
    <n v="50000"/>
    <n v="0"/>
    <n v="0"/>
    <n v="0"/>
    <n v="0"/>
    <n v="0"/>
    <n v="50000"/>
  </r>
  <r>
    <x v="93"/>
    <x v="612"/>
    <x v="607"/>
    <n v="0"/>
    <n v="0"/>
    <n v="250000"/>
    <n v="0"/>
    <n v="0"/>
    <n v="0"/>
    <n v="0"/>
    <n v="250000"/>
  </r>
  <r>
    <x v="93"/>
    <x v="613"/>
    <x v="608"/>
    <n v="0"/>
    <n v="0"/>
    <n v="0"/>
    <n v="0"/>
    <n v="0"/>
    <n v="250000"/>
    <n v="0"/>
    <n v="250000"/>
  </r>
  <r>
    <x v="93"/>
    <x v="614"/>
    <x v="609"/>
    <n v="0"/>
    <n v="24000"/>
    <n v="32000"/>
    <n v="40000"/>
    <n v="40000"/>
    <n v="40000"/>
    <n v="40000"/>
    <n v="216000"/>
  </r>
  <r>
    <x v="94"/>
    <x v="615"/>
    <x v="610"/>
    <n v="0"/>
    <n v="0"/>
    <n v="0"/>
    <n v="0"/>
    <n v="0"/>
    <n v="0"/>
    <n v="0"/>
    <n v="0"/>
  </r>
  <r>
    <x v="94"/>
    <x v="616"/>
    <x v="611"/>
    <n v="0"/>
    <n v="0"/>
    <n v="0"/>
    <n v="0"/>
    <n v="0"/>
    <n v="0"/>
    <n v="0"/>
    <n v="0"/>
  </r>
  <r>
    <x v="95"/>
    <x v="617"/>
    <x v="612"/>
    <n v="0"/>
    <n v="0"/>
    <n v="0"/>
    <n v="0"/>
    <n v="0"/>
    <n v="0"/>
    <n v="0"/>
    <n v="0"/>
  </r>
  <r>
    <x v="95"/>
    <x v="618"/>
    <x v="613"/>
    <n v="0"/>
    <n v="0"/>
    <n v="0"/>
    <n v="0"/>
    <n v="0"/>
    <n v="0"/>
    <n v="0"/>
    <n v="0"/>
  </r>
  <r>
    <x v="95"/>
    <x v="619"/>
    <x v="614"/>
    <n v="0"/>
    <n v="0"/>
    <n v="0"/>
    <n v="0"/>
    <n v="0"/>
    <n v="0"/>
    <n v="0"/>
    <n v="0"/>
  </r>
  <r>
    <x v="95"/>
    <x v="620"/>
    <x v="615"/>
    <n v="0"/>
    <n v="0"/>
    <n v="0"/>
    <n v="0"/>
    <n v="0"/>
    <n v="0"/>
    <n v="0"/>
    <n v="0"/>
  </r>
  <r>
    <x v="96"/>
    <x v="621"/>
    <x v="616"/>
    <n v="0"/>
    <n v="0"/>
    <n v="0"/>
    <n v="0"/>
    <n v="0"/>
    <n v="0"/>
    <n v="0"/>
    <n v="0"/>
  </r>
  <r>
    <x v="96"/>
    <x v="622"/>
    <x v="617"/>
    <n v="0"/>
    <n v="0"/>
    <n v="0"/>
    <n v="0"/>
    <n v="0"/>
    <n v="0"/>
    <n v="0"/>
    <n v="0"/>
  </r>
  <r>
    <x v="96"/>
    <x v="623"/>
    <x v="618"/>
    <n v="0"/>
    <n v="50000"/>
    <n v="50000"/>
    <n v="50000"/>
    <n v="50000"/>
    <n v="50000"/>
    <n v="50000"/>
    <n v="300000"/>
  </r>
  <r>
    <x v="96"/>
    <x v="624"/>
    <x v="619"/>
    <n v="0"/>
    <n v="0"/>
    <n v="0"/>
    <n v="0"/>
    <n v="0"/>
    <n v="0"/>
    <n v="0"/>
    <n v="0"/>
  </r>
  <r>
    <x v="96"/>
    <x v="625"/>
    <x v="620"/>
    <n v="0"/>
    <n v="0"/>
    <n v="0"/>
    <n v="0"/>
    <n v="0"/>
    <n v="0"/>
    <n v="0"/>
    <n v="0"/>
  </r>
  <r>
    <x v="96"/>
    <x v="626"/>
    <x v="621"/>
    <n v="0"/>
    <n v="0"/>
    <n v="0"/>
    <n v="0"/>
    <n v="0"/>
    <n v="0"/>
    <n v="0"/>
    <n v="0"/>
  </r>
  <r>
    <x v="96"/>
    <x v="627"/>
    <x v="622"/>
    <n v="0"/>
    <n v="0"/>
    <n v="0"/>
    <n v="0"/>
    <n v="0"/>
    <n v="0"/>
    <n v="0"/>
    <n v="0"/>
  </r>
  <r>
    <x v="97"/>
    <x v="628"/>
    <x v="623"/>
    <n v="0"/>
    <n v="90000"/>
    <n v="60000"/>
    <n v="30000"/>
    <n v="30000"/>
    <n v="30000"/>
    <n v="30000"/>
    <n v="270000"/>
  </r>
  <r>
    <x v="97"/>
    <x v="629"/>
    <x v="624"/>
    <n v="0"/>
    <n v="100000"/>
    <n v="0"/>
    <n v="50000"/>
    <n v="50000"/>
    <n v="50000"/>
    <n v="0"/>
    <n v="250000"/>
  </r>
  <r>
    <x v="97"/>
    <x v="630"/>
    <x v="625"/>
    <n v="0"/>
    <n v="60000"/>
    <n v="65000"/>
    <n v="70000"/>
    <n v="70000"/>
    <n v="70000"/>
    <n v="70000"/>
    <n v="405000"/>
  </r>
  <r>
    <x v="97"/>
    <x v="631"/>
    <x v="626"/>
    <n v="0"/>
    <n v="2850000"/>
    <n v="2850000"/>
    <n v="2850000"/>
    <n v="2850000"/>
    <n v="2850000"/>
    <n v="2850000"/>
    <n v="17100000"/>
  </r>
  <r>
    <x v="97"/>
    <x v="632"/>
    <x v="627"/>
    <n v="0"/>
    <n v="100000"/>
    <n v="100000"/>
    <n v="100000"/>
    <n v="100000"/>
    <n v="100000"/>
    <n v="100000"/>
    <n v="600000"/>
  </r>
  <r>
    <x v="97"/>
    <x v="633"/>
    <x v="628"/>
    <n v="0"/>
    <n v="19925000"/>
    <n v="19925000"/>
    <n v="19925000"/>
    <n v="19925000"/>
    <n v="19925000"/>
    <n v="19925000"/>
    <n v="119550000"/>
  </r>
  <r>
    <x v="97"/>
    <x v="634"/>
    <x v="629"/>
    <n v="0"/>
    <n v="550000"/>
    <n v="550000"/>
    <n v="550000"/>
    <n v="550000"/>
    <n v="550000"/>
    <n v="550000"/>
    <n v="3300000"/>
  </r>
  <r>
    <x v="98"/>
    <x v="635"/>
    <x v="630"/>
    <n v="0"/>
    <n v="0"/>
    <n v="0"/>
    <n v="0"/>
    <n v="0"/>
    <n v="0"/>
    <n v="0"/>
    <n v="0"/>
  </r>
  <r>
    <x v="98"/>
    <x v="636"/>
    <x v="631"/>
    <n v="0"/>
    <n v="0"/>
    <n v="0"/>
    <n v="0"/>
    <n v="0"/>
    <n v="0"/>
    <n v="0"/>
    <n v="0"/>
  </r>
  <r>
    <x v="98"/>
    <x v="637"/>
    <x v="632"/>
    <n v="0"/>
    <n v="0"/>
    <s v="10 000€"/>
    <s v="10 000€"/>
    <s v="10 000€"/>
    <s v="10 000€"/>
    <s v="10 000€"/>
    <n v="0"/>
  </r>
  <r>
    <x v="98"/>
    <x v="638"/>
    <x v="633"/>
    <n v="0"/>
    <n v="0"/>
    <n v="0"/>
    <n v="0"/>
    <n v="0"/>
    <n v="0"/>
    <n v="0"/>
    <n v="0"/>
  </r>
  <r>
    <x v="98"/>
    <x v="639"/>
    <x v="634"/>
    <n v="0"/>
    <n v="0"/>
    <n v="0"/>
    <n v="0"/>
    <n v="0"/>
    <n v="0"/>
    <n v="0"/>
    <n v="0"/>
  </r>
  <r>
    <x v="98"/>
    <x v="640"/>
    <x v="635"/>
    <n v="0"/>
    <n v="0"/>
    <n v="0"/>
    <n v="0"/>
    <n v="0"/>
    <n v="0"/>
    <n v="0"/>
    <n v="0"/>
  </r>
  <r>
    <x v="98"/>
    <x v="641"/>
    <x v="636"/>
    <n v="0"/>
    <n v="0"/>
    <n v="0"/>
    <n v="0"/>
    <n v="0"/>
    <n v="0"/>
    <n v="0"/>
    <n v="0"/>
  </r>
  <r>
    <x v="99"/>
    <x v="642"/>
    <x v="637"/>
    <n v="0"/>
    <n v="0"/>
    <n v="0"/>
    <n v="0"/>
    <n v="0"/>
    <n v="0"/>
    <n v="0"/>
    <n v="0"/>
  </r>
  <r>
    <x v="99"/>
    <x v="643"/>
    <x v="638"/>
    <n v="0"/>
    <n v="0"/>
    <n v="0"/>
    <n v="0"/>
    <n v="0"/>
    <n v="0"/>
    <n v="0"/>
    <n v="0"/>
  </r>
  <r>
    <x v="99"/>
    <x v="644"/>
    <x v="639"/>
    <n v="0"/>
    <n v="0"/>
    <n v="0"/>
    <n v="0"/>
    <n v="0"/>
    <n v="0"/>
    <n v="0"/>
    <n v="0"/>
  </r>
  <r>
    <x v="99"/>
    <x v="645"/>
    <x v="640"/>
    <n v="0"/>
    <n v="0"/>
    <n v="0"/>
    <n v="0"/>
    <n v="0"/>
    <n v="0"/>
    <n v="0"/>
    <n v="0"/>
  </r>
  <r>
    <x v="99"/>
    <x v="646"/>
    <x v="641"/>
    <n v="0"/>
    <n v="0"/>
    <n v="0"/>
    <n v="0"/>
    <n v="0"/>
    <n v="0"/>
    <n v="0"/>
    <n v="0"/>
  </r>
  <r>
    <x v="100"/>
    <x v="647"/>
    <x v="642"/>
    <n v="0"/>
    <n v="0"/>
    <n v="0"/>
    <n v="0"/>
    <n v="0"/>
    <n v="0"/>
    <n v="0"/>
    <n v="0"/>
  </r>
  <r>
    <x v="100"/>
    <x v="648"/>
    <x v="643"/>
    <n v="0"/>
    <n v="0"/>
    <n v="100000"/>
    <n v="100000"/>
    <n v="100000"/>
    <n v="0"/>
    <n v="0"/>
    <n v="300000"/>
  </r>
  <r>
    <x v="100"/>
    <x v="649"/>
    <x v="644"/>
    <n v="0"/>
    <n v="0"/>
    <n v="0"/>
    <n v="0"/>
    <n v="0"/>
    <n v="0"/>
    <n v="0"/>
    <n v="0"/>
  </r>
  <r>
    <x v="100"/>
    <x v="650"/>
    <x v="645"/>
    <n v="0"/>
    <n v="0"/>
    <n v="0"/>
    <n v="0"/>
    <n v="26150"/>
    <n v="16150"/>
    <n v="16150"/>
    <n v="58450"/>
  </r>
  <r>
    <x v="101"/>
    <x v="651"/>
    <x v="646"/>
    <n v="0"/>
    <n v="0"/>
    <n v="0"/>
    <n v="0"/>
    <n v="0"/>
    <n v="0"/>
    <n v="0"/>
    <n v="0"/>
  </r>
  <r>
    <x v="101"/>
    <x v="652"/>
    <x v="638"/>
    <n v="0"/>
    <n v="0"/>
    <n v="0"/>
    <n v="0"/>
    <n v="0"/>
    <n v="0"/>
    <n v="0"/>
    <n v="0"/>
  </r>
  <r>
    <x v="101"/>
    <x v="653"/>
    <x v="647"/>
    <n v="0"/>
    <n v="0"/>
    <n v="0"/>
    <n v="0"/>
    <n v="0"/>
    <n v="0"/>
    <n v="0"/>
    <n v="0"/>
  </r>
  <r>
    <x v="101"/>
    <x v="654"/>
    <x v="648"/>
    <n v="0"/>
    <n v="0"/>
    <n v="0"/>
    <n v="0"/>
    <n v="0"/>
    <n v="0"/>
    <n v="0"/>
    <n v="0"/>
  </r>
  <r>
    <x v="101"/>
    <x v="655"/>
    <x v="649"/>
    <n v="0"/>
    <n v="0"/>
    <n v="50000"/>
    <n v="50000"/>
    <n v="50000"/>
    <n v="50000"/>
    <n v="50000"/>
    <n v="250000"/>
  </r>
  <r>
    <x v="101"/>
    <x v="656"/>
    <x v="650"/>
    <n v="0"/>
    <n v="0"/>
    <n v="0"/>
    <n v="0"/>
    <n v="0"/>
    <n v="0"/>
    <n v="0"/>
    <n v="0"/>
  </r>
  <r>
    <x v="101"/>
    <x v="657"/>
    <x v="651"/>
    <n v="0"/>
    <n v="0"/>
    <n v="0"/>
    <n v="0"/>
    <n v="0"/>
    <n v="0"/>
    <n v="0"/>
    <n v="0"/>
  </r>
  <r>
    <x v="101"/>
    <x v="658"/>
    <x v="652"/>
    <n v="0"/>
    <n v="0"/>
    <n v="0"/>
    <n v="0"/>
    <n v="0"/>
    <n v="0"/>
    <n v="0"/>
    <n v="0"/>
  </r>
  <r>
    <x v="102"/>
    <x v="659"/>
    <x v="653"/>
    <n v="0"/>
    <n v="100000"/>
    <n v="100000"/>
    <n v="100000"/>
    <n v="0"/>
    <n v="0"/>
    <n v="0"/>
    <n v="300000"/>
  </r>
  <r>
    <x v="102"/>
    <x v="660"/>
    <x v="654"/>
    <n v="0"/>
    <n v="0"/>
    <n v="0"/>
    <n v="0"/>
    <n v="0"/>
    <n v="0"/>
    <n v="0"/>
    <n v="0"/>
  </r>
  <r>
    <x v="102"/>
    <x v="661"/>
    <x v="655"/>
    <n v="0"/>
    <n v="0"/>
    <n v="0"/>
    <n v="0"/>
    <n v="0"/>
    <n v="0"/>
    <n v="0"/>
    <n v="0"/>
  </r>
  <r>
    <x v="102"/>
    <x v="662"/>
    <x v="656"/>
    <n v="0"/>
    <n v="0"/>
    <n v="0"/>
    <n v="0"/>
    <n v="0"/>
    <n v="0"/>
    <n v="0"/>
    <n v="0"/>
  </r>
  <r>
    <x v="102"/>
    <x v="663"/>
    <x v="657"/>
    <n v="0"/>
    <n v="0"/>
    <n v="0"/>
    <n v="0"/>
    <n v="0"/>
    <n v="0"/>
    <n v="0"/>
    <n v="0"/>
  </r>
  <r>
    <x v="102"/>
    <x v="664"/>
    <x v="658"/>
    <n v="0"/>
    <n v="0"/>
    <n v="0"/>
    <n v="0"/>
    <n v="0"/>
    <n v="0"/>
    <n v="0"/>
    <n v="0"/>
  </r>
  <r>
    <x v="103"/>
    <x v="665"/>
    <x v="659"/>
    <n v="0"/>
    <n v="500000"/>
    <n v="0"/>
    <n v="0"/>
    <n v="0"/>
    <n v="0"/>
    <n v="0"/>
    <n v="500000"/>
  </r>
  <r>
    <x v="103"/>
    <x v="666"/>
    <x v="660"/>
    <n v="0"/>
    <n v="0"/>
    <n v="0"/>
    <n v="0"/>
    <n v="0"/>
    <n v="0"/>
    <n v="0"/>
    <n v="0"/>
  </r>
  <r>
    <x v="103"/>
    <x v="667"/>
    <x v="661"/>
    <n v="0"/>
    <n v="0"/>
    <n v="0"/>
    <n v="0"/>
    <n v="0"/>
    <n v="0"/>
    <n v="0"/>
    <n v="0"/>
  </r>
  <r>
    <x v="104"/>
    <x v="668"/>
    <x v="662"/>
    <n v="0"/>
    <n v="0"/>
    <n v="0"/>
    <n v="0"/>
    <n v="0"/>
    <n v="0"/>
    <n v="0"/>
    <n v="0"/>
  </r>
  <r>
    <x v="104"/>
    <x v="669"/>
    <x v="663"/>
    <n v="0"/>
    <n v="0"/>
    <n v="0"/>
    <n v="0"/>
    <n v="0"/>
    <n v="0"/>
    <n v="0"/>
    <n v="0"/>
  </r>
  <r>
    <x v="105"/>
    <x v="670"/>
    <x v="664"/>
    <n v="0"/>
    <n v="0"/>
    <n v="0"/>
    <n v="0"/>
    <n v="0"/>
    <n v="0"/>
    <n v="0"/>
    <n v="0"/>
  </r>
  <r>
    <x v="105"/>
    <x v="671"/>
    <x v="665"/>
    <n v="0"/>
    <n v="0"/>
    <n v="0"/>
    <n v="0"/>
    <n v="0"/>
    <n v="0"/>
    <n v="0"/>
    <n v="0"/>
  </r>
  <r>
    <x v="105"/>
    <x v="672"/>
    <x v="666"/>
    <n v="0"/>
    <n v="0"/>
    <n v="0"/>
    <n v="0"/>
    <n v="0"/>
    <n v="0"/>
    <n v="0"/>
    <n v="0"/>
  </r>
  <r>
    <x v="106"/>
    <x v="673"/>
    <x v="667"/>
    <n v="0"/>
    <n v="0"/>
    <n v="0"/>
    <n v="0"/>
    <n v="0"/>
    <n v="0"/>
    <n v="0"/>
    <n v="0"/>
  </r>
  <r>
    <x v="106"/>
    <x v="674"/>
    <x v="668"/>
    <n v="0"/>
    <n v="0"/>
    <n v="0"/>
    <n v="0"/>
    <n v="0"/>
    <n v="0"/>
    <n v="0"/>
    <n v="0"/>
  </r>
  <r>
    <x v="106"/>
    <x v="675"/>
    <x v="669"/>
    <n v="0"/>
    <n v="0"/>
    <n v="0"/>
    <n v="0"/>
    <n v="0"/>
    <n v="0"/>
    <n v="0"/>
    <n v="0"/>
  </r>
  <r>
    <x v="107"/>
    <x v="676"/>
    <x v="670"/>
    <n v="0"/>
    <n v="0"/>
    <n v="0"/>
    <n v="0"/>
    <n v="0"/>
    <n v="0"/>
    <n v="0"/>
    <n v="0"/>
  </r>
  <r>
    <x v="107"/>
    <x v="677"/>
    <x v="671"/>
    <n v="0"/>
    <n v="0"/>
    <n v="0"/>
    <n v="0"/>
    <n v="0"/>
    <n v="0"/>
    <n v="0"/>
    <n v="0"/>
  </r>
  <r>
    <x v="107"/>
    <x v="678"/>
    <x v="672"/>
    <n v="0"/>
    <n v="0"/>
    <n v="0"/>
    <n v="0"/>
    <n v="0"/>
    <n v="0"/>
    <n v="0"/>
    <n v="0"/>
  </r>
  <r>
    <x v="108"/>
    <x v="679"/>
    <x v="673"/>
    <n v="0"/>
    <n v="20000"/>
    <n v="5000"/>
    <n v="5000"/>
    <n v="0"/>
    <n v="0"/>
    <n v="0"/>
    <n v="30000"/>
  </r>
  <r>
    <x v="108"/>
    <x v="680"/>
    <x v="674"/>
    <n v="0"/>
    <n v="20000"/>
    <n v="10000"/>
    <n v="5000"/>
    <n v="5000"/>
    <n v="0"/>
    <n v="0"/>
    <n v="40000"/>
  </r>
  <r>
    <x v="108"/>
    <x v="681"/>
    <x v="675"/>
    <n v="0"/>
    <n v="5000"/>
    <n v="10000"/>
    <n v="10000"/>
    <n v="10000"/>
    <n v="10000"/>
    <n v="10000"/>
    <n v="55000"/>
  </r>
  <r>
    <x v="109"/>
    <x v="682"/>
    <x v="676"/>
    <n v="0"/>
    <n v="0"/>
    <n v="0"/>
    <n v="0"/>
    <n v="0"/>
    <n v="0"/>
    <n v="0"/>
    <n v="0"/>
  </r>
  <r>
    <x v="109"/>
    <x v="683"/>
    <x v="677"/>
    <n v="0"/>
    <n v="0"/>
    <n v="0"/>
    <n v="0"/>
    <n v="0"/>
    <n v="0"/>
    <n v="0"/>
    <n v="0"/>
  </r>
  <r>
    <x v="110"/>
    <x v="684"/>
    <x v="678"/>
    <n v="0"/>
    <n v="0"/>
    <n v="0"/>
    <n v="0"/>
    <n v="0"/>
    <n v="0"/>
    <n v="0"/>
    <n v="0"/>
  </r>
  <r>
    <x v="110"/>
    <x v="685"/>
    <x v="679"/>
    <n v="0"/>
    <n v="0"/>
    <n v="0"/>
    <n v="0"/>
    <n v="0"/>
    <n v="0"/>
    <n v="0"/>
    <n v="0"/>
  </r>
  <r>
    <x v="110"/>
    <x v="686"/>
    <x v="680"/>
    <n v="0"/>
    <n v="0"/>
    <n v="0"/>
    <n v="0"/>
    <n v="0"/>
    <n v="0"/>
    <n v="0"/>
    <n v="0"/>
  </r>
  <r>
    <x v="110"/>
    <x v="687"/>
    <x v="681"/>
    <n v="0"/>
    <n v="0"/>
    <n v="0"/>
    <n v="0"/>
    <n v="0"/>
    <n v="0"/>
    <n v="0"/>
    <n v="0"/>
  </r>
  <r>
    <x v="110"/>
    <x v="688"/>
    <x v="682"/>
    <n v="0"/>
    <n v="0"/>
    <n v="0"/>
    <n v="0"/>
    <n v="0"/>
    <n v="0"/>
    <n v="0"/>
    <n v="0"/>
  </r>
  <r>
    <x v="111"/>
    <x v="689"/>
    <x v="683"/>
    <n v="0"/>
    <n v="100000"/>
    <n v="100000"/>
    <n v="100000"/>
    <n v="100000"/>
    <n v="100000"/>
    <n v="100000"/>
    <n v="600000"/>
  </r>
  <r>
    <x v="111"/>
    <x v="690"/>
    <x v="684"/>
    <n v="0"/>
    <n v="0"/>
    <n v="0"/>
    <n v="0"/>
    <n v="0"/>
    <n v="0"/>
    <n v="0"/>
    <n v="0"/>
  </r>
  <r>
    <x v="111"/>
    <x v="691"/>
    <x v="685"/>
    <n v="0"/>
    <n v="0"/>
    <n v="0"/>
    <n v="0"/>
    <n v="0"/>
    <n v="0"/>
    <n v="0"/>
    <n v="0"/>
  </r>
  <r>
    <x v="111"/>
    <x v="692"/>
    <x v="686"/>
    <n v="0"/>
    <n v="0"/>
    <n v="0"/>
    <n v="0"/>
    <n v="0"/>
    <n v="0"/>
    <n v="0"/>
    <n v="0"/>
  </r>
  <r>
    <x v="111"/>
    <x v="693"/>
    <x v="687"/>
    <n v="0"/>
    <n v="0"/>
    <n v="0"/>
    <n v="0"/>
    <n v="0"/>
    <n v="0"/>
    <n v="0"/>
    <n v="0"/>
  </r>
  <r>
    <x v="111"/>
    <x v="694"/>
    <x v="688"/>
    <n v="0"/>
    <n v="0"/>
    <n v="0"/>
    <n v="0"/>
    <n v="0"/>
    <n v="0"/>
    <n v="0"/>
    <n v="0"/>
  </r>
  <r>
    <x v="111"/>
    <x v="695"/>
    <x v="689"/>
    <n v="0"/>
    <n v="100000"/>
    <n v="100000"/>
    <n v="100000"/>
    <n v="100000"/>
    <n v="100000"/>
    <n v="100000"/>
    <n v="600000"/>
  </r>
  <r>
    <x v="112"/>
    <x v="696"/>
    <x v="690"/>
    <n v="0"/>
    <n v="0"/>
    <n v="0"/>
    <n v="0"/>
    <n v="0"/>
    <n v="0"/>
    <n v="0"/>
    <n v="0"/>
  </r>
  <r>
    <x v="112"/>
    <x v="697"/>
    <x v="691"/>
    <n v="0"/>
    <n v="0"/>
    <n v="0"/>
    <n v="0"/>
    <n v="0"/>
    <n v="0"/>
    <n v="0"/>
    <n v="0"/>
  </r>
  <r>
    <x v="112"/>
    <x v="698"/>
    <x v="692"/>
    <n v="0"/>
    <n v="0"/>
    <n v="0"/>
    <n v="0"/>
    <n v="0"/>
    <n v="0"/>
    <n v="0"/>
    <n v="0"/>
  </r>
  <r>
    <x v="113"/>
    <x v="699"/>
    <x v="693"/>
    <n v="0"/>
    <n v="800000"/>
    <n v="800000"/>
    <n v="800000"/>
    <n v="800000"/>
    <n v="800000"/>
    <n v="800000"/>
    <n v="4800000"/>
  </r>
  <r>
    <x v="113"/>
    <x v="700"/>
    <x v="694"/>
    <n v="0"/>
    <n v="0"/>
    <n v="0"/>
    <n v="400000"/>
    <n v="400000"/>
    <n v="600000"/>
    <n v="600000"/>
    <n v="2000000"/>
  </r>
  <r>
    <x v="113"/>
    <x v="701"/>
    <x v="695"/>
    <n v="0"/>
    <n v="0"/>
    <n v="100000"/>
    <n v="100000"/>
    <n v="100000"/>
    <n v="100000"/>
    <n v="100000"/>
    <n v="500000"/>
  </r>
  <r>
    <x v="113"/>
    <x v="702"/>
    <x v="696"/>
    <n v="0"/>
    <n v="4500000"/>
    <n v="0"/>
    <n v="0"/>
    <n v="0"/>
    <n v="0"/>
    <n v="0"/>
    <n v="4500000"/>
  </r>
  <r>
    <x v="113"/>
    <x v="703"/>
    <x v="697"/>
    <n v="0"/>
    <n v="0"/>
    <n v="0"/>
    <n v="0"/>
    <n v="0"/>
    <n v="0"/>
    <n v="0"/>
    <n v="0"/>
  </r>
  <r>
    <x v="113"/>
    <x v="704"/>
    <x v="698"/>
    <n v="0"/>
    <n v="0"/>
    <n v="0"/>
    <n v="0"/>
    <n v="0"/>
    <n v="0"/>
    <n v="0"/>
    <n v="0"/>
  </r>
  <r>
    <x v="113"/>
    <x v="705"/>
    <x v="699"/>
    <n v="0"/>
    <n v="450000"/>
    <n v="450000"/>
    <n v="450000"/>
    <n v="450000"/>
    <n v="450000"/>
    <n v="450000"/>
    <n v="2700000"/>
  </r>
  <r>
    <x v="113"/>
    <x v="706"/>
    <x v="700"/>
    <n v="0"/>
    <n v="20000"/>
    <n v="0"/>
    <n v="0"/>
    <n v="0"/>
    <n v="0"/>
    <n v="0"/>
    <n v="20000"/>
  </r>
  <r>
    <x v="113"/>
    <x v="707"/>
    <x v="701"/>
    <n v="0"/>
    <n v="20000"/>
    <n v="0"/>
    <n v="0"/>
    <n v="0"/>
    <n v="0"/>
    <n v="0"/>
    <n v="20000"/>
  </r>
  <r>
    <x v="113"/>
    <x v="708"/>
    <x v="702"/>
    <n v="0"/>
    <n v="0"/>
    <n v="0"/>
    <n v="50000"/>
    <n v="50000"/>
    <n v="50000"/>
    <n v="50000"/>
    <n v="200000"/>
  </r>
  <r>
    <x v="113"/>
    <x v="709"/>
    <x v="703"/>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eau croisé dynamique1" cacheId="0" applyNumberFormats="0" applyBorderFormats="0" applyFontFormats="0" applyPatternFormats="0" applyAlignmentFormats="0" applyWidthHeightFormats="1" dataCaption="Valeurs" updatedVersion="7" minRefreshableVersion="3" useAutoFormatting="1" itemPrintTitles="1" createdVersion="5" indent="0" compact="0" compactData="0" gridDropZones="1" multipleFieldFilters="0">
  <location ref="A3:I829" firstHeaderRow="1" firstDataRow="2" firstDataCol="2"/>
  <pivotFields count="11">
    <pivotField axis="axisRow" compact="0" showAll="0">
      <items count="115">
        <item x="0"/>
        <item x="9"/>
        <item x="10"/>
        <item x="11"/>
        <item x="12"/>
        <item x="13"/>
        <item x="14"/>
        <item x="15"/>
        <item x="16"/>
        <item x="17"/>
        <item x="18"/>
        <item x="1"/>
        <item x="19"/>
        <item x="20"/>
        <item x="21"/>
        <item x="22"/>
        <item x="23"/>
        <item x="24"/>
        <item x="25"/>
        <item x="2"/>
        <item x="3"/>
        <item x="4"/>
        <item x="5"/>
        <item x="6"/>
        <item x="7"/>
        <item x="8"/>
        <item x="26"/>
        <item x="35"/>
        <item x="36"/>
        <item x="37"/>
        <item x="38"/>
        <item x="39"/>
        <item x="40"/>
        <item x="27"/>
        <item x="28"/>
        <item x="29"/>
        <item x="30"/>
        <item x="31"/>
        <item x="32"/>
        <item x="33"/>
        <item x="34"/>
        <item x="41"/>
        <item x="42"/>
        <item x="43"/>
        <item x="44"/>
        <item x="45"/>
        <item x="46"/>
        <item x="47"/>
        <item x="48"/>
        <item x="49"/>
        <item x="50"/>
        <item x="51"/>
        <item x="52"/>
        <item x="53"/>
        <item x="54"/>
        <item x="55"/>
        <item x="64"/>
        <item x="65"/>
        <item x="66"/>
        <item x="67"/>
        <item x="68"/>
        <item x="69"/>
        <item x="70"/>
        <item x="71"/>
        <item x="72"/>
        <item x="73"/>
        <item x="56"/>
        <item x="74"/>
        <item x="75"/>
        <item x="76"/>
        <item x="77"/>
        <item x="78"/>
        <item x="79"/>
        <item x="80"/>
        <item x="81"/>
        <item x="82"/>
        <item x="83"/>
        <item x="57"/>
        <item x="84"/>
        <item x="58"/>
        <item x="59"/>
        <item x="60"/>
        <item x="61"/>
        <item x="62"/>
        <item x="63"/>
        <item x="85"/>
        <item x="94"/>
        <item x="95"/>
        <item x="96"/>
        <item x="86"/>
        <item x="87"/>
        <item x="88"/>
        <item x="89"/>
        <item x="91"/>
        <item x="92"/>
        <item x="93"/>
        <item x="97"/>
        <item x="106"/>
        <item x="107"/>
        <item x="108"/>
        <item x="98"/>
        <item x="99"/>
        <item x="100"/>
        <item x="101"/>
        <item x="102"/>
        <item x="103"/>
        <item x="104"/>
        <item x="105"/>
        <item x="109"/>
        <item x="110"/>
        <item x="111"/>
        <item x="112"/>
        <item x="113"/>
        <item x="90"/>
        <item t="default"/>
      </items>
      <extLst>
        <ext xmlns:x14="http://schemas.microsoft.com/office/spreadsheetml/2009/9/main" uri="{2946ED86-A175-432a-8AC1-64E0C546D7DE}">
          <x14:pivotField fillDownLabels="1"/>
        </ext>
      </extLst>
    </pivotField>
    <pivotField axis="axisRow" compact="0" outline="0" showAll="0" defaultSubtotal="0">
      <items count="710">
        <item x="0"/>
        <item x="9"/>
        <item x="10"/>
        <item x="11"/>
        <item x="1"/>
        <item x="2"/>
        <item x="3"/>
        <item x="4"/>
        <item x="5"/>
        <item x="6"/>
        <item x="7"/>
        <item x="8"/>
        <item x="117"/>
        <item x="118"/>
        <item x="119"/>
        <item x="120"/>
        <item x="121"/>
        <item x="131"/>
        <item x="132"/>
        <item x="122"/>
        <item x="123"/>
        <item x="124"/>
        <item x="125"/>
        <item x="126"/>
        <item x="127"/>
        <item x="129"/>
        <item x="130"/>
        <item x="128"/>
        <item x="133"/>
        <item x="134"/>
        <item x="135"/>
        <item x="136"/>
        <item x="137"/>
        <item x="138"/>
        <item x="139"/>
        <item x="140"/>
        <item x="141"/>
        <item x="142"/>
        <item x="143"/>
        <item x="144"/>
        <item x="145"/>
        <item x="146"/>
        <item x="147"/>
        <item x="149"/>
        <item x="150"/>
        <item x="148"/>
        <item x="151"/>
        <item x="152"/>
        <item x="153"/>
        <item x="154"/>
        <item x="155"/>
        <item x="156"/>
        <item x="157"/>
        <item x="158"/>
        <item x="159"/>
        <item x="160"/>
        <item x="161"/>
        <item x="162"/>
        <item x="163"/>
        <item x="164"/>
        <item x="165"/>
        <item x="166"/>
        <item x="167"/>
        <item x="168"/>
        <item x="169"/>
        <item x="170"/>
        <item x="180"/>
        <item x="171"/>
        <item x="172"/>
        <item x="173"/>
        <item x="174"/>
        <item x="175"/>
        <item x="177"/>
        <item x="178"/>
        <item x="179"/>
        <item x="176"/>
        <item x="181"/>
        <item x="182"/>
        <item x="183"/>
        <item x="184"/>
        <item x="12"/>
        <item x="21"/>
        <item x="22"/>
        <item x="23"/>
        <item x="24"/>
        <item x="25"/>
        <item x="26"/>
        <item x="27"/>
        <item x="28"/>
        <item x="29"/>
        <item x="30"/>
        <item x="13"/>
        <item x="31"/>
        <item x="32"/>
        <item x="33"/>
        <item x="34"/>
        <item x="35"/>
        <item x="36"/>
        <item x="37"/>
        <item x="38"/>
        <item x="39"/>
        <item x="14"/>
        <item x="15"/>
        <item x="16"/>
        <item x="17"/>
        <item x="18"/>
        <item x="19"/>
        <item x="20"/>
        <item x="185"/>
        <item x="186"/>
        <item x="187"/>
        <item x="188"/>
        <item x="189"/>
        <item x="190"/>
        <item x="191"/>
        <item x="192"/>
        <item x="193"/>
        <item x="194"/>
        <item x="203"/>
        <item x="195"/>
        <item x="196"/>
        <item x="197"/>
        <item x="198"/>
        <item x="199"/>
        <item x="200"/>
        <item x="201"/>
        <item x="202"/>
        <item x="204"/>
        <item x="213"/>
        <item x="214"/>
        <item x="215"/>
        <item x="205"/>
        <item x="206"/>
        <item x="207"/>
        <item x="208"/>
        <item x="209"/>
        <item x="210"/>
        <item x="211"/>
        <item x="212"/>
        <item x="216"/>
        <item x="217"/>
        <item x="218"/>
        <item x="219"/>
        <item x="220"/>
        <item x="221"/>
        <item x="222"/>
        <item x="223"/>
        <item x="226"/>
        <item x="236"/>
        <item x="237"/>
        <item x="238"/>
        <item x="227"/>
        <item x="228"/>
        <item x="229"/>
        <item x="230"/>
        <item x="231"/>
        <item x="232"/>
        <item x="233"/>
        <item x="234"/>
        <item x="235"/>
        <item x="239"/>
        <item x="248"/>
        <item x="249"/>
        <item x="250"/>
        <item x="251"/>
        <item x="240"/>
        <item x="241"/>
        <item x="242"/>
        <item x="243"/>
        <item x="244"/>
        <item x="245"/>
        <item x="246"/>
        <item x="247"/>
        <item x="40"/>
        <item x="41"/>
        <item x="42"/>
        <item x="43"/>
        <item x="44"/>
        <item x="45"/>
        <item x="46"/>
        <item x="47"/>
        <item x="48"/>
        <item x="49"/>
        <item x="58"/>
        <item x="59"/>
        <item x="60"/>
        <item x="61"/>
        <item x="50"/>
        <item x="51"/>
        <item x="52"/>
        <item x="53"/>
        <item x="54"/>
        <item x="55"/>
        <item x="56"/>
        <item x="57"/>
        <item x="62"/>
        <item x="63"/>
        <item x="72"/>
        <item x="73"/>
        <item x="74"/>
        <item x="75"/>
        <item x="76"/>
        <item x="77"/>
        <item x="78"/>
        <item x="79"/>
        <item x="80"/>
        <item x="81"/>
        <item x="64"/>
        <item x="82"/>
        <item x="83"/>
        <item x="84"/>
        <item x="85"/>
        <item x="65"/>
        <item x="66"/>
        <item x="67"/>
        <item x="68"/>
        <item x="69"/>
        <item x="70"/>
        <item x="71"/>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252"/>
        <item x="261"/>
        <item x="262"/>
        <item x="263"/>
        <item x="264"/>
        <item x="265"/>
        <item x="266"/>
        <item x="267"/>
        <item x="253"/>
        <item x="254"/>
        <item x="255"/>
        <item x="256"/>
        <item x="257"/>
        <item x="258"/>
        <item x="259"/>
        <item x="260"/>
        <item x="310"/>
        <item x="311"/>
        <item x="312"/>
        <item x="313"/>
        <item x="314"/>
        <item x="315"/>
        <item x="316"/>
        <item x="317"/>
        <item x="318"/>
        <item x="319"/>
        <item x="320"/>
        <item x="321"/>
        <item x="322"/>
        <item x="323"/>
        <item x="324"/>
        <item x="325"/>
        <item x="326"/>
        <item x="327"/>
        <item x="268"/>
        <item x="269"/>
        <item x="270"/>
        <item x="271"/>
        <item x="272"/>
        <item x="273"/>
        <item x="274"/>
        <item x="275"/>
        <item x="276"/>
        <item x="277"/>
        <item x="278"/>
        <item x="279"/>
        <item x="280"/>
        <item x="281"/>
        <item x="282"/>
        <item x="283"/>
        <item x="284"/>
        <item x="285"/>
        <item x="286"/>
        <item x="287"/>
        <item x="288"/>
        <item x="289"/>
        <item x="292"/>
        <item x="293"/>
        <item x="294"/>
        <item x="290"/>
        <item x="291"/>
        <item x="295"/>
        <item x="297"/>
        <item x="298"/>
        <item x="299"/>
        <item x="300"/>
        <item x="301"/>
        <item x="296"/>
        <item x="302"/>
        <item x="304"/>
        <item x="303"/>
        <item x="305"/>
        <item x="306"/>
        <item x="307"/>
        <item x="308"/>
        <item x="309"/>
        <item x="328"/>
        <item x="329"/>
        <item x="330"/>
        <item x="331"/>
        <item x="332"/>
        <item x="333"/>
        <item x="334"/>
        <item x="335"/>
        <item x="336"/>
        <item x="337"/>
        <item x="338"/>
        <item x="339"/>
        <item x="340"/>
        <item x="341"/>
        <item x="342"/>
        <item x="345"/>
        <item x="347"/>
        <item x="348"/>
        <item x="349"/>
        <item x="350"/>
        <item x="351"/>
        <item x="343"/>
        <item x="344"/>
        <item x="346"/>
        <item x="352"/>
        <item x="353"/>
        <item x="354"/>
        <item x="355"/>
        <item x="356"/>
        <item x="357"/>
        <item x="358"/>
        <item x="359"/>
        <item x="368"/>
        <item x="369"/>
        <item x="370"/>
        <item x="371"/>
        <item x="372"/>
        <item x="373"/>
        <item x="374"/>
        <item x="375"/>
        <item x="377"/>
        <item x="378"/>
        <item x="360"/>
        <item x="379"/>
        <item x="361"/>
        <item x="362"/>
        <item x="363"/>
        <item x="364"/>
        <item x="365"/>
        <item x="366"/>
        <item x="367"/>
        <item x="376"/>
        <item x="380"/>
        <item x="381"/>
        <item x="382"/>
        <item x="383"/>
        <item x="384"/>
        <item x="385"/>
        <item x="386"/>
        <item x="387"/>
        <item x="388"/>
        <item x="389"/>
        <item x="390"/>
        <item x="391"/>
        <item x="392"/>
        <item x="393"/>
        <item x="394"/>
        <item x="395"/>
        <item x="396"/>
        <item x="397"/>
        <item x="398"/>
        <item x="399"/>
        <item x="400"/>
        <item x="401"/>
        <item x="402"/>
        <item x="403"/>
        <item x="404"/>
        <item x="405"/>
        <item x="414"/>
        <item x="415"/>
        <item x="416"/>
        <item x="406"/>
        <item x="407"/>
        <item x="408"/>
        <item x="409"/>
        <item x="410"/>
        <item x="411"/>
        <item x="412"/>
        <item x="413"/>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00"/>
        <item x="501"/>
        <item x="502"/>
        <item x="498"/>
        <item x="503"/>
        <item x="504"/>
        <item x="505"/>
        <item x="506"/>
        <item x="507"/>
        <item x="508"/>
        <item x="509"/>
        <item x="510"/>
        <item x="511"/>
        <item x="417"/>
        <item x="418"/>
        <item x="419"/>
        <item x="512"/>
        <item x="513"/>
        <item x="514"/>
        <item x="515"/>
        <item x="516"/>
        <item x="517"/>
        <item x="518"/>
        <item x="520"/>
        <item x="519"/>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420"/>
        <item x="429"/>
        <item x="430"/>
        <item x="421"/>
        <item x="422"/>
        <item x="423"/>
        <item x="424"/>
        <item x="425"/>
        <item x="426"/>
        <item x="427"/>
        <item x="428"/>
        <item x="564"/>
        <item x="565"/>
        <item x="566"/>
        <item x="567"/>
        <item x="568"/>
        <item x="569"/>
        <item x="570"/>
        <item x="571"/>
        <item x="431"/>
        <item x="432"/>
        <item x="434"/>
        <item x="436"/>
        <item x="437"/>
        <item x="438"/>
        <item x="433"/>
        <item x="439"/>
        <item x="435"/>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572"/>
        <item x="573"/>
        <item x="615"/>
        <item x="616"/>
        <item x="617"/>
        <item x="618"/>
        <item x="619"/>
        <item x="620"/>
        <item x="621"/>
        <item x="622"/>
        <item x="623"/>
        <item x="624"/>
        <item x="625"/>
        <item x="626"/>
        <item x="627"/>
        <item x="574"/>
        <item x="575"/>
        <item x="576"/>
        <item x="577"/>
        <item x="578"/>
        <item x="579"/>
        <item x="580"/>
        <item x="581"/>
        <item x="582"/>
        <item x="583"/>
        <item x="584"/>
        <item x="585"/>
        <item x="586"/>
        <item x="587"/>
        <item x="588"/>
        <item x="589"/>
        <item x="590"/>
        <item x="603"/>
        <item x="604"/>
        <item x="605"/>
        <item x="606"/>
        <item x="607"/>
        <item x="608"/>
        <item x="609"/>
        <item x="610"/>
        <item x="611"/>
        <item x="612"/>
        <item x="613"/>
        <item x="614"/>
        <item x="628"/>
        <item x="629"/>
        <item x="630"/>
        <item x="631"/>
        <item x="632"/>
        <item x="633"/>
        <item x="634"/>
        <item x="673"/>
        <item x="674"/>
        <item x="675"/>
        <item x="676"/>
        <item x="677"/>
        <item x="678"/>
        <item x="679"/>
        <item x="680"/>
        <item x="681"/>
        <item x="635"/>
        <item x="636"/>
        <item x="637"/>
        <item x="638"/>
        <item x="639"/>
        <item x="640"/>
        <item x="641"/>
        <item x="642"/>
        <item x="643"/>
        <item x="644"/>
        <item x="645"/>
        <item x="646"/>
        <item x="647"/>
        <item x="648"/>
        <item x="649"/>
        <item x="650"/>
        <item x="651"/>
        <item x="652"/>
        <item x="653"/>
        <item x="654"/>
        <item x="655"/>
        <item x="656"/>
        <item x="657"/>
        <item x="658"/>
        <item x="660"/>
        <item x="661"/>
        <item x="662"/>
        <item x="663"/>
        <item x="664"/>
        <item x="659"/>
        <item x="665"/>
        <item x="666"/>
        <item x="667"/>
        <item x="668"/>
        <item x="669"/>
        <item x="670"/>
        <item x="671"/>
        <item x="672"/>
        <item x="682"/>
        <item x="683"/>
        <item x="684"/>
        <item x="685"/>
        <item x="686"/>
        <item x="687"/>
        <item x="688"/>
        <item x="689"/>
        <item x="690"/>
        <item x="691"/>
        <item x="692"/>
        <item x="693"/>
        <item x="694"/>
        <item x="695"/>
        <item x="696"/>
        <item x="697"/>
        <item x="698"/>
        <item x="699"/>
        <item x="708"/>
        <item x="709"/>
        <item x="700"/>
        <item x="701"/>
        <item x="702"/>
        <item x="703"/>
        <item x="704"/>
        <item x="705"/>
        <item x="706"/>
        <item x="707"/>
        <item x="224"/>
        <item x="225"/>
        <item x="591"/>
        <item x="592"/>
        <item x="593"/>
        <item x="594"/>
        <item x="595"/>
        <item x="596"/>
        <item x="597"/>
        <item x="598"/>
        <item x="599"/>
        <item x="600"/>
        <item x="601"/>
        <item x="602"/>
      </items>
    </pivotField>
    <pivotField compact="0" outline="0" showAll="0">
      <items count="705">
        <item x="118"/>
        <item x="665"/>
        <item x="275"/>
        <item x="400"/>
        <item x="417"/>
        <item x="423"/>
        <item x="61"/>
        <item x="203"/>
        <item x="190"/>
        <item x="637"/>
        <item x="91"/>
        <item x="120"/>
        <item x="98"/>
        <item x="448"/>
        <item x="146"/>
        <item x="646"/>
        <item x="105"/>
        <item x="505"/>
        <item x="599"/>
        <item x="488"/>
        <item x="666"/>
        <item x="660"/>
        <item x="341"/>
        <item x="447"/>
        <item x="372"/>
        <item x="321"/>
        <item x="12"/>
        <item x="211"/>
        <item x="322"/>
        <item x="248"/>
        <item x="20"/>
        <item x="21"/>
        <item x="306"/>
        <item x="38"/>
        <item x="363"/>
        <item x="362"/>
        <item x="367"/>
        <item x="24"/>
        <item x="365"/>
        <item x="17"/>
        <item x="18"/>
        <item x="19"/>
        <item x="28"/>
        <item x="36"/>
        <item x="13"/>
        <item x="23"/>
        <item x="22"/>
        <item x="48"/>
        <item x="167"/>
        <item x="14"/>
        <item x="548"/>
        <item x="218"/>
        <item x="375"/>
        <item x="458"/>
        <item x="397"/>
        <item x="215"/>
        <item x="109"/>
        <item x="181"/>
        <item x="30"/>
        <item x="29"/>
        <item x="541"/>
        <item x="645"/>
        <item x="52"/>
        <item x="414"/>
        <item x="281"/>
        <item x="626"/>
        <item x="307"/>
        <item x="703"/>
        <item x="609"/>
        <item x="690"/>
        <item x="622"/>
        <item x="319"/>
        <item x="114"/>
        <item x="111"/>
        <item x="457"/>
        <item x="352"/>
        <item x="168"/>
        <item x="95"/>
        <item x="491"/>
        <item x="127"/>
        <item x="169"/>
        <item x="347"/>
        <item x="453"/>
        <item x="577"/>
        <item x="294"/>
        <item x="298"/>
        <item x="629"/>
        <item x="318"/>
        <item x="673"/>
        <item x="496"/>
        <item x="440"/>
        <item x="483"/>
        <item x="651"/>
        <item x="524"/>
        <item x="293"/>
        <item x="585"/>
        <item x="561"/>
        <item x="675"/>
        <item x="140"/>
        <item x="525"/>
        <item x="614"/>
        <item x="170"/>
        <item x="376"/>
        <item x="102"/>
        <item x="388"/>
        <item x="624"/>
        <item x="219"/>
        <item x="69"/>
        <item x="434"/>
        <item x="403"/>
        <item x="583"/>
        <item x="515"/>
        <item x="615"/>
        <item x="634"/>
        <item x="560"/>
        <item x="202"/>
        <item x="80"/>
        <item x="83"/>
        <item x="82"/>
        <item x="72"/>
        <item x="266"/>
        <item x="265"/>
        <item x="189"/>
        <item x="513"/>
        <item x="419"/>
        <item x="391"/>
        <item x="664"/>
        <item x="693"/>
        <item x="134"/>
        <item x="290"/>
        <item x="291"/>
        <item x="292"/>
        <item x="302"/>
        <item x="350"/>
        <item x="277"/>
        <item x="179"/>
        <item x="348"/>
        <item x="288"/>
        <item x="349"/>
        <item x="55"/>
        <item x="677"/>
        <item x="108"/>
        <item x="683"/>
        <item x="39"/>
        <item x="126"/>
        <item x="477"/>
        <item x="176"/>
        <item x="161"/>
        <item x="162"/>
        <item x="409"/>
        <item x="153"/>
        <item x="151"/>
        <item x="154"/>
        <item x="152"/>
        <item x="158"/>
        <item x="157"/>
        <item x="156"/>
        <item x="155"/>
        <item x="159"/>
        <item x="519"/>
        <item x="631"/>
        <item x="395"/>
        <item x="89"/>
        <item x="63"/>
        <item x="487"/>
        <item x="415"/>
        <item x="413"/>
        <item x="398"/>
        <item x="464"/>
        <item x="214"/>
        <item x="435"/>
        <item x="497"/>
        <item x="379"/>
        <item x="378"/>
        <item x="104"/>
        <item x="103"/>
        <item x="486"/>
        <item x="662"/>
        <item x="220"/>
        <item x="222"/>
        <item x="212"/>
        <item x="213"/>
        <item x="53"/>
        <item x="258"/>
        <item x="234"/>
        <item x="370"/>
        <item x="257"/>
        <item x="443"/>
        <item x="303"/>
        <item x="313"/>
        <item x="200"/>
        <item x="649"/>
        <item x="492"/>
        <item x="65"/>
        <item x="284"/>
        <item x="315"/>
        <item x="50"/>
        <item x="389"/>
        <item x="328"/>
        <item x="688"/>
        <item x="418"/>
        <item x="178"/>
        <item x="253"/>
        <item x="613"/>
        <item x="635"/>
        <item x="630"/>
        <item x="661"/>
        <item x="565"/>
        <item x="380"/>
        <item x="621"/>
        <item x="456"/>
        <item x="579"/>
        <item x="131"/>
        <item x="465"/>
        <item x="499"/>
        <item x="204"/>
        <item x="425"/>
        <item x="584"/>
        <item x="658"/>
        <item x="501"/>
        <item x="130"/>
        <item x="503"/>
        <item x="494"/>
        <item x="426"/>
        <item x="278"/>
        <item x="428"/>
        <item x="452"/>
        <item x="327"/>
        <item x="295"/>
        <item x="568"/>
        <item x="490"/>
        <item x="163"/>
        <item x="530"/>
        <item x="135"/>
        <item x="246"/>
        <item x="274"/>
        <item x="411"/>
        <item x="602"/>
        <item x="567"/>
        <item x="150"/>
        <item x="344"/>
        <item x="325"/>
        <item x="273"/>
        <item x="230"/>
        <item x="528"/>
        <item x="56"/>
        <item x="382"/>
        <item x="138"/>
        <item x="10"/>
        <item x="235"/>
        <item x="236"/>
        <item x="238"/>
        <item x="174"/>
        <item x="210"/>
        <item x="11"/>
        <item x="209"/>
        <item x="112"/>
        <item x="132"/>
        <item x="608"/>
        <item x="342"/>
        <item x="445"/>
        <item x="92"/>
        <item x="510"/>
        <item x="479"/>
        <item x="408"/>
        <item x="511"/>
        <item x="73"/>
        <item x="128"/>
        <item x="116"/>
        <item x="606"/>
        <item x="129"/>
        <item x="509"/>
        <item x="580"/>
        <item x="562"/>
        <item x="317"/>
        <item x="326"/>
        <item x="137"/>
        <item x="564"/>
        <item x="563"/>
        <item x="697"/>
        <item x="454"/>
        <item x="642"/>
        <item x="299"/>
        <item x="164"/>
        <item x="343"/>
        <item x="34"/>
        <item x="412"/>
        <item x="260"/>
        <item x="296"/>
        <item x="578"/>
        <item x="504"/>
        <item x="205"/>
        <item x="206"/>
        <item x="687"/>
        <item x="681"/>
        <item x="476"/>
        <item x="407"/>
        <item x="537"/>
        <item x="125"/>
        <item x="618"/>
        <item x="84"/>
        <item x="75"/>
        <item x="77"/>
        <item x="76"/>
        <item x="186"/>
        <item x="455"/>
        <item x="569"/>
        <item x="269"/>
        <item x="474"/>
        <item x="559"/>
        <item x="216"/>
        <item x="85"/>
        <item x="387"/>
        <item x="225"/>
        <item x="373"/>
        <item x="601"/>
        <item x="552"/>
        <item x="556"/>
        <item x="554"/>
        <item x="555"/>
        <item x="553"/>
        <item x="535"/>
        <item x="536"/>
        <item x="581"/>
        <item x="251"/>
        <item x="87"/>
        <item x="86"/>
        <item x="180"/>
        <item x="147"/>
        <item x="192"/>
        <item x="549"/>
        <item x="381"/>
        <item x="182"/>
        <item x="252"/>
        <item x="345"/>
        <item x="285"/>
        <item x="250"/>
        <item x="339"/>
        <item x="188"/>
        <item x="187"/>
        <item x="57"/>
        <item x="122"/>
        <item x="540"/>
        <item x="70"/>
        <item x="489"/>
        <item x="633"/>
        <item x="351"/>
        <item x="280"/>
        <item x="480"/>
        <item x="93"/>
        <item x="276"/>
        <item x="94"/>
        <item x="90"/>
        <item x="478"/>
        <item x="558"/>
        <item x="166"/>
        <item x="124"/>
        <item x="35"/>
        <item x="101"/>
        <item x="32"/>
        <item x="133"/>
        <item x="207"/>
        <item x="571"/>
        <item x="533"/>
        <item x="481"/>
        <item x="386"/>
        <item x="450"/>
        <item x="449"/>
        <item x="198"/>
        <item x="424"/>
        <item x="199"/>
        <item x="183"/>
        <item x="427"/>
        <item x="459"/>
        <item x="619"/>
        <item x="695"/>
        <item x="384"/>
        <item x="71"/>
        <item x="81"/>
        <item x="300"/>
        <item x="201"/>
        <item x="239"/>
        <item x="436"/>
        <item x="430"/>
        <item x="657"/>
        <item x="320"/>
        <item x="520"/>
        <item x="517"/>
        <item x="570"/>
        <item x="680"/>
        <item x="229"/>
        <item x="574"/>
        <item x="224"/>
        <item x="374"/>
        <item x="507"/>
        <item x="68"/>
        <item x="369"/>
        <item x="41"/>
        <item x="160"/>
        <item x="598"/>
        <item x="383"/>
        <item x="368"/>
        <item x="550"/>
        <item x="572"/>
        <item x="67"/>
        <item x="259"/>
        <item x="172"/>
        <item x="500"/>
        <item x="433"/>
        <item x="607"/>
        <item x="353"/>
        <item x="604"/>
        <item x="346"/>
        <item x="393"/>
        <item x="113"/>
        <item x="495"/>
        <item x="462"/>
        <item x="702"/>
        <item x="652"/>
        <item x="547"/>
        <item x="694"/>
        <item x="421"/>
        <item x="279"/>
        <item x="654"/>
        <item x="304"/>
        <item x="526"/>
        <item x="438"/>
        <item x="482"/>
        <item x="402"/>
        <item x="663"/>
        <item x="66"/>
        <item x="444"/>
        <item x="8"/>
        <item x="9"/>
        <item x="669"/>
        <item x="74"/>
        <item x="78"/>
        <item x="674"/>
        <item x="431"/>
        <item x="233"/>
        <item x="611"/>
        <item x="659"/>
        <item x="51"/>
        <item x="523"/>
        <item x="37"/>
        <item x="644"/>
        <item x="194"/>
        <item x="196"/>
        <item x="197"/>
        <item x="195"/>
        <item x="96"/>
        <item x="527"/>
        <item x="314"/>
        <item x="638"/>
        <item x="231"/>
        <item x="542"/>
        <item x="543"/>
        <item x="612"/>
        <item x="534"/>
        <item x="689"/>
        <item x="679"/>
        <item x="678"/>
        <item x="691"/>
        <item x="671"/>
        <item x="641"/>
        <item x="650"/>
        <item x="404"/>
        <item x="271"/>
        <item x="405"/>
        <item x="406"/>
        <item x="58"/>
        <item x="518"/>
        <item x="117"/>
        <item x="54"/>
        <item x="287"/>
        <item x="437"/>
        <item x="422"/>
        <item x="336"/>
        <item x="247"/>
        <item x="221"/>
        <item x="330"/>
        <item x="329"/>
        <item x="15"/>
        <item x="16"/>
        <item x="340"/>
        <item x="506"/>
        <item x="270"/>
        <item x="286"/>
        <item x="255"/>
        <item x="256"/>
        <item x="297"/>
        <item x="498"/>
        <item x="335"/>
        <item x="334"/>
        <item x="323"/>
        <item x="305"/>
        <item x="324"/>
        <item x="208"/>
        <item x="171"/>
        <item x="121"/>
        <item x="463"/>
        <item x="451"/>
        <item x="338"/>
        <item x="682"/>
        <item x="254"/>
        <item x="484"/>
        <item x="514"/>
        <item x="566"/>
        <item x="647"/>
        <item x="643"/>
        <item x="377"/>
        <item x="551"/>
        <item x="656"/>
        <item x="508"/>
        <item x="110"/>
        <item x="115"/>
        <item x="466"/>
        <item x="119"/>
        <item x="670"/>
        <item x="139"/>
        <item x="390"/>
        <item x="394"/>
        <item x="244"/>
        <item x="0"/>
        <item x="1"/>
        <item x="4"/>
        <item x="5"/>
        <item x="2"/>
        <item x="3"/>
        <item x="6"/>
        <item x="7"/>
        <item x="632"/>
        <item x="226"/>
        <item x="289"/>
        <item x="698"/>
        <item x="145"/>
        <item x="636"/>
        <item x="546"/>
        <item x="185"/>
        <item x="223"/>
        <item x="538"/>
        <item x="539"/>
        <item x="141"/>
        <item x="610"/>
        <item x="441"/>
        <item x="672"/>
        <item x="576"/>
        <item x="399"/>
        <item x="573"/>
        <item x="100"/>
        <item x="99"/>
        <item x="575"/>
        <item x="600"/>
        <item x="628"/>
        <item x="272"/>
        <item x="142"/>
        <item x="701"/>
        <item x="700"/>
        <item x="49"/>
        <item x="396"/>
        <item x="532"/>
        <item x="385"/>
        <item x="392"/>
        <item x="143"/>
        <item x="79"/>
        <item x="40"/>
        <item x="45"/>
        <item x="33"/>
        <item x="31"/>
        <item x="46"/>
        <item x="136"/>
        <item x="366"/>
        <item x="364"/>
        <item x="27"/>
        <item x="123"/>
        <item x="267"/>
        <item x="625"/>
        <item x="355"/>
        <item x="107"/>
        <item x="667"/>
        <item x="617"/>
        <item x="616"/>
        <item x="149"/>
        <item x="64"/>
        <item x="676"/>
        <item x="620"/>
        <item x="603"/>
        <item x="429"/>
        <item x="605"/>
        <item x="184"/>
        <item x="420"/>
        <item x="106"/>
        <item x="237"/>
        <item x="240"/>
        <item x="401"/>
        <item x="668"/>
        <item x="358"/>
        <item x="356"/>
        <item x="360"/>
        <item x="357"/>
        <item x="359"/>
        <item x="544"/>
        <item x="361"/>
        <item x="165"/>
        <item x="371"/>
        <item x="493"/>
        <item x="337"/>
        <item x="686"/>
        <item x="685"/>
        <item x="684"/>
        <item x="262"/>
        <item x="639"/>
        <item x="640"/>
        <item x="333"/>
        <item x="460"/>
        <item x="227"/>
        <item x="301"/>
        <item x="332"/>
        <item x="261"/>
        <item x="461"/>
        <item x="264"/>
        <item x="268"/>
        <item x="263"/>
        <item x="512"/>
        <item x="432"/>
        <item x="557"/>
        <item x="623"/>
        <item x="62"/>
        <item x="653"/>
        <item x="485"/>
        <item x="331"/>
        <item x="228"/>
        <item x="59"/>
        <item x="60"/>
        <item x="232"/>
        <item x="177"/>
        <item x="655"/>
        <item x="282"/>
        <item x="283"/>
        <item x="312"/>
        <item x="699"/>
        <item x="696"/>
        <item x="249"/>
        <item x="97"/>
        <item x="173"/>
        <item x="442"/>
        <item x="531"/>
        <item x="439"/>
        <item x="88"/>
        <item x="446"/>
        <item x="144"/>
        <item x="148"/>
        <item x="473"/>
        <item x="502"/>
        <item x="316"/>
        <item x="416"/>
        <item x="627"/>
        <item x="516"/>
        <item x="521"/>
        <item x="522"/>
        <item x="42"/>
        <item x="44"/>
        <item x="43"/>
        <item x="47"/>
        <item x="243"/>
        <item x="241"/>
        <item x="242"/>
        <item x="25"/>
        <item x="26"/>
        <item x="310"/>
        <item x="308"/>
        <item x="309"/>
        <item x="311"/>
        <item x="217"/>
        <item x="582"/>
        <item x="475"/>
        <item x="191"/>
        <item x="467"/>
        <item x="470"/>
        <item x="468"/>
        <item x="472"/>
        <item x="471"/>
        <item x="193"/>
        <item x="529"/>
        <item x="175"/>
        <item x="545"/>
        <item x="692"/>
        <item x="354"/>
        <item x="410"/>
        <item x="648"/>
        <item x="245"/>
        <item x="469"/>
        <item x="586"/>
        <item x="587"/>
        <item x="588"/>
        <item x="589"/>
        <item x="590"/>
        <item x="591"/>
        <item x="592"/>
        <item x="593"/>
        <item x="594"/>
        <item x="595"/>
        <item x="596"/>
        <item x="597"/>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0"/>
    <field x="1"/>
  </rowFields>
  <rowItems count="825">
    <i>
      <x/>
    </i>
    <i r="1">
      <x/>
    </i>
    <i r="1">
      <x v="1"/>
    </i>
    <i r="1">
      <x v="2"/>
    </i>
    <i r="1">
      <x v="3"/>
    </i>
    <i r="1">
      <x v="4"/>
    </i>
    <i r="1">
      <x v="5"/>
    </i>
    <i r="1">
      <x v="6"/>
    </i>
    <i r="1">
      <x v="7"/>
    </i>
    <i r="1">
      <x v="8"/>
    </i>
    <i r="1">
      <x v="9"/>
    </i>
    <i r="1">
      <x v="10"/>
    </i>
    <i r="1">
      <x v="11"/>
    </i>
    <i>
      <x v="1"/>
    </i>
    <i r="1">
      <x v="12"/>
    </i>
    <i r="1">
      <x v="13"/>
    </i>
    <i r="1">
      <x v="14"/>
    </i>
    <i r="1">
      <x v="15"/>
    </i>
    <i>
      <x v="2"/>
    </i>
    <i r="1">
      <x v="16"/>
    </i>
    <i r="1">
      <x v="17"/>
    </i>
    <i r="1">
      <x v="18"/>
    </i>
    <i r="1">
      <x v="19"/>
    </i>
    <i r="1">
      <x v="20"/>
    </i>
    <i r="1">
      <x v="21"/>
    </i>
    <i r="1">
      <x v="22"/>
    </i>
    <i r="1">
      <x v="23"/>
    </i>
    <i r="1">
      <x v="24"/>
    </i>
    <i r="1">
      <x v="25"/>
    </i>
    <i r="1">
      <x v="26"/>
    </i>
    <i r="1">
      <x v="27"/>
    </i>
    <i r="1">
      <x v="28"/>
    </i>
    <i r="1">
      <x v="29"/>
    </i>
    <i>
      <x v="3"/>
    </i>
    <i r="1">
      <x v="30"/>
    </i>
    <i r="1">
      <x v="31"/>
    </i>
    <i r="1">
      <x v="32"/>
    </i>
    <i r="1">
      <x v="33"/>
    </i>
    <i r="1">
      <x v="34"/>
    </i>
    <i r="1">
      <x v="35"/>
    </i>
    <i r="1">
      <x v="36"/>
    </i>
    <i>
      <x v="4"/>
    </i>
    <i r="1">
      <x v="37"/>
    </i>
    <i r="1">
      <x v="38"/>
    </i>
    <i r="1">
      <x v="39"/>
    </i>
    <i r="1">
      <x v="40"/>
    </i>
    <i r="1">
      <x v="41"/>
    </i>
    <i>
      <x v="5"/>
    </i>
    <i r="1">
      <x v="42"/>
    </i>
    <i r="1">
      <x v="43"/>
    </i>
    <i r="1">
      <x v="44"/>
    </i>
    <i r="1">
      <x v="45"/>
    </i>
    <i>
      <x v="6"/>
    </i>
    <i r="1">
      <x v="46"/>
    </i>
    <i r="1">
      <x v="47"/>
    </i>
    <i r="1">
      <x v="48"/>
    </i>
    <i r="1">
      <x v="49"/>
    </i>
    <i r="1">
      <x v="50"/>
    </i>
    <i r="1">
      <x v="51"/>
    </i>
    <i r="1">
      <x v="52"/>
    </i>
    <i r="1">
      <x v="53"/>
    </i>
    <i r="1">
      <x v="54"/>
    </i>
    <i>
      <x v="7"/>
    </i>
    <i r="1">
      <x v="55"/>
    </i>
    <i r="1">
      <x v="56"/>
    </i>
    <i r="1">
      <x v="57"/>
    </i>
    <i r="1">
      <x v="58"/>
    </i>
    <i>
      <x v="8"/>
    </i>
    <i r="1">
      <x v="59"/>
    </i>
    <i r="1">
      <x v="60"/>
    </i>
    <i r="1">
      <x v="61"/>
    </i>
    <i r="1">
      <x v="62"/>
    </i>
    <i r="1">
      <x v="63"/>
    </i>
    <i r="1">
      <x v="64"/>
    </i>
    <i>
      <x v="9"/>
    </i>
    <i r="1">
      <x v="65"/>
    </i>
    <i r="1">
      <x v="66"/>
    </i>
    <i r="1">
      <x v="67"/>
    </i>
    <i r="1">
      <x v="68"/>
    </i>
    <i r="1">
      <x v="69"/>
    </i>
    <i r="1">
      <x v="70"/>
    </i>
    <i r="1">
      <x v="71"/>
    </i>
    <i r="1">
      <x v="72"/>
    </i>
    <i r="1">
      <x v="73"/>
    </i>
    <i r="1">
      <x v="74"/>
    </i>
    <i r="1">
      <x v="75"/>
    </i>
    <i>
      <x v="10"/>
    </i>
    <i r="1">
      <x v="76"/>
    </i>
    <i r="1">
      <x v="77"/>
    </i>
    <i r="1">
      <x v="78"/>
    </i>
    <i r="1">
      <x v="79"/>
    </i>
    <i>
      <x v="11"/>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x v="12"/>
    </i>
    <i r="1">
      <x v="108"/>
    </i>
    <i r="1">
      <x v="109"/>
    </i>
    <i r="1">
      <x v="110"/>
    </i>
    <i r="1">
      <x v="111"/>
    </i>
    <i r="1">
      <x v="112"/>
    </i>
    <i r="1">
      <x v="113"/>
    </i>
    <i r="1">
      <x v="114"/>
    </i>
    <i r="1">
      <x v="115"/>
    </i>
    <i r="1">
      <x v="116"/>
    </i>
    <i>
      <x v="13"/>
    </i>
    <i r="1">
      <x v="117"/>
    </i>
    <i r="1">
      <x v="118"/>
    </i>
    <i r="1">
      <x v="119"/>
    </i>
    <i r="1">
      <x v="120"/>
    </i>
    <i r="1">
      <x v="121"/>
    </i>
    <i r="1">
      <x v="122"/>
    </i>
    <i r="1">
      <x v="123"/>
    </i>
    <i r="1">
      <x v="124"/>
    </i>
    <i r="1">
      <x v="125"/>
    </i>
    <i r="1">
      <x v="126"/>
    </i>
    <i>
      <x v="14"/>
    </i>
    <i r="1">
      <x v="127"/>
    </i>
    <i r="1">
      <x v="128"/>
    </i>
    <i r="1">
      <x v="129"/>
    </i>
    <i r="1">
      <x v="130"/>
    </i>
    <i r="1">
      <x v="131"/>
    </i>
    <i r="1">
      <x v="132"/>
    </i>
    <i r="1">
      <x v="133"/>
    </i>
    <i r="1">
      <x v="134"/>
    </i>
    <i r="1">
      <x v="135"/>
    </i>
    <i r="1">
      <x v="136"/>
    </i>
    <i r="1">
      <x v="137"/>
    </i>
    <i r="1">
      <x v="138"/>
    </i>
    <i>
      <x v="15"/>
    </i>
    <i r="1">
      <x v="139"/>
    </i>
    <i r="1">
      <x v="140"/>
    </i>
    <i r="1">
      <x v="141"/>
    </i>
    <i>
      <x v="16"/>
    </i>
    <i r="1">
      <x v="142"/>
    </i>
    <i r="1">
      <x v="143"/>
    </i>
    <i r="1">
      <x v="144"/>
    </i>
    <i r="1">
      <x v="145"/>
    </i>
    <i r="1">
      <x v="146"/>
    </i>
    <i r="1">
      <x v="696"/>
    </i>
    <i r="1">
      <x v="697"/>
    </i>
    <i>
      <x v="17"/>
    </i>
    <i r="1">
      <x v="147"/>
    </i>
    <i r="1">
      <x v="148"/>
    </i>
    <i r="1">
      <x v="149"/>
    </i>
    <i r="1">
      <x v="150"/>
    </i>
    <i r="1">
      <x v="151"/>
    </i>
    <i r="1">
      <x v="152"/>
    </i>
    <i r="1">
      <x v="153"/>
    </i>
    <i r="1">
      <x v="154"/>
    </i>
    <i r="1">
      <x v="155"/>
    </i>
    <i r="1">
      <x v="156"/>
    </i>
    <i r="1">
      <x v="157"/>
    </i>
    <i r="1">
      <x v="158"/>
    </i>
    <i r="1">
      <x v="159"/>
    </i>
    <i>
      <x v="18"/>
    </i>
    <i r="1">
      <x v="160"/>
    </i>
    <i r="1">
      <x v="161"/>
    </i>
    <i r="1">
      <x v="162"/>
    </i>
    <i r="1">
      <x v="163"/>
    </i>
    <i r="1">
      <x v="164"/>
    </i>
    <i r="1">
      <x v="165"/>
    </i>
    <i r="1">
      <x v="166"/>
    </i>
    <i r="1">
      <x v="167"/>
    </i>
    <i r="1">
      <x v="168"/>
    </i>
    <i r="1">
      <x v="169"/>
    </i>
    <i r="1">
      <x v="170"/>
    </i>
    <i r="1">
      <x v="171"/>
    </i>
    <i r="1">
      <x v="172"/>
    </i>
    <i>
      <x v="19"/>
    </i>
    <i r="1">
      <x v="173"/>
    </i>
    <i r="1">
      <x v="174"/>
    </i>
    <i r="1">
      <x v="175"/>
    </i>
    <i r="1">
      <x v="176"/>
    </i>
    <i r="1">
      <x v="177"/>
    </i>
    <i r="1">
      <x v="178"/>
    </i>
    <i r="1">
      <x v="179"/>
    </i>
    <i r="1">
      <x v="180"/>
    </i>
    <i r="1">
      <x v="181"/>
    </i>
    <i>
      <x v="20"/>
    </i>
    <i r="1">
      <x v="182"/>
    </i>
    <i r="1">
      <x v="183"/>
    </i>
    <i r="1">
      <x v="184"/>
    </i>
    <i r="1">
      <x v="185"/>
    </i>
    <i r="1">
      <x v="186"/>
    </i>
    <i r="1">
      <x v="187"/>
    </i>
    <i r="1">
      <x v="188"/>
    </i>
    <i r="1">
      <x v="189"/>
    </i>
    <i r="1">
      <x v="190"/>
    </i>
    <i r="1">
      <x v="191"/>
    </i>
    <i r="1">
      <x v="192"/>
    </i>
    <i r="1">
      <x v="193"/>
    </i>
    <i r="1">
      <x v="194"/>
    </i>
    <i r="1">
      <x v="195"/>
    </i>
    <i>
      <x v="21"/>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x v="22"/>
    </i>
    <i r="1">
      <x v="219"/>
    </i>
    <i r="1">
      <x v="220"/>
    </i>
    <i r="1">
      <x v="221"/>
    </i>
    <i r="1">
      <x v="222"/>
    </i>
    <i r="1">
      <x v="223"/>
    </i>
    <i r="1">
      <x v="224"/>
    </i>
    <i r="1">
      <x v="225"/>
    </i>
    <i>
      <x v="23"/>
    </i>
    <i r="1">
      <x v="226"/>
    </i>
    <i r="1">
      <x v="227"/>
    </i>
    <i r="1">
      <x v="228"/>
    </i>
    <i r="1">
      <x v="229"/>
    </i>
    <i r="1">
      <x v="230"/>
    </i>
    <i r="1">
      <x v="231"/>
    </i>
    <i>
      <x v="24"/>
    </i>
    <i r="1">
      <x v="232"/>
    </i>
    <i r="1">
      <x v="233"/>
    </i>
    <i r="1">
      <x v="234"/>
    </i>
    <i r="1">
      <x v="235"/>
    </i>
    <i r="1">
      <x v="236"/>
    </i>
    <i r="1">
      <x v="237"/>
    </i>
    <i r="1">
      <x v="238"/>
    </i>
    <i r="1">
      <x v="239"/>
    </i>
    <i r="1">
      <x v="240"/>
    </i>
    <i>
      <x v="25"/>
    </i>
    <i r="1">
      <x v="241"/>
    </i>
    <i r="1">
      <x v="242"/>
    </i>
    <i r="1">
      <x v="243"/>
    </i>
    <i r="1">
      <x v="244"/>
    </i>
    <i r="1">
      <x v="245"/>
    </i>
    <i r="1">
      <x v="246"/>
    </i>
    <i r="1">
      <x v="247"/>
    </i>
    <i r="1">
      <x v="248"/>
    </i>
    <i r="1">
      <x v="249"/>
    </i>
    <i>
      <x v="26"/>
    </i>
    <i r="1">
      <x v="250"/>
    </i>
    <i r="1">
      <x v="251"/>
    </i>
    <i r="1">
      <x v="252"/>
    </i>
    <i r="1">
      <x v="253"/>
    </i>
    <i r="1">
      <x v="254"/>
    </i>
    <i r="1">
      <x v="255"/>
    </i>
    <i r="1">
      <x v="256"/>
    </i>
    <i r="1">
      <x v="257"/>
    </i>
    <i r="1">
      <x v="258"/>
    </i>
    <i r="1">
      <x v="259"/>
    </i>
    <i r="1">
      <x v="260"/>
    </i>
    <i r="1">
      <x v="261"/>
    </i>
    <i r="1">
      <x v="262"/>
    </i>
    <i r="1">
      <x v="263"/>
    </i>
    <i r="1">
      <x v="264"/>
    </i>
    <i r="1">
      <x v="265"/>
    </i>
    <i>
      <x v="27"/>
    </i>
    <i r="1">
      <x v="266"/>
    </i>
    <i r="1">
      <x v="267"/>
    </i>
    <i r="1">
      <x v="268"/>
    </i>
    <i>
      <x v="28"/>
    </i>
    <i r="1">
      <x v="269"/>
    </i>
    <i r="1">
      <x v="270"/>
    </i>
    <i r="1">
      <x v="271"/>
    </i>
    <i r="1">
      <x v="272"/>
    </i>
    <i r="1">
      <x v="273"/>
    </i>
    <i>
      <x v="29"/>
    </i>
    <i r="1">
      <x v="274"/>
    </i>
    <i r="1">
      <x v="275"/>
    </i>
    <i>
      <x v="30"/>
    </i>
    <i r="1">
      <x v="276"/>
    </i>
    <i r="1">
      <x v="277"/>
    </i>
    <i r="1">
      <x v="278"/>
    </i>
    <i r="1">
      <x v="279"/>
    </i>
    <i>
      <x v="31"/>
    </i>
    <i r="1">
      <x v="280"/>
    </i>
    <i r="1">
      <x v="281"/>
    </i>
    <i>
      <x v="32"/>
    </i>
    <i r="1">
      <x v="282"/>
    </i>
    <i r="1">
      <x v="283"/>
    </i>
    <i>
      <x v="33"/>
    </i>
    <i r="1">
      <x v="284"/>
    </i>
    <i r="1">
      <x v="285"/>
    </i>
    <i r="1">
      <x v="286"/>
    </i>
    <i r="1">
      <x v="287"/>
    </i>
    <i r="1">
      <x v="288"/>
    </i>
    <i r="1">
      <x v="289"/>
    </i>
    <i>
      <x v="34"/>
    </i>
    <i r="1">
      <x v="290"/>
    </i>
    <i r="1">
      <x v="291"/>
    </i>
    <i r="1">
      <x v="292"/>
    </i>
    <i r="1">
      <x v="293"/>
    </i>
    <i r="1">
      <x v="294"/>
    </i>
    <i r="1">
      <x v="295"/>
    </i>
    <i>
      <x v="35"/>
    </i>
    <i r="1">
      <x v="296"/>
    </i>
    <i r="1">
      <x v="297"/>
    </i>
    <i r="1">
      <x v="298"/>
    </i>
    <i r="1">
      <x v="299"/>
    </i>
    <i r="1">
      <x v="300"/>
    </i>
    <i r="1">
      <x v="301"/>
    </i>
    <i>
      <x v="36"/>
    </i>
    <i r="1">
      <x v="302"/>
    </i>
    <i r="1">
      <x v="303"/>
    </i>
    <i r="1">
      <x v="304"/>
    </i>
    <i r="1">
      <x v="305"/>
    </i>
    <i>
      <x v="37"/>
    </i>
    <i r="1">
      <x v="306"/>
    </i>
    <i r="1">
      <x v="307"/>
    </i>
    <i r="1">
      <x v="308"/>
    </i>
    <i r="1">
      <x v="309"/>
    </i>
    <i r="1">
      <x v="310"/>
    </i>
    <i>
      <x v="38"/>
    </i>
    <i r="1">
      <x v="311"/>
    </i>
    <i r="1">
      <x v="312"/>
    </i>
    <i r="1">
      <x v="313"/>
    </i>
    <i r="1">
      <x v="314"/>
    </i>
    <i r="1">
      <x v="315"/>
    </i>
    <i r="1">
      <x v="316"/>
    </i>
    <i r="1">
      <x v="317"/>
    </i>
    <i>
      <x v="39"/>
    </i>
    <i r="1">
      <x v="318"/>
    </i>
    <i r="1">
      <x v="319"/>
    </i>
    <i r="1">
      <x v="320"/>
    </i>
    <i>
      <x v="40"/>
    </i>
    <i r="1">
      <x v="321"/>
    </i>
    <i r="1">
      <x v="322"/>
    </i>
    <i r="1">
      <x v="323"/>
    </i>
    <i r="1">
      <x v="324"/>
    </i>
    <i r="1">
      <x v="325"/>
    </i>
    <i>
      <x v="41"/>
    </i>
    <i r="1">
      <x v="326"/>
    </i>
    <i r="1">
      <x v="327"/>
    </i>
    <i r="1">
      <x v="328"/>
    </i>
    <i r="1">
      <x v="329"/>
    </i>
    <i r="1">
      <x v="330"/>
    </i>
    <i>
      <x v="42"/>
    </i>
    <i r="1">
      <x v="331"/>
    </i>
    <i r="1">
      <x v="332"/>
    </i>
    <i r="1">
      <x v="333"/>
    </i>
    <i r="1">
      <x v="334"/>
    </i>
    <i r="1">
      <x v="335"/>
    </i>
    <i r="1">
      <x v="336"/>
    </i>
    <i>
      <x v="43"/>
    </i>
    <i r="1">
      <x v="337"/>
    </i>
    <i r="1">
      <x v="338"/>
    </i>
    <i r="1">
      <x v="339"/>
    </i>
    <i>
      <x v="44"/>
    </i>
    <i r="1">
      <x v="340"/>
    </i>
    <i r="1">
      <x v="341"/>
    </i>
    <i r="1">
      <x v="342"/>
    </i>
    <i r="1">
      <x v="343"/>
    </i>
    <i r="1">
      <x v="344"/>
    </i>
    <i r="1">
      <x v="345"/>
    </i>
    <i r="1">
      <x v="346"/>
    </i>
    <i r="1">
      <x v="347"/>
    </i>
    <i r="1">
      <x v="348"/>
    </i>
    <i r="1">
      <x v="349"/>
    </i>
    <i>
      <x v="45"/>
    </i>
    <i r="1">
      <x v="350"/>
    </i>
    <i r="1">
      <x v="351"/>
    </i>
    <i r="1">
      <x v="352"/>
    </i>
    <i r="1">
      <x v="353"/>
    </i>
    <i r="1">
      <x v="354"/>
    </i>
    <i>
      <x v="46"/>
    </i>
    <i r="1">
      <x v="355"/>
    </i>
    <i r="1">
      <x v="356"/>
    </i>
    <i>
      <x v="47"/>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x v="48"/>
    </i>
    <i r="1">
      <x v="378"/>
    </i>
    <i r="1">
      <x v="379"/>
    </i>
    <i r="1">
      <x v="380"/>
    </i>
    <i r="1">
      <x v="381"/>
    </i>
    <i>
      <x v="49"/>
    </i>
    <i r="1">
      <x v="382"/>
    </i>
    <i r="1">
      <x v="383"/>
    </i>
    <i r="1">
      <x v="384"/>
    </i>
    <i r="1">
      <x v="385"/>
    </i>
    <i>
      <x v="50"/>
    </i>
    <i r="1">
      <x v="386"/>
    </i>
    <i r="1">
      <x v="387"/>
    </i>
    <i r="1">
      <x v="388"/>
    </i>
    <i r="1">
      <x v="389"/>
    </i>
    <i>
      <x v="51"/>
    </i>
    <i r="1">
      <x v="390"/>
    </i>
    <i r="1">
      <x v="391"/>
    </i>
    <i>
      <x v="52"/>
    </i>
    <i r="1">
      <x v="392"/>
    </i>
    <i r="1">
      <x v="393"/>
    </i>
    <i r="1">
      <x v="394"/>
    </i>
    <i>
      <x v="53"/>
    </i>
    <i r="1">
      <x v="395"/>
    </i>
    <i r="1">
      <x v="396"/>
    </i>
    <i r="1">
      <x v="397"/>
    </i>
    <i r="1">
      <x v="398"/>
    </i>
    <i>
      <x v="54"/>
    </i>
    <i r="1">
      <x v="399"/>
    </i>
    <i r="1">
      <x v="400"/>
    </i>
    <i r="1">
      <x v="401"/>
    </i>
    <i r="1">
      <x v="402"/>
    </i>
    <i>
      <x v="55"/>
    </i>
    <i r="1">
      <x v="403"/>
    </i>
    <i r="1">
      <x v="404"/>
    </i>
    <i r="1">
      <x v="405"/>
    </i>
    <i r="1">
      <x v="406"/>
    </i>
    <i r="1">
      <x v="407"/>
    </i>
    <i r="1">
      <x v="408"/>
    </i>
    <i r="1">
      <x v="409"/>
    </i>
    <i r="1">
      <x v="410"/>
    </i>
    <i r="1">
      <x v="411"/>
    </i>
    <i r="1">
      <x v="412"/>
    </i>
    <i r="1">
      <x v="413"/>
    </i>
    <i r="1">
      <x v="414"/>
    </i>
    <i>
      <x v="56"/>
    </i>
    <i r="1">
      <x v="415"/>
    </i>
    <i r="1">
      <x v="416"/>
    </i>
    <i r="1">
      <x v="417"/>
    </i>
    <i r="1">
      <x v="418"/>
    </i>
    <i>
      <x v="57"/>
    </i>
    <i r="1">
      <x v="419"/>
    </i>
    <i r="1">
      <x v="420"/>
    </i>
    <i r="1">
      <x v="421"/>
    </i>
    <i r="1">
      <x v="422"/>
    </i>
    <i r="1">
      <x v="423"/>
    </i>
    <i r="1">
      <x v="424"/>
    </i>
    <i r="1">
      <x v="425"/>
    </i>
    <i>
      <x v="58"/>
    </i>
    <i r="1">
      <x v="426"/>
    </i>
    <i r="1">
      <x v="427"/>
    </i>
    <i r="1">
      <x v="428"/>
    </i>
    <i>
      <x v="59"/>
    </i>
    <i r="1">
      <x v="429"/>
    </i>
    <i r="1">
      <x v="430"/>
    </i>
    <i r="1">
      <x v="431"/>
    </i>
    <i r="1">
      <x v="432"/>
    </i>
    <i>
      <x v="60"/>
    </i>
    <i r="1">
      <x v="433"/>
    </i>
    <i r="1">
      <x v="434"/>
    </i>
    <i>
      <x v="61"/>
    </i>
    <i r="1">
      <x v="435"/>
    </i>
    <i r="1">
      <x v="436"/>
    </i>
    <i r="1">
      <x v="437"/>
    </i>
    <i>
      <x v="62"/>
    </i>
    <i r="1">
      <x v="438"/>
    </i>
    <i r="1">
      <x v="439"/>
    </i>
    <i r="1">
      <x v="440"/>
    </i>
    <i r="1">
      <x v="441"/>
    </i>
    <i r="1">
      <x v="442"/>
    </i>
    <i r="1">
      <x v="443"/>
    </i>
    <i>
      <x v="63"/>
    </i>
    <i r="1">
      <x v="444"/>
    </i>
    <i r="1">
      <x v="445"/>
    </i>
    <i r="1">
      <x v="446"/>
    </i>
    <i r="1">
      <x v="447"/>
    </i>
    <i r="1">
      <x v="448"/>
    </i>
    <i r="1">
      <x v="449"/>
    </i>
    <i>
      <x v="64"/>
    </i>
    <i r="1">
      <x v="450"/>
    </i>
    <i r="1">
      <x v="451"/>
    </i>
    <i r="1">
      <x v="452"/>
    </i>
    <i r="1">
      <x v="453"/>
    </i>
    <i>
      <x v="65"/>
    </i>
    <i r="1">
      <x v="454"/>
    </i>
    <i r="1">
      <x v="455"/>
    </i>
    <i r="1">
      <x v="456"/>
    </i>
    <i r="1">
      <x v="457"/>
    </i>
    <i r="1">
      <x v="458"/>
    </i>
    <i>
      <x v="66"/>
    </i>
    <i r="1">
      <x v="459"/>
    </i>
    <i r="1">
      <x v="460"/>
    </i>
    <i r="1">
      <x v="461"/>
    </i>
    <i>
      <x v="67"/>
    </i>
    <i r="1">
      <x v="462"/>
    </i>
    <i r="1">
      <x v="463"/>
    </i>
    <i r="1">
      <x v="464"/>
    </i>
    <i r="1">
      <x v="465"/>
    </i>
    <i r="1">
      <x v="466"/>
    </i>
    <i>
      <x v="68"/>
    </i>
    <i r="1">
      <x v="467"/>
    </i>
    <i r="1">
      <x v="468"/>
    </i>
    <i r="1">
      <x v="469"/>
    </i>
    <i r="1">
      <x v="470"/>
    </i>
    <i>
      <x v="69"/>
    </i>
    <i r="1">
      <x v="471"/>
    </i>
    <i r="1">
      <x v="472"/>
    </i>
    <i r="1">
      <x v="473"/>
    </i>
    <i r="1">
      <x v="474"/>
    </i>
    <i r="1">
      <x v="475"/>
    </i>
    <i r="1">
      <x v="476"/>
    </i>
    <i r="1">
      <x v="477"/>
    </i>
    <i>
      <x v="70"/>
    </i>
    <i r="1">
      <x v="478"/>
    </i>
    <i r="1">
      <x v="479"/>
    </i>
    <i>
      <x v="71"/>
    </i>
    <i r="1">
      <x v="480"/>
    </i>
    <i r="1">
      <x v="481"/>
    </i>
    <i r="1">
      <x v="482"/>
    </i>
    <i r="1">
      <x v="483"/>
    </i>
    <i r="1">
      <x v="484"/>
    </i>
    <i>
      <x v="72"/>
    </i>
    <i r="1">
      <x v="485"/>
    </i>
    <i r="1">
      <x v="486"/>
    </i>
    <i r="1">
      <x v="487"/>
    </i>
    <i r="1">
      <x v="488"/>
    </i>
    <i r="1">
      <x v="489"/>
    </i>
    <i>
      <x v="73"/>
    </i>
    <i r="1">
      <x v="490"/>
    </i>
    <i r="1">
      <x v="491"/>
    </i>
    <i r="1">
      <x v="492"/>
    </i>
    <i r="1">
      <x v="493"/>
    </i>
    <i r="1">
      <x v="494"/>
    </i>
    <i r="1">
      <x v="495"/>
    </i>
    <i r="1">
      <x v="496"/>
    </i>
    <i>
      <x v="74"/>
    </i>
    <i r="1">
      <x v="497"/>
    </i>
    <i r="1">
      <x v="498"/>
    </i>
    <i r="1">
      <x v="499"/>
    </i>
    <i r="1">
      <x v="500"/>
    </i>
    <i r="1">
      <x v="501"/>
    </i>
    <i r="1">
      <x v="502"/>
    </i>
    <i>
      <x v="75"/>
    </i>
    <i r="1">
      <x v="503"/>
    </i>
    <i r="1">
      <x v="504"/>
    </i>
    <i>
      <x v="76"/>
    </i>
    <i r="1">
      <x v="505"/>
    </i>
    <i r="1">
      <x v="506"/>
    </i>
    <i r="1">
      <x v="507"/>
    </i>
    <i r="1">
      <x v="508"/>
    </i>
    <i r="1">
      <x v="509"/>
    </i>
    <i r="1">
      <x v="510"/>
    </i>
    <i r="1">
      <x v="511"/>
    </i>
    <i r="1">
      <x v="512"/>
    </i>
    <i r="1">
      <x v="513"/>
    </i>
    <i>
      <x v="77"/>
    </i>
    <i r="1">
      <x v="514"/>
    </i>
    <i r="1">
      <x v="515"/>
    </i>
    <i r="1">
      <x v="516"/>
    </i>
    <i r="1">
      <x v="517"/>
    </i>
    <i r="1">
      <x v="518"/>
    </i>
    <i r="1">
      <x v="519"/>
    </i>
    <i r="1">
      <x v="520"/>
    </i>
    <i r="1">
      <x v="521"/>
    </i>
    <i r="1">
      <x v="522"/>
    </i>
    <i r="1">
      <x v="523"/>
    </i>
    <i r="1">
      <x v="524"/>
    </i>
    <i>
      <x v="78"/>
    </i>
    <i r="1">
      <x v="525"/>
    </i>
    <i r="1">
      <x v="526"/>
    </i>
    <i r="1">
      <x v="527"/>
    </i>
    <i r="1">
      <x v="528"/>
    </i>
    <i r="1">
      <x v="529"/>
    </i>
    <i r="1">
      <x v="530"/>
    </i>
    <i r="1">
      <x v="531"/>
    </i>
    <i r="1">
      <x v="532"/>
    </i>
    <i>
      <x v="79"/>
    </i>
    <i r="1">
      <x v="533"/>
    </i>
    <i r="1">
      <x v="534"/>
    </i>
    <i r="1">
      <x v="535"/>
    </i>
    <i r="1">
      <x v="536"/>
    </i>
    <i r="1">
      <x v="537"/>
    </i>
    <i r="1">
      <x v="538"/>
    </i>
    <i r="1">
      <x v="539"/>
    </i>
    <i r="1">
      <x v="540"/>
    </i>
    <i r="1">
      <x v="541"/>
    </i>
    <i r="1">
      <x v="542"/>
    </i>
    <i r="1">
      <x v="543"/>
    </i>
    <i>
      <x v="80"/>
    </i>
    <i r="1">
      <x v="544"/>
    </i>
    <i r="1">
      <x v="545"/>
    </i>
    <i r="1">
      <x v="546"/>
    </i>
    <i r="1">
      <x v="547"/>
    </i>
    <i>
      <x v="81"/>
    </i>
    <i r="1">
      <x v="548"/>
    </i>
    <i r="1">
      <x v="549"/>
    </i>
    <i r="1">
      <x v="550"/>
    </i>
    <i r="1">
      <x v="551"/>
    </i>
    <i r="1">
      <x v="552"/>
    </i>
    <i r="1">
      <x v="553"/>
    </i>
    <i r="1">
      <x v="554"/>
    </i>
    <i r="1">
      <x v="555"/>
    </i>
    <i>
      <x v="82"/>
    </i>
    <i r="1">
      <x v="556"/>
    </i>
    <i r="1">
      <x v="557"/>
    </i>
    <i r="1">
      <x v="558"/>
    </i>
    <i r="1">
      <x v="559"/>
    </i>
    <i r="1">
      <x v="560"/>
    </i>
    <i r="1">
      <x v="561"/>
    </i>
    <i r="1">
      <x v="562"/>
    </i>
    <i>
      <x v="83"/>
    </i>
    <i r="1">
      <x v="563"/>
    </i>
    <i r="1">
      <x v="564"/>
    </i>
    <i>
      <x v="84"/>
    </i>
    <i r="1">
      <x v="565"/>
    </i>
    <i r="1">
      <x v="566"/>
    </i>
    <i r="1">
      <x v="567"/>
    </i>
    <i r="1">
      <x v="568"/>
    </i>
    <i r="1">
      <x v="569"/>
    </i>
    <i>
      <x v="85"/>
    </i>
    <i r="1">
      <x v="570"/>
    </i>
    <i r="1">
      <x v="571"/>
    </i>
    <i>
      <x v="86"/>
    </i>
    <i r="1">
      <x v="572"/>
    </i>
    <i r="1">
      <x v="573"/>
    </i>
    <i>
      <x v="87"/>
    </i>
    <i r="1">
      <x v="574"/>
    </i>
    <i r="1">
      <x v="575"/>
    </i>
    <i r="1">
      <x v="576"/>
    </i>
    <i r="1">
      <x v="577"/>
    </i>
    <i>
      <x v="88"/>
    </i>
    <i r="1">
      <x v="578"/>
    </i>
    <i r="1">
      <x v="579"/>
    </i>
    <i r="1">
      <x v="580"/>
    </i>
    <i r="1">
      <x v="581"/>
    </i>
    <i r="1">
      <x v="582"/>
    </i>
    <i r="1">
      <x v="583"/>
    </i>
    <i r="1">
      <x v="584"/>
    </i>
    <i>
      <x v="89"/>
    </i>
    <i r="1">
      <x v="585"/>
    </i>
    <i r="1">
      <x v="586"/>
    </i>
    <i r="1">
      <x v="587"/>
    </i>
    <i r="1">
      <x v="588"/>
    </i>
    <i>
      <x v="90"/>
    </i>
    <i r="1">
      <x v="589"/>
    </i>
    <i r="1">
      <x v="590"/>
    </i>
    <i r="1">
      <x v="591"/>
    </i>
    <i r="1">
      <x v="592"/>
    </i>
    <i r="1">
      <x v="593"/>
    </i>
    <i r="1">
      <x v="594"/>
    </i>
    <i r="1">
      <x v="595"/>
    </i>
    <i r="1">
      <x v="596"/>
    </i>
    <i>
      <x v="91"/>
    </i>
    <i r="1">
      <x v="597"/>
    </i>
    <i r="1">
      <x v="598"/>
    </i>
    <i r="1">
      <x v="599"/>
    </i>
    <i r="1">
      <x v="600"/>
    </i>
    <i>
      <x v="92"/>
    </i>
    <i r="1">
      <x v="601"/>
    </i>
    <i>
      <x v="93"/>
    </i>
    <i r="1">
      <x v="602"/>
    </i>
    <i r="1">
      <x v="603"/>
    </i>
    <i r="1">
      <x v="604"/>
    </i>
    <i r="1">
      <x v="605"/>
    </i>
    <i>
      <x v="94"/>
    </i>
    <i r="1">
      <x v="606"/>
    </i>
    <i r="1">
      <x v="607"/>
    </i>
    <i r="1">
      <x v="608"/>
    </i>
    <i r="1">
      <x v="609"/>
    </i>
    <i>
      <x v="95"/>
    </i>
    <i r="1">
      <x v="610"/>
    </i>
    <i r="1">
      <x v="611"/>
    </i>
    <i r="1">
      <x v="612"/>
    </i>
    <i r="1">
      <x v="613"/>
    </i>
    <i>
      <x v="96"/>
    </i>
    <i r="1">
      <x v="614"/>
    </i>
    <i r="1">
      <x v="615"/>
    </i>
    <i r="1">
      <x v="616"/>
    </i>
    <i r="1">
      <x v="617"/>
    </i>
    <i r="1">
      <x v="618"/>
    </i>
    <i r="1">
      <x v="619"/>
    </i>
    <i r="1">
      <x v="620"/>
    </i>
    <i>
      <x v="97"/>
    </i>
    <i r="1">
      <x v="621"/>
    </i>
    <i r="1">
      <x v="622"/>
    </i>
    <i r="1">
      <x v="623"/>
    </i>
    <i>
      <x v="98"/>
    </i>
    <i r="1">
      <x v="624"/>
    </i>
    <i r="1">
      <x v="625"/>
    </i>
    <i r="1">
      <x v="626"/>
    </i>
    <i>
      <x v="99"/>
    </i>
    <i r="1">
      <x v="627"/>
    </i>
    <i r="1">
      <x v="628"/>
    </i>
    <i r="1">
      <x v="629"/>
    </i>
    <i>
      <x v="100"/>
    </i>
    <i r="1">
      <x v="630"/>
    </i>
    <i r="1">
      <x v="631"/>
    </i>
    <i r="1">
      <x v="632"/>
    </i>
    <i r="1">
      <x v="633"/>
    </i>
    <i r="1">
      <x v="634"/>
    </i>
    <i r="1">
      <x v="635"/>
    </i>
    <i r="1">
      <x v="636"/>
    </i>
    <i>
      <x v="101"/>
    </i>
    <i r="1">
      <x v="637"/>
    </i>
    <i r="1">
      <x v="638"/>
    </i>
    <i r="1">
      <x v="639"/>
    </i>
    <i r="1">
      <x v="640"/>
    </i>
    <i r="1">
      <x v="641"/>
    </i>
    <i>
      <x v="102"/>
    </i>
    <i r="1">
      <x v="642"/>
    </i>
    <i r="1">
      <x v="643"/>
    </i>
    <i r="1">
      <x v="644"/>
    </i>
    <i r="1">
      <x v="645"/>
    </i>
    <i>
      <x v="103"/>
    </i>
    <i r="1">
      <x v="646"/>
    </i>
    <i r="1">
      <x v="647"/>
    </i>
    <i r="1">
      <x v="648"/>
    </i>
    <i r="1">
      <x v="649"/>
    </i>
    <i r="1">
      <x v="650"/>
    </i>
    <i r="1">
      <x v="651"/>
    </i>
    <i r="1">
      <x v="652"/>
    </i>
    <i r="1">
      <x v="653"/>
    </i>
    <i>
      <x v="104"/>
    </i>
    <i r="1">
      <x v="654"/>
    </i>
    <i r="1">
      <x v="655"/>
    </i>
    <i r="1">
      <x v="656"/>
    </i>
    <i r="1">
      <x v="657"/>
    </i>
    <i r="1">
      <x v="658"/>
    </i>
    <i r="1">
      <x v="659"/>
    </i>
    <i>
      <x v="105"/>
    </i>
    <i r="1">
      <x v="660"/>
    </i>
    <i r="1">
      <x v="661"/>
    </i>
    <i r="1">
      <x v="662"/>
    </i>
    <i>
      <x v="106"/>
    </i>
    <i r="1">
      <x v="663"/>
    </i>
    <i r="1">
      <x v="664"/>
    </i>
    <i>
      <x v="107"/>
    </i>
    <i r="1">
      <x v="665"/>
    </i>
    <i r="1">
      <x v="666"/>
    </i>
    <i r="1">
      <x v="667"/>
    </i>
    <i>
      <x v="108"/>
    </i>
    <i r="1">
      <x v="668"/>
    </i>
    <i r="1">
      <x v="669"/>
    </i>
    <i>
      <x v="109"/>
    </i>
    <i r="1">
      <x v="670"/>
    </i>
    <i r="1">
      <x v="671"/>
    </i>
    <i r="1">
      <x v="672"/>
    </i>
    <i r="1">
      <x v="673"/>
    </i>
    <i r="1">
      <x v="674"/>
    </i>
    <i>
      <x v="110"/>
    </i>
    <i r="1">
      <x v="675"/>
    </i>
    <i r="1">
      <x v="676"/>
    </i>
    <i r="1">
      <x v="677"/>
    </i>
    <i r="1">
      <x v="678"/>
    </i>
    <i r="1">
      <x v="679"/>
    </i>
    <i r="1">
      <x v="680"/>
    </i>
    <i r="1">
      <x v="681"/>
    </i>
    <i>
      <x v="111"/>
    </i>
    <i r="1">
      <x v="682"/>
    </i>
    <i r="1">
      <x v="683"/>
    </i>
    <i r="1">
      <x v="684"/>
    </i>
    <i>
      <x v="112"/>
    </i>
    <i r="1">
      <x v="685"/>
    </i>
    <i r="1">
      <x v="686"/>
    </i>
    <i r="1">
      <x v="687"/>
    </i>
    <i r="1">
      <x v="688"/>
    </i>
    <i r="1">
      <x v="689"/>
    </i>
    <i r="1">
      <x v="690"/>
    </i>
    <i r="1">
      <x v="691"/>
    </i>
    <i r="1">
      <x v="692"/>
    </i>
    <i r="1">
      <x v="693"/>
    </i>
    <i r="1">
      <x v="694"/>
    </i>
    <i r="1">
      <x v="695"/>
    </i>
    <i>
      <x v="113"/>
    </i>
    <i r="1">
      <x v="698"/>
    </i>
    <i r="1">
      <x v="699"/>
    </i>
    <i r="1">
      <x v="700"/>
    </i>
    <i r="1">
      <x v="701"/>
    </i>
    <i r="1">
      <x v="702"/>
    </i>
    <i r="1">
      <x v="703"/>
    </i>
    <i r="1">
      <x v="704"/>
    </i>
    <i r="1">
      <x v="705"/>
    </i>
    <i r="1">
      <x v="706"/>
    </i>
    <i r="1">
      <x v="707"/>
    </i>
    <i r="1">
      <x v="708"/>
    </i>
    <i r="1">
      <x v="709"/>
    </i>
    <i t="grand">
      <x/>
    </i>
  </rowItems>
  <colFields count="1">
    <field x="-2"/>
  </colFields>
  <colItems count="7">
    <i>
      <x/>
    </i>
    <i i="1">
      <x v="1"/>
    </i>
    <i i="2">
      <x v="2"/>
    </i>
    <i i="3">
      <x v="3"/>
    </i>
    <i i="4">
      <x v="4"/>
    </i>
    <i i="5">
      <x v="5"/>
    </i>
    <i i="6">
      <x v="6"/>
    </i>
  </colItems>
  <dataFields count="7">
    <dataField name="Somme de 2022" fld="4" baseField="2" baseItem="525"/>
    <dataField name="Somme de 2023" fld="5" baseField="2" baseItem="525"/>
    <dataField name="Somme de 2024" fld="6" baseField="2" baseItem="525"/>
    <dataField name="Somme de 2025" fld="7" baseField="2" baseItem="525"/>
    <dataField name="Somme de 2026" fld="8" baseField="2" baseItem="525"/>
    <dataField name="Somme de 2027" fld="9" baseField="2" baseItem="525"/>
    <dataField name="Somme de Total" fld="10" baseField="0" baseItem="0" numFmtId="170"/>
  </dataFields>
  <formats count="1">
    <format dxfId="36">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Partie_prenante" displayName="Partie_prenante" ref="C16:D73" totalsRowShown="0" headerRowDxfId="10" dataDxfId="8" headerRowBorderDxfId="9" tableBorderDxfId="7">
  <autoFilter ref="C16:D73" xr:uid="{00000000-0009-0000-0100-000002000000}"/>
  <tableColumns count="2">
    <tableColumn id="3" xr3:uid="{00000000-0010-0000-0000-000003000000}" name="Nom. Prénom" dataDxfId="6">
      <calculatedColumnFormula>A17&amp;". "&amp;LEFT(B17,1)</calculatedColumnFormula>
    </tableColumn>
    <tableColumn id="4" xr3:uid="{00000000-0010-0000-0000-000004000000}" name="Organisme" dataDxfId="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au1" displayName="Tableau1" ref="H1:H9" totalsRowShown="0" headerRowDxfId="1" headerRowCellStyle="Normal" dataCellStyle="Normal">
  <autoFilter ref="H1:H9" xr:uid="{00000000-0009-0000-0100-000001000000}"/>
  <tableColumns count="1">
    <tableColumn id="1" xr3:uid="{00000000-0010-0000-0100-000001000000}" name="Flag Axe " dataDxfId="0" dataCellStyle="Normal"/>
  </tableColumns>
  <tableStyleInfo showFirstColumn="0" showLastColumn="0" showRowStripes="1" showColumnStripes="0"/>
</table>
</file>

<file path=xl/theme/theme1.xml><?xml version="1.0" encoding="utf-8"?>
<a:theme xmlns:a="http://schemas.openxmlformats.org/drawingml/2006/main" name="Thème Office">
  <a:themeElements>
    <a:clrScheme name="BE 2">
      <a:dk1>
        <a:srgbClr val="1B2838"/>
      </a:dk1>
      <a:lt1>
        <a:sysClr val="window" lastClr="FFFFFF"/>
      </a:lt1>
      <a:dk2>
        <a:srgbClr val="9C9B9C"/>
      </a:dk2>
      <a:lt2>
        <a:srgbClr val="E7E6E6"/>
      </a:lt2>
      <a:accent1>
        <a:srgbClr val="00789C"/>
      </a:accent1>
      <a:accent2>
        <a:srgbClr val="B94802"/>
      </a:accent2>
      <a:accent3>
        <a:srgbClr val="096077"/>
      </a:accent3>
      <a:accent4>
        <a:srgbClr val="007268"/>
      </a:accent4>
      <a:accent5>
        <a:srgbClr val="A71464"/>
      </a:accent5>
      <a:accent6>
        <a:srgbClr val="75B626"/>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hyperlink" Target="mailto:lsomme@environnement.brussels" TargetMode="External"/><Relationship Id="rId2" Type="http://schemas.openxmlformats.org/officeDocument/2006/relationships/hyperlink" Target="mailto:cdenecker@environnement.brussels" TargetMode="External"/><Relationship Id="rId1" Type="http://schemas.openxmlformats.org/officeDocument/2006/relationships/hyperlink" Target="mailto:mirjam.vanbelle@bpv.brussels" TargetMode="External"/><Relationship Id="rId5" Type="http://schemas.openxmlformats.org/officeDocument/2006/relationships/table" Target="../tables/table1.xml"/><Relationship Id="rId4"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pfragapane/AppData/Roaming/Chapitre%206%20-%20Programme%20de%20mesures/PDM_FICHE_FINA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9"/>
  <dimension ref="B2:D22"/>
  <sheetViews>
    <sheetView showGridLines="0" topLeftCell="A7" workbookViewId="0">
      <selection activeCell="C24" sqref="C24"/>
    </sheetView>
  </sheetViews>
  <sheetFormatPr baseColWidth="10" defaultColWidth="10.85546875" defaultRowHeight="15" x14ac:dyDescent="0.25"/>
  <cols>
    <col min="1" max="1" width="19.85546875" customWidth="1"/>
    <col min="3" max="3" width="26" bestFit="1" customWidth="1"/>
    <col min="4" max="4" width="108.42578125" customWidth="1"/>
  </cols>
  <sheetData>
    <row r="2" spans="2:4" ht="23.25" x14ac:dyDescent="0.35">
      <c r="B2" s="323" t="s">
        <v>1656</v>
      </c>
    </row>
    <row r="3" spans="2:4" x14ac:dyDescent="0.25">
      <c r="B3" s="309" t="s">
        <v>1659</v>
      </c>
      <c r="C3" s="309" t="s">
        <v>1657</v>
      </c>
      <c r="D3" s="310" t="s">
        <v>29</v>
      </c>
    </row>
    <row r="4" spans="2:4" ht="25.5" x14ac:dyDescent="0.25">
      <c r="B4" s="311" t="s">
        <v>1660</v>
      </c>
      <c r="C4" s="312" t="s">
        <v>1658</v>
      </c>
      <c r="D4" s="313" t="s">
        <v>1668</v>
      </c>
    </row>
    <row r="5" spans="2:4" ht="38.25" x14ac:dyDescent="0.25">
      <c r="B5" s="311" t="s">
        <v>1661</v>
      </c>
      <c r="C5" s="312" t="s">
        <v>1669</v>
      </c>
      <c r="D5" s="313" t="s">
        <v>1670</v>
      </c>
    </row>
    <row r="6" spans="2:4" ht="25.5" x14ac:dyDescent="0.25">
      <c r="B6" s="311" t="s">
        <v>1662</v>
      </c>
      <c r="C6" s="312" t="s">
        <v>3039</v>
      </c>
      <c r="D6" s="313" t="s">
        <v>2537</v>
      </c>
    </row>
    <row r="7" spans="2:4" ht="25.5" x14ac:dyDescent="0.25">
      <c r="B7" s="311" t="s">
        <v>1663</v>
      </c>
      <c r="C7" s="312" t="s">
        <v>2538</v>
      </c>
      <c r="D7" s="313" t="s">
        <v>2539</v>
      </c>
    </row>
    <row r="8" spans="2:4" x14ac:dyDescent="0.25">
      <c r="B8" s="311" t="s">
        <v>1664</v>
      </c>
      <c r="C8" s="312" t="s">
        <v>2540</v>
      </c>
      <c r="D8" s="313" t="s">
        <v>2548</v>
      </c>
    </row>
    <row r="9" spans="2:4" x14ac:dyDescent="0.25">
      <c r="B9" s="311" t="s">
        <v>1665</v>
      </c>
      <c r="C9" s="312" t="s">
        <v>2541</v>
      </c>
      <c r="D9" s="313" t="s">
        <v>2549</v>
      </c>
    </row>
    <row r="10" spans="2:4" x14ac:dyDescent="0.25">
      <c r="B10" s="311" t="s">
        <v>1666</v>
      </c>
      <c r="C10" s="312" t="s">
        <v>2542</v>
      </c>
      <c r="D10" s="313" t="s">
        <v>2550</v>
      </c>
    </row>
    <row r="11" spans="2:4" x14ac:dyDescent="0.25">
      <c r="B11" s="311" t="s">
        <v>1667</v>
      </c>
      <c r="C11" s="312" t="s">
        <v>2543</v>
      </c>
      <c r="D11" s="313" t="s">
        <v>2551</v>
      </c>
    </row>
    <row r="12" spans="2:4" x14ac:dyDescent="0.25">
      <c r="B12" s="311" t="s">
        <v>2546</v>
      </c>
      <c r="C12" s="312" t="s">
        <v>2544</v>
      </c>
      <c r="D12" s="313" t="s">
        <v>2552</v>
      </c>
    </row>
    <row r="13" spans="2:4" x14ac:dyDescent="0.25">
      <c r="B13" s="311" t="s">
        <v>2547</v>
      </c>
      <c r="C13" s="312" t="s">
        <v>2545</v>
      </c>
      <c r="D13" s="313" t="s">
        <v>2553</v>
      </c>
    </row>
    <row r="14" spans="2:4" x14ac:dyDescent="0.25">
      <c r="B14" s="314" t="s">
        <v>2554</v>
      </c>
      <c r="C14" s="318"/>
      <c r="D14" s="319"/>
    </row>
    <row r="15" spans="2:4" ht="25.5" x14ac:dyDescent="0.25">
      <c r="B15" s="311" t="s">
        <v>2556</v>
      </c>
      <c r="C15" s="312" t="s">
        <v>2555</v>
      </c>
      <c r="D15" s="313" t="s">
        <v>3003</v>
      </c>
    </row>
    <row r="16" spans="2:4" x14ac:dyDescent="0.25">
      <c r="B16" s="311" t="s">
        <v>2560</v>
      </c>
      <c r="C16" s="312" t="s">
        <v>2557</v>
      </c>
      <c r="D16" s="313" t="s">
        <v>2558</v>
      </c>
    </row>
    <row r="17" spans="2:4" x14ac:dyDescent="0.25">
      <c r="B17" s="315" t="s">
        <v>2561</v>
      </c>
      <c r="C17" s="316" t="s">
        <v>1732</v>
      </c>
      <c r="D17" s="317" t="s">
        <v>2559</v>
      </c>
    </row>
    <row r="18" spans="2:4" ht="38.25" x14ac:dyDescent="0.25">
      <c r="B18" s="322" t="s">
        <v>2562</v>
      </c>
      <c r="C18" s="320" t="s">
        <v>2565</v>
      </c>
      <c r="D18" s="321" t="s">
        <v>2566</v>
      </c>
    </row>
    <row r="19" spans="2:4" ht="25.5" x14ac:dyDescent="0.25">
      <c r="B19" s="322" t="s">
        <v>2563</v>
      </c>
      <c r="C19" s="320" t="s">
        <v>2567</v>
      </c>
      <c r="D19" s="321" t="s">
        <v>2568</v>
      </c>
    </row>
    <row r="20" spans="2:4" x14ac:dyDescent="0.25">
      <c r="B20" s="322" t="s">
        <v>2564</v>
      </c>
      <c r="C20" s="320" t="s">
        <v>2569</v>
      </c>
      <c r="D20" s="321" t="s">
        <v>2570</v>
      </c>
    </row>
    <row r="21" spans="2:4" x14ac:dyDescent="0.25">
      <c r="C21" s="243"/>
      <c r="D21" s="244"/>
    </row>
    <row r="22" spans="2:4" x14ac:dyDescent="0.25">
      <c r="C22" s="243"/>
      <c r="D22" s="244"/>
    </row>
  </sheetData>
  <hyperlinks>
    <hyperlink ref="B4" location="'1. Mesures'!A1" display="1." xr:uid="{00000000-0004-0000-0000-000000000000}"/>
    <hyperlink ref="B5" location="'2. Mesures_Budget_Eff_tot'!A1" display="2." xr:uid="{00000000-0004-0000-0000-000001000000}"/>
    <hyperlink ref="B6" location="'3. Budget Pivot'!A1" display="3." xr:uid="{00000000-0004-0000-0000-000002000000}"/>
    <hyperlink ref="B7" location="'4. Mesures_ACE_Budget'!A1" display="4." xr:uid="{00000000-0004-0000-0000-000003000000}"/>
    <hyperlink ref="B8" location="'4.1 ACE EFF SEN'!A1" display="4.1" xr:uid="{00000000-0004-0000-0000-000004000000}"/>
    <hyperlink ref="B9" location="'4.2 ACE EFF WOL'!A1" display="4.2" xr:uid="{00000000-0004-0000-0000-000005000000}"/>
    <hyperlink ref="B10" location="'4.3 ACE EFF CAN'!A1" display="4.3" xr:uid="{00000000-0004-0000-0000-000006000000}"/>
    <hyperlink ref="B11" location="'4.4 ACE MAX SEN '!A1" display="4.4" xr:uid="{00000000-0004-0000-0000-000007000000}"/>
    <hyperlink ref="B12" location="'4.5 ACE MAX WOL '!A1" display="4.5" xr:uid="{00000000-0004-0000-0000-000008000000}"/>
    <hyperlink ref="B13" location="'4.6 ACE MAX CAN '!A1" display="4.6" xr:uid="{00000000-0004-0000-0000-000009000000}"/>
    <hyperlink ref="B15" location="'5. Consolidation'!A1" display="5." xr:uid="{00000000-0004-0000-0000-00000A000000}"/>
    <hyperlink ref="B16" location="'5.1 Budget'!A1" display="5.1" xr:uid="{00000000-0004-0000-0000-00000B000000}"/>
    <hyperlink ref="B17" location="'5.2 Actions'!A1" display="5.2" xr:uid="{00000000-0004-0000-0000-00000C000000}"/>
    <hyperlink ref="B18" location="'6. Mesures_ Budget_ Maximaliste'!A1" display="6." xr:uid="{00000000-0004-0000-0000-00000D000000}"/>
    <hyperlink ref="B19" location="'7. PGE_Efficacité'!A1" display="7." xr:uid="{00000000-0004-0000-0000-00000E000000}"/>
    <hyperlink ref="B20" location="'8. Hiérarchie'!A1" display="8." xr:uid="{00000000-0004-0000-0000-00000F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theme="5"/>
    <outlinePr summaryBelow="0"/>
  </sheetPr>
  <dimension ref="A1:AN153"/>
  <sheetViews>
    <sheetView showGridLines="0" topLeftCell="D1" zoomScale="70" zoomScaleNormal="70" workbookViewId="0">
      <selection activeCell="J7" sqref="J7"/>
    </sheetView>
  </sheetViews>
  <sheetFormatPr baseColWidth="10" defaultColWidth="10.85546875" defaultRowHeight="15" outlineLevelRow="2" x14ac:dyDescent="0.25"/>
  <cols>
    <col min="1" max="1" width="2" hidden="1" customWidth="1"/>
    <col min="2" max="3" width="3" hidden="1" customWidth="1"/>
    <col min="6" max="6" width="93.85546875" customWidth="1"/>
    <col min="8" max="8" width="16.140625" bestFit="1" customWidth="1"/>
    <col min="9" max="9" width="17.85546875" style="7" bestFit="1" customWidth="1"/>
    <col min="10" max="10" width="9.42578125" customWidth="1"/>
    <col min="11" max="14" width="5.140625" bestFit="1" customWidth="1"/>
    <col min="15" max="15" width="11.85546875" customWidth="1"/>
    <col min="16" max="17" width="5.140625" bestFit="1" customWidth="1"/>
    <col min="18" max="18" width="9.85546875" customWidth="1"/>
    <col min="19" max="19" width="5.140625" bestFit="1" customWidth="1"/>
    <col min="20" max="20" width="9.140625" customWidth="1"/>
    <col min="21" max="25" width="5.140625" bestFit="1" customWidth="1"/>
    <col min="26" max="26" width="9.42578125" customWidth="1"/>
    <col min="27" max="32" width="5.140625" bestFit="1" customWidth="1"/>
    <col min="35" max="35" width="9.85546875" customWidth="1"/>
    <col min="36" max="36" width="8.5703125" customWidth="1"/>
    <col min="37" max="37" width="7.140625" customWidth="1"/>
    <col min="38" max="38" width="9.85546875" customWidth="1"/>
    <col min="39" max="39" width="8.42578125" customWidth="1"/>
    <col min="40" max="40" width="8.85546875" customWidth="1"/>
  </cols>
  <sheetData>
    <row r="1" spans="1:40" ht="15.75" x14ac:dyDescent="0.25">
      <c r="J1" s="124" t="s">
        <v>499</v>
      </c>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3"/>
    </row>
    <row r="2" spans="1:40" x14ac:dyDescent="0.25">
      <c r="J2" s="579" t="s">
        <v>2594</v>
      </c>
      <c r="K2" s="579"/>
      <c r="L2" s="579"/>
      <c r="M2" s="579"/>
      <c r="N2" s="579"/>
      <c r="O2" s="579"/>
      <c r="P2" s="579"/>
      <c r="Q2" s="579"/>
      <c r="R2" s="579"/>
      <c r="S2" s="579"/>
      <c r="T2" s="579"/>
      <c r="U2" s="579"/>
      <c r="V2" s="579"/>
      <c r="W2" s="579"/>
      <c r="X2" s="579"/>
      <c r="Y2" s="579"/>
      <c r="Z2" s="578"/>
      <c r="AA2" s="578"/>
      <c r="AB2" s="578"/>
      <c r="AC2" s="578"/>
      <c r="AD2" s="578"/>
      <c r="AE2" s="578"/>
      <c r="AF2" s="578"/>
      <c r="AG2" s="578"/>
      <c r="AH2" s="578"/>
      <c r="AI2" s="578"/>
      <c r="AJ2" s="578"/>
      <c r="AK2" s="578"/>
      <c r="AL2" s="578"/>
      <c r="AM2" s="578"/>
      <c r="AN2" s="578"/>
    </row>
    <row r="3" spans="1:40" ht="52.5" customHeight="1" x14ac:dyDescent="0.25">
      <c r="J3" s="581" t="s">
        <v>1540</v>
      </c>
      <c r="K3" s="581"/>
      <c r="L3" s="581"/>
      <c r="M3" s="581"/>
      <c r="N3" s="581"/>
      <c r="O3" s="376" t="s">
        <v>1541</v>
      </c>
      <c r="P3" s="581" t="s">
        <v>2595</v>
      </c>
      <c r="Q3" s="581"/>
      <c r="R3" s="125"/>
      <c r="S3" s="125" t="s">
        <v>1543</v>
      </c>
      <c r="T3" s="125"/>
      <c r="U3" s="607" t="s">
        <v>2593</v>
      </c>
      <c r="V3" s="608"/>
      <c r="W3" s="608"/>
      <c r="X3" s="608"/>
      <c r="Y3" s="608"/>
      <c r="Z3" s="580" t="s">
        <v>1537</v>
      </c>
      <c r="AA3" s="580"/>
      <c r="AB3" s="580"/>
      <c r="AC3" s="580"/>
      <c r="AD3" s="580"/>
      <c r="AE3" s="580"/>
      <c r="AF3" s="580"/>
      <c r="AG3" s="580" t="s">
        <v>1538</v>
      </c>
      <c r="AH3" s="580"/>
      <c r="AI3" s="580"/>
      <c r="AJ3" s="580" t="s">
        <v>1539</v>
      </c>
      <c r="AK3" s="580"/>
      <c r="AL3" s="580"/>
      <c r="AM3" s="580"/>
      <c r="AN3" s="580"/>
    </row>
    <row r="4" spans="1:40" ht="177" customHeight="1" x14ac:dyDescent="0.25">
      <c r="A4" t="s">
        <v>30</v>
      </c>
      <c r="B4" t="s">
        <v>1610</v>
      </c>
      <c r="C4" t="s">
        <v>1532</v>
      </c>
      <c r="J4" s="129" t="s">
        <v>1545</v>
      </c>
      <c r="K4" s="129" t="s">
        <v>1546</v>
      </c>
      <c r="L4" s="130" t="s">
        <v>1547</v>
      </c>
      <c r="M4" s="131" t="s">
        <v>1548</v>
      </c>
      <c r="N4" s="131" t="s">
        <v>1549</v>
      </c>
      <c r="O4" s="132" t="s">
        <v>1612</v>
      </c>
      <c r="P4" s="130" t="s">
        <v>1550</v>
      </c>
      <c r="Q4" s="130" t="s">
        <v>1551</v>
      </c>
      <c r="R4" s="377" t="s">
        <v>1552</v>
      </c>
      <c r="S4" s="130" t="s">
        <v>1553</v>
      </c>
      <c r="T4" s="130" t="s">
        <v>1554</v>
      </c>
      <c r="U4" s="130" t="s">
        <v>1555</v>
      </c>
      <c r="V4" s="131" t="s">
        <v>1556</v>
      </c>
      <c r="W4" s="131" t="s">
        <v>1557</v>
      </c>
      <c r="X4" s="130" t="s">
        <v>1558</v>
      </c>
      <c r="Y4" s="130" t="s">
        <v>1559</v>
      </c>
      <c r="Z4" s="378" t="s">
        <v>1560</v>
      </c>
      <c r="AA4" s="129" t="s">
        <v>1561</v>
      </c>
      <c r="AB4" s="129" t="s">
        <v>1562</v>
      </c>
      <c r="AC4" s="129" t="s">
        <v>1563</v>
      </c>
      <c r="AD4" s="129" t="s">
        <v>1564</v>
      </c>
      <c r="AE4" s="131" t="s">
        <v>1565</v>
      </c>
      <c r="AF4" s="130" t="s">
        <v>1566</v>
      </c>
      <c r="AG4" s="131" t="s">
        <v>1567</v>
      </c>
      <c r="AH4" s="131" t="s">
        <v>1568</v>
      </c>
      <c r="AI4" s="130" t="s">
        <v>1569</v>
      </c>
      <c r="AJ4" s="130" t="s">
        <v>514</v>
      </c>
      <c r="AK4" s="131" t="s">
        <v>1570</v>
      </c>
      <c r="AL4" s="130" t="s">
        <v>1571</v>
      </c>
      <c r="AM4" s="131" t="s">
        <v>1572</v>
      </c>
      <c r="AN4" s="131" t="s">
        <v>1573</v>
      </c>
    </row>
    <row r="5" spans="1:40" ht="29.25" x14ac:dyDescent="0.25">
      <c r="A5" s="48"/>
      <c r="B5" s="49"/>
      <c r="C5" s="48"/>
      <c r="D5" s="126" t="s">
        <v>412</v>
      </c>
      <c r="E5" s="126" t="s">
        <v>413</v>
      </c>
      <c r="F5" s="126" t="s">
        <v>1519</v>
      </c>
      <c r="G5" s="127" t="s">
        <v>1500</v>
      </c>
      <c r="H5" s="128" t="s">
        <v>1501</v>
      </c>
      <c r="I5" s="239" t="s">
        <v>1653</v>
      </c>
      <c r="J5" s="192">
        <f>MATCH(J4,[1]PGE_Efficacité!$A$4:$CY$4,0)</f>
        <v>11</v>
      </c>
      <c r="K5" s="192">
        <f>MATCH(K4,[1]PGE_Efficacité!$A$4:$CY$4,0)</f>
        <v>12</v>
      </c>
      <c r="L5" s="192">
        <f>MATCH(L4,[1]PGE_Efficacité!$A$4:$CY$4,0)</f>
        <v>13</v>
      </c>
      <c r="M5" s="192">
        <f>MATCH(M4,[1]PGE_Efficacité!$A$4:$CY$4,0)</f>
        <v>14</v>
      </c>
      <c r="N5" s="192">
        <f>MATCH(N4,[1]PGE_Efficacité!$A$4:$CY$4,0)</f>
        <v>15</v>
      </c>
      <c r="O5" s="192">
        <v>16</v>
      </c>
      <c r="P5" s="192">
        <f>MATCH(P4,[1]PGE_Efficacité!$A$4:$CY$4,0)</f>
        <v>17</v>
      </c>
      <c r="Q5" s="192">
        <f>MATCH(Q4,[1]PGE_Efficacité!$A$4:$CY$4,0)</f>
        <v>18</v>
      </c>
      <c r="R5" s="192">
        <f>MATCH(R4,[1]PGE_Efficacité!$A$4:$CY$4,0)</f>
        <v>19</v>
      </c>
      <c r="S5" s="192">
        <f>MATCH(S4,[1]PGE_Efficacité!$A$4:$CY$4,0)</f>
        <v>20</v>
      </c>
      <c r="T5" s="192">
        <f>MATCH(T4,[1]PGE_Efficacité!$A$4:$CY$4,0)</f>
        <v>21</v>
      </c>
      <c r="U5" s="192">
        <f>MATCH(U4,[1]PGE_Efficacité!$A$4:$CY$4,0)</f>
        <v>22</v>
      </c>
      <c r="V5" s="192">
        <f>MATCH(V4,[1]PGE_Efficacité!$A$4:$CY$4,0)</f>
        <v>23</v>
      </c>
      <c r="W5" s="192">
        <f>MATCH(W4,[1]PGE_Efficacité!$A$4:$CY$4,0)</f>
        <v>24</v>
      </c>
      <c r="X5" s="192">
        <f>MATCH(X4,[1]PGE_Efficacité!$A$4:$CY$4,0)</f>
        <v>25</v>
      </c>
      <c r="Y5" s="192">
        <f>MATCH(Y4,[1]PGE_Efficacité!$A$4:$CY$4,0)</f>
        <v>26</v>
      </c>
      <c r="Z5" s="192">
        <f>MATCH(Z4,[1]PGE_Efficacité!$A$4:$CY$4,0)</f>
        <v>27</v>
      </c>
      <c r="AA5" s="192">
        <f>MATCH(AA4,[1]PGE_Efficacité!$A$4:$CY$4,0)</f>
        <v>28</v>
      </c>
      <c r="AB5" s="192">
        <f>MATCH(AB4,[1]PGE_Efficacité!$A$4:$CY$4,0)</f>
        <v>29</v>
      </c>
      <c r="AC5" s="192">
        <f>MATCH(AC4,[1]PGE_Efficacité!$A$4:$CY$4,0)</f>
        <v>30</v>
      </c>
      <c r="AD5" s="192">
        <f>MATCH(AD4,[1]PGE_Efficacité!$A$4:$CY$4,0)</f>
        <v>31</v>
      </c>
      <c r="AE5" s="192">
        <f>MATCH(AE4,[1]PGE_Efficacité!$A$4:$CY$4,0)</f>
        <v>32</v>
      </c>
      <c r="AF5" s="192">
        <f>MATCH(AF4,[1]PGE_Efficacité!$A$4:$CY$4,0)</f>
        <v>33</v>
      </c>
      <c r="AG5" s="192">
        <f>MATCH(AG4,[1]PGE_Efficacité!$A$4:$CY$4,0)</f>
        <v>34</v>
      </c>
      <c r="AH5" s="192">
        <f>MATCH(AH4,[1]PGE_Efficacité!$A$4:$CY$4,0)</f>
        <v>35</v>
      </c>
      <c r="AI5" s="192">
        <f>MATCH(AI4,[1]PGE_Efficacité!$A$4:$CY$4,0)</f>
        <v>36</v>
      </c>
      <c r="AJ5" s="192">
        <f>MATCH(AJ4,[1]PGE_Efficacité!$A$4:$CY$4,0)</f>
        <v>37</v>
      </c>
      <c r="AK5" s="192">
        <f>MATCH(AK4,[1]PGE_Efficacité!$A$4:$CY$4,0)</f>
        <v>38</v>
      </c>
      <c r="AL5" s="192">
        <f>MATCH(AL4,[1]PGE_Efficacité!$A$4:$CY$4,0)</f>
        <v>39</v>
      </c>
      <c r="AM5" s="192">
        <f>MATCH(AM4,[1]PGE_Efficacité!$A$4:$CY$4,0)</f>
        <v>40</v>
      </c>
      <c r="AN5" s="192">
        <f>MATCH(AN4,[1]PGE_Efficacité!$A$4:$CY$4,0)</f>
        <v>41</v>
      </c>
    </row>
    <row r="6" spans="1:40" x14ac:dyDescent="0.25">
      <c r="A6" s="48"/>
      <c r="B6" s="49"/>
      <c r="C6" s="48"/>
      <c r="D6" s="189" t="s">
        <v>411</v>
      </c>
      <c r="E6" s="190"/>
      <c r="F6" s="190"/>
      <c r="G6" s="191"/>
      <c r="H6" s="190"/>
      <c r="I6" s="21">
        <f>SUM(I7:I150)</f>
        <v>603661545.49449217</v>
      </c>
      <c r="J6" s="231"/>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3"/>
    </row>
    <row r="7" spans="1:40" outlineLevel="1" collapsed="1" x14ac:dyDescent="0.25">
      <c r="A7" s="48"/>
      <c r="B7" s="49"/>
      <c r="C7" s="48"/>
      <c r="D7" s="194" t="s">
        <v>0</v>
      </c>
      <c r="E7" s="195"/>
      <c r="F7" s="196" t="str">
        <f>VLOOKUP(D7,'1. Mesures'!$A$2:$B$116,2,0)</f>
        <v xml:space="preserve">Remettre à ciel ouvert le réseau hydrographique  </v>
      </c>
      <c r="G7" s="197"/>
      <c r="H7" s="195"/>
      <c r="I7" s="198">
        <f>MEDIAN(VLOOKUP(D7,'4. Mesures_ACE_Budget'!$A$3:$N$32,13,0),(VLOOKUP(D7,'4. Mesures_ACE_Budget'!$A$3:$N$32,14,0)))</f>
        <v>140600000</v>
      </c>
      <c r="J7" s="234">
        <f>VLOOKUP($D7,'7. PGE_Efficacité'!$A$6:$CY$266,(MATCH('4.5 ACE MAX WOL '!J$4,'7. PGE_Efficacité'!$A$4:$AO$4,0)+62),0)</f>
        <v>0</v>
      </c>
      <c r="K7" s="234">
        <f>VLOOKUP($D7,'7. PGE_Efficacité'!$A$6:$CY$266,(MATCH('4.5 ACE MAX WOL '!K$4,'7. PGE_Efficacité'!$A$4:$AO$4,0)+62),0)</f>
        <v>0</v>
      </c>
      <c r="L7" s="234">
        <f>VLOOKUP($D7,'7. PGE_Efficacité'!$A$6:$CY$266,(MATCH('4.5 ACE MAX WOL '!L$4,'7. PGE_Efficacité'!$A$4:$AO$4,0)+62),0)</f>
        <v>0</v>
      </c>
      <c r="M7" s="234">
        <f>VLOOKUP($D7,'7. PGE_Efficacité'!$A$6:$CY$266,(MATCH('4.5 ACE MAX WOL '!M$4,'7. PGE_Efficacité'!$A$4:$AO$4,0)+62),0)</f>
        <v>0</v>
      </c>
      <c r="N7" s="234">
        <f>VLOOKUP($D7,'7. PGE_Efficacité'!$A$6:$CY$266,(MATCH('4.5 ACE MAX WOL '!N$4,'7. PGE_Efficacité'!$A$4:$AO$4,0)+62),0)</f>
        <v>0</v>
      </c>
      <c r="O7" s="234">
        <f>VLOOKUP($D7,'7. PGE_Efficacité'!$A$6:$CY$266,78,0)</f>
        <v>0</v>
      </c>
      <c r="P7" s="234">
        <f>VLOOKUP($D7,'7. PGE_Efficacité'!$A$6:$CY$266,(MATCH('4.5 ACE MAX WOL '!P$4,'7. PGE_Efficacité'!$A$4:$AO$4,0)+62),0)</f>
        <v>0</v>
      </c>
      <c r="Q7" s="234">
        <f>VLOOKUP($D7,'7. PGE_Efficacité'!$A$6:$CY$266,(MATCH('4.5 ACE MAX WOL '!Q$4,'7. PGE_Efficacité'!$A$4:$AO$4,0)+62),0)</f>
        <v>0</v>
      </c>
      <c r="R7" s="234">
        <f>VLOOKUP($D7,'7. PGE_Efficacité'!$A$6:$CY$266,(MATCH('4.5 ACE MAX WOL '!R$4,'7. PGE_Efficacité'!$A$4:$AO$4,0)+62),0)</f>
        <v>0</v>
      </c>
      <c r="S7" s="234">
        <f>VLOOKUP($D7,'7. PGE_Efficacité'!$A$6:$CY$266,(MATCH('4.5 ACE MAX WOL '!S$4,'7. PGE_Efficacité'!$A$4:$AO$4,0)+62),0)</f>
        <v>0</v>
      </c>
      <c r="T7" s="234">
        <f>VLOOKUP($D7,'7. PGE_Efficacité'!$A$6:$CY$266,(MATCH('4.5 ACE MAX WOL '!T$4,'7. PGE_Efficacité'!$A$4:$AO$4,0)+62),0)</f>
        <v>0</v>
      </c>
      <c r="U7" s="234">
        <f>VLOOKUP($D7,'7. PGE_Efficacité'!$A$6:$CY$266,(MATCH('4.5 ACE MAX WOL '!U$4,'7. PGE_Efficacité'!$A$4:$AO$4,0)+62),0)</f>
        <v>0</v>
      </c>
      <c r="V7" s="234">
        <f>VLOOKUP($D7,'7. PGE_Efficacité'!$A$6:$CY$266,(MATCH('4.5 ACE MAX WOL '!V$4,'7. PGE_Efficacité'!$A$4:$AO$4,0)+62),0)</f>
        <v>0</v>
      </c>
      <c r="W7" s="234">
        <f>VLOOKUP($D7,'7. PGE_Efficacité'!$A$6:$CY$266,(MATCH('4.5 ACE MAX WOL '!W$4,'7. PGE_Efficacité'!$A$4:$AO$4,0)+62),0)</f>
        <v>0</v>
      </c>
      <c r="X7" s="234">
        <f>VLOOKUP($D7,'7. PGE_Efficacité'!$A$6:$CY$266,(MATCH('4.5 ACE MAX WOL '!X$4,'7. PGE_Efficacité'!$A$4:$AO$4,0)+62),0)</f>
        <v>0</v>
      </c>
      <c r="Y7" s="234">
        <f>VLOOKUP($D7,'7. PGE_Efficacité'!$A$6:$CY$266,(MATCH('4.5 ACE MAX WOL '!Y$4,'7. PGE_Efficacité'!$A$4:$AO$4,0)+62),0)</f>
        <v>0</v>
      </c>
      <c r="Z7" s="234">
        <f>VLOOKUP($D7,'7. PGE_Efficacité'!$A$6:$CY$266,(MATCH('4.5 ACE MAX WOL '!Z$4,'7. PGE_Efficacité'!$A$4:$AO$4,0)+62),0)</f>
        <v>0</v>
      </c>
      <c r="AA7" s="234">
        <f>VLOOKUP($D7,'7. PGE_Efficacité'!$A$6:$CY$266,(MATCH('4.5 ACE MAX WOL '!AA$4,'7. PGE_Efficacité'!$A$4:$AO$4,0)+62),0)</f>
        <v>0</v>
      </c>
      <c r="AB7" s="234">
        <f>VLOOKUP($D7,'7. PGE_Efficacité'!$A$6:$CY$266,(MATCH('4.5 ACE MAX WOL '!AB$4,'7. PGE_Efficacité'!$A$4:$AO$4,0)+62),0)</f>
        <v>0</v>
      </c>
      <c r="AC7" s="234">
        <f>VLOOKUP($D7,'7. PGE_Efficacité'!$A$6:$CY$266,(MATCH('4.5 ACE MAX WOL '!AC$4,'7. PGE_Efficacité'!$A$4:$AO$4,0)+62),0)</f>
        <v>0</v>
      </c>
      <c r="AD7" s="234">
        <f>VLOOKUP($D7,'7. PGE_Efficacité'!$A$6:$CY$266,(MATCH('4.5 ACE MAX WOL '!AD$4,'7. PGE_Efficacité'!$A$4:$AO$4,0)+62),0)</f>
        <v>0</v>
      </c>
      <c r="AE7" s="234" t="str">
        <f>VLOOKUP($D7,'7. PGE_Efficacité'!$A$6:$CY$266,(MATCH('4.5 ACE MAX WOL '!AE$4,'7. PGE_Efficacité'!$A$4:$AO$4,0)+62),0)</f>
        <v>+</v>
      </c>
      <c r="AF7" s="234">
        <f>VLOOKUP($D7,'7. PGE_Efficacité'!$A$6:$CY$266,(MATCH('4.5 ACE MAX WOL '!AF$4,'7. PGE_Efficacité'!$A$4:$AO$4,0)+62),0)</f>
        <v>0</v>
      </c>
      <c r="AG7" s="234" t="str">
        <f>VLOOKUP($D7,'7. PGE_Efficacité'!$A$6:$CY$266,(MATCH('4.5 ACE MAX WOL '!AG$4,'7. PGE_Efficacité'!$A$4:$AO$4,0)+62),0)</f>
        <v>+++</v>
      </c>
      <c r="AH7" s="234" t="str">
        <f>VLOOKUP($D7,'7. PGE_Efficacité'!$A$6:$CY$266,(MATCH('4.5 ACE MAX WOL '!AH$4,'7. PGE_Efficacité'!$A$4:$AO$4,0)+62),0)</f>
        <v>+++</v>
      </c>
      <c r="AI7" s="234">
        <f>VLOOKUP($D7,'7. PGE_Efficacité'!$A$6:$CY$266,(MATCH('4.5 ACE MAX WOL '!AI$4,'7. PGE_Efficacité'!$A$4:$AO$4,0)+62),0)</f>
        <v>0</v>
      </c>
      <c r="AJ7" s="234">
        <f>VLOOKUP($D7,'7. PGE_Efficacité'!$A$6:$CY$266,(MATCH('4.5 ACE MAX WOL '!AJ$4,'7. PGE_Efficacité'!$A$4:$AO$4,0)+62),0)</f>
        <v>0</v>
      </c>
      <c r="AK7" s="234" t="str">
        <f>VLOOKUP($D7,'7. PGE_Efficacité'!$A$6:$CY$266,(MATCH('4.5 ACE MAX WOL '!AK$4,'7. PGE_Efficacité'!$A$4:$AO$4,0)+62),0)</f>
        <v>++</v>
      </c>
      <c r="AL7" s="234">
        <f>VLOOKUP($D7,'7. PGE_Efficacité'!$A$6:$CY$266,(MATCH('4.5 ACE MAX WOL '!AL$4,'7. PGE_Efficacité'!$A$4:$AO$4,0)+62),0)</f>
        <v>0</v>
      </c>
      <c r="AM7" s="234" t="str">
        <f>VLOOKUP($D7,'7. PGE_Efficacité'!$A$6:$CY$266,(MATCH('4.5 ACE MAX WOL '!AM$4,'7. PGE_Efficacité'!$A$4:$AO$4,0)+62),0)</f>
        <v>+++</v>
      </c>
      <c r="AN7" s="234" t="str">
        <f>VLOOKUP($D7,'7. PGE_Efficacité'!$A$6:$CY$266,(MATCH('4.5 ACE MAX WOL '!AN$4,'7. PGE_Efficacité'!$A$4:$AO$4,0)+62),0)</f>
        <v>+++</v>
      </c>
    </row>
    <row r="8" spans="1:40" hidden="1" outlineLevel="2" x14ac:dyDescent="0.25">
      <c r="A8" s="48" t="s">
        <v>1524</v>
      </c>
      <c r="B8" s="49">
        <v>1</v>
      </c>
      <c r="C8" s="48" t="s">
        <v>1529</v>
      </c>
      <c r="D8" s="199" t="s">
        <v>0</v>
      </c>
      <c r="E8" s="200" t="s">
        <v>645</v>
      </c>
      <c r="F8" s="200" t="s">
        <v>1306</v>
      </c>
      <c r="G8" s="201" t="s">
        <v>1520</v>
      </c>
      <c r="H8" s="200" t="s">
        <v>416</v>
      </c>
      <c r="I8" s="202"/>
      <c r="J8" s="139">
        <f>VLOOKUP($E8,'7. PGE_Efficacité'!$A$6:$CY$266,(MATCH('4.5 ACE MAX WOL '!J$4,'7. PGE_Efficacité'!$A$4:$AO$4,0)+62),0)</f>
        <v>0</v>
      </c>
      <c r="K8" s="139">
        <f>VLOOKUP($E8,'7. PGE_Efficacité'!$A$6:$CY$266,(MATCH('4.5 ACE MAX WOL '!K$4,'7. PGE_Efficacité'!$A$4:$AO$4,0)+62),0)</f>
        <v>0</v>
      </c>
      <c r="L8" s="139">
        <f>VLOOKUP($E8,'7. PGE_Efficacité'!$A$6:$CY$266,(MATCH('4.5 ACE MAX WOL '!L$4,'7. PGE_Efficacité'!$A$4:$AO$4,0)+62),0)</f>
        <v>0</v>
      </c>
      <c r="M8" s="139">
        <f>VLOOKUP($E8,'7. PGE_Efficacité'!$A$6:$CY$266,(MATCH('4.5 ACE MAX WOL '!M$4,'7. PGE_Efficacité'!$A$4:$AO$4,0)+62),0)</f>
        <v>0</v>
      </c>
      <c r="N8" s="139">
        <f>VLOOKUP($E8,'7. PGE_Efficacité'!$A$6:$CY$266,(MATCH('4.5 ACE MAX WOL '!N$4,'7. PGE_Efficacité'!$A$4:$AO$4,0)+62),0)</f>
        <v>0</v>
      </c>
      <c r="O8" s="139">
        <f>VLOOKUP($E8,'7. PGE_Efficacité'!$A$6:$CY$266,78,0)</f>
        <v>0</v>
      </c>
      <c r="P8" s="139">
        <f>VLOOKUP($E8,'7. PGE_Efficacité'!$A$6:$CY$266,(MATCH('4.5 ACE MAX WOL '!P$4,'7. PGE_Efficacité'!$A$4:$AO$4,0)+62),0)</f>
        <v>0</v>
      </c>
      <c r="Q8" s="139">
        <f>VLOOKUP($E8,'7. PGE_Efficacité'!$A$6:$CY$266,(MATCH('4.5 ACE MAX WOL '!Q$4,'7. PGE_Efficacité'!$A$4:$AO$4,0)+62),0)</f>
        <v>0</v>
      </c>
      <c r="R8" s="139">
        <f>VLOOKUP($E8,'7. PGE_Efficacité'!$A$6:$CY$266,(MATCH('4.5 ACE MAX WOL '!R$4,'7. PGE_Efficacité'!$A$4:$AO$4,0)+62),0)</f>
        <v>0</v>
      </c>
      <c r="S8" s="139">
        <f>VLOOKUP($E8,'7. PGE_Efficacité'!$A$6:$CY$266,(MATCH('4.5 ACE MAX WOL '!S$4,'7. PGE_Efficacité'!$A$4:$AO$4,0)+62),0)</f>
        <v>0</v>
      </c>
      <c r="T8" s="139">
        <f>VLOOKUP($E8,'7. PGE_Efficacité'!$A$6:$CY$266,(MATCH('4.5 ACE MAX WOL '!T$4,'7. PGE_Efficacité'!$A$4:$AO$4,0)+62),0)</f>
        <v>0</v>
      </c>
      <c r="U8" s="139">
        <f>VLOOKUP($E8,'7. PGE_Efficacité'!$A$6:$CY$266,(MATCH('4.5 ACE MAX WOL '!U$4,'7. PGE_Efficacité'!$A$4:$AO$4,0)+62),0)</f>
        <v>0</v>
      </c>
      <c r="V8" s="139">
        <f>VLOOKUP($E8,'7. PGE_Efficacité'!$A$6:$CY$266,(MATCH('4.5 ACE MAX WOL '!V$4,'7. PGE_Efficacité'!$A$4:$AO$4,0)+62),0)</f>
        <v>0</v>
      </c>
      <c r="W8" s="139">
        <f>VLOOKUP($E8,'7. PGE_Efficacité'!$A$6:$CY$266,(MATCH('4.5 ACE MAX WOL '!W$4,'7. PGE_Efficacité'!$A$4:$AO$4,0)+62),0)</f>
        <v>0</v>
      </c>
      <c r="X8" s="139">
        <f>VLOOKUP($E8,'7. PGE_Efficacité'!$A$6:$CY$266,(MATCH('4.5 ACE MAX WOL '!X$4,'7. PGE_Efficacité'!$A$4:$AO$4,0)+62),0)</f>
        <v>0</v>
      </c>
      <c r="Y8" s="139">
        <f>VLOOKUP($E8,'7. PGE_Efficacité'!$A$6:$CY$266,(MATCH('4.5 ACE MAX WOL '!Y$4,'7. PGE_Efficacité'!$A$4:$AO$4,0)+62),0)</f>
        <v>0</v>
      </c>
      <c r="Z8" s="139">
        <f>VLOOKUP($E8,'7. PGE_Efficacité'!$A$6:$CY$266,(MATCH('4.5 ACE MAX WOL '!Z$4,'7. PGE_Efficacité'!$A$4:$AO$4,0)+62),0)</f>
        <v>0</v>
      </c>
      <c r="AA8" s="139">
        <f>VLOOKUP($E8,'7. PGE_Efficacité'!$A$6:$CY$266,(MATCH('4.5 ACE MAX WOL '!AA$4,'7. PGE_Efficacité'!$A$4:$AO$4,0)+62),0)</f>
        <v>0</v>
      </c>
      <c r="AB8" s="139">
        <f>VLOOKUP($E8,'7. PGE_Efficacité'!$A$6:$CY$266,(MATCH('4.5 ACE MAX WOL '!AB$4,'7. PGE_Efficacité'!$A$4:$AO$4,0)+62),0)</f>
        <v>0</v>
      </c>
      <c r="AC8" s="139">
        <f>VLOOKUP($E8,'7. PGE_Efficacité'!$A$6:$CY$266,(MATCH('4.5 ACE MAX WOL '!AC$4,'7. PGE_Efficacité'!$A$4:$AO$4,0)+62),0)</f>
        <v>0</v>
      </c>
      <c r="AD8" s="139">
        <f>VLOOKUP($E8,'7. PGE_Efficacité'!$A$6:$CY$266,(MATCH('4.5 ACE MAX WOL '!AD$4,'7. PGE_Efficacité'!$A$4:$AO$4,0)+62),0)</f>
        <v>0</v>
      </c>
      <c r="AE8" s="139">
        <f>VLOOKUP($E8,'7. PGE_Efficacité'!$A$6:$CY$266,(MATCH('4.5 ACE MAX WOL '!AE$4,'7. PGE_Efficacité'!$A$4:$AO$4,0)+62),0)</f>
        <v>0</v>
      </c>
      <c r="AF8" s="139">
        <f>VLOOKUP($E8,'7. PGE_Efficacité'!$A$6:$CY$266,(MATCH('4.5 ACE MAX WOL '!AF$4,'7. PGE_Efficacité'!$A$4:$AO$4,0)+62),0)</f>
        <v>0</v>
      </c>
      <c r="AG8" s="139">
        <f>VLOOKUP($E8,'7. PGE_Efficacité'!$A$6:$CY$266,(MATCH('4.5 ACE MAX WOL '!AG$4,'7. PGE_Efficacité'!$A$4:$AO$4,0)+62),0)</f>
        <v>0</v>
      </c>
      <c r="AH8" s="139">
        <f>VLOOKUP($E8,'7. PGE_Efficacité'!$A$6:$CY$266,(MATCH('4.5 ACE MAX WOL '!AH$4,'7. PGE_Efficacité'!$A$4:$AO$4,0)+62),0)</f>
        <v>0</v>
      </c>
      <c r="AI8" s="139">
        <f>VLOOKUP($E8,'7. PGE_Efficacité'!$A$6:$CY$266,(MATCH('4.5 ACE MAX WOL '!AI$4,'7. PGE_Efficacité'!$A$4:$AO$4,0)+62),0)</f>
        <v>0</v>
      </c>
      <c r="AJ8" s="139">
        <f>VLOOKUP($E8,'7. PGE_Efficacité'!$A$6:$CY$266,(MATCH('4.5 ACE MAX WOL '!AJ$4,'7. PGE_Efficacité'!$A$4:$AO$4,0)+62),0)</f>
        <v>0</v>
      </c>
      <c r="AK8" s="139">
        <f>VLOOKUP($E8,'7. PGE_Efficacité'!$A$6:$CY$266,(MATCH('4.5 ACE MAX WOL '!AK$4,'7. PGE_Efficacité'!$A$4:$AO$4,0)+62),0)</f>
        <v>0</v>
      </c>
      <c r="AL8" s="139">
        <f>VLOOKUP($E8,'7. PGE_Efficacité'!$A$6:$CY$266,(MATCH('4.5 ACE MAX WOL '!AL$4,'7. PGE_Efficacité'!$A$4:$AO$4,0)+62),0)</f>
        <v>0</v>
      </c>
      <c r="AM8" s="139">
        <f>VLOOKUP($E8,'7. PGE_Efficacité'!$A$6:$CY$266,(MATCH('4.5 ACE MAX WOL '!AM$4,'7. PGE_Efficacité'!$A$4:$AO$4,0)+62),0)</f>
        <v>0</v>
      </c>
      <c r="AN8" s="139">
        <f>VLOOKUP($E8,'7. PGE_Efficacité'!$A$6:$CY$266,(MATCH('4.5 ACE MAX WOL '!AN$4,'7. PGE_Efficacité'!$A$4:$AO$4,0)+62),0)</f>
        <v>0</v>
      </c>
    </row>
    <row r="9" spans="1:40" hidden="1" outlineLevel="2" x14ac:dyDescent="0.25">
      <c r="A9" s="48" t="s">
        <v>1524</v>
      </c>
      <c r="B9" s="49">
        <v>1</v>
      </c>
      <c r="C9" s="48" t="s">
        <v>1530</v>
      </c>
      <c r="D9" s="199" t="s">
        <v>0</v>
      </c>
      <c r="E9" s="200" t="s">
        <v>646</v>
      </c>
      <c r="F9" s="200" t="s">
        <v>1307</v>
      </c>
      <c r="G9" s="201" t="s">
        <v>1520</v>
      </c>
      <c r="H9" s="200" t="s">
        <v>416</v>
      </c>
      <c r="I9" s="202"/>
      <c r="J9" s="139">
        <f>VLOOKUP($E9,'7. PGE_Efficacité'!$A$6:$CY$266,(MATCH('4.5 ACE MAX WOL '!J$4,'7. PGE_Efficacité'!$A$4:$AO$4,0)+62),0)</f>
        <v>0</v>
      </c>
      <c r="K9" s="139">
        <f>VLOOKUP($E9,'7. PGE_Efficacité'!$A$6:$CY$266,(MATCH('4.5 ACE MAX WOL '!K$4,'7. PGE_Efficacité'!$A$4:$AO$4,0)+62),0)</f>
        <v>0</v>
      </c>
      <c r="L9" s="139">
        <f>VLOOKUP($E9,'7. PGE_Efficacité'!$A$6:$CY$266,(MATCH('4.5 ACE MAX WOL '!L$4,'7. PGE_Efficacité'!$A$4:$AO$4,0)+62),0)</f>
        <v>0</v>
      </c>
      <c r="M9" s="139">
        <f>VLOOKUP($E9,'7. PGE_Efficacité'!$A$6:$CY$266,(MATCH('4.5 ACE MAX WOL '!M$4,'7. PGE_Efficacité'!$A$4:$AO$4,0)+62),0)</f>
        <v>0</v>
      </c>
      <c r="N9" s="139">
        <f>VLOOKUP($E9,'7. PGE_Efficacité'!$A$6:$CY$266,(MATCH('4.5 ACE MAX WOL '!N$4,'7. PGE_Efficacité'!$A$4:$AO$4,0)+62),0)</f>
        <v>0</v>
      </c>
      <c r="O9" s="139">
        <f>VLOOKUP($E9,'7. PGE_Efficacité'!$A$6:$CY$266,78,0)</f>
        <v>0</v>
      </c>
      <c r="P9" s="139">
        <f>VLOOKUP($E9,'7. PGE_Efficacité'!$A$6:$CY$266,(MATCH('4.5 ACE MAX WOL '!P$4,'7. PGE_Efficacité'!$A$4:$AO$4,0)+62),0)</f>
        <v>0</v>
      </c>
      <c r="Q9" s="139">
        <f>VLOOKUP($E9,'7. PGE_Efficacité'!$A$6:$CY$266,(MATCH('4.5 ACE MAX WOL '!Q$4,'7. PGE_Efficacité'!$A$4:$AO$4,0)+62),0)</f>
        <v>0</v>
      </c>
      <c r="R9" s="139">
        <f>VLOOKUP($E9,'7. PGE_Efficacité'!$A$6:$CY$266,(MATCH('4.5 ACE MAX WOL '!R$4,'7. PGE_Efficacité'!$A$4:$AO$4,0)+62),0)</f>
        <v>0</v>
      </c>
      <c r="S9" s="139">
        <f>VLOOKUP($E9,'7. PGE_Efficacité'!$A$6:$CY$266,(MATCH('4.5 ACE MAX WOL '!S$4,'7. PGE_Efficacité'!$A$4:$AO$4,0)+62),0)</f>
        <v>0</v>
      </c>
      <c r="T9" s="139">
        <f>VLOOKUP($E9,'7. PGE_Efficacité'!$A$6:$CY$266,(MATCH('4.5 ACE MAX WOL '!T$4,'7. PGE_Efficacité'!$A$4:$AO$4,0)+62),0)</f>
        <v>0</v>
      </c>
      <c r="U9" s="139">
        <f>VLOOKUP($E9,'7. PGE_Efficacité'!$A$6:$CY$266,(MATCH('4.5 ACE MAX WOL '!U$4,'7. PGE_Efficacité'!$A$4:$AO$4,0)+62),0)</f>
        <v>0</v>
      </c>
      <c r="V9" s="139">
        <f>VLOOKUP($E9,'7. PGE_Efficacité'!$A$6:$CY$266,(MATCH('4.5 ACE MAX WOL '!V$4,'7. PGE_Efficacité'!$A$4:$AO$4,0)+62),0)</f>
        <v>0</v>
      </c>
      <c r="W9" s="139">
        <f>VLOOKUP($E9,'7. PGE_Efficacité'!$A$6:$CY$266,(MATCH('4.5 ACE MAX WOL '!W$4,'7. PGE_Efficacité'!$A$4:$AO$4,0)+62),0)</f>
        <v>0</v>
      </c>
      <c r="X9" s="139">
        <f>VLOOKUP($E9,'7. PGE_Efficacité'!$A$6:$CY$266,(MATCH('4.5 ACE MAX WOL '!X$4,'7. PGE_Efficacité'!$A$4:$AO$4,0)+62),0)</f>
        <v>0</v>
      </c>
      <c r="Y9" s="139">
        <f>VLOOKUP($E9,'7. PGE_Efficacité'!$A$6:$CY$266,(MATCH('4.5 ACE MAX WOL '!Y$4,'7. PGE_Efficacité'!$A$4:$AO$4,0)+62),0)</f>
        <v>0</v>
      </c>
      <c r="Z9" s="139">
        <f>VLOOKUP($E9,'7. PGE_Efficacité'!$A$6:$CY$266,(MATCH('4.5 ACE MAX WOL '!Z$4,'7. PGE_Efficacité'!$A$4:$AO$4,0)+62),0)</f>
        <v>0</v>
      </c>
      <c r="AA9" s="139">
        <f>VLOOKUP($E9,'7. PGE_Efficacité'!$A$6:$CY$266,(MATCH('4.5 ACE MAX WOL '!AA$4,'7. PGE_Efficacité'!$A$4:$AO$4,0)+62),0)</f>
        <v>0</v>
      </c>
      <c r="AB9" s="139">
        <f>VLOOKUP($E9,'7. PGE_Efficacité'!$A$6:$CY$266,(MATCH('4.5 ACE MAX WOL '!AB$4,'7. PGE_Efficacité'!$A$4:$AO$4,0)+62),0)</f>
        <v>0</v>
      </c>
      <c r="AC9" s="139">
        <f>VLOOKUP($E9,'7. PGE_Efficacité'!$A$6:$CY$266,(MATCH('4.5 ACE MAX WOL '!AC$4,'7. PGE_Efficacité'!$A$4:$AO$4,0)+62),0)</f>
        <v>0</v>
      </c>
      <c r="AD9" s="139">
        <f>VLOOKUP($E9,'7. PGE_Efficacité'!$A$6:$CY$266,(MATCH('4.5 ACE MAX WOL '!AD$4,'7. PGE_Efficacité'!$A$4:$AO$4,0)+62),0)</f>
        <v>0</v>
      </c>
      <c r="AE9" s="139">
        <f>VLOOKUP($E9,'7. PGE_Efficacité'!$A$6:$CY$266,(MATCH('4.5 ACE MAX WOL '!AE$4,'7. PGE_Efficacité'!$A$4:$AO$4,0)+62),0)</f>
        <v>0</v>
      </c>
      <c r="AF9" s="139">
        <f>VLOOKUP($E9,'7. PGE_Efficacité'!$A$6:$CY$266,(MATCH('4.5 ACE MAX WOL '!AF$4,'7. PGE_Efficacité'!$A$4:$AO$4,0)+62),0)</f>
        <v>0</v>
      </c>
      <c r="AG9" s="139" t="str">
        <f>VLOOKUP($E9,'7. PGE_Efficacité'!$A$6:$CY$266,(MATCH('4.5 ACE MAX WOL '!AG$4,'7. PGE_Efficacité'!$A$4:$AO$4,0)+62),0)</f>
        <v>+++</v>
      </c>
      <c r="AH9" s="139" t="str">
        <f>VLOOKUP($E9,'7. PGE_Efficacité'!$A$6:$CY$266,(MATCH('4.5 ACE MAX WOL '!AH$4,'7. PGE_Efficacité'!$A$4:$AO$4,0)+62),0)</f>
        <v>+++</v>
      </c>
      <c r="AI9" s="139">
        <f>VLOOKUP($E9,'7. PGE_Efficacité'!$A$6:$CY$266,(MATCH('4.5 ACE MAX WOL '!AI$4,'7. PGE_Efficacité'!$A$4:$AO$4,0)+62),0)</f>
        <v>0</v>
      </c>
      <c r="AJ9" s="139">
        <f>VLOOKUP($E9,'7. PGE_Efficacité'!$A$6:$CY$266,(MATCH('4.5 ACE MAX WOL '!AJ$4,'7. PGE_Efficacité'!$A$4:$AO$4,0)+62),0)</f>
        <v>0</v>
      </c>
      <c r="AK9" s="139">
        <f>VLOOKUP($E9,'7. PGE_Efficacité'!$A$6:$CY$266,(MATCH('4.5 ACE MAX WOL '!AK$4,'7. PGE_Efficacité'!$A$4:$AO$4,0)+62),0)</f>
        <v>0</v>
      </c>
      <c r="AL9" s="139">
        <f>VLOOKUP($E9,'7. PGE_Efficacité'!$A$6:$CY$266,(MATCH('4.5 ACE MAX WOL '!AL$4,'7. PGE_Efficacité'!$A$4:$AO$4,0)+62),0)</f>
        <v>0</v>
      </c>
      <c r="AM9" s="139">
        <f>VLOOKUP($E9,'7. PGE_Efficacité'!$A$6:$CY$266,(MATCH('4.5 ACE MAX WOL '!AM$4,'7. PGE_Efficacité'!$A$4:$AO$4,0)+62),0)</f>
        <v>0</v>
      </c>
      <c r="AN9" s="139">
        <f>VLOOKUP($E9,'7. PGE_Efficacité'!$A$6:$CY$266,(MATCH('4.5 ACE MAX WOL '!AN$4,'7. PGE_Efficacité'!$A$4:$AO$4,0)+62),0)</f>
        <v>0</v>
      </c>
    </row>
    <row r="10" spans="1:40" hidden="1" outlineLevel="2" x14ac:dyDescent="0.25">
      <c r="A10" s="48" t="s">
        <v>1524</v>
      </c>
      <c r="B10" s="49">
        <v>1</v>
      </c>
      <c r="C10" s="48" t="s">
        <v>1531</v>
      </c>
      <c r="D10" s="199" t="s">
        <v>0</v>
      </c>
      <c r="E10" s="200" t="s">
        <v>647</v>
      </c>
      <c r="F10" s="200" t="s">
        <v>1308</v>
      </c>
      <c r="G10" s="201" t="s">
        <v>1520</v>
      </c>
      <c r="H10" s="200" t="s">
        <v>416</v>
      </c>
      <c r="I10" s="202"/>
      <c r="J10" s="139">
        <f>VLOOKUP($E10,'7. PGE_Efficacité'!$A$6:$CY$266,(MATCH('4.5 ACE MAX WOL '!J$4,'7. PGE_Efficacité'!$A$4:$AO$4,0)+62),0)</f>
        <v>0</v>
      </c>
      <c r="K10" s="139">
        <f>VLOOKUP($E10,'7. PGE_Efficacité'!$A$6:$CY$266,(MATCH('4.5 ACE MAX WOL '!K$4,'7. PGE_Efficacité'!$A$4:$AO$4,0)+62),0)</f>
        <v>0</v>
      </c>
      <c r="L10" s="139">
        <f>VLOOKUP($E10,'7. PGE_Efficacité'!$A$6:$CY$266,(MATCH('4.5 ACE MAX WOL '!L$4,'7. PGE_Efficacité'!$A$4:$AO$4,0)+62),0)</f>
        <v>0</v>
      </c>
      <c r="M10" s="139">
        <f>VLOOKUP($E10,'7. PGE_Efficacité'!$A$6:$CY$266,(MATCH('4.5 ACE MAX WOL '!M$4,'7. PGE_Efficacité'!$A$4:$AO$4,0)+62),0)</f>
        <v>0</v>
      </c>
      <c r="N10" s="139">
        <f>VLOOKUP($E10,'7. PGE_Efficacité'!$A$6:$CY$266,(MATCH('4.5 ACE MAX WOL '!N$4,'7. PGE_Efficacité'!$A$4:$AO$4,0)+62),0)</f>
        <v>0</v>
      </c>
      <c r="O10" s="139">
        <f>VLOOKUP($E10,'7. PGE_Efficacité'!$A$6:$CY$266,78,0)</f>
        <v>0</v>
      </c>
      <c r="P10" s="139">
        <f>VLOOKUP($E10,'7. PGE_Efficacité'!$A$6:$CY$266,(MATCH('4.5 ACE MAX WOL '!P$4,'7. PGE_Efficacité'!$A$4:$AO$4,0)+62),0)</f>
        <v>0</v>
      </c>
      <c r="Q10" s="139">
        <f>VLOOKUP($E10,'7. PGE_Efficacité'!$A$6:$CY$266,(MATCH('4.5 ACE MAX WOL '!Q$4,'7. PGE_Efficacité'!$A$4:$AO$4,0)+62),0)</f>
        <v>0</v>
      </c>
      <c r="R10" s="139">
        <f>VLOOKUP($E10,'7. PGE_Efficacité'!$A$6:$CY$266,(MATCH('4.5 ACE MAX WOL '!R$4,'7. PGE_Efficacité'!$A$4:$AO$4,0)+62),0)</f>
        <v>0</v>
      </c>
      <c r="S10" s="139">
        <f>VLOOKUP($E10,'7. PGE_Efficacité'!$A$6:$CY$266,(MATCH('4.5 ACE MAX WOL '!S$4,'7. PGE_Efficacité'!$A$4:$AO$4,0)+62),0)</f>
        <v>0</v>
      </c>
      <c r="T10" s="139">
        <f>VLOOKUP($E10,'7. PGE_Efficacité'!$A$6:$CY$266,(MATCH('4.5 ACE MAX WOL '!T$4,'7. PGE_Efficacité'!$A$4:$AO$4,0)+62),0)</f>
        <v>0</v>
      </c>
      <c r="U10" s="139">
        <f>VLOOKUP($E10,'7. PGE_Efficacité'!$A$6:$CY$266,(MATCH('4.5 ACE MAX WOL '!U$4,'7. PGE_Efficacité'!$A$4:$AO$4,0)+62),0)</f>
        <v>0</v>
      </c>
      <c r="V10" s="139">
        <f>VLOOKUP($E10,'7. PGE_Efficacité'!$A$6:$CY$266,(MATCH('4.5 ACE MAX WOL '!V$4,'7. PGE_Efficacité'!$A$4:$AO$4,0)+62),0)</f>
        <v>0</v>
      </c>
      <c r="W10" s="139">
        <f>VLOOKUP($E10,'7. PGE_Efficacité'!$A$6:$CY$266,(MATCH('4.5 ACE MAX WOL '!W$4,'7. PGE_Efficacité'!$A$4:$AO$4,0)+62),0)</f>
        <v>0</v>
      </c>
      <c r="X10" s="139">
        <f>VLOOKUP($E10,'7. PGE_Efficacité'!$A$6:$CY$266,(MATCH('4.5 ACE MAX WOL '!X$4,'7. PGE_Efficacité'!$A$4:$AO$4,0)+62),0)</f>
        <v>0</v>
      </c>
      <c r="Y10" s="139">
        <f>VLOOKUP($E10,'7. PGE_Efficacité'!$A$6:$CY$266,(MATCH('4.5 ACE MAX WOL '!Y$4,'7. PGE_Efficacité'!$A$4:$AO$4,0)+62),0)</f>
        <v>0</v>
      </c>
      <c r="Z10" s="139">
        <f>VLOOKUP($E10,'7. PGE_Efficacité'!$A$6:$CY$266,(MATCH('4.5 ACE MAX WOL '!Z$4,'7. PGE_Efficacité'!$A$4:$AO$4,0)+62),0)</f>
        <v>0</v>
      </c>
      <c r="AA10" s="139">
        <f>VLOOKUP($E10,'7. PGE_Efficacité'!$A$6:$CY$266,(MATCH('4.5 ACE MAX WOL '!AA$4,'7. PGE_Efficacité'!$A$4:$AO$4,0)+62),0)</f>
        <v>0</v>
      </c>
      <c r="AB10" s="139">
        <f>VLOOKUP($E10,'7. PGE_Efficacité'!$A$6:$CY$266,(MATCH('4.5 ACE MAX WOL '!AB$4,'7. PGE_Efficacité'!$A$4:$AO$4,0)+62),0)</f>
        <v>0</v>
      </c>
      <c r="AC10" s="139">
        <f>VLOOKUP($E10,'7. PGE_Efficacité'!$A$6:$CY$266,(MATCH('4.5 ACE MAX WOL '!AC$4,'7. PGE_Efficacité'!$A$4:$AO$4,0)+62),0)</f>
        <v>0</v>
      </c>
      <c r="AD10" s="139">
        <f>VLOOKUP($E10,'7. PGE_Efficacité'!$A$6:$CY$266,(MATCH('4.5 ACE MAX WOL '!AD$4,'7. PGE_Efficacité'!$A$4:$AO$4,0)+62),0)</f>
        <v>0</v>
      </c>
      <c r="AE10" s="139">
        <f>VLOOKUP($E10,'7. PGE_Efficacité'!$A$6:$CY$266,(MATCH('4.5 ACE MAX WOL '!AE$4,'7. PGE_Efficacité'!$A$4:$AO$4,0)+62),0)</f>
        <v>0</v>
      </c>
      <c r="AF10" s="139">
        <f>VLOOKUP($E10,'7. PGE_Efficacité'!$A$6:$CY$266,(MATCH('4.5 ACE MAX WOL '!AF$4,'7. PGE_Efficacité'!$A$4:$AO$4,0)+62),0)</f>
        <v>0</v>
      </c>
      <c r="AG10" s="139">
        <f>VLOOKUP($E10,'7. PGE_Efficacité'!$A$6:$CY$266,(MATCH('4.5 ACE MAX WOL '!AG$4,'7. PGE_Efficacité'!$A$4:$AO$4,0)+62),0)</f>
        <v>0</v>
      </c>
      <c r="AH10" s="139">
        <f>VLOOKUP($E10,'7. PGE_Efficacité'!$A$6:$CY$266,(MATCH('4.5 ACE MAX WOL '!AH$4,'7. PGE_Efficacité'!$A$4:$AO$4,0)+62),0)</f>
        <v>0</v>
      </c>
      <c r="AI10" s="139">
        <f>VLOOKUP($E10,'7. PGE_Efficacité'!$A$6:$CY$266,(MATCH('4.5 ACE MAX WOL '!AI$4,'7. PGE_Efficacité'!$A$4:$AO$4,0)+62),0)</f>
        <v>0</v>
      </c>
      <c r="AJ10" s="139">
        <f>VLOOKUP($E10,'7. PGE_Efficacité'!$A$6:$CY$266,(MATCH('4.5 ACE MAX WOL '!AJ$4,'7. PGE_Efficacité'!$A$4:$AO$4,0)+62),0)</f>
        <v>0</v>
      </c>
      <c r="AK10" s="139">
        <f>VLOOKUP($E10,'7. PGE_Efficacité'!$A$6:$CY$266,(MATCH('4.5 ACE MAX WOL '!AK$4,'7. PGE_Efficacité'!$A$4:$AO$4,0)+62),0)</f>
        <v>0</v>
      </c>
      <c r="AL10" s="139">
        <f>VLOOKUP($E10,'7. PGE_Efficacité'!$A$6:$CY$266,(MATCH('4.5 ACE MAX WOL '!AL$4,'7. PGE_Efficacité'!$A$4:$AO$4,0)+62),0)</f>
        <v>0</v>
      </c>
      <c r="AM10" s="139">
        <f>VLOOKUP($E10,'7. PGE_Efficacité'!$A$6:$CY$266,(MATCH('4.5 ACE MAX WOL '!AM$4,'7. PGE_Efficacité'!$A$4:$AO$4,0)+62),0)</f>
        <v>0</v>
      </c>
      <c r="AN10" s="139">
        <f>VLOOKUP($E10,'7. PGE_Efficacité'!$A$6:$CY$266,(MATCH('4.5 ACE MAX WOL '!AN$4,'7. PGE_Efficacité'!$A$4:$AO$4,0)+62),0)</f>
        <v>0</v>
      </c>
    </row>
    <row r="11" spans="1:40" hidden="1" outlineLevel="2" x14ac:dyDescent="0.25">
      <c r="A11" s="48" t="s">
        <v>1524</v>
      </c>
      <c r="B11" s="49">
        <v>1</v>
      </c>
      <c r="C11" s="48" t="s">
        <v>1503</v>
      </c>
      <c r="D11" s="199" t="s">
        <v>0</v>
      </c>
      <c r="E11" s="200" t="s">
        <v>637</v>
      </c>
      <c r="F11" s="200" t="s">
        <v>1292</v>
      </c>
      <c r="G11" s="201" t="s">
        <v>1520</v>
      </c>
      <c r="H11" s="200" t="s">
        <v>416</v>
      </c>
      <c r="I11" s="202"/>
      <c r="J11" s="139">
        <f>VLOOKUP($E11,'7. PGE_Efficacité'!$A$6:$CY$266,(MATCH('4.5 ACE MAX WOL '!J$4,'7. PGE_Efficacité'!$A$4:$AO$4,0)+62),0)</f>
        <v>0</v>
      </c>
      <c r="K11" s="139">
        <f>VLOOKUP($E11,'7. PGE_Efficacité'!$A$6:$CY$266,(MATCH('4.5 ACE MAX WOL '!K$4,'7. PGE_Efficacité'!$A$4:$AO$4,0)+62),0)</f>
        <v>0</v>
      </c>
      <c r="L11" s="139">
        <f>VLOOKUP($E11,'7. PGE_Efficacité'!$A$6:$CY$266,(MATCH('4.5 ACE MAX WOL '!L$4,'7. PGE_Efficacité'!$A$4:$AO$4,0)+62),0)</f>
        <v>0</v>
      </c>
      <c r="M11" s="139">
        <f>VLOOKUP($E11,'7. PGE_Efficacité'!$A$6:$CY$266,(MATCH('4.5 ACE MAX WOL '!M$4,'7. PGE_Efficacité'!$A$4:$AO$4,0)+62),0)</f>
        <v>0</v>
      </c>
      <c r="N11" s="139">
        <f>VLOOKUP($E11,'7. PGE_Efficacité'!$A$6:$CY$266,(MATCH('4.5 ACE MAX WOL '!N$4,'7. PGE_Efficacité'!$A$4:$AO$4,0)+62),0)</f>
        <v>0</v>
      </c>
      <c r="O11" s="139">
        <f>VLOOKUP($E11,'7. PGE_Efficacité'!$A$6:$CY$266,78,0)</f>
        <v>0</v>
      </c>
      <c r="P11" s="139">
        <f>VLOOKUP($E11,'7. PGE_Efficacité'!$A$6:$CY$266,(MATCH('4.5 ACE MAX WOL '!P$4,'7. PGE_Efficacité'!$A$4:$AO$4,0)+62),0)</f>
        <v>0</v>
      </c>
      <c r="Q11" s="139">
        <f>VLOOKUP($E11,'7. PGE_Efficacité'!$A$6:$CY$266,(MATCH('4.5 ACE MAX WOL '!Q$4,'7. PGE_Efficacité'!$A$4:$AO$4,0)+62),0)</f>
        <v>0</v>
      </c>
      <c r="R11" s="139">
        <f>VLOOKUP($E11,'7. PGE_Efficacité'!$A$6:$CY$266,(MATCH('4.5 ACE MAX WOL '!R$4,'7. PGE_Efficacité'!$A$4:$AO$4,0)+62),0)</f>
        <v>0</v>
      </c>
      <c r="S11" s="139">
        <f>VLOOKUP($E11,'7. PGE_Efficacité'!$A$6:$CY$266,(MATCH('4.5 ACE MAX WOL '!S$4,'7. PGE_Efficacité'!$A$4:$AO$4,0)+62),0)</f>
        <v>0</v>
      </c>
      <c r="T11" s="139">
        <f>VLOOKUP($E11,'7. PGE_Efficacité'!$A$6:$CY$266,(MATCH('4.5 ACE MAX WOL '!T$4,'7. PGE_Efficacité'!$A$4:$AO$4,0)+62),0)</f>
        <v>0</v>
      </c>
      <c r="U11" s="139">
        <f>VLOOKUP($E11,'7. PGE_Efficacité'!$A$6:$CY$266,(MATCH('4.5 ACE MAX WOL '!U$4,'7. PGE_Efficacité'!$A$4:$AO$4,0)+62),0)</f>
        <v>0</v>
      </c>
      <c r="V11" s="139">
        <f>VLOOKUP($E11,'7. PGE_Efficacité'!$A$6:$CY$266,(MATCH('4.5 ACE MAX WOL '!V$4,'7. PGE_Efficacité'!$A$4:$AO$4,0)+62),0)</f>
        <v>0</v>
      </c>
      <c r="W11" s="139">
        <f>VLOOKUP($E11,'7. PGE_Efficacité'!$A$6:$CY$266,(MATCH('4.5 ACE MAX WOL '!W$4,'7. PGE_Efficacité'!$A$4:$AO$4,0)+62),0)</f>
        <v>0</v>
      </c>
      <c r="X11" s="139">
        <f>VLOOKUP($E11,'7. PGE_Efficacité'!$A$6:$CY$266,(MATCH('4.5 ACE MAX WOL '!X$4,'7. PGE_Efficacité'!$A$4:$AO$4,0)+62),0)</f>
        <v>0</v>
      </c>
      <c r="Y11" s="139">
        <f>VLOOKUP($E11,'7. PGE_Efficacité'!$A$6:$CY$266,(MATCH('4.5 ACE MAX WOL '!Y$4,'7. PGE_Efficacité'!$A$4:$AO$4,0)+62),0)</f>
        <v>0</v>
      </c>
      <c r="Z11" s="139">
        <f>VLOOKUP($E11,'7. PGE_Efficacité'!$A$6:$CY$266,(MATCH('4.5 ACE MAX WOL '!Z$4,'7. PGE_Efficacité'!$A$4:$AO$4,0)+62),0)</f>
        <v>0</v>
      </c>
      <c r="AA11" s="139">
        <f>VLOOKUP($E11,'7. PGE_Efficacité'!$A$6:$CY$266,(MATCH('4.5 ACE MAX WOL '!AA$4,'7. PGE_Efficacité'!$A$4:$AO$4,0)+62),0)</f>
        <v>0</v>
      </c>
      <c r="AB11" s="139">
        <f>VLOOKUP($E11,'7. PGE_Efficacité'!$A$6:$CY$266,(MATCH('4.5 ACE MAX WOL '!AB$4,'7. PGE_Efficacité'!$A$4:$AO$4,0)+62),0)</f>
        <v>0</v>
      </c>
      <c r="AC11" s="139">
        <f>VLOOKUP($E11,'7. PGE_Efficacité'!$A$6:$CY$266,(MATCH('4.5 ACE MAX WOL '!AC$4,'7. PGE_Efficacité'!$A$4:$AO$4,0)+62),0)</f>
        <v>0</v>
      </c>
      <c r="AD11" s="139">
        <f>VLOOKUP($E11,'7. PGE_Efficacité'!$A$6:$CY$266,(MATCH('4.5 ACE MAX WOL '!AD$4,'7. PGE_Efficacité'!$A$4:$AO$4,0)+62),0)</f>
        <v>0</v>
      </c>
      <c r="AE11" s="139">
        <f>VLOOKUP($E11,'7. PGE_Efficacité'!$A$6:$CY$266,(MATCH('4.5 ACE MAX WOL '!AE$4,'7. PGE_Efficacité'!$A$4:$AO$4,0)+62),0)</f>
        <v>0</v>
      </c>
      <c r="AF11" s="139">
        <f>VLOOKUP($E11,'7. PGE_Efficacité'!$A$6:$CY$266,(MATCH('4.5 ACE MAX WOL '!AF$4,'7. PGE_Efficacité'!$A$4:$AO$4,0)+62),0)</f>
        <v>0</v>
      </c>
      <c r="AG11" s="139">
        <f>VLOOKUP($E11,'7. PGE_Efficacité'!$A$6:$CY$266,(MATCH('4.5 ACE MAX WOL '!AG$4,'7. PGE_Efficacité'!$A$4:$AO$4,0)+62),0)</f>
        <v>0</v>
      </c>
      <c r="AH11" s="139">
        <f>VLOOKUP($E11,'7. PGE_Efficacité'!$A$6:$CY$266,(MATCH('4.5 ACE MAX WOL '!AH$4,'7. PGE_Efficacité'!$A$4:$AO$4,0)+62),0)</f>
        <v>0</v>
      </c>
      <c r="AI11" s="139">
        <f>VLOOKUP($E11,'7. PGE_Efficacité'!$A$6:$CY$266,(MATCH('4.5 ACE MAX WOL '!AI$4,'7. PGE_Efficacité'!$A$4:$AO$4,0)+62),0)</f>
        <v>0</v>
      </c>
      <c r="AJ11" s="139">
        <f>VLOOKUP($E11,'7. PGE_Efficacité'!$A$6:$CY$266,(MATCH('4.5 ACE MAX WOL '!AJ$4,'7. PGE_Efficacité'!$A$4:$AO$4,0)+62),0)</f>
        <v>0</v>
      </c>
      <c r="AK11" s="139">
        <f>VLOOKUP($E11,'7. PGE_Efficacité'!$A$6:$CY$266,(MATCH('4.5 ACE MAX WOL '!AK$4,'7. PGE_Efficacité'!$A$4:$AO$4,0)+62),0)</f>
        <v>0</v>
      </c>
      <c r="AL11" s="139">
        <f>VLOOKUP($E11,'7. PGE_Efficacité'!$A$6:$CY$266,(MATCH('4.5 ACE MAX WOL '!AL$4,'7. PGE_Efficacité'!$A$4:$AO$4,0)+62),0)</f>
        <v>0</v>
      </c>
      <c r="AM11" s="139">
        <f>VLOOKUP($E11,'7. PGE_Efficacité'!$A$6:$CY$266,(MATCH('4.5 ACE MAX WOL '!AM$4,'7. PGE_Efficacité'!$A$4:$AO$4,0)+62),0)</f>
        <v>0</v>
      </c>
      <c r="AN11" s="139">
        <f>VLOOKUP($E11,'7. PGE_Efficacité'!$A$6:$CY$266,(MATCH('4.5 ACE MAX WOL '!AN$4,'7. PGE_Efficacité'!$A$4:$AO$4,0)+62),0)</f>
        <v>0</v>
      </c>
    </row>
    <row r="12" spans="1:40" hidden="1" outlineLevel="2" x14ac:dyDescent="0.25">
      <c r="A12" s="48"/>
      <c r="B12" s="49"/>
      <c r="C12" s="48"/>
      <c r="D12" s="199" t="s">
        <v>0</v>
      </c>
      <c r="E12" s="200" t="s">
        <v>649</v>
      </c>
      <c r="F12" s="200" t="s">
        <v>1299</v>
      </c>
      <c r="G12" s="201" t="s">
        <v>1520</v>
      </c>
      <c r="H12" s="200" t="s">
        <v>416</v>
      </c>
      <c r="I12" s="202"/>
      <c r="J12" s="139">
        <f>VLOOKUP($E12,'7. PGE_Efficacité'!$A$6:$CY$266,(MATCH('4.5 ACE MAX WOL '!J$4,'7. PGE_Efficacité'!$A$4:$AO$4,0)+62),0)</f>
        <v>0</v>
      </c>
      <c r="K12" s="139">
        <f>VLOOKUP($E12,'7. PGE_Efficacité'!$A$6:$CY$266,(MATCH('4.5 ACE MAX WOL '!K$4,'7. PGE_Efficacité'!$A$4:$AO$4,0)+62),0)</f>
        <v>0</v>
      </c>
      <c r="L12" s="139">
        <f>VLOOKUP($E12,'7. PGE_Efficacité'!$A$6:$CY$266,(MATCH('4.5 ACE MAX WOL '!L$4,'7. PGE_Efficacité'!$A$4:$AO$4,0)+62),0)</f>
        <v>0</v>
      </c>
      <c r="M12" s="139">
        <f>VLOOKUP($E12,'7. PGE_Efficacité'!$A$6:$CY$266,(MATCH('4.5 ACE MAX WOL '!M$4,'7. PGE_Efficacité'!$A$4:$AO$4,0)+62),0)</f>
        <v>0</v>
      </c>
      <c r="N12" s="139">
        <f>VLOOKUP($E12,'7. PGE_Efficacité'!$A$6:$CY$266,(MATCH('4.5 ACE MAX WOL '!N$4,'7. PGE_Efficacité'!$A$4:$AO$4,0)+62),0)</f>
        <v>0</v>
      </c>
      <c r="O12" s="139">
        <f>VLOOKUP($E12,'7. PGE_Efficacité'!$A$6:$CY$266,78,0)</f>
        <v>0</v>
      </c>
      <c r="P12" s="139">
        <f>VLOOKUP($E12,'7. PGE_Efficacité'!$A$6:$CY$266,(MATCH('4.5 ACE MAX WOL '!P$4,'7. PGE_Efficacité'!$A$4:$AO$4,0)+62),0)</f>
        <v>0</v>
      </c>
      <c r="Q12" s="139">
        <f>VLOOKUP($E12,'7. PGE_Efficacité'!$A$6:$CY$266,(MATCH('4.5 ACE MAX WOL '!Q$4,'7. PGE_Efficacité'!$A$4:$AO$4,0)+62),0)</f>
        <v>0</v>
      </c>
      <c r="R12" s="139">
        <f>VLOOKUP($E12,'7. PGE_Efficacité'!$A$6:$CY$266,(MATCH('4.5 ACE MAX WOL '!R$4,'7. PGE_Efficacité'!$A$4:$AO$4,0)+62),0)</f>
        <v>0</v>
      </c>
      <c r="S12" s="139">
        <f>VLOOKUP($E12,'7. PGE_Efficacité'!$A$6:$CY$266,(MATCH('4.5 ACE MAX WOL '!S$4,'7. PGE_Efficacité'!$A$4:$AO$4,0)+62),0)</f>
        <v>0</v>
      </c>
      <c r="T12" s="139">
        <f>VLOOKUP($E12,'7. PGE_Efficacité'!$A$6:$CY$266,(MATCH('4.5 ACE MAX WOL '!T$4,'7. PGE_Efficacité'!$A$4:$AO$4,0)+62),0)</f>
        <v>0</v>
      </c>
      <c r="U12" s="139">
        <f>VLOOKUP($E12,'7. PGE_Efficacité'!$A$6:$CY$266,(MATCH('4.5 ACE MAX WOL '!U$4,'7. PGE_Efficacité'!$A$4:$AO$4,0)+62),0)</f>
        <v>0</v>
      </c>
      <c r="V12" s="139">
        <f>VLOOKUP($E12,'7. PGE_Efficacité'!$A$6:$CY$266,(MATCH('4.5 ACE MAX WOL '!V$4,'7. PGE_Efficacité'!$A$4:$AO$4,0)+62),0)</f>
        <v>0</v>
      </c>
      <c r="W12" s="139">
        <f>VLOOKUP($E12,'7. PGE_Efficacité'!$A$6:$CY$266,(MATCH('4.5 ACE MAX WOL '!W$4,'7. PGE_Efficacité'!$A$4:$AO$4,0)+62),0)</f>
        <v>0</v>
      </c>
      <c r="X12" s="139">
        <f>VLOOKUP($E12,'7. PGE_Efficacité'!$A$6:$CY$266,(MATCH('4.5 ACE MAX WOL '!X$4,'7. PGE_Efficacité'!$A$4:$AO$4,0)+62),0)</f>
        <v>0</v>
      </c>
      <c r="Y12" s="139">
        <f>VLOOKUP($E12,'7. PGE_Efficacité'!$A$6:$CY$266,(MATCH('4.5 ACE MAX WOL '!Y$4,'7. PGE_Efficacité'!$A$4:$AO$4,0)+62),0)</f>
        <v>0</v>
      </c>
      <c r="Z12" s="139">
        <f>VLOOKUP($E12,'7. PGE_Efficacité'!$A$6:$CY$266,(MATCH('4.5 ACE MAX WOL '!Z$4,'7. PGE_Efficacité'!$A$4:$AO$4,0)+62),0)</f>
        <v>0</v>
      </c>
      <c r="AA12" s="139">
        <f>VLOOKUP($E12,'7. PGE_Efficacité'!$A$6:$CY$266,(MATCH('4.5 ACE MAX WOL '!AA$4,'7. PGE_Efficacité'!$A$4:$AO$4,0)+62),0)</f>
        <v>0</v>
      </c>
      <c r="AB12" s="139">
        <f>VLOOKUP($E12,'7. PGE_Efficacité'!$A$6:$CY$266,(MATCH('4.5 ACE MAX WOL '!AB$4,'7. PGE_Efficacité'!$A$4:$AO$4,0)+62),0)</f>
        <v>0</v>
      </c>
      <c r="AC12" s="139">
        <f>VLOOKUP($E12,'7. PGE_Efficacité'!$A$6:$CY$266,(MATCH('4.5 ACE MAX WOL '!AC$4,'7. PGE_Efficacité'!$A$4:$AO$4,0)+62),0)</f>
        <v>0</v>
      </c>
      <c r="AD12" s="139">
        <f>VLOOKUP($E12,'7. PGE_Efficacité'!$A$6:$CY$266,(MATCH('4.5 ACE MAX WOL '!AD$4,'7. PGE_Efficacité'!$A$4:$AO$4,0)+62),0)</f>
        <v>0</v>
      </c>
      <c r="AE12" s="139">
        <f>VLOOKUP($E12,'7. PGE_Efficacité'!$A$6:$CY$266,(MATCH('4.5 ACE MAX WOL '!AE$4,'7. PGE_Efficacité'!$A$4:$AO$4,0)+62),0)</f>
        <v>0</v>
      </c>
      <c r="AF12" s="139">
        <f>VLOOKUP($E12,'7. PGE_Efficacité'!$A$6:$CY$266,(MATCH('4.5 ACE MAX WOL '!AF$4,'7. PGE_Efficacité'!$A$4:$AO$4,0)+62),0)</f>
        <v>0</v>
      </c>
      <c r="AG12" s="139" t="str">
        <f>VLOOKUP($E12,'7. PGE_Efficacité'!$A$6:$CY$266,(MATCH('4.5 ACE MAX WOL '!AG$4,'7. PGE_Efficacité'!$A$4:$AO$4,0)+62),0)</f>
        <v>++++</v>
      </c>
      <c r="AH12" s="139" t="str">
        <f>VLOOKUP($E12,'7. PGE_Efficacité'!$A$6:$CY$266,(MATCH('4.5 ACE MAX WOL '!AH$4,'7. PGE_Efficacité'!$A$4:$AO$4,0)+62),0)</f>
        <v>++++</v>
      </c>
      <c r="AI12" s="139" t="str">
        <f>VLOOKUP($E12,'7. PGE_Efficacité'!$A$6:$CY$266,(MATCH('4.5 ACE MAX WOL '!AI$4,'7. PGE_Efficacité'!$A$4:$AO$4,0)+62),0)</f>
        <v>++++</v>
      </c>
      <c r="AJ12" s="139">
        <f>VLOOKUP($E12,'7. PGE_Efficacité'!$A$6:$CY$266,(MATCH('4.5 ACE MAX WOL '!AJ$4,'7. PGE_Efficacité'!$A$4:$AO$4,0)+62),0)</f>
        <v>0</v>
      </c>
      <c r="AK12" s="139">
        <f>VLOOKUP($E12,'7. PGE_Efficacité'!$A$6:$CY$266,(MATCH('4.5 ACE MAX WOL '!AK$4,'7. PGE_Efficacité'!$A$4:$AO$4,0)+62),0)</f>
        <v>0</v>
      </c>
      <c r="AL12" s="139">
        <f>VLOOKUP($E12,'7. PGE_Efficacité'!$A$6:$CY$266,(MATCH('4.5 ACE MAX WOL '!AL$4,'7. PGE_Efficacité'!$A$4:$AO$4,0)+62),0)</f>
        <v>0</v>
      </c>
      <c r="AM12" s="139">
        <f>VLOOKUP($E12,'7. PGE_Efficacité'!$A$6:$CY$266,(MATCH('4.5 ACE MAX WOL '!AM$4,'7. PGE_Efficacité'!$A$4:$AO$4,0)+62),0)</f>
        <v>0</v>
      </c>
      <c r="AN12" s="139">
        <f>VLOOKUP($E12,'7. PGE_Efficacité'!$A$6:$CY$266,(MATCH('4.5 ACE MAX WOL '!AN$4,'7. PGE_Efficacité'!$A$4:$AO$4,0)+62),0)</f>
        <v>0</v>
      </c>
    </row>
    <row r="13" spans="1:40" ht="26.25" outlineLevel="1" collapsed="1" x14ac:dyDescent="0.25">
      <c r="A13" s="48"/>
      <c r="B13" s="49"/>
      <c r="C13" s="48"/>
      <c r="D13" s="194" t="s">
        <v>1</v>
      </c>
      <c r="E13" s="195"/>
      <c r="F13" s="196" t="str">
        <f>VLOOKUP(D13,'1. Mesures'!$A$2:$B$116,2,0)</f>
        <v>Améliorer la qualité des berges et des lits du réseau hydrographique, créer des méandres et aménager des zones propices au développement de la faune et de la flore aquatiques</v>
      </c>
      <c r="G13" s="197"/>
      <c r="H13" s="195"/>
      <c r="I13" s="198">
        <f>MEDIAN(VLOOKUP(D13,'4. Mesures_ACE_Budget'!$A$3:$N$32,13,0),(VLOOKUP(D13,'4. Mesures_ACE_Budget'!$A$3:$N$32,14,0)))</f>
        <v>0</v>
      </c>
      <c r="J13" s="235">
        <f>VLOOKUP($D13,'7. PGE_Efficacité'!$A$6:$CY$266,(MATCH('4.5 ACE MAX WOL '!J$4,'7. PGE_Efficacité'!$A$4:$AO$4,0)+62),0)</f>
        <v>0</v>
      </c>
      <c r="K13" s="235">
        <f>VLOOKUP($D13,'7. PGE_Efficacité'!$A$6:$CY$266,(MATCH('4.5 ACE MAX WOL '!K$4,'7. PGE_Efficacité'!$A$4:$AO$4,0)+62),0)</f>
        <v>0</v>
      </c>
      <c r="L13" s="235">
        <f>VLOOKUP($D13,'7. PGE_Efficacité'!$A$6:$CY$266,(MATCH('4.5 ACE MAX WOL '!L$4,'7. PGE_Efficacité'!$A$4:$AO$4,0)+62),0)</f>
        <v>0</v>
      </c>
      <c r="M13" s="235">
        <f>VLOOKUP($D13,'7. PGE_Efficacité'!$A$6:$CY$266,(MATCH('4.5 ACE MAX WOL '!M$4,'7. PGE_Efficacité'!$A$4:$AO$4,0)+62),0)</f>
        <v>0</v>
      </c>
      <c r="N13" s="235">
        <f>VLOOKUP($D13,'7. PGE_Efficacité'!$A$6:$CY$266,(MATCH('4.5 ACE MAX WOL '!N$4,'7. PGE_Efficacité'!$A$4:$AO$4,0)+62),0)</f>
        <v>0</v>
      </c>
      <c r="O13" s="235">
        <f>VLOOKUP($D13,'7. PGE_Efficacité'!$A$6:$CY$266,78,0)</f>
        <v>0</v>
      </c>
      <c r="P13" s="235">
        <f>VLOOKUP($D13,'7. PGE_Efficacité'!$A$6:$CY$266,(MATCH('4.5 ACE MAX WOL '!P$4,'7. PGE_Efficacité'!$A$4:$AO$4,0)+62),0)</f>
        <v>0</v>
      </c>
      <c r="Q13" s="235">
        <f>VLOOKUP($D13,'7. PGE_Efficacité'!$A$6:$CY$266,(MATCH('4.5 ACE MAX WOL '!Q$4,'7. PGE_Efficacité'!$A$4:$AO$4,0)+62),0)</f>
        <v>0</v>
      </c>
      <c r="R13" s="235">
        <f>VLOOKUP($D13,'7. PGE_Efficacité'!$A$6:$CY$266,(MATCH('4.5 ACE MAX WOL '!R$4,'7. PGE_Efficacité'!$A$4:$AO$4,0)+62),0)</f>
        <v>0</v>
      </c>
      <c r="S13" s="235">
        <f>VLOOKUP($D13,'7. PGE_Efficacité'!$A$6:$CY$266,(MATCH('4.5 ACE MAX WOL '!S$4,'7. PGE_Efficacité'!$A$4:$AO$4,0)+62),0)</f>
        <v>0</v>
      </c>
      <c r="T13" s="235">
        <f>VLOOKUP($D13,'7. PGE_Efficacité'!$A$6:$CY$266,(MATCH('4.5 ACE MAX WOL '!T$4,'7. PGE_Efficacité'!$A$4:$AO$4,0)+62),0)</f>
        <v>0</v>
      </c>
      <c r="U13" s="235">
        <f>VLOOKUP($D13,'7. PGE_Efficacité'!$A$6:$CY$266,(MATCH('4.5 ACE MAX WOL '!U$4,'7. PGE_Efficacité'!$A$4:$AO$4,0)+62),0)</f>
        <v>0</v>
      </c>
      <c r="V13" s="235">
        <f>VLOOKUP($D13,'7. PGE_Efficacité'!$A$6:$CY$266,(MATCH('4.5 ACE MAX WOL '!V$4,'7. PGE_Efficacité'!$A$4:$AO$4,0)+62),0)</f>
        <v>0</v>
      </c>
      <c r="W13" s="235">
        <f>VLOOKUP($D13,'7. PGE_Efficacité'!$A$6:$CY$266,(MATCH('4.5 ACE MAX WOL '!W$4,'7. PGE_Efficacité'!$A$4:$AO$4,0)+62),0)</f>
        <v>0</v>
      </c>
      <c r="X13" s="235">
        <f>VLOOKUP($D13,'7. PGE_Efficacité'!$A$6:$CY$266,(MATCH('4.5 ACE MAX WOL '!X$4,'7. PGE_Efficacité'!$A$4:$AO$4,0)+62),0)</f>
        <v>0</v>
      </c>
      <c r="Y13" s="235">
        <f>VLOOKUP($D13,'7. PGE_Efficacité'!$A$6:$CY$266,(MATCH('4.5 ACE MAX WOL '!Y$4,'7. PGE_Efficacité'!$A$4:$AO$4,0)+62),0)</f>
        <v>0</v>
      </c>
      <c r="Z13" s="235">
        <f>VLOOKUP($D13,'7. PGE_Efficacité'!$A$6:$CY$266,(MATCH('4.5 ACE MAX WOL '!Z$4,'7. PGE_Efficacité'!$A$4:$AO$4,0)+62),0)</f>
        <v>0</v>
      </c>
      <c r="AA13" s="235">
        <f>VLOOKUP($D13,'7. PGE_Efficacité'!$A$6:$CY$266,(MATCH('4.5 ACE MAX WOL '!AA$4,'7. PGE_Efficacité'!$A$4:$AO$4,0)+62),0)</f>
        <v>0</v>
      </c>
      <c r="AB13" s="235">
        <f>VLOOKUP($D13,'7. PGE_Efficacité'!$A$6:$CY$266,(MATCH('4.5 ACE MAX WOL '!AB$4,'7. PGE_Efficacité'!$A$4:$AO$4,0)+62),0)</f>
        <v>0</v>
      </c>
      <c r="AC13" s="235">
        <f>VLOOKUP($D13,'7. PGE_Efficacité'!$A$6:$CY$266,(MATCH('4.5 ACE MAX WOL '!AC$4,'7. PGE_Efficacité'!$A$4:$AO$4,0)+62),0)</f>
        <v>0</v>
      </c>
      <c r="AD13" s="235">
        <f>VLOOKUP($D13,'7. PGE_Efficacité'!$A$6:$CY$266,(MATCH('4.5 ACE MAX WOL '!AD$4,'7. PGE_Efficacité'!$A$4:$AO$4,0)+62),0)</f>
        <v>0</v>
      </c>
      <c r="AE13" s="235">
        <f>VLOOKUP($D13,'7. PGE_Efficacité'!$A$6:$CY$266,(MATCH('4.5 ACE MAX WOL '!AE$4,'7. PGE_Efficacité'!$A$4:$AO$4,0)+62),0)</f>
        <v>0</v>
      </c>
      <c r="AF13" s="235">
        <f>VLOOKUP($D13,'7. PGE_Efficacité'!$A$6:$CY$266,(MATCH('4.5 ACE MAX WOL '!AF$4,'7. PGE_Efficacité'!$A$4:$AO$4,0)+62),0)</f>
        <v>0</v>
      </c>
      <c r="AG13" s="235">
        <f>VLOOKUP($D13,'7. PGE_Efficacité'!$A$6:$CY$266,(MATCH('4.5 ACE MAX WOL '!AG$4,'7. PGE_Efficacité'!$A$4:$AO$4,0)+62),0)</f>
        <v>0</v>
      </c>
      <c r="AH13" s="235">
        <f>VLOOKUP($D13,'7. PGE_Efficacité'!$A$6:$CY$266,(MATCH('4.5 ACE MAX WOL '!AH$4,'7. PGE_Efficacité'!$A$4:$AO$4,0)+62),0)</f>
        <v>0</v>
      </c>
      <c r="AI13" s="235">
        <f>VLOOKUP($D13,'7. PGE_Efficacité'!$A$6:$CY$266,(MATCH('4.5 ACE MAX WOL '!AI$4,'7. PGE_Efficacité'!$A$4:$AO$4,0)+62),0)</f>
        <v>0</v>
      </c>
      <c r="AJ13" s="235">
        <f>VLOOKUP($D13,'7. PGE_Efficacité'!$A$6:$CY$266,(MATCH('4.5 ACE MAX WOL '!AJ$4,'7. PGE_Efficacité'!$A$4:$AO$4,0)+62),0)</f>
        <v>0</v>
      </c>
      <c r="AK13" s="235">
        <f>VLOOKUP($D13,'7. PGE_Efficacité'!$A$6:$CY$266,(MATCH('4.5 ACE MAX WOL '!AK$4,'7. PGE_Efficacité'!$A$4:$AO$4,0)+62),0)</f>
        <v>0</v>
      </c>
      <c r="AL13" s="235">
        <f>VLOOKUP($D13,'7. PGE_Efficacité'!$A$6:$CY$266,(MATCH('4.5 ACE MAX WOL '!AL$4,'7. PGE_Efficacité'!$A$4:$AO$4,0)+62),0)</f>
        <v>0</v>
      </c>
      <c r="AM13" s="235">
        <f>VLOOKUP($D13,'7. PGE_Efficacité'!$A$6:$CY$266,(MATCH('4.5 ACE MAX WOL '!AM$4,'7. PGE_Efficacité'!$A$4:$AO$4,0)+62),0)</f>
        <v>0</v>
      </c>
      <c r="AN13" s="235">
        <f>VLOOKUP($D13,'7. PGE_Efficacité'!$A$6:$CY$266,(MATCH('4.5 ACE MAX WOL '!AN$4,'7. PGE_Efficacité'!$A$4:$AO$4,0)+62),0)</f>
        <v>0</v>
      </c>
    </row>
    <row r="14" spans="1:40" hidden="1" outlineLevel="2" x14ac:dyDescent="0.25">
      <c r="A14" s="48" t="s">
        <v>1524</v>
      </c>
      <c r="B14" s="49">
        <v>2</v>
      </c>
      <c r="C14" s="48" t="s">
        <v>1506</v>
      </c>
      <c r="D14" s="199" t="s">
        <v>1</v>
      </c>
      <c r="E14" s="200" t="s">
        <v>705</v>
      </c>
      <c r="F14" s="200" t="s">
        <v>1365</v>
      </c>
      <c r="G14" s="201" t="s">
        <v>1520</v>
      </c>
      <c r="H14" s="200" t="s">
        <v>416</v>
      </c>
      <c r="I14" s="202"/>
      <c r="J14" s="139">
        <f>VLOOKUP($E14,'7. PGE_Efficacité'!$A$6:$CY$266,(MATCH('4.5 ACE MAX WOL '!J$4,'7. PGE_Efficacité'!$A$4:$AO$4,0)+62),0)</f>
        <v>0</v>
      </c>
      <c r="K14" s="139">
        <f>VLOOKUP($E14,'7. PGE_Efficacité'!$A$6:$CY$266,(MATCH('4.5 ACE MAX WOL '!K$4,'7. PGE_Efficacité'!$A$4:$AO$4,0)+62),0)</f>
        <v>0</v>
      </c>
      <c r="L14" s="139">
        <f>VLOOKUP($E14,'7. PGE_Efficacité'!$A$6:$CY$266,(MATCH('4.5 ACE MAX WOL '!L$4,'7. PGE_Efficacité'!$A$4:$AO$4,0)+62),0)</f>
        <v>0</v>
      </c>
      <c r="M14" s="139">
        <f>VLOOKUP($E14,'7. PGE_Efficacité'!$A$6:$CY$266,(MATCH('4.5 ACE MAX WOL '!M$4,'7. PGE_Efficacité'!$A$4:$AO$4,0)+62),0)</f>
        <v>0</v>
      </c>
      <c r="N14" s="139">
        <f>VLOOKUP($E14,'7. PGE_Efficacité'!$A$6:$CY$266,(MATCH('4.5 ACE MAX WOL '!N$4,'7. PGE_Efficacité'!$A$4:$AO$4,0)+62),0)</f>
        <v>0</v>
      </c>
      <c r="O14" s="139">
        <f>VLOOKUP($E14,'7. PGE_Efficacité'!$A$6:$CY$266,78,0)</f>
        <v>0</v>
      </c>
      <c r="P14" s="139">
        <f>VLOOKUP($E14,'7. PGE_Efficacité'!$A$6:$CY$266,(MATCH('4.5 ACE MAX WOL '!P$4,'7. PGE_Efficacité'!$A$4:$AO$4,0)+62),0)</f>
        <v>0</v>
      </c>
      <c r="Q14" s="139">
        <f>VLOOKUP($E14,'7. PGE_Efficacité'!$A$6:$CY$266,(MATCH('4.5 ACE MAX WOL '!Q$4,'7. PGE_Efficacité'!$A$4:$AO$4,0)+62),0)</f>
        <v>0</v>
      </c>
      <c r="R14" s="139">
        <f>VLOOKUP($E14,'7. PGE_Efficacité'!$A$6:$CY$266,(MATCH('4.5 ACE MAX WOL '!R$4,'7. PGE_Efficacité'!$A$4:$AO$4,0)+62),0)</f>
        <v>0</v>
      </c>
      <c r="S14" s="139">
        <f>VLOOKUP($E14,'7. PGE_Efficacité'!$A$6:$CY$266,(MATCH('4.5 ACE MAX WOL '!S$4,'7. PGE_Efficacité'!$A$4:$AO$4,0)+62),0)</f>
        <v>0</v>
      </c>
      <c r="T14" s="139">
        <f>VLOOKUP($E14,'7. PGE_Efficacité'!$A$6:$CY$266,(MATCH('4.5 ACE MAX WOL '!T$4,'7. PGE_Efficacité'!$A$4:$AO$4,0)+62),0)</f>
        <v>0</v>
      </c>
      <c r="U14" s="139">
        <f>VLOOKUP($E14,'7. PGE_Efficacité'!$A$6:$CY$266,(MATCH('4.5 ACE MAX WOL '!U$4,'7. PGE_Efficacité'!$A$4:$AO$4,0)+62),0)</f>
        <v>0</v>
      </c>
      <c r="V14" s="139">
        <f>VLOOKUP($E14,'7. PGE_Efficacité'!$A$6:$CY$266,(MATCH('4.5 ACE MAX WOL '!V$4,'7. PGE_Efficacité'!$A$4:$AO$4,0)+62),0)</f>
        <v>0</v>
      </c>
      <c r="W14" s="139">
        <f>VLOOKUP($E14,'7. PGE_Efficacité'!$A$6:$CY$266,(MATCH('4.5 ACE MAX WOL '!W$4,'7. PGE_Efficacité'!$A$4:$AO$4,0)+62),0)</f>
        <v>0</v>
      </c>
      <c r="X14" s="139">
        <f>VLOOKUP($E14,'7. PGE_Efficacité'!$A$6:$CY$266,(MATCH('4.5 ACE MAX WOL '!X$4,'7. PGE_Efficacité'!$A$4:$AO$4,0)+62),0)</f>
        <v>0</v>
      </c>
      <c r="Y14" s="139">
        <f>VLOOKUP($E14,'7. PGE_Efficacité'!$A$6:$CY$266,(MATCH('4.5 ACE MAX WOL '!Y$4,'7. PGE_Efficacité'!$A$4:$AO$4,0)+62),0)</f>
        <v>0</v>
      </c>
      <c r="Z14" s="139">
        <f>VLOOKUP($E14,'7. PGE_Efficacité'!$A$6:$CY$266,(MATCH('4.5 ACE MAX WOL '!Z$4,'7. PGE_Efficacité'!$A$4:$AO$4,0)+62),0)</f>
        <v>0</v>
      </c>
      <c r="AA14" s="139">
        <f>VLOOKUP($E14,'7. PGE_Efficacité'!$A$6:$CY$266,(MATCH('4.5 ACE MAX WOL '!AA$4,'7. PGE_Efficacité'!$A$4:$AO$4,0)+62),0)</f>
        <v>0</v>
      </c>
      <c r="AB14" s="139">
        <f>VLOOKUP($E14,'7. PGE_Efficacité'!$A$6:$CY$266,(MATCH('4.5 ACE MAX WOL '!AB$4,'7. PGE_Efficacité'!$A$4:$AO$4,0)+62),0)</f>
        <v>0</v>
      </c>
      <c r="AC14" s="139">
        <f>VLOOKUP($E14,'7. PGE_Efficacité'!$A$6:$CY$266,(MATCH('4.5 ACE MAX WOL '!AC$4,'7. PGE_Efficacité'!$A$4:$AO$4,0)+62),0)</f>
        <v>0</v>
      </c>
      <c r="AD14" s="139">
        <f>VLOOKUP($E14,'7. PGE_Efficacité'!$A$6:$CY$266,(MATCH('4.5 ACE MAX WOL '!AD$4,'7. PGE_Efficacité'!$A$4:$AO$4,0)+62),0)</f>
        <v>0</v>
      </c>
      <c r="AE14" s="139">
        <f>VLOOKUP($E14,'7. PGE_Efficacité'!$A$6:$CY$266,(MATCH('4.5 ACE MAX WOL '!AE$4,'7. PGE_Efficacité'!$A$4:$AO$4,0)+62),0)</f>
        <v>0</v>
      </c>
      <c r="AF14" s="139">
        <f>VLOOKUP($E14,'7. PGE_Efficacité'!$A$6:$CY$266,(MATCH('4.5 ACE MAX WOL '!AF$4,'7. PGE_Efficacité'!$A$4:$AO$4,0)+62),0)</f>
        <v>0</v>
      </c>
      <c r="AG14" s="139">
        <f>VLOOKUP($E14,'7. PGE_Efficacité'!$A$6:$CY$266,(MATCH('4.5 ACE MAX WOL '!AG$4,'7. PGE_Efficacité'!$A$4:$AO$4,0)+62),0)</f>
        <v>0</v>
      </c>
      <c r="AH14" s="139">
        <f>VLOOKUP($E14,'7. PGE_Efficacité'!$A$6:$CY$266,(MATCH('4.5 ACE MAX WOL '!AH$4,'7. PGE_Efficacité'!$A$4:$AO$4,0)+62),0)</f>
        <v>0</v>
      </c>
      <c r="AI14" s="139">
        <f>VLOOKUP($E14,'7. PGE_Efficacité'!$A$6:$CY$266,(MATCH('4.5 ACE MAX WOL '!AI$4,'7. PGE_Efficacité'!$A$4:$AO$4,0)+62),0)</f>
        <v>0</v>
      </c>
      <c r="AJ14" s="139">
        <f>VLOOKUP($E14,'7. PGE_Efficacité'!$A$6:$CY$266,(MATCH('4.5 ACE MAX WOL '!AJ$4,'7. PGE_Efficacité'!$A$4:$AO$4,0)+62),0)</f>
        <v>0</v>
      </c>
      <c r="AK14" s="139">
        <f>VLOOKUP($E14,'7. PGE_Efficacité'!$A$6:$CY$266,(MATCH('4.5 ACE MAX WOL '!AK$4,'7. PGE_Efficacité'!$A$4:$AO$4,0)+62),0)</f>
        <v>0</v>
      </c>
      <c r="AL14" s="139">
        <f>VLOOKUP($E14,'7. PGE_Efficacité'!$A$6:$CY$266,(MATCH('4.5 ACE MAX WOL '!AL$4,'7. PGE_Efficacité'!$A$4:$AO$4,0)+62),0)</f>
        <v>0</v>
      </c>
      <c r="AM14" s="139">
        <f>VLOOKUP($E14,'7. PGE_Efficacité'!$A$6:$CY$266,(MATCH('4.5 ACE MAX WOL '!AM$4,'7. PGE_Efficacité'!$A$4:$AO$4,0)+62),0)</f>
        <v>0</v>
      </c>
      <c r="AN14" s="139">
        <f>VLOOKUP($E14,'7. PGE_Efficacité'!$A$6:$CY$266,(MATCH('4.5 ACE MAX WOL '!AN$4,'7. PGE_Efficacité'!$A$4:$AO$4,0)+62),0)</f>
        <v>0</v>
      </c>
    </row>
    <row r="15" spans="1:40" hidden="1" outlineLevel="2" x14ac:dyDescent="0.25">
      <c r="A15" s="48" t="s">
        <v>1524</v>
      </c>
      <c r="B15" s="49">
        <v>2</v>
      </c>
      <c r="C15" s="48" t="s">
        <v>1515</v>
      </c>
      <c r="D15" s="199" t="s">
        <v>1</v>
      </c>
      <c r="E15" s="200" t="s">
        <v>706</v>
      </c>
      <c r="F15" s="200" t="s">
        <v>1366</v>
      </c>
      <c r="G15" s="201" t="s">
        <v>1520</v>
      </c>
      <c r="H15" s="200" t="s">
        <v>416</v>
      </c>
      <c r="I15" s="202"/>
      <c r="J15" s="139">
        <f>VLOOKUP($E15,'7. PGE_Efficacité'!$A$6:$CY$266,(MATCH('4.5 ACE MAX WOL '!J$4,'7. PGE_Efficacité'!$A$4:$AO$4,0)+62),0)</f>
        <v>0</v>
      </c>
      <c r="K15" s="139">
        <f>VLOOKUP($E15,'7. PGE_Efficacité'!$A$6:$CY$266,(MATCH('4.5 ACE MAX WOL '!K$4,'7. PGE_Efficacité'!$A$4:$AO$4,0)+62),0)</f>
        <v>0</v>
      </c>
      <c r="L15" s="139">
        <f>VLOOKUP($E15,'7. PGE_Efficacité'!$A$6:$CY$266,(MATCH('4.5 ACE MAX WOL '!L$4,'7. PGE_Efficacité'!$A$4:$AO$4,0)+62),0)</f>
        <v>0</v>
      </c>
      <c r="M15" s="139">
        <f>VLOOKUP($E15,'7. PGE_Efficacité'!$A$6:$CY$266,(MATCH('4.5 ACE MAX WOL '!M$4,'7. PGE_Efficacité'!$A$4:$AO$4,0)+62),0)</f>
        <v>0</v>
      </c>
      <c r="N15" s="139">
        <f>VLOOKUP($E15,'7. PGE_Efficacité'!$A$6:$CY$266,(MATCH('4.5 ACE MAX WOL '!N$4,'7. PGE_Efficacité'!$A$4:$AO$4,0)+62),0)</f>
        <v>0</v>
      </c>
      <c r="O15" s="139">
        <f>VLOOKUP($E15,'7. PGE_Efficacité'!$A$6:$CY$266,78,0)</f>
        <v>0</v>
      </c>
      <c r="P15" s="139">
        <f>VLOOKUP($E15,'7. PGE_Efficacité'!$A$6:$CY$266,(MATCH('4.5 ACE MAX WOL '!P$4,'7. PGE_Efficacité'!$A$4:$AO$4,0)+62),0)</f>
        <v>0</v>
      </c>
      <c r="Q15" s="139">
        <f>VLOOKUP($E15,'7. PGE_Efficacité'!$A$6:$CY$266,(MATCH('4.5 ACE MAX WOL '!Q$4,'7. PGE_Efficacité'!$A$4:$AO$4,0)+62),0)</f>
        <v>0</v>
      </c>
      <c r="R15" s="139">
        <f>VLOOKUP($E15,'7. PGE_Efficacité'!$A$6:$CY$266,(MATCH('4.5 ACE MAX WOL '!R$4,'7. PGE_Efficacité'!$A$4:$AO$4,0)+62),0)</f>
        <v>0</v>
      </c>
      <c r="S15" s="139">
        <f>VLOOKUP($E15,'7. PGE_Efficacité'!$A$6:$CY$266,(MATCH('4.5 ACE MAX WOL '!S$4,'7. PGE_Efficacité'!$A$4:$AO$4,0)+62),0)</f>
        <v>0</v>
      </c>
      <c r="T15" s="139">
        <f>VLOOKUP($E15,'7. PGE_Efficacité'!$A$6:$CY$266,(MATCH('4.5 ACE MAX WOL '!T$4,'7. PGE_Efficacité'!$A$4:$AO$4,0)+62),0)</f>
        <v>0</v>
      </c>
      <c r="U15" s="139">
        <f>VLOOKUP($E15,'7. PGE_Efficacité'!$A$6:$CY$266,(MATCH('4.5 ACE MAX WOL '!U$4,'7. PGE_Efficacité'!$A$4:$AO$4,0)+62),0)</f>
        <v>0</v>
      </c>
      <c r="V15" s="139">
        <f>VLOOKUP($E15,'7. PGE_Efficacité'!$A$6:$CY$266,(MATCH('4.5 ACE MAX WOL '!V$4,'7. PGE_Efficacité'!$A$4:$AO$4,0)+62),0)</f>
        <v>0</v>
      </c>
      <c r="W15" s="139">
        <f>VLOOKUP($E15,'7. PGE_Efficacité'!$A$6:$CY$266,(MATCH('4.5 ACE MAX WOL '!W$4,'7. PGE_Efficacité'!$A$4:$AO$4,0)+62),0)</f>
        <v>0</v>
      </c>
      <c r="X15" s="139">
        <f>VLOOKUP($E15,'7. PGE_Efficacité'!$A$6:$CY$266,(MATCH('4.5 ACE MAX WOL '!X$4,'7. PGE_Efficacité'!$A$4:$AO$4,0)+62),0)</f>
        <v>0</v>
      </c>
      <c r="Y15" s="139">
        <f>VLOOKUP($E15,'7. PGE_Efficacité'!$A$6:$CY$266,(MATCH('4.5 ACE MAX WOL '!Y$4,'7. PGE_Efficacité'!$A$4:$AO$4,0)+62),0)</f>
        <v>0</v>
      </c>
      <c r="Z15" s="139">
        <f>VLOOKUP($E15,'7. PGE_Efficacité'!$A$6:$CY$266,(MATCH('4.5 ACE MAX WOL '!Z$4,'7. PGE_Efficacité'!$A$4:$AO$4,0)+62),0)</f>
        <v>0</v>
      </c>
      <c r="AA15" s="139">
        <f>VLOOKUP($E15,'7. PGE_Efficacité'!$A$6:$CY$266,(MATCH('4.5 ACE MAX WOL '!AA$4,'7. PGE_Efficacité'!$A$4:$AO$4,0)+62),0)</f>
        <v>0</v>
      </c>
      <c r="AB15" s="139">
        <f>VLOOKUP($E15,'7. PGE_Efficacité'!$A$6:$CY$266,(MATCH('4.5 ACE MAX WOL '!AB$4,'7. PGE_Efficacité'!$A$4:$AO$4,0)+62),0)</f>
        <v>0</v>
      </c>
      <c r="AC15" s="139">
        <f>VLOOKUP($E15,'7. PGE_Efficacité'!$A$6:$CY$266,(MATCH('4.5 ACE MAX WOL '!AC$4,'7. PGE_Efficacité'!$A$4:$AO$4,0)+62),0)</f>
        <v>0</v>
      </c>
      <c r="AD15" s="139">
        <f>VLOOKUP($E15,'7. PGE_Efficacité'!$A$6:$CY$266,(MATCH('4.5 ACE MAX WOL '!AD$4,'7. PGE_Efficacité'!$A$4:$AO$4,0)+62),0)</f>
        <v>0</v>
      </c>
      <c r="AE15" s="139">
        <f>VLOOKUP($E15,'7. PGE_Efficacité'!$A$6:$CY$266,(MATCH('4.5 ACE MAX WOL '!AE$4,'7. PGE_Efficacité'!$A$4:$AO$4,0)+62),0)</f>
        <v>0</v>
      </c>
      <c r="AF15" s="139">
        <f>VLOOKUP($E15,'7. PGE_Efficacité'!$A$6:$CY$266,(MATCH('4.5 ACE MAX WOL '!AF$4,'7. PGE_Efficacité'!$A$4:$AO$4,0)+62),0)</f>
        <v>0</v>
      </c>
      <c r="AG15" s="139">
        <f>VLOOKUP($E15,'7. PGE_Efficacité'!$A$6:$CY$266,(MATCH('4.5 ACE MAX WOL '!AG$4,'7. PGE_Efficacité'!$A$4:$AO$4,0)+62),0)</f>
        <v>0</v>
      </c>
      <c r="AH15" s="139">
        <f>VLOOKUP($E15,'7. PGE_Efficacité'!$A$6:$CY$266,(MATCH('4.5 ACE MAX WOL '!AH$4,'7. PGE_Efficacité'!$A$4:$AO$4,0)+62),0)</f>
        <v>0</v>
      </c>
      <c r="AI15" s="139">
        <f>VLOOKUP($E15,'7. PGE_Efficacité'!$A$6:$CY$266,(MATCH('4.5 ACE MAX WOL '!AI$4,'7. PGE_Efficacité'!$A$4:$AO$4,0)+62),0)</f>
        <v>0</v>
      </c>
      <c r="AJ15" s="139">
        <f>VLOOKUP($E15,'7. PGE_Efficacité'!$A$6:$CY$266,(MATCH('4.5 ACE MAX WOL '!AJ$4,'7. PGE_Efficacité'!$A$4:$AO$4,0)+62),0)</f>
        <v>0</v>
      </c>
      <c r="AK15" s="139">
        <f>VLOOKUP($E15,'7. PGE_Efficacité'!$A$6:$CY$266,(MATCH('4.5 ACE MAX WOL '!AK$4,'7. PGE_Efficacité'!$A$4:$AO$4,0)+62),0)</f>
        <v>0</v>
      </c>
      <c r="AL15" s="139">
        <f>VLOOKUP($E15,'7. PGE_Efficacité'!$A$6:$CY$266,(MATCH('4.5 ACE MAX WOL '!AL$4,'7. PGE_Efficacité'!$A$4:$AO$4,0)+62),0)</f>
        <v>0</v>
      </c>
      <c r="AM15" s="139">
        <f>VLOOKUP($E15,'7. PGE_Efficacité'!$A$6:$CY$266,(MATCH('4.5 ACE MAX WOL '!AM$4,'7. PGE_Efficacité'!$A$4:$AO$4,0)+62),0)</f>
        <v>0</v>
      </c>
      <c r="AN15" s="139">
        <f>VLOOKUP($E15,'7. PGE_Efficacité'!$A$6:$CY$266,(MATCH('4.5 ACE MAX WOL '!AN$4,'7. PGE_Efficacité'!$A$4:$AO$4,0)+62),0)</f>
        <v>0</v>
      </c>
    </row>
    <row r="16" spans="1:40" hidden="1" outlineLevel="2" x14ac:dyDescent="0.25">
      <c r="A16" s="48" t="s">
        <v>1524</v>
      </c>
      <c r="B16" s="49">
        <v>2</v>
      </c>
      <c r="C16" s="48" t="s">
        <v>1507</v>
      </c>
      <c r="D16" s="199" t="s">
        <v>1</v>
      </c>
      <c r="E16" s="200" t="s">
        <v>707</v>
      </c>
      <c r="F16" s="200" t="s">
        <v>1367</v>
      </c>
      <c r="G16" s="201" t="s">
        <v>1520</v>
      </c>
      <c r="H16" s="200" t="s">
        <v>416</v>
      </c>
      <c r="I16" s="202"/>
      <c r="J16" s="139">
        <f>VLOOKUP($E16,'7. PGE_Efficacité'!$A$6:$CY$266,(MATCH('4.5 ACE MAX WOL '!J$4,'7. PGE_Efficacité'!$A$4:$AO$4,0)+62),0)</f>
        <v>0</v>
      </c>
      <c r="K16" s="139">
        <f>VLOOKUP($E16,'7. PGE_Efficacité'!$A$6:$CY$266,(MATCH('4.5 ACE MAX WOL '!K$4,'7. PGE_Efficacité'!$A$4:$AO$4,0)+62),0)</f>
        <v>0</v>
      </c>
      <c r="L16" s="139">
        <f>VLOOKUP($E16,'7. PGE_Efficacité'!$A$6:$CY$266,(MATCH('4.5 ACE MAX WOL '!L$4,'7. PGE_Efficacité'!$A$4:$AO$4,0)+62),0)</f>
        <v>0</v>
      </c>
      <c r="M16" s="139">
        <f>VLOOKUP($E16,'7. PGE_Efficacité'!$A$6:$CY$266,(MATCH('4.5 ACE MAX WOL '!M$4,'7. PGE_Efficacité'!$A$4:$AO$4,0)+62),0)</f>
        <v>0</v>
      </c>
      <c r="N16" s="139">
        <f>VLOOKUP($E16,'7. PGE_Efficacité'!$A$6:$CY$266,(MATCH('4.5 ACE MAX WOL '!N$4,'7. PGE_Efficacité'!$A$4:$AO$4,0)+62),0)</f>
        <v>0</v>
      </c>
      <c r="O16" s="139">
        <f>VLOOKUP($E16,'7. PGE_Efficacité'!$A$6:$CY$266,78,0)</f>
        <v>0</v>
      </c>
      <c r="P16" s="139">
        <f>VLOOKUP($E16,'7. PGE_Efficacité'!$A$6:$CY$266,(MATCH('4.5 ACE MAX WOL '!P$4,'7. PGE_Efficacité'!$A$4:$AO$4,0)+62),0)</f>
        <v>0</v>
      </c>
      <c r="Q16" s="139">
        <f>VLOOKUP($E16,'7. PGE_Efficacité'!$A$6:$CY$266,(MATCH('4.5 ACE MAX WOL '!Q$4,'7. PGE_Efficacité'!$A$4:$AO$4,0)+62),0)</f>
        <v>0</v>
      </c>
      <c r="R16" s="139">
        <f>VLOOKUP($E16,'7. PGE_Efficacité'!$A$6:$CY$266,(MATCH('4.5 ACE MAX WOL '!R$4,'7. PGE_Efficacité'!$A$4:$AO$4,0)+62),0)</f>
        <v>0</v>
      </c>
      <c r="S16" s="139">
        <f>VLOOKUP($E16,'7. PGE_Efficacité'!$A$6:$CY$266,(MATCH('4.5 ACE MAX WOL '!S$4,'7. PGE_Efficacité'!$A$4:$AO$4,0)+62),0)</f>
        <v>0</v>
      </c>
      <c r="T16" s="139">
        <f>VLOOKUP($E16,'7. PGE_Efficacité'!$A$6:$CY$266,(MATCH('4.5 ACE MAX WOL '!T$4,'7. PGE_Efficacité'!$A$4:$AO$4,0)+62),0)</f>
        <v>0</v>
      </c>
      <c r="U16" s="139">
        <f>VLOOKUP($E16,'7. PGE_Efficacité'!$A$6:$CY$266,(MATCH('4.5 ACE MAX WOL '!U$4,'7. PGE_Efficacité'!$A$4:$AO$4,0)+62),0)</f>
        <v>0</v>
      </c>
      <c r="V16" s="139">
        <f>VLOOKUP($E16,'7. PGE_Efficacité'!$A$6:$CY$266,(MATCH('4.5 ACE MAX WOL '!V$4,'7. PGE_Efficacité'!$A$4:$AO$4,0)+62),0)</f>
        <v>0</v>
      </c>
      <c r="W16" s="139">
        <f>VLOOKUP($E16,'7. PGE_Efficacité'!$A$6:$CY$266,(MATCH('4.5 ACE MAX WOL '!W$4,'7. PGE_Efficacité'!$A$4:$AO$4,0)+62),0)</f>
        <v>0</v>
      </c>
      <c r="X16" s="139">
        <f>VLOOKUP($E16,'7. PGE_Efficacité'!$A$6:$CY$266,(MATCH('4.5 ACE MAX WOL '!X$4,'7. PGE_Efficacité'!$A$4:$AO$4,0)+62),0)</f>
        <v>0</v>
      </c>
      <c r="Y16" s="139">
        <f>VLOOKUP($E16,'7. PGE_Efficacité'!$A$6:$CY$266,(MATCH('4.5 ACE MAX WOL '!Y$4,'7. PGE_Efficacité'!$A$4:$AO$4,0)+62),0)</f>
        <v>0</v>
      </c>
      <c r="Z16" s="139">
        <f>VLOOKUP($E16,'7. PGE_Efficacité'!$A$6:$CY$266,(MATCH('4.5 ACE MAX WOL '!Z$4,'7. PGE_Efficacité'!$A$4:$AO$4,0)+62),0)</f>
        <v>0</v>
      </c>
      <c r="AA16" s="139">
        <f>VLOOKUP($E16,'7. PGE_Efficacité'!$A$6:$CY$266,(MATCH('4.5 ACE MAX WOL '!AA$4,'7. PGE_Efficacité'!$A$4:$AO$4,0)+62),0)</f>
        <v>0</v>
      </c>
      <c r="AB16" s="139">
        <f>VLOOKUP($E16,'7. PGE_Efficacité'!$A$6:$CY$266,(MATCH('4.5 ACE MAX WOL '!AB$4,'7. PGE_Efficacité'!$A$4:$AO$4,0)+62),0)</f>
        <v>0</v>
      </c>
      <c r="AC16" s="139">
        <f>VLOOKUP($E16,'7. PGE_Efficacité'!$A$6:$CY$266,(MATCH('4.5 ACE MAX WOL '!AC$4,'7. PGE_Efficacité'!$A$4:$AO$4,0)+62),0)</f>
        <v>0</v>
      </c>
      <c r="AD16" s="139">
        <f>VLOOKUP($E16,'7. PGE_Efficacité'!$A$6:$CY$266,(MATCH('4.5 ACE MAX WOL '!AD$4,'7. PGE_Efficacité'!$A$4:$AO$4,0)+62),0)</f>
        <v>0</v>
      </c>
      <c r="AE16" s="139">
        <f>VLOOKUP($E16,'7. PGE_Efficacité'!$A$6:$CY$266,(MATCH('4.5 ACE MAX WOL '!AE$4,'7. PGE_Efficacité'!$A$4:$AO$4,0)+62),0)</f>
        <v>0</v>
      </c>
      <c r="AF16" s="139">
        <f>VLOOKUP($E16,'7. PGE_Efficacité'!$A$6:$CY$266,(MATCH('4.5 ACE MAX WOL '!AF$4,'7. PGE_Efficacité'!$A$4:$AO$4,0)+62),0)</f>
        <v>0</v>
      </c>
      <c r="AG16" s="139">
        <f>VLOOKUP($E16,'7. PGE_Efficacité'!$A$6:$CY$266,(MATCH('4.5 ACE MAX WOL '!AG$4,'7. PGE_Efficacité'!$A$4:$AO$4,0)+62),0)</f>
        <v>0</v>
      </c>
      <c r="AH16" s="139">
        <f>VLOOKUP($E16,'7. PGE_Efficacité'!$A$6:$CY$266,(MATCH('4.5 ACE MAX WOL '!AH$4,'7. PGE_Efficacité'!$A$4:$AO$4,0)+62),0)</f>
        <v>0</v>
      </c>
      <c r="AI16" s="139">
        <f>VLOOKUP($E16,'7. PGE_Efficacité'!$A$6:$CY$266,(MATCH('4.5 ACE MAX WOL '!AI$4,'7. PGE_Efficacité'!$A$4:$AO$4,0)+62),0)</f>
        <v>0</v>
      </c>
      <c r="AJ16" s="139">
        <f>VLOOKUP($E16,'7. PGE_Efficacité'!$A$6:$CY$266,(MATCH('4.5 ACE MAX WOL '!AJ$4,'7. PGE_Efficacité'!$A$4:$AO$4,0)+62),0)</f>
        <v>0</v>
      </c>
      <c r="AK16" s="139">
        <f>VLOOKUP($E16,'7. PGE_Efficacité'!$A$6:$CY$266,(MATCH('4.5 ACE MAX WOL '!AK$4,'7. PGE_Efficacité'!$A$4:$AO$4,0)+62),0)</f>
        <v>0</v>
      </c>
      <c r="AL16" s="139">
        <f>VLOOKUP($E16,'7. PGE_Efficacité'!$A$6:$CY$266,(MATCH('4.5 ACE MAX WOL '!AL$4,'7. PGE_Efficacité'!$A$4:$AO$4,0)+62),0)</f>
        <v>0</v>
      </c>
      <c r="AM16" s="139">
        <f>VLOOKUP($E16,'7. PGE_Efficacité'!$A$6:$CY$266,(MATCH('4.5 ACE MAX WOL '!AM$4,'7. PGE_Efficacité'!$A$4:$AO$4,0)+62),0)</f>
        <v>0</v>
      </c>
      <c r="AN16" s="139">
        <f>VLOOKUP($E16,'7. PGE_Efficacité'!$A$6:$CY$266,(MATCH('4.5 ACE MAX WOL '!AN$4,'7. PGE_Efficacité'!$A$4:$AO$4,0)+62),0)</f>
        <v>0</v>
      </c>
    </row>
    <row r="17" spans="1:40" hidden="1" outlineLevel="2" x14ac:dyDescent="0.25">
      <c r="A17" s="48" t="s">
        <v>1524</v>
      </c>
      <c r="B17" s="49">
        <v>2</v>
      </c>
      <c r="C17" s="48" t="s">
        <v>1508</v>
      </c>
      <c r="D17" s="199" t="s">
        <v>1</v>
      </c>
      <c r="E17" s="200" t="s">
        <v>708</v>
      </c>
      <c r="F17" s="200" t="s">
        <v>1368</v>
      </c>
      <c r="G17" s="201" t="s">
        <v>1520</v>
      </c>
      <c r="H17" s="200" t="s">
        <v>416</v>
      </c>
      <c r="I17" s="202"/>
      <c r="J17" s="139">
        <f>VLOOKUP($E17,'7. PGE_Efficacité'!$A$6:$CY$266,(MATCH('4.5 ACE MAX WOL '!J$4,'7. PGE_Efficacité'!$A$4:$AO$4,0)+62),0)</f>
        <v>0</v>
      </c>
      <c r="K17" s="139">
        <f>VLOOKUP($E17,'7. PGE_Efficacité'!$A$6:$CY$266,(MATCH('4.5 ACE MAX WOL '!K$4,'7. PGE_Efficacité'!$A$4:$AO$4,0)+62),0)</f>
        <v>0</v>
      </c>
      <c r="L17" s="139">
        <f>VLOOKUP($E17,'7. PGE_Efficacité'!$A$6:$CY$266,(MATCH('4.5 ACE MAX WOL '!L$4,'7. PGE_Efficacité'!$A$4:$AO$4,0)+62),0)</f>
        <v>0</v>
      </c>
      <c r="M17" s="139">
        <f>VLOOKUP($E17,'7. PGE_Efficacité'!$A$6:$CY$266,(MATCH('4.5 ACE MAX WOL '!M$4,'7. PGE_Efficacité'!$A$4:$AO$4,0)+62),0)</f>
        <v>0</v>
      </c>
      <c r="N17" s="139">
        <f>VLOOKUP($E17,'7. PGE_Efficacité'!$A$6:$CY$266,(MATCH('4.5 ACE MAX WOL '!N$4,'7. PGE_Efficacité'!$A$4:$AO$4,0)+62),0)</f>
        <v>0</v>
      </c>
      <c r="O17" s="139">
        <f>VLOOKUP($E17,'7. PGE_Efficacité'!$A$6:$CY$266,78,0)</f>
        <v>0</v>
      </c>
      <c r="P17" s="139">
        <f>VLOOKUP($E17,'7. PGE_Efficacité'!$A$6:$CY$266,(MATCH('4.5 ACE MAX WOL '!P$4,'7. PGE_Efficacité'!$A$4:$AO$4,0)+62),0)</f>
        <v>0</v>
      </c>
      <c r="Q17" s="139">
        <f>VLOOKUP($E17,'7. PGE_Efficacité'!$A$6:$CY$266,(MATCH('4.5 ACE MAX WOL '!Q$4,'7. PGE_Efficacité'!$A$4:$AO$4,0)+62),0)</f>
        <v>0</v>
      </c>
      <c r="R17" s="139">
        <f>VLOOKUP($E17,'7. PGE_Efficacité'!$A$6:$CY$266,(MATCH('4.5 ACE MAX WOL '!R$4,'7. PGE_Efficacité'!$A$4:$AO$4,0)+62),0)</f>
        <v>0</v>
      </c>
      <c r="S17" s="139">
        <f>VLOOKUP($E17,'7. PGE_Efficacité'!$A$6:$CY$266,(MATCH('4.5 ACE MAX WOL '!S$4,'7. PGE_Efficacité'!$A$4:$AO$4,0)+62),0)</f>
        <v>0</v>
      </c>
      <c r="T17" s="139">
        <f>VLOOKUP($E17,'7. PGE_Efficacité'!$A$6:$CY$266,(MATCH('4.5 ACE MAX WOL '!T$4,'7. PGE_Efficacité'!$A$4:$AO$4,0)+62),0)</f>
        <v>0</v>
      </c>
      <c r="U17" s="139">
        <f>VLOOKUP($E17,'7. PGE_Efficacité'!$A$6:$CY$266,(MATCH('4.5 ACE MAX WOL '!U$4,'7. PGE_Efficacité'!$A$4:$AO$4,0)+62),0)</f>
        <v>0</v>
      </c>
      <c r="V17" s="139">
        <f>VLOOKUP($E17,'7. PGE_Efficacité'!$A$6:$CY$266,(MATCH('4.5 ACE MAX WOL '!V$4,'7. PGE_Efficacité'!$A$4:$AO$4,0)+62),0)</f>
        <v>0</v>
      </c>
      <c r="W17" s="139">
        <f>VLOOKUP($E17,'7. PGE_Efficacité'!$A$6:$CY$266,(MATCH('4.5 ACE MAX WOL '!W$4,'7. PGE_Efficacité'!$A$4:$AO$4,0)+62),0)</f>
        <v>0</v>
      </c>
      <c r="X17" s="139">
        <f>VLOOKUP($E17,'7. PGE_Efficacité'!$A$6:$CY$266,(MATCH('4.5 ACE MAX WOL '!X$4,'7. PGE_Efficacité'!$A$4:$AO$4,0)+62),0)</f>
        <v>0</v>
      </c>
      <c r="Y17" s="139">
        <f>VLOOKUP($E17,'7. PGE_Efficacité'!$A$6:$CY$266,(MATCH('4.5 ACE MAX WOL '!Y$4,'7. PGE_Efficacité'!$A$4:$AO$4,0)+62),0)</f>
        <v>0</v>
      </c>
      <c r="Z17" s="139">
        <f>VLOOKUP($E17,'7. PGE_Efficacité'!$A$6:$CY$266,(MATCH('4.5 ACE MAX WOL '!Z$4,'7. PGE_Efficacité'!$A$4:$AO$4,0)+62),0)</f>
        <v>0</v>
      </c>
      <c r="AA17" s="139">
        <f>VLOOKUP($E17,'7. PGE_Efficacité'!$A$6:$CY$266,(MATCH('4.5 ACE MAX WOL '!AA$4,'7. PGE_Efficacité'!$A$4:$AO$4,0)+62),0)</f>
        <v>0</v>
      </c>
      <c r="AB17" s="139">
        <f>VLOOKUP($E17,'7. PGE_Efficacité'!$A$6:$CY$266,(MATCH('4.5 ACE MAX WOL '!AB$4,'7. PGE_Efficacité'!$A$4:$AO$4,0)+62),0)</f>
        <v>0</v>
      </c>
      <c r="AC17" s="139">
        <f>VLOOKUP($E17,'7. PGE_Efficacité'!$A$6:$CY$266,(MATCH('4.5 ACE MAX WOL '!AC$4,'7. PGE_Efficacité'!$A$4:$AO$4,0)+62),0)</f>
        <v>0</v>
      </c>
      <c r="AD17" s="139">
        <f>VLOOKUP($E17,'7. PGE_Efficacité'!$A$6:$CY$266,(MATCH('4.5 ACE MAX WOL '!AD$4,'7. PGE_Efficacité'!$A$4:$AO$4,0)+62),0)</f>
        <v>0</v>
      </c>
      <c r="AE17" s="139">
        <f>VLOOKUP($E17,'7. PGE_Efficacité'!$A$6:$CY$266,(MATCH('4.5 ACE MAX WOL '!AE$4,'7. PGE_Efficacité'!$A$4:$AO$4,0)+62),0)</f>
        <v>0</v>
      </c>
      <c r="AF17" s="139">
        <f>VLOOKUP($E17,'7. PGE_Efficacité'!$A$6:$CY$266,(MATCH('4.5 ACE MAX WOL '!AF$4,'7. PGE_Efficacité'!$A$4:$AO$4,0)+62),0)</f>
        <v>0</v>
      </c>
      <c r="AG17" s="139" t="str">
        <f>VLOOKUP($E17,'7. PGE_Efficacité'!$A$6:$CY$266,(MATCH('4.5 ACE MAX WOL '!AG$4,'7. PGE_Efficacité'!$A$4:$AO$4,0)+62),0)</f>
        <v>++</v>
      </c>
      <c r="AH17" s="139" t="str">
        <f>VLOOKUP($E17,'7. PGE_Efficacité'!$A$6:$CY$266,(MATCH('4.5 ACE MAX WOL '!AH$4,'7. PGE_Efficacité'!$A$4:$AO$4,0)+62),0)</f>
        <v>++</v>
      </c>
      <c r="AI17" s="139" t="str">
        <f>VLOOKUP($E17,'7. PGE_Efficacité'!$A$6:$CY$266,(MATCH('4.5 ACE MAX WOL '!AI$4,'7. PGE_Efficacité'!$A$4:$AO$4,0)+62),0)</f>
        <v>++</v>
      </c>
      <c r="AJ17" s="139">
        <f>VLOOKUP($E17,'7. PGE_Efficacité'!$A$6:$CY$266,(MATCH('4.5 ACE MAX WOL '!AJ$4,'7. PGE_Efficacité'!$A$4:$AO$4,0)+62),0)</f>
        <v>0</v>
      </c>
      <c r="AK17" s="139">
        <f>VLOOKUP($E17,'7. PGE_Efficacité'!$A$6:$CY$266,(MATCH('4.5 ACE MAX WOL '!AK$4,'7. PGE_Efficacité'!$A$4:$AO$4,0)+62),0)</f>
        <v>0</v>
      </c>
      <c r="AL17" s="139">
        <f>VLOOKUP($E17,'7. PGE_Efficacité'!$A$6:$CY$266,(MATCH('4.5 ACE MAX WOL '!AL$4,'7. PGE_Efficacité'!$A$4:$AO$4,0)+62),0)</f>
        <v>0</v>
      </c>
      <c r="AM17" s="139">
        <f>VLOOKUP($E17,'7. PGE_Efficacité'!$A$6:$CY$266,(MATCH('4.5 ACE MAX WOL '!AM$4,'7. PGE_Efficacité'!$A$4:$AO$4,0)+62),0)</f>
        <v>0</v>
      </c>
      <c r="AN17" s="139">
        <f>VLOOKUP($E17,'7. PGE_Efficacité'!$A$6:$CY$266,(MATCH('4.5 ACE MAX WOL '!AN$4,'7. PGE_Efficacité'!$A$4:$AO$4,0)+62),0)</f>
        <v>0</v>
      </c>
    </row>
    <row r="18" spans="1:40" hidden="1" outlineLevel="2" x14ac:dyDescent="0.25">
      <c r="A18" s="48" t="s">
        <v>1524</v>
      </c>
      <c r="B18" s="49">
        <v>2</v>
      </c>
      <c r="C18" s="48" t="s">
        <v>1509</v>
      </c>
      <c r="D18" s="199" t="s">
        <v>1</v>
      </c>
      <c r="E18" s="200" t="s">
        <v>709</v>
      </c>
      <c r="F18" s="200" t="s">
        <v>1369</v>
      </c>
      <c r="G18" s="201" t="s">
        <v>1520</v>
      </c>
      <c r="H18" s="200" t="s">
        <v>416</v>
      </c>
      <c r="I18" s="202"/>
      <c r="J18" s="139">
        <f>VLOOKUP($E18,'7. PGE_Efficacité'!$A$6:$CY$266,(MATCH('4.5 ACE MAX WOL '!J$4,'7. PGE_Efficacité'!$A$4:$AO$4,0)+62),0)</f>
        <v>0</v>
      </c>
      <c r="K18" s="139">
        <f>VLOOKUP($E18,'7. PGE_Efficacité'!$A$6:$CY$266,(MATCH('4.5 ACE MAX WOL '!K$4,'7. PGE_Efficacité'!$A$4:$AO$4,0)+62),0)</f>
        <v>0</v>
      </c>
      <c r="L18" s="139">
        <f>VLOOKUP($E18,'7. PGE_Efficacité'!$A$6:$CY$266,(MATCH('4.5 ACE MAX WOL '!L$4,'7. PGE_Efficacité'!$A$4:$AO$4,0)+62),0)</f>
        <v>0</v>
      </c>
      <c r="M18" s="139">
        <f>VLOOKUP($E18,'7. PGE_Efficacité'!$A$6:$CY$266,(MATCH('4.5 ACE MAX WOL '!M$4,'7. PGE_Efficacité'!$A$4:$AO$4,0)+62),0)</f>
        <v>0</v>
      </c>
      <c r="N18" s="139">
        <f>VLOOKUP($E18,'7. PGE_Efficacité'!$A$6:$CY$266,(MATCH('4.5 ACE MAX WOL '!N$4,'7. PGE_Efficacité'!$A$4:$AO$4,0)+62),0)</f>
        <v>0</v>
      </c>
      <c r="O18" s="139">
        <f>VLOOKUP($E18,'7. PGE_Efficacité'!$A$6:$CY$266,78,0)</f>
        <v>0</v>
      </c>
      <c r="P18" s="139">
        <f>VLOOKUP($E18,'7. PGE_Efficacité'!$A$6:$CY$266,(MATCH('4.5 ACE MAX WOL '!P$4,'7. PGE_Efficacité'!$A$4:$AO$4,0)+62),0)</f>
        <v>0</v>
      </c>
      <c r="Q18" s="139">
        <f>VLOOKUP($E18,'7. PGE_Efficacité'!$A$6:$CY$266,(MATCH('4.5 ACE MAX WOL '!Q$4,'7. PGE_Efficacité'!$A$4:$AO$4,0)+62),0)</f>
        <v>0</v>
      </c>
      <c r="R18" s="139">
        <f>VLOOKUP($E18,'7. PGE_Efficacité'!$A$6:$CY$266,(MATCH('4.5 ACE MAX WOL '!R$4,'7. PGE_Efficacité'!$A$4:$AO$4,0)+62),0)</f>
        <v>0</v>
      </c>
      <c r="S18" s="139">
        <f>VLOOKUP($E18,'7. PGE_Efficacité'!$A$6:$CY$266,(MATCH('4.5 ACE MAX WOL '!S$4,'7. PGE_Efficacité'!$A$4:$AO$4,0)+62),0)</f>
        <v>0</v>
      </c>
      <c r="T18" s="139">
        <f>VLOOKUP($E18,'7. PGE_Efficacité'!$A$6:$CY$266,(MATCH('4.5 ACE MAX WOL '!T$4,'7. PGE_Efficacité'!$A$4:$AO$4,0)+62),0)</f>
        <v>0</v>
      </c>
      <c r="U18" s="139">
        <f>VLOOKUP($E18,'7. PGE_Efficacité'!$A$6:$CY$266,(MATCH('4.5 ACE MAX WOL '!U$4,'7. PGE_Efficacité'!$A$4:$AO$4,0)+62),0)</f>
        <v>0</v>
      </c>
      <c r="V18" s="139">
        <f>VLOOKUP($E18,'7. PGE_Efficacité'!$A$6:$CY$266,(MATCH('4.5 ACE MAX WOL '!V$4,'7. PGE_Efficacité'!$A$4:$AO$4,0)+62),0)</f>
        <v>0</v>
      </c>
      <c r="W18" s="139">
        <f>VLOOKUP($E18,'7. PGE_Efficacité'!$A$6:$CY$266,(MATCH('4.5 ACE MAX WOL '!W$4,'7. PGE_Efficacité'!$A$4:$AO$4,0)+62),0)</f>
        <v>0</v>
      </c>
      <c r="X18" s="139">
        <f>VLOOKUP($E18,'7. PGE_Efficacité'!$A$6:$CY$266,(MATCH('4.5 ACE MAX WOL '!X$4,'7. PGE_Efficacité'!$A$4:$AO$4,0)+62),0)</f>
        <v>0</v>
      </c>
      <c r="Y18" s="139">
        <f>VLOOKUP($E18,'7. PGE_Efficacité'!$A$6:$CY$266,(MATCH('4.5 ACE MAX WOL '!Y$4,'7. PGE_Efficacité'!$A$4:$AO$4,0)+62),0)</f>
        <v>0</v>
      </c>
      <c r="Z18" s="139">
        <f>VLOOKUP($E18,'7. PGE_Efficacité'!$A$6:$CY$266,(MATCH('4.5 ACE MAX WOL '!Z$4,'7. PGE_Efficacité'!$A$4:$AO$4,0)+62),0)</f>
        <v>0</v>
      </c>
      <c r="AA18" s="139">
        <f>VLOOKUP($E18,'7. PGE_Efficacité'!$A$6:$CY$266,(MATCH('4.5 ACE MAX WOL '!AA$4,'7. PGE_Efficacité'!$A$4:$AO$4,0)+62),0)</f>
        <v>0</v>
      </c>
      <c r="AB18" s="139">
        <f>VLOOKUP($E18,'7. PGE_Efficacité'!$A$6:$CY$266,(MATCH('4.5 ACE MAX WOL '!AB$4,'7. PGE_Efficacité'!$A$4:$AO$4,0)+62),0)</f>
        <v>0</v>
      </c>
      <c r="AC18" s="139">
        <f>VLOOKUP($E18,'7. PGE_Efficacité'!$A$6:$CY$266,(MATCH('4.5 ACE MAX WOL '!AC$4,'7. PGE_Efficacité'!$A$4:$AO$4,0)+62),0)</f>
        <v>0</v>
      </c>
      <c r="AD18" s="139">
        <f>VLOOKUP($E18,'7. PGE_Efficacité'!$A$6:$CY$266,(MATCH('4.5 ACE MAX WOL '!AD$4,'7. PGE_Efficacité'!$A$4:$AO$4,0)+62),0)</f>
        <v>0</v>
      </c>
      <c r="AE18" s="139">
        <f>VLOOKUP($E18,'7. PGE_Efficacité'!$A$6:$CY$266,(MATCH('4.5 ACE MAX WOL '!AE$4,'7. PGE_Efficacité'!$A$4:$AO$4,0)+62),0)</f>
        <v>0</v>
      </c>
      <c r="AF18" s="139">
        <f>VLOOKUP($E18,'7. PGE_Efficacité'!$A$6:$CY$266,(MATCH('4.5 ACE MAX WOL '!AF$4,'7. PGE_Efficacité'!$A$4:$AO$4,0)+62),0)</f>
        <v>0</v>
      </c>
      <c r="AG18" s="139">
        <f>VLOOKUP($E18,'7. PGE_Efficacité'!$A$6:$CY$266,(MATCH('4.5 ACE MAX WOL '!AG$4,'7. PGE_Efficacité'!$A$4:$AO$4,0)+62),0)</f>
        <v>0</v>
      </c>
      <c r="AH18" s="139">
        <f>VLOOKUP($E18,'7. PGE_Efficacité'!$A$6:$CY$266,(MATCH('4.5 ACE MAX WOL '!AH$4,'7. PGE_Efficacité'!$A$4:$AO$4,0)+62),0)</f>
        <v>0</v>
      </c>
      <c r="AI18" s="139">
        <f>VLOOKUP($E18,'7. PGE_Efficacité'!$A$6:$CY$266,(MATCH('4.5 ACE MAX WOL '!AI$4,'7. PGE_Efficacité'!$A$4:$AO$4,0)+62),0)</f>
        <v>0</v>
      </c>
      <c r="AJ18" s="139">
        <f>VLOOKUP($E18,'7. PGE_Efficacité'!$A$6:$CY$266,(MATCH('4.5 ACE MAX WOL '!AJ$4,'7. PGE_Efficacité'!$A$4:$AO$4,0)+62),0)</f>
        <v>0</v>
      </c>
      <c r="AK18" s="139">
        <f>VLOOKUP($E18,'7. PGE_Efficacité'!$A$6:$CY$266,(MATCH('4.5 ACE MAX WOL '!AK$4,'7. PGE_Efficacité'!$A$4:$AO$4,0)+62),0)</f>
        <v>0</v>
      </c>
      <c r="AL18" s="139">
        <f>VLOOKUP($E18,'7. PGE_Efficacité'!$A$6:$CY$266,(MATCH('4.5 ACE MAX WOL '!AL$4,'7. PGE_Efficacité'!$A$4:$AO$4,0)+62),0)</f>
        <v>0</v>
      </c>
      <c r="AM18" s="139">
        <f>VLOOKUP($E18,'7. PGE_Efficacité'!$A$6:$CY$266,(MATCH('4.5 ACE MAX WOL '!AM$4,'7. PGE_Efficacité'!$A$4:$AO$4,0)+62),0)</f>
        <v>0</v>
      </c>
      <c r="AN18" s="139">
        <f>VLOOKUP($E18,'7. PGE_Efficacité'!$A$6:$CY$266,(MATCH('4.5 ACE MAX WOL '!AN$4,'7. PGE_Efficacité'!$A$4:$AO$4,0)+62),0)</f>
        <v>0</v>
      </c>
    </row>
    <row r="19" spans="1:40" hidden="1" outlineLevel="2" x14ac:dyDescent="0.25">
      <c r="A19" s="48"/>
      <c r="B19" s="49"/>
      <c r="C19" s="48"/>
      <c r="D19" s="199" t="s">
        <v>1</v>
      </c>
      <c r="E19" s="200" t="s">
        <v>710</v>
      </c>
      <c r="F19" s="200" t="s">
        <v>1370</v>
      </c>
      <c r="G19" s="201" t="s">
        <v>1520</v>
      </c>
      <c r="H19" s="200" t="s">
        <v>416</v>
      </c>
      <c r="I19" s="202"/>
      <c r="J19" s="139">
        <f>VLOOKUP($E19,'7. PGE_Efficacité'!$A$6:$CY$266,(MATCH('4.5 ACE MAX WOL '!J$4,'7. PGE_Efficacité'!$A$4:$AO$4,0)+62),0)</f>
        <v>0</v>
      </c>
      <c r="K19" s="139">
        <f>VLOOKUP($E19,'7. PGE_Efficacité'!$A$6:$CY$266,(MATCH('4.5 ACE MAX WOL '!K$4,'7. PGE_Efficacité'!$A$4:$AO$4,0)+62),0)</f>
        <v>0</v>
      </c>
      <c r="L19" s="139">
        <f>VLOOKUP($E19,'7. PGE_Efficacité'!$A$6:$CY$266,(MATCH('4.5 ACE MAX WOL '!L$4,'7. PGE_Efficacité'!$A$4:$AO$4,0)+62),0)</f>
        <v>0</v>
      </c>
      <c r="M19" s="139">
        <f>VLOOKUP($E19,'7. PGE_Efficacité'!$A$6:$CY$266,(MATCH('4.5 ACE MAX WOL '!M$4,'7. PGE_Efficacité'!$A$4:$AO$4,0)+62),0)</f>
        <v>0</v>
      </c>
      <c r="N19" s="139">
        <f>VLOOKUP($E19,'7. PGE_Efficacité'!$A$6:$CY$266,(MATCH('4.5 ACE MAX WOL '!N$4,'7. PGE_Efficacité'!$A$4:$AO$4,0)+62),0)</f>
        <v>0</v>
      </c>
      <c r="O19" s="139">
        <f>VLOOKUP($E19,'7. PGE_Efficacité'!$A$6:$CY$266,78,0)</f>
        <v>0</v>
      </c>
      <c r="P19" s="139">
        <f>VLOOKUP($E19,'7. PGE_Efficacité'!$A$6:$CY$266,(MATCH('4.5 ACE MAX WOL '!P$4,'7. PGE_Efficacité'!$A$4:$AO$4,0)+62),0)</f>
        <v>0</v>
      </c>
      <c r="Q19" s="139">
        <f>VLOOKUP($E19,'7. PGE_Efficacité'!$A$6:$CY$266,(MATCH('4.5 ACE MAX WOL '!Q$4,'7. PGE_Efficacité'!$A$4:$AO$4,0)+62),0)</f>
        <v>0</v>
      </c>
      <c r="R19" s="139">
        <f>VLOOKUP($E19,'7. PGE_Efficacité'!$A$6:$CY$266,(MATCH('4.5 ACE MAX WOL '!R$4,'7. PGE_Efficacité'!$A$4:$AO$4,0)+62),0)</f>
        <v>0</v>
      </c>
      <c r="S19" s="139">
        <f>VLOOKUP($E19,'7. PGE_Efficacité'!$A$6:$CY$266,(MATCH('4.5 ACE MAX WOL '!S$4,'7. PGE_Efficacité'!$A$4:$AO$4,0)+62),0)</f>
        <v>0</v>
      </c>
      <c r="T19" s="139">
        <f>VLOOKUP($E19,'7. PGE_Efficacité'!$A$6:$CY$266,(MATCH('4.5 ACE MAX WOL '!T$4,'7. PGE_Efficacité'!$A$4:$AO$4,0)+62),0)</f>
        <v>0</v>
      </c>
      <c r="U19" s="139">
        <f>VLOOKUP($E19,'7. PGE_Efficacité'!$A$6:$CY$266,(MATCH('4.5 ACE MAX WOL '!U$4,'7. PGE_Efficacité'!$A$4:$AO$4,0)+62),0)</f>
        <v>0</v>
      </c>
      <c r="V19" s="139">
        <f>VLOOKUP($E19,'7. PGE_Efficacité'!$A$6:$CY$266,(MATCH('4.5 ACE MAX WOL '!V$4,'7. PGE_Efficacité'!$A$4:$AO$4,0)+62),0)</f>
        <v>0</v>
      </c>
      <c r="W19" s="139">
        <f>VLOOKUP($E19,'7. PGE_Efficacité'!$A$6:$CY$266,(MATCH('4.5 ACE MAX WOL '!W$4,'7. PGE_Efficacité'!$A$4:$AO$4,0)+62),0)</f>
        <v>0</v>
      </c>
      <c r="X19" s="139">
        <f>VLOOKUP($E19,'7. PGE_Efficacité'!$A$6:$CY$266,(MATCH('4.5 ACE MAX WOL '!X$4,'7. PGE_Efficacité'!$A$4:$AO$4,0)+62),0)</f>
        <v>0</v>
      </c>
      <c r="Y19" s="139">
        <f>VLOOKUP($E19,'7. PGE_Efficacité'!$A$6:$CY$266,(MATCH('4.5 ACE MAX WOL '!Y$4,'7. PGE_Efficacité'!$A$4:$AO$4,0)+62),0)</f>
        <v>0</v>
      </c>
      <c r="Z19" s="139">
        <f>VLOOKUP($E19,'7. PGE_Efficacité'!$A$6:$CY$266,(MATCH('4.5 ACE MAX WOL '!Z$4,'7. PGE_Efficacité'!$A$4:$AO$4,0)+62),0)</f>
        <v>0</v>
      </c>
      <c r="AA19" s="139">
        <f>VLOOKUP($E19,'7. PGE_Efficacité'!$A$6:$CY$266,(MATCH('4.5 ACE MAX WOL '!AA$4,'7. PGE_Efficacité'!$A$4:$AO$4,0)+62),0)</f>
        <v>0</v>
      </c>
      <c r="AB19" s="139">
        <f>VLOOKUP($E19,'7. PGE_Efficacité'!$A$6:$CY$266,(MATCH('4.5 ACE MAX WOL '!AB$4,'7. PGE_Efficacité'!$A$4:$AO$4,0)+62),0)</f>
        <v>0</v>
      </c>
      <c r="AC19" s="139">
        <f>VLOOKUP($E19,'7. PGE_Efficacité'!$A$6:$CY$266,(MATCH('4.5 ACE MAX WOL '!AC$4,'7. PGE_Efficacité'!$A$4:$AO$4,0)+62),0)</f>
        <v>0</v>
      </c>
      <c r="AD19" s="139">
        <f>VLOOKUP($E19,'7. PGE_Efficacité'!$A$6:$CY$266,(MATCH('4.5 ACE MAX WOL '!AD$4,'7. PGE_Efficacité'!$A$4:$AO$4,0)+62),0)</f>
        <v>0</v>
      </c>
      <c r="AE19" s="139">
        <f>VLOOKUP($E19,'7. PGE_Efficacité'!$A$6:$CY$266,(MATCH('4.5 ACE MAX WOL '!AE$4,'7. PGE_Efficacité'!$A$4:$AO$4,0)+62),0)</f>
        <v>0</v>
      </c>
      <c r="AF19" s="139">
        <f>VLOOKUP($E19,'7. PGE_Efficacité'!$A$6:$CY$266,(MATCH('4.5 ACE MAX WOL '!AF$4,'7. PGE_Efficacité'!$A$4:$AO$4,0)+62),0)</f>
        <v>0</v>
      </c>
      <c r="AG19" s="139">
        <f>VLOOKUP($E19,'7. PGE_Efficacité'!$A$6:$CY$266,(MATCH('4.5 ACE MAX WOL '!AG$4,'7. PGE_Efficacité'!$A$4:$AO$4,0)+62),0)</f>
        <v>0</v>
      </c>
      <c r="AH19" s="139">
        <f>VLOOKUP($E19,'7. PGE_Efficacité'!$A$6:$CY$266,(MATCH('4.5 ACE MAX WOL '!AH$4,'7. PGE_Efficacité'!$A$4:$AO$4,0)+62),0)</f>
        <v>0</v>
      </c>
      <c r="AI19" s="139">
        <f>VLOOKUP($E19,'7. PGE_Efficacité'!$A$6:$CY$266,(MATCH('4.5 ACE MAX WOL '!AI$4,'7. PGE_Efficacité'!$A$4:$AO$4,0)+62),0)</f>
        <v>0</v>
      </c>
      <c r="AJ19" s="139">
        <f>VLOOKUP($E19,'7. PGE_Efficacité'!$A$6:$CY$266,(MATCH('4.5 ACE MAX WOL '!AJ$4,'7. PGE_Efficacité'!$A$4:$AO$4,0)+62),0)</f>
        <v>0</v>
      </c>
      <c r="AK19" s="139">
        <f>VLOOKUP($E19,'7. PGE_Efficacité'!$A$6:$CY$266,(MATCH('4.5 ACE MAX WOL '!AK$4,'7. PGE_Efficacité'!$A$4:$AO$4,0)+62),0)</f>
        <v>0</v>
      </c>
      <c r="AL19" s="139">
        <f>VLOOKUP($E19,'7. PGE_Efficacité'!$A$6:$CY$266,(MATCH('4.5 ACE MAX WOL '!AL$4,'7. PGE_Efficacité'!$A$4:$AO$4,0)+62),0)</f>
        <v>0</v>
      </c>
      <c r="AM19" s="139">
        <f>VLOOKUP($E19,'7. PGE_Efficacité'!$A$6:$CY$266,(MATCH('4.5 ACE MAX WOL '!AM$4,'7. PGE_Efficacité'!$A$4:$AO$4,0)+62),0)</f>
        <v>0</v>
      </c>
      <c r="AN19" s="139">
        <f>VLOOKUP($E19,'7. PGE_Efficacité'!$A$6:$CY$266,(MATCH('4.5 ACE MAX WOL '!AN$4,'7. PGE_Efficacité'!$A$4:$AO$4,0)+62),0)</f>
        <v>0</v>
      </c>
    </row>
    <row r="20" spans="1:40" outlineLevel="1" collapsed="1" x14ac:dyDescent="0.25">
      <c r="A20" s="48"/>
      <c r="B20" s="49"/>
      <c r="C20" s="48"/>
      <c r="D20" s="194" t="s">
        <v>2</v>
      </c>
      <c r="E20" s="195"/>
      <c r="F20" s="196" t="str">
        <f>VLOOKUP(D20,'1. Mesures'!$A$2:$B$116,2,0)</f>
        <v>Supprimer les obstacles à la libre circulation des poissons</v>
      </c>
      <c r="G20" s="197"/>
      <c r="H20" s="195"/>
      <c r="I20" s="198">
        <f>MEDIAN(VLOOKUP(D20,'4. Mesures_ACE_Budget'!$A$3:$N$32,13,0),(VLOOKUP(D20,'4. Mesures_ACE_Budget'!$A$3:$N$32,14,0)))</f>
        <v>0</v>
      </c>
      <c r="J20" s="235">
        <f>VLOOKUP($D20,'7. PGE_Efficacité'!$A$6:$CY$266,(MATCH('4.5 ACE MAX WOL '!J$4,'7. PGE_Efficacité'!$A$4:$AO$4,0)+62),0)</f>
        <v>0</v>
      </c>
      <c r="K20" s="235">
        <f>VLOOKUP($D20,'7. PGE_Efficacité'!$A$6:$CY$266,(MATCH('4.5 ACE MAX WOL '!K$4,'7. PGE_Efficacité'!$A$4:$AO$4,0)+62),0)</f>
        <v>0</v>
      </c>
      <c r="L20" s="235">
        <f>VLOOKUP($D20,'7. PGE_Efficacité'!$A$6:$CY$266,(MATCH('4.5 ACE MAX WOL '!L$4,'7. PGE_Efficacité'!$A$4:$AO$4,0)+62),0)</f>
        <v>0</v>
      </c>
      <c r="M20" s="235">
        <f>VLOOKUP($D20,'7. PGE_Efficacité'!$A$6:$CY$266,(MATCH('4.5 ACE MAX WOL '!M$4,'7. PGE_Efficacité'!$A$4:$AO$4,0)+62),0)</f>
        <v>0</v>
      </c>
      <c r="N20" s="235">
        <f>VLOOKUP($D20,'7. PGE_Efficacité'!$A$6:$CY$266,(MATCH('4.5 ACE MAX WOL '!N$4,'7. PGE_Efficacité'!$A$4:$AO$4,0)+62),0)</f>
        <v>0</v>
      </c>
      <c r="O20" s="235">
        <f>VLOOKUP($D20,'7. PGE_Efficacité'!$A$6:$CY$266,78,0)</f>
        <v>0</v>
      </c>
      <c r="P20" s="235">
        <f>VLOOKUP($D20,'7. PGE_Efficacité'!$A$6:$CY$266,(MATCH('4.5 ACE MAX WOL '!P$4,'7. PGE_Efficacité'!$A$4:$AO$4,0)+62),0)</f>
        <v>0</v>
      </c>
      <c r="Q20" s="235">
        <f>VLOOKUP($D20,'7. PGE_Efficacité'!$A$6:$CY$266,(MATCH('4.5 ACE MAX WOL '!Q$4,'7. PGE_Efficacité'!$A$4:$AO$4,0)+62),0)</f>
        <v>0</v>
      </c>
      <c r="R20" s="235">
        <f>VLOOKUP($D20,'7. PGE_Efficacité'!$A$6:$CY$266,(MATCH('4.5 ACE MAX WOL '!R$4,'7. PGE_Efficacité'!$A$4:$AO$4,0)+62),0)</f>
        <v>0</v>
      </c>
      <c r="S20" s="235">
        <f>VLOOKUP($D20,'7. PGE_Efficacité'!$A$6:$CY$266,(MATCH('4.5 ACE MAX WOL '!S$4,'7. PGE_Efficacité'!$A$4:$AO$4,0)+62),0)</f>
        <v>0</v>
      </c>
      <c r="T20" s="235">
        <f>VLOOKUP($D20,'7. PGE_Efficacité'!$A$6:$CY$266,(MATCH('4.5 ACE MAX WOL '!T$4,'7. PGE_Efficacité'!$A$4:$AO$4,0)+62),0)</f>
        <v>0</v>
      </c>
      <c r="U20" s="235">
        <f>VLOOKUP($D20,'7. PGE_Efficacité'!$A$6:$CY$266,(MATCH('4.5 ACE MAX WOL '!U$4,'7. PGE_Efficacité'!$A$4:$AO$4,0)+62),0)</f>
        <v>0</v>
      </c>
      <c r="V20" s="235">
        <f>VLOOKUP($D20,'7. PGE_Efficacité'!$A$6:$CY$266,(MATCH('4.5 ACE MAX WOL '!V$4,'7. PGE_Efficacité'!$A$4:$AO$4,0)+62),0)</f>
        <v>0</v>
      </c>
      <c r="W20" s="235">
        <f>VLOOKUP($D20,'7. PGE_Efficacité'!$A$6:$CY$266,(MATCH('4.5 ACE MAX WOL '!W$4,'7. PGE_Efficacité'!$A$4:$AO$4,0)+62),0)</f>
        <v>0</v>
      </c>
      <c r="X20" s="235">
        <f>VLOOKUP($D20,'7. PGE_Efficacité'!$A$6:$CY$266,(MATCH('4.5 ACE MAX WOL '!X$4,'7. PGE_Efficacité'!$A$4:$AO$4,0)+62),0)</f>
        <v>0</v>
      </c>
      <c r="Y20" s="235">
        <f>VLOOKUP($D20,'7. PGE_Efficacité'!$A$6:$CY$266,(MATCH('4.5 ACE MAX WOL '!Y$4,'7. PGE_Efficacité'!$A$4:$AO$4,0)+62),0)</f>
        <v>0</v>
      </c>
      <c r="Z20" s="235">
        <f>VLOOKUP($D20,'7. PGE_Efficacité'!$A$6:$CY$266,(MATCH('4.5 ACE MAX WOL '!Z$4,'7. PGE_Efficacité'!$A$4:$AO$4,0)+62),0)</f>
        <v>0</v>
      </c>
      <c r="AA20" s="235">
        <f>VLOOKUP($D20,'7. PGE_Efficacité'!$A$6:$CY$266,(MATCH('4.5 ACE MAX WOL '!AA$4,'7. PGE_Efficacité'!$A$4:$AO$4,0)+62),0)</f>
        <v>0</v>
      </c>
      <c r="AB20" s="235">
        <f>VLOOKUP($D20,'7. PGE_Efficacité'!$A$6:$CY$266,(MATCH('4.5 ACE MAX WOL '!AB$4,'7. PGE_Efficacité'!$A$4:$AO$4,0)+62),0)</f>
        <v>0</v>
      </c>
      <c r="AC20" s="235">
        <f>VLOOKUP($D20,'7. PGE_Efficacité'!$A$6:$CY$266,(MATCH('4.5 ACE MAX WOL '!AC$4,'7. PGE_Efficacité'!$A$4:$AO$4,0)+62),0)</f>
        <v>0</v>
      </c>
      <c r="AD20" s="235">
        <f>VLOOKUP($D20,'7. PGE_Efficacité'!$A$6:$CY$266,(MATCH('4.5 ACE MAX WOL '!AD$4,'7. PGE_Efficacité'!$A$4:$AO$4,0)+62),0)</f>
        <v>0</v>
      </c>
      <c r="AE20" s="235">
        <f>VLOOKUP($D20,'7. PGE_Efficacité'!$A$6:$CY$266,(MATCH('4.5 ACE MAX WOL '!AE$4,'7. PGE_Efficacité'!$A$4:$AO$4,0)+62),0)</f>
        <v>0</v>
      </c>
      <c r="AF20" s="235">
        <f>VLOOKUP($D20,'7. PGE_Efficacité'!$A$6:$CY$266,(MATCH('4.5 ACE MAX WOL '!AF$4,'7. PGE_Efficacité'!$A$4:$AO$4,0)+62),0)</f>
        <v>0</v>
      </c>
      <c r="AG20" s="235" t="str">
        <f>VLOOKUP($D20,'7. PGE_Efficacité'!$A$6:$CY$266,(MATCH('4.5 ACE MAX WOL '!AG$4,'7. PGE_Efficacité'!$A$4:$AO$4,0)+62),0)</f>
        <v>++</v>
      </c>
      <c r="AH20" s="235">
        <f>VLOOKUP($D20,'7. PGE_Efficacité'!$A$6:$CY$266,(MATCH('4.5 ACE MAX WOL '!AH$4,'7. PGE_Efficacité'!$A$4:$AO$4,0)+62),0)</f>
        <v>0</v>
      </c>
      <c r="AI20" s="235">
        <f>VLOOKUP($D20,'7. PGE_Efficacité'!$A$6:$CY$266,(MATCH('4.5 ACE MAX WOL '!AI$4,'7. PGE_Efficacité'!$A$4:$AO$4,0)+62),0)</f>
        <v>0</v>
      </c>
      <c r="AJ20" s="235">
        <f>VLOOKUP($D20,'7. PGE_Efficacité'!$A$6:$CY$266,(MATCH('4.5 ACE MAX WOL '!AJ$4,'7. PGE_Efficacité'!$A$4:$AO$4,0)+62),0)</f>
        <v>0</v>
      </c>
      <c r="AK20" s="235">
        <f>VLOOKUP($D20,'7. PGE_Efficacité'!$A$6:$CY$266,(MATCH('4.5 ACE MAX WOL '!AK$4,'7. PGE_Efficacité'!$A$4:$AO$4,0)+62),0)</f>
        <v>0</v>
      </c>
      <c r="AL20" s="235">
        <f>VLOOKUP($D20,'7. PGE_Efficacité'!$A$6:$CY$266,(MATCH('4.5 ACE MAX WOL '!AL$4,'7. PGE_Efficacité'!$A$4:$AO$4,0)+62),0)</f>
        <v>0</v>
      </c>
      <c r="AM20" s="235">
        <f>VLOOKUP($D20,'7. PGE_Efficacité'!$A$6:$CY$266,(MATCH('4.5 ACE MAX WOL '!AM$4,'7. PGE_Efficacité'!$A$4:$AO$4,0)+62),0)</f>
        <v>0</v>
      </c>
      <c r="AN20" s="235" t="str">
        <f>VLOOKUP($D20,'7. PGE_Efficacité'!$A$6:$CY$266,(MATCH('4.5 ACE MAX WOL '!AN$4,'7. PGE_Efficacité'!$A$4:$AO$4,0)+62),0)</f>
        <v>++</v>
      </c>
    </row>
    <row r="21" spans="1:40" hidden="1" outlineLevel="2" x14ac:dyDescent="0.25">
      <c r="A21" s="48" t="s">
        <v>1524</v>
      </c>
      <c r="B21" s="49">
        <v>3</v>
      </c>
      <c r="C21" s="48" t="s">
        <v>1524</v>
      </c>
      <c r="D21" s="199" t="s">
        <v>2</v>
      </c>
      <c r="E21" s="200" t="s">
        <v>775</v>
      </c>
      <c r="F21" s="200" t="s">
        <v>1413</v>
      </c>
      <c r="G21" s="201" t="s">
        <v>1520</v>
      </c>
      <c r="H21" s="200" t="s">
        <v>416</v>
      </c>
      <c r="I21" s="202"/>
      <c r="J21" s="139">
        <f>VLOOKUP($E21,'7. PGE_Efficacité'!$A$6:$CY$266,(MATCH('4.5 ACE MAX WOL '!J$4,'7. PGE_Efficacité'!$A$4:$AO$4,0)+62),0)</f>
        <v>0</v>
      </c>
      <c r="K21" s="139">
        <f>VLOOKUP($E21,'7. PGE_Efficacité'!$A$6:$CY$266,(MATCH('4.5 ACE MAX WOL '!K$4,'7. PGE_Efficacité'!$A$4:$AO$4,0)+62),0)</f>
        <v>0</v>
      </c>
      <c r="L21" s="139">
        <f>VLOOKUP($E21,'7. PGE_Efficacité'!$A$6:$CY$266,(MATCH('4.5 ACE MAX WOL '!L$4,'7. PGE_Efficacité'!$A$4:$AO$4,0)+62),0)</f>
        <v>0</v>
      </c>
      <c r="M21" s="139">
        <f>VLOOKUP($E21,'7. PGE_Efficacité'!$A$6:$CY$266,(MATCH('4.5 ACE MAX WOL '!M$4,'7. PGE_Efficacité'!$A$4:$AO$4,0)+62),0)</f>
        <v>0</v>
      </c>
      <c r="N21" s="139">
        <f>VLOOKUP($E21,'7. PGE_Efficacité'!$A$6:$CY$266,(MATCH('4.5 ACE MAX WOL '!N$4,'7. PGE_Efficacité'!$A$4:$AO$4,0)+62),0)</f>
        <v>0</v>
      </c>
      <c r="O21" s="139">
        <f>VLOOKUP($E21,'7. PGE_Efficacité'!$A$6:$CY$266,78,0)</f>
        <v>0</v>
      </c>
      <c r="P21" s="139">
        <f>VLOOKUP($E21,'7. PGE_Efficacité'!$A$6:$CY$266,(MATCH('4.5 ACE MAX WOL '!P$4,'7. PGE_Efficacité'!$A$4:$AO$4,0)+62),0)</f>
        <v>0</v>
      </c>
      <c r="Q21" s="139">
        <f>VLOOKUP($E21,'7. PGE_Efficacité'!$A$6:$CY$266,(MATCH('4.5 ACE MAX WOL '!Q$4,'7. PGE_Efficacité'!$A$4:$AO$4,0)+62),0)</f>
        <v>0</v>
      </c>
      <c r="R21" s="139">
        <f>VLOOKUP($E21,'7. PGE_Efficacité'!$A$6:$CY$266,(MATCH('4.5 ACE MAX WOL '!R$4,'7. PGE_Efficacité'!$A$4:$AO$4,0)+62),0)</f>
        <v>0</v>
      </c>
      <c r="S21" s="139">
        <f>VLOOKUP($E21,'7. PGE_Efficacité'!$A$6:$CY$266,(MATCH('4.5 ACE MAX WOL '!S$4,'7. PGE_Efficacité'!$A$4:$AO$4,0)+62),0)</f>
        <v>0</v>
      </c>
      <c r="T21" s="139">
        <f>VLOOKUP($E21,'7. PGE_Efficacité'!$A$6:$CY$266,(MATCH('4.5 ACE MAX WOL '!T$4,'7. PGE_Efficacité'!$A$4:$AO$4,0)+62),0)</f>
        <v>0</v>
      </c>
      <c r="U21" s="139">
        <f>VLOOKUP($E21,'7. PGE_Efficacité'!$A$6:$CY$266,(MATCH('4.5 ACE MAX WOL '!U$4,'7. PGE_Efficacité'!$A$4:$AO$4,0)+62),0)</f>
        <v>0</v>
      </c>
      <c r="V21" s="139">
        <f>VLOOKUP($E21,'7. PGE_Efficacité'!$A$6:$CY$266,(MATCH('4.5 ACE MAX WOL '!V$4,'7. PGE_Efficacité'!$A$4:$AO$4,0)+62),0)</f>
        <v>0</v>
      </c>
      <c r="W21" s="139">
        <f>VLOOKUP($E21,'7. PGE_Efficacité'!$A$6:$CY$266,(MATCH('4.5 ACE MAX WOL '!W$4,'7. PGE_Efficacité'!$A$4:$AO$4,0)+62),0)</f>
        <v>0</v>
      </c>
      <c r="X21" s="139">
        <f>VLOOKUP($E21,'7. PGE_Efficacité'!$A$6:$CY$266,(MATCH('4.5 ACE MAX WOL '!X$4,'7. PGE_Efficacité'!$A$4:$AO$4,0)+62),0)</f>
        <v>0</v>
      </c>
      <c r="Y21" s="139">
        <f>VLOOKUP($E21,'7. PGE_Efficacité'!$A$6:$CY$266,(MATCH('4.5 ACE MAX WOL '!Y$4,'7. PGE_Efficacité'!$A$4:$AO$4,0)+62),0)</f>
        <v>0</v>
      </c>
      <c r="Z21" s="139">
        <f>VLOOKUP($E21,'7. PGE_Efficacité'!$A$6:$CY$266,(MATCH('4.5 ACE MAX WOL '!Z$4,'7. PGE_Efficacité'!$A$4:$AO$4,0)+62),0)</f>
        <v>0</v>
      </c>
      <c r="AA21" s="139">
        <f>VLOOKUP($E21,'7. PGE_Efficacité'!$A$6:$CY$266,(MATCH('4.5 ACE MAX WOL '!AA$4,'7. PGE_Efficacité'!$A$4:$AO$4,0)+62),0)</f>
        <v>0</v>
      </c>
      <c r="AB21" s="139">
        <f>VLOOKUP($E21,'7. PGE_Efficacité'!$A$6:$CY$266,(MATCH('4.5 ACE MAX WOL '!AB$4,'7. PGE_Efficacité'!$A$4:$AO$4,0)+62),0)</f>
        <v>0</v>
      </c>
      <c r="AC21" s="139">
        <f>VLOOKUP($E21,'7. PGE_Efficacité'!$A$6:$CY$266,(MATCH('4.5 ACE MAX WOL '!AC$4,'7. PGE_Efficacité'!$A$4:$AO$4,0)+62),0)</f>
        <v>0</v>
      </c>
      <c r="AD21" s="139">
        <f>VLOOKUP($E21,'7. PGE_Efficacité'!$A$6:$CY$266,(MATCH('4.5 ACE MAX WOL '!AD$4,'7. PGE_Efficacité'!$A$4:$AO$4,0)+62),0)</f>
        <v>0</v>
      </c>
      <c r="AE21" s="139">
        <f>VLOOKUP($E21,'7. PGE_Efficacité'!$A$6:$CY$266,(MATCH('4.5 ACE MAX WOL '!AE$4,'7. PGE_Efficacité'!$A$4:$AO$4,0)+62),0)</f>
        <v>0</v>
      </c>
      <c r="AF21" s="139">
        <f>VLOOKUP($E21,'7. PGE_Efficacité'!$A$6:$CY$266,(MATCH('4.5 ACE MAX WOL '!AF$4,'7. PGE_Efficacité'!$A$4:$AO$4,0)+62),0)</f>
        <v>0</v>
      </c>
      <c r="AG21" s="139">
        <f>VLOOKUP($E21,'7. PGE_Efficacité'!$A$6:$CY$266,(MATCH('4.5 ACE MAX WOL '!AG$4,'7. PGE_Efficacité'!$A$4:$AO$4,0)+62),0)</f>
        <v>0</v>
      </c>
      <c r="AH21" s="139">
        <f>VLOOKUP($E21,'7. PGE_Efficacité'!$A$6:$CY$266,(MATCH('4.5 ACE MAX WOL '!AH$4,'7. PGE_Efficacité'!$A$4:$AO$4,0)+62),0)</f>
        <v>0</v>
      </c>
      <c r="AI21" s="139">
        <f>VLOOKUP($E21,'7. PGE_Efficacité'!$A$6:$CY$266,(MATCH('4.5 ACE MAX WOL '!AI$4,'7. PGE_Efficacité'!$A$4:$AO$4,0)+62),0)</f>
        <v>0</v>
      </c>
      <c r="AJ21" s="139">
        <f>VLOOKUP($E21,'7. PGE_Efficacité'!$A$6:$CY$266,(MATCH('4.5 ACE MAX WOL '!AJ$4,'7. PGE_Efficacité'!$A$4:$AO$4,0)+62),0)</f>
        <v>0</v>
      </c>
      <c r="AK21" s="139">
        <f>VLOOKUP($E21,'7. PGE_Efficacité'!$A$6:$CY$266,(MATCH('4.5 ACE MAX WOL '!AK$4,'7. PGE_Efficacité'!$A$4:$AO$4,0)+62),0)</f>
        <v>0</v>
      </c>
      <c r="AL21" s="139">
        <f>VLOOKUP($E21,'7. PGE_Efficacité'!$A$6:$CY$266,(MATCH('4.5 ACE MAX WOL '!AL$4,'7. PGE_Efficacité'!$A$4:$AO$4,0)+62),0)</f>
        <v>0</v>
      </c>
      <c r="AM21" s="139">
        <f>VLOOKUP($E21,'7. PGE_Efficacité'!$A$6:$CY$266,(MATCH('4.5 ACE MAX WOL '!AM$4,'7. PGE_Efficacité'!$A$4:$AO$4,0)+62),0)</f>
        <v>0</v>
      </c>
      <c r="AN21" s="139">
        <f>VLOOKUP($E21,'7. PGE_Efficacité'!$A$6:$CY$266,(MATCH('4.5 ACE MAX WOL '!AN$4,'7. PGE_Efficacité'!$A$4:$AO$4,0)+62),0)</f>
        <v>0</v>
      </c>
    </row>
    <row r="22" spans="1:40" hidden="1" outlineLevel="2" x14ac:dyDescent="0.25">
      <c r="A22" s="48" t="s">
        <v>1524</v>
      </c>
      <c r="B22" s="49">
        <v>3</v>
      </c>
      <c r="C22" s="48" t="s">
        <v>1525</v>
      </c>
      <c r="D22" s="199" t="s">
        <v>2</v>
      </c>
      <c r="E22" s="200" t="s">
        <v>776</v>
      </c>
      <c r="F22" s="200" t="s">
        <v>1414</v>
      </c>
      <c r="G22" s="201" t="s">
        <v>1520</v>
      </c>
      <c r="H22" s="200" t="s">
        <v>416</v>
      </c>
      <c r="I22" s="202"/>
      <c r="J22" s="139">
        <f>VLOOKUP($E22,'7. PGE_Efficacité'!$A$6:$CY$266,(MATCH('4.5 ACE MAX WOL '!J$4,'7. PGE_Efficacité'!$A$4:$AO$4,0)+62),0)</f>
        <v>0</v>
      </c>
      <c r="K22" s="139">
        <f>VLOOKUP($E22,'7. PGE_Efficacité'!$A$6:$CY$266,(MATCH('4.5 ACE MAX WOL '!K$4,'7. PGE_Efficacité'!$A$4:$AO$4,0)+62),0)</f>
        <v>0</v>
      </c>
      <c r="L22" s="139">
        <f>VLOOKUP($E22,'7. PGE_Efficacité'!$A$6:$CY$266,(MATCH('4.5 ACE MAX WOL '!L$4,'7. PGE_Efficacité'!$A$4:$AO$4,0)+62),0)</f>
        <v>0</v>
      </c>
      <c r="M22" s="139">
        <f>VLOOKUP($E22,'7. PGE_Efficacité'!$A$6:$CY$266,(MATCH('4.5 ACE MAX WOL '!M$4,'7. PGE_Efficacité'!$A$4:$AO$4,0)+62),0)</f>
        <v>0</v>
      </c>
      <c r="N22" s="139">
        <f>VLOOKUP($E22,'7. PGE_Efficacité'!$A$6:$CY$266,(MATCH('4.5 ACE MAX WOL '!N$4,'7. PGE_Efficacité'!$A$4:$AO$4,0)+62),0)</f>
        <v>0</v>
      </c>
      <c r="O22" s="139">
        <f>VLOOKUP($E22,'7. PGE_Efficacité'!$A$6:$CY$266,78,0)</f>
        <v>0</v>
      </c>
      <c r="P22" s="139">
        <f>VLOOKUP($E22,'7. PGE_Efficacité'!$A$6:$CY$266,(MATCH('4.5 ACE MAX WOL '!P$4,'7. PGE_Efficacité'!$A$4:$AO$4,0)+62),0)</f>
        <v>0</v>
      </c>
      <c r="Q22" s="139">
        <f>VLOOKUP($E22,'7. PGE_Efficacité'!$A$6:$CY$266,(MATCH('4.5 ACE MAX WOL '!Q$4,'7. PGE_Efficacité'!$A$4:$AO$4,0)+62),0)</f>
        <v>0</v>
      </c>
      <c r="R22" s="139">
        <f>VLOOKUP($E22,'7. PGE_Efficacité'!$A$6:$CY$266,(MATCH('4.5 ACE MAX WOL '!R$4,'7. PGE_Efficacité'!$A$4:$AO$4,0)+62),0)</f>
        <v>0</v>
      </c>
      <c r="S22" s="139">
        <f>VLOOKUP($E22,'7. PGE_Efficacité'!$A$6:$CY$266,(MATCH('4.5 ACE MAX WOL '!S$4,'7. PGE_Efficacité'!$A$4:$AO$4,0)+62),0)</f>
        <v>0</v>
      </c>
      <c r="T22" s="139">
        <f>VLOOKUP($E22,'7. PGE_Efficacité'!$A$6:$CY$266,(MATCH('4.5 ACE MAX WOL '!T$4,'7. PGE_Efficacité'!$A$4:$AO$4,0)+62),0)</f>
        <v>0</v>
      </c>
      <c r="U22" s="139">
        <f>VLOOKUP($E22,'7. PGE_Efficacité'!$A$6:$CY$266,(MATCH('4.5 ACE MAX WOL '!U$4,'7. PGE_Efficacité'!$A$4:$AO$4,0)+62),0)</f>
        <v>0</v>
      </c>
      <c r="V22" s="139">
        <f>VLOOKUP($E22,'7. PGE_Efficacité'!$A$6:$CY$266,(MATCH('4.5 ACE MAX WOL '!V$4,'7. PGE_Efficacité'!$A$4:$AO$4,0)+62),0)</f>
        <v>0</v>
      </c>
      <c r="W22" s="139">
        <f>VLOOKUP($E22,'7. PGE_Efficacité'!$A$6:$CY$266,(MATCH('4.5 ACE MAX WOL '!W$4,'7. PGE_Efficacité'!$A$4:$AO$4,0)+62),0)</f>
        <v>0</v>
      </c>
      <c r="X22" s="139">
        <f>VLOOKUP($E22,'7. PGE_Efficacité'!$A$6:$CY$266,(MATCH('4.5 ACE MAX WOL '!X$4,'7. PGE_Efficacité'!$A$4:$AO$4,0)+62),0)</f>
        <v>0</v>
      </c>
      <c r="Y22" s="139">
        <f>VLOOKUP($E22,'7. PGE_Efficacité'!$A$6:$CY$266,(MATCH('4.5 ACE MAX WOL '!Y$4,'7. PGE_Efficacité'!$A$4:$AO$4,0)+62),0)</f>
        <v>0</v>
      </c>
      <c r="Z22" s="139">
        <f>VLOOKUP($E22,'7. PGE_Efficacité'!$A$6:$CY$266,(MATCH('4.5 ACE MAX WOL '!Z$4,'7. PGE_Efficacité'!$A$4:$AO$4,0)+62),0)</f>
        <v>0</v>
      </c>
      <c r="AA22" s="139">
        <f>VLOOKUP($E22,'7. PGE_Efficacité'!$A$6:$CY$266,(MATCH('4.5 ACE MAX WOL '!AA$4,'7. PGE_Efficacité'!$A$4:$AO$4,0)+62),0)</f>
        <v>0</v>
      </c>
      <c r="AB22" s="139">
        <f>VLOOKUP($E22,'7. PGE_Efficacité'!$A$6:$CY$266,(MATCH('4.5 ACE MAX WOL '!AB$4,'7. PGE_Efficacité'!$A$4:$AO$4,0)+62),0)</f>
        <v>0</v>
      </c>
      <c r="AC22" s="139">
        <f>VLOOKUP($E22,'7. PGE_Efficacité'!$A$6:$CY$266,(MATCH('4.5 ACE MAX WOL '!AC$4,'7. PGE_Efficacité'!$A$4:$AO$4,0)+62),0)</f>
        <v>0</v>
      </c>
      <c r="AD22" s="139">
        <f>VLOOKUP($E22,'7. PGE_Efficacité'!$A$6:$CY$266,(MATCH('4.5 ACE MAX WOL '!AD$4,'7. PGE_Efficacité'!$A$4:$AO$4,0)+62),0)</f>
        <v>0</v>
      </c>
      <c r="AE22" s="139">
        <f>VLOOKUP($E22,'7. PGE_Efficacité'!$A$6:$CY$266,(MATCH('4.5 ACE MAX WOL '!AE$4,'7. PGE_Efficacité'!$A$4:$AO$4,0)+62),0)</f>
        <v>0</v>
      </c>
      <c r="AF22" s="139">
        <f>VLOOKUP($E22,'7. PGE_Efficacité'!$A$6:$CY$266,(MATCH('4.5 ACE MAX WOL '!AF$4,'7. PGE_Efficacité'!$A$4:$AO$4,0)+62),0)</f>
        <v>0</v>
      </c>
      <c r="AG22" s="139">
        <f>VLOOKUP($E22,'7. PGE_Efficacité'!$A$6:$CY$266,(MATCH('4.5 ACE MAX WOL '!AG$4,'7. PGE_Efficacité'!$A$4:$AO$4,0)+62),0)</f>
        <v>0</v>
      </c>
      <c r="AH22" s="139">
        <f>VLOOKUP($E22,'7. PGE_Efficacité'!$A$6:$CY$266,(MATCH('4.5 ACE MAX WOL '!AH$4,'7. PGE_Efficacité'!$A$4:$AO$4,0)+62),0)</f>
        <v>0</v>
      </c>
      <c r="AI22" s="139">
        <f>VLOOKUP($E22,'7. PGE_Efficacité'!$A$6:$CY$266,(MATCH('4.5 ACE MAX WOL '!AI$4,'7. PGE_Efficacité'!$A$4:$AO$4,0)+62),0)</f>
        <v>0</v>
      </c>
      <c r="AJ22" s="139">
        <f>VLOOKUP($E22,'7. PGE_Efficacité'!$A$6:$CY$266,(MATCH('4.5 ACE MAX WOL '!AJ$4,'7. PGE_Efficacité'!$A$4:$AO$4,0)+62),0)</f>
        <v>0</v>
      </c>
      <c r="AK22" s="139">
        <f>VLOOKUP($E22,'7. PGE_Efficacité'!$A$6:$CY$266,(MATCH('4.5 ACE MAX WOL '!AK$4,'7. PGE_Efficacité'!$A$4:$AO$4,0)+62),0)</f>
        <v>0</v>
      </c>
      <c r="AL22" s="139">
        <f>VLOOKUP($E22,'7. PGE_Efficacité'!$A$6:$CY$266,(MATCH('4.5 ACE MAX WOL '!AL$4,'7. PGE_Efficacité'!$A$4:$AO$4,0)+62),0)</f>
        <v>0</v>
      </c>
      <c r="AM22" s="139">
        <f>VLOOKUP($E22,'7. PGE_Efficacité'!$A$6:$CY$266,(MATCH('4.5 ACE MAX WOL '!AM$4,'7. PGE_Efficacité'!$A$4:$AO$4,0)+62),0)</f>
        <v>0</v>
      </c>
      <c r="AN22" s="139">
        <f>VLOOKUP($E22,'7. PGE_Efficacité'!$A$6:$CY$266,(MATCH('4.5 ACE MAX WOL '!AN$4,'7. PGE_Efficacité'!$A$4:$AO$4,0)+62),0)</f>
        <v>0</v>
      </c>
    </row>
    <row r="23" spans="1:40" hidden="1" outlineLevel="2" x14ac:dyDescent="0.25">
      <c r="A23" s="48" t="s">
        <v>1524</v>
      </c>
      <c r="B23" s="49">
        <v>3</v>
      </c>
      <c r="C23" s="48" t="s">
        <v>1526</v>
      </c>
      <c r="D23" s="199" t="s">
        <v>2</v>
      </c>
      <c r="E23" s="200" t="s">
        <v>777</v>
      </c>
      <c r="F23" s="200" t="s">
        <v>1415</v>
      </c>
      <c r="G23" s="201" t="s">
        <v>1520</v>
      </c>
      <c r="H23" s="200" t="s">
        <v>416</v>
      </c>
      <c r="I23" s="202"/>
      <c r="J23" s="139">
        <f>VLOOKUP($E23,'7. PGE_Efficacité'!$A$6:$CY$266,(MATCH('4.5 ACE MAX WOL '!J$4,'7. PGE_Efficacité'!$A$4:$AO$4,0)+62),0)</f>
        <v>0</v>
      </c>
      <c r="K23" s="139">
        <f>VLOOKUP($E23,'7. PGE_Efficacité'!$A$6:$CY$266,(MATCH('4.5 ACE MAX WOL '!K$4,'7. PGE_Efficacité'!$A$4:$AO$4,0)+62),0)</f>
        <v>0</v>
      </c>
      <c r="L23" s="139">
        <f>VLOOKUP($E23,'7. PGE_Efficacité'!$A$6:$CY$266,(MATCH('4.5 ACE MAX WOL '!L$4,'7. PGE_Efficacité'!$A$4:$AO$4,0)+62),0)</f>
        <v>0</v>
      </c>
      <c r="M23" s="139">
        <f>VLOOKUP($E23,'7. PGE_Efficacité'!$A$6:$CY$266,(MATCH('4.5 ACE MAX WOL '!M$4,'7. PGE_Efficacité'!$A$4:$AO$4,0)+62),0)</f>
        <v>0</v>
      </c>
      <c r="N23" s="139">
        <f>VLOOKUP($E23,'7. PGE_Efficacité'!$A$6:$CY$266,(MATCH('4.5 ACE MAX WOL '!N$4,'7. PGE_Efficacité'!$A$4:$AO$4,0)+62),0)</f>
        <v>0</v>
      </c>
      <c r="O23" s="139">
        <f>VLOOKUP($E23,'7. PGE_Efficacité'!$A$6:$CY$266,78,0)</f>
        <v>0</v>
      </c>
      <c r="P23" s="139">
        <f>VLOOKUP($E23,'7. PGE_Efficacité'!$A$6:$CY$266,(MATCH('4.5 ACE MAX WOL '!P$4,'7. PGE_Efficacité'!$A$4:$AO$4,0)+62),0)</f>
        <v>0</v>
      </c>
      <c r="Q23" s="139">
        <f>VLOOKUP($E23,'7. PGE_Efficacité'!$A$6:$CY$266,(MATCH('4.5 ACE MAX WOL '!Q$4,'7. PGE_Efficacité'!$A$4:$AO$4,0)+62),0)</f>
        <v>0</v>
      </c>
      <c r="R23" s="139">
        <f>VLOOKUP($E23,'7. PGE_Efficacité'!$A$6:$CY$266,(MATCH('4.5 ACE MAX WOL '!R$4,'7. PGE_Efficacité'!$A$4:$AO$4,0)+62),0)</f>
        <v>0</v>
      </c>
      <c r="S23" s="139">
        <f>VLOOKUP($E23,'7. PGE_Efficacité'!$A$6:$CY$266,(MATCH('4.5 ACE MAX WOL '!S$4,'7. PGE_Efficacité'!$A$4:$AO$4,0)+62),0)</f>
        <v>0</v>
      </c>
      <c r="T23" s="139">
        <f>VLOOKUP($E23,'7. PGE_Efficacité'!$A$6:$CY$266,(MATCH('4.5 ACE MAX WOL '!T$4,'7. PGE_Efficacité'!$A$4:$AO$4,0)+62),0)</f>
        <v>0</v>
      </c>
      <c r="U23" s="139">
        <f>VLOOKUP($E23,'7. PGE_Efficacité'!$A$6:$CY$266,(MATCH('4.5 ACE MAX WOL '!U$4,'7. PGE_Efficacité'!$A$4:$AO$4,0)+62),0)</f>
        <v>0</v>
      </c>
      <c r="V23" s="139">
        <f>VLOOKUP($E23,'7. PGE_Efficacité'!$A$6:$CY$266,(MATCH('4.5 ACE MAX WOL '!V$4,'7. PGE_Efficacité'!$A$4:$AO$4,0)+62),0)</f>
        <v>0</v>
      </c>
      <c r="W23" s="139">
        <f>VLOOKUP($E23,'7. PGE_Efficacité'!$A$6:$CY$266,(MATCH('4.5 ACE MAX WOL '!W$4,'7. PGE_Efficacité'!$A$4:$AO$4,0)+62),0)</f>
        <v>0</v>
      </c>
      <c r="X23" s="139">
        <f>VLOOKUP($E23,'7. PGE_Efficacité'!$A$6:$CY$266,(MATCH('4.5 ACE MAX WOL '!X$4,'7. PGE_Efficacité'!$A$4:$AO$4,0)+62),0)</f>
        <v>0</v>
      </c>
      <c r="Y23" s="139">
        <f>VLOOKUP($E23,'7. PGE_Efficacité'!$A$6:$CY$266,(MATCH('4.5 ACE MAX WOL '!Y$4,'7. PGE_Efficacité'!$A$4:$AO$4,0)+62),0)</f>
        <v>0</v>
      </c>
      <c r="Z23" s="139">
        <f>VLOOKUP($E23,'7. PGE_Efficacité'!$A$6:$CY$266,(MATCH('4.5 ACE MAX WOL '!Z$4,'7. PGE_Efficacité'!$A$4:$AO$4,0)+62),0)</f>
        <v>0</v>
      </c>
      <c r="AA23" s="139">
        <f>VLOOKUP($E23,'7. PGE_Efficacité'!$A$6:$CY$266,(MATCH('4.5 ACE MAX WOL '!AA$4,'7. PGE_Efficacité'!$A$4:$AO$4,0)+62),0)</f>
        <v>0</v>
      </c>
      <c r="AB23" s="139">
        <f>VLOOKUP($E23,'7. PGE_Efficacité'!$A$6:$CY$266,(MATCH('4.5 ACE MAX WOL '!AB$4,'7. PGE_Efficacité'!$A$4:$AO$4,0)+62),0)</f>
        <v>0</v>
      </c>
      <c r="AC23" s="139">
        <f>VLOOKUP($E23,'7. PGE_Efficacité'!$A$6:$CY$266,(MATCH('4.5 ACE MAX WOL '!AC$4,'7. PGE_Efficacité'!$A$4:$AO$4,0)+62),0)</f>
        <v>0</v>
      </c>
      <c r="AD23" s="139">
        <f>VLOOKUP($E23,'7. PGE_Efficacité'!$A$6:$CY$266,(MATCH('4.5 ACE MAX WOL '!AD$4,'7. PGE_Efficacité'!$A$4:$AO$4,0)+62),0)</f>
        <v>0</v>
      </c>
      <c r="AE23" s="139">
        <f>VLOOKUP($E23,'7. PGE_Efficacité'!$A$6:$CY$266,(MATCH('4.5 ACE MAX WOL '!AE$4,'7. PGE_Efficacité'!$A$4:$AO$4,0)+62),0)</f>
        <v>0</v>
      </c>
      <c r="AF23" s="139">
        <f>VLOOKUP($E23,'7. PGE_Efficacité'!$A$6:$CY$266,(MATCH('4.5 ACE MAX WOL '!AF$4,'7. PGE_Efficacité'!$A$4:$AO$4,0)+62),0)</f>
        <v>0</v>
      </c>
      <c r="AG23" s="139" t="str">
        <f>VLOOKUP($E23,'7. PGE_Efficacité'!$A$6:$CY$266,(MATCH('4.5 ACE MAX WOL '!AG$4,'7. PGE_Efficacité'!$A$4:$AO$4,0)+62),0)</f>
        <v>++</v>
      </c>
      <c r="AH23" s="139">
        <f>VLOOKUP($E23,'7. PGE_Efficacité'!$A$6:$CY$266,(MATCH('4.5 ACE MAX WOL '!AH$4,'7. PGE_Efficacité'!$A$4:$AO$4,0)+62),0)</f>
        <v>0</v>
      </c>
      <c r="AI23" s="139">
        <f>VLOOKUP($E23,'7. PGE_Efficacité'!$A$6:$CY$266,(MATCH('4.5 ACE MAX WOL '!AI$4,'7. PGE_Efficacité'!$A$4:$AO$4,0)+62),0)</f>
        <v>0</v>
      </c>
      <c r="AJ23" s="139">
        <f>VLOOKUP($E23,'7. PGE_Efficacité'!$A$6:$CY$266,(MATCH('4.5 ACE MAX WOL '!AJ$4,'7. PGE_Efficacité'!$A$4:$AO$4,0)+62),0)</f>
        <v>0</v>
      </c>
      <c r="AK23" s="139">
        <f>VLOOKUP($E23,'7. PGE_Efficacité'!$A$6:$CY$266,(MATCH('4.5 ACE MAX WOL '!AK$4,'7. PGE_Efficacité'!$A$4:$AO$4,0)+62),0)</f>
        <v>0</v>
      </c>
      <c r="AL23" s="139">
        <f>VLOOKUP($E23,'7. PGE_Efficacité'!$A$6:$CY$266,(MATCH('4.5 ACE MAX WOL '!AL$4,'7. PGE_Efficacité'!$A$4:$AO$4,0)+62),0)</f>
        <v>0</v>
      </c>
      <c r="AM23" s="139">
        <f>VLOOKUP($E23,'7. PGE_Efficacité'!$A$6:$CY$266,(MATCH('4.5 ACE MAX WOL '!AM$4,'7. PGE_Efficacité'!$A$4:$AO$4,0)+62),0)</f>
        <v>0</v>
      </c>
      <c r="AN23" s="139" t="str">
        <f>VLOOKUP($E23,'7. PGE_Efficacité'!$A$6:$CY$266,(MATCH('4.5 ACE MAX WOL '!AN$4,'7. PGE_Efficacité'!$A$4:$AO$4,0)+62),0)</f>
        <v>++</v>
      </c>
    </row>
    <row r="24" spans="1:40" hidden="1" outlineLevel="2" x14ac:dyDescent="0.25">
      <c r="A24" s="48" t="s">
        <v>1524</v>
      </c>
      <c r="B24" s="49">
        <v>3</v>
      </c>
      <c r="C24" s="48" t="s">
        <v>1527</v>
      </c>
      <c r="D24" s="199" t="s">
        <v>2</v>
      </c>
      <c r="E24" s="200" t="s">
        <v>778</v>
      </c>
      <c r="F24" s="200" t="s">
        <v>1416</v>
      </c>
      <c r="G24" s="201" t="s">
        <v>1520</v>
      </c>
      <c r="H24" s="200" t="s">
        <v>416</v>
      </c>
      <c r="I24" s="202"/>
      <c r="J24" s="139">
        <f>VLOOKUP($E24,'7. PGE_Efficacité'!$A$6:$CY$266,(MATCH('4.5 ACE MAX WOL '!J$4,'7. PGE_Efficacité'!$A$4:$AO$4,0)+62),0)</f>
        <v>0</v>
      </c>
      <c r="K24" s="139">
        <f>VLOOKUP($E24,'7. PGE_Efficacité'!$A$6:$CY$266,(MATCH('4.5 ACE MAX WOL '!K$4,'7. PGE_Efficacité'!$A$4:$AO$4,0)+62),0)</f>
        <v>0</v>
      </c>
      <c r="L24" s="139">
        <f>VLOOKUP($E24,'7. PGE_Efficacité'!$A$6:$CY$266,(MATCH('4.5 ACE MAX WOL '!L$4,'7. PGE_Efficacité'!$A$4:$AO$4,0)+62),0)</f>
        <v>0</v>
      </c>
      <c r="M24" s="139">
        <f>VLOOKUP($E24,'7. PGE_Efficacité'!$A$6:$CY$266,(MATCH('4.5 ACE MAX WOL '!M$4,'7. PGE_Efficacité'!$A$4:$AO$4,0)+62),0)</f>
        <v>0</v>
      </c>
      <c r="N24" s="139">
        <f>VLOOKUP($E24,'7. PGE_Efficacité'!$A$6:$CY$266,(MATCH('4.5 ACE MAX WOL '!N$4,'7. PGE_Efficacité'!$A$4:$AO$4,0)+62),0)</f>
        <v>0</v>
      </c>
      <c r="O24" s="139">
        <f>VLOOKUP($E24,'7. PGE_Efficacité'!$A$6:$CY$266,78,0)</f>
        <v>0</v>
      </c>
      <c r="P24" s="139">
        <f>VLOOKUP($E24,'7. PGE_Efficacité'!$A$6:$CY$266,(MATCH('4.5 ACE MAX WOL '!P$4,'7. PGE_Efficacité'!$A$4:$AO$4,0)+62),0)</f>
        <v>0</v>
      </c>
      <c r="Q24" s="139">
        <f>VLOOKUP($E24,'7. PGE_Efficacité'!$A$6:$CY$266,(MATCH('4.5 ACE MAX WOL '!Q$4,'7. PGE_Efficacité'!$A$4:$AO$4,0)+62),0)</f>
        <v>0</v>
      </c>
      <c r="R24" s="139">
        <f>VLOOKUP($E24,'7. PGE_Efficacité'!$A$6:$CY$266,(MATCH('4.5 ACE MAX WOL '!R$4,'7. PGE_Efficacité'!$A$4:$AO$4,0)+62),0)</f>
        <v>0</v>
      </c>
      <c r="S24" s="139">
        <f>VLOOKUP($E24,'7. PGE_Efficacité'!$A$6:$CY$266,(MATCH('4.5 ACE MAX WOL '!S$4,'7. PGE_Efficacité'!$A$4:$AO$4,0)+62),0)</f>
        <v>0</v>
      </c>
      <c r="T24" s="139">
        <f>VLOOKUP($E24,'7. PGE_Efficacité'!$A$6:$CY$266,(MATCH('4.5 ACE MAX WOL '!T$4,'7. PGE_Efficacité'!$A$4:$AO$4,0)+62),0)</f>
        <v>0</v>
      </c>
      <c r="U24" s="139">
        <f>VLOOKUP($E24,'7. PGE_Efficacité'!$A$6:$CY$266,(MATCH('4.5 ACE MAX WOL '!U$4,'7. PGE_Efficacité'!$A$4:$AO$4,0)+62),0)</f>
        <v>0</v>
      </c>
      <c r="V24" s="139">
        <f>VLOOKUP($E24,'7. PGE_Efficacité'!$A$6:$CY$266,(MATCH('4.5 ACE MAX WOL '!V$4,'7. PGE_Efficacité'!$A$4:$AO$4,0)+62),0)</f>
        <v>0</v>
      </c>
      <c r="W24" s="139">
        <f>VLOOKUP($E24,'7. PGE_Efficacité'!$A$6:$CY$266,(MATCH('4.5 ACE MAX WOL '!W$4,'7. PGE_Efficacité'!$A$4:$AO$4,0)+62),0)</f>
        <v>0</v>
      </c>
      <c r="X24" s="139">
        <f>VLOOKUP($E24,'7. PGE_Efficacité'!$A$6:$CY$266,(MATCH('4.5 ACE MAX WOL '!X$4,'7. PGE_Efficacité'!$A$4:$AO$4,0)+62),0)</f>
        <v>0</v>
      </c>
      <c r="Y24" s="139">
        <f>VLOOKUP($E24,'7. PGE_Efficacité'!$A$6:$CY$266,(MATCH('4.5 ACE MAX WOL '!Y$4,'7. PGE_Efficacité'!$A$4:$AO$4,0)+62),0)</f>
        <v>0</v>
      </c>
      <c r="Z24" s="139">
        <f>VLOOKUP($E24,'7. PGE_Efficacité'!$A$6:$CY$266,(MATCH('4.5 ACE MAX WOL '!Z$4,'7. PGE_Efficacité'!$A$4:$AO$4,0)+62),0)</f>
        <v>0</v>
      </c>
      <c r="AA24" s="139">
        <f>VLOOKUP($E24,'7. PGE_Efficacité'!$A$6:$CY$266,(MATCH('4.5 ACE MAX WOL '!AA$4,'7. PGE_Efficacité'!$A$4:$AO$4,0)+62),0)</f>
        <v>0</v>
      </c>
      <c r="AB24" s="139">
        <f>VLOOKUP($E24,'7. PGE_Efficacité'!$A$6:$CY$266,(MATCH('4.5 ACE MAX WOL '!AB$4,'7. PGE_Efficacité'!$A$4:$AO$4,0)+62),0)</f>
        <v>0</v>
      </c>
      <c r="AC24" s="139">
        <f>VLOOKUP($E24,'7. PGE_Efficacité'!$A$6:$CY$266,(MATCH('4.5 ACE MAX WOL '!AC$4,'7. PGE_Efficacité'!$A$4:$AO$4,0)+62),0)</f>
        <v>0</v>
      </c>
      <c r="AD24" s="139">
        <f>VLOOKUP($E24,'7. PGE_Efficacité'!$A$6:$CY$266,(MATCH('4.5 ACE MAX WOL '!AD$4,'7. PGE_Efficacité'!$A$4:$AO$4,0)+62),0)</f>
        <v>0</v>
      </c>
      <c r="AE24" s="139">
        <f>VLOOKUP($E24,'7. PGE_Efficacité'!$A$6:$CY$266,(MATCH('4.5 ACE MAX WOL '!AE$4,'7. PGE_Efficacité'!$A$4:$AO$4,0)+62),0)</f>
        <v>0</v>
      </c>
      <c r="AF24" s="139">
        <f>VLOOKUP($E24,'7. PGE_Efficacité'!$A$6:$CY$266,(MATCH('4.5 ACE MAX WOL '!AF$4,'7. PGE_Efficacité'!$A$4:$AO$4,0)+62),0)</f>
        <v>0</v>
      </c>
      <c r="AG24" s="139" t="str">
        <f>VLOOKUP($E24,'7. PGE_Efficacité'!$A$6:$CY$266,(MATCH('4.5 ACE MAX WOL '!AG$4,'7. PGE_Efficacité'!$A$4:$AO$4,0)+62),0)</f>
        <v>++</v>
      </c>
      <c r="AH24" s="139">
        <f>VLOOKUP($E24,'7. PGE_Efficacité'!$A$6:$CY$266,(MATCH('4.5 ACE MAX WOL '!AH$4,'7. PGE_Efficacité'!$A$4:$AO$4,0)+62),0)</f>
        <v>0</v>
      </c>
      <c r="AI24" s="139">
        <f>VLOOKUP($E24,'7. PGE_Efficacité'!$A$6:$CY$266,(MATCH('4.5 ACE MAX WOL '!AI$4,'7. PGE_Efficacité'!$A$4:$AO$4,0)+62),0)</f>
        <v>0</v>
      </c>
      <c r="AJ24" s="139">
        <f>VLOOKUP($E24,'7. PGE_Efficacité'!$A$6:$CY$266,(MATCH('4.5 ACE MAX WOL '!AJ$4,'7. PGE_Efficacité'!$A$4:$AO$4,0)+62),0)</f>
        <v>0</v>
      </c>
      <c r="AK24" s="139">
        <f>VLOOKUP($E24,'7. PGE_Efficacité'!$A$6:$CY$266,(MATCH('4.5 ACE MAX WOL '!AK$4,'7. PGE_Efficacité'!$A$4:$AO$4,0)+62),0)</f>
        <v>0</v>
      </c>
      <c r="AL24" s="139">
        <f>VLOOKUP($E24,'7. PGE_Efficacité'!$A$6:$CY$266,(MATCH('4.5 ACE MAX WOL '!AL$4,'7. PGE_Efficacité'!$A$4:$AO$4,0)+62),0)</f>
        <v>0</v>
      </c>
      <c r="AM24" s="139">
        <f>VLOOKUP($E24,'7. PGE_Efficacité'!$A$6:$CY$266,(MATCH('4.5 ACE MAX WOL '!AM$4,'7. PGE_Efficacité'!$A$4:$AO$4,0)+62),0)</f>
        <v>0</v>
      </c>
      <c r="AN24" s="139" t="str">
        <f>VLOOKUP($E24,'7. PGE_Efficacité'!$A$6:$CY$266,(MATCH('4.5 ACE MAX WOL '!AN$4,'7. PGE_Efficacité'!$A$4:$AO$4,0)+62),0)</f>
        <v>++</v>
      </c>
    </row>
    <row r="25" spans="1:40" hidden="1" outlineLevel="2" x14ac:dyDescent="0.25">
      <c r="A25" s="48" t="s">
        <v>1524</v>
      </c>
      <c r="B25" s="49">
        <v>3</v>
      </c>
      <c r="C25" s="48" t="s">
        <v>1528</v>
      </c>
      <c r="D25" s="199" t="s">
        <v>2</v>
      </c>
      <c r="E25" s="200" t="s">
        <v>780</v>
      </c>
      <c r="F25" s="200" t="s">
        <v>1418</v>
      </c>
      <c r="G25" s="201" t="s">
        <v>1520</v>
      </c>
      <c r="H25" s="200" t="s">
        <v>416</v>
      </c>
      <c r="I25" s="202"/>
      <c r="J25" s="139">
        <f>VLOOKUP($E25,'7. PGE_Efficacité'!$A$6:$CY$266,(MATCH('4.5 ACE MAX WOL '!J$4,'7. PGE_Efficacité'!$A$4:$AO$4,0)+62),0)</f>
        <v>0</v>
      </c>
      <c r="K25" s="139">
        <f>VLOOKUP($E25,'7. PGE_Efficacité'!$A$6:$CY$266,(MATCH('4.5 ACE MAX WOL '!K$4,'7. PGE_Efficacité'!$A$4:$AO$4,0)+62),0)</f>
        <v>0</v>
      </c>
      <c r="L25" s="139">
        <f>VLOOKUP($E25,'7. PGE_Efficacité'!$A$6:$CY$266,(MATCH('4.5 ACE MAX WOL '!L$4,'7. PGE_Efficacité'!$A$4:$AO$4,0)+62),0)</f>
        <v>0</v>
      </c>
      <c r="M25" s="139">
        <f>VLOOKUP($E25,'7. PGE_Efficacité'!$A$6:$CY$266,(MATCH('4.5 ACE MAX WOL '!M$4,'7. PGE_Efficacité'!$A$4:$AO$4,0)+62),0)</f>
        <v>0</v>
      </c>
      <c r="N25" s="139">
        <f>VLOOKUP($E25,'7. PGE_Efficacité'!$A$6:$CY$266,(MATCH('4.5 ACE MAX WOL '!N$4,'7. PGE_Efficacité'!$A$4:$AO$4,0)+62),0)</f>
        <v>0</v>
      </c>
      <c r="O25" s="139">
        <f>VLOOKUP($E25,'7. PGE_Efficacité'!$A$6:$CY$266,78,0)</f>
        <v>0</v>
      </c>
      <c r="P25" s="139">
        <f>VLOOKUP($E25,'7. PGE_Efficacité'!$A$6:$CY$266,(MATCH('4.5 ACE MAX WOL '!P$4,'7. PGE_Efficacité'!$A$4:$AO$4,0)+62),0)</f>
        <v>0</v>
      </c>
      <c r="Q25" s="139">
        <f>VLOOKUP($E25,'7. PGE_Efficacité'!$A$6:$CY$266,(MATCH('4.5 ACE MAX WOL '!Q$4,'7. PGE_Efficacité'!$A$4:$AO$4,0)+62),0)</f>
        <v>0</v>
      </c>
      <c r="R25" s="139">
        <f>VLOOKUP($E25,'7. PGE_Efficacité'!$A$6:$CY$266,(MATCH('4.5 ACE MAX WOL '!R$4,'7. PGE_Efficacité'!$A$4:$AO$4,0)+62),0)</f>
        <v>0</v>
      </c>
      <c r="S25" s="139">
        <f>VLOOKUP($E25,'7. PGE_Efficacité'!$A$6:$CY$266,(MATCH('4.5 ACE MAX WOL '!S$4,'7. PGE_Efficacité'!$A$4:$AO$4,0)+62),0)</f>
        <v>0</v>
      </c>
      <c r="T25" s="139">
        <f>VLOOKUP($E25,'7. PGE_Efficacité'!$A$6:$CY$266,(MATCH('4.5 ACE MAX WOL '!T$4,'7. PGE_Efficacité'!$A$4:$AO$4,0)+62),0)</f>
        <v>0</v>
      </c>
      <c r="U25" s="139">
        <f>VLOOKUP($E25,'7. PGE_Efficacité'!$A$6:$CY$266,(MATCH('4.5 ACE MAX WOL '!U$4,'7. PGE_Efficacité'!$A$4:$AO$4,0)+62),0)</f>
        <v>0</v>
      </c>
      <c r="V25" s="139">
        <f>VLOOKUP($E25,'7. PGE_Efficacité'!$A$6:$CY$266,(MATCH('4.5 ACE MAX WOL '!V$4,'7. PGE_Efficacité'!$A$4:$AO$4,0)+62),0)</f>
        <v>0</v>
      </c>
      <c r="W25" s="139">
        <f>VLOOKUP($E25,'7. PGE_Efficacité'!$A$6:$CY$266,(MATCH('4.5 ACE MAX WOL '!W$4,'7. PGE_Efficacité'!$A$4:$AO$4,0)+62),0)</f>
        <v>0</v>
      </c>
      <c r="X25" s="139">
        <f>VLOOKUP($E25,'7. PGE_Efficacité'!$A$6:$CY$266,(MATCH('4.5 ACE MAX WOL '!X$4,'7. PGE_Efficacité'!$A$4:$AO$4,0)+62),0)</f>
        <v>0</v>
      </c>
      <c r="Y25" s="139">
        <f>VLOOKUP($E25,'7. PGE_Efficacité'!$A$6:$CY$266,(MATCH('4.5 ACE MAX WOL '!Y$4,'7. PGE_Efficacité'!$A$4:$AO$4,0)+62),0)</f>
        <v>0</v>
      </c>
      <c r="Z25" s="139">
        <f>VLOOKUP($E25,'7. PGE_Efficacité'!$A$6:$CY$266,(MATCH('4.5 ACE MAX WOL '!Z$4,'7. PGE_Efficacité'!$A$4:$AO$4,0)+62),0)</f>
        <v>0</v>
      </c>
      <c r="AA25" s="139">
        <f>VLOOKUP($E25,'7. PGE_Efficacité'!$A$6:$CY$266,(MATCH('4.5 ACE MAX WOL '!AA$4,'7. PGE_Efficacité'!$A$4:$AO$4,0)+62),0)</f>
        <v>0</v>
      </c>
      <c r="AB25" s="139">
        <f>VLOOKUP($E25,'7. PGE_Efficacité'!$A$6:$CY$266,(MATCH('4.5 ACE MAX WOL '!AB$4,'7. PGE_Efficacité'!$A$4:$AO$4,0)+62),0)</f>
        <v>0</v>
      </c>
      <c r="AC25" s="139">
        <f>VLOOKUP($E25,'7. PGE_Efficacité'!$A$6:$CY$266,(MATCH('4.5 ACE MAX WOL '!AC$4,'7. PGE_Efficacité'!$A$4:$AO$4,0)+62),0)</f>
        <v>0</v>
      </c>
      <c r="AD25" s="139">
        <f>VLOOKUP($E25,'7. PGE_Efficacité'!$A$6:$CY$266,(MATCH('4.5 ACE MAX WOL '!AD$4,'7. PGE_Efficacité'!$A$4:$AO$4,0)+62),0)</f>
        <v>0</v>
      </c>
      <c r="AE25" s="139">
        <f>VLOOKUP($E25,'7. PGE_Efficacité'!$A$6:$CY$266,(MATCH('4.5 ACE MAX WOL '!AE$4,'7. PGE_Efficacité'!$A$4:$AO$4,0)+62),0)</f>
        <v>0</v>
      </c>
      <c r="AF25" s="139">
        <f>VLOOKUP($E25,'7. PGE_Efficacité'!$A$6:$CY$266,(MATCH('4.5 ACE MAX WOL '!AF$4,'7. PGE_Efficacité'!$A$4:$AO$4,0)+62),0)</f>
        <v>0</v>
      </c>
      <c r="AG25" s="139">
        <f>VLOOKUP($E25,'7. PGE_Efficacité'!$A$6:$CY$266,(MATCH('4.5 ACE MAX WOL '!AG$4,'7. PGE_Efficacité'!$A$4:$AO$4,0)+62),0)</f>
        <v>0</v>
      </c>
      <c r="AH25" s="139">
        <f>VLOOKUP($E25,'7. PGE_Efficacité'!$A$6:$CY$266,(MATCH('4.5 ACE MAX WOL '!AH$4,'7. PGE_Efficacité'!$A$4:$AO$4,0)+62),0)</f>
        <v>0</v>
      </c>
      <c r="AI25" s="139">
        <f>VLOOKUP($E25,'7. PGE_Efficacité'!$A$6:$CY$266,(MATCH('4.5 ACE MAX WOL '!AI$4,'7. PGE_Efficacité'!$A$4:$AO$4,0)+62),0)</f>
        <v>0</v>
      </c>
      <c r="AJ25" s="139">
        <f>VLOOKUP($E25,'7. PGE_Efficacité'!$A$6:$CY$266,(MATCH('4.5 ACE MAX WOL '!AJ$4,'7. PGE_Efficacité'!$A$4:$AO$4,0)+62),0)</f>
        <v>0</v>
      </c>
      <c r="AK25" s="139">
        <f>VLOOKUP($E25,'7. PGE_Efficacité'!$A$6:$CY$266,(MATCH('4.5 ACE MAX WOL '!AK$4,'7. PGE_Efficacité'!$A$4:$AO$4,0)+62),0)</f>
        <v>0</v>
      </c>
      <c r="AL25" s="139">
        <f>VLOOKUP($E25,'7. PGE_Efficacité'!$A$6:$CY$266,(MATCH('4.5 ACE MAX WOL '!AL$4,'7. PGE_Efficacité'!$A$4:$AO$4,0)+62),0)</f>
        <v>0</v>
      </c>
      <c r="AM25" s="139">
        <f>VLOOKUP($E25,'7. PGE_Efficacité'!$A$6:$CY$266,(MATCH('4.5 ACE MAX WOL '!AM$4,'7. PGE_Efficacité'!$A$4:$AO$4,0)+62),0)</f>
        <v>0</v>
      </c>
      <c r="AN25" s="139">
        <f>VLOOKUP($E25,'7. PGE_Efficacité'!$A$6:$CY$266,(MATCH('4.5 ACE MAX WOL '!AN$4,'7. PGE_Efficacité'!$A$4:$AO$4,0)+62),0)</f>
        <v>0</v>
      </c>
    </row>
    <row r="26" spans="1:40" hidden="1" outlineLevel="2" x14ac:dyDescent="0.25">
      <c r="A26" s="48" t="s">
        <v>1524</v>
      </c>
      <c r="B26" s="49">
        <v>3</v>
      </c>
      <c r="C26" s="48" t="s">
        <v>1529</v>
      </c>
      <c r="D26" s="199" t="s">
        <v>2</v>
      </c>
      <c r="E26" s="200" t="s">
        <v>781</v>
      </c>
      <c r="F26" s="200" t="s">
        <v>1419</v>
      </c>
      <c r="G26" s="201" t="s">
        <v>1520</v>
      </c>
      <c r="H26" s="200" t="s">
        <v>416</v>
      </c>
      <c r="I26" s="202"/>
      <c r="J26" s="139">
        <f>VLOOKUP($E26,'7. PGE_Efficacité'!$A$6:$CY$266,(MATCH('4.5 ACE MAX WOL '!J$4,'7. PGE_Efficacité'!$A$4:$AO$4,0)+62),0)</f>
        <v>0</v>
      </c>
      <c r="K26" s="139">
        <f>VLOOKUP($E26,'7. PGE_Efficacité'!$A$6:$CY$266,(MATCH('4.5 ACE MAX WOL '!K$4,'7. PGE_Efficacité'!$A$4:$AO$4,0)+62),0)</f>
        <v>0</v>
      </c>
      <c r="L26" s="139">
        <f>VLOOKUP($E26,'7. PGE_Efficacité'!$A$6:$CY$266,(MATCH('4.5 ACE MAX WOL '!L$4,'7. PGE_Efficacité'!$A$4:$AO$4,0)+62),0)</f>
        <v>0</v>
      </c>
      <c r="M26" s="139">
        <f>VLOOKUP($E26,'7. PGE_Efficacité'!$A$6:$CY$266,(MATCH('4.5 ACE MAX WOL '!M$4,'7. PGE_Efficacité'!$A$4:$AO$4,0)+62),0)</f>
        <v>0</v>
      </c>
      <c r="N26" s="139">
        <f>VLOOKUP($E26,'7. PGE_Efficacité'!$A$6:$CY$266,(MATCH('4.5 ACE MAX WOL '!N$4,'7. PGE_Efficacité'!$A$4:$AO$4,0)+62),0)</f>
        <v>0</v>
      </c>
      <c r="O26" s="139">
        <f>VLOOKUP($E26,'7. PGE_Efficacité'!$A$6:$CY$266,78,0)</f>
        <v>0</v>
      </c>
      <c r="P26" s="139">
        <f>VLOOKUP($E26,'7. PGE_Efficacité'!$A$6:$CY$266,(MATCH('4.5 ACE MAX WOL '!P$4,'7. PGE_Efficacité'!$A$4:$AO$4,0)+62),0)</f>
        <v>0</v>
      </c>
      <c r="Q26" s="139">
        <f>VLOOKUP($E26,'7. PGE_Efficacité'!$A$6:$CY$266,(MATCH('4.5 ACE MAX WOL '!Q$4,'7. PGE_Efficacité'!$A$4:$AO$4,0)+62),0)</f>
        <v>0</v>
      </c>
      <c r="R26" s="139">
        <f>VLOOKUP($E26,'7. PGE_Efficacité'!$A$6:$CY$266,(MATCH('4.5 ACE MAX WOL '!R$4,'7. PGE_Efficacité'!$A$4:$AO$4,0)+62),0)</f>
        <v>0</v>
      </c>
      <c r="S26" s="139">
        <f>VLOOKUP($E26,'7. PGE_Efficacité'!$A$6:$CY$266,(MATCH('4.5 ACE MAX WOL '!S$4,'7. PGE_Efficacité'!$A$4:$AO$4,0)+62),0)</f>
        <v>0</v>
      </c>
      <c r="T26" s="139">
        <f>VLOOKUP($E26,'7. PGE_Efficacité'!$A$6:$CY$266,(MATCH('4.5 ACE MAX WOL '!T$4,'7. PGE_Efficacité'!$A$4:$AO$4,0)+62),0)</f>
        <v>0</v>
      </c>
      <c r="U26" s="139">
        <f>VLOOKUP($E26,'7. PGE_Efficacité'!$A$6:$CY$266,(MATCH('4.5 ACE MAX WOL '!U$4,'7. PGE_Efficacité'!$A$4:$AO$4,0)+62),0)</f>
        <v>0</v>
      </c>
      <c r="V26" s="139">
        <f>VLOOKUP($E26,'7. PGE_Efficacité'!$A$6:$CY$266,(MATCH('4.5 ACE MAX WOL '!V$4,'7. PGE_Efficacité'!$A$4:$AO$4,0)+62),0)</f>
        <v>0</v>
      </c>
      <c r="W26" s="139">
        <f>VLOOKUP($E26,'7. PGE_Efficacité'!$A$6:$CY$266,(MATCH('4.5 ACE MAX WOL '!W$4,'7. PGE_Efficacité'!$A$4:$AO$4,0)+62),0)</f>
        <v>0</v>
      </c>
      <c r="X26" s="139">
        <f>VLOOKUP($E26,'7. PGE_Efficacité'!$A$6:$CY$266,(MATCH('4.5 ACE MAX WOL '!X$4,'7. PGE_Efficacité'!$A$4:$AO$4,0)+62),0)</f>
        <v>0</v>
      </c>
      <c r="Y26" s="139">
        <f>VLOOKUP($E26,'7. PGE_Efficacité'!$A$6:$CY$266,(MATCH('4.5 ACE MAX WOL '!Y$4,'7. PGE_Efficacité'!$A$4:$AO$4,0)+62),0)</f>
        <v>0</v>
      </c>
      <c r="Z26" s="139">
        <f>VLOOKUP($E26,'7. PGE_Efficacité'!$A$6:$CY$266,(MATCH('4.5 ACE MAX WOL '!Z$4,'7. PGE_Efficacité'!$A$4:$AO$4,0)+62),0)</f>
        <v>0</v>
      </c>
      <c r="AA26" s="139">
        <f>VLOOKUP($E26,'7. PGE_Efficacité'!$A$6:$CY$266,(MATCH('4.5 ACE MAX WOL '!AA$4,'7. PGE_Efficacité'!$A$4:$AO$4,0)+62),0)</f>
        <v>0</v>
      </c>
      <c r="AB26" s="139">
        <f>VLOOKUP($E26,'7. PGE_Efficacité'!$A$6:$CY$266,(MATCH('4.5 ACE MAX WOL '!AB$4,'7. PGE_Efficacité'!$A$4:$AO$4,0)+62),0)</f>
        <v>0</v>
      </c>
      <c r="AC26" s="139">
        <f>VLOOKUP($E26,'7. PGE_Efficacité'!$A$6:$CY$266,(MATCH('4.5 ACE MAX WOL '!AC$4,'7. PGE_Efficacité'!$A$4:$AO$4,0)+62),0)</f>
        <v>0</v>
      </c>
      <c r="AD26" s="139">
        <f>VLOOKUP($E26,'7. PGE_Efficacité'!$A$6:$CY$266,(MATCH('4.5 ACE MAX WOL '!AD$4,'7. PGE_Efficacité'!$A$4:$AO$4,0)+62),0)</f>
        <v>0</v>
      </c>
      <c r="AE26" s="139">
        <f>VLOOKUP($E26,'7. PGE_Efficacité'!$A$6:$CY$266,(MATCH('4.5 ACE MAX WOL '!AE$4,'7. PGE_Efficacité'!$A$4:$AO$4,0)+62),0)</f>
        <v>0</v>
      </c>
      <c r="AF26" s="139">
        <f>VLOOKUP($E26,'7. PGE_Efficacité'!$A$6:$CY$266,(MATCH('4.5 ACE MAX WOL '!AF$4,'7. PGE_Efficacité'!$A$4:$AO$4,0)+62),0)</f>
        <v>0</v>
      </c>
      <c r="AG26" s="139">
        <f>VLOOKUP($E26,'7. PGE_Efficacité'!$A$6:$CY$266,(MATCH('4.5 ACE MAX WOL '!AG$4,'7. PGE_Efficacité'!$A$4:$AO$4,0)+62),0)</f>
        <v>0</v>
      </c>
      <c r="AH26" s="139">
        <f>VLOOKUP($E26,'7. PGE_Efficacité'!$A$6:$CY$266,(MATCH('4.5 ACE MAX WOL '!AH$4,'7. PGE_Efficacité'!$A$4:$AO$4,0)+62),0)</f>
        <v>0</v>
      </c>
      <c r="AI26" s="139">
        <f>VLOOKUP($E26,'7. PGE_Efficacité'!$A$6:$CY$266,(MATCH('4.5 ACE MAX WOL '!AI$4,'7. PGE_Efficacité'!$A$4:$AO$4,0)+62),0)</f>
        <v>0</v>
      </c>
      <c r="AJ26" s="139">
        <f>VLOOKUP($E26,'7. PGE_Efficacité'!$A$6:$CY$266,(MATCH('4.5 ACE MAX WOL '!AJ$4,'7. PGE_Efficacité'!$A$4:$AO$4,0)+62),0)</f>
        <v>0</v>
      </c>
      <c r="AK26" s="139">
        <f>VLOOKUP($E26,'7. PGE_Efficacité'!$A$6:$CY$266,(MATCH('4.5 ACE MAX WOL '!AK$4,'7. PGE_Efficacité'!$A$4:$AO$4,0)+62),0)</f>
        <v>0</v>
      </c>
      <c r="AL26" s="139">
        <f>VLOOKUP($E26,'7. PGE_Efficacité'!$A$6:$CY$266,(MATCH('4.5 ACE MAX WOL '!AL$4,'7. PGE_Efficacité'!$A$4:$AO$4,0)+62),0)</f>
        <v>0</v>
      </c>
      <c r="AM26" s="139">
        <f>VLOOKUP($E26,'7. PGE_Efficacité'!$A$6:$CY$266,(MATCH('4.5 ACE MAX WOL '!AM$4,'7. PGE_Efficacité'!$A$4:$AO$4,0)+62),0)</f>
        <v>0</v>
      </c>
      <c r="AN26" s="139">
        <f>VLOOKUP($E26,'7. PGE_Efficacité'!$A$6:$CY$266,(MATCH('4.5 ACE MAX WOL '!AN$4,'7. PGE_Efficacité'!$A$4:$AO$4,0)+62),0)</f>
        <v>0</v>
      </c>
    </row>
    <row r="27" spans="1:40" hidden="1" outlineLevel="2" x14ac:dyDescent="0.25">
      <c r="A27" s="48"/>
      <c r="B27" s="49"/>
      <c r="C27" s="48"/>
      <c r="D27" s="199" t="s">
        <v>2</v>
      </c>
      <c r="E27" s="200" t="s">
        <v>782</v>
      </c>
      <c r="F27" s="200" t="s">
        <v>1420</v>
      </c>
      <c r="G27" s="201" t="s">
        <v>1520</v>
      </c>
      <c r="H27" s="200" t="s">
        <v>416</v>
      </c>
      <c r="I27" s="202"/>
      <c r="J27" s="139">
        <f>VLOOKUP($E27,'7. PGE_Efficacité'!$A$6:$CY$266,(MATCH('4.5 ACE MAX WOL '!J$4,'7. PGE_Efficacité'!$A$4:$AO$4,0)+62),0)</f>
        <v>0</v>
      </c>
      <c r="K27" s="139">
        <f>VLOOKUP($E27,'7. PGE_Efficacité'!$A$6:$CY$266,(MATCH('4.5 ACE MAX WOL '!K$4,'7. PGE_Efficacité'!$A$4:$AO$4,0)+62),0)</f>
        <v>0</v>
      </c>
      <c r="L27" s="139">
        <f>VLOOKUP($E27,'7. PGE_Efficacité'!$A$6:$CY$266,(MATCH('4.5 ACE MAX WOL '!L$4,'7. PGE_Efficacité'!$A$4:$AO$4,0)+62),0)</f>
        <v>0</v>
      </c>
      <c r="M27" s="139">
        <f>VLOOKUP($E27,'7. PGE_Efficacité'!$A$6:$CY$266,(MATCH('4.5 ACE MAX WOL '!M$4,'7. PGE_Efficacité'!$A$4:$AO$4,0)+62),0)</f>
        <v>0</v>
      </c>
      <c r="N27" s="139">
        <f>VLOOKUP($E27,'7. PGE_Efficacité'!$A$6:$CY$266,(MATCH('4.5 ACE MAX WOL '!N$4,'7. PGE_Efficacité'!$A$4:$AO$4,0)+62),0)</f>
        <v>0</v>
      </c>
      <c r="O27" s="139">
        <f>VLOOKUP($E27,'7. PGE_Efficacité'!$A$6:$CY$266,78,0)</f>
        <v>0</v>
      </c>
      <c r="P27" s="139">
        <f>VLOOKUP($E27,'7. PGE_Efficacité'!$A$6:$CY$266,(MATCH('4.5 ACE MAX WOL '!P$4,'7. PGE_Efficacité'!$A$4:$AO$4,0)+62),0)</f>
        <v>0</v>
      </c>
      <c r="Q27" s="139">
        <f>VLOOKUP($E27,'7. PGE_Efficacité'!$A$6:$CY$266,(MATCH('4.5 ACE MAX WOL '!Q$4,'7. PGE_Efficacité'!$A$4:$AO$4,0)+62),0)</f>
        <v>0</v>
      </c>
      <c r="R27" s="139">
        <f>VLOOKUP($E27,'7. PGE_Efficacité'!$A$6:$CY$266,(MATCH('4.5 ACE MAX WOL '!R$4,'7. PGE_Efficacité'!$A$4:$AO$4,0)+62),0)</f>
        <v>0</v>
      </c>
      <c r="S27" s="139">
        <f>VLOOKUP($E27,'7. PGE_Efficacité'!$A$6:$CY$266,(MATCH('4.5 ACE MAX WOL '!S$4,'7. PGE_Efficacité'!$A$4:$AO$4,0)+62),0)</f>
        <v>0</v>
      </c>
      <c r="T27" s="139">
        <f>VLOOKUP($E27,'7. PGE_Efficacité'!$A$6:$CY$266,(MATCH('4.5 ACE MAX WOL '!T$4,'7. PGE_Efficacité'!$A$4:$AO$4,0)+62),0)</f>
        <v>0</v>
      </c>
      <c r="U27" s="139">
        <f>VLOOKUP($E27,'7. PGE_Efficacité'!$A$6:$CY$266,(MATCH('4.5 ACE MAX WOL '!U$4,'7. PGE_Efficacité'!$A$4:$AO$4,0)+62),0)</f>
        <v>0</v>
      </c>
      <c r="V27" s="139">
        <f>VLOOKUP($E27,'7. PGE_Efficacité'!$A$6:$CY$266,(MATCH('4.5 ACE MAX WOL '!V$4,'7. PGE_Efficacité'!$A$4:$AO$4,0)+62),0)</f>
        <v>0</v>
      </c>
      <c r="W27" s="139">
        <f>VLOOKUP($E27,'7. PGE_Efficacité'!$A$6:$CY$266,(MATCH('4.5 ACE MAX WOL '!W$4,'7. PGE_Efficacité'!$A$4:$AO$4,0)+62),0)</f>
        <v>0</v>
      </c>
      <c r="X27" s="139">
        <f>VLOOKUP($E27,'7. PGE_Efficacité'!$A$6:$CY$266,(MATCH('4.5 ACE MAX WOL '!X$4,'7. PGE_Efficacité'!$A$4:$AO$4,0)+62),0)</f>
        <v>0</v>
      </c>
      <c r="Y27" s="139">
        <f>VLOOKUP($E27,'7. PGE_Efficacité'!$A$6:$CY$266,(MATCH('4.5 ACE MAX WOL '!Y$4,'7. PGE_Efficacité'!$A$4:$AO$4,0)+62),0)</f>
        <v>0</v>
      </c>
      <c r="Z27" s="139">
        <f>VLOOKUP($E27,'7. PGE_Efficacité'!$A$6:$CY$266,(MATCH('4.5 ACE MAX WOL '!Z$4,'7. PGE_Efficacité'!$A$4:$AO$4,0)+62),0)</f>
        <v>0</v>
      </c>
      <c r="AA27" s="139">
        <f>VLOOKUP($E27,'7. PGE_Efficacité'!$A$6:$CY$266,(MATCH('4.5 ACE MAX WOL '!AA$4,'7. PGE_Efficacité'!$A$4:$AO$4,0)+62),0)</f>
        <v>0</v>
      </c>
      <c r="AB27" s="139">
        <f>VLOOKUP($E27,'7. PGE_Efficacité'!$A$6:$CY$266,(MATCH('4.5 ACE MAX WOL '!AB$4,'7. PGE_Efficacité'!$A$4:$AO$4,0)+62),0)</f>
        <v>0</v>
      </c>
      <c r="AC27" s="139">
        <f>VLOOKUP($E27,'7. PGE_Efficacité'!$A$6:$CY$266,(MATCH('4.5 ACE MAX WOL '!AC$4,'7. PGE_Efficacité'!$A$4:$AO$4,0)+62),0)</f>
        <v>0</v>
      </c>
      <c r="AD27" s="139">
        <f>VLOOKUP($E27,'7. PGE_Efficacité'!$A$6:$CY$266,(MATCH('4.5 ACE MAX WOL '!AD$4,'7. PGE_Efficacité'!$A$4:$AO$4,0)+62),0)</f>
        <v>0</v>
      </c>
      <c r="AE27" s="139">
        <f>VLOOKUP($E27,'7. PGE_Efficacité'!$A$6:$CY$266,(MATCH('4.5 ACE MAX WOL '!AE$4,'7. PGE_Efficacité'!$A$4:$AO$4,0)+62),0)</f>
        <v>0</v>
      </c>
      <c r="AF27" s="139">
        <f>VLOOKUP($E27,'7. PGE_Efficacité'!$A$6:$CY$266,(MATCH('4.5 ACE MAX WOL '!AF$4,'7. PGE_Efficacité'!$A$4:$AO$4,0)+62),0)</f>
        <v>0</v>
      </c>
      <c r="AG27" s="139" t="str">
        <f>VLOOKUP($E27,'7. PGE_Efficacité'!$A$6:$CY$266,(MATCH('4.5 ACE MAX WOL '!AG$4,'7. PGE_Efficacité'!$A$4:$AO$4,0)+62),0)</f>
        <v>+++</v>
      </c>
      <c r="AH27" s="139">
        <f>VLOOKUP($E27,'7. PGE_Efficacité'!$A$6:$CY$266,(MATCH('4.5 ACE MAX WOL '!AH$4,'7. PGE_Efficacité'!$A$4:$AO$4,0)+62),0)</f>
        <v>0</v>
      </c>
      <c r="AI27" s="139">
        <f>VLOOKUP($E27,'7. PGE_Efficacité'!$A$6:$CY$266,(MATCH('4.5 ACE MAX WOL '!AI$4,'7. PGE_Efficacité'!$A$4:$AO$4,0)+62),0)</f>
        <v>0</v>
      </c>
      <c r="AJ27" s="139">
        <f>VLOOKUP($E27,'7. PGE_Efficacité'!$A$6:$CY$266,(MATCH('4.5 ACE MAX WOL '!AJ$4,'7. PGE_Efficacité'!$A$4:$AO$4,0)+62),0)</f>
        <v>0</v>
      </c>
      <c r="AK27" s="139">
        <f>VLOOKUP($E27,'7. PGE_Efficacité'!$A$6:$CY$266,(MATCH('4.5 ACE MAX WOL '!AK$4,'7. PGE_Efficacité'!$A$4:$AO$4,0)+62),0)</f>
        <v>0</v>
      </c>
      <c r="AL27" s="139">
        <f>VLOOKUP($E27,'7. PGE_Efficacité'!$A$6:$CY$266,(MATCH('4.5 ACE MAX WOL '!AL$4,'7. PGE_Efficacité'!$A$4:$AO$4,0)+62),0)</f>
        <v>0</v>
      </c>
      <c r="AM27" s="139">
        <f>VLOOKUP($E27,'7. PGE_Efficacité'!$A$6:$CY$266,(MATCH('4.5 ACE MAX WOL '!AM$4,'7. PGE_Efficacité'!$A$4:$AO$4,0)+62),0)</f>
        <v>0</v>
      </c>
      <c r="AN27" s="139" t="str">
        <f>VLOOKUP($E27,'7. PGE_Efficacité'!$A$6:$CY$266,(MATCH('4.5 ACE MAX WOL '!AN$4,'7. PGE_Efficacité'!$A$4:$AO$4,0)+62),0)</f>
        <v>+++</v>
      </c>
    </row>
    <row r="28" spans="1:40" ht="26.25" outlineLevel="1" collapsed="1" x14ac:dyDescent="0.25">
      <c r="A28" s="48"/>
      <c r="B28" s="49"/>
      <c r="C28" s="48"/>
      <c r="D28" s="194" t="s">
        <v>3</v>
      </c>
      <c r="E28" s="195"/>
      <c r="F28" s="196" t="str">
        <f>VLOOKUP(D28,'1. Mesures'!$A$2:$B$116,2,0)</f>
        <v>Lutter contre les espèces exotiques envahissantes qui portent atteinte ou présentent un risque pour le bon potentiel écologique des masses d'eau de surface</v>
      </c>
      <c r="G28" s="197"/>
      <c r="H28" s="195"/>
      <c r="I28" s="198">
        <f>MEDIAN(VLOOKUP(D28,'4. Mesures_ACE_Budget'!$A$3:$N$32,13,0),(VLOOKUP(D28,'4. Mesures_ACE_Budget'!$A$3:$N$32,14,0)))</f>
        <v>600000</v>
      </c>
      <c r="J28" s="235">
        <f>VLOOKUP($D28,'7. PGE_Efficacité'!$A$6:$CY$266,(MATCH('4.5 ACE MAX WOL '!J$4,'7. PGE_Efficacité'!$A$4:$AO$4,0)+62),0)</f>
        <v>0</v>
      </c>
      <c r="K28" s="235">
        <f>VLOOKUP($D28,'7. PGE_Efficacité'!$A$6:$CY$266,(MATCH('4.5 ACE MAX WOL '!K$4,'7. PGE_Efficacité'!$A$4:$AO$4,0)+62),0)</f>
        <v>0</v>
      </c>
      <c r="L28" s="235">
        <f>VLOOKUP($D28,'7. PGE_Efficacité'!$A$6:$CY$266,(MATCH('4.5 ACE MAX WOL '!L$4,'7. PGE_Efficacité'!$A$4:$AO$4,0)+62),0)</f>
        <v>0</v>
      </c>
      <c r="M28" s="235">
        <f>VLOOKUP($D28,'7. PGE_Efficacité'!$A$6:$CY$266,(MATCH('4.5 ACE MAX WOL '!M$4,'7. PGE_Efficacité'!$A$4:$AO$4,0)+62),0)</f>
        <v>0</v>
      </c>
      <c r="N28" s="235">
        <f>VLOOKUP($D28,'7. PGE_Efficacité'!$A$6:$CY$266,(MATCH('4.5 ACE MAX WOL '!N$4,'7. PGE_Efficacité'!$A$4:$AO$4,0)+62),0)</f>
        <v>0</v>
      </c>
      <c r="O28" s="235">
        <f>VLOOKUP($D28,'7. PGE_Efficacité'!$A$6:$CY$266,78,0)</f>
        <v>0</v>
      </c>
      <c r="P28" s="235">
        <f>VLOOKUP($D28,'7. PGE_Efficacité'!$A$6:$CY$266,(MATCH('4.5 ACE MAX WOL '!P$4,'7. PGE_Efficacité'!$A$4:$AO$4,0)+62),0)</f>
        <v>0</v>
      </c>
      <c r="Q28" s="235">
        <f>VLOOKUP($D28,'7. PGE_Efficacité'!$A$6:$CY$266,(MATCH('4.5 ACE MAX WOL '!Q$4,'7. PGE_Efficacité'!$A$4:$AO$4,0)+62),0)</f>
        <v>0</v>
      </c>
      <c r="R28" s="235">
        <f>VLOOKUP($D28,'7. PGE_Efficacité'!$A$6:$CY$266,(MATCH('4.5 ACE MAX WOL '!R$4,'7. PGE_Efficacité'!$A$4:$AO$4,0)+62),0)</f>
        <v>0</v>
      </c>
      <c r="S28" s="235">
        <f>VLOOKUP($D28,'7. PGE_Efficacité'!$A$6:$CY$266,(MATCH('4.5 ACE MAX WOL '!S$4,'7. PGE_Efficacité'!$A$4:$AO$4,0)+62),0)</f>
        <v>0</v>
      </c>
      <c r="T28" s="235">
        <f>VLOOKUP($D28,'7. PGE_Efficacité'!$A$6:$CY$266,(MATCH('4.5 ACE MAX WOL '!T$4,'7. PGE_Efficacité'!$A$4:$AO$4,0)+62),0)</f>
        <v>0</v>
      </c>
      <c r="U28" s="235">
        <f>VLOOKUP($D28,'7. PGE_Efficacité'!$A$6:$CY$266,(MATCH('4.5 ACE MAX WOL '!U$4,'7. PGE_Efficacité'!$A$4:$AO$4,0)+62),0)</f>
        <v>0</v>
      </c>
      <c r="V28" s="235">
        <f>VLOOKUP($D28,'7. PGE_Efficacité'!$A$6:$CY$266,(MATCH('4.5 ACE MAX WOL '!V$4,'7. PGE_Efficacité'!$A$4:$AO$4,0)+62),0)</f>
        <v>0</v>
      </c>
      <c r="W28" s="235">
        <f>VLOOKUP($D28,'7. PGE_Efficacité'!$A$6:$CY$266,(MATCH('4.5 ACE MAX WOL '!W$4,'7. PGE_Efficacité'!$A$4:$AO$4,0)+62),0)</f>
        <v>0</v>
      </c>
      <c r="X28" s="235">
        <f>VLOOKUP($D28,'7. PGE_Efficacité'!$A$6:$CY$266,(MATCH('4.5 ACE MAX WOL '!X$4,'7. PGE_Efficacité'!$A$4:$AO$4,0)+62),0)</f>
        <v>0</v>
      </c>
      <c r="Y28" s="235">
        <f>VLOOKUP($D28,'7. PGE_Efficacité'!$A$6:$CY$266,(MATCH('4.5 ACE MAX WOL '!Y$4,'7. PGE_Efficacité'!$A$4:$AO$4,0)+62),0)</f>
        <v>0</v>
      </c>
      <c r="Z28" s="235">
        <f>VLOOKUP($D28,'7. PGE_Efficacité'!$A$6:$CY$266,(MATCH('4.5 ACE MAX WOL '!Z$4,'7. PGE_Efficacité'!$A$4:$AO$4,0)+62),0)</f>
        <v>0</v>
      </c>
      <c r="AA28" s="235">
        <f>VLOOKUP($D28,'7. PGE_Efficacité'!$A$6:$CY$266,(MATCH('4.5 ACE MAX WOL '!AA$4,'7. PGE_Efficacité'!$A$4:$AO$4,0)+62),0)</f>
        <v>0</v>
      </c>
      <c r="AB28" s="235">
        <f>VLOOKUP($D28,'7. PGE_Efficacité'!$A$6:$CY$266,(MATCH('4.5 ACE MAX WOL '!AB$4,'7. PGE_Efficacité'!$A$4:$AO$4,0)+62),0)</f>
        <v>0</v>
      </c>
      <c r="AC28" s="235">
        <f>VLOOKUP($D28,'7. PGE_Efficacité'!$A$6:$CY$266,(MATCH('4.5 ACE MAX WOL '!AC$4,'7. PGE_Efficacité'!$A$4:$AO$4,0)+62),0)</f>
        <v>0</v>
      </c>
      <c r="AD28" s="235">
        <f>VLOOKUP($D28,'7. PGE_Efficacité'!$A$6:$CY$266,(MATCH('4.5 ACE MAX WOL '!AD$4,'7. PGE_Efficacité'!$A$4:$AO$4,0)+62),0)</f>
        <v>0</v>
      </c>
      <c r="AE28" s="235">
        <f>VLOOKUP($D28,'7. PGE_Efficacité'!$A$6:$CY$266,(MATCH('4.5 ACE MAX WOL '!AE$4,'7. PGE_Efficacité'!$A$4:$AO$4,0)+62),0)</f>
        <v>0</v>
      </c>
      <c r="AF28" s="235">
        <f>VLOOKUP($D28,'7. PGE_Efficacité'!$A$6:$CY$266,(MATCH('4.5 ACE MAX WOL '!AF$4,'7. PGE_Efficacité'!$A$4:$AO$4,0)+62),0)</f>
        <v>0</v>
      </c>
      <c r="AG28" s="235">
        <f>VLOOKUP($D28,'7. PGE_Efficacité'!$A$6:$CY$266,(MATCH('4.5 ACE MAX WOL '!AG$4,'7. PGE_Efficacité'!$A$4:$AO$4,0)+62),0)</f>
        <v>0</v>
      </c>
      <c r="AH28" s="235">
        <f>VLOOKUP($D28,'7. PGE_Efficacité'!$A$6:$CY$266,(MATCH('4.5 ACE MAX WOL '!AH$4,'7. PGE_Efficacité'!$A$4:$AO$4,0)+62),0)</f>
        <v>0</v>
      </c>
      <c r="AI28" s="235">
        <f>VLOOKUP($D28,'7. PGE_Efficacité'!$A$6:$CY$266,(MATCH('4.5 ACE MAX WOL '!AI$4,'7. PGE_Efficacité'!$A$4:$AO$4,0)+62),0)</f>
        <v>0</v>
      </c>
      <c r="AJ28" s="235">
        <f>VLOOKUP($D28,'7. PGE_Efficacité'!$A$6:$CY$266,(MATCH('4.5 ACE MAX WOL '!AJ$4,'7. PGE_Efficacité'!$A$4:$AO$4,0)+62),0)</f>
        <v>0</v>
      </c>
      <c r="AK28" s="235">
        <f>VLOOKUP($D28,'7. PGE_Efficacité'!$A$6:$CY$266,(MATCH('4.5 ACE MAX WOL '!AK$4,'7. PGE_Efficacité'!$A$4:$AO$4,0)+62),0)</f>
        <v>0</v>
      </c>
      <c r="AL28" s="235">
        <f>VLOOKUP($D28,'7. PGE_Efficacité'!$A$6:$CY$266,(MATCH('4.5 ACE MAX WOL '!AL$4,'7. PGE_Efficacité'!$A$4:$AO$4,0)+62),0)</f>
        <v>0</v>
      </c>
      <c r="AM28" s="235" t="str">
        <f>VLOOKUP($D28,'7. PGE_Efficacité'!$A$6:$CY$266,(MATCH('4.5 ACE MAX WOL '!AM$4,'7. PGE_Efficacité'!$A$4:$AO$4,0)+62),0)</f>
        <v>++</v>
      </c>
      <c r="AN28" s="235" t="str">
        <f>VLOOKUP($D28,'7. PGE_Efficacité'!$A$6:$CY$266,(MATCH('4.5 ACE MAX WOL '!AN$4,'7. PGE_Efficacité'!$A$4:$AO$4,0)+62),0)</f>
        <v>++</v>
      </c>
    </row>
    <row r="29" spans="1:40" hidden="1" outlineLevel="2" x14ac:dyDescent="0.25">
      <c r="A29" s="48" t="s">
        <v>1524</v>
      </c>
      <c r="B29" s="49">
        <v>4</v>
      </c>
      <c r="C29" s="48" t="s">
        <v>1524</v>
      </c>
      <c r="D29" s="199" t="s">
        <v>3</v>
      </c>
      <c r="E29" s="200" t="s">
        <v>784</v>
      </c>
      <c r="F29" s="200" t="s">
        <v>1422</v>
      </c>
      <c r="G29" s="201" t="s">
        <v>1520</v>
      </c>
      <c r="H29" s="200" t="s">
        <v>1290</v>
      </c>
      <c r="I29" s="202"/>
      <c r="J29" s="139">
        <f>VLOOKUP($E29,'7. PGE_Efficacité'!$A$6:$CY$266,(MATCH('4.5 ACE MAX WOL '!J$4,'7. PGE_Efficacité'!$A$4:$AO$4,0)+62),0)</f>
        <v>0</v>
      </c>
      <c r="K29" s="139">
        <f>VLOOKUP($E29,'7. PGE_Efficacité'!$A$6:$CY$266,(MATCH('4.5 ACE MAX WOL '!K$4,'7. PGE_Efficacité'!$A$4:$AO$4,0)+62),0)</f>
        <v>0</v>
      </c>
      <c r="L29" s="139">
        <f>VLOOKUP($E29,'7. PGE_Efficacité'!$A$6:$CY$266,(MATCH('4.5 ACE MAX WOL '!L$4,'7. PGE_Efficacité'!$A$4:$AO$4,0)+62),0)</f>
        <v>0</v>
      </c>
      <c r="M29" s="139">
        <f>VLOOKUP($E29,'7. PGE_Efficacité'!$A$6:$CY$266,(MATCH('4.5 ACE MAX WOL '!M$4,'7. PGE_Efficacité'!$A$4:$AO$4,0)+62),0)</f>
        <v>0</v>
      </c>
      <c r="N29" s="139">
        <f>VLOOKUP($E29,'7. PGE_Efficacité'!$A$6:$CY$266,(MATCH('4.5 ACE MAX WOL '!N$4,'7. PGE_Efficacité'!$A$4:$AO$4,0)+62),0)</f>
        <v>0</v>
      </c>
      <c r="O29" s="139">
        <f>VLOOKUP($E29,'7. PGE_Efficacité'!$A$6:$CY$266,78,0)</f>
        <v>0</v>
      </c>
      <c r="P29" s="139">
        <f>VLOOKUP($E29,'7. PGE_Efficacité'!$A$6:$CY$266,(MATCH('4.5 ACE MAX WOL '!P$4,'7. PGE_Efficacité'!$A$4:$AO$4,0)+62),0)</f>
        <v>0</v>
      </c>
      <c r="Q29" s="139">
        <f>VLOOKUP($E29,'7. PGE_Efficacité'!$A$6:$CY$266,(MATCH('4.5 ACE MAX WOL '!Q$4,'7. PGE_Efficacité'!$A$4:$AO$4,0)+62),0)</f>
        <v>0</v>
      </c>
      <c r="R29" s="139">
        <f>VLOOKUP($E29,'7. PGE_Efficacité'!$A$6:$CY$266,(MATCH('4.5 ACE MAX WOL '!R$4,'7. PGE_Efficacité'!$A$4:$AO$4,0)+62),0)</f>
        <v>0</v>
      </c>
      <c r="S29" s="139">
        <f>VLOOKUP($E29,'7. PGE_Efficacité'!$A$6:$CY$266,(MATCH('4.5 ACE MAX WOL '!S$4,'7. PGE_Efficacité'!$A$4:$AO$4,0)+62),0)</f>
        <v>0</v>
      </c>
      <c r="T29" s="139">
        <f>VLOOKUP($E29,'7. PGE_Efficacité'!$A$6:$CY$266,(MATCH('4.5 ACE MAX WOL '!T$4,'7. PGE_Efficacité'!$A$4:$AO$4,0)+62),0)</f>
        <v>0</v>
      </c>
      <c r="U29" s="139">
        <f>VLOOKUP($E29,'7. PGE_Efficacité'!$A$6:$CY$266,(MATCH('4.5 ACE MAX WOL '!U$4,'7. PGE_Efficacité'!$A$4:$AO$4,0)+62),0)</f>
        <v>0</v>
      </c>
      <c r="V29" s="139">
        <f>VLOOKUP($E29,'7. PGE_Efficacité'!$A$6:$CY$266,(MATCH('4.5 ACE MAX WOL '!V$4,'7. PGE_Efficacité'!$A$4:$AO$4,0)+62),0)</f>
        <v>0</v>
      </c>
      <c r="W29" s="139">
        <f>VLOOKUP($E29,'7. PGE_Efficacité'!$A$6:$CY$266,(MATCH('4.5 ACE MAX WOL '!W$4,'7. PGE_Efficacité'!$A$4:$AO$4,0)+62),0)</f>
        <v>0</v>
      </c>
      <c r="X29" s="139">
        <f>VLOOKUP($E29,'7. PGE_Efficacité'!$A$6:$CY$266,(MATCH('4.5 ACE MAX WOL '!X$4,'7. PGE_Efficacité'!$A$4:$AO$4,0)+62),0)</f>
        <v>0</v>
      </c>
      <c r="Y29" s="139">
        <f>VLOOKUP($E29,'7. PGE_Efficacité'!$A$6:$CY$266,(MATCH('4.5 ACE MAX WOL '!Y$4,'7. PGE_Efficacité'!$A$4:$AO$4,0)+62),0)</f>
        <v>0</v>
      </c>
      <c r="Z29" s="139">
        <f>VLOOKUP($E29,'7. PGE_Efficacité'!$A$6:$CY$266,(MATCH('4.5 ACE MAX WOL '!Z$4,'7. PGE_Efficacité'!$A$4:$AO$4,0)+62),0)</f>
        <v>0</v>
      </c>
      <c r="AA29" s="139">
        <f>VLOOKUP($E29,'7. PGE_Efficacité'!$A$6:$CY$266,(MATCH('4.5 ACE MAX WOL '!AA$4,'7. PGE_Efficacité'!$A$4:$AO$4,0)+62),0)</f>
        <v>0</v>
      </c>
      <c r="AB29" s="139">
        <f>VLOOKUP($E29,'7. PGE_Efficacité'!$A$6:$CY$266,(MATCH('4.5 ACE MAX WOL '!AB$4,'7. PGE_Efficacité'!$A$4:$AO$4,0)+62),0)</f>
        <v>0</v>
      </c>
      <c r="AC29" s="139">
        <f>VLOOKUP($E29,'7. PGE_Efficacité'!$A$6:$CY$266,(MATCH('4.5 ACE MAX WOL '!AC$4,'7. PGE_Efficacité'!$A$4:$AO$4,0)+62),0)</f>
        <v>0</v>
      </c>
      <c r="AD29" s="139">
        <f>VLOOKUP($E29,'7. PGE_Efficacité'!$A$6:$CY$266,(MATCH('4.5 ACE MAX WOL '!AD$4,'7. PGE_Efficacité'!$A$4:$AO$4,0)+62),0)</f>
        <v>0</v>
      </c>
      <c r="AE29" s="139">
        <f>VLOOKUP($E29,'7. PGE_Efficacité'!$A$6:$CY$266,(MATCH('4.5 ACE MAX WOL '!AE$4,'7. PGE_Efficacité'!$A$4:$AO$4,0)+62),0)</f>
        <v>0</v>
      </c>
      <c r="AF29" s="139">
        <f>VLOOKUP($E29,'7. PGE_Efficacité'!$A$6:$CY$266,(MATCH('4.5 ACE MAX WOL '!AF$4,'7. PGE_Efficacité'!$A$4:$AO$4,0)+62),0)</f>
        <v>0</v>
      </c>
      <c r="AG29" s="139">
        <f>VLOOKUP($E29,'7. PGE_Efficacité'!$A$6:$CY$266,(MATCH('4.5 ACE MAX WOL '!AG$4,'7. PGE_Efficacité'!$A$4:$AO$4,0)+62),0)</f>
        <v>0</v>
      </c>
      <c r="AH29" s="139">
        <f>VLOOKUP($E29,'7. PGE_Efficacité'!$A$6:$CY$266,(MATCH('4.5 ACE MAX WOL '!AH$4,'7. PGE_Efficacité'!$A$4:$AO$4,0)+62),0)</f>
        <v>0</v>
      </c>
      <c r="AI29" s="139">
        <f>VLOOKUP($E29,'7. PGE_Efficacité'!$A$6:$CY$266,(MATCH('4.5 ACE MAX WOL '!AI$4,'7. PGE_Efficacité'!$A$4:$AO$4,0)+62),0)</f>
        <v>0</v>
      </c>
      <c r="AJ29" s="139">
        <f>VLOOKUP($E29,'7. PGE_Efficacité'!$A$6:$CY$266,(MATCH('4.5 ACE MAX WOL '!AJ$4,'7. PGE_Efficacité'!$A$4:$AO$4,0)+62),0)</f>
        <v>0</v>
      </c>
      <c r="AK29" s="139">
        <f>VLOOKUP($E29,'7. PGE_Efficacité'!$A$6:$CY$266,(MATCH('4.5 ACE MAX WOL '!AK$4,'7. PGE_Efficacité'!$A$4:$AO$4,0)+62),0)</f>
        <v>0</v>
      </c>
      <c r="AL29" s="139">
        <f>VLOOKUP($E29,'7. PGE_Efficacité'!$A$6:$CY$266,(MATCH('4.5 ACE MAX WOL '!AL$4,'7. PGE_Efficacité'!$A$4:$AO$4,0)+62),0)</f>
        <v>0</v>
      </c>
      <c r="AM29" s="139">
        <f>VLOOKUP($E29,'7. PGE_Efficacité'!$A$6:$CY$266,(MATCH('4.5 ACE MAX WOL '!AM$4,'7. PGE_Efficacité'!$A$4:$AO$4,0)+62),0)</f>
        <v>0</v>
      </c>
      <c r="AN29" s="139">
        <f>VLOOKUP($E29,'7. PGE_Efficacité'!$A$6:$CY$266,(MATCH('4.5 ACE MAX WOL '!AN$4,'7. PGE_Efficacité'!$A$4:$AO$4,0)+62),0)</f>
        <v>0</v>
      </c>
    </row>
    <row r="30" spans="1:40" hidden="1" outlineLevel="2" x14ac:dyDescent="0.25">
      <c r="A30" s="48" t="s">
        <v>1524</v>
      </c>
      <c r="B30" s="49">
        <v>4</v>
      </c>
      <c r="C30" s="48" t="s">
        <v>1525</v>
      </c>
      <c r="D30" s="199" t="s">
        <v>3</v>
      </c>
      <c r="E30" s="200" t="s">
        <v>789</v>
      </c>
      <c r="F30" s="200" t="s">
        <v>1427</v>
      </c>
      <c r="G30" s="201" t="s">
        <v>1520</v>
      </c>
      <c r="H30" s="200" t="s">
        <v>1290</v>
      </c>
      <c r="I30" s="202"/>
      <c r="J30" s="139">
        <f>VLOOKUP($E30,'7. PGE_Efficacité'!$A$6:$CY$266,(MATCH('4.5 ACE MAX WOL '!J$4,'7. PGE_Efficacité'!$A$4:$AO$4,0)+62),0)</f>
        <v>0</v>
      </c>
      <c r="K30" s="139">
        <f>VLOOKUP($E30,'7. PGE_Efficacité'!$A$6:$CY$266,(MATCH('4.5 ACE MAX WOL '!K$4,'7. PGE_Efficacité'!$A$4:$AO$4,0)+62),0)</f>
        <v>0</v>
      </c>
      <c r="L30" s="139">
        <f>VLOOKUP($E30,'7. PGE_Efficacité'!$A$6:$CY$266,(MATCH('4.5 ACE MAX WOL '!L$4,'7. PGE_Efficacité'!$A$4:$AO$4,0)+62),0)</f>
        <v>0</v>
      </c>
      <c r="M30" s="139">
        <f>VLOOKUP($E30,'7. PGE_Efficacité'!$A$6:$CY$266,(MATCH('4.5 ACE MAX WOL '!M$4,'7. PGE_Efficacité'!$A$4:$AO$4,0)+62),0)</f>
        <v>0</v>
      </c>
      <c r="N30" s="139">
        <f>VLOOKUP($E30,'7. PGE_Efficacité'!$A$6:$CY$266,(MATCH('4.5 ACE MAX WOL '!N$4,'7. PGE_Efficacité'!$A$4:$AO$4,0)+62),0)</f>
        <v>0</v>
      </c>
      <c r="O30" s="139">
        <f>VLOOKUP($E30,'7. PGE_Efficacité'!$A$6:$CY$266,78,0)</f>
        <v>0</v>
      </c>
      <c r="P30" s="139">
        <f>VLOOKUP($E30,'7. PGE_Efficacité'!$A$6:$CY$266,(MATCH('4.5 ACE MAX WOL '!P$4,'7. PGE_Efficacité'!$A$4:$AO$4,0)+62),0)</f>
        <v>0</v>
      </c>
      <c r="Q30" s="139">
        <f>VLOOKUP($E30,'7. PGE_Efficacité'!$A$6:$CY$266,(MATCH('4.5 ACE MAX WOL '!Q$4,'7. PGE_Efficacité'!$A$4:$AO$4,0)+62),0)</f>
        <v>0</v>
      </c>
      <c r="R30" s="139">
        <f>VLOOKUP($E30,'7. PGE_Efficacité'!$A$6:$CY$266,(MATCH('4.5 ACE MAX WOL '!R$4,'7. PGE_Efficacité'!$A$4:$AO$4,0)+62),0)</f>
        <v>0</v>
      </c>
      <c r="S30" s="139">
        <f>VLOOKUP($E30,'7. PGE_Efficacité'!$A$6:$CY$266,(MATCH('4.5 ACE MAX WOL '!S$4,'7. PGE_Efficacité'!$A$4:$AO$4,0)+62),0)</f>
        <v>0</v>
      </c>
      <c r="T30" s="139">
        <f>VLOOKUP($E30,'7. PGE_Efficacité'!$A$6:$CY$266,(MATCH('4.5 ACE MAX WOL '!T$4,'7. PGE_Efficacité'!$A$4:$AO$4,0)+62),0)</f>
        <v>0</v>
      </c>
      <c r="U30" s="139">
        <f>VLOOKUP($E30,'7. PGE_Efficacité'!$A$6:$CY$266,(MATCH('4.5 ACE MAX WOL '!U$4,'7. PGE_Efficacité'!$A$4:$AO$4,0)+62),0)</f>
        <v>0</v>
      </c>
      <c r="V30" s="139">
        <f>VLOOKUP($E30,'7. PGE_Efficacité'!$A$6:$CY$266,(MATCH('4.5 ACE MAX WOL '!V$4,'7. PGE_Efficacité'!$A$4:$AO$4,0)+62),0)</f>
        <v>0</v>
      </c>
      <c r="W30" s="139">
        <f>VLOOKUP($E30,'7. PGE_Efficacité'!$A$6:$CY$266,(MATCH('4.5 ACE MAX WOL '!W$4,'7. PGE_Efficacité'!$A$4:$AO$4,0)+62),0)</f>
        <v>0</v>
      </c>
      <c r="X30" s="139">
        <f>VLOOKUP($E30,'7. PGE_Efficacité'!$A$6:$CY$266,(MATCH('4.5 ACE MAX WOL '!X$4,'7. PGE_Efficacité'!$A$4:$AO$4,0)+62),0)</f>
        <v>0</v>
      </c>
      <c r="Y30" s="139">
        <f>VLOOKUP($E30,'7. PGE_Efficacité'!$A$6:$CY$266,(MATCH('4.5 ACE MAX WOL '!Y$4,'7. PGE_Efficacité'!$A$4:$AO$4,0)+62),0)</f>
        <v>0</v>
      </c>
      <c r="Z30" s="139">
        <f>VLOOKUP($E30,'7. PGE_Efficacité'!$A$6:$CY$266,(MATCH('4.5 ACE MAX WOL '!Z$4,'7. PGE_Efficacité'!$A$4:$AO$4,0)+62),0)</f>
        <v>0</v>
      </c>
      <c r="AA30" s="139">
        <f>VLOOKUP($E30,'7. PGE_Efficacité'!$A$6:$CY$266,(MATCH('4.5 ACE MAX WOL '!AA$4,'7. PGE_Efficacité'!$A$4:$AO$4,0)+62),0)</f>
        <v>0</v>
      </c>
      <c r="AB30" s="139">
        <f>VLOOKUP($E30,'7. PGE_Efficacité'!$A$6:$CY$266,(MATCH('4.5 ACE MAX WOL '!AB$4,'7. PGE_Efficacité'!$A$4:$AO$4,0)+62),0)</f>
        <v>0</v>
      </c>
      <c r="AC30" s="139">
        <f>VLOOKUP($E30,'7. PGE_Efficacité'!$A$6:$CY$266,(MATCH('4.5 ACE MAX WOL '!AC$4,'7. PGE_Efficacité'!$A$4:$AO$4,0)+62),0)</f>
        <v>0</v>
      </c>
      <c r="AD30" s="139">
        <f>VLOOKUP($E30,'7. PGE_Efficacité'!$A$6:$CY$266,(MATCH('4.5 ACE MAX WOL '!AD$4,'7. PGE_Efficacité'!$A$4:$AO$4,0)+62),0)</f>
        <v>0</v>
      </c>
      <c r="AE30" s="139">
        <f>VLOOKUP($E30,'7. PGE_Efficacité'!$A$6:$CY$266,(MATCH('4.5 ACE MAX WOL '!AE$4,'7. PGE_Efficacité'!$A$4:$AO$4,0)+62),0)</f>
        <v>0</v>
      </c>
      <c r="AF30" s="139">
        <f>VLOOKUP($E30,'7. PGE_Efficacité'!$A$6:$CY$266,(MATCH('4.5 ACE MAX WOL '!AF$4,'7. PGE_Efficacité'!$A$4:$AO$4,0)+62),0)</f>
        <v>0</v>
      </c>
      <c r="AG30" s="139">
        <f>VLOOKUP($E30,'7. PGE_Efficacité'!$A$6:$CY$266,(MATCH('4.5 ACE MAX WOL '!AG$4,'7. PGE_Efficacité'!$A$4:$AO$4,0)+62),0)</f>
        <v>0</v>
      </c>
      <c r="AH30" s="139">
        <f>VLOOKUP($E30,'7. PGE_Efficacité'!$A$6:$CY$266,(MATCH('4.5 ACE MAX WOL '!AH$4,'7. PGE_Efficacité'!$A$4:$AO$4,0)+62),0)</f>
        <v>0</v>
      </c>
      <c r="AI30" s="139">
        <f>VLOOKUP($E30,'7. PGE_Efficacité'!$A$6:$CY$266,(MATCH('4.5 ACE MAX WOL '!AI$4,'7. PGE_Efficacité'!$A$4:$AO$4,0)+62),0)</f>
        <v>0</v>
      </c>
      <c r="AJ30" s="139">
        <f>VLOOKUP($E30,'7. PGE_Efficacité'!$A$6:$CY$266,(MATCH('4.5 ACE MAX WOL '!AJ$4,'7. PGE_Efficacité'!$A$4:$AO$4,0)+62),0)</f>
        <v>0</v>
      </c>
      <c r="AK30" s="139">
        <f>VLOOKUP($E30,'7. PGE_Efficacité'!$A$6:$CY$266,(MATCH('4.5 ACE MAX WOL '!AK$4,'7. PGE_Efficacité'!$A$4:$AO$4,0)+62),0)</f>
        <v>0</v>
      </c>
      <c r="AL30" s="139">
        <f>VLOOKUP($E30,'7. PGE_Efficacité'!$A$6:$CY$266,(MATCH('4.5 ACE MAX WOL '!AL$4,'7. PGE_Efficacité'!$A$4:$AO$4,0)+62),0)</f>
        <v>0</v>
      </c>
      <c r="AM30" s="139">
        <f>VLOOKUP($E30,'7. PGE_Efficacité'!$A$6:$CY$266,(MATCH('4.5 ACE MAX WOL '!AM$4,'7. PGE_Efficacité'!$A$4:$AO$4,0)+62),0)</f>
        <v>0</v>
      </c>
      <c r="AN30" s="139">
        <f>VLOOKUP($E30,'7. PGE_Efficacité'!$A$6:$CY$266,(MATCH('4.5 ACE MAX WOL '!AN$4,'7. PGE_Efficacité'!$A$4:$AO$4,0)+62),0)</f>
        <v>0</v>
      </c>
    </row>
    <row r="31" spans="1:40" hidden="1" outlineLevel="2" x14ac:dyDescent="0.25">
      <c r="A31" s="48" t="s">
        <v>1524</v>
      </c>
      <c r="B31" s="49">
        <v>4</v>
      </c>
      <c r="C31" s="48" t="s">
        <v>1526</v>
      </c>
      <c r="D31" s="199" t="s">
        <v>3</v>
      </c>
      <c r="E31" s="200" t="s">
        <v>790</v>
      </c>
      <c r="F31" s="200" t="s">
        <v>1428</v>
      </c>
      <c r="G31" s="201" t="s">
        <v>1520</v>
      </c>
      <c r="H31" s="200" t="s">
        <v>1290</v>
      </c>
      <c r="I31" s="202"/>
      <c r="J31" s="139">
        <f>VLOOKUP($E31,'7. PGE_Efficacité'!$A$6:$CY$266,(MATCH('4.5 ACE MAX WOL '!J$4,'7. PGE_Efficacité'!$A$4:$AO$4,0)+62),0)</f>
        <v>0</v>
      </c>
      <c r="K31" s="139">
        <f>VLOOKUP($E31,'7. PGE_Efficacité'!$A$6:$CY$266,(MATCH('4.5 ACE MAX WOL '!K$4,'7. PGE_Efficacité'!$A$4:$AO$4,0)+62),0)</f>
        <v>0</v>
      </c>
      <c r="L31" s="139">
        <f>VLOOKUP($E31,'7. PGE_Efficacité'!$A$6:$CY$266,(MATCH('4.5 ACE MAX WOL '!L$4,'7. PGE_Efficacité'!$A$4:$AO$4,0)+62),0)</f>
        <v>0</v>
      </c>
      <c r="M31" s="139">
        <f>VLOOKUP($E31,'7. PGE_Efficacité'!$A$6:$CY$266,(MATCH('4.5 ACE MAX WOL '!M$4,'7. PGE_Efficacité'!$A$4:$AO$4,0)+62),0)</f>
        <v>0</v>
      </c>
      <c r="N31" s="139">
        <f>VLOOKUP($E31,'7. PGE_Efficacité'!$A$6:$CY$266,(MATCH('4.5 ACE MAX WOL '!N$4,'7. PGE_Efficacité'!$A$4:$AO$4,0)+62),0)</f>
        <v>0</v>
      </c>
      <c r="O31" s="139">
        <f>VLOOKUP($E31,'7. PGE_Efficacité'!$A$6:$CY$266,78,0)</f>
        <v>0</v>
      </c>
      <c r="P31" s="139">
        <f>VLOOKUP($E31,'7. PGE_Efficacité'!$A$6:$CY$266,(MATCH('4.5 ACE MAX WOL '!P$4,'7. PGE_Efficacité'!$A$4:$AO$4,0)+62),0)</f>
        <v>0</v>
      </c>
      <c r="Q31" s="139">
        <f>VLOOKUP($E31,'7. PGE_Efficacité'!$A$6:$CY$266,(MATCH('4.5 ACE MAX WOL '!Q$4,'7. PGE_Efficacité'!$A$4:$AO$4,0)+62),0)</f>
        <v>0</v>
      </c>
      <c r="R31" s="139">
        <f>VLOOKUP($E31,'7. PGE_Efficacité'!$A$6:$CY$266,(MATCH('4.5 ACE MAX WOL '!R$4,'7. PGE_Efficacité'!$A$4:$AO$4,0)+62),0)</f>
        <v>0</v>
      </c>
      <c r="S31" s="139">
        <f>VLOOKUP($E31,'7. PGE_Efficacité'!$A$6:$CY$266,(MATCH('4.5 ACE MAX WOL '!S$4,'7. PGE_Efficacité'!$A$4:$AO$4,0)+62),0)</f>
        <v>0</v>
      </c>
      <c r="T31" s="139">
        <f>VLOOKUP($E31,'7. PGE_Efficacité'!$A$6:$CY$266,(MATCH('4.5 ACE MAX WOL '!T$4,'7. PGE_Efficacité'!$A$4:$AO$4,0)+62),0)</f>
        <v>0</v>
      </c>
      <c r="U31" s="139">
        <f>VLOOKUP($E31,'7. PGE_Efficacité'!$A$6:$CY$266,(MATCH('4.5 ACE MAX WOL '!U$4,'7. PGE_Efficacité'!$A$4:$AO$4,0)+62),0)</f>
        <v>0</v>
      </c>
      <c r="V31" s="139">
        <f>VLOOKUP($E31,'7. PGE_Efficacité'!$A$6:$CY$266,(MATCH('4.5 ACE MAX WOL '!V$4,'7. PGE_Efficacité'!$A$4:$AO$4,0)+62),0)</f>
        <v>0</v>
      </c>
      <c r="W31" s="139">
        <f>VLOOKUP($E31,'7. PGE_Efficacité'!$A$6:$CY$266,(MATCH('4.5 ACE MAX WOL '!W$4,'7. PGE_Efficacité'!$A$4:$AO$4,0)+62),0)</f>
        <v>0</v>
      </c>
      <c r="X31" s="139">
        <f>VLOOKUP($E31,'7. PGE_Efficacité'!$A$6:$CY$266,(MATCH('4.5 ACE MAX WOL '!X$4,'7. PGE_Efficacité'!$A$4:$AO$4,0)+62),0)</f>
        <v>0</v>
      </c>
      <c r="Y31" s="139">
        <f>VLOOKUP($E31,'7. PGE_Efficacité'!$A$6:$CY$266,(MATCH('4.5 ACE MAX WOL '!Y$4,'7. PGE_Efficacité'!$A$4:$AO$4,0)+62),0)</f>
        <v>0</v>
      </c>
      <c r="Z31" s="139">
        <f>VLOOKUP($E31,'7. PGE_Efficacité'!$A$6:$CY$266,(MATCH('4.5 ACE MAX WOL '!Z$4,'7. PGE_Efficacité'!$A$4:$AO$4,0)+62),0)</f>
        <v>0</v>
      </c>
      <c r="AA31" s="139">
        <f>VLOOKUP($E31,'7. PGE_Efficacité'!$A$6:$CY$266,(MATCH('4.5 ACE MAX WOL '!AA$4,'7. PGE_Efficacité'!$A$4:$AO$4,0)+62),0)</f>
        <v>0</v>
      </c>
      <c r="AB31" s="139">
        <f>VLOOKUP($E31,'7. PGE_Efficacité'!$A$6:$CY$266,(MATCH('4.5 ACE MAX WOL '!AB$4,'7. PGE_Efficacité'!$A$4:$AO$4,0)+62),0)</f>
        <v>0</v>
      </c>
      <c r="AC31" s="139">
        <f>VLOOKUP($E31,'7. PGE_Efficacité'!$A$6:$CY$266,(MATCH('4.5 ACE MAX WOL '!AC$4,'7. PGE_Efficacité'!$A$4:$AO$4,0)+62),0)</f>
        <v>0</v>
      </c>
      <c r="AD31" s="139">
        <f>VLOOKUP($E31,'7. PGE_Efficacité'!$A$6:$CY$266,(MATCH('4.5 ACE MAX WOL '!AD$4,'7. PGE_Efficacité'!$A$4:$AO$4,0)+62),0)</f>
        <v>0</v>
      </c>
      <c r="AE31" s="139">
        <f>VLOOKUP($E31,'7. PGE_Efficacité'!$A$6:$CY$266,(MATCH('4.5 ACE MAX WOL '!AE$4,'7. PGE_Efficacité'!$A$4:$AO$4,0)+62),0)</f>
        <v>0</v>
      </c>
      <c r="AF31" s="139">
        <f>VLOOKUP($E31,'7. PGE_Efficacité'!$A$6:$CY$266,(MATCH('4.5 ACE MAX WOL '!AF$4,'7. PGE_Efficacité'!$A$4:$AO$4,0)+62),0)</f>
        <v>0</v>
      </c>
      <c r="AG31" s="139">
        <f>VLOOKUP($E31,'7. PGE_Efficacité'!$A$6:$CY$266,(MATCH('4.5 ACE MAX WOL '!AG$4,'7. PGE_Efficacité'!$A$4:$AO$4,0)+62),0)</f>
        <v>0</v>
      </c>
      <c r="AH31" s="139">
        <f>VLOOKUP($E31,'7. PGE_Efficacité'!$A$6:$CY$266,(MATCH('4.5 ACE MAX WOL '!AH$4,'7. PGE_Efficacité'!$A$4:$AO$4,0)+62),0)</f>
        <v>0</v>
      </c>
      <c r="AI31" s="139">
        <f>VLOOKUP($E31,'7. PGE_Efficacité'!$A$6:$CY$266,(MATCH('4.5 ACE MAX WOL '!AI$4,'7. PGE_Efficacité'!$A$4:$AO$4,0)+62),0)</f>
        <v>0</v>
      </c>
      <c r="AJ31" s="139">
        <f>VLOOKUP($E31,'7. PGE_Efficacité'!$A$6:$CY$266,(MATCH('4.5 ACE MAX WOL '!AJ$4,'7. PGE_Efficacité'!$A$4:$AO$4,0)+62),0)</f>
        <v>0</v>
      </c>
      <c r="AK31" s="139">
        <f>VLOOKUP($E31,'7. PGE_Efficacité'!$A$6:$CY$266,(MATCH('4.5 ACE MAX WOL '!AK$4,'7. PGE_Efficacité'!$A$4:$AO$4,0)+62),0)</f>
        <v>0</v>
      </c>
      <c r="AL31" s="139">
        <f>VLOOKUP($E31,'7. PGE_Efficacité'!$A$6:$CY$266,(MATCH('4.5 ACE MAX WOL '!AL$4,'7. PGE_Efficacité'!$A$4:$AO$4,0)+62),0)</f>
        <v>0</v>
      </c>
      <c r="AM31" s="139">
        <f>VLOOKUP($E31,'7. PGE_Efficacité'!$A$6:$CY$266,(MATCH('4.5 ACE MAX WOL '!AM$4,'7. PGE_Efficacité'!$A$4:$AO$4,0)+62),0)</f>
        <v>0</v>
      </c>
      <c r="AN31" s="139">
        <f>VLOOKUP($E31,'7. PGE_Efficacité'!$A$6:$CY$266,(MATCH('4.5 ACE MAX WOL '!AN$4,'7. PGE_Efficacité'!$A$4:$AO$4,0)+62),0)</f>
        <v>0</v>
      </c>
    </row>
    <row r="32" spans="1:40" hidden="1" outlineLevel="2" x14ac:dyDescent="0.25">
      <c r="A32" s="48" t="s">
        <v>1524</v>
      </c>
      <c r="B32" s="49">
        <v>4</v>
      </c>
      <c r="C32" s="48" t="s">
        <v>1527</v>
      </c>
      <c r="D32" s="199" t="s">
        <v>3</v>
      </c>
      <c r="E32" s="200" t="s">
        <v>791</v>
      </c>
      <c r="F32" s="200" t="s">
        <v>1429</v>
      </c>
      <c r="G32" s="201" t="s">
        <v>1520</v>
      </c>
      <c r="H32" s="200" t="s">
        <v>1290</v>
      </c>
      <c r="I32" s="202"/>
      <c r="J32" s="139">
        <f>VLOOKUP($E32,'7. PGE_Efficacité'!$A$6:$CY$266,(MATCH('4.5 ACE MAX WOL '!J$4,'7. PGE_Efficacité'!$A$4:$AO$4,0)+62),0)</f>
        <v>0</v>
      </c>
      <c r="K32" s="139">
        <f>VLOOKUP($E32,'7. PGE_Efficacité'!$A$6:$CY$266,(MATCH('4.5 ACE MAX WOL '!K$4,'7. PGE_Efficacité'!$A$4:$AO$4,0)+62),0)</f>
        <v>0</v>
      </c>
      <c r="L32" s="139">
        <f>VLOOKUP($E32,'7. PGE_Efficacité'!$A$6:$CY$266,(MATCH('4.5 ACE MAX WOL '!L$4,'7. PGE_Efficacité'!$A$4:$AO$4,0)+62),0)</f>
        <v>0</v>
      </c>
      <c r="M32" s="139">
        <f>VLOOKUP($E32,'7. PGE_Efficacité'!$A$6:$CY$266,(MATCH('4.5 ACE MAX WOL '!M$4,'7. PGE_Efficacité'!$A$4:$AO$4,0)+62),0)</f>
        <v>0</v>
      </c>
      <c r="N32" s="139">
        <f>VLOOKUP($E32,'7. PGE_Efficacité'!$A$6:$CY$266,(MATCH('4.5 ACE MAX WOL '!N$4,'7. PGE_Efficacité'!$A$4:$AO$4,0)+62),0)</f>
        <v>0</v>
      </c>
      <c r="O32" s="139">
        <f>VLOOKUP($E32,'7. PGE_Efficacité'!$A$6:$CY$266,78,0)</f>
        <v>0</v>
      </c>
      <c r="P32" s="139">
        <f>VLOOKUP($E32,'7. PGE_Efficacité'!$A$6:$CY$266,(MATCH('4.5 ACE MAX WOL '!P$4,'7. PGE_Efficacité'!$A$4:$AO$4,0)+62),0)</f>
        <v>0</v>
      </c>
      <c r="Q32" s="139">
        <f>VLOOKUP($E32,'7. PGE_Efficacité'!$A$6:$CY$266,(MATCH('4.5 ACE MAX WOL '!Q$4,'7. PGE_Efficacité'!$A$4:$AO$4,0)+62),0)</f>
        <v>0</v>
      </c>
      <c r="R32" s="139">
        <f>VLOOKUP($E32,'7. PGE_Efficacité'!$A$6:$CY$266,(MATCH('4.5 ACE MAX WOL '!R$4,'7. PGE_Efficacité'!$A$4:$AO$4,0)+62),0)</f>
        <v>0</v>
      </c>
      <c r="S32" s="139">
        <f>VLOOKUP($E32,'7. PGE_Efficacité'!$A$6:$CY$266,(MATCH('4.5 ACE MAX WOL '!S$4,'7. PGE_Efficacité'!$A$4:$AO$4,0)+62),0)</f>
        <v>0</v>
      </c>
      <c r="T32" s="139">
        <f>VLOOKUP($E32,'7. PGE_Efficacité'!$A$6:$CY$266,(MATCH('4.5 ACE MAX WOL '!T$4,'7. PGE_Efficacité'!$A$4:$AO$4,0)+62),0)</f>
        <v>0</v>
      </c>
      <c r="U32" s="139">
        <f>VLOOKUP($E32,'7. PGE_Efficacité'!$A$6:$CY$266,(MATCH('4.5 ACE MAX WOL '!U$4,'7. PGE_Efficacité'!$A$4:$AO$4,0)+62),0)</f>
        <v>0</v>
      </c>
      <c r="V32" s="139">
        <f>VLOOKUP($E32,'7. PGE_Efficacité'!$A$6:$CY$266,(MATCH('4.5 ACE MAX WOL '!V$4,'7. PGE_Efficacité'!$A$4:$AO$4,0)+62),0)</f>
        <v>0</v>
      </c>
      <c r="W32" s="139">
        <f>VLOOKUP($E32,'7. PGE_Efficacité'!$A$6:$CY$266,(MATCH('4.5 ACE MAX WOL '!W$4,'7. PGE_Efficacité'!$A$4:$AO$4,0)+62),0)</f>
        <v>0</v>
      </c>
      <c r="X32" s="139">
        <f>VLOOKUP($E32,'7. PGE_Efficacité'!$A$6:$CY$266,(MATCH('4.5 ACE MAX WOL '!X$4,'7. PGE_Efficacité'!$A$4:$AO$4,0)+62),0)</f>
        <v>0</v>
      </c>
      <c r="Y32" s="139">
        <f>VLOOKUP($E32,'7. PGE_Efficacité'!$A$6:$CY$266,(MATCH('4.5 ACE MAX WOL '!Y$4,'7. PGE_Efficacité'!$A$4:$AO$4,0)+62),0)</f>
        <v>0</v>
      </c>
      <c r="Z32" s="139">
        <f>VLOOKUP($E32,'7. PGE_Efficacité'!$A$6:$CY$266,(MATCH('4.5 ACE MAX WOL '!Z$4,'7. PGE_Efficacité'!$A$4:$AO$4,0)+62),0)</f>
        <v>0</v>
      </c>
      <c r="AA32" s="139">
        <f>VLOOKUP($E32,'7. PGE_Efficacité'!$A$6:$CY$266,(MATCH('4.5 ACE MAX WOL '!AA$4,'7. PGE_Efficacité'!$A$4:$AO$4,0)+62),0)</f>
        <v>0</v>
      </c>
      <c r="AB32" s="139">
        <f>VLOOKUP($E32,'7. PGE_Efficacité'!$A$6:$CY$266,(MATCH('4.5 ACE MAX WOL '!AB$4,'7. PGE_Efficacité'!$A$4:$AO$4,0)+62),0)</f>
        <v>0</v>
      </c>
      <c r="AC32" s="139">
        <f>VLOOKUP($E32,'7. PGE_Efficacité'!$A$6:$CY$266,(MATCH('4.5 ACE MAX WOL '!AC$4,'7. PGE_Efficacité'!$A$4:$AO$4,0)+62),0)</f>
        <v>0</v>
      </c>
      <c r="AD32" s="139">
        <f>VLOOKUP($E32,'7. PGE_Efficacité'!$A$6:$CY$266,(MATCH('4.5 ACE MAX WOL '!AD$4,'7. PGE_Efficacité'!$A$4:$AO$4,0)+62),0)</f>
        <v>0</v>
      </c>
      <c r="AE32" s="139">
        <f>VLOOKUP($E32,'7. PGE_Efficacité'!$A$6:$CY$266,(MATCH('4.5 ACE MAX WOL '!AE$4,'7. PGE_Efficacité'!$A$4:$AO$4,0)+62),0)</f>
        <v>0</v>
      </c>
      <c r="AF32" s="139">
        <f>VLOOKUP($E32,'7. PGE_Efficacité'!$A$6:$CY$266,(MATCH('4.5 ACE MAX WOL '!AF$4,'7. PGE_Efficacité'!$A$4:$AO$4,0)+62),0)</f>
        <v>0</v>
      </c>
      <c r="AG32" s="139">
        <f>VLOOKUP($E32,'7. PGE_Efficacité'!$A$6:$CY$266,(MATCH('4.5 ACE MAX WOL '!AG$4,'7. PGE_Efficacité'!$A$4:$AO$4,0)+62),0)</f>
        <v>0</v>
      </c>
      <c r="AH32" s="139">
        <f>VLOOKUP($E32,'7. PGE_Efficacité'!$A$6:$CY$266,(MATCH('4.5 ACE MAX WOL '!AH$4,'7. PGE_Efficacité'!$A$4:$AO$4,0)+62),0)</f>
        <v>0</v>
      </c>
      <c r="AI32" s="139">
        <f>VLOOKUP($E32,'7. PGE_Efficacité'!$A$6:$CY$266,(MATCH('4.5 ACE MAX WOL '!AI$4,'7. PGE_Efficacité'!$A$4:$AO$4,0)+62),0)</f>
        <v>0</v>
      </c>
      <c r="AJ32" s="139">
        <f>VLOOKUP($E32,'7. PGE_Efficacité'!$A$6:$CY$266,(MATCH('4.5 ACE MAX WOL '!AJ$4,'7. PGE_Efficacité'!$A$4:$AO$4,0)+62),0)</f>
        <v>0</v>
      </c>
      <c r="AK32" s="139">
        <f>VLOOKUP($E32,'7. PGE_Efficacité'!$A$6:$CY$266,(MATCH('4.5 ACE MAX WOL '!AK$4,'7. PGE_Efficacité'!$A$4:$AO$4,0)+62),0)</f>
        <v>0</v>
      </c>
      <c r="AL32" s="139">
        <f>VLOOKUP($E32,'7. PGE_Efficacité'!$A$6:$CY$266,(MATCH('4.5 ACE MAX WOL '!AL$4,'7. PGE_Efficacité'!$A$4:$AO$4,0)+62),0)</f>
        <v>0</v>
      </c>
      <c r="AM32" s="139">
        <f>VLOOKUP($E32,'7. PGE_Efficacité'!$A$6:$CY$266,(MATCH('4.5 ACE MAX WOL '!AM$4,'7. PGE_Efficacité'!$A$4:$AO$4,0)+62),0)</f>
        <v>0</v>
      </c>
      <c r="AN32" s="139">
        <f>VLOOKUP($E32,'7. PGE_Efficacité'!$A$6:$CY$266,(MATCH('4.5 ACE MAX WOL '!AN$4,'7. PGE_Efficacité'!$A$4:$AO$4,0)+62),0)</f>
        <v>0</v>
      </c>
    </row>
    <row r="33" spans="1:40" hidden="1" outlineLevel="2" x14ac:dyDescent="0.25">
      <c r="A33" s="48" t="s">
        <v>1524</v>
      </c>
      <c r="B33" s="49">
        <v>4</v>
      </c>
      <c r="C33" s="48" t="s">
        <v>410</v>
      </c>
      <c r="D33" s="199" t="s">
        <v>3</v>
      </c>
      <c r="E33" s="200" t="s">
        <v>792</v>
      </c>
      <c r="F33" s="200" t="s">
        <v>1430</v>
      </c>
      <c r="G33" s="201" t="s">
        <v>1520</v>
      </c>
      <c r="H33" s="200" t="s">
        <v>1290</v>
      </c>
      <c r="I33" s="202"/>
      <c r="J33" s="139">
        <f>VLOOKUP($E33,'7. PGE_Efficacité'!$A$6:$CY$266,(MATCH('4.5 ACE MAX WOL '!J$4,'7. PGE_Efficacité'!$A$4:$AO$4,0)+62),0)</f>
        <v>0</v>
      </c>
      <c r="K33" s="139">
        <f>VLOOKUP($E33,'7. PGE_Efficacité'!$A$6:$CY$266,(MATCH('4.5 ACE MAX WOL '!K$4,'7. PGE_Efficacité'!$A$4:$AO$4,0)+62),0)</f>
        <v>0</v>
      </c>
      <c r="L33" s="139">
        <f>VLOOKUP($E33,'7. PGE_Efficacité'!$A$6:$CY$266,(MATCH('4.5 ACE MAX WOL '!L$4,'7. PGE_Efficacité'!$A$4:$AO$4,0)+62),0)</f>
        <v>0</v>
      </c>
      <c r="M33" s="139">
        <f>VLOOKUP($E33,'7. PGE_Efficacité'!$A$6:$CY$266,(MATCH('4.5 ACE MAX WOL '!M$4,'7. PGE_Efficacité'!$A$4:$AO$4,0)+62),0)</f>
        <v>0</v>
      </c>
      <c r="N33" s="139">
        <f>VLOOKUP($E33,'7. PGE_Efficacité'!$A$6:$CY$266,(MATCH('4.5 ACE MAX WOL '!N$4,'7. PGE_Efficacité'!$A$4:$AO$4,0)+62),0)</f>
        <v>0</v>
      </c>
      <c r="O33" s="139">
        <f>VLOOKUP($E33,'7. PGE_Efficacité'!$A$6:$CY$266,78,0)</f>
        <v>0</v>
      </c>
      <c r="P33" s="139">
        <f>VLOOKUP($E33,'7. PGE_Efficacité'!$A$6:$CY$266,(MATCH('4.5 ACE MAX WOL '!P$4,'7. PGE_Efficacité'!$A$4:$AO$4,0)+62),0)</f>
        <v>0</v>
      </c>
      <c r="Q33" s="139">
        <f>VLOOKUP($E33,'7. PGE_Efficacité'!$A$6:$CY$266,(MATCH('4.5 ACE MAX WOL '!Q$4,'7. PGE_Efficacité'!$A$4:$AO$4,0)+62),0)</f>
        <v>0</v>
      </c>
      <c r="R33" s="139">
        <f>VLOOKUP($E33,'7. PGE_Efficacité'!$A$6:$CY$266,(MATCH('4.5 ACE MAX WOL '!R$4,'7. PGE_Efficacité'!$A$4:$AO$4,0)+62),0)</f>
        <v>0</v>
      </c>
      <c r="S33" s="139">
        <f>VLOOKUP($E33,'7. PGE_Efficacité'!$A$6:$CY$266,(MATCH('4.5 ACE MAX WOL '!S$4,'7. PGE_Efficacité'!$A$4:$AO$4,0)+62),0)</f>
        <v>0</v>
      </c>
      <c r="T33" s="139">
        <f>VLOOKUP($E33,'7. PGE_Efficacité'!$A$6:$CY$266,(MATCH('4.5 ACE MAX WOL '!T$4,'7. PGE_Efficacité'!$A$4:$AO$4,0)+62),0)</f>
        <v>0</v>
      </c>
      <c r="U33" s="139">
        <f>VLOOKUP($E33,'7. PGE_Efficacité'!$A$6:$CY$266,(MATCH('4.5 ACE MAX WOL '!U$4,'7. PGE_Efficacité'!$A$4:$AO$4,0)+62),0)</f>
        <v>0</v>
      </c>
      <c r="V33" s="139">
        <f>VLOOKUP($E33,'7. PGE_Efficacité'!$A$6:$CY$266,(MATCH('4.5 ACE MAX WOL '!V$4,'7. PGE_Efficacité'!$A$4:$AO$4,0)+62),0)</f>
        <v>0</v>
      </c>
      <c r="W33" s="139">
        <f>VLOOKUP($E33,'7. PGE_Efficacité'!$A$6:$CY$266,(MATCH('4.5 ACE MAX WOL '!W$4,'7. PGE_Efficacité'!$A$4:$AO$4,0)+62),0)</f>
        <v>0</v>
      </c>
      <c r="X33" s="139">
        <f>VLOOKUP($E33,'7. PGE_Efficacité'!$A$6:$CY$266,(MATCH('4.5 ACE MAX WOL '!X$4,'7. PGE_Efficacité'!$A$4:$AO$4,0)+62),0)</f>
        <v>0</v>
      </c>
      <c r="Y33" s="139">
        <f>VLOOKUP($E33,'7. PGE_Efficacité'!$A$6:$CY$266,(MATCH('4.5 ACE MAX WOL '!Y$4,'7. PGE_Efficacité'!$A$4:$AO$4,0)+62),0)</f>
        <v>0</v>
      </c>
      <c r="Z33" s="139">
        <f>VLOOKUP($E33,'7. PGE_Efficacité'!$A$6:$CY$266,(MATCH('4.5 ACE MAX WOL '!Z$4,'7. PGE_Efficacité'!$A$4:$AO$4,0)+62),0)</f>
        <v>0</v>
      </c>
      <c r="AA33" s="139">
        <f>VLOOKUP($E33,'7. PGE_Efficacité'!$A$6:$CY$266,(MATCH('4.5 ACE MAX WOL '!AA$4,'7. PGE_Efficacité'!$A$4:$AO$4,0)+62),0)</f>
        <v>0</v>
      </c>
      <c r="AB33" s="139">
        <f>VLOOKUP($E33,'7. PGE_Efficacité'!$A$6:$CY$266,(MATCH('4.5 ACE MAX WOL '!AB$4,'7. PGE_Efficacité'!$A$4:$AO$4,0)+62),0)</f>
        <v>0</v>
      </c>
      <c r="AC33" s="139">
        <f>VLOOKUP($E33,'7. PGE_Efficacité'!$A$6:$CY$266,(MATCH('4.5 ACE MAX WOL '!AC$4,'7. PGE_Efficacité'!$A$4:$AO$4,0)+62),0)</f>
        <v>0</v>
      </c>
      <c r="AD33" s="139">
        <f>VLOOKUP($E33,'7. PGE_Efficacité'!$A$6:$CY$266,(MATCH('4.5 ACE MAX WOL '!AD$4,'7. PGE_Efficacité'!$A$4:$AO$4,0)+62),0)</f>
        <v>0</v>
      </c>
      <c r="AE33" s="139">
        <f>VLOOKUP($E33,'7. PGE_Efficacité'!$A$6:$CY$266,(MATCH('4.5 ACE MAX WOL '!AE$4,'7. PGE_Efficacité'!$A$4:$AO$4,0)+62),0)</f>
        <v>0</v>
      </c>
      <c r="AF33" s="139">
        <f>VLOOKUP($E33,'7. PGE_Efficacité'!$A$6:$CY$266,(MATCH('4.5 ACE MAX WOL '!AF$4,'7. PGE_Efficacité'!$A$4:$AO$4,0)+62),0)</f>
        <v>0</v>
      </c>
      <c r="AG33" s="139">
        <f>VLOOKUP($E33,'7. PGE_Efficacité'!$A$6:$CY$266,(MATCH('4.5 ACE MAX WOL '!AG$4,'7. PGE_Efficacité'!$A$4:$AO$4,0)+62),0)</f>
        <v>0</v>
      </c>
      <c r="AH33" s="139">
        <f>VLOOKUP($E33,'7. PGE_Efficacité'!$A$6:$CY$266,(MATCH('4.5 ACE MAX WOL '!AH$4,'7. PGE_Efficacité'!$A$4:$AO$4,0)+62),0)</f>
        <v>0</v>
      </c>
      <c r="AI33" s="139">
        <f>VLOOKUP($E33,'7. PGE_Efficacité'!$A$6:$CY$266,(MATCH('4.5 ACE MAX WOL '!AI$4,'7. PGE_Efficacité'!$A$4:$AO$4,0)+62),0)</f>
        <v>0</v>
      </c>
      <c r="AJ33" s="139">
        <f>VLOOKUP($E33,'7. PGE_Efficacité'!$A$6:$CY$266,(MATCH('4.5 ACE MAX WOL '!AJ$4,'7. PGE_Efficacité'!$A$4:$AO$4,0)+62),0)</f>
        <v>0</v>
      </c>
      <c r="AK33" s="139">
        <f>VLOOKUP($E33,'7. PGE_Efficacité'!$A$6:$CY$266,(MATCH('4.5 ACE MAX WOL '!AK$4,'7. PGE_Efficacité'!$A$4:$AO$4,0)+62),0)</f>
        <v>0</v>
      </c>
      <c r="AL33" s="139">
        <f>VLOOKUP($E33,'7. PGE_Efficacité'!$A$6:$CY$266,(MATCH('4.5 ACE MAX WOL '!AL$4,'7. PGE_Efficacité'!$A$4:$AO$4,0)+62),0)</f>
        <v>0</v>
      </c>
      <c r="AM33" s="139">
        <f>VLOOKUP($E33,'7. PGE_Efficacité'!$A$6:$CY$266,(MATCH('4.5 ACE MAX WOL '!AM$4,'7. PGE_Efficacité'!$A$4:$AO$4,0)+62),0)</f>
        <v>0</v>
      </c>
      <c r="AN33" s="139">
        <f>VLOOKUP($E33,'7. PGE_Efficacité'!$A$6:$CY$266,(MATCH('4.5 ACE MAX WOL '!AN$4,'7. PGE_Efficacité'!$A$4:$AO$4,0)+62),0)</f>
        <v>0</v>
      </c>
    </row>
    <row r="34" spans="1:40" hidden="1" outlineLevel="2" x14ac:dyDescent="0.25">
      <c r="A34" s="48" t="s">
        <v>1524</v>
      </c>
      <c r="B34" s="49">
        <v>4</v>
      </c>
      <c r="C34" s="48" t="s">
        <v>1528</v>
      </c>
      <c r="D34" s="199" t="s">
        <v>3</v>
      </c>
      <c r="E34" s="200" t="s">
        <v>793</v>
      </c>
      <c r="F34" s="200" t="s">
        <v>1431</v>
      </c>
      <c r="G34" s="201" t="s">
        <v>1520</v>
      </c>
      <c r="H34" s="200" t="s">
        <v>1290</v>
      </c>
      <c r="I34" s="202"/>
      <c r="J34" s="139">
        <f>VLOOKUP($E34,'7. PGE_Efficacité'!$A$6:$CY$266,(MATCH('4.5 ACE MAX WOL '!J$4,'7. PGE_Efficacité'!$A$4:$AO$4,0)+62),0)</f>
        <v>0</v>
      </c>
      <c r="K34" s="139">
        <f>VLOOKUP($E34,'7. PGE_Efficacité'!$A$6:$CY$266,(MATCH('4.5 ACE MAX WOL '!K$4,'7. PGE_Efficacité'!$A$4:$AO$4,0)+62),0)</f>
        <v>0</v>
      </c>
      <c r="L34" s="139">
        <f>VLOOKUP($E34,'7. PGE_Efficacité'!$A$6:$CY$266,(MATCH('4.5 ACE MAX WOL '!L$4,'7. PGE_Efficacité'!$A$4:$AO$4,0)+62),0)</f>
        <v>0</v>
      </c>
      <c r="M34" s="139">
        <f>VLOOKUP($E34,'7. PGE_Efficacité'!$A$6:$CY$266,(MATCH('4.5 ACE MAX WOL '!M$4,'7. PGE_Efficacité'!$A$4:$AO$4,0)+62),0)</f>
        <v>0</v>
      </c>
      <c r="N34" s="139">
        <f>VLOOKUP($E34,'7. PGE_Efficacité'!$A$6:$CY$266,(MATCH('4.5 ACE MAX WOL '!N$4,'7. PGE_Efficacité'!$A$4:$AO$4,0)+62),0)</f>
        <v>0</v>
      </c>
      <c r="O34" s="139">
        <f>VLOOKUP($E34,'7. PGE_Efficacité'!$A$6:$CY$266,78,0)</f>
        <v>0</v>
      </c>
      <c r="P34" s="139">
        <f>VLOOKUP($E34,'7. PGE_Efficacité'!$A$6:$CY$266,(MATCH('4.5 ACE MAX WOL '!P$4,'7. PGE_Efficacité'!$A$4:$AO$4,0)+62),0)</f>
        <v>0</v>
      </c>
      <c r="Q34" s="139">
        <f>VLOOKUP($E34,'7. PGE_Efficacité'!$A$6:$CY$266,(MATCH('4.5 ACE MAX WOL '!Q$4,'7. PGE_Efficacité'!$A$4:$AO$4,0)+62),0)</f>
        <v>0</v>
      </c>
      <c r="R34" s="139">
        <f>VLOOKUP($E34,'7. PGE_Efficacité'!$A$6:$CY$266,(MATCH('4.5 ACE MAX WOL '!R$4,'7. PGE_Efficacité'!$A$4:$AO$4,0)+62),0)</f>
        <v>0</v>
      </c>
      <c r="S34" s="139">
        <f>VLOOKUP($E34,'7. PGE_Efficacité'!$A$6:$CY$266,(MATCH('4.5 ACE MAX WOL '!S$4,'7. PGE_Efficacité'!$A$4:$AO$4,0)+62),0)</f>
        <v>0</v>
      </c>
      <c r="T34" s="139">
        <f>VLOOKUP($E34,'7. PGE_Efficacité'!$A$6:$CY$266,(MATCH('4.5 ACE MAX WOL '!T$4,'7. PGE_Efficacité'!$A$4:$AO$4,0)+62),0)</f>
        <v>0</v>
      </c>
      <c r="U34" s="139">
        <f>VLOOKUP($E34,'7. PGE_Efficacité'!$A$6:$CY$266,(MATCH('4.5 ACE MAX WOL '!U$4,'7. PGE_Efficacité'!$A$4:$AO$4,0)+62),0)</f>
        <v>0</v>
      </c>
      <c r="V34" s="139">
        <f>VLOOKUP($E34,'7. PGE_Efficacité'!$A$6:$CY$266,(MATCH('4.5 ACE MAX WOL '!V$4,'7. PGE_Efficacité'!$A$4:$AO$4,0)+62),0)</f>
        <v>0</v>
      </c>
      <c r="W34" s="139">
        <f>VLOOKUP($E34,'7. PGE_Efficacité'!$A$6:$CY$266,(MATCH('4.5 ACE MAX WOL '!W$4,'7. PGE_Efficacité'!$A$4:$AO$4,0)+62),0)</f>
        <v>0</v>
      </c>
      <c r="X34" s="139">
        <f>VLOOKUP($E34,'7. PGE_Efficacité'!$A$6:$CY$266,(MATCH('4.5 ACE MAX WOL '!X$4,'7. PGE_Efficacité'!$A$4:$AO$4,0)+62),0)</f>
        <v>0</v>
      </c>
      <c r="Y34" s="139">
        <f>VLOOKUP($E34,'7. PGE_Efficacité'!$A$6:$CY$266,(MATCH('4.5 ACE MAX WOL '!Y$4,'7. PGE_Efficacité'!$A$4:$AO$4,0)+62),0)</f>
        <v>0</v>
      </c>
      <c r="Z34" s="139">
        <f>VLOOKUP($E34,'7. PGE_Efficacité'!$A$6:$CY$266,(MATCH('4.5 ACE MAX WOL '!Z$4,'7. PGE_Efficacité'!$A$4:$AO$4,0)+62),0)</f>
        <v>0</v>
      </c>
      <c r="AA34" s="139">
        <f>VLOOKUP($E34,'7. PGE_Efficacité'!$A$6:$CY$266,(MATCH('4.5 ACE MAX WOL '!AA$4,'7. PGE_Efficacité'!$A$4:$AO$4,0)+62),0)</f>
        <v>0</v>
      </c>
      <c r="AB34" s="139">
        <f>VLOOKUP($E34,'7. PGE_Efficacité'!$A$6:$CY$266,(MATCH('4.5 ACE MAX WOL '!AB$4,'7. PGE_Efficacité'!$A$4:$AO$4,0)+62),0)</f>
        <v>0</v>
      </c>
      <c r="AC34" s="139">
        <f>VLOOKUP($E34,'7. PGE_Efficacité'!$A$6:$CY$266,(MATCH('4.5 ACE MAX WOL '!AC$4,'7. PGE_Efficacité'!$A$4:$AO$4,0)+62),0)</f>
        <v>0</v>
      </c>
      <c r="AD34" s="139">
        <f>VLOOKUP($E34,'7. PGE_Efficacité'!$A$6:$CY$266,(MATCH('4.5 ACE MAX WOL '!AD$4,'7. PGE_Efficacité'!$A$4:$AO$4,0)+62),0)</f>
        <v>0</v>
      </c>
      <c r="AE34" s="139">
        <f>VLOOKUP($E34,'7. PGE_Efficacité'!$A$6:$CY$266,(MATCH('4.5 ACE MAX WOL '!AE$4,'7. PGE_Efficacité'!$A$4:$AO$4,0)+62),0)</f>
        <v>0</v>
      </c>
      <c r="AF34" s="139">
        <f>VLOOKUP($E34,'7. PGE_Efficacité'!$A$6:$CY$266,(MATCH('4.5 ACE MAX WOL '!AF$4,'7. PGE_Efficacité'!$A$4:$AO$4,0)+62),0)</f>
        <v>0</v>
      </c>
      <c r="AG34" s="139">
        <f>VLOOKUP($E34,'7. PGE_Efficacité'!$A$6:$CY$266,(MATCH('4.5 ACE MAX WOL '!AG$4,'7. PGE_Efficacité'!$A$4:$AO$4,0)+62),0)</f>
        <v>0</v>
      </c>
      <c r="AH34" s="139">
        <f>VLOOKUP($E34,'7. PGE_Efficacité'!$A$6:$CY$266,(MATCH('4.5 ACE MAX WOL '!AH$4,'7. PGE_Efficacité'!$A$4:$AO$4,0)+62),0)</f>
        <v>0</v>
      </c>
      <c r="AI34" s="139">
        <f>VLOOKUP($E34,'7. PGE_Efficacité'!$A$6:$CY$266,(MATCH('4.5 ACE MAX WOL '!AI$4,'7. PGE_Efficacité'!$A$4:$AO$4,0)+62),0)</f>
        <v>0</v>
      </c>
      <c r="AJ34" s="139">
        <f>VLOOKUP($E34,'7. PGE_Efficacité'!$A$6:$CY$266,(MATCH('4.5 ACE MAX WOL '!AJ$4,'7. PGE_Efficacité'!$A$4:$AO$4,0)+62),0)</f>
        <v>0</v>
      </c>
      <c r="AK34" s="139">
        <f>VLOOKUP($E34,'7. PGE_Efficacité'!$A$6:$CY$266,(MATCH('4.5 ACE MAX WOL '!AK$4,'7. PGE_Efficacité'!$A$4:$AO$4,0)+62),0)</f>
        <v>0</v>
      </c>
      <c r="AL34" s="139">
        <f>VLOOKUP($E34,'7. PGE_Efficacité'!$A$6:$CY$266,(MATCH('4.5 ACE MAX WOL '!AL$4,'7. PGE_Efficacité'!$A$4:$AO$4,0)+62),0)</f>
        <v>0</v>
      </c>
      <c r="AM34" s="139">
        <f>VLOOKUP($E34,'7. PGE_Efficacité'!$A$6:$CY$266,(MATCH('4.5 ACE MAX WOL '!AM$4,'7. PGE_Efficacité'!$A$4:$AO$4,0)+62),0)</f>
        <v>0</v>
      </c>
      <c r="AN34" s="139">
        <f>VLOOKUP($E34,'7. PGE_Efficacité'!$A$6:$CY$266,(MATCH('4.5 ACE MAX WOL '!AN$4,'7. PGE_Efficacité'!$A$4:$AO$4,0)+62),0)</f>
        <v>0</v>
      </c>
    </row>
    <row r="35" spans="1:40" hidden="1" outlineLevel="2" x14ac:dyDescent="0.25">
      <c r="A35" s="48" t="s">
        <v>1524</v>
      </c>
      <c r="B35" s="49">
        <v>4</v>
      </c>
      <c r="C35" s="48" t="s">
        <v>1529</v>
      </c>
      <c r="D35" s="199" t="s">
        <v>3</v>
      </c>
      <c r="E35" s="200" t="s">
        <v>794</v>
      </c>
      <c r="F35" s="200" t="s">
        <v>1432</v>
      </c>
      <c r="G35" s="201" t="s">
        <v>1520</v>
      </c>
      <c r="H35" s="200" t="s">
        <v>1290</v>
      </c>
      <c r="I35" s="202"/>
      <c r="J35" s="139">
        <f>VLOOKUP($E35,'7. PGE_Efficacité'!$A$6:$CY$266,(MATCH('4.5 ACE MAX WOL '!J$4,'7. PGE_Efficacité'!$A$4:$AO$4,0)+62),0)</f>
        <v>0</v>
      </c>
      <c r="K35" s="139">
        <f>VLOOKUP($E35,'7. PGE_Efficacité'!$A$6:$CY$266,(MATCH('4.5 ACE MAX WOL '!K$4,'7. PGE_Efficacité'!$A$4:$AO$4,0)+62),0)</f>
        <v>0</v>
      </c>
      <c r="L35" s="139">
        <f>VLOOKUP($E35,'7. PGE_Efficacité'!$A$6:$CY$266,(MATCH('4.5 ACE MAX WOL '!L$4,'7. PGE_Efficacité'!$A$4:$AO$4,0)+62),0)</f>
        <v>0</v>
      </c>
      <c r="M35" s="139">
        <f>VLOOKUP($E35,'7. PGE_Efficacité'!$A$6:$CY$266,(MATCH('4.5 ACE MAX WOL '!M$4,'7. PGE_Efficacité'!$A$4:$AO$4,0)+62),0)</f>
        <v>0</v>
      </c>
      <c r="N35" s="139">
        <f>VLOOKUP($E35,'7. PGE_Efficacité'!$A$6:$CY$266,(MATCH('4.5 ACE MAX WOL '!N$4,'7. PGE_Efficacité'!$A$4:$AO$4,0)+62),0)</f>
        <v>0</v>
      </c>
      <c r="O35" s="139">
        <f>VLOOKUP($E35,'7. PGE_Efficacité'!$A$6:$CY$266,78,0)</f>
        <v>0</v>
      </c>
      <c r="P35" s="139">
        <f>VLOOKUP($E35,'7. PGE_Efficacité'!$A$6:$CY$266,(MATCH('4.5 ACE MAX WOL '!P$4,'7. PGE_Efficacité'!$A$4:$AO$4,0)+62),0)</f>
        <v>0</v>
      </c>
      <c r="Q35" s="139">
        <f>VLOOKUP($E35,'7. PGE_Efficacité'!$A$6:$CY$266,(MATCH('4.5 ACE MAX WOL '!Q$4,'7. PGE_Efficacité'!$A$4:$AO$4,0)+62),0)</f>
        <v>0</v>
      </c>
      <c r="R35" s="139">
        <f>VLOOKUP($E35,'7. PGE_Efficacité'!$A$6:$CY$266,(MATCH('4.5 ACE MAX WOL '!R$4,'7. PGE_Efficacité'!$A$4:$AO$4,0)+62),0)</f>
        <v>0</v>
      </c>
      <c r="S35" s="139">
        <f>VLOOKUP($E35,'7. PGE_Efficacité'!$A$6:$CY$266,(MATCH('4.5 ACE MAX WOL '!S$4,'7. PGE_Efficacité'!$A$4:$AO$4,0)+62),0)</f>
        <v>0</v>
      </c>
      <c r="T35" s="139">
        <f>VLOOKUP($E35,'7. PGE_Efficacité'!$A$6:$CY$266,(MATCH('4.5 ACE MAX WOL '!T$4,'7. PGE_Efficacité'!$A$4:$AO$4,0)+62),0)</f>
        <v>0</v>
      </c>
      <c r="U35" s="139">
        <f>VLOOKUP($E35,'7. PGE_Efficacité'!$A$6:$CY$266,(MATCH('4.5 ACE MAX WOL '!U$4,'7. PGE_Efficacité'!$A$4:$AO$4,0)+62),0)</f>
        <v>0</v>
      </c>
      <c r="V35" s="139">
        <f>VLOOKUP($E35,'7. PGE_Efficacité'!$A$6:$CY$266,(MATCH('4.5 ACE MAX WOL '!V$4,'7. PGE_Efficacité'!$A$4:$AO$4,0)+62),0)</f>
        <v>0</v>
      </c>
      <c r="W35" s="139">
        <f>VLOOKUP($E35,'7. PGE_Efficacité'!$A$6:$CY$266,(MATCH('4.5 ACE MAX WOL '!W$4,'7. PGE_Efficacité'!$A$4:$AO$4,0)+62),0)</f>
        <v>0</v>
      </c>
      <c r="X35" s="139">
        <f>VLOOKUP($E35,'7. PGE_Efficacité'!$A$6:$CY$266,(MATCH('4.5 ACE MAX WOL '!X$4,'7. PGE_Efficacité'!$A$4:$AO$4,0)+62),0)</f>
        <v>0</v>
      </c>
      <c r="Y35" s="139">
        <f>VLOOKUP($E35,'7. PGE_Efficacité'!$A$6:$CY$266,(MATCH('4.5 ACE MAX WOL '!Y$4,'7. PGE_Efficacité'!$A$4:$AO$4,0)+62),0)</f>
        <v>0</v>
      </c>
      <c r="Z35" s="139">
        <f>VLOOKUP($E35,'7. PGE_Efficacité'!$A$6:$CY$266,(MATCH('4.5 ACE MAX WOL '!Z$4,'7. PGE_Efficacité'!$A$4:$AO$4,0)+62),0)</f>
        <v>0</v>
      </c>
      <c r="AA35" s="139">
        <f>VLOOKUP($E35,'7. PGE_Efficacité'!$A$6:$CY$266,(MATCH('4.5 ACE MAX WOL '!AA$4,'7. PGE_Efficacité'!$A$4:$AO$4,0)+62),0)</f>
        <v>0</v>
      </c>
      <c r="AB35" s="139">
        <f>VLOOKUP($E35,'7. PGE_Efficacité'!$A$6:$CY$266,(MATCH('4.5 ACE MAX WOL '!AB$4,'7. PGE_Efficacité'!$A$4:$AO$4,0)+62),0)</f>
        <v>0</v>
      </c>
      <c r="AC35" s="139">
        <f>VLOOKUP($E35,'7. PGE_Efficacité'!$A$6:$CY$266,(MATCH('4.5 ACE MAX WOL '!AC$4,'7. PGE_Efficacité'!$A$4:$AO$4,0)+62),0)</f>
        <v>0</v>
      </c>
      <c r="AD35" s="139">
        <f>VLOOKUP($E35,'7. PGE_Efficacité'!$A$6:$CY$266,(MATCH('4.5 ACE MAX WOL '!AD$4,'7. PGE_Efficacité'!$A$4:$AO$4,0)+62),0)</f>
        <v>0</v>
      </c>
      <c r="AE35" s="139">
        <f>VLOOKUP($E35,'7. PGE_Efficacité'!$A$6:$CY$266,(MATCH('4.5 ACE MAX WOL '!AE$4,'7. PGE_Efficacité'!$A$4:$AO$4,0)+62),0)</f>
        <v>0</v>
      </c>
      <c r="AF35" s="139">
        <f>VLOOKUP($E35,'7. PGE_Efficacité'!$A$6:$CY$266,(MATCH('4.5 ACE MAX WOL '!AF$4,'7. PGE_Efficacité'!$A$4:$AO$4,0)+62),0)</f>
        <v>0</v>
      </c>
      <c r="AG35" s="139">
        <f>VLOOKUP($E35,'7. PGE_Efficacité'!$A$6:$CY$266,(MATCH('4.5 ACE MAX WOL '!AG$4,'7. PGE_Efficacité'!$A$4:$AO$4,0)+62),0)</f>
        <v>0</v>
      </c>
      <c r="AH35" s="139">
        <f>VLOOKUP($E35,'7. PGE_Efficacité'!$A$6:$CY$266,(MATCH('4.5 ACE MAX WOL '!AH$4,'7. PGE_Efficacité'!$A$4:$AO$4,0)+62),0)</f>
        <v>0</v>
      </c>
      <c r="AI35" s="139">
        <f>VLOOKUP($E35,'7. PGE_Efficacité'!$A$6:$CY$266,(MATCH('4.5 ACE MAX WOL '!AI$4,'7. PGE_Efficacité'!$A$4:$AO$4,0)+62),0)</f>
        <v>0</v>
      </c>
      <c r="AJ35" s="139">
        <f>VLOOKUP($E35,'7. PGE_Efficacité'!$A$6:$CY$266,(MATCH('4.5 ACE MAX WOL '!AJ$4,'7. PGE_Efficacité'!$A$4:$AO$4,0)+62),0)</f>
        <v>0</v>
      </c>
      <c r="AK35" s="139">
        <f>VLOOKUP($E35,'7. PGE_Efficacité'!$A$6:$CY$266,(MATCH('4.5 ACE MAX WOL '!AK$4,'7. PGE_Efficacité'!$A$4:$AO$4,0)+62),0)</f>
        <v>0</v>
      </c>
      <c r="AL35" s="139">
        <f>VLOOKUP($E35,'7. PGE_Efficacité'!$A$6:$CY$266,(MATCH('4.5 ACE MAX WOL '!AL$4,'7. PGE_Efficacité'!$A$4:$AO$4,0)+62),0)</f>
        <v>0</v>
      </c>
      <c r="AM35" s="139">
        <f>VLOOKUP($E35,'7. PGE_Efficacité'!$A$6:$CY$266,(MATCH('4.5 ACE MAX WOL '!AM$4,'7. PGE_Efficacité'!$A$4:$AO$4,0)+62),0)</f>
        <v>0</v>
      </c>
      <c r="AN35" s="139">
        <f>VLOOKUP($E35,'7. PGE_Efficacité'!$A$6:$CY$266,(MATCH('4.5 ACE MAX WOL '!AN$4,'7. PGE_Efficacité'!$A$4:$AO$4,0)+62),0)</f>
        <v>0</v>
      </c>
    </row>
    <row r="36" spans="1:40" hidden="1" outlineLevel="2" x14ac:dyDescent="0.25">
      <c r="A36" s="48" t="s">
        <v>1524</v>
      </c>
      <c r="B36" s="49">
        <v>4</v>
      </c>
      <c r="C36" s="48" t="s">
        <v>1530</v>
      </c>
      <c r="D36" s="199" t="s">
        <v>3</v>
      </c>
      <c r="E36" s="200" t="s">
        <v>795</v>
      </c>
      <c r="F36" s="200" t="s">
        <v>1433</v>
      </c>
      <c r="G36" s="201" t="s">
        <v>1520</v>
      </c>
      <c r="H36" s="200" t="s">
        <v>1290</v>
      </c>
      <c r="I36" s="202"/>
      <c r="J36" s="139">
        <f>VLOOKUP($E36,'7. PGE_Efficacité'!$A$6:$CY$266,(MATCH('4.5 ACE MAX WOL '!J$4,'7. PGE_Efficacité'!$A$4:$AO$4,0)+62),0)</f>
        <v>0</v>
      </c>
      <c r="K36" s="139">
        <f>VLOOKUP($E36,'7. PGE_Efficacité'!$A$6:$CY$266,(MATCH('4.5 ACE MAX WOL '!K$4,'7. PGE_Efficacité'!$A$4:$AO$4,0)+62),0)</f>
        <v>0</v>
      </c>
      <c r="L36" s="139">
        <f>VLOOKUP($E36,'7. PGE_Efficacité'!$A$6:$CY$266,(MATCH('4.5 ACE MAX WOL '!L$4,'7. PGE_Efficacité'!$A$4:$AO$4,0)+62),0)</f>
        <v>0</v>
      </c>
      <c r="M36" s="139">
        <f>VLOOKUP($E36,'7. PGE_Efficacité'!$A$6:$CY$266,(MATCH('4.5 ACE MAX WOL '!M$4,'7. PGE_Efficacité'!$A$4:$AO$4,0)+62),0)</f>
        <v>0</v>
      </c>
      <c r="N36" s="139">
        <f>VLOOKUP($E36,'7. PGE_Efficacité'!$A$6:$CY$266,(MATCH('4.5 ACE MAX WOL '!N$4,'7. PGE_Efficacité'!$A$4:$AO$4,0)+62),0)</f>
        <v>0</v>
      </c>
      <c r="O36" s="139">
        <f>VLOOKUP($E36,'7. PGE_Efficacité'!$A$6:$CY$266,78,0)</f>
        <v>0</v>
      </c>
      <c r="P36" s="139">
        <f>VLOOKUP($E36,'7. PGE_Efficacité'!$A$6:$CY$266,(MATCH('4.5 ACE MAX WOL '!P$4,'7. PGE_Efficacité'!$A$4:$AO$4,0)+62),0)</f>
        <v>0</v>
      </c>
      <c r="Q36" s="139">
        <f>VLOOKUP($E36,'7. PGE_Efficacité'!$A$6:$CY$266,(MATCH('4.5 ACE MAX WOL '!Q$4,'7. PGE_Efficacité'!$A$4:$AO$4,0)+62),0)</f>
        <v>0</v>
      </c>
      <c r="R36" s="139">
        <f>VLOOKUP($E36,'7. PGE_Efficacité'!$A$6:$CY$266,(MATCH('4.5 ACE MAX WOL '!R$4,'7. PGE_Efficacité'!$A$4:$AO$4,0)+62),0)</f>
        <v>0</v>
      </c>
      <c r="S36" s="139">
        <f>VLOOKUP($E36,'7. PGE_Efficacité'!$A$6:$CY$266,(MATCH('4.5 ACE MAX WOL '!S$4,'7. PGE_Efficacité'!$A$4:$AO$4,0)+62),0)</f>
        <v>0</v>
      </c>
      <c r="T36" s="139">
        <f>VLOOKUP($E36,'7. PGE_Efficacité'!$A$6:$CY$266,(MATCH('4.5 ACE MAX WOL '!T$4,'7. PGE_Efficacité'!$A$4:$AO$4,0)+62),0)</f>
        <v>0</v>
      </c>
      <c r="U36" s="139">
        <f>VLOOKUP($E36,'7. PGE_Efficacité'!$A$6:$CY$266,(MATCH('4.5 ACE MAX WOL '!U$4,'7. PGE_Efficacité'!$A$4:$AO$4,0)+62),0)</f>
        <v>0</v>
      </c>
      <c r="V36" s="139">
        <f>VLOOKUP($E36,'7. PGE_Efficacité'!$A$6:$CY$266,(MATCH('4.5 ACE MAX WOL '!V$4,'7. PGE_Efficacité'!$A$4:$AO$4,0)+62),0)</f>
        <v>0</v>
      </c>
      <c r="W36" s="139">
        <f>VLOOKUP($E36,'7. PGE_Efficacité'!$A$6:$CY$266,(MATCH('4.5 ACE MAX WOL '!W$4,'7. PGE_Efficacité'!$A$4:$AO$4,0)+62),0)</f>
        <v>0</v>
      </c>
      <c r="X36" s="139">
        <f>VLOOKUP($E36,'7. PGE_Efficacité'!$A$6:$CY$266,(MATCH('4.5 ACE MAX WOL '!X$4,'7. PGE_Efficacité'!$A$4:$AO$4,0)+62),0)</f>
        <v>0</v>
      </c>
      <c r="Y36" s="139">
        <f>VLOOKUP($E36,'7. PGE_Efficacité'!$A$6:$CY$266,(MATCH('4.5 ACE MAX WOL '!Y$4,'7. PGE_Efficacité'!$A$4:$AO$4,0)+62),0)</f>
        <v>0</v>
      </c>
      <c r="Z36" s="139">
        <f>VLOOKUP($E36,'7. PGE_Efficacité'!$A$6:$CY$266,(MATCH('4.5 ACE MAX WOL '!Z$4,'7. PGE_Efficacité'!$A$4:$AO$4,0)+62),0)</f>
        <v>0</v>
      </c>
      <c r="AA36" s="139">
        <f>VLOOKUP($E36,'7. PGE_Efficacité'!$A$6:$CY$266,(MATCH('4.5 ACE MAX WOL '!AA$4,'7. PGE_Efficacité'!$A$4:$AO$4,0)+62),0)</f>
        <v>0</v>
      </c>
      <c r="AB36" s="139">
        <f>VLOOKUP($E36,'7. PGE_Efficacité'!$A$6:$CY$266,(MATCH('4.5 ACE MAX WOL '!AB$4,'7. PGE_Efficacité'!$A$4:$AO$4,0)+62),0)</f>
        <v>0</v>
      </c>
      <c r="AC36" s="139">
        <f>VLOOKUP($E36,'7. PGE_Efficacité'!$A$6:$CY$266,(MATCH('4.5 ACE MAX WOL '!AC$4,'7. PGE_Efficacité'!$A$4:$AO$4,0)+62),0)</f>
        <v>0</v>
      </c>
      <c r="AD36" s="139">
        <f>VLOOKUP($E36,'7. PGE_Efficacité'!$A$6:$CY$266,(MATCH('4.5 ACE MAX WOL '!AD$4,'7. PGE_Efficacité'!$A$4:$AO$4,0)+62),0)</f>
        <v>0</v>
      </c>
      <c r="AE36" s="139">
        <f>VLOOKUP($E36,'7. PGE_Efficacité'!$A$6:$CY$266,(MATCH('4.5 ACE MAX WOL '!AE$4,'7. PGE_Efficacité'!$A$4:$AO$4,0)+62),0)</f>
        <v>0</v>
      </c>
      <c r="AF36" s="139">
        <f>VLOOKUP($E36,'7. PGE_Efficacité'!$A$6:$CY$266,(MATCH('4.5 ACE MAX WOL '!AF$4,'7. PGE_Efficacité'!$A$4:$AO$4,0)+62),0)</f>
        <v>0</v>
      </c>
      <c r="AG36" s="139">
        <f>VLOOKUP($E36,'7. PGE_Efficacité'!$A$6:$CY$266,(MATCH('4.5 ACE MAX WOL '!AG$4,'7. PGE_Efficacité'!$A$4:$AO$4,0)+62),0)</f>
        <v>0</v>
      </c>
      <c r="AH36" s="139">
        <f>VLOOKUP($E36,'7. PGE_Efficacité'!$A$6:$CY$266,(MATCH('4.5 ACE MAX WOL '!AH$4,'7. PGE_Efficacité'!$A$4:$AO$4,0)+62),0)</f>
        <v>0</v>
      </c>
      <c r="AI36" s="139">
        <f>VLOOKUP($E36,'7. PGE_Efficacité'!$A$6:$CY$266,(MATCH('4.5 ACE MAX WOL '!AI$4,'7. PGE_Efficacité'!$A$4:$AO$4,0)+62),0)</f>
        <v>0</v>
      </c>
      <c r="AJ36" s="139">
        <f>VLOOKUP($E36,'7. PGE_Efficacité'!$A$6:$CY$266,(MATCH('4.5 ACE MAX WOL '!AJ$4,'7. PGE_Efficacité'!$A$4:$AO$4,0)+62),0)</f>
        <v>0</v>
      </c>
      <c r="AK36" s="139">
        <f>VLOOKUP($E36,'7. PGE_Efficacité'!$A$6:$CY$266,(MATCH('4.5 ACE MAX WOL '!AK$4,'7. PGE_Efficacité'!$A$4:$AO$4,0)+62),0)</f>
        <v>0</v>
      </c>
      <c r="AL36" s="139">
        <f>VLOOKUP($E36,'7. PGE_Efficacité'!$A$6:$CY$266,(MATCH('4.5 ACE MAX WOL '!AL$4,'7. PGE_Efficacité'!$A$4:$AO$4,0)+62),0)</f>
        <v>0</v>
      </c>
      <c r="AM36" s="139">
        <f>VLOOKUP($E36,'7. PGE_Efficacité'!$A$6:$CY$266,(MATCH('4.5 ACE MAX WOL '!AM$4,'7. PGE_Efficacité'!$A$4:$AO$4,0)+62),0)</f>
        <v>0</v>
      </c>
      <c r="AN36" s="139">
        <f>VLOOKUP($E36,'7. PGE_Efficacité'!$A$6:$CY$266,(MATCH('4.5 ACE MAX WOL '!AN$4,'7. PGE_Efficacité'!$A$4:$AO$4,0)+62),0)</f>
        <v>0</v>
      </c>
    </row>
    <row r="37" spans="1:40" hidden="1" outlineLevel="2" x14ac:dyDescent="0.25">
      <c r="A37" s="48" t="s">
        <v>1524</v>
      </c>
      <c r="B37" s="49">
        <v>4</v>
      </c>
      <c r="C37" s="48" t="s">
        <v>1531</v>
      </c>
      <c r="D37" s="199" t="s">
        <v>3</v>
      </c>
      <c r="E37" s="200" t="s">
        <v>796</v>
      </c>
      <c r="F37" s="200" t="s">
        <v>1434</v>
      </c>
      <c r="G37" s="201" t="s">
        <v>1520</v>
      </c>
      <c r="H37" s="200" t="s">
        <v>1290</v>
      </c>
      <c r="I37" s="202"/>
      <c r="J37" s="139">
        <f>VLOOKUP($E37,'7. PGE_Efficacité'!$A$6:$CY$266,(MATCH('4.5 ACE MAX WOL '!J$4,'7. PGE_Efficacité'!$A$4:$AO$4,0)+62),0)</f>
        <v>0</v>
      </c>
      <c r="K37" s="139">
        <f>VLOOKUP($E37,'7. PGE_Efficacité'!$A$6:$CY$266,(MATCH('4.5 ACE MAX WOL '!K$4,'7. PGE_Efficacité'!$A$4:$AO$4,0)+62),0)</f>
        <v>0</v>
      </c>
      <c r="L37" s="139">
        <f>VLOOKUP($E37,'7. PGE_Efficacité'!$A$6:$CY$266,(MATCH('4.5 ACE MAX WOL '!L$4,'7. PGE_Efficacité'!$A$4:$AO$4,0)+62),0)</f>
        <v>0</v>
      </c>
      <c r="M37" s="139">
        <f>VLOOKUP($E37,'7. PGE_Efficacité'!$A$6:$CY$266,(MATCH('4.5 ACE MAX WOL '!M$4,'7. PGE_Efficacité'!$A$4:$AO$4,0)+62),0)</f>
        <v>0</v>
      </c>
      <c r="N37" s="139">
        <f>VLOOKUP($E37,'7. PGE_Efficacité'!$A$6:$CY$266,(MATCH('4.5 ACE MAX WOL '!N$4,'7. PGE_Efficacité'!$A$4:$AO$4,0)+62),0)</f>
        <v>0</v>
      </c>
      <c r="O37" s="139">
        <f>VLOOKUP($E37,'7. PGE_Efficacité'!$A$6:$CY$266,78,0)</f>
        <v>0</v>
      </c>
      <c r="P37" s="139">
        <f>VLOOKUP($E37,'7. PGE_Efficacité'!$A$6:$CY$266,(MATCH('4.5 ACE MAX WOL '!P$4,'7. PGE_Efficacité'!$A$4:$AO$4,0)+62),0)</f>
        <v>0</v>
      </c>
      <c r="Q37" s="139">
        <f>VLOOKUP($E37,'7. PGE_Efficacité'!$A$6:$CY$266,(MATCH('4.5 ACE MAX WOL '!Q$4,'7. PGE_Efficacité'!$A$4:$AO$4,0)+62),0)</f>
        <v>0</v>
      </c>
      <c r="R37" s="139">
        <f>VLOOKUP($E37,'7. PGE_Efficacité'!$A$6:$CY$266,(MATCH('4.5 ACE MAX WOL '!R$4,'7. PGE_Efficacité'!$A$4:$AO$4,0)+62),0)</f>
        <v>0</v>
      </c>
      <c r="S37" s="139">
        <f>VLOOKUP($E37,'7. PGE_Efficacité'!$A$6:$CY$266,(MATCH('4.5 ACE MAX WOL '!S$4,'7. PGE_Efficacité'!$A$4:$AO$4,0)+62),0)</f>
        <v>0</v>
      </c>
      <c r="T37" s="139">
        <f>VLOOKUP($E37,'7. PGE_Efficacité'!$A$6:$CY$266,(MATCH('4.5 ACE MAX WOL '!T$4,'7. PGE_Efficacité'!$A$4:$AO$4,0)+62),0)</f>
        <v>0</v>
      </c>
      <c r="U37" s="139">
        <f>VLOOKUP($E37,'7. PGE_Efficacité'!$A$6:$CY$266,(MATCH('4.5 ACE MAX WOL '!U$4,'7. PGE_Efficacité'!$A$4:$AO$4,0)+62),0)</f>
        <v>0</v>
      </c>
      <c r="V37" s="139">
        <f>VLOOKUP($E37,'7. PGE_Efficacité'!$A$6:$CY$266,(MATCH('4.5 ACE MAX WOL '!V$4,'7. PGE_Efficacité'!$A$4:$AO$4,0)+62),0)</f>
        <v>0</v>
      </c>
      <c r="W37" s="139">
        <f>VLOOKUP($E37,'7. PGE_Efficacité'!$A$6:$CY$266,(MATCH('4.5 ACE MAX WOL '!W$4,'7. PGE_Efficacité'!$A$4:$AO$4,0)+62),0)</f>
        <v>0</v>
      </c>
      <c r="X37" s="139">
        <f>VLOOKUP($E37,'7. PGE_Efficacité'!$A$6:$CY$266,(MATCH('4.5 ACE MAX WOL '!X$4,'7. PGE_Efficacité'!$A$4:$AO$4,0)+62),0)</f>
        <v>0</v>
      </c>
      <c r="Y37" s="139">
        <f>VLOOKUP($E37,'7. PGE_Efficacité'!$A$6:$CY$266,(MATCH('4.5 ACE MAX WOL '!Y$4,'7. PGE_Efficacité'!$A$4:$AO$4,0)+62),0)</f>
        <v>0</v>
      </c>
      <c r="Z37" s="139">
        <f>VLOOKUP($E37,'7. PGE_Efficacité'!$A$6:$CY$266,(MATCH('4.5 ACE MAX WOL '!Z$4,'7. PGE_Efficacité'!$A$4:$AO$4,0)+62),0)</f>
        <v>0</v>
      </c>
      <c r="AA37" s="139">
        <f>VLOOKUP($E37,'7. PGE_Efficacité'!$A$6:$CY$266,(MATCH('4.5 ACE MAX WOL '!AA$4,'7. PGE_Efficacité'!$A$4:$AO$4,0)+62),0)</f>
        <v>0</v>
      </c>
      <c r="AB37" s="139">
        <f>VLOOKUP($E37,'7. PGE_Efficacité'!$A$6:$CY$266,(MATCH('4.5 ACE MAX WOL '!AB$4,'7. PGE_Efficacité'!$A$4:$AO$4,0)+62),0)</f>
        <v>0</v>
      </c>
      <c r="AC37" s="139">
        <f>VLOOKUP($E37,'7. PGE_Efficacité'!$A$6:$CY$266,(MATCH('4.5 ACE MAX WOL '!AC$4,'7. PGE_Efficacité'!$A$4:$AO$4,0)+62),0)</f>
        <v>0</v>
      </c>
      <c r="AD37" s="139">
        <f>VLOOKUP($E37,'7. PGE_Efficacité'!$A$6:$CY$266,(MATCH('4.5 ACE MAX WOL '!AD$4,'7. PGE_Efficacité'!$A$4:$AO$4,0)+62),0)</f>
        <v>0</v>
      </c>
      <c r="AE37" s="139">
        <f>VLOOKUP($E37,'7. PGE_Efficacité'!$A$6:$CY$266,(MATCH('4.5 ACE MAX WOL '!AE$4,'7. PGE_Efficacité'!$A$4:$AO$4,0)+62),0)</f>
        <v>0</v>
      </c>
      <c r="AF37" s="139">
        <f>VLOOKUP($E37,'7. PGE_Efficacité'!$A$6:$CY$266,(MATCH('4.5 ACE MAX WOL '!AF$4,'7. PGE_Efficacité'!$A$4:$AO$4,0)+62),0)</f>
        <v>0</v>
      </c>
      <c r="AG37" s="139">
        <f>VLOOKUP($E37,'7. PGE_Efficacité'!$A$6:$CY$266,(MATCH('4.5 ACE MAX WOL '!AG$4,'7. PGE_Efficacité'!$A$4:$AO$4,0)+62),0)</f>
        <v>0</v>
      </c>
      <c r="AH37" s="139">
        <f>VLOOKUP($E37,'7. PGE_Efficacité'!$A$6:$CY$266,(MATCH('4.5 ACE MAX WOL '!AH$4,'7. PGE_Efficacité'!$A$4:$AO$4,0)+62),0)</f>
        <v>0</v>
      </c>
      <c r="AI37" s="139">
        <f>VLOOKUP($E37,'7. PGE_Efficacité'!$A$6:$CY$266,(MATCH('4.5 ACE MAX WOL '!AI$4,'7. PGE_Efficacité'!$A$4:$AO$4,0)+62),0)</f>
        <v>0</v>
      </c>
      <c r="AJ37" s="139">
        <f>VLOOKUP($E37,'7. PGE_Efficacité'!$A$6:$CY$266,(MATCH('4.5 ACE MAX WOL '!AJ$4,'7. PGE_Efficacité'!$A$4:$AO$4,0)+62),0)</f>
        <v>0</v>
      </c>
      <c r="AK37" s="139">
        <f>VLOOKUP($E37,'7. PGE_Efficacité'!$A$6:$CY$266,(MATCH('4.5 ACE MAX WOL '!AK$4,'7. PGE_Efficacité'!$A$4:$AO$4,0)+62),0)</f>
        <v>0</v>
      </c>
      <c r="AL37" s="139">
        <f>VLOOKUP($E37,'7. PGE_Efficacité'!$A$6:$CY$266,(MATCH('4.5 ACE MAX WOL '!AL$4,'7. PGE_Efficacité'!$A$4:$AO$4,0)+62),0)</f>
        <v>0</v>
      </c>
      <c r="AM37" s="139">
        <f>VLOOKUP($E37,'7. PGE_Efficacité'!$A$6:$CY$266,(MATCH('4.5 ACE MAX WOL '!AM$4,'7. PGE_Efficacité'!$A$4:$AO$4,0)+62),0)</f>
        <v>0</v>
      </c>
      <c r="AN37" s="139">
        <f>VLOOKUP($E37,'7. PGE_Efficacité'!$A$6:$CY$266,(MATCH('4.5 ACE MAX WOL '!AN$4,'7. PGE_Efficacité'!$A$4:$AO$4,0)+62),0)</f>
        <v>0</v>
      </c>
    </row>
    <row r="38" spans="1:40" hidden="1" outlineLevel="2" x14ac:dyDescent="0.25">
      <c r="A38" s="48" t="s">
        <v>1524</v>
      </c>
      <c r="B38" s="49">
        <v>4</v>
      </c>
      <c r="C38" s="48" t="s">
        <v>1503</v>
      </c>
      <c r="D38" s="199" t="s">
        <v>3</v>
      </c>
      <c r="E38" s="200" t="s">
        <v>785</v>
      </c>
      <c r="F38" s="200" t="s">
        <v>1423</v>
      </c>
      <c r="G38" s="201" t="s">
        <v>1520</v>
      </c>
      <c r="H38" s="200" t="s">
        <v>1290</v>
      </c>
      <c r="I38" s="202"/>
      <c r="J38" s="139">
        <f>VLOOKUP($E38,'7. PGE_Efficacité'!$A$6:$CY$266,(MATCH('4.5 ACE MAX WOL '!J$4,'7. PGE_Efficacité'!$A$4:$AO$4,0)+62),0)</f>
        <v>0</v>
      </c>
      <c r="K38" s="139">
        <f>VLOOKUP($E38,'7. PGE_Efficacité'!$A$6:$CY$266,(MATCH('4.5 ACE MAX WOL '!K$4,'7. PGE_Efficacité'!$A$4:$AO$4,0)+62),0)</f>
        <v>0</v>
      </c>
      <c r="L38" s="139">
        <f>VLOOKUP($E38,'7. PGE_Efficacité'!$A$6:$CY$266,(MATCH('4.5 ACE MAX WOL '!L$4,'7. PGE_Efficacité'!$A$4:$AO$4,0)+62),0)</f>
        <v>0</v>
      </c>
      <c r="M38" s="139">
        <f>VLOOKUP($E38,'7. PGE_Efficacité'!$A$6:$CY$266,(MATCH('4.5 ACE MAX WOL '!M$4,'7. PGE_Efficacité'!$A$4:$AO$4,0)+62),0)</f>
        <v>0</v>
      </c>
      <c r="N38" s="139">
        <f>VLOOKUP($E38,'7. PGE_Efficacité'!$A$6:$CY$266,(MATCH('4.5 ACE MAX WOL '!N$4,'7. PGE_Efficacité'!$A$4:$AO$4,0)+62),0)</f>
        <v>0</v>
      </c>
      <c r="O38" s="139">
        <f>VLOOKUP($E38,'7. PGE_Efficacité'!$A$6:$CY$266,78,0)</f>
        <v>0</v>
      </c>
      <c r="P38" s="139">
        <f>VLOOKUP($E38,'7. PGE_Efficacité'!$A$6:$CY$266,(MATCH('4.5 ACE MAX WOL '!P$4,'7. PGE_Efficacité'!$A$4:$AO$4,0)+62),0)</f>
        <v>0</v>
      </c>
      <c r="Q38" s="139">
        <f>VLOOKUP($E38,'7. PGE_Efficacité'!$A$6:$CY$266,(MATCH('4.5 ACE MAX WOL '!Q$4,'7. PGE_Efficacité'!$A$4:$AO$4,0)+62),0)</f>
        <v>0</v>
      </c>
      <c r="R38" s="139">
        <f>VLOOKUP($E38,'7. PGE_Efficacité'!$A$6:$CY$266,(MATCH('4.5 ACE MAX WOL '!R$4,'7. PGE_Efficacité'!$A$4:$AO$4,0)+62),0)</f>
        <v>0</v>
      </c>
      <c r="S38" s="139">
        <f>VLOOKUP($E38,'7. PGE_Efficacité'!$A$6:$CY$266,(MATCH('4.5 ACE MAX WOL '!S$4,'7. PGE_Efficacité'!$A$4:$AO$4,0)+62),0)</f>
        <v>0</v>
      </c>
      <c r="T38" s="139">
        <f>VLOOKUP($E38,'7. PGE_Efficacité'!$A$6:$CY$266,(MATCH('4.5 ACE MAX WOL '!T$4,'7. PGE_Efficacité'!$A$4:$AO$4,0)+62),0)</f>
        <v>0</v>
      </c>
      <c r="U38" s="139">
        <f>VLOOKUP($E38,'7. PGE_Efficacité'!$A$6:$CY$266,(MATCH('4.5 ACE MAX WOL '!U$4,'7. PGE_Efficacité'!$A$4:$AO$4,0)+62),0)</f>
        <v>0</v>
      </c>
      <c r="V38" s="139">
        <f>VLOOKUP($E38,'7. PGE_Efficacité'!$A$6:$CY$266,(MATCH('4.5 ACE MAX WOL '!V$4,'7. PGE_Efficacité'!$A$4:$AO$4,0)+62),0)</f>
        <v>0</v>
      </c>
      <c r="W38" s="139">
        <f>VLOOKUP($E38,'7. PGE_Efficacité'!$A$6:$CY$266,(MATCH('4.5 ACE MAX WOL '!W$4,'7. PGE_Efficacité'!$A$4:$AO$4,0)+62),0)</f>
        <v>0</v>
      </c>
      <c r="X38" s="139">
        <f>VLOOKUP($E38,'7. PGE_Efficacité'!$A$6:$CY$266,(MATCH('4.5 ACE MAX WOL '!X$4,'7. PGE_Efficacité'!$A$4:$AO$4,0)+62),0)</f>
        <v>0</v>
      </c>
      <c r="Y38" s="139">
        <f>VLOOKUP($E38,'7. PGE_Efficacité'!$A$6:$CY$266,(MATCH('4.5 ACE MAX WOL '!Y$4,'7. PGE_Efficacité'!$A$4:$AO$4,0)+62),0)</f>
        <v>0</v>
      </c>
      <c r="Z38" s="139">
        <f>VLOOKUP($E38,'7. PGE_Efficacité'!$A$6:$CY$266,(MATCH('4.5 ACE MAX WOL '!Z$4,'7. PGE_Efficacité'!$A$4:$AO$4,0)+62),0)</f>
        <v>0</v>
      </c>
      <c r="AA38" s="139">
        <f>VLOOKUP($E38,'7. PGE_Efficacité'!$A$6:$CY$266,(MATCH('4.5 ACE MAX WOL '!AA$4,'7. PGE_Efficacité'!$A$4:$AO$4,0)+62),0)</f>
        <v>0</v>
      </c>
      <c r="AB38" s="139">
        <f>VLOOKUP($E38,'7. PGE_Efficacité'!$A$6:$CY$266,(MATCH('4.5 ACE MAX WOL '!AB$4,'7. PGE_Efficacité'!$A$4:$AO$4,0)+62),0)</f>
        <v>0</v>
      </c>
      <c r="AC38" s="139">
        <f>VLOOKUP($E38,'7. PGE_Efficacité'!$A$6:$CY$266,(MATCH('4.5 ACE MAX WOL '!AC$4,'7. PGE_Efficacité'!$A$4:$AO$4,0)+62),0)</f>
        <v>0</v>
      </c>
      <c r="AD38" s="139">
        <f>VLOOKUP($E38,'7. PGE_Efficacité'!$A$6:$CY$266,(MATCH('4.5 ACE MAX WOL '!AD$4,'7. PGE_Efficacité'!$A$4:$AO$4,0)+62),0)</f>
        <v>0</v>
      </c>
      <c r="AE38" s="139">
        <f>VLOOKUP($E38,'7. PGE_Efficacité'!$A$6:$CY$266,(MATCH('4.5 ACE MAX WOL '!AE$4,'7. PGE_Efficacité'!$A$4:$AO$4,0)+62),0)</f>
        <v>0</v>
      </c>
      <c r="AF38" s="139">
        <f>VLOOKUP($E38,'7. PGE_Efficacité'!$A$6:$CY$266,(MATCH('4.5 ACE MAX WOL '!AF$4,'7. PGE_Efficacité'!$A$4:$AO$4,0)+62),0)</f>
        <v>0</v>
      </c>
      <c r="AG38" s="139">
        <f>VLOOKUP($E38,'7. PGE_Efficacité'!$A$6:$CY$266,(MATCH('4.5 ACE MAX WOL '!AG$4,'7. PGE_Efficacité'!$A$4:$AO$4,0)+62),0)</f>
        <v>0</v>
      </c>
      <c r="AH38" s="139">
        <f>VLOOKUP($E38,'7. PGE_Efficacité'!$A$6:$CY$266,(MATCH('4.5 ACE MAX WOL '!AH$4,'7. PGE_Efficacité'!$A$4:$AO$4,0)+62),0)</f>
        <v>0</v>
      </c>
      <c r="AI38" s="139">
        <f>VLOOKUP($E38,'7. PGE_Efficacité'!$A$6:$CY$266,(MATCH('4.5 ACE MAX WOL '!AI$4,'7. PGE_Efficacité'!$A$4:$AO$4,0)+62),0)</f>
        <v>0</v>
      </c>
      <c r="AJ38" s="139">
        <f>VLOOKUP($E38,'7. PGE_Efficacité'!$A$6:$CY$266,(MATCH('4.5 ACE MAX WOL '!AJ$4,'7. PGE_Efficacité'!$A$4:$AO$4,0)+62),0)</f>
        <v>0</v>
      </c>
      <c r="AK38" s="139">
        <f>VLOOKUP($E38,'7. PGE_Efficacité'!$A$6:$CY$266,(MATCH('4.5 ACE MAX WOL '!AK$4,'7. PGE_Efficacité'!$A$4:$AO$4,0)+62),0)</f>
        <v>0</v>
      </c>
      <c r="AL38" s="139">
        <f>VLOOKUP($E38,'7. PGE_Efficacité'!$A$6:$CY$266,(MATCH('4.5 ACE MAX WOL '!AL$4,'7. PGE_Efficacité'!$A$4:$AO$4,0)+62),0)</f>
        <v>0</v>
      </c>
      <c r="AM38" s="139">
        <f>VLOOKUP($E38,'7. PGE_Efficacité'!$A$6:$CY$266,(MATCH('4.5 ACE MAX WOL '!AM$4,'7. PGE_Efficacité'!$A$4:$AO$4,0)+62),0)</f>
        <v>0</v>
      </c>
      <c r="AN38" s="139">
        <f>VLOOKUP($E38,'7. PGE_Efficacité'!$A$6:$CY$266,(MATCH('4.5 ACE MAX WOL '!AN$4,'7. PGE_Efficacité'!$A$4:$AO$4,0)+62),0)</f>
        <v>0</v>
      </c>
    </row>
    <row r="39" spans="1:40" hidden="1" outlineLevel="2" x14ac:dyDescent="0.25">
      <c r="A39" s="48" t="s">
        <v>1524</v>
      </c>
      <c r="B39" s="49">
        <v>4</v>
      </c>
      <c r="C39" s="48" t="s">
        <v>1504</v>
      </c>
      <c r="D39" s="199" t="s">
        <v>3</v>
      </c>
      <c r="E39" s="200" t="s">
        <v>786</v>
      </c>
      <c r="F39" s="200" t="s">
        <v>1424</v>
      </c>
      <c r="G39" s="201" t="s">
        <v>1520</v>
      </c>
      <c r="H39" s="200" t="s">
        <v>1290</v>
      </c>
      <c r="I39" s="202"/>
      <c r="J39" s="139">
        <f>VLOOKUP($E39,'7. PGE_Efficacité'!$A$6:$CY$266,(MATCH('4.5 ACE MAX WOL '!J$4,'7. PGE_Efficacité'!$A$4:$AO$4,0)+62),0)</f>
        <v>0</v>
      </c>
      <c r="K39" s="139">
        <f>VLOOKUP($E39,'7. PGE_Efficacité'!$A$6:$CY$266,(MATCH('4.5 ACE MAX WOL '!K$4,'7. PGE_Efficacité'!$A$4:$AO$4,0)+62),0)</f>
        <v>0</v>
      </c>
      <c r="L39" s="139">
        <f>VLOOKUP($E39,'7. PGE_Efficacité'!$A$6:$CY$266,(MATCH('4.5 ACE MAX WOL '!L$4,'7. PGE_Efficacité'!$A$4:$AO$4,0)+62),0)</f>
        <v>0</v>
      </c>
      <c r="M39" s="139">
        <f>VLOOKUP($E39,'7. PGE_Efficacité'!$A$6:$CY$266,(MATCH('4.5 ACE MAX WOL '!M$4,'7. PGE_Efficacité'!$A$4:$AO$4,0)+62),0)</f>
        <v>0</v>
      </c>
      <c r="N39" s="139">
        <f>VLOOKUP($E39,'7. PGE_Efficacité'!$A$6:$CY$266,(MATCH('4.5 ACE MAX WOL '!N$4,'7. PGE_Efficacité'!$A$4:$AO$4,0)+62),0)</f>
        <v>0</v>
      </c>
      <c r="O39" s="139">
        <f>VLOOKUP($E39,'7. PGE_Efficacité'!$A$6:$CY$266,78,0)</f>
        <v>0</v>
      </c>
      <c r="P39" s="139">
        <f>VLOOKUP($E39,'7. PGE_Efficacité'!$A$6:$CY$266,(MATCH('4.5 ACE MAX WOL '!P$4,'7. PGE_Efficacité'!$A$4:$AO$4,0)+62),0)</f>
        <v>0</v>
      </c>
      <c r="Q39" s="139">
        <f>VLOOKUP($E39,'7. PGE_Efficacité'!$A$6:$CY$266,(MATCH('4.5 ACE MAX WOL '!Q$4,'7. PGE_Efficacité'!$A$4:$AO$4,0)+62),0)</f>
        <v>0</v>
      </c>
      <c r="R39" s="139">
        <f>VLOOKUP($E39,'7. PGE_Efficacité'!$A$6:$CY$266,(MATCH('4.5 ACE MAX WOL '!R$4,'7. PGE_Efficacité'!$A$4:$AO$4,0)+62),0)</f>
        <v>0</v>
      </c>
      <c r="S39" s="139">
        <f>VLOOKUP($E39,'7. PGE_Efficacité'!$A$6:$CY$266,(MATCH('4.5 ACE MAX WOL '!S$4,'7. PGE_Efficacité'!$A$4:$AO$4,0)+62),0)</f>
        <v>0</v>
      </c>
      <c r="T39" s="139">
        <f>VLOOKUP($E39,'7. PGE_Efficacité'!$A$6:$CY$266,(MATCH('4.5 ACE MAX WOL '!T$4,'7. PGE_Efficacité'!$A$4:$AO$4,0)+62),0)</f>
        <v>0</v>
      </c>
      <c r="U39" s="139">
        <f>VLOOKUP($E39,'7. PGE_Efficacité'!$A$6:$CY$266,(MATCH('4.5 ACE MAX WOL '!U$4,'7. PGE_Efficacité'!$A$4:$AO$4,0)+62),0)</f>
        <v>0</v>
      </c>
      <c r="V39" s="139">
        <f>VLOOKUP($E39,'7. PGE_Efficacité'!$A$6:$CY$266,(MATCH('4.5 ACE MAX WOL '!V$4,'7. PGE_Efficacité'!$A$4:$AO$4,0)+62),0)</f>
        <v>0</v>
      </c>
      <c r="W39" s="139">
        <f>VLOOKUP($E39,'7. PGE_Efficacité'!$A$6:$CY$266,(MATCH('4.5 ACE MAX WOL '!W$4,'7. PGE_Efficacité'!$A$4:$AO$4,0)+62),0)</f>
        <v>0</v>
      </c>
      <c r="X39" s="139">
        <f>VLOOKUP($E39,'7. PGE_Efficacité'!$A$6:$CY$266,(MATCH('4.5 ACE MAX WOL '!X$4,'7. PGE_Efficacité'!$A$4:$AO$4,0)+62),0)</f>
        <v>0</v>
      </c>
      <c r="Y39" s="139">
        <f>VLOOKUP($E39,'7. PGE_Efficacité'!$A$6:$CY$266,(MATCH('4.5 ACE MAX WOL '!Y$4,'7. PGE_Efficacité'!$A$4:$AO$4,0)+62),0)</f>
        <v>0</v>
      </c>
      <c r="Z39" s="139">
        <f>VLOOKUP($E39,'7. PGE_Efficacité'!$A$6:$CY$266,(MATCH('4.5 ACE MAX WOL '!Z$4,'7. PGE_Efficacité'!$A$4:$AO$4,0)+62),0)</f>
        <v>0</v>
      </c>
      <c r="AA39" s="139">
        <f>VLOOKUP($E39,'7. PGE_Efficacité'!$A$6:$CY$266,(MATCH('4.5 ACE MAX WOL '!AA$4,'7. PGE_Efficacité'!$A$4:$AO$4,0)+62),0)</f>
        <v>0</v>
      </c>
      <c r="AB39" s="139">
        <f>VLOOKUP($E39,'7. PGE_Efficacité'!$A$6:$CY$266,(MATCH('4.5 ACE MAX WOL '!AB$4,'7. PGE_Efficacité'!$A$4:$AO$4,0)+62),0)</f>
        <v>0</v>
      </c>
      <c r="AC39" s="139">
        <f>VLOOKUP($E39,'7. PGE_Efficacité'!$A$6:$CY$266,(MATCH('4.5 ACE MAX WOL '!AC$4,'7. PGE_Efficacité'!$A$4:$AO$4,0)+62),0)</f>
        <v>0</v>
      </c>
      <c r="AD39" s="139">
        <f>VLOOKUP($E39,'7. PGE_Efficacité'!$A$6:$CY$266,(MATCH('4.5 ACE MAX WOL '!AD$4,'7. PGE_Efficacité'!$A$4:$AO$4,0)+62),0)</f>
        <v>0</v>
      </c>
      <c r="AE39" s="139">
        <f>VLOOKUP($E39,'7. PGE_Efficacité'!$A$6:$CY$266,(MATCH('4.5 ACE MAX WOL '!AE$4,'7. PGE_Efficacité'!$A$4:$AO$4,0)+62),0)</f>
        <v>0</v>
      </c>
      <c r="AF39" s="139">
        <f>VLOOKUP($E39,'7. PGE_Efficacité'!$A$6:$CY$266,(MATCH('4.5 ACE MAX WOL '!AF$4,'7. PGE_Efficacité'!$A$4:$AO$4,0)+62),0)</f>
        <v>0</v>
      </c>
      <c r="AG39" s="139">
        <f>VLOOKUP($E39,'7. PGE_Efficacité'!$A$6:$CY$266,(MATCH('4.5 ACE MAX WOL '!AG$4,'7. PGE_Efficacité'!$A$4:$AO$4,0)+62),0)</f>
        <v>0</v>
      </c>
      <c r="AH39" s="139">
        <f>VLOOKUP($E39,'7. PGE_Efficacité'!$A$6:$CY$266,(MATCH('4.5 ACE MAX WOL '!AH$4,'7. PGE_Efficacité'!$A$4:$AO$4,0)+62),0)</f>
        <v>0</v>
      </c>
      <c r="AI39" s="139">
        <f>VLOOKUP($E39,'7. PGE_Efficacité'!$A$6:$CY$266,(MATCH('4.5 ACE MAX WOL '!AI$4,'7. PGE_Efficacité'!$A$4:$AO$4,0)+62),0)</f>
        <v>0</v>
      </c>
      <c r="AJ39" s="139">
        <f>VLOOKUP($E39,'7. PGE_Efficacité'!$A$6:$CY$266,(MATCH('4.5 ACE MAX WOL '!AJ$4,'7. PGE_Efficacité'!$A$4:$AO$4,0)+62),0)</f>
        <v>0</v>
      </c>
      <c r="AK39" s="139">
        <f>VLOOKUP($E39,'7. PGE_Efficacité'!$A$6:$CY$266,(MATCH('4.5 ACE MAX WOL '!AK$4,'7. PGE_Efficacité'!$A$4:$AO$4,0)+62),0)</f>
        <v>0</v>
      </c>
      <c r="AL39" s="139">
        <f>VLOOKUP($E39,'7. PGE_Efficacité'!$A$6:$CY$266,(MATCH('4.5 ACE MAX WOL '!AL$4,'7. PGE_Efficacité'!$A$4:$AO$4,0)+62),0)</f>
        <v>0</v>
      </c>
      <c r="AM39" s="139">
        <f>VLOOKUP($E39,'7. PGE_Efficacité'!$A$6:$CY$266,(MATCH('4.5 ACE MAX WOL '!AM$4,'7. PGE_Efficacité'!$A$4:$AO$4,0)+62),0)</f>
        <v>0</v>
      </c>
      <c r="AN39" s="139">
        <f>VLOOKUP($E39,'7. PGE_Efficacité'!$A$6:$CY$266,(MATCH('4.5 ACE MAX WOL '!AN$4,'7. PGE_Efficacité'!$A$4:$AO$4,0)+62),0)</f>
        <v>0</v>
      </c>
    </row>
    <row r="40" spans="1:40" hidden="1" outlineLevel="2" x14ac:dyDescent="0.25">
      <c r="A40" s="48" t="s">
        <v>1524</v>
      </c>
      <c r="B40" s="49">
        <v>4</v>
      </c>
      <c r="C40" s="48" t="s">
        <v>1505</v>
      </c>
      <c r="D40" s="199" t="s">
        <v>3</v>
      </c>
      <c r="E40" s="200" t="s">
        <v>787</v>
      </c>
      <c r="F40" s="200" t="s">
        <v>1425</v>
      </c>
      <c r="G40" s="201" t="s">
        <v>1520</v>
      </c>
      <c r="H40" s="200" t="s">
        <v>1290</v>
      </c>
      <c r="I40" s="202"/>
      <c r="J40" s="139">
        <f>VLOOKUP($E40,'7. PGE_Efficacité'!$A$6:$CY$266,(MATCH('4.5 ACE MAX WOL '!J$4,'7. PGE_Efficacité'!$A$4:$AO$4,0)+62),0)</f>
        <v>0</v>
      </c>
      <c r="K40" s="139">
        <f>VLOOKUP($E40,'7. PGE_Efficacité'!$A$6:$CY$266,(MATCH('4.5 ACE MAX WOL '!K$4,'7. PGE_Efficacité'!$A$4:$AO$4,0)+62),0)</f>
        <v>0</v>
      </c>
      <c r="L40" s="139">
        <f>VLOOKUP($E40,'7. PGE_Efficacité'!$A$6:$CY$266,(MATCH('4.5 ACE MAX WOL '!L$4,'7. PGE_Efficacité'!$A$4:$AO$4,0)+62),0)</f>
        <v>0</v>
      </c>
      <c r="M40" s="139">
        <f>VLOOKUP($E40,'7. PGE_Efficacité'!$A$6:$CY$266,(MATCH('4.5 ACE MAX WOL '!M$4,'7. PGE_Efficacité'!$A$4:$AO$4,0)+62),0)</f>
        <v>0</v>
      </c>
      <c r="N40" s="139">
        <f>VLOOKUP($E40,'7. PGE_Efficacité'!$A$6:$CY$266,(MATCH('4.5 ACE MAX WOL '!N$4,'7. PGE_Efficacité'!$A$4:$AO$4,0)+62),0)</f>
        <v>0</v>
      </c>
      <c r="O40" s="139">
        <f>VLOOKUP($E40,'7. PGE_Efficacité'!$A$6:$CY$266,78,0)</f>
        <v>0</v>
      </c>
      <c r="P40" s="139">
        <f>VLOOKUP($E40,'7. PGE_Efficacité'!$A$6:$CY$266,(MATCH('4.5 ACE MAX WOL '!P$4,'7. PGE_Efficacité'!$A$4:$AO$4,0)+62),0)</f>
        <v>0</v>
      </c>
      <c r="Q40" s="139">
        <f>VLOOKUP($E40,'7. PGE_Efficacité'!$A$6:$CY$266,(MATCH('4.5 ACE MAX WOL '!Q$4,'7. PGE_Efficacité'!$A$4:$AO$4,0)+62),0)</f>
        <v>0</v>
      </c>
      <c r="R40" s="139">
        <f>VLOOKUP($E40,'7. PGE_Efficacité'!$A$6:$CY$266,(MATCH('4.5 ACE MAX WOL '!R$4,'7. PGE_Efficacité'!$A$4:$AO$4,0)+62),0)</f>
        <v>0</v>
      </c>
      <c r="S40" s="139">
        <f>VLOOKUP($E40,'7. PGE_Efficacité'!$A$6:$CY$266,(MATCH('4.5 ACE MAX WOL '!S$4,'7. PGE_Efficacité'!$A$4:$AO$4,0)+62),0)</f>
        <v>0</v>
      </c>
      <c r="T40" s="139">
        <f>VLOOKUP($E40,'7. PGE_Efficacité'!$A$6:$CY$266,(MATCH('4.5 ACE MAX WOL '!T$4,'7. PGE_Efficacité'!$A$4:$AO$4,0)+62),0)</f>
        <v>0</v>
      </c>
      <c r="U40" s="139">
        <f>VLOOKUP($E40,'7. PGE_Efficacité'!$A$6:$CY$266,(MATCH('4.5 ACE MAX WOL '!U$4,'7. PGE_Efficacité'!$A$4:$AO$4,0)+62),0)</f>
        <v>0</v>
      </c>
      <c r="V40" s="139">
        <f>VLOOKUP($E40,'7. PGE_Efficacité'!$A$6:$CY$266,(MATCH('4.5 ACE MAX WOL '!V$4,'7. PGE_Efficacité'!$A$4:$AO$4,0)+62),0)</f>
        <v>0</v>
      </c>
      <c r="W40" s="139">
        <f>VLOOKUP($E40,'7. PGE_Efficacité'!$A$6:$CY$266,(MATCH('4.5 ACE MAX WOL '!W$4,'7. PGE_Efficacité'!$A$4:$AO$4,0)+62),0)</f>
        <v>0</v>
      </c>
      <c r="X40" s="139">
        <f>VLOOKUP($E40,'7. PGE_Efficacité'!$A$6:$CY$266,(MATCH('4.5 ACE MAX WOL '!X$4,'7. PGE_Efficacité'!$A$4:$AO$4,0)+62),0)</f>
        <v>0</v>
      </c>
      <c r="Y40" s="139">
        <f>VLOOKUP($E40,'7. PGE_Efficacité'!$A$6:$CY$266,(MATCH('4.5 ACE MAX WOL '!Y$4,'7. PGE_Efficacité'!$A$4:$AO$4,0)+62),0)</f>
        <v>0</v>
      </c>
      <c r="Z40" s="139">
        <f>VLOOKUP($E40,'7. PGE_Efficacité'!$A$6:$CY$266,(MATCH('4.5 ACE MAX WOL '!Z$4,'7. PGE_Efficacité'!$A$4:$AO$4,0)+62),0)</f>
        <v>0</v>
      </c>
      <c r="AA40" s="139">
        <f>VLOOKUP($E40,'7. PGE_Efficacité'!$A$6:$CY$266,(MATCH('4.5 ACE MAX WOL '!AA$4,'7. PGE_Efficacité'!$A$4:$AO$4,0)+62),0)</f>
        <v>0</v>
      </c>
      <c r="AB40" s="139">
        <f>VLOOKUP($E40,'7. PGE_Efficacité'!$A$6:$CY$266,(MATCH('4.5 ACE MAX WOL '!AB$4,'7. PGE_Efficacité'!$A$4:$AO$4,0)+62),0)</f>
        <v>0</v>
      </c>
      <c r="AC40" s="139">
        <f>VLOOKUP($E40,'7. PGE_Efficacité'!$A$6:$CY$266,(MATCH('4.5 ACE MAX WOL '!AC$4,'7. PGE_Efficacité'!$A$4:$AO$4,0)+62),0)</f>
        <v>0</v>
      </c>
      <c r="AD40" s="139">
        <f>VLOOKUP($E40,'7. PGE_Efficacité'!$A$6:$CY$266,(MATCH('4.5 ACE MAX WOL '!AD$4,'7. PGE_Efficacité'!$A$4:$AO$4,0)+62),0)</f>
        <v>0</v>
      </c>
      <c r="AE40" s="139">
        <f>VLOOKUP($E40,'7. PGE_Efficacité'!$A$6:$CY$266,(MATCH('4.5 ACE MAX WOL '!AE$4,'7. PGE_Efficacité'!$A$4:$AO$4,0)+62),0)</f>
        <v>0</v>
      </c>
      <c r="AF40" s="139">
        <f>VLOOKUP($E40,'7. PGE_Efficacité'!$A$6:$CY$266,(MATCH('4.5 ACE MAX WOL '!AF$4,'7. PGE_Efficacité'!$A$4:$AO$4,0)+62),0)</f>
        <v>0</v>
      </c>
      <c r="AG40" s="139">
        <f>VLOOKUP($E40,'7. PGE_Efficacité'!$A$6:$CY$266,(MATCH('4.5 ACE MAX WOL '!AG$4,'7. PGE_Efficacité'!$A$4:$AO$4,0)+62),0)</f>
        <v>0</v>
      </c>
      <c r="AH40" s="139">
        <f>VLOOKUP($E40,'7. PGE_Efficacité'!$A$6:$CY$266,(MATCH('4.5 ACE MAX WOL '!AH$4,'7. PGE_Efficacité'!$A$4:$AO$4,0)+62),0)</f>
        <v>0</v>
      </c>
      <c r="AI40" s="139">
        <f>VLOOKUP($E40,'7. PGE_Efficacité'!$A$6:$CY$266,(MATCH('4.5 ACE MAX WOL '!AI$4,'7. PGE_Efficacité'!$A$4:$AO$4,0)+62),0)</f>
        <v>0</v>
      </c>
      <c r="AJ40" s="139">
        <f>VLOOKUP($E40,'7. PGE_Efficacité'!$A$6:$CY$266,(MATCH('4.5 ACE MAX WOL '!AJ$4,'7. PGE_Efficacité'!$A$4:$AO$4,0)+62),0)</f>
        <v>0</v>
      </c>
      <c r="AK40" s="139">
        <f>VLOOKUP($E40,'7. PGE_Efficacité'!$A$6:$CY$266,(MATCH('4.5 ACE MAX WOL '!AK$4,'7. PGE_Efficacité'!$A$4:$AO$4,0)+62),0)</f>
        <v>0</v>
      </c>
      <c r="AL40" s="139">
        <f>VLOOKUP($E40,'7. PGE_Efficacité'!$A$6:$CY$266,(MATCH('4.5 ACE MAX WOL '!AL$4,'7. PGE_Efficacité'!$A$4:$AO$4,0)+62),0)</f>
        <v>0</v>
      </c>
      <c r="AM40" s="139">
        <f>VLOOKUP($E40,'7. PGE_Efficacité'!$A$6:$CY$266,(MATCH('4.5 ACE MAX WOL '!AM$4,'7. PGE_Efficacité'!$A$4:$AO$4,0)+62),0)</f>
        <v>0</v>
      </c>
      <c r="AN40" s="139">
        <f>VLOOKUP($E40,'7. PGE_Efficacité'!$A$6:$CY$266,(MATCH('4.5 ACE MAX WOL '!AN$4,'7. PGE_Efficacité'!$A$4:$AO$4,0)+62),0)</f>
        <v>0</v>
      </c>
    </row>
    <row r="41" spans="1:40" hidden="1" outlineLevel="2" x14ac:dyDescent="0.25">
      <c r="A41" s="48" t="s">
        <v>1524</v>
      </c>
      <c r="B41" s="49">
        <v>4</v>
      </c>
      <c r="C41" s="48" t="s">
        <v>1514</v>
      </c>
      <c r="D41" s="199" t="s">
        <v>3</v>
      </c>
      <c r="E41" s="200" t="s">
        <v>788</v>
      </c>
      <c r="F41" s="200" t="s">
        <v>1426</v>
      </c>
      <c r="G41" s="201" t="s">
        <v>1520</v>
      </c>
      <c r="H41" s="200" t="s">
        <v>1290</v>
      </c>
      <c r="I41" s="202"/>
      <c r="J41" s="139">
        <f>VLOOKUP($E41,'7. PGE_Efficacité'!$A$6:$CY$266,(MATCH('4.5 ACE MAX WOL '!J$4,'7. PGE_Efficacité'!$A$4:$AO$4,0)+62),0)</f>
        <v>0</v>
      </c>
      <c r="K41" s="139">
        <f>VLOOKUP($E41,'7. PGE_Efficacité'!$A$6:$CY$266,(MATCH('4.5 ACE MAX WOL '!K$4,'7. PGE_Efficacité'!$A$4:$AO$4,0)+62),0)</f>
        <v>0</v>
      </c>
      <c r="L41" s="139">
        <f>VLOOKUP($E41,'7. PGE_Efficacité'!$A$6:$CY$266,(MATCH('4.5 ACE MAX WOL '!L$4,'7. PGE_Efficacité'!$A$4:$AO$4,0)+62),0)</f>
        <v>0</v>
      </c>
      <c r="M41" s="139">
        <f>VLOOKUP($E41,'7. PGE_Efficacité'!$A$6:$CY$266,(MATCH('4.5 ACE MAX WOL '!M$4,'7. PGE_Efficacité'!$A$4:$AO$4,0)+62),0)</f>
        <v>0</v>
      </c>
      <c r="N41" s="139">
        <f>VLOOKUP($E41,'7. PGE_Efficacité'!$A$6:$CY$266,(MATCH('4.5 ACE MAX WOL '!N$4,'7. PGE_Efficacité'!$A$4:$AO$4,0)+62),0)</f>
        <v>0</v>
      </c>
      <c r="O41" s="139">
        <f>VLOOKUP($E41,'7. PGE_Efficacité'!$A$6:$CY$266,78,0)</f>
        <v>0</v>
      </c>
      <c r="P41" s="139">
        <f>VLOOKUP($E41,'7. PGE_Efficacité'!$A$6:$CY$266,(MATCH('4.5 ACE MAX WOL '!P$4,'7. PGE_Efficacité'!$A$4:$AO$4,0)+62),0)</f>
        <v>0</v>
      </c>
      <c r="Q41" s="139">
        <f>VLOOKUP($E41,'7. PGE_Efficacité'!$A$6:$CY$266,(MATCH('4.5 ACE MAX WOL '!Q$4,'7. PGE_Efficacité'!$A$4:$AO$4,0)+62),0)</f>
        <v>0</v>
      </c>
      <c r="R41" s="139">
        <f>VLOOKUP($E41,'7. PGE_Efficacité'!$A$6:$CY$266,(MATCH('4.5 ACE MAX WOL '!R$4,'7. PGE_Efficacité'!$A$4:$AO$4,0)+62),0)</f>
        <v>0</v>
      </c>
      <c r="S41" s="139">
        <f>VLOOKUP($E41,'7. PGE_Efficacité'!$A$6:$CY$266,(MATCH('4.5 ACE MAX WOL '!S$4,'7. PGE_Efficacité'!$A$4:$AO$4,0)+62),0)</f>
        <v>0</v>
      </c>
      <c r="T41" s="139">
        <f>VLOOKUP($E41,'7. PGE_Efficacité'!$A$6:$CY$266,(MATCH('4.5 ACE MAX WOL '!T$4,'7. PGE_Efficacité'!$A$4:$AO$4,0)+62),0)</f>
        <v>0</v>
      </c>
      <c r="U41" s="139">
        <f>VLOOKUP($E41,'7. PGE_Efficacité'!$A$6:$CY$266,(MATCH('4.5 ACE MAX WOL '!U$4,'7. PGE_Efficacité'!$A$4:$AO$4,0)+62),0)</f>
        <v>0</v>
      </c>
      <c r="V41" s="139">
        <f>VLOOKUP($E41,'7. PGE_Efficacité'!$A$6:$CY$266,(MATCH('4.5 ACE MAX WOL '!V$4,'7. PGE_Efficacité'!$A$4:$AO$4,0)+62),0)</f>
        <v>0</v>
      </c>
      <c r="W41" s="139">
        <f>VLOOKUP($E41,'7. PGE_Efficacité'!$A$6:$CY$266,(MATCH('4.5 ACE MAX WOL '!W$4,'7. PGE_Efficacité'!$A$4:$AO$4,0)+62),0)</f>
        <v>0</v>
      </c>
      <c r="X41" s="139">
        <f>VLOOKUP($E41,'7. PGE_Efficacité'!$A$6:$CY$266,(MATCH('4.5 ACE MAX WOL '!X$4,'7. PGE_Efficacité'!$A$4:$AO$4,0)+62),0)</f>
        <v>0</v>
      </c>
      <c r="Y41" s="139">
        <f>VLOOKUP($E41,'7. PGE_Efficacité'!$A$6:$CY$266,(MATCH('4.5 ACE MAX WOL '!Y$4,'7. PGE_Efficacité'!$A$4:$AO$4,0)+62),0)</f>
        <v>0</v>
      </c>
      <c r="Z41" s="139">
        <f>VLOOKUP($E41,'7. PGE_Efficacité'!$A$6:$CY$266,(MATCH('4.5 ACE MAX WOL '!Z$4,'7. PGE_Efficacité'!$A$4:$AO$4,0)+62),0)</f>
        <v>0</v>
      </c>
      <c r="AA41" s="139">
        <f>VLOOKUP($E41,'7. PGE_Efficacité'!$A$6:$CY$266,(MATCH('4.5 ACE MAX WOL '!AA$4,'7. PGE_Efficacité'!$A$4:$AO$4,0)+62),0)</f>
        <v>0</v>
      </c>
      <c r="AB41" s="139">
        <f>VLOOKUP($E41,'7. PGE_Efficacité'!$A$6:$CY$266,(MATCH('4.5 ACE MAX WOL '!AB$4,'7. PGE_Efficacité'!$A$4:$AO$4,0)+62),0)</f>
        <v>0</v>
      </c>
      <c r="AC41" s="139">
        <f>VLOOKUP($E41,'7. PGE_Efficacité'!$A$6:$CY$266,(MATCH('4.5 ACE MAX WOL '!AC$4,'7. PGE_Efficacité'!$A$4:$AO$4,0)+62),0)</f>
        <v>0</v>
      </c>
      <c r="AD41" s="139">
        <f>VLOOKUP($E41,'7. PGE_Efficacité'!$A$6:$CY$266,(MATCH('4.5 ACE MAX WOL '!AD$4,'7. PGE_Efficacité'!$A$4:$AO$4,0)+62),0)</f>
        <v>0</v>
      </c>
      <c r="AE41" s="139">
        <f>VLOOKUP($E41,'7. PGE_Efficacité'!$A$6:$CY$266,(MATCH('4.5 ACE MAX WOL '!AE$4,'7. PGE_Efficacité'!$A$4:$AO$4,0)+62),0)</f>
        <v>0</v>
      </c>
      <c r="AF41" s="139">
        <f>VLOOKUP($E41,'7. PGE_Efficacité'!$A$6:$CY$266,(MATCH('4.5 ACE MAX WOL '!AF$4,'7. PGE_Efficacité'!$A$4:$AO$4,0)+62),0)</f>
        <v>0</v>
      </c>
      <c r="AG41" s="139">
        <f>VLOOKUP($E41,'7. PGE_Efficacité'!$A$6:$CY$266,(MATCH('4.5 ACE MAX WOL '!AG$4,'7. PGE_Efficacité'!$A$4:$AO$4,0)+62),0)</f>
        <v>0</v>
      </c>
      <c r="AH41" s="139">
        <f>VLOOKUP($E41,'7. PGE_Efficacité'!$A$6:$CY$266,(MATCH('4.5 ACE MAX WOL '!AH$4,'7. PGE_Efficacité'!$A$4:$AO$4,0)+62),0)</f>
        <v>0</v>
      </c>
      <c r="AI41" s="139">
        <f>VLOOKUP($E41,'7. PGE_Efficacité'!$A$6:$CY$266,(MATCH('4.5 ACE MAX WOL '!AI$4,'7. PGE_Efficacité'!$A$4:$AO$4,0)+62),0)</f>
        <v>0</v>
      </c>
      <c r="AJ41" s="139">
        <f>VLOOKUP($E41,'7. PGE_Efficacité'!$A$6:$CY$266,(MATCH('4.5 ACE MAX WOL '!AJ$4,'7. PGE_Efficacité'!$A$4:$AO$4,0)+62),0)</f>
        <v>0</v>
      </c>
      <c r="AK41" s="139">
        <f>VLOOKUP($E41,'7. PGE_Efficacité'!$A$6:$CY$266,(MATCH('4.5 ACE MAX WOL '!AK$4,'7. PGE_Efficacité'!$A$4:$AO$4,0)+62),0)</f>
        <v>0</v>
      </c>
      <c r="AL41" s="139">
        <f>VLOOKUP($E41,'7. PGE_Efficacité'!$A$6:$CY$266,(MATCH('4.5 ACE MAX WOL '!AL$4,'7. PGE_Efficacité'!$A$4:$AO$4,0)+62),0)</f>
        <v>0</v>
      </c>
      <c r="AM41" s="139">
        <f>VLOOKUP($E41,'7. PGE_Efficacité'!$A$6:$CY$266,(MATCH('4.5 ACE MAX WOL '!AM$4,'7. PGE_Efficacité'!$A$4:$AO$4,0)+62),0)</f>
        <v>0</v>
      </c>
      <c r="AN41" s="139">
        <f>VLOOKUP($E41,'7. PGE_Efficacité'!$A$6:$CY$266,(MATCH('4.5 ACE MAX WOL '!AN$4,'7. PGE_Efficacité'!$A$4:$AO$4,0)+62),0)</f>
        <v>0</v>
      </c>
    </row>
    <row r="42" spans="1:40" hidden="1" outlineLevel="2" x14ac:dyDescent="0.25">
      <c r="A42" s="48"/>
      <c r="B42" s="49"/>
      <c r="C42" s="48"/>
      <c r="D42" s="199" t="s">
        <v>3</v>
      </c>
      <c r="E42" s="200" t="s">
        <v>797</v>
      </c>
      <c r="F42" s="200" t="s">
        <v>1435</v>
      </c>
      <c r="G42" s="201" t="s">
        <v>1520</v>
      </c>
      <c r="H42" s="200" t="s">
        <v>1290</v>
      </c>
      <c r="I42" s="202"/>
      <c r="J42" s="139">
        <f>VLOOKUP($E42,'7. PGE_Efficacité'!$A$6:$CY$266,(MATCH('4.5 ACE MAX WOL '!J$4,'7. PGE_Efficacité'!$A$4:$AO$4,0)+62),0)</f>
        <v>0</v>
      </c>
      <c r="K42" s="139">
        <f>VLOOKUP($E42,'7. PGE_Efficacité'!$A$6:$CY$266,(MATCH('4.5 ACE MAX WOL '!K$4,'7. PGE_Efficacité'!$A$4:$AO$4,0)+62),0)</f>
        <v>0</v>
      </c>
      <c r="L42" s="139">
        <f>VLOOKUP($E42,'7. PGE_Efficacité'!$A$6:$CY$266,(MATCH('4.5 ACE MAX WOL '!L$4,'7. PGE_Efficacité'!$A$4:$AO$4,0)+62),0)</f>
        <v>0</v>
      </c>
      <c r="M42" s="139">
        <f>VLOOKUP($E42,'7. PGE_Efficacité'!$A$6:$CY$266,(MATCH('4.5 ACE MAX WOL '!M$4,'7. PGE_Efficacité'!$A$4:$AO$4,0)+62),0)</f>
        <v>0</v>
      </c>
      <c r="N42" s="139">
        <f>VLOOKUP($E42,'7. PGE_Efficacité'!$A$6:$CY$266,(MATCH('4.5 ACE MAX WOL '!N$4,'7. PGE_Efficacité'!$A$4:$AO$4,0)+62),0)</f>
        <v>0</v>
      </c>
      <c r="O42" s="139">
        <f>VLOOKUP($E42,'7. PGE_Efficacité'!$A$6:$CY$266,78,0)</f>
        <v>0</v>
      </c>
      <c r="P42" s="139">
        <f>VLOOKUP($E42,'7. PGE_Efficacité'!$A$6:$CY$266,(MATCH('4.5 ACE MAX WOL '!P$4,'7. PGE_Efficacité'!$A$4:$AO$4,0)+62),0)</f>
        <v>0</v>
      </c>
      <c r="Q42" s="139">
        <f>VLOOKUP($E42,'7. PGE_Efficacité'!$A$6:$CY$266,(MATCH('4.5 ACE MAX WOL '!Q$4,'7. PGE_Efficacité'!$A$4:$AO$4,0)+62),0)</f>
        <v>0</v>
      </c>
      <c r="R42" s="139">
        <f>VLOOKUP($E42,'7. PGE_Efficacité'!$A$6:$CY$266,(MATCH('4.5 ACE MAX WOL '!R$4,'7. PGE_Efficacité'!$A$4:$AO$4,0)+62),0)</f>
        <v>0</v>
      </c>
      <c r="S42" s="139">
        <f>VLOOKUP($E42,'7. PGE_Efficacité'!$A$6:$CY$266,(MATCH('4.5 ACE MAX WOL '!S$4,'7. PGE_Efficacité'!$A$4:$AO$4,0)+62),0)</f>
        <v>0</v>
      </c>
      <c r="T42" s="139">
        <f>VLOOKUP($E42,'7. PGE_Efficacité'!$A$6:$CY$266,(MATCH('4.5 ACE MAX WOL '!T$4,'7. PGE_Efficacité'!$A$4:$AO$4,0)+62),0)</f>
        <v>0</v>
      </c>
      <c r="U42" s="139">
        <f>VLOOKUP($E42,'7. PGE_Efficacité'!$A$6:$CY$266,(MATCH('4.5 ACE MAX WOL '!U$4,'7. PGE_Efficacité'!$A$4:$AO$4,0)+62),0)</f>
        <v>0</v>
      </c>
      <c r="V42" s="139">
        <f>VLOOKUP($E42,'7. PGE_Efficacité'!$A$6:$CY$266,(MATCH('4.5 ACE MAX WOL '!V$4,'7. PGE_Efficacité'!$A$4:$AO$4,0)+62),0)</f>
        <v>0</v>
      </c>
      <c r="W42" s="139">
        <f>VLOOKUP($E42,'7. PGE_Efficacité'!$A$6:$CY$266,(MATCH('4.5 ACE MAX WOL '!W$4,'7. PGE_Efficacité'!$A$4:$AO$4,0)+62),0)</f>
        <v>0</v>
      </c>
      <c r="X42" s="139">
        <f>VLOOKUP($E42,'7. PGE_Efficacité'!$A$6:$CY$266,(MATCH('4.5 ACE MAX WOL '!X$4,'7. PGE_Efficacité'!$A$4:$AO$4,0)+62),0)</f>
        <v>0</v>
      </c>
      <c r="Y42" s="139">
        <f>VLOOKUP($E42,'7. PGE_Efficacité'!$A$6:$CY$266,(MATCH('4.5 ACE MAX WOL '!Y$4,'7. PGE_Efficacité'!$A$4:$AO$4,0)+62),0)</f>
        <v>0</v>
      </c>
      <c r="Z42" s="139">
        <f>VLOOKUP($E42,'7. PGE_Efficacité'!$A$6:$CY$266,(MATCH('4.5 ACE MAX WOL '!Z$4,'7. PGE_Efficacité'!$A$4:$AO$4,0)+62),0)</f>
        <v>0</v>
      </c>
      <c r="AA42" s="139">
        <f>VLOOKUP($E42,'7. PGE_Efficacité'!$A$6:$CY$266,(MATCH('4.5 ACE MAX WOL '!AA$4,'7. PGE_Efficacité'!$A$4:$AO$4,0)+62),0)</f>
        <v>0</v>
      </c>
      <c r="AB42" s="139">
        <f>VLOOKUP($E42,'7. PGE_Efficacité'!$A$6:$CY$266,(MATCH('4.5 ACE MAX WOL '!AB$4,'7. PGE_Efficacité'!$A$4:$AO$4,0)+62),0)</f>
        <v>0</v>
      </c>
      <c r="AC42" s="139">
        <f>VLOOKUP($E42,'7. PGE_Efficacité'!$A$6:$CY$266,(MATCH('4.5 ACE MAX WOL '!AC$4,'7. PGE_Efficacité'!$A$4:$AO$4,0)+62),0)</f>
        <v>0</v>
      </c>
      <c r="AD42" s="139">
        <f>VLOOKUP($E42,'7. PGE_Efficacité'!$A$6:$CY$266,(MATCH('4.5 ACE MAX WOL '!AD$4,'7. PGE_Efficacité'!$A$4:$AO$4,0)+62),0)</f>
        <v>0</v>
      </c>
      <c r="AE42" s="139">
        <f>VLOOKUP($E42,'7. PGE_Efficacité'!$A$6:$CY$266,(MATCH('4.5 ACE MAX WOL '!AE$4,'7. PGE_Efficacité'!$A$4:$AO$4,0)+62),0)</f>
        <v>0</v>
      </c>
      <c r="AF42" s="139">
        <f>VLOOKUP($E42,'7. PGE_Efficacité'!$A$6:$CY$266,(MATCH('4.5 ACE MAX WOL '!AF$4,'7. PGE_Efficacité'!$A$4:$AO$4,0)+62),0)</f>
        <v>0</v>
      </c>
      <c r="AG42" s="139">
        <f>VLOOKUP($E42,'7. PGE_Efficacité'!$A$6:$CY$266,(MATCH('4.5 ACE MAX WOL '!AG$4,'7. PGE_Efficacité'!$A$4:$AO$4,0)+62),0)</f>
        <v>0</v>
      </c>
      <c r="AH42" s="139">
        <f>VLOOKUP($E42,'7. PGE_Efficacité'!$A$6:$CY$266,(MATCH('4.5 ACE MAX WOL '!AH$4,'7. PGE_Efficacité'!$A$4:$AO$4,0)+62),0)</f>
        <v>0</v>
      </c>
      <c r="AI42" s="139">
        <f>VLOOKUP($E42,'7. PGE_Efficacité'!$A$6:$CY$266,(MATCH('4.5 ACE MAX WOL '!AI$4,'7. PGE_Efficacité'!$A$4:$AO$4,0)+62),0)</f>
        <v>0</v>
      </c>
      <c r="AJ42" s="139">
        <f>VLOOKUP($E42,'7. PGE_Efficacité'!$A$6:$CY$266,(MATCH('4.5 ACE MAX WOL '!AJ$4,'7. PGE_Efficacité'!$A$4:$AO$4,0)+62),0)</f>
        <v>0</v>
      </c>
      <c r="AK42" s="139">
        <f>VLOOKUP($E42,'7. PGE_Efficacité'!$A$6:$CY$266,(MATCH('4.5 ACE MAX WOL '!AK$4,'7. PGE_Efficacité'!$A$4:$AO$4,0)+62),0)</f>
        <v>0</v>
      </c>
      <c r="AL42" s="139">
        <f>VLOOKUP($E42,'7. PGE_Efficacité'!$A$6:$CY$266,(MATCH('4.5 ACE MAX WOL '!AL$4,'7. PGE_Efficacité'!$A$4:$AO$4,0)+62),0)</f>
        <v>0</v>
      </c>
      <c r="AM42" s="139">
        <f>VLOOKUP($E42,'7. PGE_Efficacité'!$A$6:$CY$266,(MATCH('4.5 ACE MAX WOL '!AM$4,'7. PGE_Efficacité'!$A$4:$AO$4,0)+62),0)</f>
        <v>0</v>
      </c>
      <c r="AN42" s="139">
        <f>VLOOKUP($E42,'7. PGE_Efficacité'!$A$6:$CY$266,(MATCH('4.5 ACE MAX WOL '!AN$4,'7. PGE_Efficacité'!$A$4:$AO$4,0)+62),0)</f>
        <v>0</v>
      </c>
    </row>
    <row r="43" spans="1:40" outlineLevel="1" collapsed="1" x14ac:dyDescent="0.25">
      <c r="A43" s="48"/>
      <c r="B43" s="49"/>
      <c r="C43" s="48"/>
      <c r="D43" s="194" t="s">
        <v>4</v>
      </c>
      <c r="E43" s="195"/>
      <c r="F43" s="196" t="str">
        <f>VLOOKUP(D43,'1. Mesures'!$A$2:$B$116,2,0)</f>
        <v xml:space="preserve">Inventorier les rejets directs dans une base de données dynamique </v>
      </c>
      <c r="G43" s="197"/>
      <c r="H43" s="195"/>
      <c r="I43" s="198">
        <f>MEDIAN(VLOOKUP(D43,'4. Mesures_ACE_Budget'!$A$3:$N$32,13,0),(VLOOKUP(D43,'4. Mesures_ACE_Budget'!$A$3:$N$32,14,0)))</f>
        <v>0</v>
      </c>
      <c r="J43" s="235">
        <f>VLOOKUP($D43,'7. PGE_Efficacité'!$A$6:$CY$266,(MATCH('4.5 ACE MAX WOL '!J$4,'7. PGE_Efficacité'!$A$4:$AO$4,0)+62),0)</f>
        <v>0</v>
      </c>
      <c r="K43" s="235">
        <f>VLOOKUP($D43,'7. PGE_Efficacité'!$A$6:$CY$266,(MATCH('4.5 ACE MAX WOL '!K$4,'7. PGE_Efficacité'!$A$4:$AO$4,0)+62),0)</f>
        <v>0</v>
      </c>
      <c r="L43" s="235">
        <f>VLOOKUP($D43,'7. PGE_Efficacité'!$A$6:$CY$266,(MATCH('4.5 ACE MAX WOL '!L$4,'7. PGE_Efficacité'!$A$4:$AO$4,0)+62),0)</f>
        <v>0</v>
      </c>
      <c r="M43" s="235">
        <f>VLOOKUP($D43,'7. PGE_Efficacité'!$A$6:$CY$266,(MATCH('4.5 ACE MAX WOL '!M$4,'7. PGE_Efficacité'!$A$4:$AO$4,0)+62),0)</f>
        <v>0</v>
      </c>
      <c r="N43" s="235">
        <f>VLOOKUP($D43,'7. PGE_Efficacité'!$A$6:$CY$266,(MATCH('4.5 ACE MAX WOL '!N$4,'7. PGE_Efficacité'!$A$4:$AO$4,0)+62),0)</f>
        <v>0</v>
      </c>
      <c r="O43" s="235">
        <f>VLOOKUP($D43,'7. PGE_Efficacité'!$A$6:$CY$266,78,0)</f>
        <v>0</v>
      </c>
      <c r="P43" s="235">
        <f>VLOOKUP($D43,'7. PGE_Efficacité'!$A$6:$CY$266,(MATCH('4.5 ACE MAX WOL '!P$4,'7. PGE_Efficacité'!$A$4:$AO$4,0)+62),0)</f>
        <v>0</v>
      </c>
      <c r="Q43" s="235">
        <f>VLOOKUP($D43,'7. PGE_Efficacité'!$A$6:$CY$266,(MATCH('4.5 ACE MAX WOL '!Q$4,'7. PGE_Efficacité'!$A$4:$AO$4,0)+62),0)</f>
        <v>0</v>
      </c>
      <c r="R43" s="235">
        <f>VLOOKUP($D43,'7. PGE_Efficacité'!$A$6:$CY$266,(MATCH('4.5 ACE MAX WOL '!R$4,'7. PGE_Efficacité'!$A$4:$AO$4,0)+62),0)</f>
        <v>0</v>
      </c>
      <c r="S43" s="235">
        <f>VLOOKUP($D43,'7. PGE_Efficacité'!$A$6:$CY$266,(MATCH('4.5 ACE MAX WOL '!S$4,'7. PGE_Efficacité'!$A$4:$AO$4,0)+62),0)</f>
        <v>0</v>
      </c>
      <c r="T43" s="235">
        <f>VLOOKUP($D43,'7. PGE_Efficacité'!$A$6:$CY$266,(MATCH('4.5 ACE MAX WOL '!T$4,'7. PGE_Efficacité'!$A$4:$AO$4,0)+62),0)</f>
        <v>0</v>
      </c>
      <c r="U43" s="235">
        <f>VLOOKUP($D43,'7. PGE_Efficacité'!$A$6:$CY$266,(MATCH('4.5 ACE MAX WOL '!U$4,'7. PGE_Efficacité'!$A$4:$AO$4,0)+62),0)</f>
        <v>0</v>
      </c>
      <c r="V43" s="235">
        <f>VLOOKUP($D43,'7. PGE_Efficacité'!$A$6:$CY$266,(MATCH('4.5 ACE MAX WOL '!V$4,'7. PGE_Efficacité'!$A$4:$AO$4,0)+62),0)</f>
        <v>0</v>
      </c>
      <c r="W43" s="235">
        <f>VLOOKUP($D43,'7. PGE_Efficacité'!$A$6:$CY$266,(MATCH('4.5 ACE MAX WOL '!W$4,'7. PGE_Efficacité'!$A$4:$AO$4,0)+62),0)</f>
        <v>0</v>
      </c>
      <c r="X43" s="235">
        <f>VLOOKUP($D43,'7. PGE_Efficacité'!$A$6:$CY$266,(MATCH('4.5 ACE MAX WOL '!X$4,'7. PGE_Efficacité'!$A$4:$AO$4,0)+62),0)</f>
        <v>0</v>
      </c>
      <c r="Y43" s="235">
        <f>VLOOKUP($D43,'7. PGE_Efficacité'!$A$6:$CY$266,(MATCH('4.5 ACE MAX WOL '!Y$4,'7. PGE_Efficacité'!$A$4:$AO$4,0)+62),0)</f>
        <v>0</v>
      </c>
      <c r="Z43" s="235">
        <f>VLOOKUP($D43,'7. PGE_Efficacité'!$A$6:$CY$266,(MATCH('4.5 ACE MAX WOL '!Z$4,'7. PGE_Efficacité'!$A$4:$AO$4,0)+62),0)</f>
        <v>0</v>
      </c>
      <c r="AA43" s="235">
        <f>VLOOKUP($D43,'7. PGE_Efficacité'!$A$6:$CY$266,(MATCH('4.5 ACE MAX WOL '!AA$4,'7. PGE_Efficacité'!$A$4:$AO$4,0)+62),0)</f>
        <v>0</v>
      </c>
      <c r="AB43" s="235">
        <f>VLOOKUP($D43,'7. PGE_Efficacité'!$A$6:$CY$266,(MATCH('4.5 ACE MAX WOL '!AB$4,'7. PGE_Efficacité'!$A$4:$AO$4,0)+62),0)</f>
        <v>0</v>
      </c>
      <c r="AC43" s="235">
        <f>VLOOKUP($D43,'7. PGE_Efficacité'!$A$6:$CY$266,(MATCH('4.5 ACE MAX WOL '!AC$4,'7. PGE_Efficacité'!$A$4:$AO$4,0)+62),0)</f>
        <v>0</v>
      </c>
      <c r="AD43" s="235">
        <f>VLOOKUP($D43,'7. PGE_Efficacité'!$A$6:$CY$266,(MATCH('4.5 ACE MAX WOL '!AD$4,'7. PGE_Efficacité'!$A$4:$AO$4,0)+62),0)</f>
        <v>0</v>
      </c>
      <c r="AE43" s="235">
        <f>VLOOKUP($D43,'7. PGE_Efficacité'!$A$6:$CY$266,(MATCH('4.5 ACE MAX WOL '!AE$4,'7. PGE_Efficacité'!$A$4:$AO$4,0)+62),0)</f>
        <v>0</v>
      </c>
      <c r="AF43" s="235">
        <f>VLOOKUP($D43,'7. PGE_Efficacité'!$A$6:$CY$266,(MATCH('4.5 ACE MAX WOL '!AF$4,'7. PGE_Efficacité'!$A$4:$AO$4,0)+62),0)</f>
        <v>0</v>
      </c>
      <c r="AG43" s="235">
        <f>VLOOKUP($D43,'7. PGE_Efficacité'!$A$6:$CY$266,(MATCH('4.5 ACE MAX WOL '!AG$4,'7. PGE_Efficacité'!$A$4:$AO$4,0)+62),0)</f>
        <v>0</v>
      </c>
      <c r="AH43" s="235">
        <f>VLOOKUP($D43,'7. PGE_Efficacité'!$A$6:$CY$266,(MATCH('4.5 ACE MAX WOL '!AH$4,'7. PGE_Efficacité'!$A$4:$AO$4,0)+62),0)</f>
        <v>0</v>
      </c>
      <c r="AI43" s="235">
        <f>VLOOKUP($D43,'7. PGE_Efficacité'!$A$6:$CY$266,(MATCH('4.5 ACE MAX WOL '!AI$4,'7. PGE_Efficacité'!$A$4:$AO$4,0)+62),0)</f>
        <v>0</v>
      </c>
      <c r="AJ43" s="235">
        <f>VLOOKUP($D43,'7. PGE_Efficacité'!$A$6:$CY$266,(MATCH('4.5 ACE MAX WOL '!AJ$4,'7. PGE_Efficacité'!$A$4:$AO$4,0)+62),0)</f>
        <v>0</v>
      </c>
      <c r="AK43" s="235">
        <f>VLOOKUP($D43,'7. PGE_Efficacité'!$A$6:$CY$266,(MATCH('4.5 ACE MAX WOL '!AK$4,'7. PGE_Efficacité'!$A$4:$AO$4,0)+62),0)</f>
        <v>0</v>
      </c>
      <c r="AL43" s="235">
        <f>VLOOKUP($D43,'7. PGE_Efficacité'!$A$6:$CY$266,(MATCH('4.5 ACE MAX WOL '!AL$4,'7. PGE_Efficacité'!$A$4:$AO$4,0)+62),0)</f>
        <v>0</v>
      </c>
      <c r="AM43" s="235">
        <f>VLOOKUP($D43,'7. PGE_Efficacité'!$A$6:$CY$266,(MATCH('4.5 ACE MAX WOL '!AM$4,'7. PGE_Efficacité'!$A$4:$AO$4,0)+62),0)</f>
        <v>0</v>
      </c>
      <c r="AN43" s="235">
        <f>VLOOKUP($D43,'7. PGE_Efficacité'!$A$6:$CY$266,(MATCH('4.5 ACE MAX WOL '!AN$4,'7. PGE_Efficacité'!$A$4:$AO$4,0)+62),0)</f>
        <v>0</v>
      </c>
    </row>
    <row r="44" spans="1:40" hidden="1" outlineLevel="2" x14ac:dyDescent="0.25">
      <c r="A44" s="48" t="s">
        <v>1524</v>
      </c>
      <c r="B44" s="49">
        <v>5</v>
      </c>
      <c r="C44" s="48" t="s">
        <v>1524</v>
      </c>
      <c r="D44" s="199" t="s">
        <v>4</v>
      </c>
      <c r="E44" s="200" t="s">
        <v>798</v>
      </c>
      <c r="F44" s="200" t="s">
        <v>1436</v>
      </c>
      <c r="G44" s="201" t="s">
        <v>1521</v>
      </c>
      <c r="H44" s="200" t="s">
        <v>1290</v>
      </c>
      <c r="I44" s="202"/>
      <c r="J44" s="139">
        <f>VLOOKUP($E44,'7. PGE_Efficacité'!$A$6:$CY$266,(MATCH('4.5 ACE MAX WOL '!J$4,'7. PGE_Efficacité'!$A$4:$AO$4,0)+62),0)</f>
        <v>0</v>
      </c>
      <c r="K44" s="139">
        <f>VLOOKUP($E44,'7. PGE_Efficacité'!$A$6:$CY$266,(MATCH('4.5 ACE MAX WOL '!K$4,'7. PGE_Efficacité'!$A$4:$AO$4,0)+62),0)</f>
        <v>0</v>
      </c>
      <c r="L44" s="139">
        <f>VLOOKUP($E44,'7. PGE_Efficacité'!$A$6:$CY$266,(MATCH('4.5 ACE MAX WOL '!L$4,'7. PGE_Efficacité'!$A$4:$AO$4,0)+62),0)</f>
        <v>0</v>
      </c>
      <c r="M44" s="139">
        <f>VLOOKUP($E44,'7. PGE_Efficacité'!$A$6:$CY$266,(MATCH('4.5 ACE MAX WOL '!M$4,'7. PGE_Efficacité'!$A$4:$AO$4,0)+62),0)</f>
        <v>0</v>
      </c>
      <c r="N44" s="139">
        <f>VLOOKUP($E44,'7. PGE_Efficacité'!$A$6:$CY$266,(MATCH('4.5 ACE MAX WOL '!N$4,'7. PGE_Efficacité'!$A$4:$AO$4,0)+62),0)</f>
        <v>0</v>
      </c>
      <c r="O44" s="139">
        <f>VLOOKUP($E44,'7. PGE_Efficacité'!$A$6:$CY$266,78,0)</f>
        <v>0</v>
      </c>
      <c r="P44" s="139">
        <f>VLOOKUP($E44,'7. PGE_Efficacité'!$A$6:$CY$266,(MATCH('4.5 ACE MAX WOL '!P$4,'7. PGE_Efficacité'!$A$4:$AO$4,0)+62),0)</f>
        <v>0</v>
      </c>
      <c r="Q44" s="139">
        <f>VLOOKUP($E44,'7. PGE_Efficacité'!$A$6:$CY$266,(MATCH('4.5 ACE MAX WOL '!Q$4,'7. PGE_Efficacité'!$A$4:$AO$4,0)+62),0)</f>
        <v>0</v>
      </c>
      <c r="R44" s="139">
        <f>VLOOKUP($E44,'7. PGE_Efficacité'!$A$6:$CY$266,(MATCH('4.5 ACE MAX WOL '!R$4,'7. PGE_Efficacité'!$A$4:$AO$4,0)+62),0)</f>
        <v>0</v>
      </c>
      <c r="S44" s="139">
        <f>VLOOKUP($E44,'7. PGE_Efficacité'!$A$6:$CY$266,(MATCH('4.5 ACE MAX WOL '!S$4,'7. PGE_Efficacité'!$A$4:$AO$4,0)+62),0)</f>
        <v>0</v>
      </c>
      <c r="T44" s="139">
        <f>VLOOKUP($E44,'7. PGE_Efficacité'!$A$6:$CY$266,(MATCH('4.5 ACE MAX WOL '!T$4,'7. PGE_Efficacité'!$A$4:$AO$4,0)+62),0)</f>
        <v>0</v>
      </c>
      <c r="U44" s="139">
        <f>VLOOKUP($E44,'7. PGE_Efficacité'!$A$6:$CY$266,(MATCH('4.5 ACE MAX WOL '!U$4,'7. PGE_Efficacité'!$A$4:$AO$4,0)+62),0)</f>
        <v>0</v>
      </c>
      <c r="V44" s="139">
        <f>VLOOKUP($E44,'7. PGE_Efficacité'!$A$6:$CY$266,(MATCH('4.5 ACE MAX WOL '!V$4,'7. PGE_Efficacité'!$A$4:$AO$4,0)+62),0)</f>
        <v>0</v>
      </c>
      <c r="W44" s="139">
        <f>VLOOKUP($E44,'7. PGE_Efficacité'!$A$6:$CY$266,(MATCH('4.5 ACE MAX WOL '!W$4,'7. PGE_Efficacité'!$A$4:$AO$4,0)+62),0)</f>
        <v>0</v>
      </c>
      <c r="X44" s="139">
        <f>VLOOKUP($E44,'7. PGE_Efficacité'!$A$6:$CY$266,(MATCH('4.5 ACE MAX WOL '!X$4,'7. PGE_Efficacité'!$A$4:$AO$4,0)+62),0)</f>
        <v>0</v>
      </c>
      <c r="Y44" s="139">
        <f>VLOOKUP($E44,'7. PGE_Efficacité'!$A$6:$CY$266,(MATCH('4.5 ACE MAX WOL '!Y$4,'7. PGE_Efficacité'!$A$4:$AO$4,0)+62),0)</f>
        <v>0</v>
      </c>
      <c r="Z44" s="139">
        <f>VLOOKUP($E44,'7. PGE_Efficacité'!$A$6:$CY$266,(MATCH('4.5 ACE MAX WOL '!Z$4,'7. PGE_Efficacité'!$A$4:$AO$4,0)+62),0)</f>
        <v>0</v>
      </c>
      <c r="AA44" s="139">
        <f>VLOOKUP($E44,'7. PGE_Efficacité'!$A$6:$CY$266,(MATCH('4.5 ACE MAX WOL '!AA$4,'7. PGE_Efficacité'!$A$4:$AO$4,0)+62),0)</f>
        <v>0</v>
      </c>
      <c r="AB44" s="139">
        <f>VLOOKUP($E44,'7. PGE_Efficacité'!$A$6:$CY$266,(MATCH('4.5 ACE MAX WOL '!AB$4,'7. PGE_Efficacité'!$A$4:$AO$4,0)+62),0)</f>
        <v>0</v>
      </c>
      <c r="AC44" s="139">
        <f>VLOOKUP($E44,'7. PGE_Efficacité'!$A$6:$CY$266,(MATCH('4.5 ACE MAX WOL '!AC$4,'7. PGE_Efficacité'!$A$4:$AO$4,0)+62),0)</f>
        <v>0</v>
      </c>
      <c r="AD44" s="139">
        <f>VLOOKUP($E44,'7. PGE_Efficacité'!$A$6:$CY$266,(MATCH('4.5 ACE MAX WOL '!AD$4,'7. PGE_Efficacité'!$A$4:$AO$4,0)+62),0)</f>
        <v>0</v>
      </c>
      <c r="AE44" s="139">
        <f>VLOOKUP($E44,'7. PGE_Efficacité'!$A$6:$CY$266,(MATCH('4.5 ACE MAX WOL '!AE$4,'7. PGE_Efficacité'!$A$4:$AO$4,0)+62),0)</f>
        <v>0</v>
      </c>
      <c r="AF44" s="139">
        <f>VLOOKUP($E44,'7. PGE_Efficacité'!$A$6:$CY$266,(MATCH('4.5 ACE MAX WOL '!AF$4,'7. PGE_Efficacité'!$A$4:$AO$4,0)+62),0)</f>
        <v>0</v>
      </c>
      <c r="AG44" s="139">
        <f>VLOOKUP($E44,'7. PGE_Efficacité'!$A$6:$CY$266,(MATCH('4.5 ACE MAX WOL '!AG$4,'7. PGE_Efficacité'!$A$4:$AO$4,0)+62),0)</f>
        <v>0</v>
      </c>
      <c r="AH44" s="139">
        <f>VLOOKUP($E44,'7. PGE_Efficacité'!$A$6:$CY$266,(MATCH('4.5 ACE MAX WOL '!AH$4,'7. PGE_Efficacité'!$A$4:$AO$4,0)+62),0)</f>
        <v>0</v>
      </c>
      <c r="AI44" s="139">
        <f>VLOOKUP($E44,'7. PGE_Efficacité'!$A$6:$CY$266,(MATCH('4.5 ACE MAX WOL '!AI$4,'7. PGE_Efficacité'!$A$4:$AO$4,0)+62),0)</f>
        <v>0</v>
      </c>
      <c r="AJ44" s="139">
        <f>VLOOKUP($E44,'7. PGE_Efficacité'!$A$6:$CY$266,(MATCH('4.5 ACE MAX WOL '!AJ$4,'7. PGE_Efficacité'!$A$4:$AO$4,0)+62),0)</f>
        <v>0</v>
      </c>
      <c r="AK44" s="139">
        <f>VLOOKUP($E44,'7. PGE_Efficacité'!$A$6:$CY$266,(MATCH('4.5 ACE MAX WOL '!AK$4,'7. PGE_Efficacité'!$A$4:$AO$4,0)+62),0)</f>
        <v>0</v>
      </c>
      <c r="AL44" s="139">
        <f>VLOOKUP($E44,'7. PGE_Efficacité'!$A$6:$CY$266,(MATCH('4.5 ACE MAX WOL '!AL$4,'7. PGE_Efficacité'!$A$4:$AO$4,0)+62),0)</f>
        <v>0</v>
      </c>
      <c r="AM44" s="139">
        <f>VLOOKUP($E44,'7. PGE_Efficacité'!$A$6:$CY$266,(MATCH('4.5 ACE MAX WOL '!AM$4,'7. PGE_Efficacité'!$A$4:$AO$4,0)+62),0)</f>
        <v>0</v>
      </c>
      <c r="AN44" s="139">
        <f>VLOOKUP($E44,'7. PGE_Efficacité'!$A$6:$CY$266,(MATCH('4.5 ACE MAX WOL '!AN$4,'7. PGE_Efficacité'!$A$4:$AO$4,0)+62),0)</f>
        <v>0</v>
      </c>
    </row>
    <row r="45" spans="1:40" hidden="1" outlineLevel="2" x14ac:dyDescent="0.25">
      <c r="A45" s="48" t="s">
        <v>1524</v>
      </c>
      <c r="B45" s="49">
        <v>5</v>
      </c>
      <c r="C45" s="48" t="s">
        <v>1525</v>
      </c>
      <c r="D45" s="199" t="s">
        <v>4</v>
      </c>
      <c r="E45" s="200" t="s">
        <v>809</v>
      </c>
      <c r="F45" s="200" t="s">
        <v>1440</v>
      </c>
      <c r="G45" s="201" t="s">
        <v>1521</v>
      </c>
      <c r="H45" s="200" t="s">
        <v>1290</v>
      </c>
      <c r="I45" s="202"/>
      <c r="J45" s="139">
        <f>VLOOKUP($E45,'7. PGE_Efficacité'!$A$6:$CY$266,(MATCH('4.5 ACE MAX WOL '!J$4,'7. PGE_Efficacité'!$A$4:$AO$4,0)+62),0)</f>
        <v>0</v>
      </c>
      <c r="K45" s="139">
        <f>VLOOKUP($E45,'7. PGE_Efficacité'!$A$6:$CY$266,(MATCH('4.5 ACE MAX WOL '!K$4,'7. PGE_Efficacité'!$A$4:$AO$4,0)+62),0)</f>
        <v>0</v>
      </c>
      <c r="L45" s="139">
        <f>VLOOKUP($E45,'7. PGE_Efficacité'!$A$6:$CY$266,(MATCH('4.5 ACE MAX WOL '!L$4,'7. PGE_Efficacité'!$A$4:$AO$4,0)+62),0)</f>
        <v>0</v>
      </c>
      <c r="M45" s="139">
        <f>VLOOKUP($E45,'7. PGE_Efficacité'!$A$6:$CY$266,(MATCH('4.5 ACE MAX WOL '!M$4,'7. PGE_Efficacité'!$A$4:$AO$4,0)+62),0)</f>
        <v>0</v>
      </c>
      <c r="N45" s="139">
        <f>VLOOKUP($E45,'7. PGE_Efficacité'!$A$6:$CY$266,(MATCH('4.5 ACE MAX WOL '!N$4,'7. PGE_Efficacité'!$A$4:$AO$4,0)+62),0)</f>
        <v>0</v>
      </c>
      <c r="O45" s="139">
        <f>VLOOKUP($E45,'7. PGE_Efficacité'!$A$6:$CY$266,78,0)</f>
        <v>0</v>
      </c>
      <c r="P45" s="139">
        <f>VLOOKUP($E45,'7. PGE_Efficacité'!$A$6:$CY$266,(MATCH('4.5 ACE MAX WOL '!P$4,'7. PGE_Efficacité'!$A$4:$AO$4,0)+62),0)</f>
        <v>0</v>
      </c>
      <c r="Q45" s="139">
        <f>VLOOKUP($E45,'7. PGE_Efficacité'!$A$6:$CY$266,(MATCH('4.5 ACE MAX WOL '!Q$4,'7. PGE_Efficacité'!$A$4:$AO$4,0)+62),0)</f>
        <v>0</v>
      </c>
      <c r="R45" s="139">
        <f>VLOOKUP($E45,'7. PGE_Efficacité'!$A$6:$CY$266,(MATCH('4.5 ACE MAX WOL '!R$4,'7. PGE_Efficacité'!$A$4:$AO$4,0)+62),0)</f>
        <v>0</v>
      </c>
      <c r="S45" s="139">
        <f>VLOOKUP($E45,'7. PGE_Efficacité'!$A$6:$CY$266,(MATCH('4.5 ACE MAX WOL '!S$4,'7. PGE_Efficacité'!$A$4:$AO$4,0)+62),0)</f>
        <v>0</v>
      </c>
      <c r="T45" s="139">
        <f>VLOOKUP($E45,'7. PGE_Efficacité'!$A$6:$CY$266,(MATCH('4.5 ACE MAX WOL '!T$4,'7. PGE_Efficacité'!$A$4:$AO$4,0)+62),0)</f>
        <v>0</v>
      </c>
      <c r="U45" s="139">
        <f>VLOOKUP($E45,'7. PGE_Efficacité'!$A$6:$CY$266,(MATCH('4.5 ACE MAX WOL '!U$4,'7. PGE_Efficacité'!$A$4:$AO$4,0)+62),0)</f>
        <v>0</v>
      </c>
      <c r="V45" s="139">
        <f>VLOOKUP($E45,'7. PGE_Efficacité'!$A$6:$CY$266,(MATCH('4.5 ACE MAX WOL '!V$4,'7. PGE_Efficacité'!$A$4:$AO$4,0)+62),0)</f>
        <v>0</v>
      </c>
      <c r="W45" s="139">
        <f>VLOOKUP($E45,'7. PGE_Efficacité'!$A$6:$CY$266,(MATCH('4.5 ACE MAX WOL '!W$4,'7. PGE_Efficacité'!$A$4:$AO$4,0)+62),0)</f>
        <v>0</v>
      </c>
      <c r="X45" s="139">
        <f>VLOOKUP($E45,'7. PGE_Efficacité'!$A$6:$CY$266,(MATCH('4.5 ACE MAX WOL '!X$4,'7. PGE_Efficacité'!$A$4:$AO$4,0)+62),0)</f>
        <v>0</v>
      </c>
      <c r="Y45" s="139">
        <f>VLOOKUP($E45,'7. PGE_Efficacité'!$A$6:$CY$266,(MATCH('4.5 ACE MAX WOL '!Y$4,'7. PGE_Efficacité'!$A$4:$AO$4,0)+62),0)</f>
        <v>0</v>
      </c>
      <c r="Z45" s="139">
        <f>VLOOKUP($E45,'7. PGE_Efficacité'!$A$6:$CY$266,(MATCH('4.5 ACE MAX WOL '!Z$4,'7. PGE_Efficacité'!$A$4:$AO$4,0)+62),0)</f>
        <v>0</v>
      </c>
      <c r="AA45" s="139">
        <f>VLOOKUP($E45,'7. PGE_Efficacité'!$A$6:$CY$266,(MATCH('4.5 ACE MAX WOL '!AA$4,'7. PGE_Efficacité'!$A$4:$AO$4,0)+62),0)</f>
        <v>0</v>
      </c>
      <c r="AB45" s="139">
        <f>VLOOKUP($E45,'7. PGE_Efficacité'!$A$6:$CY$266,(MATCH('4.5 ACE MAX WOL '!AB$4,'7. PGE_Efficacité'!$A$4:$AO$4,0)+62),0)</f>
        <v>0</v>
      </c>
      <c r="AC45" s="139">
        <f>VLOOKUP($E45,'7. PGE_Efficacité'!$A$6:$CY$266,(MATCH('4.5 ACE MAX WOL '!AC$4,'7. PGE_Efficacité'!$A$4:$AO$4,0)+62),0)</f>
        <v>0</v>
      </c>
      <c r="AD45" s="139">
        <f>VLOOKUP($E45,'7. PGE_Efficacité'!$A$6:$CY$266,(MATCH('4.5 ACE MAX WOL '!AD$4,'7. PGE_Efficacité'!$A$4:$AO$4,0)+62),0)</f>
        <v>0</v>
      </c>
      <c r="AE45" s="139">
        <f>VLOOKUP($E45,'7. PGE_Efficacité'!$A$6:$CY$266,(MATCH('4.5 ACE MAX WOL '!AE$4,'7. PGE_Efficacité'!$A$4:$AO$4,0)+62),0)</f>
        <v>0</v>
      </c>
      <c r="AF45" s="139">
        <f>VLOOKUP($E45,'7. PGE_Efficacité'!$A$6:$CY$266,(MATCH('4.5 ACE MAX WOL '!AF$4,'7. PGE_Efficacité'!$A$4:$AO$4,0)+62),0)</f>
        <v>0</v>
      </c>
      <c r="AG45" s="139">
        <f>VLOOKUP($E45,'7. PGE_Efficacité'!$A$6:$CY$266,(MATCH('4.5 ACE MAX WOL '!AG$4,'7. PGE_Efficacité'!$A$4:$AO$4,0)+62),0)</f>
        <v>0</v>
      </c>
      <c r="AH45" s="139">
        <f>VLOOKUP($E45,'7. PGE_Efficacité'!$A$6:$CY$266,(MATCH('4.5 ACE MAX WOL '!AH$4,'7. PGE_Efficacité'!$A$4:$AO$4,0)+62),0)</f>
        <v>0</v>
      </c>
      <c r="AI45" s="139">
        <f>VLOOKUP($E45,'7. PGE_Efficacité'!$A$6:$CY$266,(MATCH('4.5 ACE MAX WOL '!AI$4,'7. PGE_Efficacité'!$A$4:$AO$4,0)+62),0)</f>
        <v>0</v>
      </c>
      <c r="AJ45" s="139">
        <f>VLOOKUP($E45,'7. PGE_Efficacité'!$A$6:$CY$266,(MATCH('4.5 ACE MAX WOL '!AJ$4,'7. PGE_Efficacité'!$A$4:$AO$4,0)+62),0)</f>
        <v>0</v>
      </c>
      <c r="AK45" s="139">
        <f>VLOOKUP($E45,'7. PGE_Efficacité'!$A$6:$CY$266,(MATCH('4.5 ACE MAX WOL '!AK$4,'7. PGE_Efficacité'!$A$4:$AO$4,0)+62),0)</f>
        <v>0</v>
      </c>
      <c r="AL45" s="139">
        <f>VLOOKUP($E45,'7. PGE_Efficacité'!$A$6:$CY$266,(MATCH('4.5 ACE MAX WOL '!AL$4,'7. PGE_Efficacité'!$A$4:$AO$4,0)+62),0)</f>
        <v>0</v>
      </c>
      <c r="AM45" s="139">
        <f>VLOOKUP($E45,'7. PGE_Efficacité'!$A$6:$CY$266,(MATCH('4.5 ACE MAX WOL '!AM$4,'7. PGE_Efficacité'!$A$4:$AO$4,0)+62),0)</f>
        <v>0</v>
      </c>
      <c r="AN45" s="139">
        <f>VLOOKUP($E45,'7. PGE_Efficacité'!$A$6:$CY$266,(MATCH('4.5 ACE MAX WOL '!AN$4,'7. PGE_Efficacité'!$A$4:$AO$4,0)+62),0)</f>
        <v>0</v>
      </c>
    </row>
    <row r="46" spans="1:40" hidden="1" outlineLevel="2" x14ac:dyDescent="0.25">
      <c r="A46" s="48" t="s">
        <v>1524</v>
      </c>
      <c r="B46" s="49">
        <v>5</v>
      </c>
      <c r="C46" s="48" t="s">
        <v>1526</v>
      </c>
      <c r="D46" s="199" t="s">
        <v>4</v>
      </c>
      <c r="E46" s="200" t="s">
        <v>814</v>
      </c>
      <c r="F46" s="200" t="s">
        <v>1445</v>
      </c>
      <c r="G46" s="201" t="s">
        <v>1521</v>
      </c>
      <c r="H46" s="200" t="s">
        <v>1290</v>
      </c>
      <c r="I46" s="202"/>
      <c r="J46" s="139">
        <f>VLOOKUP($E46,'7. PGE_Efficacité'!$A$6:$CY$266,(MATCH('4.5 ACE MAX WOL '!J$4,'7. PGE_Efficacité'!$A$4:$AO$4,0)+62),0)</f>
        <v>0</v>
      </c>
      <c r="K46" s="139">
        <f>VLOOKUP($E46,'7. PGE_Efficacité'!$A$6:$CY$266,(MATCH('4.5 ACE MAX WOL '!K$4,'7. PGE_Efficacité'!$A$4:$AO$4,0)+62),0)</f>
        <v>0</v>
      </c>
      <c r="L46" s="139">
        <f>VLOOKUP($E46,'7. PGE_Efficacité'!$A$6:$CY$266,(MATCH('4.5 ACE MAX WOL '!L$4,'7. PGE_Efficacité'!$A$4:$AO$4,0)+62),0)</f>
        <v>0</v>
      </c>
      <c r="M46" s="139">
        <f>VLOOKUP($E46,'7. PGE_Efficacité'!$A$6:$CY$266,(MATCH('4.5 ACE MAX WOL '!M$4,'7. PGE_Efficacité'!$A$4:$AO$4,0)+62),0)</f>
        <v>0</v>
      </c>
      <c r="N46" s="139">
        <f>VLOOKUP($E46,'7. PGE_Efficacité'!$A$6:$CY$266,(MATCH('4.5 ACE MAX WOL '!N$4,'7. PGE_Efficacité'!$A$4:$AO$4,0)+62),0)</f>
        <v>0</v>
      </c>
      <c r="O46" s="139">
        <f>VLOOKUP($E46,'7. PGE_Efficacité'!$A$6:$CY$266,78,0)</f>
        <v>0</v>
      </c>
      <c r="P46" s="139">
        <f>VLOOKUP($E46,'7. PGE_Efficacité'!$A$6:$CY$266,(MATCH('4.5 ACE MAX WOL '!P$4,'7. PGE_Efficacité'!$A$4:$AO$4,0)+62),0)</f>
        <v>0</v>
      </c>
      <c r="Q46" s="139">
        <f>VLOOKUP($E46,'7. PGE_Efficacité'!$A$6:$CY$266,(MATCH('4.5 ACE MAX WOL '!Q$4,'7. PGE_Efficacité'!$A$4:$AO$4,0)+62),0)</f>
        <v>0</v>
      </c>
      <c r="R46" s="139">
        <f>VLOOKUP($E46,'7. PGE_Efficacité'!$A$6:$CY$266,(MATCH('4.5 ACE MAX WOL '!R$4,'7. PGE_Efficacité'!$A$4:$AO$4,0)+62),0)</f>
        <v>0</v>
      </c>
      <c r="S46" s="139">
        <f>VLOOKUP($E46,'7. PGE_Efficacité'!$A$6:$CY$266,(MATCH('4.5 ACE MAX WOL '!S$4,'7. PGE_Efficacité'!$A$4:$AO$4,0)+62),0)</f>
        <v>0</v>
      </c>
      <c r="T46" s="139">
        <f>VLOOKUP($E46,'7. PGE_Efficacité'!$A$6:$CY$266,(MATCH('4.5 ACE MAX WOL '!T$4,'7. PGE_Efficacité'!$A$4:$AO$4,0)+62),0)</f>
        <v>0</v>
      </c>
      <c r="U46" s="139">
        <f>VLOOKUP($E46,'7. PGE_Efficacité'!$A$6:$CY$266,(MATCH('4.5 ACE MAX WOL '!U$4,'7. PGE_Efficacité'!$A$4:$AO$4,0)+62),0)</f>
        <v>0</v>
      </c>
      <c r="V46" s="139">
        <f>VLOOKUP($E46,'7. PGE_Efficacité'!$A$6:$CY$266,(MATCH('4.5 ACE MAX WOL '!V$4,'7. PGE_Efficacité'!$A$4:$AO$4,0)+62),0)</f>
        <v>0</v>
      </c>
      <c r="W46" s="139">
        <f>VLOOKUP($E46,'7. PGE_Efficacité'!$A$6:$CY$266,(MATCH('4.5 ACE MAX WOL '!W$4,'7. PGE_Efficacité'!$A$4:$AO$4,0)+62),0)</f>
        <v>0</v>
      </c>
      <c r="X46" s="139">
        <f>VLOOKUP($E46,'7. PGE_Efficacité'!$A$6:$CY$266,(MATCH('4.5 ACE MAX WOL '!X$4,'7. PGE_Efficacité'!$A$4:$AO$4,0)+62),0)</f>
        <v>0</v>
      </c>
      <c r="Y46" s="139">
        <f>VLOOKUP($E46,'7. PGE_Efficacité'!$A$6:$CY$266,(MATCH('4.5 ACE MAX WOL '!Y$4,'7. PGE_Efficacité'!$A$4:$AO$4,0)+62),0)</f>
        <v>0</v>
      </c>
      <c r="Z46" s="139">
        <f>VLOOKUP($E46,'7. PGE_Efficacité'!$A$6:$CY$266,(MATCH('4.5 ACE MAX WOL '!Z$4,'7. PGE_Efficacité'!$A$4:$AO$4,0)+62),0)</f>
        <v>0</v>
      </c>
      <c r="AA46" s="139">
        <f>VLOOKUP($E46,'7. PGE_Efficacité'!$A$6:$CY$266,(MATCH('4.5 ACE MAX WOL '!AA$4,'7. PGE_Efficacité'!$A$4:$AO$4,0)+62),0)</f>
        <v>0</v>
      </c>
      <c r="AB46" s="139">
        <f>VLOOKUP($E46,'7. PGE_Efficacité'!$A$6:$CY$266,(MATCH('4.5 ACE MAX WOL '!AB$4,'7. PGE_Efficacité'!$A$4:$AO$4,0)+62),0)</f>
        <v>0</v>
      </c>
      <c r="AC46" s="139">
        <f>VLOOKUP($E46,'7. PGE_Efficacité'!$A$6:$CY$266,(MATCH('4.5 ACE MAX WOL '!AC$4,'7. PGE_Efficacité'!$A$4:$AO$4,0)+62),0)</f>
        <v>0</v>
      </c>
      <c r="AD46" s="139">
        <f>VLOOKUP($E46,'7. PGE_Efficacité'!$A$6:$CY$266,(MATCH('4.5 ACE MAX WOL '!AD$4,'7. PGE_Efficacité'!$A$4:$AO$4,0)+62),0)</f>
        <v>0</v>
      </c>
      <c r="AE46" s="139">
        <f>VLOOKUP($E46,'7. PGE_Efficacité'!$A$6:$CY$266,(MATCH('4.5 ACE MAX WOL '!AE$4,'7. PGE_Efficacité'!$A$4:$AO$4,0)+62),0)</f>
        <v>0</v>
      </c>
      <c r="AF46" s="139">
        <f>VLOOKUP($E46,'7. PGE_Efficacité'!$A$6:$CY$266,(MATCH('4.5 ACE MAX WOL '!AF$4,'7. PGE_Efficacité'!$A$4:$AO$4,0)+62),0)</f>
        <v>0</v>
      </c>
      <c r="AG46" s="139">
        <f>VLOOKUP($E46,'7. PGE_Efficacité'!$A$6:$CY$266,(MATCH('4.5 ACE MAX WOL '!AG$4,'7. PGE_Efficacité'!$A$4:$AO$4,0)+62),0)</f>
        <v>0</v>
      </c>
      <c r="AH46" s="139">
        <f>VLOOKUP($E46,'7. PGE_Efficacité'!$A$6:$CY$266,(MATCH('4.5 ACE MAX WOL '!AH$4,'7. PGE_Efficacité'!$A$4:$AO$4,0)+62),0)</f>
        <v>0</v>
      </c>
      <c r="AI46" s="139">
        <f>VLOOKUP($E46,'7. PGE_Efficacité'!$A$6:$CY$266,(MATCH('4.5 ACE MAX WOL '!AI$4,'7. PGE_Efficacité'!$A$4:$AO$4,0)+62),0)</f>
        <v>0</v>
      </c>
      <c r="AJ46" s="139">
        <f>VLOOKUP($E46,'7. PGE_Efficacité'!$A$6:$CY$266,(MATCH('4.5 ACE MAX WOL '!AJ$4,'7. PGE_Efficacité'!$A$4:$AO$4,0)+62),0)</f>
        <v>0</v>
      </c>
      <c r="AK46" s="139">
        <f>VLOOKUP($E46,'7. PGE_Efficacité'!$A$6:$CY$266,(MATCH('4.5 ACE MAX WOL '!AK$4,'7. PGE_Efficacité'!$A$4:$AO$4,0)+62),0)</f>
        <v>0</v>
      </c>
      <c r="AL46" s="139">
        <f>VLOOKUP($E46,'7. PGE_Efficacité'!$A$6:$CY$266,(MATCH('4.5 ACE MAX WOL '!AL$4,'7. PGE_Efficacité'!$A$4:$AO$4,0)+62),0)</f>
        <v>0</v>
      </c>
      <c r="AM46" s="139">
        <f>VLOOKUP($E46,'7. PGE_Efficacité'!$A$6:$CY$266,(MATCH('4.5 ACE MAX WOL '!AM$4,'7. PGE_Efficacité'!$A$4:$AO$4,0)+62),0)</f>
        <v>0</v>
      </c>
      <c r="AN46" s="139">
        <f>VLOOKUP($E46,'7. PGE_Efficacité'!$A$6:$CY$266,(MATCH('4.5 ACE MAX WOL '!AN$4,'7. PGE_Efficacité'!$A$4:$AO$4,0)+62),0)</f>
        <v>0</v>
      </c>
    </row>
    <row r="47" spans="1:40" hidden="1" outlineLevel="2" x14ac:dyDescent="0.25">
      <c r="A47" s="48" t="s">
        <v>1524</v>
      </c>
      <c r="B47" s="49">
        <v>5</v>
      </c>
      <c r="C47" s="48" t="s">
        <v>1527</v>
      </c>
      <c r="D47" s="199" t="s">
        <v>4</v>
      </c>
      <c r="E47" s="200" t="s">
        <v>815</v>
      </c>
      <c r="F47" s="200" t="s">
        <v>1446</v>
      </c>
      <c r="G47" s="201" t="s">
        <v>1521</v>
      </c>
      <c r="H47" s="200" t="s">
        <v>1290</v>
      </c>
      <c r="I47" s="202"/>
      <c r="J47" s="139">
        <f>VLOOKUP($E47,'7. PGE_Efficacité'!$A$6:$CY$266,(MATCH('4.5 ACE MAX WOL '!J$4,'7. PGE_Efficacité'!$A$4:$AO$4,0)+62),0)</f>
        <v>0</v>
      </c>
      <c r="K47" s="139">
        <f>VLOOKUP($E47,'7. PGE_Efficacité'!$A$6:$CY$266,(MATCH('4.5 ACE MAX WOL '!K$4,'7. PGE_Efficacité'!$A$4:$AO$4,0)+62),0)</f>
        <v>0</v>
      </c>
      <c r="L47" s="139">
        <f>VLOOKUP($E47,'7. PGE_Efficacité'!$A$6:$CY$266,(MATCH('4.5 ACE MAX WOL '!L$4,'7. PGE_Efficacité'!$A$4:$AO$4,0)+62),0)</f>
        <v>0</v>
      </c>
      <c r="M47" s="139">
        <f>VLOOKUP($E47,'7. PGE_Efficacité'!$A$6:$CY$266,(MATCH('4.5 ACE MAX WOL '!M$4,'7. PGE_Efficacité'!$A$4:$AO$4,0)+62),0)</f>
        <v>0</v>
      </c>
      <c r="N47" s="139">
        <f>VLOOKUP($E47,'7. PGE_Efficacité'!$A$6:$CY$266,(MATCH('4.5 ACE MAX WOL '!N$4,'7. PGE_Efficacité'!$A$4:$AO$4,0)+62),0)</f>
        <v>0</v>
      </c>
      <c r="O47" s="139">
        <f>VLOOKUP($E47,'7. PGE_Efficacité'!$A$6:$CY$266,78,0)</f>
        <v>0</v>
      </c>
      <c r="P47" s="139">
        <f>VLOOKUP($E47,'7. PGE_Efficacité'!$A$6:$CY$266,(MATCH('4.5 ACE MAX WOL '!P$4,'7. PGE_Efficacité'!$A$4:$AO$4,0)+62),0)</f>
        <v>0</v>
      </c>
      <c r="Q47" s="139">
        <f>VLOOKUP($E47,'7. PGE_Efficacité'!$A$6:$CY$266,(MATCH('4.5 ACE MAX WOL '!Q$4,'7. PGE_Efficacité'!$A$4:$AO$4,0)+62),0)</f>
        <v>0</v>
      </c>
      <c r="R47" s="139">
        <f>VLOOKUP($E47,'7. PGE_Efficacité'!$A$6:$CY$266,(MATCH('4.5 ACE MAX WOL '!R$4,'7. PGE_Efficacité'!$A$4:$AO$4,0)+62),0)</f>
        <v>0</v>
      </c>
      <c r="S47" s="139">
        <f>VLOOKUP($E47,'7. PGE_Efficacité'!$A$6:$CY$266,(MATCH('4.5 ACE MAX WOL '!S$4,'7. PGE_Efficacité'!$A$4:$AO$4,0)+62),0)</f>
        <v>0</v>
      </c>
      <c r="T47" s="139">
        <f>VLOOKUP($E47,'7. PGE_Efficacité'!$A$6:$CY$266,(MATCH('4.5 ACE MAX WOL '!T$4,'7. PGE_Efficacité'!$A$4:$AO$4,0)+62),0)</f>
        <v>0</v>
      </c>
      <c r="U47" s="139">
        <f>VLOOKUP($E47,'7. PGE_Efficacité'!$A$6:$CY$266,(MATCH('4.5 ACE MAX WOL '!U$4,'7. PGE_Efficacité'!$A$4:$AO$4,0)+62),0)</f>
        <v>0</v>
      </c>
      <c r="V47" s="139">
        <f>VLOOKUP($E47,'7. PGE_Efficacité'!$A$6:$CY$266,(MATCH('4.5 ACE MAX WOL '!V$4,'7. PGE_Efficacité'!$A$4:$AO$4,0)+62),0)</f>
        <v>0</v>
      </c>
      <c r="W47" s="139">
        <f>VLOOKUP($E47,'7. PGE_Efficacité'!$A$6:$CY$266,(MATCH('4.5 ACE MAX WOL '!W$4,'7. PGE_Efficacité'!$A$4:$AO$4,0)+62),0)</f>
        <v>0</v>
      </c>
      <c r="X47" s="139">
        <f>VLOOKUP($E47,'7. PGE_Efficacité'!$A$6:$CY$266,(MATCH('4.5 ACE MAX WOL '!X$4,'7. PGE_Efficacité'!$A$4:$AO$4,0)+62),0)</f>
        <v>0</v>
      </c>
      <c r="Y47" s="139">
        <f>VLOOKUP($E47,'7. PGE_Efficacité'!$A$6:$CY$266,(MATCH('4.5 ACE MAX WOL '!Y$4,'7. PGE_Efficacité'!$A$4:$AO$4,0)+62),0)</f>
        <v>0</v>
      </c>
      <c r="Z47" s="139">
        <f>VLOOKUP($E47,'7. PGE_Efficacité'!$A$6:$CY$266,(MATCH('4.5 ACE MAX WOL '!Z$4,'7. PGE_Efficacité'!$A$4:$AO$4,0)+62),0)</f>
        <v>0</v>
      </c>
      <c r="AA47" s="139">
        <f>VLOOKUP($E47,'7. PGE_Efficacité'!$A$6:$CY$266,(MATCH('4.5 ACE MAX WOL '!AA$4,'7. PGE_Efficacité'!$A$4:$AO$4,0)+62),0)</f>
        <v>0</v>
      </c>
      <c r="AB47" s="139">
        <f>VLOOKUP($E47,'7. PGE_Efficacité'!$A$6:$CY$266,(MATCH('4.5 ACE MAX WOL '!AB$4,'7. PGE_Efficacité'!$A$4:$AO$4,0)+62),0)</f>
        <v>0</v>
      </c>
      <c r="AC47" s="139">
        <f>VLOOKUP($E47,'7. PGE_Efficacité'!$A$6:$CY$266,(MATCH('4.5 ACE MAX WOL '!AC$4,'7. PGE_Efficacité'!$A$4:$AO$4,0)+62),0)</f>
        <v>0</v>
      </c>
      <c r="AD47" s="139">
        <f>VLOOKUP($E47,'7. PGE_Efficacité'!$A$6:$CY$266,(MATCH('4.5 ACE MAX WOL '!AD$4,'7. PGE_Efficacité'!$A$4:$AO$4,0)+62),0)</f>
        <v>0</v>
      </c>
      <c r="AE47" s="139">
        <f>VLOOKUP($E47,'7. PGE_Efficacité'!$A$6:$CY$266,(MATCH('4.5 ACE MAX WOL '!AE$4,'7. PGE_Efficacité'!$A$4:$AO$4,0)+62),0)</f>
        <v>0</v>
      </c>
      <c r="AF47" s="139">
        <f>VLOOKUP($E47,'7. PGE_Efficacité'!$A$6:$CY$266,(MATCH('4.5 ACE MAX WOL '!AF$4,'7. PGE_Efficacité'!$A$4:$AO$4,0)+62),0)</f>
        <v>0</v>
      </c>
      <c r="AG47" s="139">
        <f>VLOOKUP($E47,'7. PGE_Efficacité'!$A$6:$CY$266,(MATCH('4.5 ACE MAX WOL '!AG$4,'7. PGE_Efficacité'!$A$4:$AO$4,0)+62),0)</f>
        <v>0</v>
      </c>
      <c r="AH47" s="139">
        <f>VLOOKUP($E47,'7. PGE_Efficacité'!$A$6:$CY$266,(MATCH('4.5 ACE MAX WOL '!AH$4,'7. PGE_Efficacité'!$A$4:$AO$4,0)+62),0)</f>
        <v>0</v>
      </c>
      <c r="AI47" s="139">
        <f>VLOOKUP($E47,'7. PGE_Efficacité'!$A$6:$CY$266,(MATCH('4.5 ACE MAX WOL '!AI$4,'7. PGE_Efficacité'!$A$4:$AO$4,0)+62),0)</f>
        <v>0</v>
      </c>
      <c r="AJ47" s="139">
        <f>VLOOKUP($E47,'7. PGE_Efficacité'!$A$6:$CY$266,(MATCH('4.5 ACE MAX WOL '!AJ$4,'7. PGE_Efficacité'!$A$4:$AO$4,0)+62),0)</f>
        <v>0</v>
      </c>
      <c r="AK47" s="139">
        <f>VLOOKUP($E47,'7. PGE_Efficacité'!$A$6:$CY$266,(MATCH('4.5 ACE MAX WOL '!AK$4,'7. PGE_Efficacité'!$A$4:$AO$4,0)+62),0)</f>
        <v>0</v>
      </c>
      <c r="AL47" s="139">
        <f>VLOOKUP($E47,'7. PGE_Efficacité'!$A$6:$CY$266,(MATCH('4.5 ACE MAX WOL '!AL$4,'7. PGE_Efficacité'!$A$4:$AO$4,0)+62),0)</f>
        <v>0</v>
      </c>
      <c r="AM47" s="139">
        <f>VLOOKUP($E47,'7. PGE_Efficacité'!$A$6:$CY$266,(MATCH('4.5 ACE MAX WOL '!AM$4,'7. PGE_Efficacité'!$A$4:$AO$4,0)+62),0)</f>
        <v>0</v>
      </c>
      <c r="AN47" s="139">
        <f>VLOOKUP($E47,'7. PGE_Efficacité'!$A$6:$CY$266,(MATCH('4.5 ACE MAX WOL '!AN$4,'7. PGE_Efficacité'!$A$4:$AO$4,0)+62),0)</f>
        <v>0</v>
      </c>
    </row>
    <row r="48" spans="1:40" hidden="1" outlineLevel="2" x14ac:dyDescent="0.25">
      <c r="A48" s="48" t="s">
        <v>1524</v>
      </c>
      <c r="B48" s="49">
        <v>5</v>
      </c>
      <c r="C48" s="48" t="s">
        <v>410</v>
      </c>
      <c r="D48" s="199" t="s">
        <v>4</v>
      </c>
      <c r="E48" s="200" t="s">
        <v>816</v>
      </c>
      <c r="F48" s="200" t="s">
        <v>1447</v>
      </c>
      <c r="G48" s="201" t="s">
        <v>1521</v>
      </c>
      <c r="H48" s="200" t="s">
        <v>1290</v>
      </c>
      <c r="I48" s="202"/>
      <c r="J48" s="139">
        <f>VLOOKUP($E48,'7. PGE_Efficacité'!$A$6:$CY$266,(MATCH('4.5 ACE MAX WOL '!J$4,'7. PGE_Efficacité'!$A$4:$AO$4,0)+62),0)</f>
        <v>0</v>
      </c>
      <c r="K48" s="139">
        <f>VLOOKUP($E48,'7. PGE_Efficacité'!$A$6:$CY$266,(MATCH('4.5 ACE MAX WOL '!K$4,'7. PGE_Efficacité'!$A$4:$AO$4,0)+62),0)</f>
        <v>0</v>
      </c>
      <c r="L48" s="139">
        <f>VLOOKUP($E48,'7. PGE_Efficacité'!$A$6:$CY$266,(MATCH('4.5 ACE MAX WOL '!L$4,'7. PGE_Efficacité'!$A$4:$AO$4,0)+62),0)</f>
        <v>0</v>
      </c>
      <c r="M48" s="139">
        <f>VLOOKUP($E48,'7. PGE_Efficacité'!$A$6:$CY$266,(MATCH('4.5 ACE MAX WOL '!M$4,'7. PGE_Efficacité'!$A$4:$AO$4,0)+62),0)</f>
        <v>0</v>
      </c>
      <c r="N48" s="139">
        <f>VLOOKUP($E48,'7. PGE_Efficacité'!$A$6:$CY$266,(MATCH('4.5 ACE MAX WOL '!N$4,'7. PGE_Efficacité'!$A$4:$AO$4,0)+62),0)</f>
        <v>0</v>
      </c>
      <c r="O48" s="139">
        <f>VLOOKUP($E48,'7. PGE_Efficacité'!$A$6:$CY$266,78,0)</f>
        <v>0</v>
      </c>
      <c r="P48" s="139">
        <f>VLOOKUP($E48,'7. PGE_Efficacité'!$A$6:$CY$266,(MATCH('4.5 ACE MAX WOL '!P$4,'7. PGE_Efficacité'!$A$4:$AO$4,0)+62),0)</f>
        <v>0</v>
      </c>
      <c r="Q48" s="139">
        <f>VLOOKUP($E48,'7. PGE_Efficacité'!$A$6:$CY$266,(MATCH('4.5 ACE MAX WOL '!Q$4,'7. PGE_Efficacité'!$A$4:$AO$4,0)+62),0)</f>
        <v>0</v>
      </c>
      <c r="R48" s="139">
        <f>VLOOKUP($E48,'7. PGE_Efficacité'!$A$6:$CY$266,(MATCH('4.5 ACE MAX WOL '!R$4,'7. PGE_Efficacité'!$A$4:$AO$4,0)+62),0)</f>
        <v>0</v>
      </c>
      <c r="S48" s="139">
        <f>VLOOKUP($E48,'7. PGE_Efficacité'!$A$6:$CY$266,(MATCH('4.5 ACE MAX WOL '!S$4,'7. PGE_Efficacité'!$A$4:$AO$4,0)+62),0)</f>
        <v>0</v>
      </c>
      <c r="T48" s="139">
        <f>VLOOKUP($E48,'7. PGE_Efficacité'!$A$6:$CY$266,(MATCH('4.5 ACE MAX WOL '!T$4,'7. PGE_Efficacité'!$A$4:$AO$4,0)+62),0)</f>
        <v>0</v>
      </c>
      <c r="U48" s="139">
        <f>VLOOKUP($E48,'7. PGE_Efficacité'!$A$6:$CY$266,(MATCH('4.5 ACE MAX WOL '!U$4,'7. PGE_Efficacité'!$A$4:$AO$4,0)+62),0)</f>
        <v>0</v>
      </c>
      <c r="V48" s="139">
        <f>VLOOKUP($E48,'7. PGE_Efficacité'!$A$6:$CY$266,(MATCH('4.5 ACE MAX WOL '!V$4,'7. PGE_Efficacité'!$A$4:$AO$4,0)+62),0)</f>
        <v>0</v>
      </c>
      <c r="W48" s="139">
        <f>VLOOKUP($E48,'7. PGE_Efficacité'!$A$6:$CY$266,(MATCH('4.5 ACE MAX WOL '!W$4,'7. PGE_Efficacité'!$A$4:$AO$4,0)+62),0)</f>
        <v>0</v>
      </c>
      <c r="X48" s="139">
        <f>VLOOKUP($E48,'7. PGE_Efficacité'!$A$6:$CY$266,(MATCH('4.5 ACE MAX WOL '!X$4,'7. PGE_Efficacité'!$A$4:$AO$4,0)+62),0)</f>
        <v>0</v>
      </c>
      <c r="Y48" s="139">
        <f>VLOOKUP($E48,'7. PGE_Efficacité'!$A$6:$CY$266,(MATCH('4.5 ACE MAX WOL '!Y$4,'7. PGE_Efficacité'!$A$4:$AO$4,0)+62),0)</f>
        <v>0</v>
      </c>
      <c r="Z48" s="139">
        <f>VLOOKUP($E48,'7. PGE_Efficacité'!$A$6:$CY$266,(MATCH('4.5 ACE MAX WOL '!Z$4,'7. PGE_Efficacité'!$A$4:$AO$4,0)+62),0)</f>
        <v>0</v>
      </c>
      <c r="AA48" s="139">
        <f>VLOOKUP($E48,'7. PGE_Efficacité'!$A$6:$CY$266,(MATCH('4.5 ACE MAX WOL '!AA$4,'7. PGE_Efficacité'!$A$4:$AO$4,0)+62),0)</f>
        <v>0</v>
      </c>
      <c r="AB48" s="139">
        <f>VLOOKUP($E48,'7. PGE_Efficacité'!$A$6:$CY$266,(MATCH('4.5 ACE MAX WOL '!AB$4,'7. PGE_Efficacité'!$A$4:$AO$4,0)+62),0)</f>
        <v>0</v>
      </c>
      <c r="AC48" s="139">
        <f>VLOOKUP($E48,'7. PGE_Efficacité'!$A$6:$CY$266,(MATCH('4.5 ACE MAX WOL '!AC$4,'7. PGE_Efficacité'!$A$4:$AO$4,0)+62),0)</f>
        <v>0</v>
      </c>
      <c r="AD48" s="139">
        <f>VLOOKUP($E48,'7. PGE_Efficacité'!$A$6:$CY$266,(MATCH('4.5 ACE MAX WOL '!AD$4,'7. PGE_Efficacité'!$A$4:$AO$4,0)+62),0)</f>
        <v>0</v>
      </c>
      <c r="AE48" s="139">
        <f>VLOOKUP($E48,'7. PGE_Efficacité'!$A$6:$CY$266,(MATCH('4.5 ACE MAX WOL '!AE$4,'7. PGE_Efficacité'!$A$4:$AO$4,0)+62),0)</f>
        <v>0</v>
      </c>
      <c r="AF48" s="139">
        <f>VLOOKUP($E48,'7. PGE_Efficacité'!$A$6:$CY$266,(MATCH('4.5 ACE MAX WOL '!AF$4,'7. PGE_Efficacité'!$A$4:$AO$4,0)+62),0)</f>
        <v>0</v>
      </c>
      <c r="AG48" s="139">
        <f>VLOOKUP($E48,'7. PGE_Efficacité'!$A$6:$CY$266,(MATCH('4.5 ACE MAX WOL '!AG$4,'7. PGE_Efficacité'!$A$4:$AO$4,0)+62),0)</f>
        <v>0</v>
      </c>
      <c r="AH48" s="139">
        <f>VLOOKUP($E48,'7. PGE_Efficacité'!$A$6:$CY$266,(MATCH('4.5 ACE MAX WOL '!AH$4,'7. PGE_Efficacité'!$A$4:$AO$4,0)+62),0)</f>
        <v>0</v>
      </c>
      <c r="AI48" s="139">
        <f>VLOOKUP($E48,'7. PGE_Efficacité'!$A$6:$CY$266,(MATCH('4.5 ACE MAX WOL '!AI$4,'7. PGE_Efficacité'!$A$4:$AO$4,0)+62),0)</f>
        <v>0</v>
      </c>
      <c r="AJ48" s="139">
        <f>VLOOKUP($E48,'7. PGE_Efficacité'!$A$6:$CY$266,(MATCH('4.5 ACE MAX WOL '!AJ$4,'7. PGE_Efficacité'!$A$4:$AO$4,0)+62),0)</f>
        <v>0</v>
      </c>
      <c r="AK48" s="139">
        <f>VLOOKUP($E48,'7. PGE_Efficacité'!$A$6:$CY$266,(MATCH('4.5 ACE MAX WOL '!AK$4,'7. PGE_Efficacité'!$A$4:$AO$4,0)+62),0)</f>
        <v>0</v>
      </c>
      <c r="AL48" s="139">
        <f>VLOOKUP($E48,'7. PGE_Efficacité'!$A$6:$CY$266,(MATCH('4.5 ACE MAX WOL '!AL$4,'7. PGE_Efficacité'!$A$4:$AO$4,0)+62),0)</f>
        <v>0</v>
      </c>
      <c r="AM48" s="139">
        <f>VLOOKUP($E48,'7. PGE_Efficacité'!$A$6:$CY$266,(MATCH('4.5 ACE MAX WOL '!AM$4,'7. PGE_Efficacité'!$A$4:$AO$4,0)+62),0)</f>
        <v>0</v>
      </c>
      <c r="AN48" s="139">
        <f>VLOOKUP($E48,'7. PGE_Efficacité'!$A$6:$CY$266,(MATCH('4.5 ACE MAX WOL '!AN$4,'7. PGE_Efficacité'!$A$4:$AO$4,0)+62),0)</f>
        <v>0</v>
      </c>
    </row>
    <row r="49" spans="1:40" hidden="1" outlineLevel="2" x14ac:dyDescent="0.25">
      <c r="A49" s="48" t="s">
        <v>1524</v>
      </c>
      <c r="B49" s="49">
        <v>5</v>
      </c>
      <c r="C49" s="48" t="s">
        <v>1528</v>
      </c>
      <c r="D49" s="199" t="s">
        <v>4</v>
      </c>
      <c r="E49" s="200" t="s">
        <v>817</v>
      </c>
      <c r="F49" s="200" t="s">
        <v>1448</v>
      </c>
      <c r="G49" s="201" t="s">
        <v>1521</v>
      </c>
      <c r="H49" s="200" t="s">
        <v>1290</v>
      </c>
      <c r="I49" s="202"/>
      <c r="J49" s="139">
        <f>VLOOKUP($E49,'7. PGE_Efficacité'!$A$6:$CY$266,(MATCH('4.5 ACE MAX WOL '!J$4,'7. PGE_Efficacité'!$A$4:$AO$4,0)+62),0)</f>
        <v>0</v>
      </c>
      <c r="K49" s="139">
        <f>VLOOKUP($E49,'7. PGE_Efficacité'!$A$6:$CY$266,(MATCH('4.5 ACE MAX WOL '!K$4,'7. PGE_Efficacité'!$A$4:$AO$4,0)+62),0)</f>
        <v>0</v>
      </c>
      <c r="L49" s="139">
        <f>VLOOKUP($E49,'7. PGE_Efficacité'!$A$6:$CY$266,(MATCH('4.5 ACE MAX WOL '!L$4,'7. PGE_Efficacité'!$A$4:$AO$4,0)+62),0)</f>
        <v>0</v>
      </c>
      <c r="M49" s="139">
        <f>VLOOKUP($E49,'7. PGE_Efficacité'!$A$6:$CY$266,(MATCH('4.5 ACE MAX WOL '!M$4,'7. PGE_Efficacité'!$A$4:$AO$4,0)+62),0)</f>
        <v>0</v>
      </c>
      <c r="N49" s="139">
        <f>VLOOKUP($E49,'7. PGE_Efficacité'!$A$6:$CY$266,(MATCH('4.5 ACE MAX WOL '!N$4,'7. PGE_Efficacité'!$A$4:$AO$4,0)+62),0)</f>
        <v>0</v>
      </c>
      <c r="O49" s="139">
        <f>VLOOKUP($E49,'7. PGE_Efficacité'!$A$6:$CY$266,78,0)</f>
        <v>0</v>
      </c>
      <c r="P49" s="139">
        <f>VLOOKUP($E49,'7. PGE_Efficacité'!$A$6:$CY$266,(MATCH('4.5 ACE MAX WOL '!P$4,'7. PGE_Efficacité'!$A$4:$AO$4,0)+62),0)</f>
        <v>0</v>
      </c>
      <c r="Q49" s="139">
        <f>VLOOKUP($E49,'7. PGE_Efficacité'!$A$6:$CY$266,(MATCH('4.5 ACE MAX WOL '!Q$4,'7. PGE_Efficacité'!$A$4:$AO$4,0)+62),0)</f>
        <v>0</v>
      </c>
      <c r="R49" s="139">
        <f>VLOOKUP($E49,'7. PGE_Efficacité'!$A$6:$CY$266,(MATCH('4.5 ACE MAX WOL '!R$4,'7. PGE_Efficacité'!$A$4:$AO$4,0)+62),0)</f>
        <v>0</v>
      </c>
      <c r="S49" s="139">
        <f>VLOOKUP($E49,'7. PGE_Efficacité'!$A$6:$CY$266,(MATCH('4.5 ACE MAX WOL '!S$4,'7. PGE_Efficacité'!$A$4:$AO$4,0)+62),0)</f>
        <v>0</v>
      </c>
      <c r="T49" s="139">
        <f>VLOOKUP($E49,'7. PGE_Efficacité'!$A$6:$CY$266,(MATCH('4.5 ACE MAX WOL '!T$4,'7. PGE_Efficacité'!$A$4:$AO$4,0)+62),0)</f>
        <v>0</v>
      </c>
      <c r="U49" s="139">
        <f>VLOOKUP($E49,'7. PGE_Efficacité'!$A$6:$CY$266,(MATCH('4.5 ACE MAX WOL '!U$4,'7. PGE_Efficacité'!$A$4:$AO$4,0)+62),0)</f>
        <v>0</v>
      </c>
      <c r="V49" s="139">
        <f>VLOOKUP($E49,'7. PGE_Efficacité'!$A$6:$CY$266,(MATCH('4.5 ACE MAX WOL '!V$4,'7. PGE_Efficacité'!$A$4:$AO$4,0)+62),0)</f>
        <v>0</v>
      </c>
      <c r="W49" s="139">
        <f>VLOOKUP($E49,'7. PGE_Efficacité'!$A$6:$CY$266,(MATCH('4.5 ACE MAX WOL '!W$4,'7. PGE_Efficacité'!$A$4:$AO$4,0)+62),0)</f>
        <v>0</v>
      </c>
      <c r="X49" s="139">
        <f>VLOOKUP($E49,'7. PGE_Efficacité'!$A$6:$CY$266,(MATCH('4.5 ACE MAX WOL '!X$4,'7. PGE_Efficacité'!$A$4:$AO$4,0)+62),0)</f>
        <v>0</v>
      </c>
      <c r="Y49" s="139">
        <f>VLOOKUP($E49,'7. PGE_Efficacité'!$A$6:$CY$266,(MATCH('4.5 ACE MAX WOL '!Y$4,'7. PGE_Efficacité'!$A$4:$AO$4,0)+62),0)</f>
        <v>0</v>
      </c>
      <c r="Z49" s="139">
        <f>VLOOKUP($E49,'7. PGE_Efficacité'!$A$6:$CY$266,(MATCH('4.5 ACE MAX WOL '!Z$4,'7. PGE_Efficacité'!$A$4:$AO$4,0)+62),0)</f>
        <v>0</v>
      </c>
      <c r="AA49" s="139">
        <f>VLOOKUP($E49,'7. PGE_Efficacité'!$A$6:$CY$266,(MATCH('4.5 ACE MAX WOL '!AA$4,'7. PGE_Efficacité'!$A$4:$AO$4,0)+62),0)</f>
        <v>0</v>
      </c>
      <c r="AB49" s="139">
        <f>VLOOKUP($E49,'7. PGE_Efficacité'!$A$6:$CY$266,(MATCH('4.5 ACE MAX WOL '!AB$4,'7. PGE_Efficacité'!$A$4:$AO$4,0)+62),0)</f>
        <v>0</v>
      </c>
      <c r="AC49" s="139">
        <f>VLOOKUP($E49,'7. PGE_Efficacité'!$A$6:$CY$266,(MATCH('4.5 ACE MAX WOL '!AC$4,'7. PGE_Efficacité'!$A$4:$AO$4,0)+62),0)</f>
        <v>0</v>
      </c>
      <c r="AD49" s="139">
        <f>VLOOKUP($E49,'7. PGE_Efficacité'!$A$6:$CY$266,(MATCH('4.5 ACE MAX WOL '!AD$4,'7. PGE_Efficacité'!$A$4:$AO$4,0)+62),0)</f>
        <v>0</v>
      </c>
      <c r="AE49" s="139">
        <f>VLOOKUP($E49,'7. PGE_Efficacité'!$A$6:$CY$266,(MATCH('4.5 ACE MAX WOL '!AE$4,'7. PGE_Efficacité'!$A$4:$AO$4,0)+62),0)</f>
        <v>0</v>
      </c>
      <c r="AF49" s="139">
        <f>VLOOKUP($E49,'7. PGE_Efficacité'!$A$6:$CY$266,(MATCH('4.5 ACE MAX WOL '!AF$4,'7. PGE_Efficacité'!$A$4:$AO$4,0)+62),0)</f>
        <v>0</v>
      </c>
      <c r="AG49" s="139">
        <f>VLOOKUP($E49,'7. PGE_Efficacité'!$A$6:$CY$266,(MATCH('4.5 ACE MAX WOL '!AG$4,'7. PGE_Efficacité'!$A$4:$AO$4,0)+62),0)</f>
        <v>0</v>
      </c>
      <c r="AH49" s="139">
        <f>VLOOKUP($E49,'7. PGE_Efficacité'!$A$6:$CY$266,(MATCH('4.5 ACE MAX WOL '!AH$4,'7. PGE_Efficacité'!$A$4:$AO$4,0)+62),0)</f>
        <v>0</v>
      </c>
      <c r="AI49" s="139">
        <f>VLOOKUP($E49,'7. PGE_Efficacité'!$A$6:$CY$266,(MATCH('4.5 ACE MAX WOL '!AI$4,'7. PGE_Efficacité'!$A$4:$AO$4,0)+62),0)</f>
        <v>0</v>
      </c>
      <c r="AJ49" s="139">
        <f>VLOOKUP($E49,'7. PGE_Efficacité'!$A$6:$CY$266,(MATCH('4.5 ACE MAX WOL '!AJ$4,'7. PGE_Efficacité'!$A$4:$AO$4,0)+62),0)</f>
        <v>0</v>
      </c>
      <c r="AK49" s="139">
        <f>VLOOKUP($E49,'7. PGE_Efficacité'!$A$6:$CY$266,(MATCH('4.5 ACE MAX WOL '!AK$4,'7. PGE_Efficacité'!$A$4:$AO$4,0)+62),0)</f>
        <v>0</v>
      </c>
      <c r="AL49" s="139">
        <f>VLOOKUP($E49,'7. PGE_Efficacité'!$A$6:$CY$266,(MATCH('4.5 ACE MAX WOL '!AL$4,'7. PGE_Efficacité'!$A$4:$AO$4,0)+62),0)</f>
        <v>0</v>
      </c>
      <c r="AM49" s="139">
        <f>VLOOKUP($E49,'7. PGE_Efficacité'!$A$6:$CY$266,(MATCH('4.5 ACE MAX WOL '!AM$4,'7. PGE_Efficacité'!$A$4:$AO$4,0)+62),0)</f>
        <v>0</v>
      </c>
      <c r="AN49" s="139">
        <f>VLOOKUP($E49,'7. PGE_Efficacité'!$A$6:$CY$266,(MATCH('4.5 ACE MAX WOL '!AN$4,'7. PGE_Efficacité'!$A$4:$AO$4,0)+62),0)</f>
        <v>0</v>
      </c>
    </row>
    <row r="50" spans="1:40" hidden="1" outlineLevel="2" x14ac:dyDescent="0.25">
      <c r="A50" s="48" t="s">
        <v>1524</v>
      </c>
      <c r="B50" s="49">
        <v>5</v>
      </c>
      <c r="C50" s="48" t="s">
        <v>1529</v>
      </c>
      <c r="D50" s="199" t="s">
        <v>4</v>
      </c>
      <c r="E50" s="200" t="s">
        <v>818</v>
      </c>
      <c r="F50" s="200" t="s">
        <v>1449</v>
      </c>
      <c r="G50" s="201" t="s">
        <v>1521</v>
      </c>
      <c r="H50" s="200" t="s">
        <v>1290</v>
      </c>
      <c r="I50" s="202"/>
      <c r="J50" s="139">
        <f>VLOOKUP($E50,'7. PGE_Efficacité'!$A$6:$CY$266,(MATCH('4.5 ACE MAX WOL '!J$4,'7. PGE_Efficacité'!$A$4:$AO$4,0)+62),0)</f>
        <v>0</v>
      </c>
      <c r="K50" s="139">
        <f>VLOOKUP($E50,'7. PGE_Efficacité'!$A$6:$CY$266,(MATCH('4.5 ACE MAX WOL '!K$4,'7. PGE_Efficacité'!$A$4:$AO$4,0)+62),0)</f>
        <v>0</v>
      </c>
      <c r="L50" s="139">
        <f>VLOOKUP($E50,'7. PGE_Efficacité'!$A$6:$CY$266,(MATCH('4.5 ACE MAX WOL '!L$4,'7. PGE_Efficacité'!$A$4:$AO$4,0)+62),0)</f>
        <v>0</v>
      </c>
      <c r="M50" s="139">
        <f>VLOOKUP($E50,'7. PGE_Efficacité'!$A$6:$CY$266,(MATCH('4.5 ACE MAX WOL '!M$4,'7. PGE_Efficacité'!$A$4:$AO$4,0)+62),0)</f>
        <v>0</v>
      </c>
      <c r="N50" s="139">
        <f>VLOOKUP($E50,'7. PGE_Efficacité'!$A$6:$CY$266,(MATCH('4.5 ACE MAX WOL '!N$4,'7. PGE_Efficacité'!$A$4:$AO$4,0)+62),0)</f>
        <v>0</v>
      </c>
      <c r="O50" s="139">
        <f>VLOOKUP($E50,'7. PGE_Efficacité'!$A$6:$CY$266,78,0)</f>
        <v>0</v>
      </c>
      <c r="P50" s="139">
        <f>VLOOKUP($E50,'7. PGE_Efficacité'!$A$6:$CY$266,(MATCH('4.5 ACE MAX WOL '!P$4,'7. PGE_Efficacité'!$A$4:$AO$4,0)+62),0)</f>
        <v>0</v>
      </c>
      <c r="Q50" s="139">
        <f>VLOOKUP($E50,'7. PGE_Efficacité'!$A$6:$CY$266,(MATCH('4.5 ACE MAX WOL '!Q$4,'7. PGE_Efficacité'!$A$4:$AO$4,0)+62),0)</f>
        <v>0</v>
      </c>
      <c r="R50" s="139">
        <f>VLOOKUP($E50,'7. PGE_Efficacité'!$A$6:$CY$266,(MATCH('4.5 ACE MAX WOL '!R$4,'7. PGE_Efficacité'!$A$4:$AO$4,0)+62),0)</f>
        <v>0</v>
      </c>
      <c r="S50" s="139">
        <f>VLOOKUP($E50,'7. PGE_Efficacité'!$A$6:$CY$266,(MATCH('4.5 ACE MAX WOL '!S$4,'7. PGE_Efficacité'!$A$4:$AO$4,0)+62),0)</f>
        <v>0</v>
      </c>
      <c r="T50" s="139">
        <f>VLOOKUP($E50,'7. PGE_Efficacité'!$A$6:$CY$266,(MATCH('4.5 ACE MAX WOL '!T$4,'7. PGE_Efficacité'!$A$4:$AO$4,0)+62),0)</f>
        <v>0</v>
      </c>
      <c r="U50" s="139">
        <f>VLOOKUP($E50,'7. PGE_Efficacité'!$A$6:$CY$266,(MATCH('4.5 ACE MAX WOL '!U$4,'7. PGE_Efficacité'!$A$4:$AO$4,0)+62),0)</f>
        <v>0</v>
      </c>
      <c r="V50" s="139">
        <f>VLOOKUP($E50,'7. PGE_Efficacité'!$A$6:$CY$266,(MATCH('4.5 ACE MAX WOL '!V$4,'7. PGE_Efficacité'!$A$4:$AO$4,0)+62),0)</f>
        <v>0</v>
      </c>
      <c r="W50" s="139">
        <f>VLOOKUP($E50,'7. PGE_Efficacité'!$A$6:$CY$266,(MATCH('4.5 ACE MAX WOL '!W$4,'7. PGE_Efficacité'!$A$4:$AO$4,0)+62),0)</f>
        <v>0</v>
      </c>
      <c r="X50" s="139">
        <f>VLOOKUP($E50,'7. PGE_Efficacité'!$A$6:$CY$266,(MATCH('4.5 ACE MAX WOL '!X$4,'7. PGE_Efficacité'!$A$4:$AO$4,0)+62),0)</f>
        <v>0</v>
      </c>
      <c r="Y50" s="139">
        <f>VLOOKUP($E50,'7. PGE_Efficacité'!$A$6:$CY$266,(MATCH('4.5 ACE MAX WOL '!Y$4,'7. PGE_Efficacité'!$A$4:$AO$4,0)+62),0)</f>
        <v>0</v>
      </c>
      <c r="Z50" s="139">
        <f>VLOOKUP($E50,'7. PGE_Efficacité'!$A$6:$CY$266,(MATCH('4.5 ACE MAX WOL '!Z$4,'7. PGE_Efficacité'!$A$4:$AO$4,0)+62),0)</f>
        <v>0</v>
      </c>
      <c r="AA50" s="139">
        <f>VLOOKUP($E50,'7. PGE_Efficacité'!$A$6:$CY$266,(MATCH('4.5 ACE MAX WOL '!AA$4,'7. PGE_Efficacité'!$A$4:$AO$4,0)+62),0)</f>
        <v>0</v>
      </c>
      <c r="AB50" s="139">
        <f>VLOOKUP($E50,'7. PGE_Efficacité'!$A$6:$CY$266,(MATCH('4.5 ACE MAX WOL '!AB$4,'7. PGE_Efficacité'!$A$4:$AO$4,0)+62),0)</f>
        <v>0</v>
      </c>
      <c r="AC50" s="139">
        <f>VLOOKUP($E50,'7. PGE_Efficacité'!$A$6:$CY$266,(MATCH('4.5 ACE MAX WOL '!AC$4,'7. PGE_Efficacité'!$A$4:$AO$4,0)+62),0)</f>
        <v>0</v>
      </c>
      <c r="AD50" s="139">
        <f>VLOOKUP($E50,'7. PGE_Efficacité'!$A$6:$CY$266,(MATCH('4.5 ACE MAX WOL '!AD$4,'7. PGE_Efficacité'!$A$4:$AO$4,0)+62),0)</f>
        <v>0</v>
      </c>
      <c r="AE50" s="139">
        <f>VLOOKUP($E50,'7. PGE_Efficacité'!$A$6:$CY$266,(MATCH('4.5 ACE MAX WOL '!AE$4,'7. PGE_Efficacité'!$A$4:$AO$4,0)+62),0)</f>
        <v>0</v>
      </c>
      <c r="AF50" s="139">
        <f>VLOOKUP($E50,'7. PGE_Efficacité'!$A$6:$CY$266,(MATCH('4.5 ACE MAX WOL '!AF$4,'7. PGE_Efficacité'!$A$4:$AO$4,0)+62),0)</f>
        <v>0</v>
      </c>
      <c r="AG50" s="139">
        <f>VLOOKUP($E50,'7. PGE_Efficacité'!$A$6:$CY$266,(MATCH('4.5 ACE MAX WOL '!AG$4,'7. PGE_Efficacité'!$A$4:$AO$4,0)+62),0)</f>
        <v>0</v>
      </c>
      <c r="AH50" s="139">
        <f>VLOOKUP($E50,'7. PGE_Efficacité'!$A$6:$CY$266,(MATCH('4.5 ACE MAX WOL '!AH$4,'7. PGE_Efficacité'!$A$4:$AO$4,0)+62),0)</f>
        <v>0</v>
      </c>
      <c r="AI50" s="139">
        <f>VLOOKUP($E50,'7. PGE_Efficacité'!$A$6:$CY$266,(MATCH('4.5 ACE MAX WOL '!AI$4,'7. PGE_Efficacité'!$A$4:$AO$4,0)+62),0)</f>
        <v>0</v>
      </c>
      <c r="AJ50" s="139">
        <f>VLOOKUP($E50,'7. PGE_Efficacité'!$A$6:$CY$266,(MATCH('4.5 ACE MAX WOL '!AJ$4,'7. PGE_Efficacité'!$A$4:$AO$4,0)+62),0)</f>
        <v>0</v>
      </c>
      <c r="AK50" s="139">
        <f>VLOOKUP($E50,'7. PGE_Efficacité'!$A$6:$CY$266,(MATCH('4.5 ACE MAX WOL '!AK$4,'7. PGE_Efficacité'!$A$4:$AO$4,0)+62),0)</f>
        <v>0</v>
      </c>
      <c r="AL50" s="139">
        <f>VLOOKUP($E50,'7. PGE_Efficacité'!$A$6:$CY$266,(MATCH('4.5 ACE MAX WOL '!AL$4,'7. PGE_Efficacité'!$A$4:$AO$4,0)+62),0)</f>
        <v>0</v>
      </c>
      <c r="AM50" s="139">
        <f>VLOOKUP($E50,'7. PGE_Efficacité'!$A$6:$CY$266,(MATCH('4.5 ACE MAX WOL '!AM$4,'7. PGE_Efficacité'!$A$4:$AO$4,0)+62),0)</f>
        <v>0</v>
      </c>
      <c r="AN50" s="139">
        <f>VLOOKUP($E50,'7. PGE_Efficacité'!$A$6:$CY$266,(MATCH('4.5 ACE MAX WOL '!AN$4,'7. PGE_Efficacité'!$A$4:$AO$4,0)+62),0)</f>
        <v>0</v>
      </c>
    </row>
    <row r="51" spans="1:40" hidden="1" outlineLevel="2" x14ac:dyDescent="0.25">
      <c r="A51" s="48" t="s">
        <v>1524</v>
      </c>
      <c r="B51" s="49">
        <v>5</v>
      </c>
      <c r="C51" s="48" t="s">
        <v>1530</v>
      </c>
      <c r="D51" s="199" t="s">
        <v>4</v>
      </c>
      <c r="E51" s="200" t="s">
        <v>819</v>
      </c>
      <c r="F51" s="200" t="s">
        <v>1450</v>
      </c>
      <c r="G51" s="201" t="s">
        <v>1521</v>
      </c>
      <c r="H51" s="200" t="s">
        <v>1290</v>
      </c>
      <c r="I51" s="202"/>
      <c r="J51" s="139">
        <f>VLOOKUP($E51,'7. PGE_Efficacité'!$A$6:$CY$266,(MATCH('4.5 ACE MAX WOL '!J$4,'7. PGE_Efficacité'!$A$4:$AO$4,0)+62),0)</f>
        <v>0</v>
      </c>
      <c r="K51" s="139">
        <f>VLOOKUP($E51,'7. PGE_Efficacité'!$A$6:$CY$266,(MATCH('4.5 ACE MAX WOL '!K$4,'7. PGE_Efficacité'!$A$4:$AO$4,0)+62),0)</f>
        <v>0</v>
      </c>
      <c r="L51" s="139">
        <f>VLOOKUP($E51,'7. PGE_Efficacité'!$A$6:$CY$266,(MATCH('4.5 ACE MAX WOL '!L$4,'7. PGE_Efficacité'!$A$4:$AO$4,0)+62),0)</f>
        <v>0</v>
      </c>
      <c r="M51" s="139">
        <f>VLOOKUP($E51,'7. PGE_Efficacité'!$A$6:$CY$266,(MATCH('4.5 ACE MAX WOL '!M$4,'7. PGE_Efficacité'!$A$4:$AO$4,0)+62),0)</f>
        <v>0</v>
      </c>
      <c r="N51" s="139">
        <f>VLOOKUP($E51,'7. PGE_Efficacité'!$A$6:$CY$266,(MATCH('4.5 ACE MAX WOL '!N$4,'7. PGE_Efficacité'!$A$4:$AO$4,0)+62),0)</f>
        <v>0</v>
      </c>
      <c r="O51" s="139">
        <f>VLOOKUP($E51,'7. PGE_Efficacité'!$A$6:$CY$266,78,0)</f>
        <v>0</v>
      </c>
      <c r="P51" s="139">
        <f>VLOOKUP($E51,'7. PGE_Efficacité'!$A$6:$CY$266,(MATCH('4.5 ACE MAX WOL '!P$4,'7. PGE_Efficacité'!$A$4:$AO$4,0)+62),0)</f>
        <v>0</v>
      </c>
      <c r="Q51" s="139">
        <f>VLOOKUP($E51,'7. PGE_Efficacité'!$A$6:$CY$266,(MATCH('4.5 ACE MAX WOL '!Q$4,'7. PGE_Efficacité'!$A$4:$AO$4,0)+62),0)</f>
        <v>0</v>
      </c>
      <c r="R51" s="139">
        <f>VLOOKUP($E51,'7. PGE_Efficacité'!$A$6:$CY$266,(MATCH('4.5 ACE MAX WOL '!R$4,'7. PGE_Efficacité'!$A$4:$AO$4,0)+62),0)</f>
        <v>0</v>
      </c>
      <c r="S51" s="139">
        <f>VLOOKUP($E51,'7. PGE_Efficacité'!$A$6:$CY$266,(MATCH('4.5 ACE MAX WOL '!S$4,'7. PGE_Efficacité'!$A$4:$AO$4,0)+62),0)</f>
        <v>0</v>
      </c>
      <c r="T51" s="139">
        <f>VLOOKUP($E51,'7. PGE_Efficacité'!$A$6:$CY$266,(MATCH('4.5 ACE MAX WOL '!T$4,'7. PGE_Efficacité'!$A$4:$AO$4,0)+62),0)</f>
        <v>0</v>
      </c>
      <c r="U51" s="139">
        <f>VLOOKUP($E51,'7. PGE_Efficacité'!$A$6:$CY$266,(MATCH('4.5 ACE MAX WOL '!U$4,'7. PGE_Efficacité'!$A$4:$AO$4,0)+62),0)</f>
        <v>0</v>
      </c>
      <c r="V51" s="139">
        <f>VLOOKUP($E51,'7. PGE_Efficacité'!$A$6:$CY$266,(MATCH('4.5 ACE MAX WOL '!V$4,'7. PGE_Efficacité'!$A$4:$AO$4,0)+62),0)</f>
        <v>0</v>
      </c>
      <c r="W51" s="139">
        <f>VLOOKUP($E51,'7. PGE_Efficacité'!$A$6:$CY$266,(MATCH('4.5 ACE MAX WOL '!W$4,'7. PGE_Efficacité'!$A$4:$AO$4,0)+62),0)</f>
        <v>0</v>
      </c>
      <c r="X51" s="139">
        <f>VLOOKUP($E51,'7. PGE_Efficacité'!$A$6:$CY$266,(MATCH('4.5 ACE MAX WOL '!X$4,'7. PGE_Efficacité'!$A$4:$AO$4,0)+62),0)</f>
        <v>0</v>
      </c>
      <c r="Y51" s="139">
        <f>VLOOKUP($E51,'7. PGE_Efficacité'!$A$6:$CY$266,(MATCH('4.5 ACE MAX WOL '!Y$4,'7. PGE_Efficacité'!$A$4:$AO$4,0)+62),0)</f>
        <v>0</v>
      </c>
      <c r="Z51" s="139">
        <f>VLOOKUP($E51,'7. PGE_Efficacité'!$A$6:$CY$266,(MATCH('4.5 ACE MAX WOL '!Z$4,'7. PGE_Efficacité'!$A$4:$AO$4,0)+62),0)</f>
        <v>0</v>
      </c>
      <c r="AA51" s="139">
        <f>VLOOKUP($E51,'7. PGE_Efficacité'!$A$6:$CY$266,(MATCH('4.5 ACE MAX WOL '!AA$4,'7. PGE_Efficacité'!$A$4:$AO$4,0)+62),0)</f>
        <v>0</v>
      </c>
      <c r="AB51" s="139">
        <f>VLOOKUP($E51,'7. PGE_Efficacité'!$A$6:$CY$266,(MATCH('4.5 ACE MAX WOL '!AB$4,'7. PGE_Efficacité'!$A$4:$AO$4,0)+62),0)</f>
        <v>0</v>
      </c>
      <c r="AC51" s="139">
        <f>VLOOKUP($E51,'7. PGE_Efficacité'!$A$6:$CY$266,(MATCH('4.5 ACE MAX WOL '!AC$4,'7. PGE_Efficacité'!$A$4:$AO$4,0)+62),0)</f>
        <v>0</v>
      </c>
      <c r="AD51" s="139">
        <f>VLOOKUP($E51,'7. PGE_Efficacité'!$A$6:$CY$266,(MATCH('4.5 ACE MAX WOL '!AD$4,'7. PGE_Efficacité'!$A$4:$AO$4,0)+62),0)</f>
        <v>0</v>
      </c>
      <c r="AE51" s="139">
        <f>VLOOKUP($E51,'7. PGE_Efficacité'!$A$6:$CY$266,(MATCH('4.5 ACE MAX WOL '!AE$4,'7. PGE_Efficacité'!$A$4:$AO$4,0)+62),0)</f>
        <v>0</v>
      </c>
      <c r="AF51" s="139">
        <f>VLOOKUP($E51,'7. PGE_Efficacité'!$A$6:$CY$266,(MATCH('4.5 ACE MAX WOL '!AF$4,'7. PGE_Efficacité'!$A$4:$AO$4,0)+62),0)</f>
        <v>0</v>
      </c>
      <c r="AG51" s="139">
        <f>VLOOKUP($E51,'7. PGE_Efficacité'!$A$6:$CY$266,(MATCH('4.5 ACE MAX WOL '!AG$4,'7. PGE_Efficacité'!$A$4:$AO$4,0)+62),0)</f>
        <v>0</v>
      </c>
      <c r="AH51" s="139">
        <f>VLOOKUP($E51,'7. PGE_Efficacité'!$A$6:$CY$266,(MATCH('4.5 ACE MAX WOL '!AH$4,'7. PGE_Efficacité'!$A$4:$AO$4,0)+62),0)</f>
        <v>0</v>
      </c>
      <c r="AI51" s="139">
        <f>VLOOKUP($E51,'7. PGE_Efficacité'!$A$6:$CY$266,(MATCH('4.5 ACE MAX WOL '!AI$4,'7. PGE_Efficacité'!$A$4:$AO$4,0)+62),0)</f>
        <v>0</v>
      </c>
      <c r="AJ51" s="139">
        <f>VLOOKUP($E51,'7. PGE_Efficacité'!$A$6:$CY$266,(MATCH('4.5 ACE MAX WOL '!AJ$4,'7. PGE_Efficacité'!$A$4:$AO$4,0)+62),0)</f>
        <v>0</v>
      </c>
      <c r="AK51" s="139">
        <f>VLOOKUP($E51,'7. PGE_Efficacité'!$A$6:$CY$266,(MATCH('4.5 ACE MAX WOL '!AK$4,'7. PGE_Efficacité'!$A$4:$AO$4,0)+62),0)</f>
        <v>0</v>
      </c>
      <c r="AL51" s="139">
        <f>VLOOKUP($E51,'7. PGE_Efficacité'!$A$6:$CY$266,(MATCH('4.5 ACE MAX WOL '!AL$4,'7. PGE_Efficacité'!$A$4:$AO$4,0)+62),0)</f>
        <v>0</v>
      </c>
      <c r="AM51" s="139">
        <f>VLOOKUP($E51,'7. PGE_Efficacité'!$A$6:$CY$266,(MATCH('4.5 ACE MAX WOL '!AM$4,'7. PGE_Efficacité'!$A$4:$AO$4,0)+62),0)</f>
        <v>0</v>
      </c>
      <c r="AN51" s="139">
        <f>VLOOKUP($E51,'7. PGE_Efficacité'!$A$6:$CY$266,(MATCH('4.5 ACE MAX WOL '!AN$4,'7. PGE_Efficacité'!$A$4:$AO$4,0)+62),0)</f>
        <v>0</v>
      </c>
    </row>
    <row r="52" spans="1:40" hidden="1" outlineLevel="2" x14ac:dyDescent="0.25">
      <c r="A52" s="48" t="s">
        <v>1524</v>
      </c>
      <c r="B52" s="49">
        <v>5</v>
      </c>
      <c r="C52" s="48" t="s">
        <v>1511</v>
      </c>
      <c r="D52" s="199" t="s">
        <v>4</v>
      </c>
      <c r="E52" s="200" t="s">
        <v>812</v>
      </c>
      <c r="F52" s="200" t="s">
        <v>1443</v>
      </c>
      <c r="G52" s="201" t="s">
        <v>1521</v>
      </c>
      <c r="H52" s="200" t="s">
        <v>416</v>
      </c>
      <c r="I52" s="202"/>
      <c r="J52" s="139">
        <f>VLOOKUP($E52,'7. PGE_Efficacité'!$A$6:$CY$266,(MATCH('4.5 ACE MAX WOL '!J$4,'7. PGE_Efficacité'!$A$4:$AO$4,0)+62),0)</f>
        <v>0</v>
      </c>
      <c r="K52" s="139">
        <f>VLOOKUP($E52,'7. PGE_Efficacité'!$A$6:$CY$266,(MATCH('4.5 ACE MAX WOL '!K$4,'7. PGE_Efficacité'!$A$4:$AO$4,0)+62),0)</f>
        <v>0</v>
      </c>
      <c r="L52" s="139">
        <f>VLOOKUP($E52,'7. PGE_Efficacité'!$A$6:$CY$266,(MATCH('4.5 ACE MAX WOL '!L$4,'7. PGE_Efficacité'!$A$4:$AO$4,0)+62),0)</f>
        <v>0</v>
      </c>
      <c r="M52" s="139">
        <f>VLOOKUP($E52,'7. PGE_Efficacité'!$A$6:$CY$266,(MATCH('4.5 ACE MAX WOL '!M$4,'7. PGE_Efficacité'!$A$4:$AO$4,0)+62),0)</f>
        <v>0</v>
      </c>
      <c r="N52" s="139">
        <f>VLOOKUP($E52,'7. PGE_Efficacité'!$A$6:$CY$266,(MATCH('4.5 ACE MAX WOL '!N$4,'7. PGE_Efficacité'!$A$4:$AO$4,0)+62),0)</f>
        <v>0</v>
      </c>
      <c r="O52" s="139">
        <f>VLOOKUP($E52,'7. PGE_Efficacité'!$A$6:$CY$266,78,0)</f>
        <v>0</v>
      </c>
      <c r="P52" s="139">
        <f>VLOOKUP($E52,'7. PGE_Efficacité'!$A$6:$CY$266,(MATCH('4.5 ACE MAX WOL '!P$4,'7. PGE_Efficacité'!$A$4:$AO$4,0)+62),0)</f>
        <v>0</v>
      </c>
      <c r="Q52" s="139">
        <f>VLOOKUP($E52,'7. PGE_Efficacité'!$A$6:$CY$266,(MATCH('4.5 ACE MAX WOL '!Q$4,'7. PGE_Efficacité'!$A$4:$AO$4,0)+62),0)</f>
        <v>0</v>
      </c>
      <c r="R52" s="139">
        <f>VLOOKUP($E52,'7. PGE_Efficacité'!$A$6:$CY$266,(MATCH('4.5 ACE MAX WOL '!R$4,'7. PGE_Efficacité'!$A$4:$AO$4,0)+62),0)</f>
        <v>0</v>
      </c>
      <c r="S52" s="139">
        <f>VLOOKUP($E52,'7. PGE_Efficacité'!$A$6:$CY$266,(MATCH('4.5 ACE MAX WOL '!S$4,'7. PGE_Efficacité'!$A$4:$AO$4,0)+62),0)</f>
        <v>0</v>
      </c>
      <c r="T52" s="139">
        <f>VLOOKUP($E52,'7. PGE_Efficacité'!$A$6:$CY$266,(MATCH('4.5 ACE MAX WOL '!T$4,'7. PGE_Efficacité'!$A$4:$AO$4,0)+62),0)</f>
        <v>0</v>
      </c>
      <c r="U52" s="139">
        <f>VLOOKUP($E52,'7. PGE_Efficacité'!$A$6:$CY$266,(MATCH('4.5 ACE MAX WOL '!U$4,'7. PGE_Efficacité'!$A$4:$AO$4,0)+62),0)</f>
        <v>0</v>
      </c>
      <c r="V52" s="139">
        <f>VLOOKUP($E52,'7. PGE_Efficacité'!$A$6:$CY$266,(MATCH('4.5 ACE MAX WOL '!V$4,'7. PGE_Efficacité'!$A$4:$AO$4,0)+62),0)</f>
        <v>0</v>
      </c>
      <c r="W52" s="139">
        <f>VLOOKUP($E52,'7. PGE_Efficacité'!$A$6:$CY$266,(MATCH('4.5 ACE MAX WOL '!W$4,'7. PGE_Efficacité'!$A$4:$AO$4,0)+62),0)</f>
        <v>0</v>
      </c>
      <c r="X52" s="139">
        <f>VLOOKUP($E52,'7. PGE_Efficacité'!$A$6:$CY$266,(MATCH('4.5 ACE MAX WOL '!X$4,'7. PGE_Efficacité'!$A$4:$AO$4,0)+62),0)</f>
        <v>0</v>
      </c>
      <c r="Y52" s="139">
        <f>VLOOKUP($E52,'7. PGE_Efficacité'!$A$6:$CY$266,(MATCH('4.5 ACE MAX WOL '!Y$4,'7. PGE_Efficacité'!$A$4:$AO$4,0)+62),0)</f>
        <v>0</v>
      </c>
      <c r="Z52" s="139">
        <f>VLOOKUP($E52,'7. PGE_Efficacité'!$A$6:$CY$266,(MATCH('4.5 ACE MAX WOL '!Z$4,'7. PGE_Efficacité'!$A$4:$AO$4,0)+62),0)</f>
        <v>0</v>
      </c>
      <c r="AA52" s="139">
        <f>VLOOKUP($E52,'7. PGE_Efficacité'!$A$6:$CY$266,(MATCH('4.5 ACE MAX WOL '!AA$4,'7. PGE_Efficacité'!$A$4:$AO$4,0)+62),0)</f>
        <v>0</v>
      </c>
      <c r="AB52" s="139">
        <f>VLOOKUP($E52,'7. PGE_Efficacité'!$A$6:$CY$266,(MATCH('4.5 ACE MAX WOL '!AB$4,'7. PGE_Efficacité'!$A$4:$AO$4,0)+62),0)</f>
        <v>0</v>
      </c>
      <c r="AC52" s="139">
        <f>VLOOKUP($E52,'7. PGE_Efficacité'!$A$6:$CY$266,(MATCH('4.5 ACE MAX WOL '!AC$4,'7. PGE_Efficacité'!$A$4:$AO$4,0)+62),0)</f>
        <v>0</v>
      </c>
      <c r="AD52" s="139">
        <f>VLOOKUP($E52,'7. PGE_Efficacité'!$A$6:$CY$266,(MATCH('4.5 ACE MAX WOL '!AD$4,'7. PGE_Efficacité'!$A$4:$AO$4,0)+62),0)</f>
        <v>0</v>
      </c>
      <c r="AE52" s="139">
        <f>VLOOKUP($E52,'7. PGE_Efficacité'!$A$6:$CY$266,(MATCH('4.5 ACE MAX WOL '!AE$4,'7. PGE_Efficacité'!$A$4:$AO$4,0)+62),0)</f>
        <v>0</v>
      </c>
      <c r="AF52" s="139">
        <f>VLOOKUP($E52,'7. PGE_Efficacité'!$A$6:$CY$266,(MATCH('4.5 ACE MAX WOL '!AF$4,'7. PGE_Efficacité'!$A$4:$AO$4,0)+62),0)</f>
        <v>0</v>
      </c>
      <c r="AG52" s="139">
        <f>VLOOKUP($E52,'7. PGE_Efficacité'!$A$6:$CY$266,(MATCH('4.5 ACE MAX WOL '!AG$4,'7. PGE_Efficacité'!$A$4:$AO$4,0)+62),0)</f>
        <v>0</v>
      </c>
      <c r="AH52" s="139">
        <f>VLOOKUP($E52,'7. PGE_Efficacité'!$A$6:$CY$266,(MATCH('4.5 ACE MAX WOL '!AH$4,'7. PGE_Efficacité'!$A$4:$AO$4,0)+62),0)</f>
        <v>0</v>
      </c>
      <c r="AI52" s="139">
        <f>VLOOKUP($E52,'7. PGE_Efficacité'!$A$6:$CY$266,(MATCH('4.5 ACE MAX WOL '!AI$4,'7. PGE_Efficacité'!$A$4:$AO$4,0)+62),0)</f>
        <v>0</v>
      </c>
      <c r="AJ52" s="139">
        <f>VLOOKUP($E52,'7. PGE_Efficacité'!$A$6:$CY$266,(MATCH('4.5 ACE MAX WOL '!AJ$4,'7. PGE_Efficacité'!$A$4:$AO$4,0)+62),0)</f>
        <v>0</v>
      </c>
      <c r="AK52" s="139">
        <f>VLOOKUP($E52,'7. PGE_Efficacité'!$A$6:$CY$266,(MATCH('4.5 ACE MAX WOL '!AK$4,'7. PGE_Efficacité'!$A$4:$AO$4,0)+62),0)</f>
        <v>0</v>
      </c>
      <c r="AL52" s="139">
        <f>VLOOKUP($E52,'7. PGE_Efficacité'!$A$6:$CY$266,(MATCH('4.5 ACE MAX WOL '!AL$4,'7. PGE_Efficacité'!$A$4:$AO$4,0)+62),0)</f>
        <v>0</v>
      </c>
      <c r="AM52" s="139">
        <f>VLOOKUP($E52,'7. PGE_Efficacité'!$A$6:$CY$266,(MATCH('4.5 ACE MAX WOL '!AM$4,'7. PGE_Efficacité'!$A$4:$AO$4,0)+62),0)</f>
        <v>0</v>
      </c>
      <c r="AN52" s="139">
        <f>VLOOKUP($E52,'7. PGE_Efficacité'!$A$6:$CY$266,(MATCH('4.5 ACE MAX WOL '!AN$4,'7. PGE_Efficacité'!$A$4:$AO$4,0)+62),0)</f>
        <v>0</v>
      </c>
    </row>
    <row r="53" spans="1:40" hidden="1" outlineLevel="2" x14ac:dyDescent="0.25">
      <c r="A53" s="48"/>
      <c r="B53" s="49"/>
      <c r="C53" s="48"/>
      <c r="D53" s="199" t="s">
        <v>4</v>
      </c>
      <c r="E53" s="200" t="s">
        <v>813</v>
      </c>
      <c r="F53" s="200" t="s">
        <v>1444</v>
      </c>
      <c r="G53" s="201" t="s">
        <v>1521</v>
      </c>
      <c r="H53" s="200" t="s">
        <v>416</v>
      </c>
      <c r="I53" s="202"/>
      <c r="J53" s="139">
        <f>VLOOKUP($E53,'7. PGE_Efficacité'!$A$6:$CY$266,(MATCH('4.5 ACE MAX WOL '!J$4,'7. PGE_Efficacité'!$A$4:$AO$4,0)+62),0)</f>
        <v>0</v>
      </c>
      <c r="K53" s="139">
        <f>VLOOKUP($E53,'7. PGE_Efficacité'!$A$6:$CY$266,(MATCH('4.5 ACE MAX WOL '!K$4,'7. PGE_Efficacité'!$A$4:$AO$4,0)+62),0)</f>
        <v>0</v>
      </c>
      <c r="L53" s="139">
        <f>VLOOKUP($E53,'7. PGE_Efficacité'!$A$6:$CY$266,(MATCH('4.5 ACE MAX WOL '!L$4,'7. PGE_Efficacité'!$A$4:$AO$4,0)+62),0)</f>
        <v>0</v>
      </c>
      <c r="M53" s="139">
        <f>VLOOKUP($E53,'7. PGE_Efficacité'!$A$6:$CY$266,(MATCH('4.5 ACE MAX WOL '!M$4,'7. PGE_Efficacité'!$A$4:$AO$4,0)+62),0)</f>
        <v>0</v>
      </c>
      <c r="N53" s="139">
        <f>VLOOKUP($E53,'7. PGE_Efficacité'!$A$6:$CY$266,(MATCH('4.5 ACE MAX WOL '!N$4,'7. PGE_Efficacité'!$A$4:$AO$4,0)+62),0)</f>
        <v>0</v>
      </c>
      <c r="O53" s="139">
        <f>VLOOKUP($E53,'7. PGE_Efficacité'!$A$6:$CY$266,78,0)</f>
        <v>0</v>
      </c>
      <c r="P53" s="139">
        <f>VLOOKUP($E53,'7. PGE_Efficacité'!$A$6:$CY$266,(MATCH('4.5 ACE MAX WOL '!P$4,'7. PGE_Efficacité'!$A$4:$AO$4,0)+62),0)</f>
        <v>0</v>
      </c>
      <c r="Q53" s="139">
        <f>VLOOKUP($E53,'7. PGE_Efficacité'!$A$6:$CY$266,(MATCH('4.5 ACE MAX WOL '!Q$4,'7. PGE_Efficacité'!$A$4:$AO$4,0)+62),0)</f>
        <v>0</v>
      </c>
      <c r="R53" s="139">
        <f>VLOOKUP($E53,'7. PGE_Efficacité'!$A$6:$CY$266,(MATCH('4.5 ACE MAX WOL '!R$4,'7. PGE_Efficacité'!$A$4:$AO$4,0)+62),0)</f>
        <v>0</v>
      </c>
      <c r="S53" s="139">
        <f>VLOOKUP($E53,'7. PGE_Efficacité'!$A$6:$CY$266,(MATCH('4.5 ACE MAX WOL '!S$4,'7. PGE_Efficacité'!$A$4:$AO$4,0)+62),0)</f>
        <v>0</v>
      </c>
      <c r="T53" s="139">
        <f>VLOOKUP($E53,'7. PGE_Efficacité'!$A$6:$CY$266,(MATCH('4.5 ACE MAX WOL '!T$4,'7. PGE_Efficacité'!$A$4:$AO$4,0)+62),0)</f>
        <v>0</v>
      </c>
      <c r="U53" s="139">
        <f>VLOOKUP($E53,'7. PGE_Efficacité'!$A$6:$CY$266,(MATCH('4.5 ACE MAX WOL '!U$4,'7. PGE_Efficacité'!$A$4:$AO$4,0)+62),0)</f>
        <v>0</v>
      </c>
      <c r="V53" s="139">
        <f>VLOOKUP($E53,'7. PGE_Efficacité'!$A$6:$CY$266,(MATCH('4.5 ACE MAX WOL '!V$4,'7. PGE_Efficacité'!$A$4:$AO$4,0)+62),0)</f>
        <v>0</v>
      </c>
      <c r="W53" s="139">
        <f>VLOOKUP($E53,'7. PGE_Efficacité'!$A$6:$CY$266,(MATCH('4.5 ACE MAX WOL '!W$4,'7. PGE_Efficacité'!$A$4:$AO$4,0)+62),0)</f>
        <v>0</v>
      </c>
      <c r="X53" s="139">
        <f>VLOOKUP($E53,'7. PGE_Efficacité'!$A$6:$CY$266,(MATCH('4.5 ACE MAX WOL '!X$4,'7. PGE_Efficacité'!$A$4:$AO$4,0)+62),0)</f>
        <v>0</v>
      </c>
      <c r="Y53" s="139">
        <f>VLOOKUP($E53,'7. PGE_Efficacité'!$A$6:$CY$266,(MATCH('4.5 ACE MAX WOL '!Y$4,'7. PGE_Efficacité'!$A$4:$AO$4,0)+62),0)</f>
        <v>0</v>
      </c>
      <c r="Z53" s="139">
        <f>VLOOKUP($E53,'7. PGE_Efficacité'!$A$6:$CY$266,(MATCH('4.5 ACE MAX WOL '!Z$4,'7. PGE_Efficacité'!$A$4:$AO$4,0)+62),0)</f>
        <v>0</v>
      </c>
      <c r="AA53" s="139">
        <f>VLOOKUP($E53,'7. PGE_Efficacité'!$A$6:$CY$266,(MATCH('4.5 ACE MAX WOL '!AA$4,'7. PGE_Efficacité'!$A$4:$AO$4,0)+62),0)</f>
        <v>0</v>
      </c>
      <c r="AB53" s="139">
        <f>VLOOKUP($E53,'7. PGE_Efficacité'!$A$6:$CY$266,(MATCH('4.5 ACE MAX WOL '!AB$4,'7. PGE_Efficacité'!$A$4:$AO$4,0)+62),0)</f>
        <v>0</v>
      </c>
      <c r="AC53" s="139">
        <f>VLOOKUP($E53,'7. PGE_Efficacité'!$A$6:$CY$266,(MATCH('4.5 ACE MAX WOL '!AC$4,'7. PGE_Efficacité'!$A$4:$AO$4,0)+62),0)</f>
        <v>0</v>
      </c>
      <c r="AD53" s="139">
        <f>VLOOKUP($E53,'7. PGE_Efficacité'!$A$6:$CY$266,(MATCH('4.5 ACE MAX WOL '!AD$4,'7. PGE_Efficacité'!$A$4:$AO$4,0)+62),0)</f>
        <v>0</v>
      </c>
      <c r="AE53" s="139">
        <f>VLOOKUP($E53,'7. PGE_Efficacité'!$A$6:$CY$266,(MATCH('4.5 ACE MAX WOL '!AE$4,'7. PGE_Efficacité'!$A$4:$AO$4,0)+62),0)</f>
        <v>0</v>
      </c>
      <c r="AF53" s="139">
        <f>VLOOKUP($E53,'7. PGE_Efficacité'!$A$6:$CY$266,(MATCH('4.5 ACE MAX WOL '!AF$4,'7. PGE_Efficacité'!$A$4:$AO$4,0)+62),0)</f>
        <v>0</v>
      </c>
      <c r="AG53" s="139">
        <f>VLOOKUP($E53,'7. PGE_Efficacité'!$A$6:$CY$266,(MATCH('4.5 ACE MAX WOL '!AG$4,'7. PGE_Efficacité'!$A$4:$AO$4,0)+62),0)</f>
        <v>0</v>
      </c>
      <c r="AH53" s="139">
        <f>VLOOKUP($E53,'7. PGE_Efficacité'!$A$6:$CY$266,(MATCH('4.5 ACE MAX WOL '!AH$4,'7. PGE_Efficacité'!$A$4:$AO$4,0)+62),0)</f>
        <v>0</v>
      </c>
      <c r="AI53" s="139">
        <f>VLOOKUP($E53,'7. PGE_Efficacité'!$A$6:$CY$266,(MATCH('4.5 ACE MAX WOL '!AI$4,'7. PGE_Efficacité'!$A$4:$AO$4,0)+62),0)</f>
        <v>0</v>
      </c>
      <c r="AJ53" s="139">
        <f>VLOOKUP($E53,'7. PGE_Efficacité'!$A$6:$CY$266,(MATCH('4.5 ACE MAX WOL '!AJ$4,'7. PGE_Efficacité'!$A$4:$AO$4,0)+62),0)</f>
        <v>0</v>
      </c>
      <c r="AK53" s="139">
        <f>VLOOKUP($E53,'7. PGE_Efficacité'!$A$6:$CY$266,(MATCH('4.5 ACE MAX WOL '!AK$4,'7. PGE_Efficacité'!$A$4:$AO$4,0)+62),0)</f>
        <v>0</v>
      </c>
      <c r="AL53" s="139">
        <f>VLOOKUP($E53,'7. PGE_Efficacité'!$A$6:$CY$266,(MATCH('4.5 ACE MAX WOL '!AL$4,'7. PGE_Efficacité'!$A$4:$AO$4,0)+62),0)</f>
        <v>0</v>
      </c>
      <c r="AM53" s="139">
        <f>VLOOKUP($E53,'7. PGE_Efficacité'!$A$6:$CY$266,(MATCH('4.5 ACE MAX WOL '!AM$4,'7. PGE_Efficacité'!$A$4:$AO$4,0)+62),0)</f>
        <v>0</v>
      </c>
      <c r="AN53" s="139">
        <f>VLOOKUP($E53,'7. PGE_Efficacité'!$A$6:$CY$266,(MATCH('4.5 ACE MAX WOL '!AN$4,'7. PGE_Efficacité'!$A$4:$AO$4,0)+62),0)</f>
        <v>0</v>
      </c>
    </row>
    <row r="54" spans="1:40" ht="26.25" outlineLevel="1" collapsed="1" x14ac:dyDescent="0.25">
      <c r="A54" s="48"/>
      <c r="B54" s="49"/>
      <c r="C54" s="48"/>
      <c r="D54" s="194" t="s">
        <v>5</v>
      </c>
      <c r="E54" s="195"/>
      <c r="F54" s="196" t="str">
        <f>VLOOKUP(D54,'1. Mesures'!$A$2:$B$116,2,0)</f>
        <v xml:space="preserve">Assurer le raccordement effectif des points de rejet d’eaux usées domestiques et non domestiques vers le réseau d’égouttage </v>
      </c>
      <c r="G54" s="197"/>
      <c r="H54" s="195"/>
      <c r="I54" s="198">
        <f>MEDIAN(VLOOKUP(D54,'4. Mesures_ACE_Budget'!$A$3:$N$32,13,0),(VLOOKUP(D54,'4. Mesures_ACE_Budget'!$A$3:$N$32,14,0)))</f>
        <v>0</v>
      </c>
      <c r="J54" s="235">
        <f>VLOOKUP($D54,'7. PGE_Efficacité'!$A$6:$CY$266,(MATCH('4.5 ACE MAX WOL '!J$4,'7. PGE_Efficacité'!$A$4:$AO$4,0)+62),0)</f>
        <v>0</v>
      </c>
      <c r="K54" s="235">
        <f>VLOOKUP($D54,'7. PGE_Efficacité'!$A$6:$CY$266,(MATCH('4.5 ACE MAX WOL '!K$4,'7. PGE_Efficacité'!$A$4:$AO$4,0)+62),0)</f>
        <v>0</v>
      </c>
      <c r="L54" s="235">
        <f>VLOOKUP($D54,'7. PGE_Efficacité'!$A$6:$CY$266,(MATCH('4.5 ACE MAX WOL '!L$4,'7. PGE_Efficacité'!$A$4:$AO$4,0)+62),0)</f>
        <v>0</v>
      </c>
      <c r="M54" s="235" t="str">
        <f>VLOOKUP($D54,'7. PGE_Efficacité'!$A$6:$CY$266,(MATCH('4.5 ACE MAX WOL '!M$4,'7. PGE_Efficacité'!$A$4:$AO$4,0)+62),0)</f>
        <v>+</v>
      </c>
      <c r="N54" s="235" t="str">
        <f>VLOOKUP($D54,'7. PGE_Efficacité'!$A$6:$CY$266,(MATCH('4.5 ACE MAX WOL '!N$4,'7. PGE_Efficacité'!$A$4:$AO$4,0)+62),0)</f>
        <v>+</v>
      </c>
      <c r="O54" s="235" t="str">
        <f>VLOOKUP($D54,'7. PGE_Efficacité'!$A$6:$CY$266,78,0)</f>
        <v>+</v>
      </c>
      <c r="P54" s="235">
        <f>VLOOKUP($D54,'7. PGE_Efficacité'!$A$6:$CY$266,(MATCH('4.5 ACE MAX WOL '!P$4,'7. PGE_Efficacité'!$A$4:$AO$4,0)+62),0)</f>
        <v>0</v>
      </c>
      <c r="Q54" s="235">
        <f>VLOOKUP($D54,'7. PGE_Efficacité'!$A$6:$CY$266,(MATCH('4.5 ACE MAX WOL '!Q$4,'7. PGE_Efficacité'!$A$4:$AO$4,0)+62),0)</f>
        <v>0</v>
      </c>
      <c r="R54" s="235">
        <f>VLOOKUP($D54,'7. PGE_Efficacité'!$A$6:$CY$266,(MATCH('4.5 ACE MAX WOL '!R$4,'7. PGE_Efficacité'!$A$4:$AO$4,0)+62),0)</f>
        <v>0</v>
      </c>
      <c r="S54" s="235">
        <f>VLOOKUP($D54,'7. PGE_Efficacité'!$A$6:$CY$266,(MATCH('4.5 ACE MAX WOL '!S$4,'7. PGE_Efficacité'!$A$4:$AO$4,0)+62),0)</f>
        <v>0</v>
      </c>
      <c r="T54" s="235">
        <f>VLOOKUP($D54,'7. PGE_Efficacité'!$A$6:$CY$266,(MATCH('4.5 ACE MAX WOL '!T$4,'7. PGE_Efficacité'!$A$4:$AO$4,0)+62),0)</f>
        <v>0</v>
      </c>
      <c r="U54" s="235">
        <f>VLOOKUP($D54,'7. PGE_Efficacité'!$A$6:$CY$266,(MATCH('4.5 ACE MAX WOL '!U$4,'7. PGE_Efficacité'!$A$4:$AO$4,0)+62),0)</f>
        <v>0</v>
      </c>
      <c r="V54" s="235" t="str">
        <f>VLOOKUP($D54,'7. PGE_Efficacité'!$A$6:$CY$266,(MATCH('4.5 ACE MAX WOL '!V$4,'7. PGE_Efficacité'!$A$4:$AO$4,0)+62),0)</f>
        <v>+</v>
      </c>
      <c r="W54" s="235" t="str">
        <f>VLOOKUP($D54,'7. PGE_Efficacité'!$A$6:$CY$266,(MATCH('4.5 ACE MAX WOL '!W$4,'7. PGE_Efficacité'!$A$4:$AO$4,0)+62),0)</f>
        <v>+</v>
      </c>
      <c r="X54" s="235">
        <f>VLOOKUP($D54,'7. PGE_Efficacité'!$A$6:$CY$266,(MATCH('4.5 ACE MAX WOL '!X$4,'7. PGE_Efficacité'!$A$4:$AO$4,0)+62),0)</f>
        <v>0</v>
      </c>
      <c r="Y54" s="235">
        <f>VLOOKUP($D54,'7. PGE_Efficacité'!$A$6:$CY$266,(MATCH('4.5 ACE MAX WOL '!Y$4,'7. PGE_Efficacité'!$A$4:$AO$4,0)+62),0)</f>
        <v>0</v>
      </c>
      <c r="Z54" s="235">
        <f>VLOOKUP($D54,'7. PGE_Efficacité'!$A$6:$CY$266,(MATCH('4.5 ACE MAX WOL '!Z$4,'7. PGE_Efficacité'!$A$4:$AO$4,0)+62),0)</f>
        <v>0</v>
      </c>
      <c r="AA54" s="235">
        <f>VLOOKUP($D54,'7. PGE_Efficacité'!$A$6:$CY$266,(MATCH('4.5 ACE MAX WOL '!AA$4,'7. PGE_Efficacité'!$A$4:$AO$4,0)+62),0)</f>
        <v>0</v>
      </c>
      <c r="AB54" s="235">
        <f>VLOOKUP($D54,'7. PGE_Efficacité'!$A$6:$CY$266,(MATCH('4.5 ACE MAX WOL '!AB$4,'7. PGE_Efficacité'!$A$4:$AO$4,0)+62),0)</f>
        <v>0</v>
      </c>
      <c r="AC54" s="235">
        <f>VLOOKUP($D54,'7. PGE_Efficacité'!$A$6:$CY$266,(MATCH('4.5 ACE MAX WOL '!AC$4,'7. PGE_Efficacité'!$A$4:$AO$4,0)+62),0)</f>
        <v>0</v>
      </c>
      <c r="AD54" s="235">
        <f>VLOOKUP($D54,'7. PGE_Efficacité'!$A$6:$CY$266,(MATCH('4.5 ACE MAX WOL '!AD$4,'7. PGE_Efficacité'!$A$4:$AO$4,0)+62),0)</f>
        <v>0</v>
      </c>
      <c r="AE54" s="235" t="str">
        <f>VLOOKUP($D54,'7. PGE_Efficacité'!$A$6:$CY$266,(MATCH('4.5 ACE MAX WOL '!AE$4,'7. PGE_Efficacité'!$A$4:$AO$4,0)+62),0)</f>
        <v>+</v>
      </c>
      <c r="AF54" s="235">
        <f>VLOOKUP($D54,'7. PGE_Efficacité'!$A$6:$CY$266,(MATCH('4.5 ACE MAX WOL '!AF$4,'7. PGE_Efficacité'!$A$4:$AO$4,0)+62),0)</f>
        <v>0</v>
      </c>
      <c r="AG54" s="235">
        <f>VLOOKUP($D54,'7. PGE_Efficacité'!$A$6:$CY$266,(MATCH('4.5 ACE MAX WOL '!AG$4,'7. PGE_Efficacité'!$A$4:$AO$4,0)+62),0)</f>
        <v>0</v>
      </c>
      <c r="AH54" s="235">
        <f>VLOOKUP($D54,'7. PGE_Efficacité'!$A$6:$CY$266,(MATCH('4.5 ACE MAX WOL '!AH$4,'7. PGE_Efficacité'!$A$4:$AO$4,0)+62),0)</f>
        <v>0</v>
      </c>
      <c r="AI54" s="235">
        <f>VLOOKUP($D54,'7. PGE_Efficacité'!$A$6:$CY$266,(MATCH('4.5 ACE MAX WOL '!AI$4,'7. PGE_Efficacité'!$A$4:$AO$4,0)+62),0)</f>
        <v>0</v>
      </c>
      <c r="AJ54" s="235">
        <f>VLOOKUP($D54,'7. PGE_Efficacité'!$A$6:$CY$266,(MATCH('4.5 ACE MAX WOL '!AJ$4,'7. PGE_Efficacité'!$A$4:$AO$4,0)+62),0)</f>
        <v>0</v>
      </c>
      <c r="AK54" s="235" t="str">
        <f>VLOOKUP($D54,'7. PGE_Efficacité'!$A$6:$CY$266,(MATCH('4.5 ACE MAX WOL '!AK$4,'7. PGE_Efficacité'!$A$4:$AO$4,0)+62),0)</f>
        <v>+</v>
      </c>
      <c r="AL54" s="235">
        <f>VLOOKUP($D54,'7. PGE_Efficacité'!$A$6:$CY$266,(MATCH('4.5 ACE MAX WOL '!AL$4,'7. PGE_Efficacité'!$A$4:$AO$4,0)+62),0)</f>
        <v>0</v>
      </c>
      <c r="AM54" s="235" t="str">
        <f>VLOOKUP($D54,'7. PGE_Efficacité'!$A$6:$CY$266,(MATCH('4.5 ACE MAX WOL '!AM$4,'7. PGE_Efficacité'!$A$4:$AO$4,0)+62),0)</f>
        <v>+</v>
      </c>
      <c r="AN54" s="235" t="str">
        <f>VLOOKUP($D54,'7. PGE_Efficacité'!$A$6:$CY$266,(MATCH('4.5 ACE MAX WOL '!AN$4,'7. PGE_Efficacité'!$A$4:$AO$4,0)+62),0)</f>
        <v>+</v>
      </c>
    </row>
    <row r="55" spans="1:40" hidden="1" outlineLevel="2" x14ac:dyDescent="0.25">
      <c r="A55" s="48" t="s">
        <v>1524</v>
      </c>
      <c r="B55" s="49">
        <v>6</v>
      </c>
      <c r="C55" s="48" t="s">
        <v>1524</v>
      </c>
      <c r="D55" s="199" t="s">
        <v>5</v>
      </c>
      <c r="E55" s="200" t="s">
        <v>821</v>
      </c>
      <c r="F55" s="200" t="s">
        <v>1451</v>
      </c>
      <c r="G55" s="201" t="s">
        <v>1522</v>
      </c>
      <c r="H55" s="200" t="s">
        <v>1290</v>
      </c>
      <c r="I55" s="202"/>
      <c r="J55" s="139">
        <f>VLOOKUP($E55,'7. PGE_Efficacité'!$A$6:$CY$266,(MATCH('4.5 ACE MAX WOL '!J$4,'7. PGE_Efficacité'!$A$4:$AO$4,0)+62),0)</f>
        <v>0</v>
      </c>
      <c r="K55" s="139">
        <f>VLOOKUP($E55,'7. PGE_Efficacité'!$A$6:$CY$266,(MATCH('4.5 ACE MAX WOL '!K$4,'7. PGE_Efficacité'!$A$4:$AO$4,0)+62),0)</f>
        <v>0</v>
      </c>
      <c r="L55" s="139">
        <f>VLOOKUP($E55,'7. PGE_Efficacité'!$A$6:$CY$266,(MATCH('4.5 ACE MAX WOL '!L$4,'7. PGE_Efficacité'!$A$4:$AO$4,0)+62),0)</f>
        <v>0</v>
      </c>
      <c r="M55" s="139">
        <f>VLOOKUP($E55,'7. PGE_Efficacité'!$A$6:$CY$266,(MATCH('4.5 ACE MAX WOL '!M$4,'7. PGE_Efficacité'!$A$4:$AO$4,0)+62),0)</f>
        <v>0</v>
      </c>
      <c r="N55" s="139">
        <f>VLOOKUP($E55,'7. PGE_Efficacité'!$A$6:$CY$266,(MATCH('4.5 ACE MAX WOL '!N$4,'7. PGE_Efficacité'!$A$4:$AO$4,0)+62),0)</f>
        <v>0</v>
      </c>
      <c r="O55" s="139">
        <f>VLOOKUP($E55,'7. PGE_Efficacité'!$A$6:$CY$266,78,0)</f>
        <v>0</v>
      </c>
      <c r="P55" s="139">
        <f>VLOOKUP($E55,'7. PGE_Efficacité'!$A$6:$CY$266,(MATCH('4.5 ACE MAX WOL '!P$4,'7. PGE_Efficacité'!$A$4:$AO$4,0)+62),0)</f>
        <v>0</v>
      </c>
      <c r="Q55" s="139">
        <f>VLOOKUP($E55,'7. PGE_Efficacité'!$A$6:$CY$266,(MATCH('4.5 ACE MAX WOL '!Q$4,'7. PGE_Efficacité'!$A$4:$AO$4,0)+62),0)</f>
        <v>0</v>
      </c>
      <c r="R55" s="139">
        <f>VLOOKUP($E55,'7. PGE_Efficacité'!$A$6:$CY$266,(MATCH('4.5 ACE MAX WOL '!R$4,'7. PGE_Efficacité'!$A$4:$AO$4,0)+62),0)</f>
        <v>0</v>
      </c>
      <c r="S55" s="139">
        <f>VLOOKUP($E55,'7. PGE_Efficacité'!$A$6:$CY$266,(MATCH('4.5 ACE MAX WOL '!S$4,'7. PGE_Efficacité'!$A$4:$AO$4,0)+62),0)</f>
        <v>0</v>
      </c>
      <c r="T55" s="139">
        <f>VLOOKUP($E55,'7. PGE_Efficacité'!$A$6:$CY$266,(MATCH('4.5 ACE MAX WOL '!T$4,'7. PGE_Efficacité'!$A$4:$AO$4,0)+62),0)</f>
        <v>0</v>
      </c>
      <c r="U55" s="139">
        <f>VLOOKUP($E55,'7. PGE_Efficacité'!$A$6:$CY$266,(MATCH('4.5 ACE MAX WOL '!U$4,'7. PGE_Efficacité'!$A$4:$AO$4,0)+62),0)</f>
        <v>0</v>
      </c>
      <c r="V55" s="139">
        <f>VLOOKUP($E55,'7. PGE_Efficacité'!$A$6:$CY$266,(MATCH('4.5 ACE MAX WOL '!V$4,'7. PGE_Efficacité'!$A$4:$AO$4,0)+62),0)</f>
        <v>0</v>
      </c>
      <c r="W55" s="139">
        <f>VLOOKUP($E55,'7. PGE_Efficacité'!$A$6:$CY$266,(MATCH('4.5 ACE MAX WOL '!W$4,'7. PGE_Efficacité'!$A$4:$AO$4,0)+62),0)</f>
        <v>0</v>
      </c>
      <c r="X55" s="139">
        <f>VLOOKUP($E55,'7. PGE_Efficacité'!$A$6:$CY$266,(MATCH('4.5 ACE MAX WOL '!X$4,'7. PGE_Efficacité'!$A$4:$AO$4,0)+62),0)</f>
        <v>0</v>
      </c>
      <c r="Y55" s="139">
        <f>VLOOKUP($E55,'7. PGE_Efficacité'!$A$6:$CY$266,(MATCH('4.5 ACE MAX WOL '!Y$4,'7. PGE_Efficacité'!$A$4:$AO$4,0)+62),0)</f>
        <v>0</v>
      </c>
      <c r="Z55" s="139">
        <f>VLOOKUP($E55,'7. PGE_Efficacité'!$A$6:$CY$266,(MATCH('4.5 ACE MAX WOL '!Z$4,'7. PGE_Efficacité'!$A$4:$AO$4,0)+62),0)</f>
        <v>0</v>
      </c>
      <c r="AA55" s="139">
        <f>VLOOKUP($E55,'7. PGE_Efficacité'!$A$6:$CY$266,(MATCH('4.5 ACE MAX WOL '!AA$4,'7. PGE_Efficacité'!$A$4:$AO$4,0)+62),0)</f>
        <v>0</v>
      </c>
      <c r="AB55" s="139">
        <f>VLOOKUP($E55,'7. PGE_Efficacité'!$A$6:$CY$266,(MATCH('4.5 ACE MAX WOL '!AB$4,'7. PGE_Efficacité'!$A$4:$AO$4,0)+62),0)</f>
        <v>0</v>
      </c>
      <c r="AC55" s="139">
        <f>VLOOKUP($E55,'7. PGE_Efficacité'!$A$6:$CY$266,(MATCH('4.5 ACE MAX WOL '!AC$4,'7. PGE_Efficacité'!$A$4:$AO$4,0)+62),0)</f>
        <v>0</v>
      </c>
      <c r="AD55" s="139">
        <f>VLOOKUP($E55,'7. PGE_Efficacité'!$A$6:$CY$266,(MATCH('4.5 ACE MAX WOL '!AD$4,'7. PGE_Efficacité'!$A$4:$AO$4,0)+62),0)</f>
        <v>0</v>
      </c>
      <c r="AE55" s="139">
        <f>VLOOKUP($E55,'7. PGE_Efficacité'!$A$6:$CY$266,(MATCH('4.5 ACE MAX WOL '!AE$4,'7. PGE_Efficacité'!$A$4:$AO$4,0)+62),0)</f>
        <v>0</v>
      </c>
      <c r="AF55" s="139">
        <f>VLOOKUP($E55,'7. PGE_Efficacité'!$A$6:$CY$266,(MATCH('4.5 ACE MAX WOL '!AF$4,'7. PGE_Efficacité'!$A$4:$AO$4,0)+62),0)</f>
        <v>0</v>
      </c>
      <c r="AG55" s="139">
        <f>VLOOKUP($E55,'7. PGE_Efficacité'!$A$6:$CY$266,(MATCH('4.5 ACE MAX WOL '!AG$4,'7. PGE_Efficacité'!$A$4:$AO$4,0)+62),0)</f>
        <v>0</v>
      </c>
      <c r="AH55" s="139">
        <f>VLOOKUP($E55,'7. PGE_Efficacité'!$A$6:$CY$266,(MATCH('4.5 ACE MAX WOL '!AH$4,'7. PGE_Efficacité'!$A$4:$AO$4,0)+62),0)</f>
        <v>0</v>
      </c>
      <c r="AI55" s="139">
        <f>VLOOKUP($E55,'7. PGE_Efficacité'!$A$6:$CY$266,(MATCH('4.5 ACE MAX WOL '!AI$4,'7. PGE_Efficacité'!$A$4:$AO$4,0)+62),0)</f>
        <v>0</v>
      </c>
      <c r="AJ55" s="139">
        <f>VLOOKUP($E55,'7. PGE_Efficacité'!$A$6:$CY$266,(MATCH('4.5 ACE MAX WOL '!AJ$4,'7. PGE_Efficacité'!$A$4:$AO$4,0)+62),0)</f>
        <v>0</v>
      </c>
      <c r="AK55" s="139">
        <f>VLOOKUP($E55,'7. PGE_Efficacité'!$A$6:$CY$266,(MATCH('4.5 ACE MAX WOL '!AK$4,'7. PGE_Efficacité'!$A$4:$AO$4,0)+62),0)</f>
        <v>0</v>
      </c>
      <c r="AL55" s="139">
        <f>VLOOKUP($E55,'7. PGE_Efficacité'!$A$6:$CY$266,(MATCH('4.5 ACE MAX WOL '!AL$4,'7. PGE_Efficacité'!$A$4:$AO$4,0)+62),0)</f>
        <v>0</v>
      </c>
      <c r="AM55" s="139">
        <f>VLOOKUP($E55,'7. PGE_Efficacité'!$A$6:$CY$266,(MATCH('4.5 ACE MAX WOL '!AM$4,'7. PGE_Efficacité'!$A$4:$AO$4,0)+62),0)</f>
        <v>0</v>
      </c>
      <c r="AN55" s="139">
        <f>VLOOKUP($E55,'7. PGE_Efficacité'!$A$6:$CY$266,(MATCH('4.5 ACE MAX WOL '!AN$4,'7. PGE_Efficacité'!$A$4:$AO$4,0)+62),0)</f>
        <v>0</v>
      </c>
    </row>
    <row r="56" spans="1:40" hidden="1" outlineLevel="2" x14ac:dyDescent="0.25">
      <c r="A56" s="48" t="s">
        <v>1524</v>
      </c>
      <c r="B56" s="49">
        <v>6</v>
      </c>
      <c r="C56" s="48" t="s">
        <v>1526</v>
      </c>
      <c r="D56" s="199" t="s">
        <v>5</v>
      </c>
      <c r="E56" s="200" t="s">
        <v>823</v>
      </c>
      <c r="F56" s="200" t="s">
        <v>1453</v>
      </c>
      <c r="G56" s="201" t="s">
        <v>1522</v>
      </c>
      <c r="H56" s="200" t="s">
        <v>1290</v>
      </c>
      <c r="I56" s="202"/>
      <c r="J56" s="139">
        <f>VLOOKUP($E56,'7. PGE_Efficacité'!$A$6:$CY$266,(MATCH('4.5 ACE MAX WOL '!J$4,'7. PGE_Efficacité'!$A$4:$AO$4,0)+62),0)</f>
        <v>0</v>
      </c>
      <c r="K56" s="139">
        <f>VLOOKUP($E56,'7. PGE_Efficacité'!$A$6:$CY$266,(MATCH('4.5 ACE MAX WOL '!K$4,'7. PGE_Efficacité'!$A$4:$AO$4,0)+62),0)</f>
        <v>0</v>
      </c>
      <c r="L56" s="139">
        <f>VLOOKUP($E56,'7. PGE_Efficacité'!$A$6:$CY$266,(MATCH('4.5 ACE MAX WOL '!L$4,'7. PGE_Efficacité'!$A$4:$AO$4,0)+62),0)</f>
        <v>0</v>
      </c>
      <c r="M56" s="139">
        <f>VLOOKUP($E56,'7. PGE_Efficacité'!$A$6:$CY$266,(MATCH('4.5 ACE MAX WOL '!M$4,'7. PGE_Efficacité'!$A$4:$AO$4,0)+62),0)</f>
        <v>0</v>
      </c>
      <c r="N56" s="139">
        <f>VLOOKUP($E56,'7. PGE_Efficacité'!$A$6:$CY$266,(MATCH('4.5 ACE MAX WOL '!N$4,'7. PGE_Efficacité'!$A$4:$AO$4,0)+62),0)</f>
        <v>0</v>
      </c>
      <c r="O56" s="139">
        <f>VLOOKUP($E56,'7. PGE_Efficacité'!$A$6:$CY$266,78,0)</f>
        <v>0</v>
      </c>
      <c r="P56" s="139">
        <f>VLOOKUP($E56,'7. PGE_Efficacité'!$A$6:$CY$266,(MATCH('4.5 ACE MAX WOL '!P$4,'7. PGE_Efficacité'!$A$4:$AO$4,0)+62),0)</f>
        <v>0</v>
      </c>
      <c r="Q56" s="139">
        <f>VLOOKUP($E56,'7. PGE_Efficacité'!$A$6:$CY$266,(MATCH('4.5 ACE MAX WOL '!Q$4,'7. PGE_Efficacité'!$A$4:$AO$4,0)+62),0)</f>
        <v>0</v>
      </c>
      <c r="R56" s="139">
        <f>VLOOKUP($E56,'7. PGE_Efficacité'!$A$6:$CY$266,(MATCH('4.5 ACE MAX WOL '!R$4,'7. PGE_Efficacité'!$A$4:$AO$4,0)+62),0)</f>
        <v>0</v>
      </c>
      <c r="S56" s="139">
        <f>VLOOKUP($E56,'7. PGE_Efficacité'!$A$6:$CY$266,(MATCH('4.5 ACE MAX WOL '!S$4,'7. PGE_Efficacité'!$A$4:$AO$4,0)+62),0)</f>
        <v>0</v>
      </c>
      <c r="T56" s="139">
        <f>VLOOKUP($E56,'7. PGE_Efficacité'!$A$6:$CY$266,(MATCH('4.5 ACE MAX WOL '!T$4,'7. PGE_Efficacité'!$A$4:$AO$4,0)+62),0)</f>
        <v>0</v>
      </c>
      <c r="U56" s="139">
        <f>VLOOKUP($E56,'7. PGE_Efficacité'!$A$6:$CY$266,(MATCH('4.5 ACE MAX WOL '!U$4,'7. PGE_Efficacité'!$A$4:$AO$4,0)+62),0)</f>
        <v>0</v>
      </c>
      <c r="V56" s="139">
        <f>VLOOKUP($E56,'7. PGE_Efficacité'!$A$6:$CY$266,(MATCH('4.5 ACE MAX WOL '!V$4,'7. PGE_Efficacité'!$A$4:$AO$4,0)+62),0)</f>
        <v>0</v>
      </c>
      <c r="W56" s="139">
        <f>VLOOKUP($E56,'7. PGE_Efficacité'!$A$6:$CY$266,(MATCH('4.5 ACE MAX WOL '!W$4,'7. PGE_Efficacité'!$A$4:$AO$4,0)+62),0)</f>
        <v>0</v>
      </c>
      <c r="X56" s="139">
        <f>VLOOKUP($E56,'7. PGE_Efficacité'!$A$6:$CY$266,(MATCH('4.5 ACE MAX WOL '!X$4,'7. PGE_Efficacité'!$A$4:$AO$4,0)+62),0)</f>
        <v>0</v>
      </c>
      <c r="Y56" s="139">
        <f>VLOOKUP($E56,'7. PGE_Efficacité'!$A$6:$CY$266,(MATCH('4.5 ACE MAX WOL '!Y$4,'7. PGE_Efficacité'!$A$4:$AO$4,0)+62),0)</f>
        <v>0</v>
      </c>
      <c r="Z56" s="139">
        <f>VLOOKUP($E56,'7. PGE_Efficacité'!$A$6:$CY$266,(MATCH('4.5 ACE MAX WOL '!Z$4,'7. PGE_Efficacité'!$A$4:$AO$4,0)+62),0)</f>
        <v>0</v>
      </c>
      <c r="AA56" s="139">
        <f>VLOOKUP($E56,'7. PGE_Efficacité'!$A$6:$CY$266,(MATCH('4.5 ACE MAX WOL '!AA$4,'7. PGE_Efficacité'!$A$4:$AO$4,0)+62),0)</f>
        <v>0</v>
      </c>
      <c r="AB56" s="139">
        <f>VLOOKUP($E56,'7. PGE_Efficacité'!$A$6:$CY$266,(MATCH('4.5 ACE MAX WOL '!AB$4,'7. PGE_Efficacité'!$A$4:$AO$4,0)+62),0)</f>
        <v>0</v>
      </c>
      <c r="AC56" s="139">
        <f>VLOOKUP($E56,'7. PGE_Efficacité'!$A$6:$CY$266,(MATCH('4.5 ACE MAX WOL '!AC$4,'7. PGE_Efficacité'!$A$4:$AO$4,0)+62),0)</f>
        <v>0</v>
      </c>
      <c r="AD56" s="139">
        <f>VLOOKUP($E56,'7. PGE_Efficacité'!$A$6:$CY$266,(MATCH('4.5 ACE MAX WOL '!AD$4,'7. PGE_Efficacité'!$A$4:$AO$4,0)+62),0)</f>
        <v>0</v>
      </c>
      <c r="AE56" s="139">
        <f>VLOOKUP($E56,'7. PGE_Efficacité'!$A$6:$CY$266,(MATCH('4.5 ACE MAX WOL '!AE$4,'7. PGE_Efficacité'!$A$4:$AO$4,0)+62),0)</f>
        <v>0</v>
      </c>
      <c r="AF56" s="139">
        <f>VLOOKUP($E56,'7. PGE_Efficacité'!$A$6:$CY$266,(MATCH('4.5 ACE MAX WOL '!AF$4,'7. PGE_Efficacité'!$A$4:$AO$4,0)+62),0)</f>
        <v>0</v>
      </c>
      <c r="AG56" s="139">
        <f>VLOOKUP($E56,'7. PGE_Efficacité'!$A$6:$CY$266,(MATCH('4.5 ACE MAX WOL '!AG$4,'7. PGE_Efficacité'!$A$4:$AO$4,0)+62),0)</f>
        <v>0</v>
      </c>
      <c r="AH56" s="139">
        <f>VLOOKUP($E56,'7. PGE_Efficacité'!$A$6:$CY$266,(MATCH('4.5 ACE MAX WOL '!AH$4,'7. PGE_Efficacité'!$A$4:$AO$4,0)+62),0)</f>
        <v>0</v>
      </c>
      <c r="AI56" s="139">
        <f>VLOOKUP($E56,'7. PGE_Efficacité'!$A$6:$CY$266,(MATCH('4.5 ACE MAX WOL '!AI$4,'7. PGE_Efficacité'!$A$4:$AO$4,0)+62),0)</f>
        <v>0</v>
      </c>
      <c r="AJ56" s="139">
        <f>VLOOKUP($E56,'7. PGE_Efficacité'!$A$6:$CY$266,(MATCH('4.5 ACE MAX WOL '!AJ$4,'7. PGE_Efficacité'!$A$4:$AO$4,0)+62),0)</f>
        <v>0</v>
      </c>
      <c r="AK56" s="139">
        <f>VLOOKUP($E56,'7. PGE_Efficacité'!$A$6:$CY$266,(MATCH('4.5 ACE MAX WOL '!AK$4,'7. PGE_Efficacité'!$A$4:$AO$4,0)+62),0)</f>
        <v>0</v>
      </c>
      <c r="AL56" s="139">
        <f>VLOOKUP($E56,'7. PGE_Efficacité'!$A$6:$CY$266,(MATCH('4.5 ACE MAX WOL '!AL$4,'7. PGE_Efficacité'!$A$4:$AO$4,0)+62),0)</f>
        <v>0</v>
      </c>
      <c r="AM56" s="139">
        <f>VLOOKUP($E56,'7. PGE_Efficacité'!$A$6:$CY$266,(MATCH('4.5 ACE MAX WOL '!AM$4,'7. PGE_Efficacité'!$A$4:$AO$4,0)+62),0)</f>
        <v>0</v>
      </c>
      <c r="AN56" s="139">
        <f>VLOOKUP($E56,'7. PGE_Efficacité'!$A$6:$CY$266,(MATCH('4.5 ACE MAX WOL '!AN$4,'7. PGE_Efficacité'!$A$4:$AO$4,0)+62),0)</f>
        <v>0</v>
      </c>
    </row>
    <row r="57" spans="1:40" hidden="1" outlineLevel="2" x14ac:dyDescent="0.25">
      <c r="A57" s="48" t="s">
        <v>1524</v>
      </c>
      <c r="B57" s="49">
        <v>6</v>
      </c>
      <c r="C57" s="48" t="s">
        <v>1527</v>
      </c>
      <c r="D57" s="199" t="s">
        <v>5</v>
      </c>
      <c r="E57" s="200" t="s">
        <v>824</v>
      </c>
      <c r="F57" s="200" t="s">
        <v>1454</v>
      </c>
      <c r="G57" s="201" t="s">
        <v>1522</v>
      </c>
      <c r="H57" s="200" t="s">
        <v>1290</v>
      </c>
      <c r="I57" s="202"/>
      <c r="J57" s="139">
        <f>VLOOKUP($E57,'7. PGE_Efficacité'!$A$6:$CY$266,(MATCH('4.5 ACE MAX WOL '!J$4,'7. PGE_Efficacité'!$A$4:$AO$4,0)+62),0)</f>
        <v>0</v>
      </c>
      <c r="K57" s="139">
        <f>VLOOKUP($E57,'7. PGE_Efficacité'!$A$6:$CY$266,(MATCH('4.5 ACE MAX WOL '!K$4,'7. PGE_Efficacité'!$A$4:$AO$4,0)+62),0)</f>
        <v>0</v>
      </c>
      <c r="L57" s="139">
        <f>VLOOKUP($E57,'7. PGE_Efficacité'!$A$6:$CY$266,(MATCH('4.5 ACE MAX WOL '!L$4,'7. PGE_Efficacité'!$A$4:$AO$4,0)+62),0)</f>
        <v>0</v>
      </c>
      <c r="M57" s="139">
        <f>VLOOKUP($E57,'7. PGE_Efficacité'!$A$6:$CY$266,(MATCH('4.5 ACE MAX WOL '!M$4,'7. PGE_Efficacité'!$A$4:$AO$4,0)+62),0)</f>
        <v>0</v>
      </c>
      <c r="N57" s="139">
        <f>VLOOKUP($E57,'7. PGE_Efficacité'!$A$6:$CY$266,(MATCH('4.5 ACE MAX WOL '!N$4,'7. PGE_Efficacité'!$A$4:$AO$4,0)+62),0)</f>
        <v>0</v>
      </c>
      <c r="O57" s="139">
        <f>VLOOKUP($E57,'7. PGE_Efficacité'!$A$6:$CY$266,78,0)</f>
        <v>0</v>
      </c>
      <c r="P57" s="139">
        <f>VLOOKUP($E57,'7. PGE_Efficacité'!$A$6:$CY$266,(MATCH('4.5 ACE MAX WOL '!P$4,'7. PGE_Efficacité'!$A$4:$AO$4,0)+62),0)</f>
        <v>0</v>
      </c>
      <c r="Q57" s="139">
        <f>VLOOKUP($E57,'7. PGE_Efficacité'!$A$6:$CY$266,(MATCH('4.5 ACE MAX WOL '!Q$4,'7. PGE_Efficacité'!$A$4:$AO$4,0)+62),0)</f>
        <v>0</v>
      </c>
      <c r="R57" s="139">
        <f>VLOOKUP($E57,'7. PGE_Efficacité'!$A$6:$CY$266,(MATCH('4.5 ACE MAX WOL '!R$4,'7. PGE_Efficacité'!$A$4:$AO$4,0)+62),0)</f>
        <v>0</v>
      </c>
      <c r="S57" s="139">
        <f>VLOOKUP($E57,'7. PGE_Efficacité'!$A$6:$CY$266,(MATCH('4.5 ACE MAX WOL '!S$4,'7. PGE_Efficacité'!$A$4:$AO$4,0)+62),0)</f>
        <v>0</v>
      </c>
      <c r="T57" s="139">
        <f>VLOOKUP($E57,'7. PGE_Efficacité'!$A$6:$CY$266,(MATCH('4.5 ACE MAX WOL '!T$4,'7. PGE_Efficacité'!$A$4:$AO$4,0)+62),0)</f>
        <v>0</v>
      </c>
      <c r="U57" s="139">
        <f>VLOOKUP($E57,'7. PGE_Efficacité'!$A$6:$CY$266,(MATCH('4.5 ACE MAX WOL '!U$4,'7. PGE_Efficacité'!$A$4:$AO$4,0)+62),0)</f>
        <v>0</v>
      </c>
      <c r="V57" s="139">
        <f>VLOOKUP($E57,'7. PGE_Efficacité'!$A$6:$CY$266,(MATCH('4.5 ACE MAX WOL '!V$4,'7. PGE_Efficacité'!$A$4:$AO$4,0)+62),0)</f>
        <v>0</v>
      </c>
      <c r="W57" s="139">
        <f>VLOOKUP($E57,'7. PGE_Efficacité'!$A$6:$CY$266,(MATCH('4.5 ACE MAX WOL '!W$4,'7. PGE_Efficacité'!$A$4:$AO$4,0)+62),0)</f>
        <v>0</v>
      </c>
      <c r="X57" s="139">
        <f>VLOOKUP($E57,'7. PGE_Efficacité'!$A$6:$CY$266,(MATCH('4.5 ACE MAX WOL '!X$4,'7. PGE_Efficacité'!$A$4:$AO$4,0)+62),0)</f>
        <v>0</v>
      </c>
      <c r="Y57" s="139">
        <f>VLOOKUP($E57,'7. PGE_Efficacité'!$A$6:$CY$266,(MATCH('4.5 ACE MAX WOL '!Y$4,'7. PGE_Efficacité'!$A$4:$AO$4,0)+62),0)</f>
        <v>0</v>
      </c>
      <c r="Z57" s="139">
        <f>VLOOKUP($E57,'7. PGE_Efficacité'!$A$6:$CY$266,(MATCH('4.5 ACE MAX WOL '!Z$4,'7. PGE_Efficacité'!$A$4:$AO$4,0)+62),0)</f>
        <v>0</v>
      </c>
      <c r="AA57" s="139">
        <f>VLOOKUP($E57,'7. PGE_Efficacité'!$A$6:$CY$266,(MATCH('4.5 ACE MAX WOL '!AA$4,'7. PGE_Efficacité'!$A$4:$AO$4,0)+62),0)</f>
        <v>0</v>
      </c>
      <c r="AB57" s="139">
        <f>VLOOKUP($E57,'7. PGE_Efficacité'!$A$6:$CY$266,(MATCH('4.5 ACE MAX WOL '!AB$4,'7. PGE_Efficacité'!$A$4:$AO$4,0)+62),0)</f>
        <v>0</v>
      </c>
      <c r="AC57" s="139">
        <f>VLOOKUP($E57,'7. PGE_Efficacité'!$A$6:$CY$266,(MATCH('4.5 ACE MAX WOL '!AC$4,'7. PGE_Efficacité'!$A$4:$AO$4,0)+62),0)</f>
        <v>0</v>
      </c>
      <c r="AD57" s="139">
        <f>VLOOKUP($E57,'7. PGE_Efficacité'!$A$6:$CY$266,(MATCH('4.5 ACE MAX WOL '!AD$4,'7. PGE_Efficacité'!$A$4:$AO$4,0)+62),0)</f>
        <v>0</v>
      </c>
      <c r="AE57" s="139">
        <f>VLOOKUP($E57,'7. PGE_Efficacité'!$A$6:$CY$266,(MATCH('4.5 ACE MAX WOL '!AE$4,'7. PGE_Efficacité'!$A$4:$AO$4,0)+62),0)</f>
        <v>0</v>
      </c>
      <c r="AF57" s="139">
        <f>VLOOKUP($E57,'7. PGE_Efficacité'!$A$6:$CY$266,(MATCH('4.5 ACE MAX WOL '!AF$4,'7. PGE_Efficacité'!$A$4:$AO$4,0)+62),0)</f>
        <v>0</v>
      </c>
      <c r="AG57" s="139">
        <f>VLOOKUP($E57,'7. PGE_Efficacité'!$A$6:$CY$266,(MATCH('4.5 ACE MAX WOL '!AG$4,'7. PGE_Efficacité'!$A$4:$AO$4,0)+62),0)</f>
        <v>0</v>
      </c>
      <c r="AH57" s="139">
        <f>VLOOKUP($E57,'7. PGE_Efficacité'!$A$6:$CY$266,(MATCH('4.5 ACE MAX WOL '!AH$4,'7. PGE_Efficacité'!$A$4:$AO$4,0)+62),0)</f>
        <v>0</v>
      </c>
      <c r="AI57" s="139">
        <f>VLOOKUP($E57,'7. PGE_Efficacité'!$A$6:$CY$266,(MATCH('4.5 ACE MAX WOL '!AI$4,'7. PGE_Efficacité'!$A$4:$AO$4,0)+62),0)</f>
        <v>0</v>
      </c>
      <c r="AJ57" s="139">
        <f>VLOOKUP($E57,'7. PGE_Efficacité'!$A$6:$CY$266,(MATCH('4.5 ACE MAX WOL '!AJ$4,'7. PGE_Efficacité'!$A$4:$AO$4,0)+62),0)</f>
        <v>0</v>
      </c>
      <c r="AK57" s="139">
        <f>VLOOKUP($E57,'7. PGE_Efficacité'!$A$6:$CY$266,(MATCH('4.5 ACE MAX WOL '!AK$4,'7. PGE_Efficacité'!$A$4:$AO$4,0)+62),0)</f>
        <v>0</v>
      </c>
      <c r="AL57" s="139">
        <f>VLOOKUP($E57,'7. PGE_Efficacité'!$A$6:$CY$266,(MATCH('4.5 ACE MAX WOL '!AL$4,'7. PGE_Efficacité'!$A$4:$AO$4,0)+62),0)</f>
        <v>0</v>
      </c>
      <c r="AM57" s="139">
        <f>VLOOKUP($E57,'7. PGE_Efficacité'!$A$6:$CY$266,(MATCH('4.5 ACE MAX WOL '!AM$4,'7. PGE_Efficacité'!$A$4:$AO$4,0)+62),0)</f>
        <v>0</v>
      </c>
      <c r="AN57" s="139">
        <f>VLOOKUP($E57,'7. PGE_Efficacité'!$A$6:$CY$266,(MATCH('4.5 ACE MAX WOL '!AN$4,'7. PGE_Efficacité'!$A$4:$AO$4,0)+62),0)</f>
        <v>0</v>
      </c>
    </row>
    <row r="58" spans="1:40" hidden="1" outlineLevel="2" x14ac:dyDescent="0.25">
      <c r="A58" s="48" t="s">
        <v>1524</v>
      </c>
      <c r="B58" s="49">
        <v>6</v>
      </c>
      <c r="C58" s="48" t="s">
        <v>1528</v>
      </c>
      <c r="D58" s="199" t="s">
        <v>5</v>
      </c>
      <c r="E58" s="200" t="s">
        <v>826</v>
      </c>
      <c r="F58" s="200" t="s">
        <v>1456</v>
      </c>
      <c r="G58" s="201" t="s">
        <v>1522</v>
      </c>
      <c r="H58" s="200" t="s">
        <v>1290</v>
      </c>
      <c r="I58" s="202"/>
      <c r="J58" s="139">
        <f>VLOOKUP($E58,'7. PGE_Efficacité'!$A$6:$CY$266,(MATCH('4.5 ACE MAX WOL '!J$4,'7. PGE_Efficacité'!$A$4:$AO$4,0)+62),0)</f>
        <v>0</v>
      </c>
      <c r="K58" s="139">
        <f>VLOOKUP($E58,'7. PGE_Efficacité'!$A$6:$CY$266,(MATCH('4.5 ACE MAX WOL '!K$4,'7. PGE_Efficacité'!$A$4:$AO$4,0)+62),0)</f>
        <v>0</v>
      </c>
      <c r="L58" s="139">
        <f>VLOOKUP($E58,'7. PGE_Efficacité'!$A$6:$CY$266,(MATCH('4.5 ACE MAX WOL '!L$4,'7. PGE_Efficacité'!$A$4:$AO$4,0)+62),0)</f>
        <v>0</v>
      </c>
      <c r="M58" s="139">
        <f>VLOOKUP($E58,'7. PGE_Efficacité'!$A$6:$CY$266,(MATCH('4.5 ACE MAX WOL '!M$4,'7. PGE_Efficacité'!$A$4:$AO$4,0)+62),0)</f>
        <v>0</v>
      </c>
      <c r="N58" s="139">
        <f>VLOOKUP($E58,'7. PGE_Efficacité'!$A$6:$CY$266,(MATCH('4.5 ACE MAX WOL '!N$4,'7. PGE_Efficacité'!$A$4:$AO$4,0)+62),0)</f>
        <v>0</v>
      </c>
      <c r="O58" s="139">
        <f>VLOOKUP($E58,'7. PGE_Efficacité'!$A$6:$CY$266,78,0)</f>
        <v>0</v>
      </c>
      <c r="P58" s="139">
        <f>VLOOKUP($E58,'7. PGE_Efficacité'!$A$6:$CY$266,(MATCH('4.5 ACE MAX WOL '!P$4,'7. PGE_Efficacité'!$A$4:$AO$4,0)+62),0)</f>
        <v>0</v>
      </c>
      <c r="Q58" s="139">
        <f>VLOOKUP($E58,'7. PGE_Efficacité'!$A$6:$CY$266,(MATCH('4.5 ACE MAX WOL '!Q$4,'7. PGE_Efficacité'!$A$4:$AO$4,0)+62),0)</f>
        <v>0</v>
      </c>
      <c r="R58" s="139">
        <f>VLOOKUP($E58,'7. PGE_Efficacité'!$A$6:$CY$266,(MATCH('4.5 ACE MAX WOL '!R$4,'7. PGE_Efficacité'!$A$4:$AO$4,0)+62),0)</f>
        <v>0</v>
      </c>
      <c r="S58" s="139">
        <f>VLOOKUP($E58,'7. PGE_Efficacité'!$A$6:$CY$266,(MATCH('4.5 ACE MAX WOL '!S$4,'7. PGE_Efficacité'!$A$4:$AO$4,0)+62),0)</f>
        <v>0</v>
      </c>
      <c r="T58" s="139">
        <f>VLOOKUP($E58,'7. PGE_Efficacité'!$A$6:$CY$266,(MATCH('4.5 ACE MAX WOL '!T$4,'7. PGE_Efficacité'!$A$4:$AO$4,0)+62),0)</f>
        <v>0</v>
      </c>
      <c r="U58" s="139">
        <f>VLOOKUP($E58,'7. PGE_Efficacité'!$A$6:$CY$266,(MATCH('4.5 ACE MAX WOL '!U$4,'7. PGE_Efficacité'!$A$4:$AO$4,0)+62),0)</f>
        <v>0</v>
      </c>
      <c r="V58" s="139">
        <f>VLOOKUP($E58,'7. PGE_Efficacité'!$A$6:$CY$266,(MATCH('4.5 ACE MAX WOL '!V$4,'7. PGE_Efficacité'!$A$4:$AO$4,0)+62),0)</f>
        <v>0</v>
      </c>
      <c r="W58" s="139">
        <f>VLOOKUP($E58,'7. PGE_Efficacité'!$A$6:$CY$266,(MATCH('4.5 ACE MAX WOL '!W$4,'7. PGE_Efficacité'!$A$4:$AO$4,0)+62),0)</f>
        <v>0</v>
      </c>
      <c r="X58" s="139">
        <f>VLOOKUP($E58,'7. PGE_Efficacité'!$A$6:$CY$266,(MATCH('4.5 ACE MAX WOL '!X$4,'7. PGE_Efficacité'!$A$4:$AO$4,0)+62),0)</f>
        <v>0</v>
      </c>
      <c r="Y58" s="139">
        <f>VLOOKUP($E58,'7. PGE_Efficacité'!$A$6:$CY$266,(MATCH('4.5 ACE MAX WOL '!Y$4,'7. PGE_Efficacité'!$A$4:$AO$4,0)+62),0)</f>
        <v>0</v>
      </c>
      <c r="Z58" s="139">
        <f>VLOOKUP($E58,'7. PGE_Efficacité'!$A$6:$CY$266,(MATCH('4.5 ACE MAX WOL '!Z$4,'7. PGE_Efficacité'!$A$4:$AO$4,0)+62),0)</f>
        <v>0</v>
      </c>
      <c r="AA58" s="139">
        <f>VLOOKUP($E58,'7. PGE_Efficacité'!$A$6:$CY$266,(MATCH('4.5 ACE MAX WOL '!AA$4,'7. PGE_Efficacité'!$A$4:$AO$4,0)+62),0)</f>
        <v>0</v>
      </c>
      <c r="AB58" s="139">
        <f>VLOOKUP($E58,'7. PGE_Efficacité'!$A$6:$CY$266,(MATCH('4.5 ACE MAX WOL '!AB$4,'7. PGE_Efficacité'!$A$4:$AO$4,0)+62),0)</f>
        <v>0</v>
      </c>
      <c r="AC58" s="139">
        <f>VLOOKUP($E58,'7. PGE_Efficacité'!$A$6:$CY$266,(MATCH('4.5 ACE MAX WOL '!AC$4,'7. PGE_Efficacité'!$A$4:$AO$4,0)+62),0)</f>
        <v>0</v>
      </c>
      <c r="AD58" s="139">
        <f>VLOOKUP($E58,'7. PGE_Efficacité'!$A$6:$CY$266,(MATCH('4.5 ACE MAX WOL '!AD$4,'7. PGE_Efficacité'!$A$4:$AO$4,0)+62),0)</f>
        <v>0</v>
      </c>
      <c r="AE58" s="139">
        <f>VLOOKUP($E58,'7. PGE_Efficacité'!$A$6:$CY$266,(MATCH('4.5 ACE MAX WOL '!AE$4,'7. PGE_Efficacité'!$A$4:$AO$4,0)+62),0)</f>
        <v>0</v>
      </c>
      <c r="AF58" s="139">
        <f>VLOOKUP($E58,'7. PGE_Efficacité'!$A$6:$CY$266,(MATCH('4.5 ACE MAX WOL '!AF$4,'7. PGE_Efficacité'!$A$4:$AO$4,0)+62),0)</f>
        <v>0</v>
      </c>
      <c r="AG58" s="139">
        <f>VLOOKUP($E58,'7. PGE_Efficacité'!$A$6:$CY$266,(MATCH('4.5 ACE MAX WOL '!AG$4,'7. PGE_Efficacité'!$A$4:$AO$4,0)+62),0)</f>
        <v>0</v>
      </c>
      <c r="AH58" s="139">
        <f>VLOOKUP($E58,'7. PGE_Efficacité'!$A$6:$CY$266,(MATCH('4.5 ACE MAX WOL '!AH$4,'7. PGE_Efficacité'!$A$4:$AO$4,0)+62),0)</f>
        <v>0</v>
      </c>
      <c r="AI58" s="139">
        <f>VLOOKUP($E58,'7. PGE_Efficacité'!$A$6:$CY$266,(MATCH('4.5 ACE MAX WOL '!AI$4,'7. PGE_Efficacité'!$A$4:$AO$4,0)+62),0)</f>
        <v>0</v>
      </c>
      <c r="AJ58" s="139">
        <f>VLOOKUP($E58,'7. PGE_Efficacité'!$A$6:$CY$266,(MATCH('4.5 ACE MAX WOL '!AJ$4,'7. PGE_Efficacité'!$A$4:$AO$4,0)+62),0)</f>
        <v>0</v>
      </c>
      <c r="AK58" s="139">
        <f>VLOOKUP($E58,'7. PGE_Efficacité'!$A$6:$CY$266,(MATCH('4.5 ACE MAX WOL '!AK$4,'7. PGE_Efficacité'!$A$4:$AO$4,0)+62),0)</f>
        <v>0</v>
      </c>
      <c r="AL58" s="139">
        <f>VLOOKUP($E58,'7. PGE_Efficacité'!$A$6:$CY$266,(MATCH('4.5 ACE MAX WOL '!AL$4,'7. PGE_Efficacité'!$A$4:$AO$4,0)+62),0)</f>
        <v>0</v>
      </c>
      <c r="AM58" s="139">
        <f>VLOOKUP($E58,'7. PGE_Efficacité'!$A$6:$CY$266,(MATCH('4.5 ACE MAX WOL '!AM$4,'7. PGE_Efficacité'!$A$4:$AO$4,0)+62),0)</f>
        <v>0</v>
      </c>
      <c r="AN58" s="139">
        <f>VLOOKUP($E58,'7. PGE_Efficacité'!$A$6:$CY$266,(MATCH('4.5 ACE MAX WOL '!AN$4,'7. PGE_Efficacité'!$A$4:$AO$4,0)+62),0)</f>
        <v>0</v>
      </c>
    </row>
    <row r="59" spans="1:40" hidden="1" outlineLevel="2" x14ac:dyDescent="0.25">
      <c r="A59" s="48"/>
      <c r="B59" s="49"/>
      <c r="C59" s="48"/>
      <c r="D59" s="199" t="s">
        <v>5</v>
      </c>
      <c r="E59" s="200" t="s">
        <v>827</v>
      </c>
      <c r="F59" s="200" t="s">
        <v>1457</v>
      </c>
      <c r="G59" s="201" t="s">
        <v>1522</v>
      </c>
      <c r="H59" s="200" t="s">
        <v>1290</v>
      </c>
      <c r="I59" s="202"/>
      <c r="J59" s="139">
        <f>VLOOKUP($E59,'7. PGE_Efficacité'!$A$6:$CY$266,(MATCH('4.5 ACE MAX WOL '!J$4,'7. PGE_Efficacité'!$A$4:$AO$4,0)+62),0)</f>
        <v>0</v>
      </c>
      <c r="K59" s="139">
        <f>VLOOKUP($E59,'7. PGE_Efficacité'!$A$6:$CY$266,(MATCH('4.5 ACE MAX WOL '!K$4,'7. PGE_Efficacité'!$A$4:$AO$4,0)+62),0)</f>
        <v>0</v>
      </c>
      <c r="L59" s="139">
        <f>VLOOKUP($E59,'7. PGE_Efficacité'!$A$6:$CY$266,(MATCH('4.5 ACE MAX WOL '!L$4,'7. PGE_Efficacité'!$A$4:$AO$4,0)+62),0)</f>
        <v>0</v>
      </c>
      <c r="M59" s="139">
        <f>VLOOKUP($E59,'7. PGE_Efficacité'!$A$6:$CY$266,(MATCH('4.5 ACE MAX WOL '!M$4,'7. PGE_Efficacité'!$A$4:$AO$4,0)+62),0)</f>
        <v>0</v>
      </c>
      <c r="N59" s="139">
        <f>VLOOKUP($E59,'7. PGE_Efficacité'!$A$6:$CY$266,(MATCH('4.5 ACE MAX WOL '!N$4,'7. PGE_Efficacité'!$A$4:$AO$4,0)+62),0)</f>
        <v>0</v>
      </c>
      <c r="O59" s="139">
        <f>VLOOKUP($E59,'7. PGE_Efficacité'!$A$6:$CY$266,78,0)</f>
        <v>0</v>
      </c>
      <c r="P59" s="139">
        <f>VLOOKUP($E59,'7. PGE_Efficacité'!$A$6:$CY$266,(MATCH('4.5 ACE MAX WOL '!P$4,'7. PGE_Efficacité'!$A$4:$AO$4,0)+62),0)</f>
        <v>0</v>
      </c>
      <c r="Q59" s="139">
        <f>VLOOKUP($E59,'7. PGE_Efficacité'!$A$6:$CY$266,(MATCH('4.5 ACE MAX WOL '!Q$4,'7. PGE_Efficacité'!$A$4:$AO$4,0)+62),0)</f>
        <v>0</v>
      </c>
      <c r="R59" s="139">
        <f>VLOOKUP($E59,'7. PGE_Efficacité'!$A$6:$CY$266,(MATCH('4.5 ACE MAX WOL '!R$4,'7. PGE_Efficacité'!$A$4:$AO$4,0)+62),0)</f>
        <v>0</v>
      </c>
      <c r="S59" s="139">
        <f>VLOOKUP($E59,'7. PGE_Efficacité'!$A$6:$CY$266,(MATCH('4.5 ACE MAX WOL '!S$4,'7. PGE_Efficacité'!$A$4:$AO$4,0)+62),0)</f>
        <v>0</v>
      </c>
      <c r="T59" s="139">
        <f>VLOOKUP($E59,'7. PGE_Efficacité'!$A$6:$CY$266,(MATCH('4.5 ACE MAX WOL '!T$4,'7. PGE_Efficacité'!$A$4:$AO$4,0)+62),0)</f>
        <v>0</v>
      </c>
      <c r="U59" s="139">
        <f>VLOOKUP($E59,'7. PGE_Efficacité'!$A$6:$CY$266,(MATCH('4.5 ACE MAX WOL '!U$4,'7. PGE_Efficacité'!$A$4:$AO$4,0)+62),0)</f>
        <v>0</v>
      </c>
      <c r="V59" s="139">
        <f>VLOOKUP($E59,'7. PGE_Efficacité'!$A$6:$CY$266,(MATCH('4.5 ACE MAX WOL '!V$4,'7. PGE_Efficacité'!$A$4:$AO$4,0)+62),0)</f>
        <v>0</v>
      </c>
      <c r="W59" s="139">
        <f>VLOOKUP($E59,'7. PGE_Efficacité'!$A$6:$CY$266,(MATCH('4.5 ACE MAX WOL '!W$4,'7. PGE_Efficacité'!$A$4:$AO$4,0)+62),0)</f>
        <v>0</v>
      </c>
      <c r="X59" s="139">
        <f>VLOOKUP($E59,'7. PGE_Efficacité'!$A$6:$CY$266,(MATCH('4.5 ACE MAX WOL '!X$4,'7. PGE_Efficacité'!$A$4:$AO$4,0)+62),0)</f>
        <v>0</v>
      </c>
      <c r="Y59" s="139">
        <f>VLOOKUP($E59,'7. PGE_Efficacité'!$A$6:$CY$266,(MATCH('4.5 ACE MAX WOL '!Y$4,'7. PGE_Efficacité'!$A$4:$AO$4,0)+62),0)</f>
        <v>0</v>
      </c>
      <c r="Z59" s="139">
        <f>VLOOKUP($E59,'7. PGE_Efficacité'!$A$6:$CY$266,(MATCH('4.5 ACE MAX WOL '!Z$4,'7. PGE_Efficacité'!$A$4:$AO$4,0)+62),0)</f>
        <v>0</v>
      </c>
      <c r="AA59" s="139">
        <f>VLOOKUP($E59,'7. PGE_Efficacité'!$A$6:$CY$266,(MATCH('4.5 ACE MAX WOL '!AA$4,'7. PGE_Efficacité'!$A$4:$AO$4,0)+62),0)</f>
        <v>0</v>
      </c>
      <c r="AB59" s="139">
        <f>VLOOKUP($E59,'7. PGE_Efficacité'!$A$6:$CY$266,(MATCH('4.5 ACE MAX WOL '!AB$4,'7. PGE_Efficacité'!$A$4:$AO$4,0)+62),0)</f>
        <v>0</v>
      </c>
      <c r="AC59" s="139">
        <f>VLOOKUP($E59,'7. PGE_Efficacité'!$A$6:$CY$266,(MATCH('4.5 ACE MAX WOL '!AC$4,'7. PGE_Efficacité'!$A$4:$AO$4,0)+62),0)</f>
        <v>0</v>
      </c>
      <c r="AD59" s="139">
        <f>VLOOKUP($E59,'7. PGE_Efficacité'!$A$6:$CY$266,(MATCH('4.5 ACE MAX WOL '!AD$4,'7. PGE_Efficacité'!$A$4:$AO$4,0)+62),0)</f>
        <v>0</v>
      </c>
      <c r="AE59" s="139">
        <f>VLOOKUP($E59,'7. PGE_Efficacité'!$A$6:$CY$266,(MATCH('4.5 ACE MAX WOL '!AE$4,'7. PGE_Efficacité'!$A$4:$AO$4,0)+62),0)</f>
        <v>0</v>
      </c>
      <c r="AF59" s="139">
        <f>VLOOKUP($E59,'7. PGE_Efficacité'!$A$6:$CY$266,(MATCH('4.5 ACE MAX WOL '!AF$4,'7. PGE_Efficacité'!$A$4:$AO$4,0)+62),0)</f>
        <v>0</v>
      </c>
      <c r="AG59" s="139">
        <f>VLOOKUP($E59,'7. PGE_Efficacité'!$A$6:$CY$266,(MATCH('4.5 ACE MAX WOL '!AG$4,'7. PGE_Efficacité'!$A$4:$AO$4,0)+62),0)</f>
        <v>0</v>
      </c>
      <c r="AH59" s="139">
        <f>VLOOKUP($E59,'7. PGE_Efficacité'!$A$6:$CY$266,(MATCH('4.5 ACE MAX WOL '!AH$4,'7. PGE_Efficacité'!$A$4:$AO$4,0)+62),0)</f>
        <v>0</v>
      </c>
      <c r="AI59" s="139">
        <f>VLOOKUP($E59,'7. PGE_Efficacité'!$A$6:$CY$266,(MATCH('4.5 ACE MAX WOL '!AI$4,'7. PGE_Efficacité'!$A$4:$AO$4,0)+62),0)</f>
        <v>0</v>
      </c>
      <c r="AJ59" s="139">
        <f>VLOOKUP($E59,'7. PGE_Efficacité'!$A$6:$CY$266,(MATCH('4.5 ACE MAX WOL '!AJ$4,'7. PGE_Efficacité'!$A$4:$AO$4,0)+62),0)</f>
        <v>0</v>
      </c>
      <c r="AK59" s="139">
        <f>VLOOKUP($E59,'7. PGE_Efficacité'!$A$6:$CY$266,(MATCH('4.5 ACE MAX WOL '!AK$4,'7. PGE_Efficacité'!$A$4:$AO$4,0)+62),0)</f>
        <v>0</v>
      </c>
      <c r="AL59" s="139">
        <f>VLOOKUP($E59,'7. PGE_Efficacité'!$A$6:$CY$266,(MATCH('4.5 ACE MAX WOL '!AL$4,'7. PGE_Efficacité'!$A$4:$AO$4,0)+62),0)</f>
        <v>0</v>
      </c>
      <c r="AM59" s="139">
        <f>VLOOKUP($E59,'7. PGE_Efficacité'!$A$6:$CY$266,(MATCH('4.5 ACE MAX WOL '!AM$4,'7. PGE_Efficacité'!$A$4:$AO$4,0)+62),0)</f>
        <v>0</v>
      </c>
      <c r="AN59" s="139">
        <f>VLOOKUP($E59,'7. PGE_Efficacité'!$A$6:$CY$266,(MATCH('4.5 ACE MAX WOL '!AN$4,'7. PGE_Efficacité'!$A$4:$AO$4,0)+62),0)</f>
        <v>0</v>
      </c>
    </row>
    <row r="60" spans="1:40" outlineLevel="1" collapsed="1" x14ac:dyDescent="0.25">
      <c r="A60" s="48"/>
      <c r="B60" s="49"/>
      <c r="C60" s="48"/>
      <c r="D60" s="194" t="s">
        <v>6</v>
      </c>
      <c r="E60" s="195"/>
      <c r="F60" s="196" t="str">
        <f>VLOOKUP(D60,'1. Mesures'!$A$2:$B$116,2,0)</f>
        <v>Gérer les rejets d'eaux usées non raccordables aux stations d'épuration collectives</v>
      </c>
      <c r="G60" s="197"/>
      <c r="H60" s="195"/>
      <c r="I60" s="198">
        <f>MEDIAN(VLOOKUP(D60,'4. Mesures_ACE_Budget'!$A$3:$N$32,13,0),(VLOOKUP(D60,'4. Mesures_ACE_Budget'!$A$3:$N$32,14,0)))</f>
        <v>0</v>
      </c>
      <c r="J60" s="235">
        <f>VLOOKUP($D60,'7. PGE_Efficacité'!$A$6:$CY$266,(MATCH('4.5 ACE MAX WOL '!J$4,'7. PGE_Efficacité'!$A$4:$AO$4,0)+62),0)</f>
        <v>0</v>
      </c>
      <c r="K60" s="235">
        <f>VLOOKUP($D60,'7. PGE_Efficacité'!$A$6:$CY$266,(MATCH('4.5 ACE MAX WOL '!K$4,'7. PGE_Efficacité'!$A$4:$AO$4,0)+62),0)</f>
        <v>0</v>
      </c>
      <c r="L60" s="235">
        <f>VLOOKUP($D60,'7. PGE_Efficacité'!$A$6:$CY$266,(MATCH('4.5 ACE MAX WOL '!L$4,'7. PGE_Efficacité'!$A$4:$AO$4,0)+62),0)</f>
        <v>0</v>
      </c>
      <c r="M60" s="235" t="str">
        <f>VLOOKUP($D60,'7. PGE_Efficacité'!$A$6:$CY$266,(MATCH('4.5 ACE MAX WOL '!M$4,'7. PGE_Efficacité'!$A$4:$AO$4,0)+62),0)</f>
        <v>+</v>
      </c>
      <c r="N60" s="235" t="str">
        <f>VLOOKUP($D60,'7. PGE_Efficacité'!$A$6:$CY$266,(MATCH('4.5 ACE MAX WOL '!N$4,'7. PGE_Efficacité'!$A$4:$AO$4,0)+62),0)</f>
        <v>+</v>
      </c>
      <c r="O60" s="235" t="str">
        <f>VLOOKUP($D60,'7. PGE_Efficacité'!$A$6:$CY$266,78,0)</f>
        <v>+</v>
      </c>
      <c r="P60" s="235">
        <f>VLOOKUP($D60,'7. PGE_Efficacité'!$A$6:$CY$266,(MATCH('4.5 ACE MAX WOL '!P$4,'7. PGE_Efficacité'!$A$4:$AO$4,0)+62),0)</f>
        <v>0</v>
      </c>
      <c r="Q60" s="235">
        <f>VLOOKUP($D60,'7. PGE_Efficacité'!$A$6:$CY$266,(MATCH('4.5 ACE MAX WOL '!Q$4,'7. PGE_Efficacité'!$A$4:$AO$4,0)+62),0)</f>
        <v>0</v>
      </c>
      <c r="R60" s="235">
        <f>VLOOKUP($D60,'7. PGE_Efficacité'!$A$6:$CY$266,(MATCH('4.5 ACE MAX WOL '!R$4,'7. PGE_Efficacité'!$A$4:$AO$4,0)+62),0)</f>
        <v>0</v>
      </c>
      <c r="S60" s="235">
        <f>VLOOKUP($D60,'7. PGE_Efficacité'!$A$6:$CY$266,(MATCH('4.5 ACE MAX WOL '!S$4,'7. PGE_Efficacité'!$A$4:$AO$4,0)+62),0)</f>
        <v>0</v>
      </c>
      <c r="T60" s="235">
        <f>VLOOKUP($D60,'7. PGE_Efficacité'!$A$6:$CY$266,(MATCH('4.5 ACE MAX WOL '!T$4,'7. PGE_Efficacité'!$A$4:$AO$4,0)+62),0)</f>
        <v>0</v>
      </c>
      <c r="U60" s="235">
        <f>VLOOKUP($D60,'7. PGE_Efficacité'!$A$6:$CY$266,(MATCH('4.5 ACE MAX WOL '!U$4,'7. PGE_Efficacité'!$A$4:$AO$4,0)+62),0)</f>
        <v>0</v>
      </c>
      <c r="V60" s="235" t="str">
        <f>VLOOKUP($D60,'7. PGE_Efficacité'!$A$6:$CY$266,(MATCH('4.5 ACE MAX WOL '!V$4,'7. PGE_Efficacité'!$A$4:$AO$4,0)+62),0)</f>
        <v>+</v>
      </c>
      <c r="W60" s="235" t="str">
        <f>VLOOKUP($D60,'7. PGE_Efficacité'!$A$6:$CY$266,(MATCH('4.5 ACE MAX WOL '!W$4,'7. PGE_Efficacité'!$A$4:$AO$4,0)+62),0)</f>
        <v>+</v>
      </c>
      <c r="X60" s="235">
        <f>VLOOKUP($D60,'7. PGE_Efficacité'!$A$6:$CY$266,(MATCH('4.5 ACE MAX WOL '!X$4,'7. PGE_Efficacité'!$A$4:$AO$4,0)+62),0)</f>
        <v>0</v>
      </c>
      <c r="Y60" s="235">
        <f>VLOOKUP($D60,'7. PGE_Efficacité'!$A$6:$CY$266,(MATCH('4.5 ACE MAX WOL '!Y$4,'7. PGE_Efficacité'!$A$4:$AO$4,0)+62),0)</f>
        <v>0</v>
      </c>
      <c r="Z60" s="235">
        <f>VLOOKUP($D60,'7. PGE_Efficacité'!$A$6:$CY$266,(MATCH('4.5 ACE MAX WOL '!Z$4,'7. PGE_Efficacité'!$A$4:$AO$4,0)+62),0)</f>
        <v>0</v>
      </c>
      <c r="AA60" s="235">
        <f>VLOOKUP($D60,'7. PGE_Efficacité'!$A$6:$CY$266,(MATCH('4.5 ACE MAX WOL '!AA$4,'7. PGE_Efficacité'!$A$4:$AO$4,0)+62),0)</f>
        <v>0</v>
      </c>
      <c r="AB60" s="235">
        <f>VLOOKUP($D60,'7. PGE_Efficacité'!$A$6:$CY$266,(MATCH('4.5 ACE MAX WOL '!AB$4,'7. PGE_Efficacité'!$A$4:$AO$4,0)+62),0)</f>
        <v>0</v>
      </c>
      <c r="AC60" s="235">
        <f>VLOOKUP($D60,'7. PGE_Efficacité'!$A$6:$CY$266,(MATCH('4.5 ACE MAX WOL '!AC$4,'7. PGE_Efficacité'!$A$4:$AO$4,0)+62),0)</f>
        <v>0</v>
      </c>
      <c r="AD60" s="235">
        <f>VLOOKUP($D60,'7. PGE_Efficacité'!$A$6:$CY$266,(MATCH('4.5 ACE MAX WOL '!AD$4,'7. PGE_Efficacité'!$A$4:$AO$4,0)+62),0)</f>
        <v>0</v>
      </c>
      <c r="AE60" s="235" t="str">
        <f>VLOOKUP($D60,'7. PGE_Efficacité'!$A$6:$CY$266,(MATCH('4.5 ACE MAX WOL '!AE$4,'7. PGE_Efficacité'!$A$4:$AO$4,0)+62),0)</f>
        <v>+</v>
      </c>
      <c r="AF60" s="235">
        <f>VLOOKUP($D60,'7. PGE_Efficacité'!$A$6:$CY$266,(MATCH('4.5 ACE MAX WOL '!AF$4,'7. PGE_Efficacité'!$A$4:$AO$4,0)+62),0)</f>
        <v>0</v>
      </c>
      <c r="AG60" s="235">
        <f>VLOOKUP($D60,'7. PGE_Efficacité'!$A$6:$CY$266,(MATCH('4.5 ACE MAX WOL '!AG$4,'7. PGE_Efficacité'!$A$4:$AO$4,0)+62),0)</f>
        <v>0</v>
      </c>
      <c r="AH60" s="235">
        <f>VLOOKUP($D60,'7. PGE_Efficacité'!$A$6:$CY$266,(MATCH('4.5 ACE MAX WOL '!AH$4,'7. PGE_Efficacité'!$A$4:$AO$4,0)+62),0)</f>
        <v>0</v>
      </c>
      <c r="AI60" s="235">
        <f>VLOOKUP($D60,'7. PGE_Efficacité'!$A$6:$CY$266,(MATCH('4.5 ACE MAX WOL '!AI$4,'7. PGE_Efficacité'!$A$4:$AO$4,0)+62),0)</f>
        <v>0</v>
      </c>
      <c r="AJ60" s="235">
        <f>VLOOKUP($D60,'7. PGE_Efficacité'!$A$6:$CY$266,(MATCH('4.5 ACE MAX WOL '!AJ$4,'7. PGE_Efficacité'!$A$4:$AO$4,0)+62),0)</f>
        <v>0</v>
      </c>
      <c r="AK60" s="235" t="str">
        <f>VLOOKUP($D60,'7. PGE_Efficacité'!$A$6:$CY$266,(MATCH('4.5 ACE MAX WOL '!AK$4,'7. PGE_Efficacité'!$A$4:$AO$4,0)+62),0)</f>
        <v>+</v>
      </c>
      <c r="AL60" s="235">
        <f>VLOOKUP($D60,'7. PGE_Efficacité'!$A$6:$CY$266,(MATCH('4.5 ACE MAX WOL '!AL$4,'7. PGE_Efficacité'!$A$4:$AO$4,0)+62),0)</f>
        <v>0</v>
      </c>
      <c r="AM60" s="235" t="str">
        <f>VLOOKUP($D60,'7. PGE_Efficacité'!$A$6:$CY$266,(MATCH('4.5 ACE MAX WOL '!AM$4,'7. PGE_Efficacité'!$A$4:$AO$4,0)+62),0)</f>
        <v>+</v>
      </c>
      <c r="AN60" s="235" t="str">
        <f>VLOOKUP($D60,'7. PGE_Efficacité'!$A$6:$CY$266,(MATCH('4.5 ACE MAX WOL '!AN$4,'7. PGE_Efficacité'!$A$4:$AO$4,0)+62),0)</f>
        <v>+</v>
      </c>
    </row>
    <row r="61" spans="1:40" hidden="1" outlineLevel="2" x14ac:dyDescent="0.25">
      <c r="A61" s="48" t="s">
        <v>1524</v>
      </c>
      <c r="B61" s="49">
        <v>7</v>
      </c>
      <c r="C61" s="48" t="s">
        <v>1524</v>
      </c>
      <c r="D61" s="199" t="s">
        <v>6</v>
      </c>
      <c r="E61" s="200" t="s">
        <v>828</v>
      </c>
      <c r="F61" s="200" t="s">
        <v>1458</v>
      </c>
      <c r="G61" s="201" t="s">
        <v>1522</v>
      </c>
      <c r="H61" s="200" t="s">
        <v>1290</v>
      </c>
      <c r="I61" s="202"/>
      <c r="J61" s="139">
        <f>VLOOKUP($E61,'7. PGE_Efficacité'!$A$6:$CY$266,(MATCH('4.5 ACE MAX WOL '!J$4,'7. PGE_Efficacité'!$A$4:$AO$4,0)+62),0)</f>
        <v>0</v>
      </c>
      <c r="K61" s="139">
        <f>VLOOKUP($E61,'7. PGE_Efficacité'!$A$6:$CY$266,(MATCH('4.5 ACE MAX WOL '!K$4,'7. PGE_Efficacité'!$A$4:$AO$4,0)+62),0)</f>
        <v>0</v>
      </c>
      <c r="L61" s="139">
        <f>VLOOKUP($E61,'7. PGE_Efficacité'!$A$6:$CY$266,(MATCH('4.5 ACE MAX WOL '!L$4,'7. PGE_Efficacité'!$A$4:$AO$4,0)+62),0)</f>
        <v>0</v>
      </c>
      <c r="M61" s="139">
        <f>VLOOKUP($E61,'7. PGE_Efficacité'!$A$6:$CY$266,(MATCH('4.5 ACE MAX WOL '!M$4,'7. PGE_Efficacité'!$A$4:$AO$4,0)+62),0)</f>
        <v>0</v>
      </c>
      <c r="N61" s="139">
        <f>VLOOKUP($E61,'7. PGE_Efficacité'!$A$6:$CY$266,(MATCH('4.5 ACE MAX WOL '!N$4,'7. PGE_Efficacité'!$A$4:$AO$4,0)+62),0)</f>
        <v>0</v>
      </c>
      <c r="O61" s="139">
        <f>VLOOKUP($E61,'7. PGE_Efficacité'!$A$6:$CY$266,78,0)</f>
        <v>0</v>
      </c>
      <c r="P61" s="139">
        <f>VLOOKUP($E61,'7. PGE_Efficacité'!$A$6:$CY$266,(MATCH('4.5 ACE MAX WOL '!P$4,'7. PGE_Efficacité'!$A$4:$AO$4,0)+62),0)</f>
        <v>0</v>
      </c>
      <c r="Q61" s="139">
        <f>VLOOKUP($E61,'7. PGE_Efficacité'!$A$6:$CY$266,(MATCH('4.5 ACE MAX WOL '!Q$4,'7. PGE_Efficacité'!$A$4:$AO$4,0)+62),0)</f>
        <v>0</v>
      </c>
      <c r="R61" s="139">
        <f>VLOOKUP($E61,'7. PGE_Efficacité'!$A$6:$CY$266,(MATCH('4.5 ACE MAX WOL '!R$4,'7. PGE_Efficacité'!$A$4:$AO$4,0)+62),0)</f>
        <v>0</v>
      </c>
      <c r="S61" s="139">
        <f>VLOOKUP($E61,'7. PGE_Efficacité'!$A$6:$CY$266,(MATCH('4.5 ACE MAX WOL '!S$4,'7. PGE_Efficacité'!$A$4:$AO$4,0)+62),0)</f>
        <v>0</v>
      </c>
      <c r="T61" s="139">
        <f>VLOOKUP($E61,'7. PGE_Efficacité'!$A$6:$CY$266,(MATCH('4.5 ACE MAX WOL '!T$4,'7. PGE_Efficacité'!$A$4:$AO$4,0)+62),0)</f>
        <v>0</v>
      </c>
      <c r="U61" s="139">
        <f>VLOOKUP($E61,'7. PGE_Efficacité'!$A$6:$CY$266,(MATCH('4.5 ACE MAX WOL '!U$4,'7. PGE_Efficacité'!$A$4:$AO$4,0)+62),0)</f>
        <v>0</v>
      </c>
      <c r="V61" s="139">
        <f>VLOOKUP($E61,'7. PGE_Efficacité'!$A$6:$CY$266,(MATCH('4.5 ACE MAX WOL '!V$4,'7. PGE_Efficacité'!$A$4:$AO$4,0)+62),0)</f>
        <v>0</v>
      </c>
      <c r="W61" s="139">
        <f>VLOOKUP($E61,'7. PGE_Efficacité'!$A$6:$CY$266,(MATCH('4.5 ACE MAX WOL '!W$4,'7. PGE_Efficacité'!$A$4:$AO$4,0)+62),0)</f>
        <v>0</v>
      </c>
      <c r="X61" s="139">
        <f>VLOOKUP($E61,'7. PGE_Efficacité'!$A$6:$CY$266,(MATCH('4.5 ACE MAX WOL '!X$4,'7. PGE_Efficacité'!$A$4:$AO$4,0)+62),0)</f>
        <v>0</v>
      </c>
      <c r="Y61" s="139">
        <f>VLOOKUP($E61,'7. PGE_Efficacité'!$A$6:$CY$266,(MATCH('4.5 ACE MAX WOL '!Y$4,'7. PGE_Efficacité'!$A$4:$AO$4,0)+62),0)</f>
        <v>0</v>
      </c>
      <c r="Z61" s="139">
        <f>VLOOKUP($E61,'7. PGE_Efficacité'!$A$6:$CY$266,(MATCH('4.5 ACE MAX WOL '!Z$4,'7. PGE_Efficacité'!$A$4:$AO$4,0)+62),0)</f>
        <v>0</v>
      </c>
      <c r="AA61" s="139">
        <f>VLOOKUP($E61,'7. PGE_Efficacité'!$A$6:$CY$266,(MATCH('4.5 ACE MAX WOL '!AA$4,'7. PGE_Efficacité'!$A$4:$AO$4,0)+62),0)</f>
        <v>0</v>
      </c>
      <c r="AB61" s="139">
        <f>VLOOKUP($E61,'7. PGE_Efficacité'!$A$6:$CY$266,(MATCH('4.5 ACE MAX WOL '!AB$4,'7. PGE_Efficacité'!$A$4:$AO$4,0)+62),0)</f>
        <v>0</v>
      </c>
      <c r="AC61" s="139">
        <f>VLOOKUP($E61,'7. PGE_Efficacité'!$A$6:$CY$266,(MATCH('4.5 ACE MAX WOL '!AC$4,'7. PGE_Efficacité'!$A$4:$AO$4,0)+62),0)</f>
        <v>0</v>
      </c>
      <c r="AD61" s="139">
        <f>VLOOKUP($E61,'7. PGE_Efficacité'!$A$6:$CY$266,(MATCH('4.5 ACE MAX WOL '!AD$4,'7. PGE_Efficacité'!$A$4:$AO$4,0)+62),0)</f>
        <v>0</v>
      </c>
      <c r="AE61" s="139">
        <f>VLOOKUP($E61,'7. PGE_Efficacité'!$A$6:$CY$266,(MATCH('4.5 ACE MAX WOL '!AE$4,'7. PGE_Efficacité'!$A$4:$AO$4,0)+62),0)</f>
        <v>0</v>
      </c>
      <c r="AF61" s="139">
        <f>VLOOKUP($E61,'7. PGE_Efficacité'!$A$6:$CY$266,(MATCH('4.5 ACE MAX WOL '!AF$4,'7. PGE_Efficacité'!$A$4:$AO$4,0)+62),0)</f>
        <v>0</v>
      </c>
      <c r="AG61" s="139">
        <f>VLOOKUP($E61,'7. PGE_Efficacité'!$A$6:$CY$266,(MATCH('4.5 ACE MAX WOL '!AG$4,'7. PGE_Efficacité'!$A$4:$AO$4,0)+62),0)</f>
        <v>0</v>
      </c>
      <c r="AH61" s="139">
        <f>VLOOKUP($E61,'7. PGE_Efficacité'!$A$6:$CY$266,(MATCH('4.5 ACE MAX WOL '!AH$4,'7. PGE_Efficacité'!$A$4:$AO$4,0)+62),0)</f>
        <v>0</v>
      </c>
      <c r="AI61" s="139">
        <f>VLOOKUP($E61,'7. PGE_Efficacité'!$A$6:$CY$266,(MATCH('4.5 ACE MAX WOL '!AI$4,'7. PGE_Efficacité'!$A$4:$AO$4,0)+62),0)</f>
        <v>0</v>
      </c>
      <c r="AJ61" s="139">
        <f>VLOOKUP($E61,'7. PGE_Efficacité'!$A$6:$CY$266,(MATCH('4.5 ACE MAX WOL '!AJ$4,'7. PGE_Efficacité'!$A$4:$AO$4,0)+62),0)</f>
        <v>0</v>
      </c>
      <c r="AK61" s="139">
        <f>VLOOKUP($E61,'7. PGE_Efficacité'!$A$6:$CY$266,(MATCH('4.5 ACE MAX WOL '!AK$4,'7. PGE_Efficacité'!$A$4:$AO$4,0)+62),0)</f>
        <v>0</v>
      </c>
      <c r="AL61" s="139">
        <f>VLOOKUP($E61,'7. PGE_Efficacité'!$A$6:$CY$266,(MATCH('4.5 ACE MAX WOL '!AL$4,'7. PGE_Efficacité'!$A$4:$AO$4,0)+62),0)</f>
        <v>0</v>
      </c>
      <c r="AM61" s="139">
        <f>VLOOKUP($E61,'7. PGE_Efficacité'!$A$6:$CY$266,(MATCH('4.5 ACE MAX WOL '!AM$4,'7. PGE_Efficacité'!$A$4:$AO$4,0)+62),0)</f>
        <v>0</v>
      </c>
      <c r="AN61" s="139">
        <f>VLOOKUP($E61,'7. PGE_Efficacité'!$A$6:$CY$266,(MATCH('4.5 ACE MAX WOL '!AN$4,'7. PGE_Efficacité'!$A$4:$AO$4,0)+62),0)</f>
        <v>0</v>
      </c>
    </row>
    <row r="62" spans="1:40" hidden="1" outlineLevel="2" x14ac:dyDescent="0.25">
      <c r="A62" s="48" t="s">
        <v>1524</v>
      </c>
      <c r="B62" s="49">
        <v>7</v>
      </c>
      <c r="C62" s="48" t="s">
        <v>1525</v>
      </c>
      <c r="D62" s="199" t="s">
        <v>6</v>
      </c>
      <c r="E62" s="200" t="s">
        <v>829</v>
      </c>
      <c r="F62" s="200" t="s">
        <v>1459</v>
      </c>
      <c r="G62" s="201" t="s">
        <v>1522</v>
      </c>
      <c r="H62" s="200" t="s">
        <v>1290</v>
      </c>
      <c r="I62" s="202"/>
      <c r="J62" s="139">
        <f>VLOOKUP($E62,'7. PGE_Efficacité'!$A$6:$CY$266,(MATCH('4.5 ACE MAX WOL '!J$4,'7. PGE_Efficacité'!$A$4:$AO$4,0)+62),0)</f>
        <v>0</v>
      </c>
      <c r="K62" s="139">
        <f>VLOOKUP($E62,'7. PGE_Efficacité'!$A$6:$CY$266,(MATCH('4.5 ACE MAX WOL '!K$4,'7. PGE_Efficacité'!$A$4:$AO$4,0)+62),0)</f>
        <v>0</v>
      </c>
      <c r="L62" s="139">
        <f>VLOOKUP($E62,'7. PGE_Efficacité'!$A$6:$CY$266,(MATCH('4.5 ACE MAX WOL '!L$4,'7. PGE_Efficacité'!$A$4:$AO$4,0)+62),0)</f>
        <v>0</v>
      </c>
      <c r="M62" s="139">
        <f>VLOOKUP($E62,'7. PGE_Efficacité'!$A$6:$CY$266,(MATCH('4.5 ACE MAX WOL '!M$4,'7. PGE_Efficacité'!$A$4:$AO$4,0)+62),0)</f>
        <v>0</v>
      </c>
      <c r="N62" s="139">
        <f>VLOOKUP($E62,'7. PGE_Efficacité'!$A$6:$CY$266,(MATCH('4.5 ACE MAX WOL '!N$4,'7. PGE_Efficacité'!$A$4:$AO$4,0)+62),0)</f>
        <v>0</v>
      </c>
      <c r="O62" s="139">
        <f>VLOOKUP($E62,'7. PGE_Efficacité'!$A$6:$CY$266,78,0)</f>
        <v>0</v>
      </c>
      <c r="P62" s="139">
        <f>VLOOKUP($E62,'7. PGE_Efficacité'!$A$6:$CY$266,(MATCH('4.5 ACE MAX WOL '!P$4,'7. PGE_Efficacité'!$A$4:$AO$4,0)+62),0)</f>
        <v>0</v>
      </c>
      <c r="Q62" s="139">
        <f>VLOOKUP($E62,'7. PGE_Efficacité'!$A$6:$CY$266,(MATCH('4.5 ACE MAX WOL '!Q$4,'7. PGE_Efficacité'!$A$4:$AO$4,0)+62),0)</f>
        <v>0</v>
      </c>
      <c r="R62" s="139">
        <f>VLOOKUP($E62,'7. PGE_Efficacité'!$A$6:$CY$266,(MATCH('4.5 ACE MAX WOL '!R$4,'7. PGE_Efficacité'!$A$4:$AO$4,0)+62),0)</f>
        <v>0</v>
      </c>
      <c r="S62" s="139">
        <f>VLOOKUP($E62,'7. PGE_Efficacité'!$A$6:$CY$266,(MATCH('4.5 ACE MAX WOL '!S$4,'7. PGE_Efficacité'!$A$4:$AO$4,0)+62),0)</f>
        <v>0</v>
      </c>
      <c r="T62" s="139">
        <f>VLOOKUP($E62,'7. PGE_Efficacité'!$A$6:$CY$266,(MATCH('4.5 ACE MAX WOL '!T$4,'7. PGE_Efficacité'!$A$4:$AO$4,0)+62),0)</f>
        <v>0</v>
      </c>
      <c r="U62" s="139">
        <f>VLOOKUP($E62,'7. PGE_Efficacité'!$A$6:$CY$266,(MATCH('4.5 ACE MAX WOL '!U$4,'7. PGE_Efficacité'!$A$4:$AO$4,0)+62),0)</f>
        <v>0</v>
      </c>
      <c r="V62" s="139">
        <f>VLOOKUP($E62,'7. PGE_Efficacité'!$A$6:$CY$266,(MATCH('4.5 ACE MAX WOL '!V$4,'7. PGE_Efficacité'!$A$4:$AO$4,0)+62),0)</f>
        <v>0</v>
      </c>
      <c r="W62" s="139">
        <f>VLOOKUP($E62,'7. PGE_Efficacité'!$A$6:$CY$266,(MATCH('4.5 ACE MAX WOL '!W$4,'7. PGE_Efficacité'!$A$4:$AO$4,0)+62),0)</f>
        <v>0</v>
      </c>
      <c r="X62" s="139">
        <f>VLOOKUP($E62,'7. PGE_Efficacité'!$A$6:$CY$266,(MATCH('4.5 ACE MAX WOL '!X$4,'7. PGE_Efficacité'!$A$4:$AO$4,0)+62),0)</f>
        <v>0</v>
      </c>
      <c r="Y62" s="139">
        <f>VLOOKUP($E62,'7. PGE_Efficacité'!$A$6:$CY$266,(MATCH('4.5 ACE MAX WOL '!Y$4,'7. PGE_Efficacité'!$A$4:$AO$4,0)+62),0)</f>
        <v>0</v>
      </c>
      <c r="Z62" s="139">
        <f>VLOOKUP($E62,'7. PGE_Efficacité'!$A$6:$CY$266,(MATCH('4.5 ACE MAX WOL '!Z$4,'7. PGE_Efficacité'!$A$4:$AO$4,0)+62),0)</f>
        <v>0</v>
      </c>
      <c r="AA62" s="139">
        <f>VLOOKUP($E62,'7. PGE_Efficacité'!$A$6:$CY$266,(MATCH('4.5 ACE MAX WOL '!AA$4,'7. PGE_Efficacité'!$A$4:$AO$4,0)+62),0)</f>
        <v>0</v>
      </c>
      <c r="AB62" s="139">
        <f>VLOOKUP($E62,'7. PGE_Efficacité'!$A$6:$CY$266,(MATCH('4.5 ACE MAX WOL '!AB$4,'7. PGE_Efficacité'!$A$4:$AO$4,0)+62),0)</f>
        <v>0</v>
      </c>
      <c r="AC62" s="139">
        <f>VLOOKUP($E62,'7. PGE_Efficacité'!$A$6:$CY$266,(MATCH('4.5 ACE MAX WOL '!AC$4,'7. PGE_Efficacité'!$A$4:$AO$4,0)+62),0)</f>
        <v>0</v>
      </c>
      <c r="AD62" s="139">
        <f>VLOOKUP($E62,'7. PGE_Efficacité'!$A$6:$CY$266,(MATCH('4.5 ACE MAX WOL '!AD$4,'7. PGE_Efficacité'!$A$4:$AO$4,0)+62),0)</f>
        <v>0</v>
      </c>
      <c r="AE62" s="139">
        <f>VLOOKUP($E62,'7. PGE_Efficacité'!$A$6:$CY$266,(MATCH('4.5 ACE MAX WOL '!AE$4,'7. PGE_Efficacité'!$A$4:$AO$4,0)+62),0)</f>
        <v>0</v>
      </c>
      <c r="AF62" s="139">
        <f>VLOOKUP($E62,'7. PGE_Efficacité'!$A$6:$CY$266,(MATCH('4.5 ACE MAX WOL '!AF$4,'7. PGE_Efficacité'!$A$4:$AO$4,0)+62),0)</f>
        <v>0</v>
      </c>
      <c r="AG62" s="139">
        <f>VLOOKUP($E62,'7. PGE_Efficacité'!$A$6:$CY$266,(MATCH('4.5 ACE MAX WOL '!AG$4,'7. PGE_Efficacité'!$A$4:$AO$4,0)+62),0)</f>
        <v>0</v>
      </c>
      <c r="AH62" s="139">
        <f>VLOOKUP($E62,'7. PGE_Efficacité'!$A$6:$CY$266,(MATCH('4.5 ACE MAX WOL '!AH$4,'7. PGE_Efficacité'!$A$4:$AO$4,0)+62),0)</f>
        <v>0</v>
      </c>
      <c r="AI62" s="139">
        <f>VLOOKUP($E62,'7. PGE_Efficacité'!$A$6:$CY$266,(MATCH('4.5 ACE MAX WOL '!AI$4,'7. PGE_Efficacité'!$A$4:$AO$4,0)+62),0)</f>
        <v>0</v>
      </c>
      <c r="AJ62" s="139">
        <f>VLOOKUP($E62,'7. PGE_Efficacité'!$A$6:$CY$266,(MATCH('4.5 ACE MAX WOL '!AJ$4,'7. PGE_Efficacité'!$A$4:$AO$4,0)+62),0)</f>
        <v>0</v>
      </c>
      <c r="AK62" s="139">
        <f>VLOOKUP($E62,'7. PGE_Efficacité'!$A$6:$CY$266,(MATCH('4.5 ACE MAX WOL '!AK$4,'7. PGE_Efficacité'!$A$4:$AO$4,0)+62),0)</f>
        <v>0</v>
      </c>
      <c r="AL62" s="139">
        <f>VLOOKUP($E62,'7. PGE_Efficacité'!$A$6:$CY$266,(MATCH('4.5 ACE MAX WOL '!AL$4,'7. PGE_Efficacité'!$A$4:$AO$4,0)+62),0)</f>
        <v>0</v>
      </c>
      <c r="AM62" s="139">
        <f>VLOOKUP($E62,'7. PGE_Efficacité'!$A$6:$CY$266,(MATCH('4.5 ACE MAX WOL '!AM$4,'7. PGE_Efficacité'!$A$4:$AO$4,0)+62),0)</f>
        <v>0</v>
      </c>
      <c r="AN62" s="139">
        <f>VLOOKUP($E62,'7. PGE_Efficacité'!$A$6:$CY$266,(MATCH('4.5 ACE MAX WOL '!AN$4,'7. PGE_Efficacité'!$A$4:$AO$4,0)+62),0)</f>
        <v>0</v>
      </c>
    </row>
    <row r="63" spans="1:40" hidden="1" outlineLevel="2" x14ac:dyDescent="0.25">
      <c r="A63" s="48" t="s">
        <v>1524</v>
      </c>
      <c r="B63" s="49">
        <v>7</v>
      </c>
      <c r="C63" s="48" t="s">
        <v>1526</v>
      </c>
      <c r="D63" s="199" t="s">
        <v>6</v>
      </c>
      <c r="E63" s="200" t="s">
        <v>830</v>
      </c>
      <c r="F63" s="200" t="s">
        <v>1460</v>
      </c>
      <c r="G63" s="201" t="s">
        <v>1522</v>
      </c>
      <c r="H63" s="200" t="s">
        <v>1290</v>
      </c>
      <c r="I63" s="202"/>
      <c r="J63" s="139">
        <f>VLOOKUP($E63,'7. PGE_Efficacité'!$A$6:$CY$266,(MATCH('4.5 ACE MAX WOL '!J$4,'7. PGE_Efficacité'!$A$4:$AO$4,0)+62),0)</f>
        <v>0</v>
      </c>
      <c r="K63" s="139">
        <f>VLOOKUP($E63,'7. PGE_Efficacité'!$A$6:$CY$266,(MATCH('4.5 ACE MAX WOL '!K$4,'7. PGE_Efficacité'!$A$4:$AO$4,0)+62),0)</f>
        <v>0</v>
      </c>
      <c r="L63" s="139">
        <f>VLOOKUP($E63,'7. PGE_Efficacité'!$A$6:$CY$266,(MATCH('4.5 ACE MAX WOL '!L$4,'7. PGE_Efficacité'!$A$4:$AO$4,0)+62),0)</f>
        <v>0</v>
      </c>
      <c r="M63" s="139">
        <f>VLOOKUP($E63,'7. PGE_Efficacité'!$A$6:$CY$266,(MATCH('4.5 ACE MAX WOL '!M$4,'7. PGE_Efficacité'!$A$4:$AO$4,0)+62),0)</f>
        <v>0</v>
      </c>
      <c r="N63" s="139">
        <f>VLOOKUP($E63,'7. PGE_Efficacité'!$A$6:$CY$266,(MATCH('4.5 ACE MAX WOL '!N$4,'7. PGE_Efficacité'!$A$4:$AO$4,0)+62),0)</f>
        <v>0</v>
      </c>
      <c r="O63" s="139">
        <f>VLOOKUP($E63,'7. PGE_Efficacité'!$A$6:$CY$266,78,0)</f>
        <v>0</v>
      </c>
      <c r="P63" s="139">
        <f>VLOOKUP($E63,'7. PGE_Efficacité'!$A$6:$CY$266,(MATCH('4.5 ACE MAX WOL '!P$4,'7. PGE_Efficacité'!$A$4:$AO$4,0)+62),0)</f>
        <v>0</v>
      </c>
      <c r="Q63" s="139">
        <f>VLOOKUP($E63,'7. PGE_Efficacité'!$A$6:$CY$266,(MATCH('4.5 ACE MAX WOL '!Q$4,'7. PGE_Efficacité'!$A$4:$AO$4,0)+62),0)</f>
        <v>0</v>
      </c>
      <c r="R63" s="139">
        <f>VLOOKUP($E63,'7. PGE_Efficacité'!$A$6:$CY$266,(MATCH('4.5 ACE MAX WOL '!R$4,'7. PGE_Efficacité'!$A$4:$AO$4,0)+62),0)</f>
        <v>0</v>
      </c>
      <c r="S63" s="139">
        <f>VLOOKUP($E63,'7. PGE_Efficacité'!$A$6:$CY$266,(MATCH('4.5 ACE MAX WOL '!S$4,'7. PGE_Efficacité'!$A$4:$AO$4,0)+62),0)</f>
        <v>0</v>
      </c>
      <c r="T63" s="139">
        <f>VLOOKUP($E63,'7. PGE_Efficacité'!$A$6:$CY$266,(MATCH('4.5 ACE MAX WOL '!T$4,'7. PGE_Efficacité'!$A$4:$AO$4,0)+62),0)</f>
        <v>0</v>
      </c>
      <c r="U63" s="139">
        <f>VLOOKUP($E63,'7. PGE_Efficacité'!$A$6:$CY$266,(MATCH('4.5 ACE MAX WOL '!U$4,'7. PGE_Efficacité'!$A$4:$AO$4,0)+62),0)</f>
        <v>0</v>
      </c>
      <c r="V63" s="139">
        <f>VLOOKUP($E63,'7. PGE_Efficacité'!$A$6:$CY$266,(MATCH('4.5 ACE MAX WOL '!V$4,'7. PGE_Efficacité'!$A$4:$AO$4,0)+62),0)</f>
        <v>0</v>
      </c>
      <c r="W63" s="139">
        <f>VLOOKUP($E63,'7. PGE_Efficacité'!$A$6:$CY$266,(MATCH('4.5 ACE MAX WOL '!W$4,'7. PGE_Efficacité'!$A$4:$AO$4,0)+62),0)</f>
        <v>0</v>
      </c>
      <c r="X63" s="139">
        <f>VLOOKUP($E63,'7. PGE_Efficacité'!$A$6:$CY$266,(MATCH('4.5 ACE MAX WOL '!X$4,'7. PGE_Efficacité'!$A$4:$AO$4,0)+62),0)</f>
        <v>0</v>
      </c>
      <c r="Y63" s="139">
        <f>VLOOKUP($E63,'7. PGE_Efficacité'!$A$6:$CY$266,(MATCH('4.5 ACE MAX WOL '!Y$4,'7. PGE_Efficacité'!$A$4:$AO$4,0)+62),0)</f>
        <v>0</v>
      </c>
      <c r="Z63" s="139">
        <f>VLOOKUP($E63,'7. PGE_Efficacité'!$A$6:$CY$266,(MATCH('4.5 ACE MAX WOL '!Z$4,'7. PGE_Efficacité'!$A$4:$AO$4,0)+62),0)</f>
        <v>0</v>
      </c>
      <c r="AA63" s="139">
        <f>VLOOKUP($E63,'7. PGE_Efficacité'!$A$6:$CY$266,(MATCH('4.5 ACE MAX WOL '!AA$4,'7. PGE_Efficacité'!$A$4:$AO$4,0)+62),0)</f>
        <v>0</v>
      </c>
      <c r="AB63" s="139">
        <f>VLOOKUP($E63,'7. PGE_Efficacité'!$A$6:$CY$266,(MATCH('4.5 ACE MAX WOL '!AB$4,'7. PGE_Efficacité'!$A$4:$AO$4,0)+62),0)</f>
        <v>0</v>
      </c>
      <c r="AC63" s="139">
        <f>VLOOKUP($E63,'7. PGE_Efficacité'!$A$6:$CY$266,(MATCH('4.5 ACE MAX WOL '!AC$4,'7. PGE_Efficacité'!$A$4:$AO$4,0)+62),0)</f>
        <v>0</v>
      </c>
      <c r="AD63" s="139">
        <f>VLOOKUP($E63,'7. PGE_Efficacité'!$A$6:$CY$266,(MATCH('4.5 ACE MAX WOL '!AD$4,'7. PGE_Efficacité'!$A$4:$AO$4,0)+62),0)</f>
        <v>0</v>
      </c>
      <c r="AE63" s="139">
        <f>VLOOKUP($E63,'7. PGE_Efficacité'!$A$6:$CY$266,(MATCH('4.5 ACE MAX WOL '!AE$4,'7. PGE_Efficacité'!$A$4:$AO$4,0)+62),0)</f>
        <v>0</v>
      </c>
      <c r="AF63" s="139">
        <f>VLOOKUP($E63,'7. PGE_Efficacité'!$A$6:$CY$266,(MATCH('4.5 ACE MAX WOL '!AF$4,'7. PGE_Efficacité'!$A$4:$AO$4,0)+62),0)</f>
        <v>0</v>
      </c>
      <c r="AG63" s="139">
        <f>VLOOKUP($E63,'7. PGE_Efficacité'!$A$6:$CY$266,(MATCH('4.5 ACE MAX WOL '!AG$4,'7. PGE_Efficacité'!$A$4:$AO$4,0)+62),0)</f>
        <v>0</v>
      </c>
      <c r="AH63" s="139">
        <f>VLOOKUP($E63,'7. PGE_Efficacité'!$A$6:$CY$266,(MATCH('4.5 ACE MAX WOL '!AH$4,'7. PGE_Efficacité'!$A$4:$AO$4,0)+62),0)</f>
        <v>0</v>
      </c>
      <c r="AI63" s="139">
        <f>VLOOKUP($E63,'7. PGE_Efficacité'!$A$6:$CY$266,(MATCH('4.5 ACE MAX WOL '!AI$4,'7. PGE_Efficacité'!$A$4:$AO$4,0)+62),0)</f>
        <v>0</v>
      </c>
      <c r="AJ63" s="139">
        <f>VLOOKUP($E63,'7. PGE_Efficacité'!$A$6:$CY$266,(MATCH('4.5 ACE MAX WOL '!AJ$4,'7. PGE_Efficacité'!$A$4:$AO$4,0)+62),0)</f>
        <v>0</v>
      </c>
      <c r="AK63" s="139">
        <f>VLOOKUP($E63,'7. PGE_Efficacité'!$A$6:$CY$266,(MATCH('4.5 ACE MAX WOL '!AK$4,'7. PGE_Efficacité'!$A$4:$AO$4,0)+62),0)</f>
        <v>0</v>
      </c>
      <c r="AL63" s="139">
        <f>VLOOKUP($E63,'7. PGE_Efficacité'!$A$6:$CY$266,(MATCH('4.5 ACE MAX WOL '!AL$4,'7. PGE_Efficacité'!$A$4:$AO$4,0)+62),0)</f>
        <v>0</v>
      </c>
      <c r="AM63" s="139">
        <f>VLOOKUP($E63,'7. PGE_Efficacité'!$A$6:$CY$266,(MATCH('4.5 ACE MAX WOL '!AM$4,'7. PGE_Efficacité'!$A$4:$AO$4,0)+62),0)</f>
        <v>0</v>
      </c>
      <c r="AN63" s="139">
        <f>VLOOKUP($E63,'7. PGE_Efficacité'!$A$6:$CY$266,(MATCH('4.5 ACE MAX WOL '!AN$4,'7. PGE_Efficacité'!$A$4:$AO$4,0)+62),0)</f>
        <v>0</v>
      </c>
    </row>
    <row r="64" spans="1:40" hidden="1" outlineLevel="2" x14ac:dyDescent="0.25">
      <c r="A64" s="48" t="s">
        <v>1524</v>
      </c>
      <c r="B64" s="49">
        <v>7</v>
      </c>
      <c r="C64" s="48" t="s">
        <v>1527</v>
      </c>
      <c r="D64" s="199" t="s">
        <v>6</v>
      </c>
      <c r="E64" s="200" t="s">
        <v>831</v>
      </c>
      <c r="F64" s="200" t="s">
        <v>1461</v>
      </c>
      <c r="G64" s="201" t="s">
        <v>1522</v>
      </c>
      <c r="H64" s="200" t="s">
        <v>1290</v>
      </c>
      <c r="I64" s="202"/>
      <c r="J64" s="139">
        <f>VLOOKUP($E64,'7. PGE_Efficacité'!$A$6:$CY$266,(MATCH('4.5 ACE MAX WOL '!J$4,'7. PGE_Efficacité'!$A$4:$AO$4,0)+62),0)</f>
        <v>0</v>
      </c>
      <c r="K64" s="139">
        <f>VLOOKUP($E64,'7. PGE_Efficacité'!$A$6:$CY$266,(MATCH('4.5 ACE MAX WOL '!K$4,'7. PGE_Efficacité'!$A$4:$AO$4,0)+62),0)</f>
        <v>0</v>
      </c>
      <c r="L64" s="139">
        <f>VLOOKUP($E64,'7. PGE_Efficacité'!$A$6:$CY$266,(MATCH('4.5 ACE MAX WOL '!L$4,'7. PGE_Efficacité'!$A$4:$AO$4,0)+62),0)</f>
        <v>0</v>
      </c>
      <c r="M64" s="139">
        <f>VLOOKUP($E64,'7. PGE_Efficacité'!$A$6:$CY$266,(MATCH('4.5 ACE MAX WOL '!M$4,'7. PGE_Efficacité'!$A$4:$AO$4,0)+62),0)</f>
        <v>0</v>
      </c>
      <c r="N64" s="139">
        <f>VLOOKUP($E64,'7. PGE_Efficacité'!$A$6:$CY$266,(MATCH('4.5 ACE MAX WOL '!N$4,'7. PGE_Efficacité'!$A$4:$AO$4,0)+62),0)</f>
        <v>0</v>
      </c>
      <c r="O64" s="139">
        <f>VLOOKUP($E64,'7. PGE_Efficacité'!$A$6:$CY$266,78,0)</f>
        <v>0</v>
      </c>
      <c r="P64" s="139">
        <f>VLOOKUP($E64,'7. PGE_Efficacité'!$A$6:$CY$266,(MATCH('4.5 ACE MAX WOL '!P$4,'7. PGE_Efficacité'!$A$4:$AO$4,0)+62),0)</f>
        <v>0</v>
      </c>
      <c r="Q64" s="139">
        <f>VLOOKUP($E64,'7. PGE_Efficacité'!$A$6:$CY$266,(MATCH('4.5 ACE MAX WOL '!Q$4,'7. PGE_Efficacité'!$A$4:$AO$4,0)+62),0)</f>
        <v>0</v>
      </c>
      <c r="R64" s="139">
        <f>VLOOKUP($E64,'7. PGE_Efficacité'!$A$6:$CY$266,(MATCH('4.5 ACE MAX WOL '!R$4,'7. PGE_Efficacité'!$A$4:$AO$4,0)+62),0)</f>
        <v>0</v>
      </c>
      <c r="S64" s="139">
        <f>VLOOKUP($E64,'7. PGE_Efficacité'!$A$6:$CY$266,(MATCH('4.5 ACE MAX WOL '!S$4,'7. PGE_Efficacité'!$A$4:$AO$4,0)+62),0)</f>
        <v>0</v>
      </c>
      <c r="T64" s="139">
        <f>VLOOKUP($E64,'7. PGE_Efficacité'!$A$6:$CY$266,(MATCH('4.5 ACE MAX WOL '!T$4,'7. PGE_Efficacité'!$A$4:$AO$4,0)+62),0)</f>
        <v>0</v>
      </c>
      <c r="U64" s="139">
        <f>VLOOKUP($E64,'7. PGE_Efficacité'!$A$6:$CY$266,(MATCH('4.5 ACE MAX WOL '!U$4,'7. PGE_Efficacité'!$A$4:$AO$4,0)+62),0)</f>
        <v>0</v>
      </c>
      <c r="V64" s="139">
        <f>VLOOKUP($E64,'7. PGE_Efficacité'!$A$6:$CY$266,(MATCH('4.5 ACE MAX WOL '!V$4,'7. PGE_Efficacité'!$A$4:$AO$4,0)+62),0)</f>
        <v>0</v>
      </c>
      <c r="W64" s="139">
        <f>VLOOKUP($E64,'7. PGE_Efficacité'!$A$6:$CY$266,(MATCH('4.5 ACE MAX WOL '!W$4,'7. PGE_Efficacité'!$A$4:$AO$4,0)+62),0)</f>
        <v>0</v>
      </c>
      <c r="X64" s="139">
        <f>VLOOKUP($E64,'7. PGE_Efficacité'!$A$6:$CY$266,(MATCH('4.5 ACE MAX WOL '!X$4,'7. PGE_Efficacité'!$A$4:$AO$4,0)+62),0)</f>
        <v>0</v>
      </c>
      <c r="Y64" s="139">
        <f>VLOOKUP($E64,'7. PGE_Efficacité'!$A$6:$CY$266,(MATCH('4.5 ACE MAX WOL '!Y$4,'7. PGE_Efficacité'!$A$4:$AO$4,0)+62),0)</f>
        <v>0</v>
      </c>
      <c r="Z64" s="139">
        <f>VLOOKUP($E64,'7. PGE_Efficacité'!$A$6:$CY$266,(MATCH('4.5 ACE MAX WOL '!Z$4,'7. PGE_Efficacité'!$A$4:$AO$4,0)+62),0)</f>
        <v>0</v>
      </c>
      <c r="AA64" s="139">
        <f>VLOOKUP($E64,'7. PGE_Efficacité'!$A$6:$CY$266,(MATCH('4.5 ACE MAX WOL '!AA$4,'7. PGE_Efficacité'!$A$4:$AO$4,0)+62),0)</f>
        <v>0</v>
      </c>
      <c r="AB64" s="139">
        <f>VLOOKUP($E64,'7. PGE_Efficacité'!$A$6:$CY$266,(MATCH('4.5 ACE MAX WOL '!AB$4,'7. PGE_Efficacité'!$A$4:$AO$4,0)+62),0)</f>
        <v>0</v>
      </c>
      <c r="AC64" s="139">
        <f>VLOOKUP($E64,'7. PGE_Efficacité'!$A$6:$CY$266,(MATCH('4.5 ACE MAX WOL '!AC$4,'7. PGE_Efficacité'!$A$4:$AO$4,0)+62),0)</f>
        <v>0</v>
      </c>
      <c r="AD64" s="139">
        <f>VLOOKUP($E64,'7. PGE_Efficacité'!$A$6:$CY$266,(MATCH('4.5 ACE MAX WOL '!AD$4,'7. PGE_Efficacité'!$A$4:$AO$4,0)+62),0)</f>
        <v>0</v>
      </c>
      <c r="AE64" s="139">
        <f>VLOOKUP($E64,'7. PGE_Efficacité'!$A$6:$CY$266,(MATCH('4.5 ACE MAX WOL '!AE$4,'7. PGE_Efficacité'!$A$4:$AO$4,0)+62),0)</f>
        <v>0</v>
      </c>
      <c r="AF64" s="139">
        <f>VLOOKUP($E64,'7. PGE_Efficacité'!$A$6:$CY$266,(MATCH('4.5 ACE MAX WOL '!AF$4,'7. PGE_Efficacité'!$A$4:$AO$4,0)+62),0)</f>
        <v>0</v>
      </c>
      <c r="AG64" s="139">
        <f>VLOOKUP($E64,'7. PGE_Efficacité'!$A$6:$CY$266,(MATCH('4.5 ACE MAX WOL '!AG$4,'7. PGE_Efficacité'!$A$4:$AO$4,0)+62),0)</f>
        <v>0</v>
      </c>
      <c r="AH64" s="139">
        <f>VLOOKUP($E64,'7. PGE_Efficacité'!$A$6:$CY$266,(MATCH('4.5 ACE MAX WOL '!AH$4,'7. PGE_Efficacité'!$A$4:$AO$4,0)+62),0)</f>
        <v>0</v>
      </c>
      <c r="AI64" s="139">
        <f>VLOOKUP($E64,'7. PGE_Efficacité'!$A$6:$CY$266,(MATCH('4.5 ACE MAX WOL '!AI$4,'7. PGE_Efficacité'!$A$4:$AO$4,0)+62),0)</f>
        <v>0</v>
      </c>
      <c r="AJ64" s="139">
        <f>VLOOKUP($E64,'7. PGE_Efficacité'!$A$6:$CY$266,(MATCH('4.5 ACE MAX WOL '!AJ$4,'7. PGE_Efficacité'!$A$4:$AO$4,0)+62),0)</f>
        <v>0</v>
      </c>
      <c r="AK64" s="139">
        <f>VLOOKUP($E64,'7. PGE_Efficacité'!$A$6:$CY$266,(MATCH('4.5 ACE MAX WOL '!AK$4,'7. PGE_Efficacité'!$A$4:$AO$4,0)+62),0)</f>
        <v>0</v>
      </c>
      <c r="AL64" s="139">
        <f>VLOOKUP($E64,'7. PGE_Efficacité'!$A$6:$CY$266,(MATCH('4.5 ACE MAX WOL '!AL$4,'7. PGE_Efficacité'!$A$4:$AO$4,0)+62),0)</f>
        <v>0</v>
      </c>
      <c r="AM64" s="139">
        <f>VLOOKUP($E64,'7. PGE_Efficacité'!$A$6:$CY$266,(MATCH('4.5 ACE MAX WOL '!AM$4,'7. PGE_Efficacité'!$A$4:$AO$4,0)+62),0)</f>
        <v>0</v>
      </c>
      <c r="AN64" s="139">
        <f>VLOOKUP($E64,'7. PGE_Efficacité'!$A$6:$CY$266,(MATCH('4.5 ACE MAX WOL '!AN$4,'7. PGE_Efficacité'!$A$4:$AO$4,0)+62),0)</f>
        <v>0</v>
      </c>
    </row>
    <row r="65" spans="1:40" hidden="1" outlineLevel="2" x14ac:dyDescent="0.25">
      <c r="A65" s="48"/>
      <c r="B65" s="49"/>
      <c r="C65" s="48"/>
      <c r="D65" s="199" t="s">
        <v>6</v>
      </c>
      <c r="E65" s="200" t="s">
        <v>833</v>
      </c>
      <c r="F65" s="200" t="s">
        <v>1463</v>
      </c>
      <c r="G65" s="201" t="s">
        <v>1522</v>
      </c>
      <c r="H65" s="200" t="s">
        <v>1290</v>
      </c>
      <c r="I65" s="202"/>
      <c r="J65" s="139">
        <f>VLOOKUP($E65,'7. PGE_Efficacité'!$A$6:$CY$266,(MATCH('4.5 ACE MAX WOL '!J$4,'7. PGE_Efficacité'!$A$4:$AO$4,0)+62),0)</f>
        <v>0</v>
      </c>
      <c r="K65" s="139">
        <f>VLOOKUP($E65,'7. PGE_Efficacité'!$A$6:$CY$266,(MATCH('4.5 ACE MAX WOL '!K$4,'7. PGE_Efficacité'!$A$4:$AO$4,0)+62),0)</f>
        <v>0</v>
      </c>
      <c r="L65" s="139">
        <f>VLOOKUP($E65,'7. PGE_Efficacité'!$A$6:$CY$266,(MATCH('4.5 ACE MAX WOL '!L$4,'7. PGE_Efficacité'!$A$4:$AO$4,0)+62),0)</f>
        <v>0</v>
      </c>
      <c r="M65" s="139">
        <f>VLOOKUP($E65,'7. PGE_Efficacité'!$A$6:$CY$266,(MATCH('4.5 ACE MAX WOL '!M$4,'7. PGE_Efficacité'!$A$4:$AO$4,0)+62),0)</f>
        <v>0</v>
      </c>
      <c r="N65" s="139">
        <f>VLOOKUP($E65,'7. PGE_Efficacité'!$A$6:$CY$266,(MATCH('4.5 ACE MAX WOL '!N$4,'7. PGE_Efficacité'!$A$4:$AO$4,0)+62),0)</f>
        <v>0</v>
      </c>
      <c r="O65" s="139">
        <f>VLOOKUP($E65,'7. PGE_Efficacité'!$A$6:$CY$266,78,0)</f>
        <v>0</v>
      </c>
      <c r="P65" s="139">
        <f>VLOOKUP($E65,'7. PGE_Efficacité'!$A$6:$CY$266,(MATCH('4.5 ACE MAX WOL '!P$4,'7. PGE_Efficacité'!$A$4:$AO$4,0)+62),0)</f>
        <v>0</v>
      </c>
      <c r="Q65" s="139">
        <f>VLOOKUP($E65,'7. PGE_Efficacité'!$A$6:$CY$266,(MATCH('4.5 ACE MAX WOL '!Q$4,'7. PGE_Efficacité'!$A$4:$AO$4,0)+62),0)</f>
        <v>0</v>
      </c>
      <c r="R65" s="139">
        <f>VLOOKUP($E65,'7. PGE_Efficacité'!$A$6:$CY$266,(MATCH('4.5 ACE MAX WOL '!R$4,'7. PGE_Efficacité'!$A$4:$AO$4,0)+62),0)</f>
        <v>0</v>
      </c>
      <c r="S65" s="139">
        <f>VLOOKUP($E65,'7. PGE_Efficacité'!$A$6:$CY$266,(MATCH('4.5 ACE MAX WOL '!S$4,'7. PGE_Efficacité'!$A$4:$AO$4,0)+62),0)</f>
        <v>0</v>
      </c>
      <c r="T65" s="139">
        <f>VLOOKUP($E65,'7. PGE_Efficacité'!$A$6:$CY$266,(MATCH('4.5 ACE MAX WOL '!T$4,'7. PGE_Efficacité'!$A$4:$AO$4,0)+62),0)</f>
        <v>0</v>
      </c>
      <c r="U65" s="139">
        <f>VLOOKUP($E65,'7. PGE_Efficacité'!$A$6:$CY$266,(MATCH('4.5 ACE MAX WOL '!U$4,'7. PGE_Efficacité'!$A$4:$AO$4,0)+62),0)</f>
        <v>0</v>
      </c>
      <c r="V65" s="139">
        <f>VLOOKUP($E65,'7. PGE_Efficacité'!$A$6:$CY$266,(MATCH('4.5 ACE MAX WOL '!V$4,'7. PGE_Efficacité'!$A$4:$AO$4,0)+62),0)</f>
        <v>0</v>
      </c>
      <c r="W65" s="139">
        <f>VLOOKUP($E65,'7. PGE_Efficacité'!$A$6:$CY$266,(MATCH('4.5 ACE MAX WOL '!W$4,'7. PGE_Efficacité'!$A$4:$AO$4,0)+62),0)</f>
        <v>0</v>
      </c>
      <c r="X65" s="139">
        <f>VLOOKUP($E65,'7. PGE_Efficacité'!$A$6:$CY$266,(MATCH('4.5 ACE MAX WOL '!X$4,'7. PGE_Efficacité'!$A$4:$AO$4,0)+62),0)</f>
        <v>0</v>
      </c>
      <c r="Y65" s="139">
        <f>VLOOKUP($E65,'7. PGE_Efficacité'!$A$6:$CY$266,(MATCH('4.5 ACE MAX WOL '!Y$4,'7. PGE_Efficacité'!$A$4:$AO$4,0)+62),0)</f>
        <v>0</v>
      </c>
      <c r="Z65" s="139">
        <f>VLOOKUP($E65,'7. PGE_Efficacité'!$A$6:$CY$266,(MATCH('4.5 ACE MAX WOL '!Z$4,'7. PGE_Efficacité'!$A$4:$AO$4,0)+62),0)</f>
        <v>0</v>
      </c>
      <c r="AA65" s="139">
        <f>VLOOKUP($E65,'7. PGE_Efficacité'!$A$6:$CY$266,(MATCH('4.5 ACE MAX WOL '!AA$4,'7. PGE_Efficacité'!$A$4:$AO$4,0)+62),0)</f>
        <v>0</v>
      </c>
      <c r="AB65" s="139">
        <f>VLOOKUP($E65,'7. PGE_Efficacité'!$A$6:$CY$266,(MATCH('4.5 ACE MAX WOL '!AB$4,'7. PGE_Efficacité'!$A$4:$AO$4,0)+62),0)</f>
        <v>0</v>
      </c>
      <c r="AC65" s="139">
        <f>VLOOKUP($E65,'7. PGE_Efficacité'!$A$6:$CY$266,(MATCH('4.5 ACE MAX WOL '!AC$4,'7. PGE_Efficacité'!$A$4:$AO$4,0)+62),0)</f>
        <v>0</v>
      </c>
      <c r="AD65" s="139">
        <f>VLOOKUP($E65,'7. PGE_Efficacité'!$A$6:$CY$266,(MATCH('4.5 ACE MAX WOL '!AD$4,'7. PGE_Efficacité'!$A$4:$AO$4,0)+62),0)</f>
        <v>0</v>
      </c>
      <c r="AE65" s="139">
        <f>VLOOKUP($E65,'7. PGE_Efficacité'!$A$6:$CY$266,(MATCH('4.5 ACE MAX WOL '!AE$4,'7. PGE_Efficacité'!$A$4:$AO$4,0)+62),0)</f>
        <v>0</v>
      </c>
      <c r="AF65" s="139">
        <f>VLOOKUP($E65,'7. PGE_Efficacité'!$A$6:$CY$266,(MATCH('4.5 ACE MAX WOL '!AF$4,'7. PGE_Efficacité'!$A$4:$AO$4,0)+62),0)</f>
        <v>0</v>
      </c>
      <c r="AG65" s="139">
        <f>VLOOKUP($E65,'7. PGE_Efficacité'!$A$6:$CY$266,(MATCH('4.5 ACE MAX WOL '!AG$4,'7. PGE_Efficacité'!$A$4:$AO$4,0)+62),0)</f>
        <v>0</v>
      </c>
      <c r="AH65" s="139">
        <f>VLOOKUP($E65,'7. PGE_Efficacité'!$A$6:$CY$266,(MATCH('4.5 ACE MAX WOL '!AH$4,'7. PGE_Efficacité'!$A$4:$AO$4,0)+62),0)</f>
        <v>0</v>
      </c>
      <c r="AI65" s="139">
        <f>VLOOKUP($E65,'7. PGE_Efficacité'!$A$6:$CY$266,(MATCH('4.5 ACE MAX WOL '!AI$4,'7. PGE_Efficacité'!$A$4:$AO$4,0)+62),0)</f>
        <v>0</v>
      </c>
      <c r="AJ65" s="139">
        <f>VLOOKUP($E65,'7. PGE_Efficacité'!$A$6:$CY$266,(MATCH('4.5 ACE MAX WOL '!AJ$4,'7. PGE_Efficacité'!$A$4:$AO$4,0)+62),0)</f>
        <v>0</v>
      </c>
      <c r="AK65" s="139">
        <f>VLOOKUP($E65,'7. PGE_Efficacité'!$A$6:$CY$266,(MATCH('4.5 ACE MAX WOL '!AK$4,'7. PGE_Efficacité'!$A$4:$AO$4,0)+62),0)</f>
        <v>0</v>
      </c>
      <c r="AL65" s="139">
        <f>VLOOKUP($E65,'7. PGE_Efficacité'!$A$6:$CY$266,(MATCH('4.5 ACE MAX WOL '!AL$4,'7. PGE_Efficacité'!$A$4:$AO$4,0)+62),0)</f>
        <v>0</v>
      </c>
      <c r="AM65" s="139">
        <f>VLOOKUP($E65,'7. PGE_Efficacité'!$A$6:$CY$266,(MATCH('4.5 ACE MAX WOL '!AM$4,'7. PGE_Efficacité'!$A$4:$AO$4,0)+62),0)</f>
        <v>0</v>
      </c>
      <c r="AN65" s="139">
        <f>VLOOKUP($E65,'7. PGE_Efficacité'!$A$6:$CY$266,(MATCH('4.5 ACE MAX WOL '!AN$4,'7. PGE_Efficacité'!$A$4:$AO$4,0)+62),0)</f>
        <v>0</v>
      </c>
    </row>
    <row r="66" spans="1:40" ht="26.25" outlineLevel="1" collapsed="1" x14ac:dyDescent="0.25">
      <c r="A66" s="48"/>
      <c r="B66" s="49"/>
      <c r="C66" s="48"/>
      <c r="D66" s="194" t="s">
        <v>7</v>
      </c>
      <c r="E66" s="195"/>
      <c r="F66" s="196" t="str">
        <f>VLOOKUP(D66,'1. Mesures'!$A$2:$B$116,2,0)</f>
        <v>Réaliser l'état de l'art des déversoirs d'orages actuels et optimaliser leur conception pour réduire le transfert de polluants vers les masses d’eau de surface</v>
      </c>
      <c r="G66" s="197"/>
      <c r="H66" s="195"/>
      <c r="I66" s="198">
        <f>MEDIAN(VLOOKUP(D66,'4. Mesures_ACE_Budget'!$A$3:$N$32,13,0),(VLOOKUP(D66,'4. Mesures_ACE_Budget'!$A$3:$N$32,14,0)))</f>
        <v>129600000</v>
      </c>
      <c r="J66" s="205">
        <f>VLOOKUP($D66,'7. PGE_Efficacité'!$A$6:$CY$266,(MATCH('4.5 ACE MAX WOL '!J$4,'7. PGE_Efficacité'!$A$4:$AO$4,0)+62),0)</f>
        <v>0</v>
      </c>
      <c r="K66" s="205">
        <f>VLOOKUP($D66,'7. PGE_Efficacité'!$A$6:$CY$266,(MATCH('4.5 ACE MAX WOL '!K$4,'7. PGE_Efficacité'!$A$4:$AO$4,0)+62),0)</f>
        <v>0</v>
      </c>
      <c r="L66" s="205">
        <f>VLOOKUP($D66,'7. PGE_Efficacité'!$A$6:$CY$266,(MATCH('4.5 ACE MAX WOL '!L$4,'7. PGE_Efficacité'!$A$4:$AO$4,0)+62),0)</f>
        <v>0</v>
      </c>
      <c r="M66" s="205">
        <f>VLOOKUP($D66,'7. PGE_Efficacité'!$A$6:$CY$266,(MATCH('4.5 ACE MAX WOL '!M$4,'7. PGE_Efficacité'!$A$4:$AO$4,0)+62),0)</f>
        <v>0</v>
      </c>
      <c r="N66" s="205">
        <f>VLOOKUP($D66,'7. PGE_Efficacité'!$A$6:$CY$266,(MATCH('4.5 ACE MAX WOL '!N$4,'7. PGE_Efficacité'!$A$4:$AO$4,0)+62),0)</f>
        <v>0</v>
      </c>
      <c r="O66" s="205">
        <f>VLOOKUP($D66,'7. PGE_Efficacité'!$A$6:$CY$266,78,0)</f>
        <v>0</v>
      </c>
      <c r="P66" s="205">
        <f>VLOOKUP($D66,'7. PGE_Efficacité'!$A$6:$CY$266,(MATCH('4.5 ACE MAX WOL '!P$4,'7. PGE_Efficacité'!$A$4:$AO$4,0)+62),0)</f>
        <v>0</v>
      </c>
      <c r="Q66" s="205">
        <f>VLOOKUP($D66,'7. PGE_Efficacité'!$A$6:$CY$266,(MATCH('4.5 ACE MAX WOL '!Q$4,'7. PGE_Efficacité'!$A$4:$AO$4,0)+62),0)</f>
        <v>0</v>
      </c>
      <c r="R66" s="205">
        <f>VLOOKUP($D66,'7. PGE_Efficacité'!$A$6:$CY$266,(MATCH('4.5 ACE MAX WOL '!R$4,'7. PGE_Efficacité'!$A$4:$AO$4,0)+62),0)</f>
        <v>0</v>
      </c>
      <c r="S66" s="205">
        <f>VLOOKUP($D66,'7. PGE_Efficacité'!$A$6:$CY$266,(MATCH('4.5 ACE MAX WOL '!S$4,'7. PGE_Efficacité'!$A$4:$AO$4,0)+62),0)</f>
        <v>0</v>
      </c>
      <c r="T66" s="205">
        <f>VLOOKUP($D66,'7. PGE_Efficacité'!$A$6:$CY$266,(MATCH('4.5 ACE MAX WOL '!T$4,'7. PGE_Efficacité'!$A$4:$AO$4,0)+62),0)</f>
        <v>0</v>
      </c>
      <c r="U66" s="205">
        <f>VLOOKUP($D66,'7. PGE_Efficacité'!$A$6:$CY$266,(MATCH('4.5 ACE MAX WOL '!U$4,'7. PGE_Efficacité'!$A$4:$AO$4,0)+62),0)</f>
        <v>0</v>
      </c>
      <c r="V66" s="205">
        <f>VLOOKUP($D66,'7. PGE_Efficacité'!$A$6:$CY$266,(MATCH('4.5 ACE MAX WOL '!V$4,'7. PGE_Efficacité'!$A$4:$AO$4,0)+62),0)</f>
        <v>0</v>
      </c>
      <c r="W66" s="205">
        <f>VLOOKUP($D66,'7. PGE_Efficacité'!$A$6:$CY$266,(MATCH('4.5 ACE MAX WOL '!W$4,'7. PGE_Efficacité'!$A$4:$AO$4,0)+62),0)</f>
        <v>0</v>
      </c>
      <c r="X66" s="205">
        <f>VLOOKUP($D66,'7. PGE_Efficacité'!$A$6:$CY$266,(MATCH('4.5 ACE MAX WOL '!X$4,'7. PGE_Efficacité'!$A$4:$AO$4,0)+62),0)</f>
        <v>0</v>
      </c>
      <c r="Y66" s="205">
        <f>VLOOKUP($D66,'7. PGE_Efficacité'!$A$6:$CY$266,(MATCH('4.5 ACE MAX WOL '!Y$4,'7. PGE_Efficacité'!$A$4:$AO$4,0)+62),0)</f>
        <v>0</v>
      </c>
      <c r="Z66" s="205">
        <f>VLOOKUP($D66,'7. PGE_Efficacité'!$A$6:$CY$266,(MATCH('4.5 ACE MAX WOL '!Z$4,'7. PGE_Efficacité'!$A$4:$AO$4,0)+62),0)</f>
        <v>0</v>
      </c>
      <c r="AA66" s="205">
        <f>VLOOKUP($D66,'7. PGE_Efficacité'!$A$6:$CY$266,(MATCH('4.5 ACE MAX WOL '!AA$4,'7. PGE_Efficacité'!$A$4:$AO$4,0)+62),0)</f>
        <v>0</v>
      </c>
      <c r="AB66" s="205">
        <f>VLOOKUP($D66,'7. PGE_Efficacité'!$A$6:$CY$266,(MATCH('4.5 ACE MAX WOL '!AB$4,'7. PGE_Efficacité'!$A$4:$AO$4,0)+62),0)</f>
        <v>0</v>
      </c>
      <c r="AC66" s="205">
        <f>VLOOKUP($D66,'7. PGE_Efficacité'!$A$6:$CY$266,(MATCH('4.5 ACE MAX WOL '!AC$4,'7. PGE_Efficacité'!$A$4:$AO$4,0)+62),0)</f>
        <v>0</v>
      </c>
      <c r="AD66" s="205">
        <f>VLOOKUP($D66,'7. PGE_Efficacité'!$A$6:$CY$266,(MATCH('4.5 ACE MAX WOL '!AD$4,'7. PGE_Efficacité'!$A$4:$AO$4,0)+62),0)</f>
        <v>0</v>
      </c>
      <c r="AE66" s="205">
        <f>VLOOKUP($D66,'7. PGE_Efficacité'!$A$6:$CY$266,(MATCH('4.5 ACE MAX WOL '!AE$4,'7. PGE_Efficacité'!$A$4:$AO$4,0)+62),0)</f>
        <v>0</v>
      </c>
      <c r="AF66" s="205">
        <f>VLOOKUP($D66,'7. PGE_Efficacité'!$A$6:$CY$266,(MATCH('4.5 ACE MAX WOL '!AF$4,'7. PGE_Efficacité'!$A$4:$AO$4,0)+62),0)</f>
        <v>0</v>
      </c>
      <c r="AG66" s="205">
        <f>VLOOKUP($D66,'7. PGE_Efficacité'!$A$6:$CY$266,(MATCH('4.5 ACE MAX WOL '!AG$4,'7. PGE_Efficacité'!$A$4:$AO$4,0)+62),0)</f>
        <v>0</v>
      </c>
      <c r="AH66" s="205">
        <f>VLOOKUP($D66,'7. PGE_Efficacité'!$A$6:$CY$266,(MATCH('4.5 ACE MAX WOL '!AH$4,'7. PGE_Efficacité'!$A$4:$AO$4,0)+62),0)</f>
        <v>0</v>
      </c>
      <c r="AI66" s="205">
        <f>VLOOKUP($D66,'7. PGE_Efficacité'!$A$6:$CY$266,(MATCH('4.5 ACE MAX WOL '!AI$4,'7. PGE_Efficacité'!$A$4:$AO$4,0)+62),0)</f>
        <v>0</v>
      </c>
      <c r="AJ66" s="205">
        <f>VLOOKUP($D66,'7. PGE_Efficacité'!$A$6:$CY$266,(MATCH('4.5 ACE MAX WOL '!AJ$4,'7. PGE_Efficacité'!$A$4:$AO$4,0)+62),0)</f>
        <v>0</v>
      </c>
      <c r="AK66" s="205">
        <f>VLOOKUP($D66,'7. PGE_Efficacité'!$A$6:$CY$266,(MATCH('4.5 ACE MAX WOL '!AK$4,'7. PGE_Efficacité'!$A$4:$AO$4,0)+62),0)</f>
        <v>0</v>
      </c>
      <c r="AL66" s="205">
        <f>VLOOKUP($D66,'7. PGE_Efficacité'!$A$6:$CY$266,(MATCH('4.5 ACE MAX WOL '!AL$4,'7. PGE_Efficacité'!$A$4:$AO$4,0)+62),0)</f>
        <v>0</v>
      </c>
      <c r="AM66" s="205">
        <f>VLOOKUP($D66,'7. PGE_Efficacité'!$A$6:$CY$266,(MATCH('4.5 ACE MAX WOL '!AM$4,'7. PGE_Efficacité'!$A$4:$AO$4,0)+62),0)</f>
        <v>0</v>
      </c>
      <c r="AN66" s="205">
        <f>VLOOKUP($D66,'7. PGE_Efficacité'!$A$6:$CY$266,(MATCH('4.5 ACE MAX WOL '!AN$4,'7. PGE_Efficacité'!$A$4:$AO$4,0)+62),0)</f>
        <v>0</v>
      </c>
    </row>
    <row r="67" spans="1:40" hidden="1" outlineLevel="2" x14ac:dyDescent="0.25">
      <c r="A67" s="48" t="s">
        <v>1524</v>
      </c>
      <c r="B67" s="49">
        <v>8</v>
      </c>
      <c r="C67" s="48" t="s">
        <v>1524</v>
      </c>
      <c r="D67" s="199" t="s">
        <v>7</v>
      </c>
      <c r="E67" s="200" t="s">
        <v>834</v>
      </c>
      <c r="F67" s="200" t="s">
        <v>1464</v>
      </c>
      <c r="G67" s="201" t="s">
        <v>1522</v>
      </c>
      <c r="H67" s="200" t="s">
        <v>1290</v>
      </c>
      <c r="I67" s="202"/>
      <c r="J67" s="139">
        <f>VLOOKUP($E67,'7. PGE_Efficacité'!$A$6:$CY$266,(MATCH('4.5 ACE MAX WOL '!J$4,'7. PGE_Efficacité'!$A$4:$AO$4,0)+62),0)</f>
        <v>0</v>
      </c>
      <c r="K67" s="139">
        <f>VLOOKUP($E67,'7. PGE_Efficacité'!$A$6:$CY$266,(MATCH('4.5 ACE MAX WOL '!K$4,'7. PGE_Efficacité'!$A$4:$AO$4,0)+62),0)</f>
        <v>0</v>
      </c>
      <c r="L67" s="139">
        <f>VLOOKUP($E67,'7. PGE_Efficacité'!$A$6:$CY$266,(MATCH('4.5 ACE MAX WOL '!L$4,'7. PGE_Efficacité'!$A$4:$AO$4,0)+62),0)</f>
        <v>0</v>
      </c>
      <c r="M67" s="139">
        <f>VLOOKUP($E67,'7. PGE_Efficacité'!$A$6:$CY$266,(MATCH('4.5 ACE MAX WOL '!M$4,'7. PGE_Efficacité'!$A$4:$AO$4,0)+62),0)</f>
        <v>0</v>
      </c>
      <c r="N67" s="139">
        <f>VLOOKUP($E67,'7. PGE_Efficacité'!$A$6:$CY$266,(MATCH('4.5 ACE MAX WOL '!N$4,'7. PGE_Efficacité'!$A$4:$AO$4,0)+62),0)</f>
        <v>0</v>
      </c>
      <c r="O67" s="139">
        <f>VLOOKUP($E67,'7. PGE_Efficacité'!$A$6:$CY$266,78,0)</f>
        <v>0</v>
      </c>
      <c r="P67" s="139">
        <f>VLOOKUP($E67,'7. PGE_Efficacité'!$A$6:$CY$266,(MATCH('4.5 ACE MAX WOL '!P$4,'7. PGE_Efficacité'!$A$4:$AO$4,0)+62),0)</f>
        <v>0</v>
      </c>
      <c r="Q67" s="139">
        <f>VLOOKUP($E67,'7. PGE_Efficacité'!$A$6:$CY$266,(MATCH('4.5 ACE MAX WOL '!Q$4,'7. PGE_Efficacité'!$A$4:$AO$4,0)+62),0)</f>
        <v>0</v>
      </c>
      <c r="R67" s="139">
        <f>VLOOKUP($E67,'7. PGE_Efficacité'!$A$6:$CY$266,(MATCH('4.5 ACE MAX WOL '!R$4,'7. PGE_Efficacité'!$A$4:$AO$4,0)+62),0)</f>
        <v>0</v>
      </c>
      <c r="S67" s="139">
        <f>VLOOKUP($E67,'7. PGE_Efficacité'!$A$6:$CY$266,(MATCH('4.5 ACE MAX WOL '!S$4,'7. PGE_Efficacité'!$A$4:$AO$4,0)+62),0)</f>
        <v>0</v>
      </c>
      <c r="T67" s="139">
        <f>VLOOKUP($E67,'7. PGE_Efficacité'!$A$6:$CY$266,(MATCH('4.5 ACE MAX WOL '!T$4,'7. PGE_Efficacité'!$A$4:$AO$4,0)+62),0)</f>
        <v>0</v>
      </c>
      <c r="U67" s="139">
        <f>VLOOKUP($E67,'7. PGE_Efficacité'!$A$6:$CY$266,(MATCH('4.5 ACE MAX WOL '!U$4,'7. PGE_Efficacité'!$A$4:$AO$4,0)+62),0)</f>
        <v>0</v>
      </c>
      <c r="V67" s="139">
        <f>VLOOKUP($E67,'7. PGE_Efficacité'!$A$6:$CY$266,(MATCH('4.5 ACE MAX WOL '!V$4,'7. PGE_Efficacité'!$A$4:$AO$4,0)+62),0)</f>
        <v>0</v>
      </c>
      <c r="W67" s="139">
        <f>VLOOKUP($E67,'7. PGE_Efficacité'!$A$6:$CY$266,(MATCH('4.5 ACE MAX WOL '!W$4,'7. PGE_Efficacité'!$A$4:$AO$4,0)+62),0)</f>
        <v>0</v>
      </c>
      <c r="X67" s="139">
        <f>VLOOKUP($E67,'7. PGE_Efficacité'!$A$6:$CY$266,(MATCH('4.5 ACE MAX WOL '!X$4,'7. PGE_Efficacité'!$A$4:$AO$4,0)+62),0)</f>
        <v>0</v>
      </c>
      <c r="Y67" s="139">
        <f>VLOOKUP($E67,'7. PGE_Efficacité'!$A$6:$CY$266,(MATCH('4.5 ACE MAX WOL '!Y$4,'7. PGE_Efficacité'!$A$4:$AO$4,0)+62),0)</f>
        <v>0</v>
      </c>
      <c r="Z67" s="139">
        <f>VLOOKUP($E67,'7. PGE_Efficacité'!$A$6:$CY$266,(MATCH('4.5 ACE MAX WOL '!Z$4,'7. PGE_Efficacité'!$A$4:$AO$4,0)+62),0)</f>
        <v>0</v>
      </c>
      <c r="AA67" s="139">
        <f>VLOOKUP($E67,'7. PGE_Efficacité'!$A$6:$CY$266,(MATCH('4.5 ACE MAX WOL '!AA$4,'7. PGE_Efficacité'!$A$4:$AO$4,0)+62),0)</f>
        <v>0</v>
      </c>
      <c r="AB67" s="139">
        <f>VLOOKUP($E67,'7. PGE_Efficacité'!$A$6:$CY$266,(MATCH('4.5 ACE MAX WOL '!AB$4,'7. PGE_Efficacité'!$A$4:$AO$4,0)+62),0)</f>
        <v>0</v>
      </c>
      <c r="AC67" s="139">
        <f>VLOOKUP($E67,'7. PGE_Efficacité'!$A$6:$CY$266,(MATCH('4.5 ACE MAX WOL '!AC$4,'7. PGE_Efficacité'!$A$4:$AO$4,0)+62),0)</f>
        <v>0</v>
      </c>
      <c r="AD67" s="139">
        <f>VLOOKUP($E67,'7. PGE_Efficacité'!$A$6:$CY$266,(MATCH('4.5 ACE MAX WOL '!AD$4,'7. PGE_Efficacité'!$A$4:$AO$4,0)+62),0)</f>
        <v>0</v>
      </c>
      <c r="AE67" s="139">
        <f>VLOOKUP($E67,'7. PGE_Efficacité'!$A$6:$CY$266,(MATCH('4.5 ACE MAX WOL '!AE$4,'7. PGE_Efficacité'!$A$4:$AO$4,0)+62),0)</f>
        <v>0</v>
      </c>
      <c r="AF67" s="139">
        <f>VLOOKUP($E67,'7. PGE_Efficacité'!$A$6:$CY$266,(MATCH('4.5 ACE MAX WOL '!AF$4,'7. PGE_Efficacité'!$A$4:$AO$4,0)+62),0)</f>
        <v>0</v>
      </c>
      <c r="AG67" s="139">
        <f>VLOOKUP($E67,'7. PGE_Efficacité'!$A$6:$CY$266,(MATCH('4.5 ACE MAX WOL '!AG$4,'7. PGE_Efficacité'!$A$4:$AO$4,0)+62),0)</f>
        <v>0</v>
      </c>
      <c r="AH67" s="139">
        <f>VLOOKUP($E67,'7. PGE_Efficacité'!$A$6:$CY$266,(MATCH('4.5 ACE MAX WOL '!AH$4,'7. PGE_Efficacité'!$A$4:$AO$4,0)+62),0)</f>
        <v>0</v>
      </c>
      <c r="AI67" s="139">
        <f>VLOOKUP($E67,'7. PGE_Efficacité'!$A$6:$CY$266,(MATCH('4.5 ACE MAX WOL '!AI$4,'7. PGE_Efficacité'!$A$4:$AO$4,0)+62),0)</f>
        <v>0</v>
      </c>
      <c r="AJ67" s="139">
        <f>VLOOKUP($E67,'7. PGE_Efficacité'!$A$6:$CY$266,(MATCH('4.5 ACE MAX WOL '!AJ$4,'7. PGE_Efficacité'!$A$4:$AO$4,0)+62),0)</f>
        <v>0</v>
      </c>
      <c r="AK67" s="139">
        <f>VLOOKUP($E67,'7. PGE_Efficacité'!$A$6:$CY$266,(MATCH('4.5 ACE MAX WOL '!AK$4,'7. PGE_Efficacité'!$A$4:$AO$4,0)+62),0)</f>
        <v>0</v>
      </c>
      <c r="AL67" s="139">
        <f>VLOOKUP($E67,'7. PGE_Efficacité'!$A$6:$CY$266,(MATCH('4.5 ACE MAX WOL '!AL$4,'7. PGE_Efficacité'!$A$4:$AO$4,0)+62),0)</f>
        <v>0</v>
      </c>
      <c r="AM67" s="139">
        <f>VLOOKUP($E67,'7. PGE_Efficacité'!$A$6:$CY$266,(MATCH('4.5 ACE MAX WOL '!AM$4,'7. PGE_Efficacité'!$A$4:$AO$4,0)+62),0)</f>
        <v>0</v>
      </c>
      <c r="AN67" s="139">
        <f>VLOOKUP($E67,'7. PGE_Efficacité'!$A$6:$CY$266,(MATCH('4.5 ACE MAX WOL '!AN$4,'7. PGE_Efficacité'!$A$4:$AO$4,0)+62),0)</f>
        <v>0</v>
      </c>
    </row>
    <row r="68" spans="1:40" hidden="1" outlineLevel="2" x14ac:dyDescent="0.25">
      <c r="A68" s="48" t="s">
        <v>1524</v>
      </c>
      <c r="B68" s="49">
        <v>8</v>
      </c>
      <c r="C68" s="48" t="s">
        <v>1525</v>
      </c>
      <c r="D68" s="199" t="s">
        <v>7</v>
      </c>
      <c r="E68" s="200" t="s">
        <v>835</v>
      </c>
      <c r="F68" s="200" t="s">
        <v>1465</v>
      </c>
      <c r="G68" s="201" t="s">
        <v>1522</v>
      </c>
      <c r="H68" s="200" t="s">
        <v>1290</v>
      </c>
      <c r="I68" s="202"/>
      <c r="J68" s="139">
        <f>VLOOKUP($E68,'7. PGE_Efficacité'!$A$6:$CY$266,(MATCH('4.5 ACE MAX WOL '!J$4,'7. PGE_Efficacité'!$A$4:$AO$4,0)+62),0)</f>
        <v>0</v>
      </c>
      <c r="K68" s="139">
        <f>VLOOKUP($E68,'7. PGE_Efficacité'!$A$6:$CY$266,(MATCH('4.5 ACE MAX WOL '!K$4,'7. PGE_Efficacité'!$A$4:$AO$4,0)+62),0)</f>
        <v>0</v>
      </c>
      <c r="L68" s="139">
        <f>VLOOKUP($E68,'7. PGE_Efficacité'!$A$6:$CY$266,(MATCH('4.5 ACE MAX WOL '!L$4,'7. PGE_Efficacité'!$A$4:$AO$4,0)+62),0)</f>
        <v>0</v>
      </c>
      <c r="M68" s="139">
        <f>VLOOKUP($E68,'7. PGE_Efficacité'!$A$6:$CY$266,(MATCH('4.5 ACE MAX WOL '!M$4,'7. PGE_Efficacité'!$A$4:$AO$4,0)+62),0)</f>
        <v>0</v>
      </c>
      <c r="N68" s="139">
        <f>VLOOKUP($E68,'7. PGE_Efficacité'!$A$6:$CY$266,(MATCH('4.5 ACE MAX WOL '!N$4,'7. PGE_Efficacité'!$A$4:$AO$4,0)+62),0)</f>
        <v>0</v>
      </c>
      <c r="O68" s="139">
        <f>VLOOKUP($E68,'7. PGE_Efficacité'!$A$6:$CY$266,78,0)</f>
        <v>0</v>
      </c>
      <c r="P68" s="139">
        <f>VLOOKUP($E68,'7. PGE_Efficacité'!$A$6:$CY$266,(MATCH('4.5 ACE MAX WOL '!P$4,'7. PGE_Efficacité'!$A$4:$AO$4,0)+62),0)</f>
        <v>0</v>
      </c>
      <c r="Q68" s="139">
        <f>VLOOKUP($E68,'7. PGE_Efficacité'!$A$6:$CY$266,(MATCH('4.5 ACE MAX WOL '!Q$4,'7. PGE_Efficacité'!$A$4:$AO$4,0)+62),0)</f>
        <v>0</v>
      </c>
      <c r="R68" s="139">
        <f>VLOOKUP($E68,'7. PGE_Efficacité'!$A$6:$CY$266,(MATCH('4.5 ACE MAX WOL '!R$4,'7. PGE_Efficacité'!$A$4:$AO$4,0)+62),0)</f>
        <v>0</v>
      </c>
      <c r="S68" s="139">
        <f>VLOOKUP($E68,'7. PGE_Efficacité'!$A$6:$CY$266,(MATCH('4.5 ACE MAX WOL '!S$4,'7. PGE_Efficacité'!$A$4:$AO$4,0)+62),0)</f>
        <v>0</v>
      </c>
      <c r="T68" s="139">
        <f>VLOOKUP($E68,'7. PGE_Efficacité'!$A$6:$CY$266,(MATCH('4.5 ACE MAX WOL '!T$4,'7. PGE_Efficacité'!$A$4:$AO$4,0)+62),0)</f>
        <v>0</v>
      </c>
      <c r="U68" s="139">
        <f>VLOOKUP($E68,'7. PGE_Efficacité'!$A$6:$CY$266,(MATCH('4.5 ACE MAX WOL '!U$4,'7. PGE_Efficacité'!$A$4:$AO$4,0)+62),0)</f>
        <v>0</v>
      </c>
      <c r="V68" s="139">
        <f>VLOOKUP($E68,'7. PGE_Efficacité'!$A$6:$CY$266,(MATCH('4.5 ACE MAX WOL '!V$4,'7. PGE_Efficacité'!$A$4:$AO$4,0)+62),0)</f>
        <v>0</v>
      </c>
      <c r="W68" s="139">
        <f>VLOOKUP($E68,'7. PGE_Efficacité'!$A$6:$CY$266,(MATCH('4.5 ACE MAX WOL '!W$4,'7. PGE_Efficacité'!$A$4:$AO$4,0)+62),0)</f>
        <v>0</v>
      </c>
      <c r="X68" s="139">
        <f>VLOOKUP($E68,'7. PGE_Efficacité'!$A$6:$CY$266,(MATCH('4.5 ACE MAX WOL '!X$4,'7. PGE_Efficacité'!$A$4:$AO$4,0)+62),0)</f>
        <v>0</v>
      </c>
      <c r="Y68" s="139">
        <f>VLOOKUP($E68,'7. PGE_Efficacité'!$A$6:$CY$266,(MATCH('4.5 ACE MAX WOL '!Y$4,'7. PGE_Efficacité'!$A$4:$AO$4,0)+62),0)</f>
        <v>0</v>
      </c>
      <c r="Z68" s="139">
        <f>VLOOKUP($E68,'7. PGE_Efficacité'!$A$6:$CY$266,(MATCH('4.5 ACE MAX WOL '!Z$4,'7. PGE_Efficacité'!$A$4:$AO$4,0)+62),0)</f>
        <v>0</v>
      </c>
      <c r="AA68" s="139">
        <f>VLOOKUP($E68,'7. PGE_Efficacité'!$A$6:$CY$266,(MATCH('4.5 ACE MAX WOL '!AA$4,'7. PGE_Efficacité'!$A$4:$AO$4,0)+62),0)</f>
        <v>0</v>
      </c>
      <c r="AB68" s="139">
        <f>VLOOKUP($E68,'7. PGE_Efficacité'!$A$6:$CY$266,(MATCH('4.5 ACE MAX WOL '!AB$4,'7. PGE_Efficacité'!$A$4:$AO$4,0)+62),0)</f>
        <v>0</v>
      </c>
      <c r="AC68" s="139">
        <f>VLOOKUP($E68,'7. PGE_Efficacité'!$A$6:$CY$266,(MATCH('4.5 ACE MAX WOL '!AC$4,'7. PGE_Efficacité'!$A$4:$AO$4,0)+62),0)</f>
        <v>0</v>
      </c>
      <c r="AD68" s="139">
        <f>VLOOKUP($E68,'7. PGE_Efficacité'!$A$6:$CY$266,(MATCH('4.5 ACE MAX WOL '!AD$4,'7. PGE_Efficacité'!$A$4:$AO$4,0)+62),0)</f>
        <v>0</v>
      </c>
      <c r="AE68" s="139">
        <f>VLOOKUP($E68,'7. PGE_Efficacité'!$A$6:$CY$266,(MATCH('4.5 ACE MAX WOL '!AE$4,'7. PGE_Efficacité'!$A$4:$AO$4,0)+62),0)</f>
        <v>0</v>
      </c>
      <c r="AF68" s="139">
        <f>VLOOKUP($E68,'7. PGE_Efficacité'!$A$6:$CY$266,(MATCH('4.5 ACE MAX WOL '!AF$4,'7. PGE_Efficacité'!$A$4:$AO$4,0)+62),0)</f>
        <v>0</v>
      </c>
      <c r="AG68" s="139">
        <f>VLOOKUP($E68,'7. PGE_Efficacité'!$A$6:$CY$266,(MATCH('4.5 ACE MAX WOL '!AG$4,'7. PGE_Efficacité'!$A$4:$AO$4,0)+62),0)</f>
        <v>0</v>
      </c>
      <c r="AH68" s="139">
        <f>VLOOKUP($E68,'7. PGE_Efficacité'!$A$6:$CY$266,(MATCH('4.5 ACE MAX WOL '!AH$4,'7. PGE_Efficacité'!$A$4:$AO$4,0)+62),0)</f>
        <v>0</v>
      </c>
      <c r="AI68" s="139">
        <f>VLOOKUP($E68,'7. PGE_Efficacité'!$A$6:$CY$266,(MATCH('4.5 ACE MAX WOL '!AI$4,'7. PGE_Efficacité'!$A$4:$AO$4,0)+62),0)</f>
        <v>0</v>
      </c>
      <c r="AJ68" s="139">
        <f>VLOOKUP($E68,'7. PGE_Efficacité'!$A$6:$CY$266,(MATCH('4.5 ACE MAX WOL '!AJ$4,'7. PGE_Efficacité'!$A$4:$AO$4,0)+62),0)</f>
        <v>0</v>
      </c>
      <c r="AK68" s="139">
        <f>VLOOKUP($E68,'7. PGE_Efficacité'!$A$6:$CY$266,(MATCH('4.5 ACE MAX WOL '!AK$4,'7. PGE_Efficacité'!$A$4:$AO$4,0)+62),0)</f>
        <v>0</v>
      </c>
      <c r="AL68" s="139">
        <f>VLOOKUP($E68,'7. PGE_Efficacité'!$A$6:$CY$266,(MATCH('4.5 ACE MAX WOL '!AL$4,'7. PGE_Efficacité'!$A$4:$AO$4,0)+62),0)</f>
        <v>0</v>
      </c>
      <c r="AM68" s="139">
        <f>VLOOKUP($E68,'7. PGE_Efficacité'!$A$6:$CY$266,(MATCH('4.5 ACE MAX WOL '!AM$4,'7. PGE_Efficacité'!$A$4:$AO$4,0)+62),0)</f>
        <v>0</v>
      </c>
      <c r="AN68" s="139">
        <f>VLOOKUP($E68,'7. PGE_Efficacité'!$A$6:$CY$266,(MATCH('4.5 ACE MAX WOL '!AN$4,'7. PGE_Efficacité'!$A$4:$AO$4,0)+62),0)</f>
        <v>0</v>
      </c>
    </row>
    <row r="69" spans="1:40" hidden="1" outlineLevel="2" x14ac:dyDescent="0.25">
      <c r="A69" s="48" t="s">
        <v>1524</v>
      </c>
      <c r="B69" s="49">
        <v>8</v>
      </c>
      <c r="C69" s="48" t="s">
        <v>1526</v>
      </c>
      <c r="D69" s="199" t="s">
        <v>7</v>
      </c>
      <c r="E69" s="200" t="s">
        <v>836</v>
      </c>
      <c r="F69" s="200" t="s">
        <v>1466</v>
      </c>
      <c r="G69" s="201" t="s">
        <v>1522</v>
      </c>
      <c r="H69" s="200" t="s">
        <v>1290</v>
      </c>
      <c r="I69" s="202"/>
      <c r="J69" s="139">
        <f>VLOOKUP($E69,'7. PGE_Efficacité'!$A$6:$CY$266,(MATCH('4.5 ACE MAX WOL '!J$4,'7. PGE_Efficacité'!$A$4:$AO$4,0)+62),0)</f>
        <v>0</v>
      </c>
      <c r="K69" s="139">
        <f>VLOOKUP($E69,'7. PGE_Efficacité'!$A$6:$CY$266,(MATCH('4.5 ACE MAX WOL '!K$4,'7. PGE_Efficacité'!$A$4:$AO$4,0)+62),0)</f>
        <v>0</v>
      </c>
      <c r="L69" s="139">
        <f>VLOOKUP($E69,'7. PGE_Efficacité'!$A$6:$CY$266,(MATCH('4.5 ACE MAX WOL '!L$4,'7. PGE_Efficacité'!$A$4:$AO$4,0)+62),0)</f>
        <v>0</v>
      </c>
      <c r="M69" s="139">
        <f>VLOOKUP($E69,'7. PGE_Efficacité'!$A$6:$CY$266,(MATCH('4.5 ACE MAX WOL '!M$4,'7. PGE_Efficacité'!$A$4:$AO$4,0)+62),0)</f>
        <v>0</v>
      </c>
      <c r="N69" s="139">
        <f>VLOOKUP($E69,'7. PGE_Efficacité'!$A$6:$CY$266,(MATCH('4.5 ACE MAX WOL '!N$4,'7. PGE_Efficacité'!$A$4:$AO$4,0)+62),0)</f>
        <v>0</v>
      </c>
      <c r="O69" s="139">
        <f>VLOOKUP($E69,'7. PGE_Efficacité'!$A$6:$CY$266,78,0)</f>
        <v>0</v>
      </c>
      <c r="P69" s="139">
        <f>VLOOKUP($E69,'7. PGE_Efficacité'!$A$6:$CY$266,(MATCH('4.5 ACE MAX WOL '!P$4,'7. PGE_Efficacité'!$A$4:$AO$4,0)+62),0)</f>
        <v>0</v>
      </c>
      <c r="Q69" s="139">
        <f>VLOOKUP($E69,'7. PGE_Efficacité'!$A$6:$CY$266,(MATCH('4.5 ACE MAX WOL '!Q$4,'7. PGE_Efficacité'!$A$4:$AO$4,0)+62),0)</f>
        <v>0</v>
      </c>
      <c r="R69" s="139">
        <f>VLOOKUP($E69,'7. PGE_Efficacité'!$A$6:$CY$266,(MATCH('4.5 ACE MAX WOL '!R$4,'7. PGE_Efficacité'!$A$4:$AO$4,0)+62),0)</f>
        <v>0</v>
      </c>
      <c r="S69" s="139">
        <f>VLOOKUP($E69,'7. PGE_Efficacité'!$A$6:$CY$266,(MATCH('4.5 ACE MAX WOL '!S$4,'7. PGE_Efficacité'!$A$4:$AO$4,0)+62),0)</f>
        <v>0</v>
      </c>
      <c r="T69" s="139">
        <f>VLOOKUP($E69,'7. PGE_Efficacité'!$A$6:$CY$266,(MATCH('4.5 ACE MAX WOL '!T$4,'7. PGE_Efficacité'!$A$4:$AO$4,0)+62),0)</f>
        <v>0</v>
      </c>
      <c r="U69" s="139">
        <f>VLOOKUP($E69,'7. PGE_Efficacité'!$A$6:$CY$266,(MATCH('4.5 ACE MAX WOL '!U$4,'7. PGE_Efficacité'!$A$4:$AO$4,0)+62),0)</f>
        <v>0</v>
      </c>
      <c r="V69" s="139">
        <f>VLOOKUP($E69,'7. PGE_Efficacité'!$A$6:$CY$266,(MATCH('4.5 ACE MAX WOL '!V$4,'7. PGE_Efficacité'!$A$4:$AO$4,0)+62),0)</f>
        <v>0</v>
      </c>
      <c r="W69" s="139">
        <f>VLOOKUP($E69,'7. PGE_Efficacité'!$A$6:$CY$266,(MATCH('4.5 ACE MAX WOL '!W$4,'7. PGE_Efficacité'!$A$4:$AO$4,0)+62),0)</f>
        <v>0</v>
      </c>
      <c r="X69" s="139">
        <f>VLOOKUP($E69,'7. PGE_Efficacité'!$A$6:$CY$266,(MATCH('4.5 ACE MAX WOL '!X$4,'7. PGE_Efficacité'!$A$4:$AO$4,0)+62),0)</f>
        <v>0</v>
      </c>
      <c r="Y69" s="139">
        <f>VLOOKUP($E69,'7. PGE_Efficacité'!$A$6:$CY$266,(MATCH('4.5 ACE MAX WOL '!Y$4,'7. PGE_Efficacité'!$A$4:$AO$4,0)+62),0)</f>
        <v>0</v>
      </c>
      <c r="Z69" s="139">
        <f>VLOOKUP($E69,'7. PGE_Efficacité'!$A$6:$CY$266,(MATCH('4.5 ACE MAX WOL '!Z$4,'7. PGE_Efficacité'!$A$4:$AO$4,0)+62),0)</f>
        <v>0</v>
      </c>
      <c r="AA69" s="139">
        <f>VLOOKUP($E69,'7. PGE_Efficacité'!$A$6:$CY$266,(MATCH('4.5 ACE MAX WOL '!AA$4,'7. PGE_Efficacité'!$A$4:$AO$4,0)+62),0)</f>
        <v>0</v>
      </c>
      <c r="AB69" s="139">
        <f>VLOOKUP($E69,'7. PGE_Efficacité'!$A$6:$CY$266,(MATCH('4.5 ACE MAX WOL '!AB$4,'7. PGE_Efficacité'!$A$4:$AO$4,0)+62),0)</f>
        <v>0</v>
      </c>
      <c r="AC69" s="139">
        <f>VLOOKUP($E69,'7. PGE_Efficacité'!$A$6:$CY$266,(MATCH('4.5 ACE MAX WOL '!AC$4,'7. PGE_Efficacité'!$A$4:$AO$4,0)+62),0)</f>
        <v>0</v>
      </c>
      <c r="AD69" s="139">
        <f>VLOOKUP($E69,'7. PGE_Efficacité'!$A$6:$CY$266,(MATCH('4.5 ACE MAX WOL '!AD$4,'7. PGE_Efficacité'!$A$4:$AO$4,0)+62),0)</f>
        <v>0</v>
      </c>
      <c r="AE69" s="139">
        <f>VLOOKUP($E69,'7. PGE_Efficacité'!$A$6:$CY$266,(MATCH('4.5 ACE MAX WOL '!AE$4,'7. PGE_Efficacité'!$A$4:$AO$4,0)+62),0)</f>
        <v>0</v>
      </c>
      <c r="AF69" s="139">
        <f>VLOOKUP($E69,'7. PGE_Efficacité'!$A$6:$CY$266,(MATCH('4.5 ACE MAX WOL '!AF$4,'7. PGE_Efficacité'!$A$4:$AO$4,0)+62),0)</f>
        <v>0</v>
      </c>
      <c r="AG69" s="139">
        <f>VLOOKUP($E69,'7. PGE_Efficacité'!$A$6:$CY$266,(MATCH('4.5 ACE MAX WOL '!AG$4,'7. PGE_Efficacité'!$A$4:$AO$4,0)+62),0)</f>
        <v>0</v>
      </c>
      <c r="AH69" s="139">
        <f>VLOOKUP($E69,'7. PGE_Efficacité'!$A$6:$CY$266,(MATCH('4.5 ACE MAX WOL '!AH$4,'7. PGE_Efficacité'!$A$4:$AO$4,0)+62),0)</f>
        <v>0</v>
      </c>
      <c r="AI69" s="139">
        <f>VLOOKUP($E69,'7. PGE_Efficacité'!$A$6:$CY$266,(MATCH('4.5 ACE MAX WOL '!AI$4,'7. PGE_Efficacité'!$A$4:$AO$4,0)+62),0)</f>
        <v>0</v>
      </c>
      <c r="AJ69" s="139">
        <f>VLOOKUP($E69,'7. PGE_Efficacité'!$A$6:$CY$266,(MATCH('4.5 ACE MAX WOL '!AJ$4,'7. PGE_Efficacité'!$A$4:$AO$4,0)+62),0)</f>
        <v>0</v>
      </c>
      <c r="AK69" s="139">
        <f>VLOOKUP($E69,'7. PGE_Efficacité'!$A$6:$CY$266,(MATCH('4.5 ACE MAX WOL '!AK$4,'7. PGE_Efficacité'!$A$4:$AO$4,0)+62),0)</f>
        <v>0</v>
      </c>
      <c r="AL69" s="139">
        <f>VLOOKUP($E69,'7. PGE_Efficacité'!$A$6:$CY$266,(MATCH('4.5 ACE MAX WOL '!AL$4,'7. PGE_Efficacité'!$A$4:$AO$4,0)+62),0)</f>
        <v>0</v>
      </c>
      <c r="AM69" s="139">
        <f>VLOOKUP($E69,'7. PGE_Efficacité'!$A$6:$CY$266,(MATCH('4.5 ACE MAX WOL '!AM$4,'7. PGE_Efficacité'!$A$4:$AO$4,0)+62),0)</f>
        <v>0</v>
      </c>
      <c r="AN69" s="139">
        <f>VLOOKUP($E69,'7. PGE_Efficacité'!$A$6:$CY$266,(MATCH('4.5 ACE MAX WOL '!AN$4,'7. PGE_Efficacité'!$A$4:$AO$4,0)+62),0)</f>
        <v>0</v>
      </c>
    </row>
    <row r="70" spans="1:40" hidden="1" outlineLevel="2" x14ac:dyDescent="0.25">
      <c r="A70" s="48"/>
      <c r="B70" s="49"/>
      <c r="C70" s="48"/>
      <c r="D70" s="199" t="s">
        <v>7</v>
      </c>
      <c r="E70" s="200" t="s">
        <v>837</v>
      </c>
      <c r="F70" s="200" t="s">
        <v>1467</v>
      </c>
      <c r="G70" s="201" t="s">
        <v>1522</v>
      </c>
      <c r="H70" s="200" t="s">
        <v>1290</v>
      </c>
      <c r="I70" s="202"/>
      <c r="J70" s="139">
        <f>VLOOKUP($E70,'7. PGE_Efficacité'!$A$6:$CY$266,(MATCH('4.5 ACE MAX WOL '!J$4,'7. PGE_Efficacité'!$A$4:$AO$4,0)+62),0)</f>
        <v>0</v>
      </c>
      <c r="K70" s="139">
        <f>VLOOKUP($E70,'7. PGE_Efficacité'!$A$6:$CY$266,(MATCH('4.5 ACE MAX WOL '!K$4,'7. PGE_Efficacité'!$A$4:$AO$4,0)+62),0)</f>
        <v>0</v>
      </c>
      <c r="L70" s="139">
        <f>VLOOKUP($E70,'7. PGE_Efficacité'!$A$6:$CY$266,(MATCH('4.5 ACE MAX WOL '!L$4,'7. PGE_Efficacité'!$A$4:$AO$4,0)+62),0)</f>
        <v>0</v>
      </c>
      <c r="M70" s="139">
        <f>VLOOKUP($E70,'7. PGE_Efficacité'!$A$6:$CY$266,(MATCH('4.5 ACE MAX WOL '!M$4,'7. PGE_Efficacité'!$A$4:$AO$4,0)+62),0)</f>
        <v>0</v>
      </c>
      <c r="N70" s="139">
        <f>VLOOKUP($E70,'7. PGE_Efficacité'!$A$6:$CY$266,(MATCH('4.5 ACE MAX WOL '!N$4,'7. PGE_Efficacité'!$A$4:$AO$4,0)+62),0)</f>
        <v>0</v>
      </c>
      <c r="O70" s="139">
        <f>VLOOKUP($E70,'7. PGE_Efficacité'!$A$6:$CY$266,78,0)</f>
        <v>0</v>
      </c>
      <c r="P70" s="139">
        <f>VLOOKUP($E70,'7. PGE_Efficacité'!$A$6:$CY$266,(MATCH('4.5 ACE MAX WOL '!P$4,'7. PGE_Efficacité'!$A$4:$AO$4,0)+62),0)</f>
        <v>0</v>
      </c>
      <c r="Q70" s="139">
        <f>VLOOKUP($E70,'7. PGE_Efficacité'!$A$6:$CY$266,(MATCH('4.5 ACE MAX WOL '!Q$4,'7. PGE_Efficacité'!$A$4:$AO$4,0)+62),0)</f>
        <v>0</v>
      </c>
      <c r="R70" s="139">
        <f>VLOOKUP($E70,'7. PGE_Efficacité'!$A$6:$CY$266,(MATCH('4.5 ACE MAX WOL '!R$4,'7. PGE_Efficacité'!$A$4:$AO$4,0)+62),0)</f>
        <v>0</v>
      </c>
      <c r="S70" s="139">
        <f>VLOOKUP($E70,'7. PGE_Efficacité'!$A$6:$CY$266,(MATCH('4.5 ACE MAX WOL '!S$4,'7. PGE_Efficacité'!$A$4:$AO$4,0)+62),0)</f>
        <v>0</v>
      </c>
      <c r="T70" s="139">
        <f>VLOOKUP($E70,'7. PGE_Efficacité'!$A$6:$CY$266,(MATCH('4.5 ACE MAX WOL '!T$4,'7. PGE_Efficacité'!$A$4:$AO$4,0)+62),0)</f>
        <v>0</v>
      </c>
      <c r="U70" s="139">
        <f>VLOOKUP($E70,'7. PGE_Efficacité'!$A$6:$CY$266,(MATCH('4.5 ACE MAX WOL '!U$4,'7. PGE_Efficacité'!$A$4:$AO$4,0)+62),0)</f>
        <v>0</v>
      </c>
      <c r="V70" s="139">
        <f>VLOOKUP($E70,'7. PGE_Efficacité'!$A$6:$CY$266,(MATCH('4.5 ACE MAX WOL '!V$4,'7. PGE_Efficacité'!$A$4:$AO$4,0)+62),0)</f>
        <v>0</v>
      </c>
      <c r="W70" s="139">
        <f>VLOOKUP($E70,'7. PGE_Efficacité'!$A$6:$CY$266,(MATCH('4.5 ACE MAX WOL '!W$4,'7. PGE_Efficacité'!$A$4:$AO$4,0)+62),0)</f>
        <v>0</v>
      </c>
      <c r="X70" s="139">
        <f>VLOOKUP($E70,'7. PGE_Efficacité'!$A$6:$CY$266,(MATCH('4.5 ACE MAX WOL '!X$4,'7. PGE_Efficacité'!$A$4:$AO$4,0)+62),0)</f>
        <v>0</v>
      </c>
      <c r="Y70" s="139">
        <f>VLOOKUP($E70,'7. PGE_Efficacité'!$A$6:$CY$266,(MATCH('4.5 ACE MAX WOL '!Y$4,'7. PGE_Efficacité'!$A$4:$AO$4,0)+62),0)</f>
        <v>0</v>
      </c>
      <c r="Z70" s="139">
        <f>VLOOKUP($E70,'7. PGE_Efficacité'!$A$6:$CY$266,(MATCH('4.5 ACE MAX WOL '!Z$4,'7. PGE_Efficacité'!$A$4:$AO$4,0)+62),0)</f>
        <v>0</v>
      </c>
      <c r="AA70" s="139">
        <f>VLOOKUP($E70,'7. PGE_Efficacité'!$A$6:$CY$266,(MATCH('4.5 ACE MAX WOL '!AA$4,'7. PGE_Efficacité'!$A$4:$AO$4,0)+62),0)</f>
        <v>0</v>
      </c>
      <c r="AB70" s="139">
        <f>VLOOKUP($E70,'7. PGE_Efficacité'!$A$6:$CY$266,(MATCH('4.5 ACE MAX WOL '!AB$4,'7. PGE_Efficacité'!$A$4:$AO$4,0)+62),0)</f>
        <v>0</v>
      </c>
      <c r="AC70" s="139">
        <f>VLOOKUP($E70,'7. PGE_Efficacité'!$A$6:$CY$266,(MATCH('4.5 ACE MAX WOL '!AC$4,'7. PGE_Efficacité'!$A$4:$AO$4,0)+62),0)</f>
        <v>0</v>
      </c>
      <c r="AD70" s="139">
        <f>VLOOKUP($E70,'7. PGE_Efficacité'!$A$6:$CY$266,(MATCH('4.5 ACE MAX WOL '!AD$4,'7. PGE_Efficacité'!$A$4:$AO$4,0)+62),0)</f>
        <v>0</v>
      </c>
      <c r="AE70" s="139">
        <f>VLOOKUP($E70,'7. PGE_Efficacité'!$A$6:$CY$266,(MATCH('4.5 ACE MAX WOL '!AE$4,'7. PGE_Efficacité'!$A$4:$AO$4,0)+62),0)</f>
        <v>0</v>
      </c>
      <c r="AF70" s="139">
        <f>VLOOKUP($E70,'7. PGE_Efficacité'!$A$6:$CY$266,(MATCH('4.5 ACE MAX WOL '!AF$4,'7. PGE_Efficacité'!$A$4:$AO$4,0)+62),0)</f>
        <v>0</v>
      </c>
      <c r="AG70" s="139">
        <f>VLOOKUP($E70,'7. PGE_Efficacité'!$A$6:$CY$266,(MATCH('4.5 ACE MAX WOL '!AG$4,'7. PGE_Efficacité'!$A$4:$AO$4,0)+62),0)</f>
        <v>0</v>
      </c>
      <c r="AH70" s="139">
        <f>VLOOKUP($E70,'7. PGE_Efficacité'!$A$6:$CY$266,(MATCH('4.5 ACE MAX WOL '!AH$4,'7. PGE_Efficacité'!$A$4:$AO$4,0)+62),0)</f>
        <v>0</v>
      </c>
      <c r="AI70" s="139">
        <f>VLOOKUP($E70,'7. PGE_Efficacité'!$A$6:$CY$266,(MATCH('4.5 ACE MAX WOL '!AI$4,'7. PGE_Efficacité'!$A$4:$AO$4,0)+62),0)</f>
        <v>0</v>
      </c>
      <c r="AJ70" s="139">
        <f>VLOOKUP($E70,'7. PGE_Efficacité'!$A$6:$CY$266,(MATCH('4.5 ACE MAX WOL '!AJ$4,'7. PGE_Efficacité'!$A$4:$AO$4,0)+62),0)</f>
        <v>0</v>
      </c>
      <c r="AK70" s="139">
        <f>VLOOKUP($E70,'7. PGE_Efficacité'!$A$6:$CY$266,(MATCH('4.5 ACE MAX WOL '!AK$4,'7. PGE_Efficacité'!$A$4:$AO$4,0)+62),0)</f>
        <v>0</v>
      </c>
      <c r="AL70" s="139">
        <f>VLOOKUP($E70,'7. PGE_Efficacité'!$A$6:$CY$266,(MATCH('4.5 ACE MAX WOL '!AL$4,'7. PGE_Efficacité'!$A$4:$AO$4,0)+62),0)</f>
        <v>0</v>
      </c>
      <c r="AM70" s="139">
        <f>VLOOKUP($E70,'7. PGE_Efficacité'!$A$6:$CY$266,(MATCH('4.5 ACE MAX WOL '!AM$4,'7. PGE_Efficacité'!$A$4:$AO$4,0)+62),0)</f>
        <v>0</v>
      </c>
      <c r="AN70" s="139">
        <f>VLOOKUP($E70,'7. PGE_Efficacité'!$A$6:$CY$266,(MATCH('4.5 ACE MAX WOL '!AN$4,'7. PGE_Efficacité'!$A$4:$AO$4,0)+62),0)</f>
        <v>0</v>
      </c>
    </row>
    <row r="71" spans="1:40" ht="39" outlineLevel="1" collapsed="1" x14ac:dyDescent="0.25">
      <c r="A71" s="48"/>
      <c r="B71" s="49"/>
      <c r="C71" s="48"/>
      <c r="D71" s="194" t="s">
        <v>8</v>
      </c>
      <c r="E71" s="195"/>
      <c r="F71" s="196" t="str">
        <f>VLOOKUP(D71,'1. Mesures'!$A$2:$B$116,2,0)</f>
        <v>Mettre en place un système de régulation des débits circulant dans le réseau d’assainissement pour réduire la fréquence des déversements au niveau des déversoirs d’orage et assurer un meilleur traitement des eaux usées</v>
      </c>
      <c r="G71" s="197"/>
      <c r="H71" s="195"/>
      <c r="I71" s="198">
        <f>MEDIAN(VLOOKUP(D71,'4. Mesures_ACE_Budget'!$A$3:$N$32,13,0),(VLOOKUP(D71,'4. Mesures_ACE_Budget'!$A$3:$N$32,14,0)))</f>
        <v>0</v>
      </c>
      <c r="J71" s="235">
        <f>VLOOKUP($D71,'7. PGE_Efficacité'!$A$6:$CY$266,(MATCH('4.5 ACE MAX WOL '!J$4,'7. PGE_Efficacité'!$A$4:$AO$4,0)+62),0)</f>
        <v>0</v>
      </c>
      <c r="K71" s="235">
        <f>VLOOKUP($D71,'7. PGE_Efficacité'!$A$6:$CY$266,(MATCH('4.5 ACE MAX WOL '!K$4,'7. PGE_Efficacité'!$A$4:$AO$4,0)+62),0)</f>
        <v>0</v>
      </c>
      <c r="L71" s="235">
        <f>VLOOKUP($D71,'7. PGE_Efficacité'!$A$6:$CY$266,(MATCH('4.5 ACE MAX WOL '!L$4,'7. PGE_Efficacité'!$A$4:$AO$4,0)+62),0)</f>
        <v>0</v>
      </c>
      <c r="M71" s="235">
        <f>VLOOKUP($D71,'7. PGE_Efficacité'!$A$6:$CY$266,(MATCH('4.5 ACE MAX WOL '!M$4,'7. PGE_Efficacité'!$A$4:$AO$4,0)+62),0)</f>
        <v>0</v>
      </c>
      <c r="N71" s="235">
        <f>VLOOKUP($D71,'7. PGE_Efficacité'!$A$6:$CY$266,(MATCH('4.5 ACE MAX WOL '!N$4,'7. PGE_Efficacité'!$A$4:$AO$4,0)+62),0)</f>
        <v>0</v>
      </c>
      <c r="O71" s="235">
        <f>VLOOKUP($D71,'7. PGE_Efficacité'!$A$6:$CY$266,78,0)</f>
        <v>0</v>
      </c>
      <c r="P71" s="235">
        <f>VLOOKUP($D71,'7. PGE_Efficacité'!$A$6:$CY$266,(MATCH('4.5 ACE MAX WOL '!P$4,'7. PGE_Efficacité'!$A$4:$AO$4,0)+62),0)</f>
        <v>0</v>
      </c>
      <c r="Q71" s="235">
        <f>VLOOKUP($D71,'7. PGE_Efficacité'!$A$6:$CY$266,(MATCH('4.5 ACE MAX WOL '!Q$4,'7. PGE_Efficacité'!$A$4:$AO$4,0)+62),0)</f>
        <v>0</v>
      </c>
      <c r="R71" s="235">
        <f>VLOOKUP($D71,'7. PGE_Efficacité'!$A$6:$CY$266,(MATCH('4.5 ACE MAX WOL '!R$4,'7. PGE_Efficacité'!$A$4:$AO$4,0)+62),0)</f>
        <v>0</v>
      </c>
      <c r="S71" s="235">
        <f>VLOOKUP($D71,'7. PGE_Efficacité'!$A$6:$CY$266,(MATCH('4.5 ACE MAX WOL '!S$4,'7. PGE_Efficacité'!$A$4:$AO$4,0)+62),0)</f>
        <v>0</v>
      </c>
      <c r="T71" s="235">
        <f>VLOOKUP($D71,'7. PGE_Efficacité'!$A$6:$CY$266,(MATCH('4.5 ACE MAX WOL '!T$4,'7. PGE_Efficacité'!$A$4:$AO$4,0)+62),0)</f>
        <v>0</v>
      </c>
      <c r="U71" s="235">
        <f>VLOOKUP($D71,'7. PGE_Efficacité'!$A$6:$CY$266,(MATCH('4.5 ACE MAX WOL '!U$4,'7. PGE_Efficacité'!$A$4:$AO$4,0)+62),0)</f>
        <v>0</v>
      </c>
      <c r="V71" s="235">
        <f>VLOOKUP($D71,'7. PGE_Efficacité'!$A$6:$CY$266,(MATCH('4.5 ACE MAX WOL '!V$4,'7. PGE_Efficacité'!$A$4:$AO$4,0)+62),0)</f>
        <v>0</v>
      </c>
      <c r="W71" s="235">
        <f>VLOOKUP($D71,'7. PGE_Efficacité'!$A$6:$CY$266,(MATCH('4.5 ACE MAX WOL '!W$4,'7. PGE_Efficacité'!$A$4:$AO$4,0)+62),0)</f>
        <v>0</v>
      </c>
      <c r="X71" s="235">
        <f>VLOOKUP($D71,'7. PGE_Efficacité'!$A$6:$CY$266,(MATCH('4.5 ACE MAX WOL '!X$4,'7. PGE_Efficacité'!$A$4:$AO$4,0)+62),0)</f>
        <v>0</v>
      </c>
      <c r="Y71" s="235">
        <f>VLOOKUP($D71,'7. PGE_Efficacité'!$A$6:$CY$266,(MATCH('4.5 ACE MAX WOL '!Y$4,'7. PGE_Efficacité'!$A$4:$AO$4,0)+62),0)</f>
        <v>0</v>
      </c>
      <c r="Z71" s="235">
        <f>VLOOKUP($D71,'7. PGE_Efficacité'!$A$6:$CY$266,(MATCH('4.5 ACE MAX WOL '!Z$4,'7. PGE_Efficacité'!$A$4:$AO$4,0)+62),0)</f>
        <v>0</v>
      </c>
      <c r="AA71" s="235">
        <f>VLOOKUP($D71,'7. PGE_Efficacité'!$A$6:$CY$266,(MATCH('4.5 ACE MAX WOL '!AA$4,'7. PGE_Efficacité'!$A$4:$AO$4,0)+62),0)</f>
        <v>0</v>
      </c>
      <c r="AB71" s="235">
        <f>VLOOKUP($D71,'7. PGE_Efficacité'!$A$6:$CY$266,(MATCH('4.5 ACE MAX WOL '!AB$4,'7. PGE_Efficacité'!$A$4:$AO$4,0)+62),0)</f>
        <v>0</v>
      </c>
      <c r="AC71" s="235">
        <f>VLOOKUP($D71,'7. PGE_Efficacité'!$A$6:$CY$266,(MATCH('4.5 ACE MAX WOL '!AC$4,'7. PGE_Efficacité'!$A$4:$AO$4,0)+62),0)</f>
        <v>0</v>
      </c>
      <c r="AD71" s="235">
        <f>VLOOKUP($D71,'7. PGE_Efficacité'!$A$6:$CY$266,(MATCH('4.5 ACE MAX WOL '!AD$4,'7. PGE_Efficacité'!$A$4:$AO$4,0)+62),0)</f>
        <v>0</v>
      </c>
      <c r="AE71" s="235">
        <f>VLOOKUP($D71,'7. PGE_Efficacité'!$A$6:$CY$266,(MATCH('4.5 ACE MAX WOL '!AE$4,'7. PGE_Efficacité'!$A$4:$AO$4,0)+62),0)</f>
        <v>0</v>
      </c>
      <c r="AF71" s="235">
        <f>VLOOKUP($D71,'7. PGE_Efficacité'!$A$6:$CY$266,(MATCH('4.5 ACE MAX WOL '!AF$4,'7. PGE_Efficacité'!$A$4:$AO$4,0)+62),0)</f>
        <v>0</v>
      </c>
      <c r="AG71" s="235">
        <f>VLOOKUP($D71,'7. PGE_Efficacité'!$A$6:$CY$266,(MATCH('4.5 ACE MAX WOL '!AG$4,'7. PGE_Efficacité'!$A$4:$AO$4,0)+62),0)</f>
        <v>0</v>
      </c>
      <c r="AH71" s="235">
        <f>VLOOKUP($D71,'7. PGE_Efficacité'!$A$6:$CY$266,(MATCH('4.5 ACE MAX WOL '!AH$4,'7. PGE_Efficacité'!$A$4:$AO$4,0)+62),0)</f>
        <v>0</v>
      </c>
      <c r="AI71" s="235">
        <f>VLOOKUP($D71,'7. PGE_Efficacité'!$A$6:$CY$266,(MATCH('4.5 ACE MAX WOL '!AI$4,'7. PGE_Efficacité'!$A$4:$AO$4,0)+62),0)</f>
        <v>0</v>
      </c>
      <c r="AJ71" s="235">
        <f>VLOOKUP($D71,'7. PGE_Efficacité'!$A$6:$CY$266,(MATCH('4.5 ACE MAX WOL '!AJ$4,'7. PGE_Efficacité'!$A$4:$AO$4,0)+62),0)</f>
        <v>0</v>
      </c>
      <c r="AK71" s="235">
        <f>VLOOKUP($D71,'7. PGE_Efficacité'!$A$6:$CY$266,(MATCH('4.5 ACE MAX WOL '!AK$4,'7. PGE_Efficacité'!$A$4:$AO$4,0)+62),0)</f>
        <v>0</v>
      </c>
      <c r="AL71" s="235">
        <f>VLOOKUP($D71,'7. PGE_Efficacité'!$A$6:$CY$266,(MATCH('4.5 ACE MAX WOL '!AL$4,'7. PGE_Efficacité'!$A$4:$AO$4,0)+62),0)</f>
        <v>0</v>
      </c>
      <c r="AM71" s="235">
        <f>VLOOKUP($D71,'7. PGE_Efficacité'!$A$6:$CY$266,(MATCH('4.5 ACE MAX WOL '!AM$4,'7. PGE_Efficacité'!$A$4:$AO$4,0)+62),0)</f>
        <v>0</v>
      </c>
      <c r="AN71" s="235">
        <f>VLOOKUP($D71,'7. PGE_Efficacité'!$A$6:$CY$266,(MATCH('4.5 ACE MAX WOL '!AN$4,'7. PGE_Efficacité'!$A$4:$AO$4,0)+62),0)</f>
        <v>0</v>
      </c>
    </row>
    <row r="72" spans="1:40" hidden="1" outlineLevel="2" x14ac:dyDescent="0.25">
      <c r="A72" s="48" t="s">
        <v>1524</v>
      </c>
      <c r="B72" s="49">
        <v>9</v>
      </c>
      <c r="C72" s="48" t="s">
        <v>1524</v>
      </c>
      <c r="D72" s="199" t="s">
        <v>8</v>
      </c>
      <c r="E72" s="200" t="s">
        <v>843</v>
      </c>
      <c r="F72" s="200" t="s">
        <v>1473</v>
      </c>
      <c r="G72" s="201" t="s">
        <v>1522</v>
      </c>
      <c r="H72" s="200" t="s">
        <v>1290</v>
      </c>
      <c r="I72" s="202"/>
      <c r="J72" s="139">
        <f>VLOOKUP($E72,'7. PGE_Efficacité'!$A$6:$CY$266,(MATCH('4.5 ACE MAX WOL '!J$4,'7. PGE_Efficacité'!$A$4:$AO$4,0)+62),0)</f>
        <v>0</v>
      </c>
      <c r="K72" s="139">
        <f>VLOOKUP($E72,'7. PGE_Efficacité'!$A$6:$CY$266,(MATCH('4.5 ACE MAX WOL '!K$4,'7. PGE_Efficacité'!$A$4:$AO$4,0)+62),0)</f>
        <v>0</v>
      </c>
      <c r="L72" s="139">
        <f>VLOOKUP($E72,'7. PGE_Efficacité'!$A$6:$CY$266,(MATCH('4.5 ACE MAX WOL '!L$4,'7. PGE_Efficacité'!$A$4:$AO$4,0)+62),0)</f>
        <v>0</v>
      </c>
      <c r="M72" s="139">
        <f>VLOOKUP($E72,'7. PGE_Efficacité'!$A$6:$CY$266,(MATCH('4.5 ACE MAX WOL '!M$4,'7. PGE_Efficacité'!$A$4:$AO$4,0)+62),0)</f>
        <v>0</v>
      </c>
      <c r="N72" s="139">
        <f>VLOOKUP($E72,'7. PGE_Efficacité'!$A$6:$CY$266,(MATCH('4.5 ACE MAX WOL '!N$4,'7. PGE_Efficacité'!$A$4:$AO$4,0)+62),0)</f>
        <v>0</v>
      </c>
      <c r="O72" s="139">
        <f>VLOOKUP($E72,'7. PGE_Efficacité'!$A$6:$CY$266,78,0)</f>
        <v>0</v>
      </c>
      <c r="P72" s="139">
        <f>VLOOKUP($E72,'7. PGE_Efficacité'!$A$6:$CY$266,(MATCH('4.5 ACE MAX WOL '!P$4,'7. PGE_Efficacité'!$A$4:$AO$4,0)+62),0)</f>
        <v>0</v>
      </c>
      <c r="Q72" s="139">
        <f>VLOOKUP($E72,'7. PGE_Efficacité'!$A$6:$CY$266,(MATCH('4.5 ACE MAX WOL '!Q$4,'7. PGE_Efficacité'!$A$4:$AO$4,0)+62),0)</f>
        <v>0</v>
      </c>
      <c r="R72" s="139">
        <f>VLOOKUP($E72,'7. PGE_Efficacité'!$A$6:$CY$266,(MATCH('4.5 ACE MAX WOL '!R$4,'7. PGE_Efficacité'!$A$4:$AO$4,0)+62),0)</f>
        <v>0</v>
      </c>
      <c r="S72" s="139">
        <f>VLOOKUP($E72,'7. PGE_Efficacité'!$A$6:$CY$266,(MATCH('4.5 ACE MAX WOL '!S$4,'7. PGE_Efficacité'!$A$4:$AO$4,0)+62),0)</f>
        <v>0</v>
      </c>
      <c r="T72" s="139">
        <f>VLOOKUP($E72,'7. PGE_Efficacité'!$A$6:$CY$266,(MATCH('4.5 ACE MAX WOL '!T$4,'7. PGE_Efficacité'!$A$4:$AO$4,0)+62),0)</f>
        <v>0</v>
      </c>
      <c r="U72" s="139">
        <f>VLOOKUP($E72,'7. PGE_Efficacité'!$A$6:$CY$266,(MATCH('4.5 ACE MAX WOL '!U$4,'7. PGE_Efficacité'!$A$4:$AO$4,0)+62),0)</f>
        <v>0</v>
      </c>
      <c r="V72" s="139">
        <f>VLOOKUP($E72,'7. PGE_Efficacité'!$A$6:$CY$266,(MATCH('4.5 ACE MAX WOL '!V$4,'7. PGE_Efficacité'!$A$4:$AO$4,0)+62),0)</f>
        <v>0</v>
      </c>
      <c r="W72" s="139">
        <f>VLOOKUP($E72,'7. PGE_Efficacité'!$A$6:$CY$266,(MATCH('4.5 ACE MAX WOL '!W$4,'7. PGE_Efficacité'!$A$4:$AO$4,0)+62),0)</f>
        <v>0</v>
      </c>
      <c r="X72" s="139">
        <f>VLOOKUP($E72,'7. PGE_Efficacité'!$A$6:$CY$266,(MATCH('4.5 ACE MAX WOL '!X$4,'7. PGE_Efficacité'!$A$4:$AO$4,0)+62),0)</f>
        <v>0</v>
      </c>
      <c r="Y72" s="139">
        <f>VLOOKUP($E72,'7. PGE_Efficacité'!$A$6:$CY$266,(MATCH('4.5 ACE MAX WOL '!Y$4,'7. PGE_Efficacité'!$A$4:$AO$4,0)+62),0)</f>
        <v>0</v>
      </c>
      <c r="Z72" s="139">
        <f>VLOOKUP($E72,'7. PGE_Efficacité'!$A$6:$CY$266,(MATCH('4.5 ACE MAX WOL '!Z$4,'7. PGE_Efficacité'!$A$4:$AO$4,0)+62),0)</f>
        <v>0</v>
      </c>
      <c r="AA72" s="139">
        <f>VLOOKUP($E72,'7. PGE_Efficacité'!$A$6:$CY$266,(MATCH('4.5 ACE MAX WOL '!AA$4,'7. PGE_Efficacité'!$A$4:$AO$4,0)+62),0)</f>
        <v>0</v>
      </c>
      <c r="AB72" s="139">
        <f>VLOOKUP($E72,'7. PGE_Efficacité'!$A$6:$CY$266,(MATCH('4.5 ACE MAX WOL '!AB$4,'7. PGE_Efficacité'!$A$4:$AO$4,0)+62),0)</f>
        <v>0</v>
      </c>
      <c r="AC72" s="139">
        <f>VLOOKUP($E72,'7. PGE_Efficacité'!$A$6:$CY$266,(MATCH('4.5 ACE MAX WOL '!AC$4,'7. PGE_Efficacité'!$A$4:$AO$4,0)+62),0)</f>
        <v>0</v>
      </c>
      <c r="AD72" s="139">
        <f>VLOOKUP($E72,'7. PGE_Efficacité'!$A$6:$CY$266,(MATCH('4.5 ACE MAX WOL '!AD$4,'7. PGE_Efficacité'!$A$4:$AO$4,0)+62),0)</f>
        <v>0</v>
      </c>
      <c r="AE72" s="139">
        <f>VLOOKUP($E72,'7. PGE_Efficacité'!$A$6:$CY$266,(MATCH('4.5 ACE MAX WOL '!AE$4,'7. PGE_Efficacité'!$A$4:$AO$4,0)+62),0)</f>
        <v>0</v>
      </c>
      <c r="AF72" s="139">
        <f>VLOOKUP($E72,'7. PGE_Efficacité'!$A$6:$CY$266,(MATCH('4.5 ACE MAX WOL '!AF$4,'7. PGE_Efficacité'!$A$4:$AO$4,0)+62),0)</f>
        <v>0</v>
      </c>
      <c r="AG72" s="139">
        <f>VLOOKUP($E72,'7. PGE_Efficacité'!$A$6:$CY$266,(MATCH('4.5 ACE MAX WOL '!AG$4,'7. PGE_Efficacité'!$A$4:$AO$4,0)+62),0)</f>
        <v>0</v>
      </c>
      <c r="AH72" s="139">
        <f>VLOOKUP($E72,'7. PGE_Efficacité'!$A$6:$CY$266,(MATCH('4.5 ACE MAX WOL '!AH$4,'7. PGE_Efficacité'!$A$4:$AO$4,0)+62),0)</f>
        <v>0</v>
      </c>
      <c r="AI72" s="139">
        <f>VLOOKUP($E72,'7. PGE_Efficacité'!$A$6:$CY$266,(MATCH('4.5 ACE MAX WOL '!AI$4,'7. PGE_Efficacité'!$A$4:$AO$4,0)+62),0)</f>
        <v>0</v>
      </c>
      <c r="AJ72" s="139">
        <f>VLOOKUP($E72,'7. PGE_Efficacité'!$A$6:$CY$266,(MATCH('4.5 ACE MAX WOL '!AJ$4,'7. PGE_Efficacité'!$A$4:$AO$4,0)+62),0)</f>
        <v>0</v>
      </c>
      <c r="AK72" s="139">
        <f>VLOOKUP($E72,'7. PGE_Efficacité'!$A$6:$CY$266,(MATCH('4.5 ACE MAX WOL '!AK$4,'7. PGE_Efficacité'!$A$4:$AO$4,0)+62),0)</f>
        <v>0</v>
      </c>
      <c r="AL72" s="139">
        <f>VLOOKUP($E72,'7. PGE_Efficacité'!$A$6:$CY$266,(MATCH('4.5 ACE MAX WOL '!AL$4,'7. PGE_Efficacité'!$A$4:$AO$4,0)+62),0)</f>
        <v>0</v>
      </c>
      <c r="AM72" s="139">
        <f>VLOOKUP($E72,'7. PGE_Efficacité'!$A$6:$CY$266,(MATCH('4.5 ACE MAX WOL '!AM$4,'7. PGE_Efficacité'!$A$4:$AO$4,0)+62),0)</f>
        <v>0</v>
      </c>
      <c r="AN72" s="139">
        <f>VLOOKUP($E72,'7. PGE_Efficacité'!$A$6:$CY$266,(MATCH('4.5 ACE MAX WOL '!AN$4,'7. PGE_Efficacité'!$A$4:$AO$4,0)+62),0)</f>
        <v>0</v>
      </c>
    </row>
    <row r="73" spans="1:40" hidden="1" outlineLevel="2" x14ac:dyDescent="0.25">
      <c r="A73" s="48" t="s">
        <v>1524</v>
      </c>
      <c r="B73" s="49">
        <v>9</v>
      </c>
      <c r="C73" s="48" t="s">
        <v>1525</v>
      </c>
      <c r="D73" s="199" t="s">
        <v>8</v>
      </c>
      <c r="E73" s="200" t="s">
        <v>844</v>
      </c>
      <c r="F73" s="200" t="s">
        <v>1474</v>
      </c>
      <c r="G73" s="201" t="s">
        <v>1522</v>
      </c>
      <c r="H73" s="200" t="s">
        <v>1289</v>
      </c>
      <c r="I73" s="202"/>
      <c r="J73" s="139">
        <f>VLOOKUP($E73,'7. PGE_Efficacité'!$A$6:$CY$266,(MATCH('4.5 ACE MAX WOL '!J$4,'7. PGE_Efficacité'!$A$4:$AO$4,0)+62),0)</f>
        <v>0</v>
      </c>
      <c r="K73" s="139">
        <f>VLOOKUP($E73,'7. PGE_Efficacité'!$A$6:$CY$266,(MATCH('4.5 ACE MAX WOL '!K$4,'7. PGE_Efficacité'!$A$4:$AO$4,0)+62),0)</f>
        <v>0</v>
      </c>
      <c r="L73" s="139">
        <f>VLOOKUP($E73,'7. PGE_Efficacité'!$A$6:$CY$266,(MATCH('4.5 ACE MAX WOL '!L$4,'7. PGE_Efficacité'!$A$4:$AO$4,0)+62),0)</f>
        <v>0</v>
      </c>
      <c r="M73" s="139">
        <f>VLOOKUP($E73,'7. PGE_Efficacité'!$A$6:$CY$266,(MATCH('4.5 ACE MAX WOL '!M$4,'7. PGE_Efficacité'!$A$4:$AO$4,0)+62),0)</f>
        <v>0</v>
      </c>
      <c r="N73" s="139">
        <f>VLOOKUP($E73,'7. PGE_Efficacité'!$A$6:$CY$266,(MATCH('4.5 ACE MAX WOL '!N$4,'7. PGE_Efficacité'!$A$4:$AO$4,0)+62),0)</f>
        <v>0</v>
      </c>
      <c r="O73" s="139">
        <f>VLOOKUP($E73,'7. PGE_Efficacité'!$A$6:$CY$266,78,0)</f>
        <v>0</v>
      </c>
      <c r="P73" s="139">
        <f>VLOOKUP($E73,'7. PGE_Efficacité'!$A$6:$CY$266,(MATCH('4.5 ACE MAX WOL '!P$4,'7. PGE_Efficacité'!$A$4:$AO$4,0)+62),0)</f>
        <v>0</v>
      </c>
      <c r="Q73" s="139">
        <f>VLOOKUP($E73,'7. PGE_Efficacité'!$A$6:$CY$266,(MATCH('4.5 ACE MAX WOL '!Q$4,'7. PGE_Efficacité'!$A$4:$AO$4,0)+62),0)</f>
        <v>0</v>
      </c>
      <c r="R73" s="139">
        <f>VLOOKUP($E73,'7. PGE_Efficacité'!$A$6:$CY$266,(MATCH('4.5 ACE MAX WOL '!R$4,'7. PGE_Efficacité'!$A$4:$AO$4,0)+62),0)</f>
        <v>0</v>
      </c>
      <c r="S73" s="139">
        <f>VLOOKUP($E73,'7. PGE_Efficacité'!$A$6:$CY$266,(MATCH('4.5 ACE MAX WOL '!S$4,'7. PGE_Efficacité'!$A$4:$AO$4,0)+62),0)</f>
        <v>0</v>
      </c>
      <c r="T73" s="139">
        <f>VLOOKUP($E73,'7. PGE_Efficacité'!$A$6:$CY$266,(MATCH('4.5 ACE MAX WOL '!T$4,'7. PGE_Efficacité'!$A$4:$AO$4,0)+62),0)</f>
        <v>0</v>
      </c>
      <c r="U73" s="139">
        <f>VLOOKUP($E73,'7. PGE_Efficacité'!$A$6:$CY$266,(MATCH('4.5 ACE MAX WOL '!U$4,'7. PGE_Efficacité'!$A$4:$AO$4,0)+62),0)</f>
        <v>0</v>
      </c>
      <c r="V73" s="139">
        <f>VLOOKUP($E73,'7. PGE_Efficacité'!$A$6:$CY$266,(MATCH('4.5 ACE MAX WOL '!V$4,'7. PGE_Efficacité'!$A$4:$AO$4,0)+62),0)</f>
        <v>0</v>
      </c>
      <c r="W73" s="139">
        <f>VLOOKUP($E73,'7. PGE_Efficacité'!$A$6:$CY$266,(MATCH('4.5 ACE MAX WOL '!W$4,'7. PGE_Efficacité'!$A$4:$AO$4,0)+62),0)</f>
        <v>0</v>
      </c>
      <c r="X73" s="139">
        <f>VLOOKUP($E73,'7. PGE_Efficacité'!$A$6:$CY$266,(MATCH('4.5 ACE MAX WOL '!X$4,'7. PGE_Efficacité'!$A$4:$AO$4,0)+62),0)</f>
        <v>0</v>
      </c>
      <c r="Y73" s="139">
        <f>VLOOKUP($E73,'7. PGE_Efficacité'!$A$6:$CY$266,(MATCH('4.5 ACE MAX WOL '!Y$4,'7. PGE_Efficacité'!$A$4:$AO$4,0)+62),0)</f>
        <v>0</v>
      </c>
      <c r="Z73" s="139">
        <f>VLOOKUP($E73,'7. PGE_Efficacité'!$A$6:$CY$266,(MATCH('4.5 ACE MAX WOL '!Z$4,'7. PGE_Efficacité'!$A$4:$AO$4,0)+62),0)</f>
        <v>0</v>
      </c>
      <c r="AA73" s="139">
        <f>VLOOKUP($E73,'7. PGE_Efficacité'!$A$6:$CY$266,(MATCH('4.5 ACE MAX WOL '!AA$4,'7. PGE_Efficacité'!$A$4:$AO$4,0)+62),0)</f>
        <v>0</v>
      </c>
      <c r="AB73" s="139">
        <f>VLOOKUP($E73,'7. PGE_Efficacité'!$A$6:$CY$266,(MATCH('4.5 ACE MAX WOL '!AB$4,'7. PGE_Efficacité'!$A$4:$AO$4,0)+62),0)</f>
        <v>0</v>
      </c>
      <c r="AC73" s="139">
        <f>VLOOKUP($E73,'7. PGE_Efficacité'!$A$6:$CY$266,(MATCH('4.5 ACE MAX WOL '!AC$4,'7. PGE_Efficacité'!$A$4:$AO$4,0)+62),0)</f>
        <v>0</v>
      </c>
      <c r="AD73" s="139">
        <f>VLOOKUP($E73,'7. PGE_Efficacité'!$A$6:$CY$266,(MATCH('4.5 ACE MAX WOL '!AD$4,'7. PGE_Efficacité'!$A$4:$AO$4,0)+62),0)</f>
        <v>0</v>
      </c>
      <c r="AE73" s="139">
        <f>VLOOKUP($E73,'7. PGE_Efficacité'!$A$6:$CY$266,(MATCH('4.5 ACE MAX WOL '!AE$4,'7. PGE_Efficacité'!$A$4:$AO$4,0)+62),0)</f>
        <v>0</v>
      </c>
      <c r="AF73" s="139">
        <f>VLOOKUP($E73,'7. PGE_Efficacité'!$A$6:$CY$266,(MATCH('4.5 ACE MAX WOL '!AF$4,'7. PGE_Efficacité'!$A$4:$AO$4,0)+62),0)</f>
        <v>0</v>
      </c>
      <c r="AG73" s="139">
        <f>VLOOKUP($E73,'7. PGE_Efficacité'!$A$6:$CY$266,(MATCH('4.5 ACE MAX WOL '!AG$4,'7. PGE_Efficacité'!$A$4:$AO$4,0)+62),0)</f>
        <v>0</v>
      </c>
      <c r="AH73" s="139">
        <f>VLOOKUP($E73,'7. PGE_Efficacité'!$A$6:$CY$266,(MATCH('4.5 ACE MAX WOL '!AH$4,'7. PGE_Efficacité'!$A$4:$AO$4,0)+62),0)</f>
        <v>0</v>
      </c>
      <c r="AI73" s="139">
        <f>VLOOKUP($E73,'7. PGE_Efficacité'!$A$6:$CY$266,(MATCH('4.5 ACE MAX WOL '!AI$4,'7. PGE_Efficacité'!$A$4:$AO$4,0)+62),0)</f>
        <v>0</v>
      </c>
      <c r="AJ73" s="139">
        <f>VLOOKUP($E73,'7. PGE_Efficacité'!$A$6:$CY$266,(MATCH('4.5 ACE MAX WOL '!AJ$4,'7. PGE_Efficacité'!$A$4:$AO$4,0)+62),0)</f>
        <v>0</v>
      </c>
      <c r="AK73" s="139">
        <f>VLOOKUP($E73,'7. PGE_Efficacité'!$A$6:$CY$266,(MATCH('4.5 ACE MAX WOL '!AK$4,'7. PGE_Efficacité'!$A$4:$AO$4,0)+62),0)</f>
        <v>0</v>
      </c>
      <c r="AL73" s="139">
        <f>VLOOKUP($E73,'7. PGE_Efficacité'!$A$6:$CY$266,(MATCH('4.5 ACE MAX WOL '!AL$4,'7. PGE_Efficacité'!$A$4:$AO$4,0)+62),0)</f>
        <v>0</v>
      </c>
      <c r="AM73" s="139">
        <f>VLOOKUP($E73,'7. PGE_Efficacité'!$A$6:$CY$266,(MATCH('4.5 ACE MAX WOL '!AM$4,'7. PGE_Efficacité'!$A$4:$AO$4,0)+62),0)</f>
        <v>0</v>
      </c>
      <c r="AN73" s="139">
        <f>VLOOKUP($E73,'7. PGE_Efficacité'!$A$6:$CY$266,(MATCH('4.5 ACE MAX WOL '!AN$4,'7. PGE_Efficacité'!$A$4:$AO$4,0)+62),0)</f>
        <v>0</v>
      </c>
    </row>
    <row r="74" spans="1:40" hidden="1" outlineLevel="2" x14ac:dyDescent="0.25">
      <c r="A74" s="48" t="s">
        <v>1524</v>
      </c>
      <c r="B74" s="49">
        <v>9</v>
      </c>
      <c r="C74" s="48" t="s">
        <v>1530</v>
      </c>
      <c r="D74" s="199" t="s">
        <v>8</v>
      </c>
      <c r="E74" s="200" t="s">
        <v>850</v>
      </c>
      <c r="F74" s="200" t="s">
        <v>1480</v>
      </c>
      <c r="G74" s="201" t="s">
        <v>1522</v>
      </c>
      <c r="H74" s="200" t="s">
        <v>1289</v>
      </c>
      <c r="I74" s="202"/>
      <c r="J74" s="139">
        <f>VLOOKUP($E74,'7. PGE_Efficacité'!$A$6:$CY$266,(MATCH('4.5 ACE MAX WOL '!J$4,'7. PGE_Efficacité'!$A$4:$AO$4,0)+62),0)</f>
        <v>0</v>
      </c>
      <c r="K74" s="139">
        <f>VLOOKUP($E74,'7. PGE_Efficacité'!$A$6:$CY$266,(MATCH('4.5 ACE MAX WOL '!K$4,'7. PGE_Efficacité'!$A$4:$AO$4,0)+62),0)</f>
        <v>0</v>
      </c>
      <c r="L74" s="139">
        <f>VLOOKUP($E74,'7. PGE_Efficacité'!$A$6:$CY$266,(MATCH('4.5 ACE MAX WOL '!L$4,'7. PGE_Efficacité'!$A$4:$AO$4,0)+62),0)</f>
        <v>0</v>
      </c>
      <c r="M74" s="139">
        <f>VLOOKUP($E74,'7. PGE_Efficacité'!$A$6:$CY$266,(MATCH('4.5 ACE MAX WOL '!M$4,'7. PGE_Efficacité'!$A$4:$AO$4,0)+62),0)</f>
        <v>0</v>
      </c>
      <c r="N74" s="139">
        <f>VLOOKUP($E74,'7. PGE_Efficacité'!$A$6:$CY$266,(MATCH('4.5 ACE MAX WOL '!N$4,'7. PGE_Efficacité'!$A$4:$AO$4,0)+62),0)</f>
        <v>0</v>
      </c>
      <c r="O74" s="139">
        <f>VLOOKUP($E74,'7. PGE_Efficacité'!$A$6:$CY$266,78,0)</f>
        <v>0</v>
      </c>
      <c r="P74" s="139">
        <f>VLOOKUP($E74,'7. PGE_Efficacité'!$A$6:$CY$266,(MATCH('4.5 ACE MAX WOL '!P$4,'7. PGE_Efficacité'!$A$4:$AO$4,0)+62),0)</f>
        <v>0</v>
      </c>
      <c r="Q74" s="139">
        <f>VLOOKUP($E74,'7. PGE_Efficacité'!$A$6:$CY$266,(MATCH('4.5 ACE MAX WOL '!Q$4,'7. PGE_Efficacité'!$A$4:$AO$4,0)+62),0)</f>
        <v>0</v>
      </c>
      <c r="R74" s="139">
        <f>VLOOKUP($E74,'7. PGE_Efficacité'!$A$6:$CY$266,(MATCH('4.5 ACE MAX WOL '!R$4,'7. PGE_Efficacité'!$A$4:$AO$4,0)+62),0)</f>
        <v>0</v>
      </c>
      <c r="S74" s="139">
        <f>VLOOKUP($E74,'7. PGE_Efficacité'!$A$6:$CY$266,(MATCH('4.5 ACE MAX WOL '!S$4,'7. PGE_Efficacité'!$A$4:$AO$4,0)+62),0)</f>
        <v>0</v>
      </c>
      <c r="T74" s="139">
        <f>VLOOKUP($E74,'7. PGE_Efficacité'!$A$6:$CY$266,(MATCH('4.5 ACE MAX WOL '!T$4,'7. PGE_Efficacité'!$A$4:$AO$4,0)+62),0)</f>
        <v>0</v>
      </c>
      <c r="U74" s="139">
        <f>VLOOKUP($E74,'7. PGE_Efficacité'!$A$6:$CY$266,(MATCH('4.5 ACE MAX WOL '!U$4,'7. PGE_Efficacité'!$A$4:$AO$4,0)+62),0)</f>
        <v>0</v>
      </c>
      <c r="V74" s="139">
        <f>VLOOKUP($E74,'7. PGE_Efficacité'!$A$6:$CY$266,(MATCH('4.5 ACE MAX WOL '!V$4,'7. PGE_Efficacité'!$A$4:$AO$4,0)+62),0)</f>
        <v>0</v>
      </c>
      <c r="W74" s="139">
        <f>VLOOKUP($E74,'7. PGE_Efficacité'!$A$6:$CY$266,(MATCH('4.5 ACE MAX WOL '!W$4,'7. PGE_Efficacité'!$A$4:$AO$4,0)+62),0)</f>
        <v>0</v>
      </c>
      <c r="X74" s="139">
        <f>VLOOKUP($E74,'7. PGE_Efficacité'!$A$6:$CY$266,(MATCH('4.5 ACE MAX WOL '!X$4,'7. PGE_Efficacité'!$A$4:$AO$4,0)+62),0)</f>
        <v>0</v>
      </c>
      <c r="Y74" s="139">
        <f>VLOOKUP($E74,'7. PGE_Efficacité'!$A$6:$CY$266,(MATCH('4.5 ACE MAX WOL '!Y$4,'7. PGE_Efficacité'!$A$4:$AO$4,0)+62),0)</f>
        <v>0</v>
      </c>
      <c r="Z74" s="139">
        <f>VLOOKUP($E74,'7. PGE_Efficacité'!$A$6:$CY$266,(MATCH('4.5 ACE MAX WOL '!Z$4,'7. PGE_Efficacité'!$A$4:$AO$4,0)+62),0)</f>
        <v>0</v>
      </c>
      <c r="AA74" s="139">
        <f>VLOOKUP($E74,'7. PGE_Efficacité'!$A$6:$CY$266,(MATCH('4.5 ACE MAX WOL '!AA$4,'7. PGE_Efficacité'!$A$4:$AO$4,0)+62),0)</f>
        <v>0</v>
      </c>
      <c r="AB74" s="139">
        <f>VLOOKUP($E74,'7. PGE_Efficacité'!$A$6:$CY$266,(MATCH('4.5 ACE MAX WOL '!AB$4,'7. PGE_Efficacité'!$A$4:$AO$4,0)+62),0)</f>
        <v>0</v>
      </c>
      <c r="AC74" s="139">
        <f>VLOOKUP($E74,'7. PGE_Efficacité'!$A$6:$CY$266,(MATCH('4.5 ACE MAX WOL '!AC$4,'7. PGE_Efficacité'!$A$4:$AO$4,0)+62),0)</f>
        <v>0</v>
      </c>
      <c r="AD74" s="139">
        <f>VLOOKUP($E74,'7. PGE_Efficacité'!$A$6:$CY$266,(MATCH('4.5 ACE MAX WOL '!AD$4,'7. PGE_Efficacité'!$A$4:$AO$4,0)+62),0)</f>
        <v>0</v>
      </c>
      <c r="AE74" s="139">
        <f>VLOOKUP($E74,'7. PGE_Efficacité'!$A$6:$CY$266,(MATCH('4.5 ACE MAX WOL '!AE$4,'7. PGE_Efficacité'!$A$4:$AO$4,0)+62),0)</f>
        <v>0</v>
      </c>
      <c r="AF74" s="139">
        <f>VLOOKUP($E74,'7. PGE_Efficacité'!$A$6:$CY$266,(MATCH('4.5 ACE MAX WOL '!AF$4,'7. PGE_Efficacité'!$A$4:$AO$4,0)+62),0)</f>
        <v>0</v>
      </c>
      <c r="AG74" s="139">
        <f>VLOOKUP($E74,'7. PGE_Efficacité'!$A$6:$CY$266,(MATCH('4.5 ACE MAX WOL '!AG$4,'7. PGE_Efficacité'!$A$4:$AO$4,0)+62),0)</f>
        <v>0</v>
      </c>
      <c r="AH74" s="139">
        <f>VLOOKUP($E74,'7. PGE_Efficacité'!$A$6:$CY$266,(MATCH('4.5 ACE MAX WOL '!AH$4,'7. PGE_Efficacité'!$A$4:$AO$4,0)+62),0)</f>
        <v>0</v>
      </c>
      <c r="AI74" s="139">
        <f>VLOOKUP($E74,'7. PGE_Efficacité'!$A$6:$CY$266,(MATCH('4.5 ACE MAX WOL '!AI$4,'7. PGE_Efficacité'!$A$4:$AO$4,0)+62),0)</f>
        <v>0</v>
      </c>
      <c r="AJ74" s="139">
        <f>VLOOKUP($E74,'7. PGE_Efficacité'!$A$6:$CY$266,(MATCH('4.5 ACE MAX WOL '!AJ$4,'7. PGE_Efficacité'!$A$4:$AO$4,0)+62),0)</f>
        <v>0</v>
      </c>
      <c r="AK74" s="139">
        <f>VLOOKUP($E74,'7. PGE_Efficacité'!$A$6:$CY$266,(MATCH('4.5 ACE MAX WOL '!AK$4,'7. PGE_Efficacité'!$A$4:$AO$4,0)+62),0)</f>
        <v>0</v>
      </c>
      <c r="AL74" s="139">
        <f>VLOOKUP($E74,'7. PGE_Efficacité'!$A$6:$CY$266,(MATCH('4.5 ACE MAX WOL '!AL$4,'7. PGE_Efficacité'!$A$4:$AO$4,0)+62),0)</f>
        <v>0</v>
      </c>
      <c r="AM74" s="139">
        <f>VLOOKUP($E74,'7. PGE_Efficacité'!$A$6:$CY$266,(MATCH('4.5 ACE MAX WOL '!AM$4,'7. PGE_Efficacité'!$A$4:$AO$4,0)+62),0)</f>
        <v>0</v>
      </c>
      <c r="AN74" s="139">
        <f>VLOOKUP($E74,'7. PGE_Efficacité'!$A$6:$CY$266,(MATCH('4.5 ACE MAX WOL '!AN$4,'7. PGE_Efficacité'!$A$4:$AO$4,0)+62),0)</f>
        <v>0</v>
      </c>
    </row>
    <row r="75" spans="1:40" hidden="1" outlineLevel="2" x14ac:dyDescent="0.25">
      <c r="A75" s="48"/>
      <c r="B75" s="49"/>
      <c r="C75" s="48"/>
      <c r="D75" s="199" t="s">
        <v>8</v>
      </c>
      <c r="E75" s="200" t="s">
        <v>851</v>
      </c>
      <c r="F75" s="200" t="s">
        <v>1481</v>
      </c>
      <c r="G75" s="201" t="s">
        <v>1522</v>
      </c>
      <c r="H75" s="200" t="s">
        <v>1290</v>
      </c>
      <c r="I75" s="202"/>
      <c r="J75" s="139">
        <f>VLOOKUP($E75,'7. PGE_Efficacité'!$A$6:$CY$266,(MATCH('4.5 ACE MAX WOL '!J$4,'7. PGE_Efficacité'!$A$4:$AO$4,0)+62),0)</f>
        <v>0</v>
      </c>
      <c r="K75" s="139">
        <f>VLOOKUP($E75,'7. PGE_Efficacité'!$A$6:$CY$266,(MATCH('4.5 ACE MAX WOL '!K$4,'7. PGE_Efficacité'!$A$4:$AO$4,0)+62),0)</f>
        <v>0</v>
      </c>
      <c r="L75" s="139">
        <f>VLOOKUP($E75,'7. PGE_Efficacité'!$A$6:$CY$266,(MATCH('4.5 ACE MAX WOL '!L$4,'7. PGE_Efficacité'!$A$4:$AO$4,0)+62),0)</f>
        <v>0</v>
      </c>
      <c r="M75" s="139">
        <f>VLOOKUP($E75,'7. PGE_Efficacité'!$A$6:$CY$266,(MATCH('4.5 ACE MAX WOL '!M$4,'7. PGE_Efficacité'!$A$4:$AO$4,0)+62),0)</f>
        <v>0</v>
      </c>
      <c r="N75" s="139">
        <f>VLOOKUP($E75,'7. PGE_Efficacité'!$A$6:$CY$266,(MATCH('4.5 ACE MAX WOL '!N$4,'7. PGE_Efficacité'!$A$4:$AO$4,0)+62),0)</f>
        <v>0</v>
      </c>
      <c r="O75" s="139">
        <f>VLOOKUP($E75,'7. PGE_Efficacité'!$A$6:$CY$266,78,0)</f>
        <v>0</v>
      </c>
      <c r="P75" s="139">
        <f>VLOOKUP($E75,'7. PGE_Efficacité'!$A$6:$CY$266,(MATCH('4.5 ACE MAX WOL '!P$4,'7. PGE_Efficacité'!$A$4:$AO$4,0)+62),0)</f>
        <v>0</v>
      </c>
      <c r="Q75" s="139">
        <f>VLOOKUP($E75,'7. PGE_Efficacité'!$A$6:$CY$266,(MATCH('4.5 ACE MAX WOL '!Q$4,'7. PGE_Efficacité'!$A$4:$AO$4,0)+62),0)</f>
        <v>0</v>
      </c>
      <c r="R75" s="139">
        <f>VLOOKUP($E75,'7. PGE_Efficacité'!$A$6:$CY$266,(MATCH('4.5 ACE MAX WOL '!R$4,'7. PGE_Efficacité'!$A$4:$AO$4,0)+62),0)</f>
        <v>0</v>
      </c>
      <c r="S75" s="139">
        <f>VLOOKUP($E75,'7. PGE_Efficacité'!$A$6:$CY$266,(MATCH('4.5 ACE MAX WOL '!S$4,'7. PGE_Efficacité'!$A$4:$AO$4,0)+62),0)</f>
        <v>0</v>
      </c>
      <c r="T75" s="139">
        <f>VLOOKUP($E75,'7. PGE_Efficacité'!$A$6:$CY$266,(MATCH('4.5 ACE MAX WOL '!T$4,'7. PGE_Efficacité'!$A$4:$AO$4,0)+62),0)</f>
        <v>0</v>
      </c>
      <c r="U75" s="139">
        <f>VLOOKUP($E75,'7. PGE_Efficacité'!$A$6:$CY$266,(MATCH('4.5 ACE MAX WOL '!U$4,'7. PGE_Efficacité'!$A$4:$AO$4,0)+62),0)</f>
        <v>0</v>
      </c>
      <c r="V75" s="139">
        <f>VLOOKUP($E75,'7. PGE_Efficacité'!$A$6:$CY$266,(MATCH('4.5 ACE MAX WOL '!V$4,'7. PGE_Efficacité'!$A$4:$AO$4,0)+62),0)</f>
        <v>0</v>
      </c>
      <c r="W75" s="139">
        <f>VLOOKUP($E75,'7. PGE_Efficacité'!$A$6:$CY$266,(MATCH('4.5 ACE MAX WOL '!W$4,'7. PGE_Efficacité'!$A$4:$AO$4,0)+62),0)</f>
        <v>0</v>
      </c>
      <c r="X75" s="139">
        <f>VLOOKUP($E75,'7. PGE_Efficacité'!$A$6:$CY$266,(MATCH('4.5 ACE MAX WOL '!X$4,'7. PGE_Efficacité'!$A$4:$AO$4,0)+62),0)</f>
        <v>0</v>
      </c>
      <c r="Y75" s="139">
        <f>VLOOKUP($E75,'7. PGE_Efficacité'!$A$6:$CY$266,(MATCH('4.5 ACE MAX WOL '!Y$4,'7. PGE_Efficacité'!$A$4:$AO$4,0)+62),0)</f>
        <v>0</v>
      </c>
      <c r="Z75" s="139">
        <f>VLOOKUP($E75,'7. PGE_Efficacité'!$A$6:$CY$266,(MATCH('4.5 ACE MAX WOL '!Z$4,'7. PGE_Efficacité'!$A$4:$AO$4,0)+62),0)</f>
        <v>0</v>
      </c>
      <c r="AA75" s="139">
        <f>VLOOKUP($E75,'7. PGE_Efficacité'!$A$6:$CY$266,(MATCH('4.5 ACE MAX WOL '!AA$4,'7. PGE_Efficacité'!$A$4:$AO$4,0)+62),0)</f>
        <v>0</v>
      </c>
      <c r="AB75" s="139">
        <f>VLOOKUP($E75,'7. PGE_Efficacité'!$A$6:$CY$266,(MATCH('4.5 ACE MAX WOL '!AB$4,'7. PGE_Efficacité'!$A$4:$AO$4,0)+62),0)</f>
        <v>0</v>
      </c>
      <c r="AC75" s="139">
        <f>VLOOKUP($E75,'7. PGE_Efficacité'!$A$6:$CY$266,(MATCH('4.5 ACE MAX WOL '!AC$4,'7. PGE_Efficacité'!$A$4:$AO$4,0)+62),0)</f>
        <v>0</v>
      </c>
      <c r="AD75" s="139">
        <f>VLOOKUP($E75,'7. PGE_Efficacité'!$A$6:$CY$266,(MATCH('4.5 ACE MAX WOL '!AD$4,'7. PGE_Efficacité'!$A$4:$AO$4,0)+62),0)</f>
        <v>0</v>
      </c>
      <c r="AE75" s="139">
        <f>VLOOKUP($E75,'7. PGE_Efficacité'!$A$6:$CY$266,(MATCH('4.5 ACE MAX WOL '!AE$4,'7. PGE_Efficacité'!$A$4:$AO$4,0)+62),0)</f>
        <v>0</v>
      </c>
      <c r="AF75" s="139">
        <f>VLOOKUP($E75,'7. PGE_Efficacité'!$A$6:$CY$266,(MATCH('4.5 ACE MAX WOL '!AF$4,'7. PGE_Efficacité'!$A$4:$AO$4,0)+62),0)</f>
        <v>0</v>
      </c>
      <c r="AG75" s="139">
        <f>VLOOKUP($E75,'7. PGE_Efficacité'!$A$6:$CY$266,(MATCH('4.5 ACE MAX WOL '!AG$4,'7. PGE_Efficacité'!$A$4:$AO$4,0)+62),0)</f>
        <v>0</v>
      </c>
      <c r="AH75" s="139">
        <f>VLOOKUP($E75,'7. PGE_Efficacité'!$A$6:$CY$266,(MATCH('4.5 ACE MAX WOL '!AH$4,'7. PGE_Efficacité'!$A$4:$AO$4,0)+62),0)</f>
        <v>0</v>
      </c>
      <c r="AI75" s="139">
        <f>VLOOKUP($E75,'7. PGE_Efficacité'!$A$6:$CY$266,(MATCH('4.5 ACE MAX WOL '!AI$4,'7. PGE_Efficacité'!$A$4:$AO$4,0)+62),0)</f>
        <v>0</v>
      </c>
      <c r="AJ75" s="139">
        <f>VLOOKUP($E75,'7. PGE_Efficacité'!$A$6:$CY$266,(MATCH('4.5 ACE MAX WOL '!AJ$4,'7. PGE_Efficacité'!$A$4:$AO$4,0)+62),0)</f>
        <v>0</v>
      </c>
      <c r="AK75" s="139">
        <f>VLOOKUP($E75,'7. PGE_Efficacité'!$A$6:$CY$266,(MATCH('4.5 ACE MAX WOL '!AK$4,'7. PGE_Efficacité'!$A$4:$AO$4,0)+62),0)</f>
        <v>0</v>
      </c>
      <c r="AL75" s="139">
        <f>VLOOKUP($E75,'7. PGE_Efficacité'!$A$6:$CY$266,(MATCH('4.5 ACE MAX WOL '!AL$4,'7. PGE_Efficacité'!$A$4:$AO$4,0)+62),0)</f>
        <v>0</v>
      </c>
      <c r="AM75" s="139">
        <f>VLOOKUP($E75,'7. PGE_Efficacité'!$A$6:$CY$266,(MATCH('4.5 ACE MAX WOL '!AM$4,'7. PGE_Efficacité'!$A$4:$AO$4,0)+62),0)</f>
        <v>0</v>
      </c>
      <c r="AN75" s="139">
        <f>VLOOKUP($E75,'7. PGE_Efficacité'!$A$6:$CY$266,(MATCH('4.5 ACE MAX WOL '!AN$4,'7. PGE_Efficacité'!$A$4:$AO$4,0)+62),0)</f>
        <v>0</v>
      </c>
    </row>
    <row r="76" spans="1:40" outlineLevel="1" collapsed="1" x14ac:dyDescent="0.25">
      <c r="A76" s="48" t="s">
        <v>1524</v>
      </c>
      <c r="B76" s="49">
        <v>9</v>
      </c>
      <c r="C76" s="48" t="s">
        <v>1532</v>
      </c>
      <c r="D76" s="194" t="s">
        <v>9</v>
      </c>
      <c r="E76" s="195"/>
      <c r="F76" s="196" t="str">
        <f>VLOOKUP(D76,'1. Mesures'!$A$2:$B$116,2,0)</f>
        <v>Réaliser les chainons manquants entre le réseau public d'égouttage et les collecteurs (égouts "orphelins")</v>
      </c>
      <c r="G76" s="197"/>
      <c r="H76" s="195"/>
      <c r="I76" s="198">
        <f>MEDIAN(VLOOKUP(D76,'4. Mesures_ACE_Budget'!$A$3:$N$32,13,0),(VLOOKUP(D76,'4. Mesures_ACE_Budget'!$A$3:$N$32,14,0)))</f>
        <v>0</v>
      </c>
      <c r="J76" s="235">
        <f>VLOOKUP($D76,'7. PGE_Efficacité'!$A$6:$CY$266,(MATCH('4.5 ACE MAX WOL '!J$4,'7. PGE_Efficacité'!$A$4:$AO$4,0)+62),0)</f>
        <v>0</v>
      </c>
      <c r="K76" s="235">
        <f>VLOOKUP($D76,'7. PGE_Efficacité'!$A$6:$CY$266,(MATCH('4.5 ACE MAX WOL '!K$4,'7. PGE_Efficacité'!$A$4:$AO$4,0)+62),0)</f>
        <v>0</v>
      </c>
      <c r="L76" s="235">
        <f>VLOOKUP($D76,'7. PGE_Efficacité'!$A$6:$CY$266,(MATCH('4.5 ACE MAX WOL '!L$4,'7. PGE_Efficacité'!$A$4:$AO$4,0)+62),0)</f>
        <v>0</v>
      </c>
      <c r="M76" s="235">
        <f>VLOOKUP($D76,'7. PGE_Efficacité'!$A$6:$CY$266,(MATCH('4.5 ACE MAX WOL '!M$4,'7. PGE_Efficacité'!$A$4:$AO$4,0)+62),0)</f>
        <v>0</v>
      </c>
      <c r="N76" s="235">
        <f>VLOOKUP($D76,'7. PGE_Efficacité'!$A$6:$CY$266,(MATCH('4.5 ACE MAX WOL '!N$4,'7. PGE_Efficacité'!$A$4:$AO$4,0)+62),0)</f>
        <v>0</v>
      </c>
      <c r="O76" s="235">
        <f>VLOOKUP($D76,'7. PGE_Efficacité'!$A$6:$CY$266,78,0)</f>
        <v>0</v>
      </c>
      <c r="P76" s="235">
        <f>VLOOKUP($D76,'7. PGE_Efficacité'!$A$6:$CY$266,(MATCH('4.5 ACE MAX WOL '!P$4,'7. PGE_Efficacité'!$A$4:$AO$4,0)+62),0)</f>
        <v>0</v>
      </c>
      <c r="Q76" s="235">
        <f>VLOOKUP($D76,'7. PGE_Efficacité'!$A$6:$CY$266,(MATCH('4.5 ACE MAX WOL '!Q$4,'7. PGE_Efficacité'!$A$4:$AO$4,0)+62),0)</f>
        <v>0</v>
      </c>
      <c r="R76" s="235">
        <f>VLOOKUP($D76,'7. PGE_Efficacité'!$A$6:$CY$266,(MATCH('4.5 ACE MAX WOL '!R$4,'7. PGE_Efficacité'!$A$4:$AO$4,0)+62),0)</f>
        <v>0</v>
      </c>
      <c r="S76" s="235">
        <f>VLOOKUP($D76,'7. PGE_Efficacité'!$A$6:$CY$266,(MATCH('4.5 ACE MAX WOL '!S$4,'7. PGE_Efficacité'!$A$4:$AO$4,0)+62),0)</f>
        <v>0</v>
      </c>
      <c r="T76" s="235">
        <f>VLOOKUP($D76,'7. PGE_Efficacité'!$A$6:$CY$266,(MATCH('4.5 ACE MAX WOL '!T$4,'7. PGE_Efficacité'!$A$4:$AO$4,0)+62),0)</f>
        <v>0</v>
      </c>
      <c r="U76" s="235">
        <f>VLOOKUP($D76,'7. PGE_Efficacité'!$A$6:$CY$266,(MATCH('4.5 ACE MAX WOL '!U$4,'7. PGE_Efficacité'!$A$4:$AO$4,0)+62),0)</f>
        <v>0</v>
      </c>
      <c r="V76" s="235">
        <f>VLOOKUP($D76,'7. PGE_Efficacité'!$A$6:$CY$266,(MATCH('4.5 ACE MAX WOL '!V$4,'7. PGE_Efficacité'!$A$4:$AO$4,0)+62),0)</f>
        <v>0</v>
      </c>
      <c r="W76" s="235">
        <f>VLOOKUP($D76,'7. PGE_Efficacité'!$A$6:$CY$266,(MATCH('4.5 ACE MAX WOL '!W$4,'7. PGE_Efficacité'!$A$4:$AO$4,0)+62),0)</f>
        <v>0</v>
      </c>
      <c r="X76" s="235">
        <f>VLOOKUP($D76,'7. PGE_Efficacité'!$A$6:$CY$266,(MATCH('4.5 ACE MAX WOL '!X$4,'7. PGE_Efficacité'!$A$4:$AO$4,0)+62),0)</f>
        <v>0</v>
      </c>
      <c r="Y76" s="235">
        <f>VLOOKUP($D76,'7. PGE_Efficacité'!$A$6:$CY$266,(MATCH('4.5 ACE MAX WOL '!Y$4,'7. PGE_Efficacité'!$A$4:$AO$4,0)+62),0)</f>
        <v>0</v>
      </c>
      <c r="Z76" s="235">
        <f>VLOOKUP($D76,'7. PGE_Efficacité'!$A$6:$CY$266,(MATCH('4.5 ACE MAX WOL '!Z$4,'7. PGE_Efficacité'!$A$4:$AO$4,0)+62),0)</f>
        <v>0</v>
      </c>
      <c r="AA76" s="235">
        <f>VLOOKUP($D76,'7. PGE_Efficacité'!$A$6:$CY$266,(MATCH('4.5 ACE MAX WOL '!AA$4,'7. PGE_Efficacité'!$A$4:$AO$4,0)+62),0)</f>
        <v>0</v>
      </c>
      <c r="AB76" s="235">
        <f>VLOOKUP($D76,'7. PGE_Efficacité'!$A$6:$CY$266,(MATCH('4.5 ACE MAX WOL '!AB$4,'7. PGE_Efficacité'!$A$4:$AO$4,0)+62),0)</f>
        <v>0</v>
      </c>
      <c r="AC76" s="235">
        <f>VLOOKUP($D76,'7. PGE_Efficacité'!$A$6:$CY$266,(MATCH('4.5 ACE MAX WOL '!AC$4,'7. PGE_Efficacité'!$A$4:$AO$4,0)+62),0)</f>
        <v>0</v>
      </c>
      <c r="AD76" s="235">
        <f>VLOOKUP($D76,'7. PGE_Efficacité'!$A$6:$CY$266,(MATCH('4.5 ACE MAX WOL '!AD$4,'7. PGE_Efficacité'!$A$4:$AO$4,0)+62),0)</f>
        <v>0</v>
      </c>
      <c r="AE76" s="235">
        <f>VLOOKUP($D76,'7. PGE_Efficacité'!$A$6:$CY$266,(MATCH('4.5 ACE MAX WOL '!AE$4,'7. PGE_Efficacité'!$A$4:$AO$4,0)+62),0)</f>
        <v>0</v>
      </c>
      <c r="AF76" s="235">
        <f>VLOOKUP($D76,'7. PGE_Efficacité'!$A$6:$CY$266,(MATCH('4.5 ACE MAX WOL '!AF$4,'7. PGE_Efficacité'!$A$4:$AO$4,0)+62),0)</f>
        <v>0</v>
      </c>
      <c r="AG76" s="235">
        <f>VLOOKUP($D76,'7. PGE_Efficacité'!$A$6:$CY$266,(MATCH('4.5 ACE MAX WOL '!AG$4,'7. PGE_Efficacité'!$A$4:$AO$4,0)+62),0)</f>
        <v>0</v>
      </c>
      <c r="AH76" s="235">
        <f>VLOOKUP($D76,'7. PGE_Efficacité'!$A$6:$CY$266,(MATCH('4.5 ACE MAX WOL '!AH$4,'7. PGE_Efficacité'!$A$4:$AO$4,0)+62),0)</f>
        <v>0</v>
      </c>
      <c r="AI76" s="235">
        <f>VLOOKUP($D76,'7. PGE_Efficacité'!$A$6:$CY$266,(MATCH('4.5 ACE MAX WOL '!AI$4,'7. PGE_Efficacité'!$A$4:$AO$4,0)+62),0)</f>
        <v>0</v>
      </c>
      <c r="AJ76" s="235">
        <f>VLOOKUP($D76,'7. PGE_Efficacité'!$A$6:$CY$266,(MATCH('4.5 ACE MAX WOL '!AJ$4,'7. PGE_Efficacité'!$A$4:$AO$4,0)+62),0)</f>
        <v>0</v>
      </c>
      <c r="AK76" s="235">
        <f>VLOOKUP($D76,'7. PGE_Efficacité'!$A$6:$CY$266,(MATCH('4.5 ACE MAX WOL '!AK$4,'7. PGE_Efficacité'!$A$4:$AO$4,0)+62),0)</f>
        <v>0</v>
      </c>
      <c r="AL76" s="235">
        <f>VLOOKUP($D76,'7. PGE_Efficacité'!$A$6:$CY$266,(MATCH('4.5 ACE MAX WOL '!AL$4,'7. PGE_Efficacité'!$A$4:$AO$4,0)+62),0)</f>
        <v>0</v>
      </c>
      <c r="AM76" s="235">
        <f>VLOOKUP($D76,'7. PGE_Efficacité'!$A$6:$CY$266,(MATCH('4.5 ACE MAX WOL '!AM$4,'7. PGE_Efficacité'!$A$4:$AO$4,0)+62),0)</f>
        <v>0</v>
      </c>
      <c r="AN76" s="235">
        <f>VLOOKUP($D76,'7. PGE_Efficacité'!$A$6:$CY$266,(MATCH('4.5 ACE MAX WOL '!AN$4,'7. PGE_Efficacité'!$A$4:$AO$4,0)+62),0)</f>
        <v>0</v>
      </c>
    </row>
    <row r="77" spans="1:40" hidden="1" outlineLevel="2" x14ac:dyDescent="0.25">
      <c r="A77" s="48"/>
      <c r="B77" s="49"/>
      <c r="C77" s="48"/>
      <c r="D77" s="199" t="s">
        <v>9</v>
      </c>
      <c r="E77" s="200" t="s">
        <v>653</v>
      </c>
      <c r="F77" s="200" t="s">
        <v>1313</v>
      </c>
      <c r="G77" s="201" t="s">
        <v>1522</v>
      </c>
      <c r="H77" s="200" t="s">
        <v>1290</v>
      </c>
      <c r="I77" s="202"/>
      <c r="J77" s="139">
        <f>VLOOKUP($E77,'7. PGE_Efficacité'!$A$6:$CY$266,(MATCH('4.5 ACE MAX WOL '!J$4,'7. PGE_Efficacité'!$A$4:$AO$4,0)+62),0)</f>
        <v>0</v>
      </c>
      <c r="K77" s="139">
        <f>VLOOKUP($E77,'7. PGE_Efficacité'!$A$6:$CY$266,(MATCH('4.5 ACE MAX WOL '!K$4,'7. PGE_Efficacité'!$A$4:$AO$4,0)+62),0)</f>
        <v>0</v>
      </c>
      <c r="L77" s="139">
        <f>VLOOKUP($E77,'7. PGE_Efficacité'!$A$6:$CY$266,(MATCH('4.5 ACE MAX WOL '!L$4,'7. PGE_Efficacité'!$A$4:$AO$4,0)+62),0)</f>
        <v>0</v>
      </c>
      <c r="M77" s="139">
        <f>VLOOKUP($E77,'7. PGE_Efficacité'!$A$6:$CY$266,(MATCH('4.5 ACE MAX WOL '!M$4,'7. PGE_Efficacité'!$A$4:$AO$4,0)+62),0)</f>
        <v>0</v>
      </c>
      <c r="N77" s="139">
        <f>VLOOKUP($E77,'7. PGE_Efficacité'!$A$6:$CY$266,(MATCH('4.5 ACE MAX WOL '!N$4,'7. PGE_Efficacité'!$A$4:$AO$4,0)+62),0)</f>
        <v>0</v>
      </c>
      <c r="O77" s="139">
        <f>VLOOKUP($E77,'7. PGE_Efficacité'!$A$6:$CY$266,78,0)</f>
        <v>0</v>
      </c>
      <c r="P77" s="139">
        <f>VLOOKUP($E77,'7. PGE_Efficacité'!$A$6:$CY$266,(MATCH('4.5 ACE MAX WOL '!P$4,'7. PGE_Efficacité'!$A$4:$AO$4,0)+62),0)</f>
        <v>0</v>
      </c>
      <c r="Q77" s="139">
        <f>VLOOKUP($E77,'7. PGE_Efficacité'!$A$6:$CY$266,(MATCH('4.5 ACE MAX WOL '!Q$4,'7. PGE_Efficacité'!$A$4:$AO$4,0)+62),0)</f>
        <v>0</v>
      </c>
      <c r="R77" s="139">
        <f>VLOOKUP($E77,'7. PGE_Efficacité'!$A$6:$CY$266,(MATCH('4.5 ACE MAX WOL '!R$4,'7. PGE_Efficacité'!$A$4:$AO$4,0)+62),0)</f>
        <v>0</v>
      </c>
      <c r="S77" s="139">
        <f>VLOOKUP($E77,'7. PGE_Efficacité'!$A$6:$CY$266,(MATCH('4.5 ACE MAX WOL '!S$4,'7. PGE_Efficacité'!$A$4:$AO$4,0)+62),0)</f>
        <v>0</v>
      </c>
      <c r="T77" s="139">
        <f>VLOOKUP($E77,'7. PGE_Efficacité'!$A$6:$CY$266,(MATCH('4.5 ACE MAX WOL '!T$4,'7. PGE_Efficacité'!$A$4:$AO$4,0)+62),0)</f>
        <v>0</v>
      </c>
      <c r="U77" s="139">
        <f>VLOOKUP($E77,'7. PGE_Efficacité'!$A$6:$CY$266,(MATCH('4.5 ACE MAX WOL '!U$4,'7. PGE_Efficacité'!$A$4:$AO$4,0)+62),0)</f>
        <v>0</v>
      </c>
      <c r="V77" s="139">
        <f>VLOOKUP($E77,'7. PGE_Efficacité'!$A$6:$CY$266,(MATCH('4.5 ACE MAX WOL '!V$4,'7. PGE_Efficacité'!$A$4:$AO$4,0)+62),0)</f>
        <v>0</v>
      </c>
      <c r="W77" s="139">
        <f>VLOOKUP($E77,'7. PGE_Efficacité'!$A$6:$CY$266,(MATCH('4.5 ACE MAX WOL '!W$4,'7. PGE_Efficacité'!$A$4:$AO$4,0)+62),0)</f>
        <v>0</v>
      </c>
      <c r="X77" s="139">
        <f>VLOOKUP($E77,'7. PGE_Efficacité'!$A$6:$CY$266,(MATCH('4.5 ACE MAX WOL '!X$4,'7. PGE_Efficacité'!$A$4:$AO$4,0)+62),0)</f>
        <v>0</v>
      </c>
      <c r="Y77" s="139">
        <f>VLOOKUP($E77,'7. PGE_Efficacité'!$A$6:$CY$266,(MATCH('4.5 ACE MAX WOL '!Y$4,'7. PGE_Efficacité'!$A$4:$AO$4,0)+62),0)</f>
        <v>0</v>
      </c>
      <c r="Z77" s="139">
        <f>VLOOKUP($E77,'7. PGE_Efficacité'!$A$6:$CY$266,(MATCH('4.5 ACE MAX WOL '!Z$4,'7. PGE_Efficacité'!$A$4:$AO$4,0)+62),0)</f>
        <v>0</v>
      </c>
      <c r="AA77" s="139">
        <f>VLOOKUP($E77,'7. PGE_Efficacité'!$A$6:$CY$266,(MATCH('4.5 ACE MAX WOL '!AA$4,'7. PGE_Efficacité'!$A$4:$AO$4,0)+62),0)</f>
        <v>0</v>
      </c>
      <c r="AB77" s="139">
        <f>VLOOKUP($E77,'7. PGE_Efficacité'!$A$6:$CY$266,(MATCH('4.5 ACE MAX WOL '!AB$4,'7. PGE_Efficacité'!$A$4:$AO$4,0)+62),0)</f>
        <v>0</v>
      </c>
      <c r="AC77" s="139">
        <f>VLOOKUP($E77,'7. PGE_Efficacité'!$A$6:$CY$266,(MATCH('4.5 ACE MAX WOL '!AC$4,'7. PGE_Efficacité'!$A$4:$AO$4,0)+62),0)</f>
        <v>0</v>
      </c>
      <c r="AD77" s="139">
        <f>VLOOKUP($E77,'7. PGE_Efficacité'!$A$6:$CY$266,(MATCH('4.5 ACE MAX WOL '!AD$4,'7. PGE_Efficacité'!$A$4:$AO$4,0)+62),0)</f>
        <v>0</v>
      </c>
      <c r="AE77" s="139">
        <f>VLOOKUP($E77,'7. PGE_Efficacité'!$A$6:$CY$266,(MATCH('4.5 ACE MAX WOL '!AE$4,'7. PGE_Efficacité'!$A$4:$AO$4,0)+62),0)</f>
        <v>0</v>
      </c>
      <c r="AF77" s="139">
        <f>VLOOKUP($E77,'7. PGE_Efficacité'!$A$6:$CY$266,(MATCH('4.5 ACE MAX WOL '!AF$4,'7. PGE_Efficacité'!$A$4:$AO$4,0)+62),0)</f>
        <v>0</v>
      </c>
      <c r="AG77" s="139">
        <f>VLOOKUP($E77,'7. PGE_Efficacité'!$A$6:$CY$266,(MATCH('4.5 ACE MAX WOL '!AG$4,'7. PGE_Efficacité'!$A$4:$AO$4,0)+62),0)</f>
        <v>0</v>
      </c>
      <c r="AH77" s="139">
        <f>VLOOKUP($E77,'7. PGE_Efficacité'!$A$6:$CY$266,(MATCH('4.5 ACE MAX WOL '!AH$4,'7. PGE_Efficacité'!$A$4:$AO$4,0)+62),0)</f>
        <v>0</v>
      </c>
      <c r="AI77" s="139">
        <f>VLOOKUP($E77,'7. PGE_Efficacité'!$A$6:$CY$266,(MATCH('4.5 ACE MAX WOL '!AI$4,'7. PGE_Efficacité'!$A$4:$AO$4,0)+62),0)</f>
        <v>0</v>
      </c>
      <c r="AJ77" s="139">
        <f>VLOOKUP($E77,'7. PGE_Efficacité'!$A$6:$CY$266,(MATCH('4.5 ACE MAX WOL '!AJ$4,'7. PGE_Efficacité'!$A$4:$AO$4,0)+62),0)</f>
        <v>0</v>
      </c>
      <c r="AK77" s="139">
        <f>VLOOKUP($E77,'7. PGE_Efficacité'!$A$6:$CY$266,(MATCH('4.5 ACE MAX WOL '!AK$4,'7. PGE_Efficacité'!$A$4:$AO$4,0)+62),0)</f>
        <v>0</v>
      </c>
      <c r="AL77" s="139">
        <f>VLOOKUP($E77,'7. PGE_Efficacité'!$A$6:$CY$266,(MATCH('4.5 ACE MAX WOL '!AL$4,'7. PGE_Efficacité'!$A$4:$AO$4,0)+62),0)</f>
        <v>0</v>
      </c>
      <c r="AM77" s="139">
        <f>VLOOKUP($E77,'7. PGE_Efficacité'!$A$6:$CY$266,(MATCH('4.5 ACE MAX WOL '!AM$4,'7. PGE_Efficacité'!$A$4:$AO$4,0)+62),0)</f>
        <v>0</v>
      </c>
      <c r="AN77" s="139">
        <f>VLOOKUP($E77,'7. PGE_Efficacité'!$A$6:$CY$266,(MATCH('4.5 ACE MAX WOL '!AN$4,'7. PGE_Efficacité'!$A$4:$AO$4,0)+62),0)</f>
        <v>0</v>
      </c>
    </row>
    <row r="78" spans="1:40" outlineLevel="1" collapsed="1" x14ac:dyDescent="0.25">
      <c r="A78" s="48"/>
      <c r="B78" s="49"/>
      <c r="C78" s="48"/>
      <c r="D78" s="194" t="s">
        <v>13</v>
      </c>
      <c r="E78" s="195"/>
      <c r="F78" s="196" t="str">
        <f>VLOOKUP(D78,'1. Mesures'!$A$2:$B$116,2,0)</f>
        <v>Assurer un contrôle réglementaire sur le respect des normes de rejet en eaux de surface et en égout</v>
      </c>
      <c r="G78" s="197"/>
      <c r="H78" s="195"/>
      <c r="I78" s="198">
        <f>MEDIAN(VLOOKUP(D78,'4. Mesures_ACE_Budget'!$A$3:$N$32,13,0),(VLOOKUP(D78,'4. Mesures_ACE_Budget'!$A$3:$N$32,14,0)))</f>
        <v>0</v>
      </c>
      <c r="J78" s="235">
        <f>VLOOKUP($D78,'7. PGE_Efficacité'!$A$6:$CY$266,(MATCH('4.5 ACE MAX WOL '!J$4,'7. PGE_Efficacité'!$A$4:$AO$4,0)+62),0)</f>
        <v>0</v>
      </c>
      <c r="K78" s="235">
        <f>VLOOKUP($D78,'7. PGE_Efficacité'!$A$6:$CY$266,(MATCH('4.5 ACE MAX WOL '!K$4,'7. PGE_Efficacité'!$A$4:$AO$4,0)+62),0)</f>
        <v>0</v>
      </c>
      <c r="L78" s="235">
        <f>VLOOKUP($D78,'7. PGE_Efficacité'!$A$6:$CY$266,(MATCH('4.5 ACE MAX WOL '!L$4,'7. PGE_Efficacité'!$A$4:$AO$4,0)+62),0)</f>
        <v>0</v>
      </c>
      <c r="M78" s="235">
        <f>VLOOKUP($D78,'7. PGE_Efficacité'!$A$6:$CY$266,(MATCH('4.5 ACE MAX WOL '!M$4,'7. PGE_Efficacité'!$A$4:$AO$4,0)+62),0)</f>
        <v>0</v>
      </c>
      <c r="N78" s="235">
        <f>VLOOKUP($D78,'7. PGE_Efficacité'!$A$6:$CY$266,(MATCH('4.5 ACE MAX WOL '!N$4,'7. PGE_Efficacité'!$A$4:$AO$4,0)+62),0)</f>
        <v>0</v>
      </c>
      <c r="O78" s="235">
        <f>VLOOKUP($D78,'7. PGE_Efficacité'!$A$6:$CY$266,78,0)</f>
        <v>0</v>
      </c>
      <c r="P78" s="235">
        <f>VLOOKUP($D78,'7. PGE_Efficacité'!$A$6:$CY$266,(MATCH('4.5 ACE MAX WOL '!P$4,'7. PGE_Efficacité'!$A$4:$AO$4,0)+62),0)</f>
        <v>0</v>
      </c>
      <c r="Q78" s="235">
        <f>VLOOKUP($D78,'7. PGE_Efficacité'!$A$6:$CY$266,(MATCH('4.5 ACE MAX WOL '!Q$4,'7. PGE_Efficacité'!$A$4:$AO$4,0)+62),0)</f>
        <v>0</v>
      </c>
      <c r="R78" s="235">
        <f>VLOOKUP($D78,'7. PGE_Efficacité'!$A$6:$CY$266,(MATCH('4.5 ACE MAX WOL '!R$4,'7. PGE_Efficacité'!$A$4:$AO$4,0)+62),0)</f>
        <v>0</v>
      </c>
      <c r="S78" s="235">
        <f>VLOOKUP($D78,'7. PGE_Efficacité'!$A$6:$CY$266,(MATCH('4.5 ACE MAX WOL '!S$4,'7. PGE_Efficacité'!$A$4:$AO$4,0)+62),0)</f>
        <v>0</v>
      </c>
      <c r="T78" s="235">
        <f>VLOOKUP($D78,'7. PGE_Efficacité'!$A$6:$CY$266,(MATCH('4.5 ACE MAX WOL '!T$4,'7. PGE_Efficacité'!$A$4:$AO$4,0)+62),0)</f>
        <v>0</v>
      </c>
      <c r="U78" s="235">
        <f>VLOOKUP($D78,'7. PGE_Efficacité'!$A$6:$CY$266,(MATCH('4.5 ACE MAX WOL '!U$4,'7. PGE_Efficacité'!$A$4:$AO$4,0)+62),0)</f>
        <v>0</v>
      </c>
      <c r="V78" s="235">
        <f>VLOOKUP($D78,'7. PGE_Efficacité'!$A$6:$CY$266,(MATCH('4.5 ACE MAX WOL '!V$4,'7. PGE_Efficacité'!$A$4:$AO$4,0)+62),0)</f>
        <v>0</v>
      </c>
      <c r="W78" s="235">
        <f>VLOOKUP($D78,'7. PGE_Efficacité'!$A$6:$CY$266,(MATCH('4.5 ACE MAX WOL '!W$4,'7. PGE_Efficacité'!$A$4:$AO$4,0)+62),0)</f>
        <v>0</v>
      </c>
      <c r="X78" s="235">
        <f>VLOOKUP($D78,'7. PGE_Efficacité'!$A$6:$CY$266,(MATCH('4.5 ACE MAX WOL '!X$4,'7. PGE_Efficacité'!$A$4:$AO$4,0)+62),0)</f>
        <v>0</v>
      </c>
      <c r="Y78" s="235">
        <f>VLOOKUP($D78,'7. PGE_Efficacité'!$A$6:$CY$266,(MATCH('4.5 ACE MAX WOL '!Y$4,'7. PGE_Efficacité'!$A$4:$AO$4,0)+62),0)</f>
        <v>0</v>
      </c>
      <c r="Z78" s="235">
        <f>VLOOKUP($D78,'7. PGE_Efficacité'!$A$6:$CY$266,(MATCH('4.5 ACE MAX WOL '!Z$4,'7. PGE_Efficacité'!$A$4:$AO$4,0)+62),0)</f>
        <v>0</v>
      </c>
      <c r="AA78" s="235">
        <f>VLOOKUP($D78,'7. PGE_Efficacité'!$A$6:$CY$266,(MATCH('4.5 ACE MAX WOL '!AA$4,'7. PGE_Efficacité'!$A$4:$AO$4,0)+62),0)</f>
        <v>0</v>
      </c>
      <c r="AB78" s="235">
        <f>VLOOKUP($D78,'7. PGE_Efficacité'!$A$6:$CY$266,(MATCH('4.5 ACE MAX WOL '!AB$4,'7. PGE_Efficacité'!$A$4:$AO$4,0)+62),0)</f>
        <v>0</v>
      </c>
      <c r="AC78" s="235">
        <f>VLOOKUP($D78,'7. PGE_Efficacité'!$A$6:$CY$266,(MATCH('4.5 ACE MAX WOL '!AC$4,'7. PGE_Efficacité'!$A$4:$AO$4,0)+62),0)</f>
        <v>0</v>
      </c>
      <c r="AD78" s="235">
        <f>VLOOKUP($D78,'7. PGE_Efficacité'!$A$6:$CY$266,(MATCH('4.5 ACE MAX WOL '!AD$4,'7. PGE_Efficacité'!$A$4:$AO$4,0)+62),0)</f>
        <v>0</v>
      </c>
      <c r="AE78" s="235">
        <f>VLOOKUP($D78,'7. PGE_Efficacité'!$A$6:$CY$266,(MATCH('4.5 ACE MAX WOL '!AE$4,'7. PGE_Efficacité'!$A$4:$AO$4,0)+62),0)</f>
        <v>0</v>
      </c>
      <c r="AF78" s="235">
        <f>VLOOKUP($D78,'7. PGE_Efficacité'!$A$6:$CY$266,(MATCH('4.5 ACE MAX WOL '!AF$4,'7. PGE_Efficacité'!$A$4:$AO$4,0)+62),0)</f>
        <v>0</v>
      </c>
      <c r="AG78" s="235">
        <f>VLOOKUP($D78,'7. PGE_Efficacité'!$A$6:$CY$266,(MATCH('4.5 ACE MAX WOL '!AG$4,'7. PGE_Efficacité'!$A$4:$AO$4,0)+62),0)</f>
        <v>0</v>
      </c>
      <c r="AH78" s="235">
        <f>VLOOKUP($D78,'7. PGE_Efficacité'!$A$6:$CY$266,(MATCH('4.5 ACE MAX WOL '!AH$4,'7. PGE_Efficacité'!$A$4:$AO$4,0)+62),0)</f>
        <v>0</v>
      </c>
      <c r="AI78" s="235">
        <f>VLOOKUP($D78,'7. PGE_Efficacité'!$A$6:$CY$266,(MATCH('4.5 ACE MAX WOL '!AI$4,'7. PGE_Efficacité'!$A$4:$AO$4,0)+62),0)</f>
        <v>0</v>
      </c>
      <c r="AJ78" s="235">
        <f>VLOOKUP($D78,'7. PGE_Efficacité'!$A$6:$CY$266,(MATCH('4.5 ACE MAX WOL '!AJ$4,'7. PGE_Efficacité'!$A$4:$AO$4,0)+62),0)</f>
        <v>0</v>
      </c>
      <c r="AK78" s="235">
        <f>VLOOKUP($D78,'7. PGE_Efficacité'!$A$6:$CY$266,(MATCH('4.5 ACE MAX WOL '!AK$4,'7. PGE_Efficacité'!$A$4:$AO$4,0)+62),0)</f>
        <v>0</v>
      </c>
      <c r="AL78" s="235">
        <f>VLOOKUP($D78,'7. PGE_Efficacité'!$A$6:$CY$266,(MATCH('4.5 ACE MAX WOL '!AL$4,'7. PGE_Efficacité'!$A$4:$AO$4,0)+62),0)</f>
        <v>0</v>
      </c>
      <c r="AM78" s="235">
        <f>VLOOKUP($D78,'7. PGE_Efficacité'!$A$6:$CY$266,(MATCH('4.5 ACE MAX WOL '!AM$4,'7. PGE_Efficacité'!$A$4:$AO$4,0)+62),0)</f>
        <v>0</v>
      </c>
      <c r="AN78" s="235">
        <f>VLOOKUP($D78,'7. PGE_Efficacité'!$A$6:$CY$266,(MATCH('4.5 ACE MAX WOL '!AN$4,'7. PGE_Efficacité'!$A$4:$AO$4,0)+62),0)</f>
        <v>0</v>
      </c>
    </row>
    <row r="79" spans="1:40" hidden="1" outlineLevel="2" x14ac:dyDescent="0.25">
      <c r="A79" s="48" t="s">
        <v>1524</v>
      </c>
      <c r="B79" s="49">
        <v>14</v>
      </c>
      <c r="C79" s="48" t="s">
        <v>1524</v>
      </c>
      <c r="D79" s="199" t="s">
        <v>13</v>
      </c>
      <c r="E79" s="200" t="s">
        <v>675</v>
      </c>
      <c r="F79" s="200" t="s">
        <v>1335</v>
      </c>
      <c r="G79" s="201" t="s">
        <v>1521</v>
      </c>
      <c r="H79" s="200" t="s">
        <v>1290</v>
      </c>
      <c r="I79" s="202"/>
      <c r="J79" s="139">
        <f>VLOOKUP($E79,'7. PGE_Efficacité'!$A$6:$CY$266,(MATCH('4.5 ACE MAX WOL '!J$4,'7. PGE_Efficacité'!$A$4:$AO$4,0)+62),0)</f>
        <v>0</v>
      </c>
      <c r="K79" s="139">
        <f>VLOOKUP($E79,'7. PGE_Efficacité'!$A$6:$CY$266,(MATCH('4.5 ACE MAX WOL '!K$4,'7. PGE_Efficacité'!$A$4:$AO$4,0)+62),0)</f>
        <v>0</v>
      </c>
      <c r="L79" s="139">
        <f>VLOOKUP($E79,'7. PGE_Efficacité'!$A$6:$CY$266,(MATCH('4.5 ACE MAX WOL '!L$4,'7. PGE_Efficacité'!$A$4:$AO$4,0)+62),0)</f>
        <v>0</v>
      </c>
      <c r="M79" s="139">
        <f>VLOOKUP($E79,'7. PGE_Efficacité'!$A$6:$CY$266,(MATCH('4.5 ACE MAX WOL '!M$4,'7. PGE_Efficacité'!$A$4:$AO$4,0)+62),0)</f>
        <v>0</v>
      </c>
      <c r="N79" s="139">
        <f>VLOOKUP($E79,'7. PGE_Efficacité'!$A$6:$CY$266,(MATCH('4.5 ACE MAX WOL '!N$4,'7. PGE_Efficacité'!$A$4:$AO$4,0)+62),0)</f>
        <v>0</v>
      </c>
      <c r="O79" s="139">
        <f>VLOOKUP($E79,'7. PGE_Efficacité'!$A$6:$CY$266,78,0)</f>
        <v>0</v>
      </c>
      <c r="P79" s="139">
        <f>VLOOKUP($E79,'7. PGE_Efficacité'!$A$6:$CY$266,(MATCH('4.5 ACE MAX WOL '!P$4,'7. PGE_Efficacité'!$A$4:$AO$4,0)+62),0)</f>
        <v>0</v>
      </c>
      <c r="Q79" s="139">
        <f>VLOOKUP($E79,'7. PGE_Efficacité'!$A$6:$CY$266,(MATCH('4.5 ACE MAX WOL '!Q$4,'7. PGE_Efficacité'!$A$4:$AO$4,0)+62),0)</f>
        <v>0</v>
      </c>
      <c r="R79" s="139">
        <f>VLOOKUP($E79,'7. PGE_Efficacité'!$A$6:$CY$266,(MATCH('4.5 ACE MAX WOL '!R$4,'7. PGE_Efficacité'!$A$4:$AO$4,0)+62),0)</f>
        <v>0</v>
      </c>
      <c r="S79" s="139">
        <f>VLOOKUP($E79,'7. PGE_Efficacité'!$A$6:$CY$266,(MATCH('4.5 ACE MAX WOL '!S$4,'7. PGE_Efficacité'!$A$4:$AO$4,0)+62),0)</f>
        <v>0</v>
      </c>
      <c r="T79" s="139">
        <f>VLOOKUP($E79,'7. PGE_Efficacité'!$A$6:$CY$266,(MATCH('4.5 ACE MAX WOL '!T$4,'7. PGE_Efficacité'!$A$4:$AO$4,0)+62),0)</f>
        <v>0</v>
      </c>
      <c r="U79" s="139">
        <f>VLOOKUP($E79,'7. PGE_Efficacité'!$A$6:$CY$266,(MATCH('4.5 ACE MAX WOL '!U$4,'7. PGE_Efficacité'!$A$4:$AO$4,0)+62),0)</f>
        <v>0</v>
      </c>
      <c r="V79" s="139">
        <f>VLOOKUP($E79,'7. PGE_Efficacité'!$A$6:$CY$266,(MATCH('4.5 ACE MAX WOL '!V$4,'7. PGE_Efficacité'!$A$4:$AO$4,0)+62),0)</f>
        <v>0</v>
      </c>
      <c r="W79" s="139">
        <f>VLOOKUP($E79,'7. PGE_Efficacité'!$A$6:$CY$266,(MATCH('4.5 ACE MAX WOL '!W$4,'7. PGE_Efficacité'!$A$4:$AO$4,0)+62),0)</f>
        <v>0</v>
      </c>
      <c r="X79" s="139">
        <f>VLOOKUP($E79,'7. PGE_Efficacité'!$A$6:$CY$266,(MATCH('4.5 ACE MAX WOL '!X$4,'7. PGE_Efficacité'!$A$4:$AO$4,0)+62),0)</f>
        <v>0</v>
      </c>
      <c r="Y79" s="139">
        <f>VLOOKUP($E79,'7. PGE_Efficacité'!$A$6:$CY$266,(MATCH('4.5 ACE MAX WOL '!Y$4,'7. PGE_Efficacité'!$A$4:$AO$4,0)+62),0)</f>
        <v>0</v>
      </c>
      <c r="Z79" s="139">
        <f>VLOOKUP($E79,'7. PGE_Efficacité'!$A$6:$CY$266,(MATCH('4.5 ACE MAX WOL '!Z$4,'7. PGE_Efficacité'!$A$4:$AO$4,0)+62),0)</f>
        <v>0</v>
      </c>
      <c r="AA79" s="139">
        <f>VLOOKUP($E79,'7. PGE_Efficacité'!$A$6:$CY$266,(MATCH('4.5 ACE MAX WOL '!AA$4,'7. PGE_Efficacité'!$A$4:$AO$4,0)+62),0)</f>
        <v>0</v>
      </c>
      <c r="AB79" s="139">
        <f>VLOOKUP($E79,'7. PGE_Efficacité'!$A$6:$CY$266,(MATCH('4.5 ACE MAX WOL '!AB$4,'7. PGE_Efficacité'!$A$4:$AO$4,0)+62),0)</f>
        <v>0</v>
      </c>
      <c r="AC79" s="139">
        <f>VLOOKUP($E79,'7. PGE_Efficacité'!$A$6:$CY$266,(MATCH('4.5 ACE MAX WOL '!AC$4,'7. PGE_Efficacité'!$A$4:$AO$4,0)+62),0)</f>
        <v>0</v>
      </c>
      <c r="AD79" s="139">
        <f>VLOOKUP($E79,'7. PGE_Efficacité'!$A$6:$CY$266,(MATCH('4.5 ACE MAX WOL '!AD$4,'7. PGE_Efficacité'!$A$4:$AO$4,0)+62),0)</f>
        <v>0</v>
      </c>
      <c r="AE79" s="139">
        <f>VLOOKUP($E79,'7. PGE_Efficacité'!$A$6:$CY$266,(MATCH('4.5 ACE MAX WOL '!AE$4,'7. PGE_Efficacité'!$A$4:$AO$4,0)+62),0)</f>
        <v>0</v>
      </c>
      <c r="AF79" s="139">
        <f>VLOOKUP($E79,'7. PGE_Efficacité'!$A$6:$CY$266,(MATCH('4.5 ACE MAX WOL '!AF$4,'7. PGE_Efficacité'!$A$4:$AO$4,0)+62),0)</f>
        <v>0</v>
      </c>
      <c r="AG79" s="139">
        <f>VLOOKUP($E79,'7. PGE_Efficacité'!$A$6:$CY$266,(MATCH('4.5 ACE MAX WOL '!AG$4,'7. PGE_Efficacité'!$A$4:$AO$4,0)+62),0)</f>
        <v>0</v>
      </c>
      <c r="AH79" s="139">
        <f>VLOOKUP($E79,'7. PGE_Efficacité'!$A$6:$CY$266,(MATCH('4.5 ACE MAX WOL '!AH$4,'7. PGE_Efficacité'!$A$4:$AO$4,0)+62),0)</f>
        <v>0</v>
      </c>
      <c r="AI79" s="139">
        <f>VLOOKUP($E79,'7. PGE_Efficacité'!$A$6:$CY$266,(MATCH('4.5 ACE MAX WOL '!AI$4,'7. PGE_Efficacité'!$A$4:$AO$4,0)+62),0)</f>
        <v>0</v>
      </c>
      <c r="AJ79" s="139">
        <f>VLOOKUP($E79,'7. PGE_Efficacité'!$A$6:$CY$266,(MATCH('4.5 ACE MAX WOL '!AJ$4,'7. PGE_Efficacité'!$A$4:$AO$4,0)+62),0)</f>
        <v>0</v>
      </c>
      <c r="AK79" s="139">
        <f>VLOOKUP($E79,'7. PGE_Efficacité'!$A$6:$CY$266,(MATCH('4.5 ACE MAX WOL '!AK$4,'7. PGE_Efficacité'!$A$4:$AO$4,0)+62),0)</f>
        <v>0</v>
      </c>
      <c r="AL79" s="139">
        <f>VLOOKUP($E79,'7. PGE_Efficacité'!$A$6:$CY$266,(MATCH('4.5 ACE MAX WOL '!AL$4,'7. PGE_Efficacité'!$A$4:$AO$4,0)+62),0)</f>
        <v>0</v>
      </c>
      <c r="AM79" s="139">
        <f>VLOOKUP($E79,'7. PGE_Efficacité'!$A$6:$CY$266,(MATCH('4.5 ACE MAX WOL '!AM$4,'7. PGE_Efficacité'!$A$4:$AO$4,0)+62),0)</f>
        <v>0</v>
      </c>
      <c r="AN79" s="139">
        <f>VLOOKUP($E79,'7. PGE_Efficacité'!$A$6:$CY$266,(MATCH('4.5 ACE MAX WOL '!AN$4,'7. PGE_Efficacité'!$A$4:$AO$4,0)+62),0)</f>
        <v>0</v>
      </c>
    </row>
    <row r="80" spans="1:40" hidden="1" outlineLevel="2" x14ac:dyDescent="0.25">
      <c r="A80" s="48" t="s">
        <v>1524</v>
      </c>
      <c r="B80" s="49">
        <v>14</v>
      </c>
      <c r="C80" s="48" t="s">
        <v>1525</v>
      </c>
      <c r="D80" s="199" t="s">
        <v>13</v>
      </c>
      <c r="E80" s="200" t="s">
        <v>676</v>
      </c>
      <c r="F80" s="200" t="s">
        <v>1336</v>
      </c>
      <c r="G80" s="201" t="s">
        <v>1521</v>
      </c>
      <c r="H80" s="200" t="s">
        <v>1290</v>
      </c>
      <c r="I80" s="202"/>
      <c r="J80" s="139">
        <f>VLOOKUP($E80,'7. PGE_Efficacité'!$A$6:$CY$266,(MATCH('4.5 ACE MAX WOL '!J$4,'7. PGE_Efficacité'!$A$4:$AO$4,0)+62),0)</f>
        <v>0</v>
      </c>
      <c r="K80" s="139">
        <f>VLOOKUP($E80,'7. PGE_Efficacité'!$A$6:$CY$266,(MATCH('4.5 ACE MAX WOL '!K$4,'7. PGE_Efficacité'!$A$4:$AO$4,0)+62),0)</f>
        <v>0</v>
      </c>
      <c r="L80" s="139">
        <f>VLOOKUP($E80,'7. PGE_Efficacité'!$A$6:$CY$266,(MATCH('4.5 ACE MAX WOL '!L$4,'7. PGE_Efficacité'!$A$4:$AO$4,0)+62),0)</f>
        <v>0</v>
      </c>
      <c r="M80" s="139">
        <f>VLOOKUP($E80,'7. PGE_Efficacité'!$A$6:$CY$266,(MATCH('4.5 ACE MAX WOL '!M$4,'7. PGE_Efficacité'!$A$4:$AO$4,0)+62),0)</f>
        <v>0</v>
      </c>
      <c r="N80" s="139">
        <f>VLOOKUP($E80,'7. PGE_Efficacité'!$A$6:$CY$266,(MATCH('4.5 ACE MAX WOL '!N$4,'7. PGE_Efficacité'!$A$4:$AO$4,0)+62),0)</f>
        <v>0</v>
      </c>
      <c r="O80" s="139">
        <f>VLOOKUP($E80,'7. PGE_Efficacité'!$A$6:$CY$266,78,0)</f>
        <v>0</v>
      </c>
      <c r="P80" s="139">
        <f>VLOOKUP($E80,'7. PGE_Efficacité'!$A$6:$CY$266,(MATCH('4.5 ACE MAX WOL '!P$4,'7. PGE_Efficacité'!$A$4:$AO$4,0)+62),0)</f>
        <v>0</v>
      </c>
      <c r="Q80" s="139">
        <f>VLOOKUP($E80,'7. PGE_Efficacité'!$A$6:$CY$266,(MATCH('4.5 ACE MAX WOL '!Q$4,'7. PGE_Efficacité'!$A$4:$AO$4,0)+62),0)</f>
        <v>0</v>
      </c>
      <c r="R80" s="139">
        <f>VLOOKUP($E80,'7. PGE_Efficacité'!$A$6:$CY$266,(MATCH('4.5 ACE MAX WOL '!R$4,'7. PGE_Efficacité'!$A$4:$AO$4,0)+62),0)</f>
        <v>0</v>
      </c>
      <c r="S80" s="139">
        <f>VLOOKUP($E80,'7. PGE_Efficacité'!$A$6:$CY$266,(MATCH('4.5 ACE MAX WOL '!S$4,'7. PGE_Efficacité'!$A$4:$AO$4,0)+62),0)</f>
        <v>0</v>
      </c>
      <c r="T80" s="139">
        <f>VLOOKUP($E80,'7. PGE_Efficacité'!$A$6:$CY$266,(MATCH('4.5 ACE MAX WOL '!T$4,'7. PGE_Efficacité'!$A$4:$AO$4,0)+62),0)</f>
        <v>0</v>
      </c>
      <c r="U80" s="139">
        <f>VLOOKUP($E80,'7. PGE_Efficacité'!$A$6:$CY$266,(MATCH('4.5 ACE MAX WOL '!U$4,'7. PGE_Efficacité'!$A$4:$AO$4,0)+62),0)</f>
        <v>0</v>
      </c>
      <c r="V80" s="139">
        <f>VLOOKUP($E80,'7. PGE_Efficacité'!$A$6:$CY$266,(MATCH('4.5 ACE MAX WOL '!V$4,'7. PGE_Efficacité'!$A$4:$AO$4,0)+62),0)</f>
        <v>0</v>
      </c>
      <c r="W80" s="139">
        <f>VLOOKUP($E80,'7. PGE_Efficacité'!$A$6:$CY$266,(MATCH('4.5 ACE MAX WOL '!W$4,'7. PGE_Efficacité'!$A$4:$AO$4,0)+62),0)</f>
        <v>0</v>
      </c>
      <c r="X80" s="139">
        <f>VLOOKUP($E80,'7. PGE_Efficacité'!$A$6:$CY$266,(MATCH('4.5 ACE MAX WOL '!X$4,'7. PGE_Efficacité'!$A$4:$AO$4,0)+62),0)</f>
        <v>0</v>
      </c>
      <c r="Y80" s="139">
        <f>VLOOKUP($E80,'7. PGE_Efficacité'!$A$6:$CY$266,(MATCH('4.5 ACE MAX WOL '!Y$4,'7. PGE_Efficacité'!$A$4:$AO$4,0)+62),0)</f>
        <v>0</v>
      </c>
      <c r="Z80" s="139">
        <f>VLOOKUP($E80,'7. PGE_Efficacité'!$A$6:$CY$266,(MATCH('4.5 ACE MAX WOL '!Z$4,'7. PGE_Efficacité'!$A$4:$AO$4,0)+62),0)</f>
        <v>0</v>
      </c>
      <c r="AA80" s="139">
        <f>VLOOKUP($E80,'7. PGE_Efficacité'!$A$6:$CY$266,(MATCH('4.5 ACE MAX WOL '!AA$4,'7. PGE_Efficacité'!$A$4:$AO$4,0)+62),0)</f>
        <v>0</v>
      </c>
      <c r="AB80" s="139">
        <f>VLOOKUP($E80,'7. PGE_Efficacité'!$A$6:$CY$266,(MATCH('4.5 ACE MAX WOL '!AB$4,'7. PGE_Efficacité'!$A$4:$AO$4,0)+62),0)</f>
        <v>0</v>
      </c>
      <c r="AC80" s="139">
        <f>VLOOKUP($E80,'7. PGE_Efficacité'!$A$6:$CY$266,(MATCH('4.5 ACE MAX WOL '!AC$4,'7. PGE_Efficacité'!$A$4:$AO$4,0)+62),0)</f>
        <v>0</v>
      </c>
      <c r="AD80" s="139">
        <f>VLOOKUP($E80,'7. PGE_Efficacité'!$A$6:$CY$266,(MATCH('4.5 ACE MAX WOL '!AD$4,'7. PGE_Efficacité'!$A$4:$AO$4,0)+62),0)</f>
        <v>0</v>
      </c>
      <c r="AE80" s="139">
        <f>VLOOKUP($E80,'7. PGE_Efficacité'!$A$6:$CY$266,(MATCH('4.5 ACE MAX WOL '!AE$4,'7. PGE_Efficacité'!$A$4:$AO$4,0)+62),0)</f>
        <v>0</v>
      </c>
      <c r="AF80" s="139">
        <f>VLOOKUP($E80,'7. PGE_Efficacité'!$A$6:$CY$266,(MATCH('4.5 ACE MAX WOL '!AF$4,'7. PGE_Efficacité'!$A$4:$AO$4,0)+62),0)</f>
        <v>0</v>
      </c>
      <c r="AG80" s="139">
        <f>VLOOKUP($E80,'7. PGE_Efficacité'!$A$6:$CY$266,(MATCH('4.5 ACE MAX WOL '!AG$4,'7. PGE_Efficacité'!$A$4:$AO$4,0)+62),0)</f>
        <v>0</v>
      </c>
      <c r="AH80" s="139">
        <f>VLOOKUP($E80,'7. PGE_Efficacité'!$A$6:$CY$266,(MATCH('4.5 ACE MAX WOL '!AH$4,'7. PGE_Efficacité'!$A$4:$AO$4,0)+62),0)</f>
        <v>0</v>
      </c>
      <c r="AI80" s="139">
        <f>VLOOKUP($E80,'7. PGE_Efficacité'!$A$6:$CY$266,(MATCH('4.5 ACE MAX WOL '!AI$4,'7. PGE_Efficacité'!$A$4:$AO$4,0)+62),0)</f>
        <v>0</v>
      </c>
      <c r="AJ80" s="139">
        <f>VLOOKUP($E80,'7. PGE_Efficacité'!$A$6:$CY$266,(MATCH('4.5 ACE MAX WOL '!AJ$4,'7. PGE_Efficacité'!$A$4:$AO$4,0)+62),0)</f>
        <v>0</v>
      </c>
      <c r="AK80" s="139">
        <f>VLOOKUP($E80,'7. PGE_Efficacité'!$A$6:$CY$266,(MATCH('4.5 ACE MAX WOL '!AK$4,'7. PGE_Efficacité'!$A$4:$AO$4,0)+62),0)</f>
        <v>0</v>
      </c>
      <c r="AL80" s="139">
        <f>VLOOKUP($E80,'7. PGE_Efficacité'!$A$6:$CY$266,(MATCH('4.5 ACE MAX WOL '!AL$4,'7. PGE_Efficacité'!$A$4:$AO$4,0)+62),0)</f>
        <v>0</v>
      </c>
      <c r="AM80" s="139">
        <f>VLOOKUP($E80,'7. PGE_Efficacité'!$A$6:$CY$266,(MATCH('4.5 ACE MAX WOL '!AM$4,'7. PGE_Efficacité'!$A$4:$AO$4,0)+62),0)</f>
        <v>0</v>
      </c>
      <c r="AN80" s="139">
        <f>VLOOKUP($E80,'7. PGE_Efficacité'!$A$6:$CY$266,(MATCH('4.5 ACE MAX WOL '!AN$4,'7. PGE_Efficacité'!$A$4:$AO$4,0)+62),0)</f>
        <v>0</v>
      </c>
    </row>
    <row r="81" spans="1:40" hidden="1" outlineLevel="2" x14ac:dyDescent="0.25">
      <c r="A81" s="48" t="s">
        <v>1524</v>
      </c>
      <c r="B81" s="49">
        <v>14</v>
      </c>
      <c r="C81" s="48" t="s">
        <v>1526</v>
      </c>
      <c r="D81" s="199" t="s">
        <v>13</v>
      </c>
      <c r="E81" s="200" t="s">
        <v>677</v>
      </c>
      <c r="F81" s="200" t="s">
        <v>1337</v>
      </c>
      <c r="G81" s="201" t="s">
        <v>1521</v>
      </c>
      <c r="H81" s="200" t="s">
        <v>1290</v>
      </c>
      <c r="I81" s="202"/>
      <c r="J81" s="139">
        <f>VLOOKUP($E81,'7. PGE_Efficacité'!$A$6:$CY$266,(MATCH('4.5 ACE MAX WOL '!J$4,'7. PGE_Efficacité'!$A$4:$AO$4,0)+62),0)</f>
        <v>0</v>
      </c>
      <c r="K81" s="139">
        <f>VLOOKUP($E81,'7. PGE_Efficacité'!$A$6:$CY$266,(MATCH('4.5 ACE MAX WOL '!K$4,'7. PGE_Efficacité'!$A$4:$AO$4,0)+62),0)</f>
        <v>0</v>
      </c>
      <c r="L81" s="139">
        <f>VLOOKUP($E81,'7. PGE_Efficacité'!$A$6:$CY$266,(MATCH('4.5 ACE MAX WOL '!L$4,'7. PGE_Efficacité'!$A$4:$AO$4,0)+62),0)</f>
        <v>0</v>
      </c>
      <c r="M81" s="139">
        <f>VLOOKUP($E81,'7. PGE_Efficacité'!$A$6:$CY$266,(MATCH('4.5 ACE MAX WOL '!M$4,'7. PGE_Efficacité'!$A$4:$AO$4,0)+62),0)</f>
        <v>0</v>
      </c>
      <c r="N81" s="139">
        <f>VLOOKUP($E81,'7. PGE_Efficacité'!$A$6:$CY$266,(MATCH('4.5 ACE MAX WOL '!N$4,'7. PGE_Efficacité'!$A$4:$AO$4,0)+62),0)</f>
        <v>0</v>
      </c>
      <c r="O81" s="139">
        <f>VLOOKUP($E81,'7. PGE_Efficacité'!$A$6:$CY$266,78,0)</f>
        <v>0</v>
      </c>
      <c r="P81" s="139">
        <f>VLOOKUP($E81,'7. PGE_Efficacité'!$A$6:$CY$266,(MATCH('4.5 ACE MAX WOL '!P$4,'7. PGE_Efficacité'!$A$4:$AO$4,0)+62),0)</f>
        <v>0</v>
      </c>
      <c r="Q81" s="139">
        <f>VLOOKUP($E81,'7. PGE_Efficacité'!$A$6:$CY$266,(MATCH('4.5 ACE MAX WOL '!Q$4,'7. PGE_Efficacité'!$A$4:$AO$4,0)+62),0)</f>
        <v>0</v>
      </c>
      <c r="R81" s="139">
        <f>VLOOKUP($E81,'7. PGE_Efficacité'!$A$6:$CY$266,(MATCH('4.5 ACE MAX WOL '!R$4,'7. PGE_Efficacité'!$A$4:$AO$4,0)+62),0)</f>
        <v>0</v>
      </c>
      <c r="S81" s="139">
        <f>VLOOKUP($E81,'7. PGE_Efficacité'!$A$6:$CY$266,(MATCH('4.5 ACE MAX WOL '!S$4,'7. PGE_Efficacité'!$A$4:$AO$4,0)+62),0)</f>
        <v>0</v>
      </c>
      <c r="T81" s="139">
        <f>VLOOKUP($E81,'7. PGE_Efficacité'!$A$6:$CY$266,(MATCH('4.5 ACE MAX WOL '!T$4,'7. PGE_Efficacité'!$A$4:$AO$4,0)+62),0)</f>
        <v>0</v>
      </c>
      <c r="U81" s="139">
        <f>VLOOKUP($E81,'7. PGE_Efficacité'!$A$6:$CY$266,(MATCH('4.5 ACE MAX WOL '!U$4,'7. PGE_Efficacité'!$A$4:$AO$4,0)+62),0)</f>
        <v>0</v>
      </c>
      <c r="V81" s="139">
        <f>VLOOKUP($E81,'7. PGE_Efficacité'!$A$6:$CY$266,(MATCH('4.5 ACE MAX WOL '!V$4,'7. PGE_Efficacité'!$A$4:$AO$4,0)+62),0)</f>
        <v>0</v>
      </c>
      <c r="W81" s="139">
        <f>VLOOKUP($E81,'7. PGE_Efficacité'!$A$6:$CY$266,(MATCH('4.5 ACE MAX WOL '!W$4,'7. PGE_Efficacité'!$A$4:$AO$4,0)+62),0)</f>
        <v>0</v>
      </c>
      <c r="X81" s="139">
        <f>VLOOKUP($E81,'7. PGE_Efficacité'!$A$6:$CY$266,(MATCH('4.5 ACE MAX WOL '!X$4,'7. PGE_Efficacité'!$A$4:$AO$4,0)+62),0)</f>
        <v>0</v>
      </c>
      <c r="Y81" s="139">
        <f>VLOOKUP($E81,'7. PGE_Efficacité'!$A$6:$CY$266,(MATCH('4.5 ACE MAX WOL '!Y$4,'7. PGE_Efficacité'!$A$4:$AO$4,0)+62),0)</f>
        <v>0</v>
      </c>
      <c r="Z81" s="139">
        <f>VLOOKUP($E81,'7. PGE_Efficacité'!$A$6:$CY$266,(MATCH('4.5 ACE MAX WOL '!Z$4,'7. PGE_Efficacité'!$A$4:$AO$4,0)+62),0)</f>
        <v>0</v>
      </c>
      <c r="AA81" s="139">
        <f>VLOOKUP($E81,'7. PGE_Efficacité'!$A$6:$CY$266,(MATCH('4.5 ACE MAX WOL '!AA$4,'7. PGE_Efficacité'!$A$4:$AO$4,0)+62),0)</f>
        <v>0</v>
      </c>
      <c r="AB81" s="139">
        <f>VLOOKUP($E81,'7. PGE_Efficacité'!$A$6:$CY$266,(MATCH('4.5 ACE MAX WOL '!AB$4,'7. PGE_Efficacité'!$A$4:$AO$4,0)+62),0)</f>
        <v>0</v>
      </c>
      <c r="AC81" s="139">
        <f>VLOOKUP($E81,'7. PGE_Efficacité'!$A$6:$CY$266,(MATCH('4.5 ACE MAX WOL '!AC$4,'7. PGE_Efficacité'!$A$4:$AO$4,0)+62),0)</f>
        <v>0</v>
      </c>
      <c r="AD81" s="139">
        <f>VLOOKUP($E81,'7. PGE_Efficacité'!$A$6:$CY$266,(MATCH('4.5 ACE MAX WOL '!AD$4,'7. PGE_Efficacité'!$A$4:$AO$4,0)+62),0)</f>
        <v>0</v>
      </c>
      <c r="AE81" s="139">
        <f>VLOOKUP($E81,'7. PGE_Efficacité'!$A$6:$CY$266,(MATCH('4.5 ACE MAX WOL '!AE$4,'7. PGE_Efficacité'!$A$4:$AO$4,0)+62),0)</f>
        <v>0</v>
      </c>
      <c r="AF81" s="139">
        <f>VLOOKUP($E81,'7. PGE_Efficacité'!$A$6:$CY$266,(MATCH('4.5 ACE MAX WOL '!AF$4,'7. PGE_Efficacité'!$A$4:$AO$4,0)+62),0)</f>
        <v>0</v>
      </c>
      <c r="AG81" s="139">
        <f>VLOOKUP($E81,'7. PGE_Efficacité'!$A$6:$CY$266,(MATCH('4.5 ACE MAX WOL '!AG$4,'7. PGE_Efficacité'!$A$4:$AO$4,0)+62),0)</f>
        <v>0</v>
      </c>
      <c r="AH81" s="139">
        <f>VLOOKUP($E81,'7. PGE_Efficacité'!$A$6:$CY$266,(MATCH('4.5 ACE MAX WOL '!AH$4,'7. PGE_Efficacité'!$A$4:$AO$4,0)+62),0)</f>
        <v>0</v>
      </c>
      <c r="AI81" s="139">
        <f>VLOOKUP($E81,'7. PGE_Efficacité'!$A$6:$CY$266,(MATCH('4.5 ACE MAX WOL '!AI$4,'7. PGE_Efficacité'!$A$4:$AO$4,0)+62),0)</f>
        <v>0</v>
      </c>
      <c r="AJ81" s="139">
        <f>VLOOKUP($E81,'7. PGE_Efficacité'!$A$6:$CY$266,(MATCH('4.5 ACE MAX WOL '!AJ$4,'7. PGE_Efficacité'!$A$4:$AO$4,0)+62),0)</f>
        <v>0</v>
      </c>
      <c r="AK81" s="139">
        <f>VLOOKUP($E81,'7. PGE_Efficacité'!$A$6:$CY$266,(MATCH('4.5 ACE MAX WOL '!AK$4,'7. PGE_Efficacité'!$A$4:$AO$4,0)+62),0)</f>
        <v>0</v>
      </c>
      <c r="AL81" s="139">
        <f>VLOOKUP($E81,'7. PGE_Efficacité'!$A$6:$CY$266,(MATCH('4.5 ACE MAX WOL '!AL$4,'7. PGE_Efficacité'!$A$4:$AO$4,0)+62),0)</f>
        <v>0</v>
      </c>
      <c r="AM81" s="139">
        <f>VLOOKUP($E81,'7. PGE_Efficacité'!$A$6:$CY$266,(MATCH('4.5 ACE MAX WOL '!AM$4,'7. PGE_Efficacité'!$A$4:$AO$4,0)+62),0)</f>
        <v>0</v>
      </c>
      <c r="AN81" s="139">
        <f>VLOOKUP($E81,'7. PGE_Efficacité'!$A$6:$CY$266,(MATCH('4.5 ACE MAX WOL '!AN$4,'7. PGE_Efficacité'!$A$4:$AO$4,0)+62),0)</f>
        <v>0</v>
      </c>
    </row>
    <row r="82" spans="1:40" hidden="1" outlineLevel="2" x14ac:dyDescent="0.25">
      <c r="A82" s="48"/>
      <c r="B82" s="49"/>
      <c r="C82" s="48"/>
      <c r="D82" s="199" t="s">
        <v>13</v>
      </c>
      <c r="E82" s="200" t="s">
        <v>678</v>
      </c>
      <c r="F82" s="200" t="s">
        <v>1338</v>
      </c>
      <c r="G82" s="201" t="s">
        <v>1521</v>
      </c>
      <c r="H82" s="200" t="s">
        <v>1290</v>
      </c>
      <c r="I82" s="202"/>
      <c r="J82" s="139">
        <f>VLOOKUP($E82,'7. PGE_Efficacité'!$A$6:$CY$266,(MATCH('4.5 ACE MAX WOL '!J$4,'7. PGE_Efficacité'!$A$4:$AO$4,0)+62),0)</f>
        <v>0</v>
      </c>
      <c r="K82" s="139">
        <f>VLOOKUP($E82,'7. PGE_Efficacité'!$A$6:$CY$266,(MATCH('4.5 ACE MAX WOL '!K$4,'7. PGE_Efficacité'!$A$4:$AO$4,0)+62),0)</f>
        <v>0</v>
      </c>
      <c r="L82" s="139">
        <f>VLOOKUP($E82,'7. PGE_Efficacité'!$A$6:$CY$266,(MATCH('4.5 ACE MAX WOL '!L$4,'7. PGE_Efficacité'!$A$4:$AO$4,0)+62),0)</f>
        <v>0</v>
      </c>
      <c r="M82" s="139">
        <f>VLOOKUP($E82,'7. PGE_Efficacité'!$A$6:$CY$266,(MATCH('4.5 ACE MAX WOL '!M$4,'7. PGE_Efficacité'!$A$4:$AO$4,0)+62),0)</f>
        <v>0</v>
      </c>
      <c r="N82" s="139">
        <f>VLOOKUP($E82,'7. PGE_Efficacité'!$A$6:$CY$266,(MATCH('4.5 ACE MAX WOL '!N$4,'7. PGE_Efficacité'!$A$4:$AO$4,0)+62),0)</f>
        <v>0</v>
      </c>
      <c r="O82" s="139">
        <f>VLOOKUP($E82,'7. PGE_Efficacité'!$A$6:$CY$266,78,0)</f>
        <v>0</v>
      </c>
      <c r="P82" s="139">
        <f>VLOOKUP($E82,'7. PGE_Efficacité'!$A$6:$CY$266,(MATCH('4.5 ACE MAX WOL '!P$4,'7. PGE_Efficacité'!$A$4:$AO$4,0)+62),0)</f>
        <v>0</v>
      </c>
      <c r="Q82" s="139">
        <f>VLOOKUP($E82,'7. PGE_Efficacité'!$A$6:$CY$266,(MATCH('4.5 ACE MAX WOL '!Q$4,'7. PGE_Efficacité'!$A$4:$AO$4,0)+62),0)</f>
        <v>0</v>
      </c>
      <c r="R82" s="139">
        <f>VLOOKUP($E82,'7. PGE_Efficacité'!$A$6:$CY$266,(MATCH('4.5 ACE MAX WOL '!R$4,'7. PGE_Efficacité'!$A$4:$AO$4,0)+62),0)</f>
        <v>0</v>
      </c>
      <c r="S82" s="139">
        <f>VLOOKUP($E82,'7. PGE_Efficacité'!$A$6:$CY$266,(MATCH('4.5 ACE MAX WOL '!S$4,'7. PGE_Efficacité'!$A$4:$AO$4,0)+62),0)</f>
        <v>0</v>
      </c>
      <c r="T82" s="139">
        <f>VLOOKUP($E82,'7. PGE_Efficacité'!$A$6:$CY$266,(MATCH('4.5 ACE MAX WOL '!T$4,'7. PGE_Efficacité'!$A$4:$AO$4,0)+62),0)</f>
        <v>0</v>
      </c>
      <c r="U82" s="139">
        <f>VLOOKUP($E82,'7. PGE_Efficacité'!$A$6:$CY$266,(MATCH('4.5 ACE MAX WOL '!U$4,'7. PGE_Efficacité'!$A$4:$AO$4,0)+62),0)</f>
        <v>0</v>
      </c>
      <c r="V82" s="139">
        <f>VLOOKUP($E82,'7. PGE_Efficacité'!$A$6:$CY$266,(MATCH('4.5 ACE MAX WOL '!V$4,'7. PGE_Efficacité'!$A$4:$AO$4,0)+62),0)</f>
        <v>0</v>
      </c>
      <c r="W82" s="139">
        <f>VLOOKUP($E82,'7. PGE_Efficacité'!$A$6:$CY$266,(MATCH('4.5 ACE MAX WOL '!W$4,'7. PGE_Efficacité'!$A$4:$AO$4,0)+62),0)</f>
        <v>0</v>
      </c>
      <c r="X82" s="139">
        <f>VLOOKUP($E82,'7. PGE_Efficacité'!$A$6:$CY$266,(MATCH('4.5 ACE MAX WOL '!X$4,'7. PGE_Efficacité'!$A$4:$AO$4,0)+62),0)</f>
        <v>0</v>
      </c>
      <c r="Y82" s="139">
        <f>VLOOKUP($E82,'7. PGE_Efficacité'!$A$6:$CY$266,(MATCH('4.5 ACE MAX WOL '!Y$4,'7. PGE_Efficacité'!$A$4:$AO$4,0)+62),0)</f>
        <v>0</v>
      </c>
      <c r="Z82" s="139">
        <f>VLOOKUP($E82,'7. PGE_Efficacité'!$A$6:$CY$266,(MATCH('4.5 ACE MAX WOL '!Z$4,'7. PGE_Efficacité'!$A$4:$AO$4,0)+62),0)</f>
        <v>0</v>
      </c>
      <c r="AA82" s="139">
        <f>VLOOKUP($E82,'7. PGE_Efficacité'!$A$6:$CY$266,(MATCH('4.5 ACE MAX WOL '!AA$4,'7. PGE_Efficacité'!$A$4:$AO$4,0)+62),0)</f>
        <v>0</v>
      </c>
      <c r="AB82" s="139">
        <f>VLOOKUP($E82,'7. PGE_Efficacité'!$A$6:$CY$266,(MATCH('4.5 ACE MAX WOL '!AB$4,'7. PGE_Efficacité'!$A$4:$AO$4,0)+62),0)</f>
        <v>0</v>
      </c>
      <c r="AC82" s="139">
        <f>VLOOKUP($E82,'7. PGE_Efficacité'!$A$6:$CY$266,(MATCH('4.5 ACE MAX WOL '!AC$4,'7. PGE_Efficacité'!$A$4:$AO$4,0)+62),0)</f>
        <v>0</v>
      </c>
      <c r="AD82" s="139">
        <f>VLOOKUP($E82,'7. PGE_Efficacité'!$A$6:$CY$266,(MATCH('4.5 ACE MAX WOL '!AD$4,'7. PGE_Efficacité'!$A$4:$AO$4,0)+62),0)</f>
        <v>0</v>
      </c>
      <c r="AE82" s="139">
        <f>VLOOKUP($E82,'7. PGE_Efficacité'!$A$6:$CY$266,(MATCH('4.5 ACE MAX WOL '!AE$4,'7. PGE_Efficacité'!$A$4:$AO$4,0)+62),0)</f>
        <v>0</v>
      </c>
      <c r="AF82" s="139">
        <f>VLOOKUP($E82,'7. PGE_Efficacité'!$A$6:$CY$266,(MATCH('4.5 ACE MAX WOL '!AF$4,'7. PGE_Efficacité'!$A$4:$AO$4,0)+62),0)</f>
        <v>0</v>
      </c>
      <c r="AG82" s="139">
        <f>VLOOKUP($E82,'7. PGE_Efficacité'!$A$6:$CY$266,(MATCH('4.5 ACE MAX WOL '!AG$4,'7. PGE_Efficacité'!$A$4:$AO$4,0)+62),0)</f>
        <v>0</v>
      </c>
      <c r="AH82" s="139">
        <f>VLOOKUP($E82,'7. PGE_Efficacité'!$A$6:$CY$266,(MATCH('4.5 ACE MAX WOL '!AH$4,'7. PGE_Efficacité'!$A$4:$AO$4,0)+62),0)</f>
        <v>0</v>
      </c>
      <c r="AI82" s="139">
        <f>VLOOKUP($E82,'7. PGE_Efficacité'!$A$6:$CY$266,(MATCH('4.5 ACE MAX WOL '!AI$4,'7. PGE_Efficacité'!$A$4:$AO$4,0)+62),0)</f>
        <v>0</v>
      </c>
      <c r="AJ82" s="139">
        <f>VLOOKUP($E82,'7. PGE_Efficacité'!$A$6:$CY$266,(MATCH('4.5 ACE MAX WOL '!AJ$4,'7. PGE_Efficacité'!$A$4:$AO$4,0)+62),0)</f>
        <v>0</v>
      </c>
      <c r="AK82" s="139">
        <f>VLOOKUP($E82,'7. PGE_Efficacité'!$A$6:$CY$266,(MATCH('4.5 ACE MAX WOL '!AK$4,'7. PGE_Efficacité'!$A$4:$AO$4,0)+62),0)</f>
        <v>0</v>
      </c>
      <c r="AL82" s="139">
        <f>VLOOKUP($E82,'7. PGE_Efficacité'!$A$6:$CY$266,(MATCH('4.5 ACE MAX WOL '!AL$4,'7. PGE_Efficacité'!$A$4:$AO$4,0)+62),0)</f>
        <v>0</v>
      </c>
      <c r="AM82" s="139">
        <f>VLOOKUP($E82,'7. PGE_Efficacité'!$A$6:$CY$266,(MATCH('4.5 ACE MAX WOL '!AM$4,'7. PGE_Efficacité'!$A$4:$AO$4,0)+62),0)</f>
        <v>0</v>
      </c>
      <c r="AN82" s="139">
        <f>VLOOKUP($E82,'7. PGE_Efficacité'!$A$6:$CY$266,(MATCH('4.5 ACE MAX WOL '!AN$4,'7. PGE_Efficacité'!$A$4:$AO$4,0)+62),0)</f>
        <v>0</v>
      </c>
    </row>
    <row r="83" spans="1:40" outlineLevel="1" collapsed="1" x14ac:dyDescent="0.25">
      <c r="A83" s="48" t="s">
        <v>1524</v>
      </c>
      <c r="B83" s="49">
        <v>14</v>
      </c>
      <c r="C83" s="48" t="s">
        <v>1532</v>
      </c>
      <c r="D83" s="194" t="s">
        <v>15</v>
      </c>
      <c r="E83" s="195"/>
      <c r="F83" s="196" t="str">
        <f>VLOOKUP(D83,'1. Mesures'!$A$2:$B$116,2,0)</f>
        <v>Réaliser le curage sur les derniers tronçons du réseau hydrographique pour enlever la pollution «historique »</v>
      </c>
      <c r="G83" s="197"/>
      <c r="H83" s="195"/>
      <c r="I83" s="198">
        <f>MEDIAN(VLOOKUP(D83,'4. Mesures_ACE_Budget'!$A$3:$N$32,13,0),(VLOOKUP(D83,'4. Mesures_ACE_Budget'!$A$3:$N$32,14,0)))</f>
        <v>0</v>
      </c>
      <c r="J83" s="235">
        <f>VLOOKUP($D83,'7. PGE_Efficacité'!$A$6:$CY$266,(MATCH('4.5 ACE MAX WOL '!J$4,'7. PGE_Efficacité'!$A$4:$AO$4,0)+62),0)</f>
        <v>0</v>
      </c>
      <c r="K83" s="235">
        <f>VLOOKUP($D83,'7. PGE_Efficacité'!$A$6:$CY$266,(MATCH('4.5 ACE MAX WOL '!K$4,'7. PGE_Efficacité'!$A$4:$AO$4,0)+62),0)</f>
        <v>0</v>
      </c>
      <c r="L83" s="235">
        <f>VLOOKUP($D83,'7. PGE_Efficacité'!$A$6:$CY$266,(MATCH('4.5 ACE MAX WOL '!L$4,'7. PGE_Efficacité'!$A$4:$AO$4,0)+62),0)</f>
        <v>0</v>
      </c>
      <c r="M83" s="235">
        <f>VLOOKUP($D83,'7. PGE_Efficacité'!$A$6:$CY$266,(MATCH('4.5 ACE MAX WOL '!M$4,'7. PGE_Efficacité'!$A$4:$AO$4,0)+62),0)</f>
        <v>0</v>
      </c>
      <c r="N83" s="235">
        <f>VLOOKUP($D83,'7. PGE_Efficacité'!$A$6:$CY$266,(MATCH('4.5 ACE MAX WOL '!N$4,'7. PGE_Efficacité'!$A$4:$AO$4,0)+62),0)</f>
        <v>0</v>
      </c>
      <c r="O83" s="235">
        <f>VLOOKUP($D83,'7. PGE_Efficacité'!$A$6:$CY$266,78,0)</f>
        <v>0</v>
      </c>
      <c r="P83" s="235">
        <f>VLOOKUP($D83,'7. PGE_Efficacité'!$A$6:$CY$266,(MATCH('4.5 ACE MAX WOL '!P$4,'7. PGE_Efficacité'!$A$4:$AO$4,0)+62),0)</f>
        <v>0</v>
      </c>
      <c r="Q83" s="235">
        <f>VLOOKUP($D83,'7. PGE_Efficacité'!$A$6:$CY$266,(MATCH('4.5 ACE MAX WOL '!Q$4,'7. PGE_Efficacité'!$A$4:$AO$4,0)+62),0)</f>
        <v>0</v>
      </c>
      <c r="R83" s="235">
        <f>VLOOKUP($D83,'7. PGE_Efficacité'!$A$6:$CY$266,(MATCH('4.5 ACE MAX WOL '!R$4,'7. PGE_Efficacité'!$A$4:$AO$4,0)+62),0)</f>
        <v>0</v>
      </c>
      <c r="S83" s="235">
        <f>VLOOKUP($D83,'7. PGE_Efficacité'!$A$6:$CY$266,(MATCH('4.5 ACE MAX WOL '!S$4,'7. PGE_Efficacité'!$A$4:$AO$4,0)+62),0)</f>
        <v>0</v>
      </c>
      <c r="T83" s="235">
        <f>VLOOKUP($D83,'7. PGE_Efficacité'!$A$6:$CY$266,(MATCH('4.5 ACE MAX WOL '!T$4,'7. PGE_Efficacité'!$A$4:$AO$4,0)+62),0)</f>
        <v>0</v>
      </c>
      <c r="U83" s="235">
        <f>VLOOKUP($D83,'7. PGE_Efficacité'!$A$6:$CY$266,(MATCH('4.5 ACE MAX WOL '!U$4,'7. PGE_Efficacité'!$A$4:$AO$4,0)+62),0)</f>
        <v>0</v>
      </c>
      <c r="V83" s="235">
        <f>VLOOKUP($D83,'7. PGE_Efficacité'!$A$6:$CY$266,(MATCH('4.5 ACE MAX WOL '!V$4,'7. PGE_Efficacité'!$A$4:$AO$4,0)+62),0)</f>
        <v>0</v>
      </c>
      <c r="W83" s="235">
        <f>VLOOKUP($D83,'7. PGE_Efficacité'!$A$6:$CY$266,(MATCH('4.5 ACE MAX WOL '!W$4,'7. PGE_Efficacité'!$A$4:$AO$4,0)+62),0)</f>
        <v>0</v>
      </c>
      <c r="X83" s="235">
        <f>VLOOKUP($D83,'7. PGE_Efficacité'!$A$6:$CY$266,(MATCH('4.5 ACE MAX WOL '!X$4,'7. PGE_Efficacité'!$A$4:$AO$4,0)+62),0)</f>
        <v>0</v>
      </c>
      <c r="Y83" s="235">
        <f>VLOOKUP($D83,'7. PGE_Efficacité'!$A$6:$CY$266,(MATCH('4.5 ACE MAX WOL '!Y$4,'7. PGE_Efficacité'!$A$4:$AO$4,0)+62),0)</f>
        <v>0</v>
      </c>
      <c r="Z83" s="235">
        <f>VLOOKUP($D83,'7. PGE_Efficacité'!$A$6:$CY$266,(MATCH('4.5 ACE MAX WOL '!Z$4,'7. PGE_Efficacité'!$A$4:$AO$4,0)+62),0)</f>
        <v>0</v>
      </c>
      <c r="AA83" s="235">
        <f>VLOOKUP($D83,'7. PGE_Efficacité'!$A$6:$CY$266,(MATCH('4.5 ACE MAX WOL '!AA$4,'7. PGE_Efficacité'!$A$4:$AO$4,0)+62),0)</f>
        <v>0</v>
      </c>
      <c r="AB83" s="235">
        <f>VLOOKUP($D83,'7. PGE_Efficacité'!$A$6:$CY$266,(MATCH('4.5 ACE MAX WOL '!AB$4,'7. PGE_Efficacité'!$A$4:$AO$4,0)+62),0)</f>
        <v>0</v>
      </c>
      <c r="AC83" s="235">
        <f>VLOOKUP($D83,'7. PGE_Efficacité'!$A$6:$CY$266,(MATCH('4.5 ACE MAX WOL '!AC$4,'7. PGE_Efficacité'!$A$4:$AO$4,0)+62),0)</f>
        <v>0</v>
      </c>
      <c r="AD83" s="235">
        <f>VLOOKUP($D83,'7. PGE_Efficacité'!$A$6:$CY$266,(MATCH('4.5 ACE MAX WOL '!AD$4,'7. PGE_Efficacité'!$A$4:$AO$4,0)+62),0)</f>
        <v>0</v>
      </c>
      <c r="AE83" s="235">
        <f>VLOOKUP($D83,'7. PGE_Efficacité'!$A$6:$CY$266,(MATCH('4.5 ACE MAX WOL '!AE$4,'7. PGE_Efficacité'!$A$4:$AO$4,0)+62),0)</f>
        <v>0</v>
      </c>
      <c r="AF83" s="235">
        <f>VLOOKUP($D83,'7. PGE_Efficacité'!$A$6:$CY$266,(MATCH('4.5 ACE MAX WOL '!AF$4,'7. PGE_Efficacité'!$A$4:$AO$4,0)+62),0)</f>
        <v>0</v>
      </c>
      <c r="AG83" s="235">
        <f>VLOOKUP($D83,'7. PGE_Efficacité'!$A$6:$CY$266,(MATCH('4.5 ACE MAX WOL '!AG$4,'7. PGE_Efficacité'!$A$4:$AO$4,0)+62),0)</f>
        <v>0</v>
      </c>
      <c r="AH83" s="235">
        <f>VLOOKUP($D83,'7. PGE_Efficacité'!$A$6:$CY$266,(MATCH('4.5 ACE MAX WOL '!AH$4,'7. PGE_Efficacité'!$A$4:$AO$4,0)+62),0)</f>
        <v>0</v>
      </c>
      <c r="AI83" s="235">
        <f>VLOOKUP($D83,'7. PGE_Efficacité'!$A$6:$CY$266,(MATCH('4.5 ACE MAX WOL '!AI$4,'7. PGE_Efficacité'!$A$4:$AO$4,0)+62),0)</f>
        <v>0</v>
      </c>
      <c r="AJ83" s="235">
        <f>VLOOKUP($D83,'7. PGE_Efficacité'!$A$6:$CY$266,(MATCH('4.5 ACE MAX WOL '!AJ$4,'7. PGE_Efficacité'!$A$4:$AO$4,0)+62),0)</f>
        <v>0</v>
      </c>
      <c r="AK83" s="235">
        <f>VLOOKUP($D83,'7. PGE_Efficacité'!$A$6:$CY$266,(MATCH('4.5 ACE MAX WOL '!AK$4,'7. PGE_Efficacité'!$A$4:$AO$4,0)+62),0)</f>
        <v>0</v>
      </c>
      <c r="AL83" s="235">
        <f>VLOOKUP($D83,'7. PGE_Efficacité'!$A$6:$CY$266,(MATCH('4.5 ACE MAX WOL '!AL$4,'7. PGE_Efficacité'!$A$4:$AO$4,0)+62),0)</f>
        <v>0</v>
      </c>
      <c r="AM83" s="235">
        <f>VLOOKUP($D83,'7. PGE_Efficacité'!$A$6:$CY$266,(MATCH('4.5 ACE MAX WOL '!AM$4,'7. PGE_Efficacité'!$A$4:$AO$4,0)+62),0)</f>
        <v>0</v>
      </c>
      <c r="AN83" s="235">
        <f>VLOOKUP($D83,'7. PGE_Efficacité'!$A$6:$CY$266,(MATCH('4.5 ACE MAX WOL '!AN$4,'7. PGE_Efficacité'!$A$4:$AO$4,0)+62),0)</f>
        <v>0</v>
      </c>
    </row>
    <row r="84" spans="1:40" hidden="1" outlineLevel="2" x14ac:dyDescent="0.25">
      <c r="A84" s="48"/>
      <c r="B84" s="49"/>
      <c r="C84" s="48"/>
      <c r="D84" s="199" t="s">
        <v>15</v>
      </c>
      <c r="E84" s="200" t="s">
        <v>682</v>
      </c>
      <c r="F84" s="200" t="s">
        <v>1342</v>
      </c>
      <c r="G84" s="201" t="s">
        <v>1520</v>
      </c>
      <c r="H84" s="200" t="s">
        <v>1290</v>
      </c>
      <c r="I84" s="202"/>
      <c r="J84" s="139">
        <f>VLOOKUP($E84,'7. PGE_Efficacité'!$A$6:$CY$266,(MATCH('4.5 ACE MAX WOL '!J$4,'7. PGE_Efficacité'!$A$4:$AO$4,0)+62),0)</f>
        <v>0</v>
      </c>
      <c r="K84" s="139">
        <f>VLOOKUP($E84,'7. PGE_Efficacité'!$A$6:$CY$266,(MATCH('4.5 ACE MAX WOL '!K$4,'7. PGE_Efficacité'!$A$4:$AO$4,0)+62),0)</f>
        <v>0</v>
      </c>
      <c r="L84" s="139">
        <f>VLOOKUP($E84,'7. PGE_Efficacité'!$A$6:$CY$266,(MATCH('4.5 ACE MAX WOL '!L$4,'7. PGE_Efficacité'!$A$4:$AO$4,0)+62),0)</f>
        <v>0</v>
      </c>
      <c r="M84" s="139">
        <f>VLOOKUP($E84,'7. PGE_Efficacité'!$A$6:$CY$266,(MATCH('4.5 ACE MAX WOL '!M$4,'7. PGE_Efficacité'!$A$4:$AO$4,0)+62),0)</f>
        <v>0</v>
      </c>
      <c r="N84" s="139">
        <f>VLOOKUP($E84,'7. PGE_Efficacité'!$A$6:$CY$266,(MATCH('4.5 ACE MAX WOL '!N$4,'7. PGE_Efficacité'!$A$4:$AO$4,0)+62),0)</f>
        <v>0</v>
      </c>
      <c r="O84" s="139">
        <f>VLOOKUP($E84,'7. PGE_Efficacité'!$A$6:$CY$266,78,0)</f>
        <v>0</v>
      </c>
      <c r="P84" s="139">
        <f>VLOOKUP($E84,'7. PGE_Efficacité'!$A$6:$CY$266,(MATCH('4.5 ACE MAX WOL '!P$4,'7. PGE_Efficacité'!$A$4:$AO$4,0)+62),0)</f>
        <v>0</v>
      </c>
      <c r="Q84" s="139">
        <f>VLOOKUP($E84,'7. PGE_Efficacité'!$A$6:$CY$266,(MATCH('4.5 ACE MAX WOL '!Q$4,'7. PGE_Efficacité'!$A$4:$AO$4,0)+62),0)</f>
        <v>0</v>
      </c>
      <c r="R84" s="139">
        <f>VLOOKUP($E84,'7. PGE_Efficacité'!$A$6:$CY$266,(MATCH('4.5 ACE MAX WOL '!R$4,'7. PGE_Efficacité'!$A$4:$AO$4,0)+62),0)</f>
        <v>0</v>
      </c>
      <c r="S84" s="139">
        <f>VLOOKUP($E84,'7. PGE_Efficacité'!$A$6:$CY$266,(MATCH('4.5 ACE MAX WOL '!S$4,'7. PGE_Efficacité'!$A$4:$AO$4,0)+62),0)</f>
        <v>0</v>
      </c>
      <c r="T84" s="139">
        <f>VLOOKUP($E84,'7. PGE_Efficacité'!$A$6:$CY$266,(MATCH('4.5 ACE MAX WOL '!T$4,'7. PGE_Efficacité'!$A$4:$AO$4,0)+62),0)</f>
        <v>0</v>
      </c>
      <c r="U84" s="139">
        <f>VLOOKUP($E84,'7. PGE_Efficacité'!$A$6:$CY$266,(MATCH('4.5 ACE MAX WOL '!U$4,'7. PGE_Efficacité'!$A$4:$AO$4,0)+62),0)</f>
        <v>0</v>
      </c>
      <c r="V84" s="139">
        <f>VLOOKUP($E84,'7. PGE_Efficacité'!$A$6:$CY$266,(MATCH('4.5 ACE MAX WOL '!V$4,'7. PGE_Efficacité'!$A$4:$AO$4,0)+62),0)</f>
        <v>0</v>
      </c>
      <c r="W84" s="139">
        <f>VLOOKUP($E84,'7. PGE_Efficacité'!$A$6:$CY$266,(MATCH('4.5 ACE MAX WOL '!W$4,'7. PGE_Efficacité'!$A$4:$AO$4,0)+62),0)</f>
        <v>0</v>
      </c>
      <c r="X84" s="139">
        <f>VLOOKUP($E84,'7. PGE_Efficacité'!$A$6:$CY$266,(MATCH('4.5 ACE MAX WOL '!X$4,'7. PGE_Efficacité'!$A$4:$AO$4,0)+62),0)</f>
        <v>0</v>
      </c>
      <c r="Y84" s="139">
        <f>VLOOKUP($E84,'7. PGE_Efficacité'!$A$6:$CY$266,(MATCH('4.5 ACE MAX WOL '!Y$4,'7. PGE_Efficacité'!$A$4:$AO$4,0)+62),0)</f>
        <v>0</v>
      </c>
      <c r="Z84" s="139">
        <f>VLOOKUP($E84,'7. PGE_Efficacité'!$A$6:$CY$266,(MATCH('4.5 ACE MAX WOL '!Z$4,'7. PGE_Efficacité'!$A$4:$AO$4,0)+62),0)</f>
        <v>0</v>
      </c>
      <c r="AA84" s="139">
        <f>VLOOKUP($E84,'7. PGE_Efficacité'!$A$6:$CY$266,(MATCH('4.5 ACE MAX WOL '!AA$4,'7. PGE_Efficacité'!$A$4:$AO$4,0)+62),0)</f>
        <v>0</v>
      </c>
      <c r="AB84" s="139">
        <f>VLOOKUP($E84,'7. PGE_Efficacité'!$A$6:$CY$266,(MATCH('4.5 ACE MAX WOL '!AB$4,'7. PGE_Efficacité'!$A$4:$AO$4,0)+62),0)</f>
        <v>0</v>
      </c>
      <c r="AC84" s="139">
        <f>VLOOKUP($E84,'7. PGE_Efficacité'!$A$6:$CY$266,(MATCH('4.5 ACE MAX WOL '!AC$4,'7. PGE_Efficacité'!$A$4:$AO$4,0)+62),0)</f>
        <v>0</v>
      </c>
      <c r="AD84" s="139">
        <f>VLOOKUP($E84,'7. PGE_Efficacité'!$A$6:$CY$266,(MATCH('4.5 ACE MAX WOL '!AD$4,'7. PGE_Efficacité'!$A$4:$AO$4,0)+62),0)</f>
        <v>0</v>
      </c>
      <c r="AE84" s="139">
        <f>VLOOKUP($E84,'7. PGE_Efficacité'!$A$6:$CY$266,(MATCH('4.5 ACE MAX WOL '!AE$4,'7. PGE_Efficacité'!$A$4:$AO$4,0)+62),0)</f>
        <v>0</v>
      </c>
      <c r="AF84" s="139">
        <f>VLOOKUP($E84,'7. PGE_Efficacité'!$A$6:$CY$266,(MATCH('4.5 ACE MAX WOL '!AF$4,'7. PGE_Efficacité'!$A$4:$AO$4,0)+62),0)</f>
        <v>0</v>
      </c>
      <c r="AG84" s="139">
        <f>VLOOKUP($E84,'7. PGE_Efficacité'!$A$6:$CY$266,(MATCH('4.5 ACE MAX WOL '!AG$4,'7. PGE_Efficacité'!$A$4:$AO$4,0)+62),0)</f>
        <v>0</v>
      </c>
      <c r="AH84" s="139">
        <f>VLOOKUP($E84,'7. PGE_Efficacité'!$A$6:$CY$266,(MATCH('4.5 ACE MAX WOL '!AH$4,'7. PGE_Efficacité'!$A$4:$AO$4,0)+62),0)</f>
        <v>0</v>
      </c>
      <c r="AI84" s="139">
        <f>VLOOKUP($E84,'7. PGE_Efficacité'!$A$6:$CY$266,(MATCH('4.5 ACE MAX WOL '!AI$4,'7. PGE_Efficacité'!$A$4:$AO$4,0)+62),0)</f>
        <v>0</v>
      </c>
      <c r="AJ84" s="139">
        <f>VLOOKUP($E84,'7. PGE_Efficacité'!$A$6:$CY$266,(MATCH('4.5 ACE MAX WOL '!AJ$4,'7. PGE_Efficacité'!$A$4:$AO$4,0)+62),0)</f>
        <v>0</v>
      </c>
      <c r="AK84" s="139">
        <f>VLOOKUP($E84,'7. PGE_Efficacité'!$A$6:$CY$266,(MATCH('4.5 ACE MAX WOL '!AK$4,'7. PGE_Efficacité'!$A$4:$AO$4,0)+62),0)</f>
        <v>0</v>
      </c>
      <c r="AL84" s="139">
        <f>VLOOKUP($E84,'7. PGE_Efficacité'!$A$6:$CY$266,(MATCH('4.5 ACE MAX WOL '!AL$4,'7. PGE_Efficacité'!$A$4:$AO$4,0)+62),0)</f>
        <v>0</v>
      </c>
      <c r="AM84" s="139">
        <f>VLOOKUP($E84,'7. PGE_Efficacité'!$A$6:$CY$266,(MATCH('4.5 ACE MAX WOL '!AM$4,'7. PGE_Efficacité'!$A$4:$AO$4,0)+62),0)</f>
        <v>0</v>
      </c>
      <c r="AN84" s="139">
        <f>VLOOKUP($E84,'7. PGE_Efficacité'!$A$6:$CY$266,(MATCH('4.5 ACE MAX WOL '!AN$4,'7. PGE_Efficacité'!$A$4:$AO$4,0)+62),0)</f>
        <v>0</v>
      </c>
    </row>
    <row r="85" spans="1:40" ht="26.25" outlineLevel="1" collapsed="1" x14ac:dyDescent="0.25">
      <c r="A85" s="48"/>
      <c r="B85" s="49"/>
      <c r="C85" s="48"/>
      <c r="D85" s="194" t="s">
        <v>21</v>
      </c>
      <c r="E85" s="195"/>
      <c r="F85" s="196" t="str">
        <f>VLOOKUP(D85,'1. Mesures'!$A$2:$B$116,2,0)</f>
        <v>Assurer la surveillance de la qualité de la colonne d’eau, des sédiments, du biote, de la biologie et de l’hydromorphologie</v>
      </c>
      <c r="G85" s="197"/>
      <c r="H85" s="195"/>
      <c r="I85" s="198">
        <f>MEDIAN(VLOOKUP(D85,'4. Mesures_ACE_Budget'!$A$3:$N$32,13,0),(VLOOKUP(D85,'4. Mesures_ACE_Budget'!$A$3:$N$32,14,0)))</f>
        <v>0</v>
      </c>
      <c r="J85" s="235">
        <f>VLOOKUP($D85,'7. PGE_Efficacité'!$A$6:$CY$266,(MATCH('4.5 ACE MAX WOL '!J$4,'7. PGE_Efficacité'!$A$4:$AO$4,0)+62),0)</f>
        <v>0</v>
      </c>
      <c r="K85" s="235">
        <f>VLOOKUP($D85,'7. PGE_Efficacité'!$A$6:$CY$266,(MATCH('4.5 ACE MAX WOL '!K$4,'7. PGE_Efficacité'!$A$4:$AO$4,0)+62),0)</f>
        <v>0</v>
      </c>
      <c r="L85" s="235">
        <f>VLOOKUP($D85,'7. PGE_Efficacité'!$A$6:$CY$266,(MATCH('4.5 ACE MAX WOL '!L$4,'7. PGE_Efficacité'!$A$4:$AO$4,0)+62),0)</f>
        <v>0</v>
      </c>
      <c r="M85" s="235">
        <f>VLOOKUP($D85,'7. PGE_Efficacité'!$A$6:$CY$266,(MATCH('4.5 ACE MAX WOL '!M$4,'7. PGE_Efficacité'!$A$4:$AO$4,0)+62),0)</f>
        <v>0</v>
      </c>
      <c r="N85" s="235">
        <f>VLOOKUP($D85,'7. PGE_Efficacité'!$A$6:$CY$266,(MATCH('4.5 ACE MAX WOL '!N$4,'7. PGE_Efficacité'!$A$4:$AO$4,0)+62),0)</f>
        <v>0</v>
      </c>
      <c r="O85" s="235">
        <f>VLOOKUP($D85,'7. PGE_Efficacité'!$A$6:$CY$266,78,0)</f>
        <v>0</v>
      </c>
      <c r="P85" s="235">
        <f>VLOOKUP($D85,'7. PGE_Efficacité'!$A$6:$CY$266,(MATCH('4.5 ACE MAX WOL '!P$4,'7. PGE_Efficacité'!$A$4:$AO$4,0)+62),0)</f>
        <v>0</v>
      </c>
      <c r="Q85" s="235">
        <f>VLOOKUP($D85,'7. PGE_Efficacité'!$A$6:$CY$266,(MATCH('4.5 ACE MAX WOL '!Q$4,'7. PGE_Efficacité'!$A$4:$AO$4,0)+62),0)</f>
        <v>0</v>
      </c>
      <c r="R85" s="235">
        <f>VLOOKUP($D85,'7. PGE_Efficacité'!$A$6:$CY$266,(MATCH('4.5 ACE MAX WOL '!R$4,'7. PGE_Efficacité'!$A$4:$AO$4,0)+62),0)</f>
        <v>0</v>
      </c>
      <c r="S85" s="235">
        <f>VLOOKUP($D85,'7. PGE_Efficacité'!$A$6:$CY$266,(MATCH('4.5 ACE MAX WOL '!S$4,'7. PGE_Efficacité'!$A$4:$AO$4,0)+62),0)</f>
        <v>0</v>
      </c>
      <c r="T85" s="235">
        <f>VLOOKUP($D85,'7. PGE_Efficacité'!$A$6:$CY$266,(MATCH('4.5 ACE MAX WOL '!T$4,'7. PGE_Efficacité'!$A$4:$AO$4,0)+62),0)</f>
        <v>0</v>
      </c>
      <c r="U85" s="235">
        <f>VLOOKUP($D85,'7. PGE_Efficacité'!$A$6:$CY$266,(MATCH('4.5 ACE MAX WOL '!U$4,'7. PGE_Efficacité'!$A$4:$AO$4,0)+62),0)</f>
        <v>0</v>
      </c>
      <c r="V85" s="235">
        <f>VLOOKUP($D85,'7. PGE_Efficacité'!$A$6:$CY$266,(MATCH('4.5 ACE MAX WOL '!V$4,'7. PGE_Efficacité'!$A$4:$AO$4,0)+62),0)</f>
        <v>0</v>
      </c>
      <c r="W85" s="235">
        <f>VLOOKUP($D85,'7. PGE_Efficacité'!$A$6:$CY$266,(MATCH('4.5 ACE MAX WOL '!W$4,'7. PGE_Efficacité'!$A$4:$AO$4,0)+62),0)</f>
        <v>0</v>
      </c>
      <c r="X85" s="235">
        <f>VLOOKUP($D85,'7. PGE_Efficacité'!$A$6:$CY$266,(MATCH('4.5 ACE MAX WOL '!X$4,'7. PGE_Efficacité'!$A$4:$AO$4,0)+62),0)</f>
        <v>0</v>
      </c>
      <c r="Y85" s="235">
        <f>VLOOKUP($D85,'7. PGE_Efficacité'!$A$6:$CY$266,(MATCH('4.5 ACE MAX WOL '!Y$4,'7. PGE_Efficacité'!$A$4:$AO$4,0)+62),0)</f>
        <v>0</v>
      </c>
      <c r="Z85" s="235">
        <f>VLOOKUP($D85,'7. PGE_Efficacité'!$A$6:$CY$266,(MATCH('4.5 ACE MAX WOL '!Z$4,'7. PGE_Efficacité'!$A$4:$AO$4,0)+62),0)</f>
        <v>0</v>
      </c>
      <c r="AA85" s="235">
        <f>VLOOKUP($D85,'7. PGE_Efficacité'!$A$6:$CY$266,(MATCH('4.5 ACE MAX WOL '!AA$4,'7. PGE_Efficacité'!$A$4:$AO$4,0)+62),0)</f>
        <v>0</v>
      </c>
      <c r="AB85" s="235">
        <f>VLOOKUP($D85,'7. PGE_Efficacité'!$A$6:$CY$266,(MATCH('4.5 ACE MAX WOL '!AB$4,'7. PGE_Efficacité'!$A$4:$AO$4,0)+62),0)</f>
        <v>0</v>
      </c>
      <c r="AC85" s="235">
        <f>VLOOKUP($D85,'7. PGE_Efficacité'!$A$6:$CY$266,(MATCH('4.5 ACE MAX WOL '!AC$4,'7. PGE_Efficacité'!$A$4:$AO$4,0)+62),0)</f>
        <v>0</v>
      </c>
      <c r="AD85" s="235">
        <f>VLOOKUP($D85,'7. PGE_Efficacité'!$A$6:$CY$266,(MATCH('4.5 ACE MAX WOL '!AD$4,'7. PGE_Efficacité'!$A$4:$AO$4,0)+62),0)</f>
        <v>0</v>
      </c>
      <c r="AE85" s="235">
        <f>VLOOKUP($D85,'7. PGE_Efficacité'!$A$6:$CY$266,(MATCH('4.5 ACE MAX WOL '!AE$4,'7. PGE_Efficacité'!$A$4:$AO$4,0)+62),0)</f>
        <v>0</v>
      </c>
      <c r="AF85" s="235">
        <f>VLOOKUP($D85,'7. PGE_Efficacité'!$A$6:$CY$266,(MATCH('4.5 ACE MAX WOL '!AF$4,'7. PGE_Efficacité'!$A$4:$AO$4,0)+62),0)</f>
        <v>0</v>
      </c>
      <c r="AG85" s="235">
        <f>VLOOKUP($D85,'7. PGE_Efficacité'!$A$6:$CY$266,(MATCH('4.5 ACE MAX WOL '!AG$4,'7. PGE_Efficacité'!$A$4:$AO$4,0)+62),0)</f>
        <v>0</v>
      </c>
      <c r="AH85" s="235">
        <f>VLOOKUP($D85,'7. PGE_Efficacité'!$A$6:$CY$266,(MATCH('4.5 ACE MAX WOL '!AH$4,'7. PGE_Efficacité'!$A$4:$AO$4,0)+62),0)</f>
        <v>0</v>
      </c>
      <c r="AI85" s="235">
        <f>VLOOKUP($D85,'7. PGE_Efficacité'!$A$6:$CY$266,(MATCH('4.5 ACE MAX WOL '!AI$4,'7. PGE_Efficacité'!$A$4:$AO$4,0)+62),0)</f>
        <v>0</v>
      </c>
      <c r="AJ85" s="235">
        <f>VLOOKUP($D85,'7. PGE_Efficacité'!$A$6:$CY$266,(MATCH('4.5 ACE MAX WOL '!AJ$4,'7. PGE_Efficacité'!$A$4:$AO$4,0)+62),0)</f>
        <v>0</v>
      </c>
      <c r="AK85" s="235">
        <f>VLOOKUP($D85,'7. PGE_Efficacité'!$A$6:$CY$266,(MATCH('4.5 ACE MAX WOL '!AK$4,'7. PGE_Efficacité'!$A$4:$AO$4,0)+62),0)</f>
        <v>0</v>
      </c>
      <c r="AL85" s="235">
        <f>VLOOKUP($D85,'7. PGE_Efficacité'!$A$6:$CY$266,(MATCH('4.5 ACE MAX WOL '!AL$4,'7. PGE_Efficacité'!$A$4:$AO$4,0)+62),0)</f>
        <v>0</v>
      </c>
      <c r="AM85" s="235">
        <f>VLOOKUP($D85,'7. PGE_Efficacité'!$A$6:$CY$266,(MATCH('4.5 ACE MAX WOL '!AM$4,'7. PGE_Efficacité'!$A$4:$AO$4,0)+62),0)</f>
        <v>0</v>
      </c>
      <c r="AN85" s="235">
        <f>VLOOKUP($D85,'7. PGE_Efficacité'!$A$6:$CY$266,(MATCH('4.5 ACE MAX WOL '!AN$4,'7. PGE_Efficacité'!$A$4:$AO$4,0)+62),0)</f>
        <v>0</v>
      </c>
    </row>
    <row r="86" spans="1:40" hidden="1" outlineLevel="2" x14ac:dyDescent="0.25">
      <c r="A86" s="48" t="s">
        <v>1524</v>
      </c>
      <c r="B86" s="49">
        <v>21</v>
      </c>
      <c r="C86" s="48" t="s">
        <v>1524</v>
      </c>
      <c r="D86" s="199" t="s">
        <v>21</v>
      </c>
      <c r="E86" s="200" t="s">
        <v>728</v>
      </c>
      <c r="F86" s="200" t="s">
        <v>1386</v>
      </c>
      <c r="G86" s="201" t="s">
        <v>1521</v>
      </c>
      <c r="H86" s="200" t="s">
        <v>1290</v>
      </c>
      <c r="I86" s="202"/>
      <c r="J86" s="139">
        <f>VLOOKUP($E86,'7. PGE_Efficacité'!$A$6:$CY$266,(MATCH('4.5 ACE MAX WOL '!J$4,'7. PGE_Efficacité'!$A$4:$AO$4,0)+62),0)</f>
        <v>0</v>
      </c>
      <c r="K86" s="139">
        <f>VLOOKUP($E86,'7. PGE_Efficacité'!$A$6:$CY$266,(MATCH('4.5 ACE MAX WOL '!K$4,'7. PGE_Efficacité'!$A$4:$AO$4,0)+62),0)</f>
        <v>0</v>
      </c>
      <c r="L86" s="139">
        <f>VLOOKUP($E86,'7. PGE_Efficacité'!$A$6:$CY$266,(MATCH('4.5 ACE MAX WOL '!L$4,'7. PGE_Efficacité'!$A$4:$AO$4,0)+62),0)</f>
        <v>0</v>
      </c>
      <c r="M86" s="139">
        <f>VLOOKUP($E86,'7. PGE_Efficacité'!$A$6:$CY$266,(MATCH('4.5 ACE MAX WOL '!M$4,'7. PGE_Efficacité'!$A$4:$AO$4,0)+62),0)</f>
        <v>0</v>
      </c>
      <c r="N86" s="139">
        <f>VLOOKUP($E86,'7. PGE_Efficacité'!$A$6:$CY$266,(MATCH('4.5 ACE MAX WOL '!N$4,'7. PGE_Efficacité'!$A$4:$AO$4,0)+62),0)</f>
        <v>0</v>
      </c>
      <c r="O86" s="139">
        <f>VLOOKUP($E86,'7. PGE_Efficacité'!$A$6:$CY$266,78,0)</f>
        <v>0</v>
      </c>
      <c r="P86" s="139">
        <f>VLOOKUP($E86,'7. PGE_Efficacité'!$A$6:$CY$266,(MATCH('4.5 ACE MAX WOL '!P$4,'7. PGE_Efficacité'!$A$4:$AO$4,0)+62),0)</f>
        <v>0</v>
      </c>
      <c r="Q86" s="139">
        <f>VLOOKUP($E86,'7. PGE_Efficacité'!$A$6:$CY$266,(MATCH('4.5 ACE MAX WOL '!Q$4,'7. PGE_Efficacité'!$A$4:$AO$4,0)+62),0)</f>
        <v>0</v>
      </c>
      <c r="R86" s="139">
        <f>VLOOKUP($E86,'7. PGE_Efficacité'!$A$6:$CY$266,(MATCH('4.5 ACE MAX WOL '!R$4,'7. PGE_Efficacité'!$A$4:$AO$4,0)+62),0)</f>
        <v>0</v>
      </c>
      <c r="S86" s="139">
        <f>VLOOKUP($E86,'7. PGE_Efficacité'!$A$6:$CY$266,(MATCH('4.5 ACE MAX WOL '!S$4,'7. PGE_Efficacité'!$A$4:$AO$4,0)+62),0)</f>
        <v>0</v>
      </c>
      <c r="T86" s="139">
        <f>VLOOKUP($E86,'7. PGE_Efficacité'!$A$6:$CY$266,(MATCH('4.5 ACE MAX WOL '!T$4,'7. PGE_Efficacité'!$A$4:$AO$4,0)+62),0)</f>
        <v>0</v>
      </c>
      <c r="U86" s="139">
        <f>VLOOKUP($E86,'7. PGE_Efficacité'!$A$6:$CY$266,(MATCH('4.5 ACE MAX WOL '!U$4,'7. PGE_Efficacité'!$A$4:$AO$4,0)+62),0)</f>
        <v>0</v>
      </c>
      <c r="V86" s="139">
        <f>VLOOKUP($E86,'7. PGE_Efficacité'!$A$6:$CY$266,(MATCH('4.5 ACE MAX WOL '!V$4,'7. PGE_Efficacité'!$A$4:$AO$4,0)+62),0)</f>
        <v>0</v>
      </c>
      <c r="W86" s="139">
        <f>VLOOKUP($E86,'7. PGE_Efficacité'!$A$6:$CY$266,(MATCH('4.5 ACE MAX WOL '!W$4,'7. PGE_Efficacité'!$A$4:$AO$4,0)+62),0)</f>
        <v>0</v>
      </c>
      <c r="X86" s="139">
        <f>VLOOKUP($E86,'7. PGE_Efficacité'!$A$6:$CY$266,(MATCH('4.5 ACE MAX WOL '!X$4,'7. PGE_Efficacité'!$A$4:$AO$4,0)+62),0)</f>
        <v>0</v>
      </c>
      <c r="Y86" s="139">
        <f>VLOOKUP($E86,'7. PGE_Efficacité'!$A$6:$CY$266,(MATCH('4.5 ACE MAX WOL '!Y$4,'7. PGE_Efficacité'!$A$4:$AO$4,0)+62),0)</f>
        <v>0</v>
      </c>
      <c r="Z86" s="139">
        <f>VLOOKUP($E86,'7. PGE_Efficacité'!$A$6:$CY$266,(MATCH('4.5 ACE MAX WOL '!Z$4,'7. PGE_Efficacité'!$A$4:$AO$4,0)+62),0)</f>
        <v>0</v>
      </c>
      <c r="AA86" s="139">
        <f>VLOOKUP($E86,'7. PGE_Efficacité'!$A$6:$CY$266,(MATCH('4.5 ACE MAX WOL '!AA$4,'7. PGE_Efficacité'!$A$4:$AO$4,0)+62),0)</f>
        <v>0</v>
      </c>
      <c r="AB86" s="139">
        <f>VLOOKUP($E86,'7. PGE_Efficacité'!$A$6:$CY$266,(MATCH('4.5 ACE MAX WOL '!AB$4,'7. PGE_Efficacité'!$A$4:$AO$4,0)+62),0)</f>
        <v>0</v>
      </c>
      <c r="AC86" s="139">
        <f>VLOOKUP($E86,'7. PGE_Efficacité'!$A$6:$CY$266,(MATCH('4.5 ACE MAX WOL '!AC$4,'7. PGE_Efficacité'!$A$4:$AO$4,0)+62),0)</f>
        <v>0</v>
      </c>
      <c r="AD86" s="139">
        <f>VLOOKUP($E86,'7. PGE_Efficacité'!$A$6:$CY$266,(MATCH('4.5 ACE MAX WOL '!AD$4,'7. PGE_Efficacité'!$A$4:$AO$4,0)+62),0)</f>
        <v>0</v>
      </c>
      <c r="AE86" s="139">
        <f>VLOOKUP($E86,'7. PGE_Efficacité'!$A$6:$CY$266,(MATCH('4.5 ACE MAX WOL '!AE$4,'7. PGE_Efficacité'!$A$4:$AO$4,0)+62),0)</f>
        <v>0</v>
      </c>
      <c r="AF86" s="139">
        <f>VLOOKUP($E86,'7. PGE_Efficacité'!$A$6:$CY$266,(MATCH('4.5 ACE MAX WOL '!AF$4,'7. PGE_Efficacité'!$A$4:$AO$4,0)+62),0)</f>
        <v>0</v>
      </c>
      <c r="AG86" s="139">
        <f>VLOOKUP($E86,'7. PGE_Efficacité'!$A$6:$CY$266,(MATCH('4.5 ACE MAX WOL '!AG$4,'7. PGE_Efficacité'!$A$4:$AO$4,0)+62),0)</f>
        <v>0</v>
      </c>
      <c r="AH86" s="139">
        <f>VLOOKUP($E86,'7. PGE_Efficacité'!$A$6:$CY$266,(MATCH('4.5 ACE MAX WOL '!AH$4,'7. PGE_Efficacité'!$A$4:$AO$4,0)+62),0)</f>
        <v>0</v>
      </c>
      <c r="AI86" s="139">
        <f>VLOOKUP($E86,'7. PGE_Efficacité'!$A$6:$CY$266,(MATCH('4.5 ACE MAX WOL '!AI$4,'7. PGE_Efficacité'!$A$4:$AO$4,0)+62),0)</f>
        <v>0</v>
      </c>
      <c r="AJ86" s="139">
        <f>VLOOKUP($E86,'7. PGE_Efficacité'!$A$6:$CY$266,(MATCH('4.5 ACE MAX WOL '!AJ$4,'7. PGE_Efficacité'!$A$4:$AO$4,0)+62),0)</f>
        <v>0</v>
      </c>
      <c r="AK86" s="139">
        <f>VLOOKUP($E86,'7. PGE_Efficacité'!$A$6:$CY$266,(MATCH('4.5 ACE MAX WOL '!AK$4,'7. PGE_Efficacité'!$A$4:$AO$4,0)+62),0)</f>
        <v>0</v>
      </c>
      <c r="AL86" s="139">
        <f>VLOOKUP($E86,'7. PGE_Efficacité'!$A$6:$CY$266,(MATCH('4.5 ACE MAX WOL '!AL$4,'7. PGE_Efficacité'!$A$4:$AO$4,0)+62),0)</f>
        <v>0</v>
      </c>
      <c r="AM86" s="139">
        <f>VLOOKUP($E86,'7. PGE_Efficacité'!$A$6:$CY$266,(MATCH('4.5 ACE MAX WOL '!AM$4,'7. PGE_Efficacité'!$A$4:$AO$4,0)+62),0)</f>
        <v>0</v>
      </c>
      <c r="AN86" s="139">
        <f>VLOOKUP($E86,'7. PGE_Efficacité'!$A$6:$CY$266,(MATCH('4.5 ACE MAX WOL '!AN$4,'7. PGE_Efficacité'!$A$4:$AO$4,0)+62),0)</f>
        <v>0</v>
      </c>
    </row>
    <row r="87" spans="1:40" hidden="1" outlineLevel="2" x14ac:dyDescent="0.25">
      <c r="A87" s="48" t="s">
        <v>1524</v>
      </c>
      <c r="B87" s="49">
        <v>21</v>
      </c>
      <c r="C87" s="48" t="s">
        <v>1525</v>
      </c>
      <c r="D87" s="199" t="s">
        <v>21</v>
      </c>
      <c r="E87" s="200" t="s">
        <v>730</v>
      </c>
      <c r="F87" s="200" t="s">
        <v>1388</v>
      </c>
      <c r="G87" s="201" t="s">
        <v>1521</v>
      </c>
      <c r="H87" s="200" t="s">
        <v>1290</v>
      </c>
      <c r="I87" s="202"/>
      <c r="J87" s="139">
        <f>VLOOKUP($E87,'7. PGE_Efficacité'!$A$6:$CY$266,(MATCH('4.5 ACE MAX WOL '!J$4,'7. PGE_Efficacité'!$A$4:$AO$4,0)+62),0)</f>
        <v>0</v>
      </c>
      <c r="K87" s="139">
        <f>VLOOKUP($E87,'7. PGE_Efficacité'!$A$6:$CY$266,(MATCH('4.5 ACE MAX WOL '!K$4,'7. PGE_Efficacité'!$A$4:$AO$4,0)+62),0)</f>
        <v>0</v>
      </c>
      <c r="L87" s="139">
        <f>VLOOKUP($E87,'7. PGE_Efficacité'!$A$6:$CY$266,(MATCH('4.5 ACE MAX WOL '!L$4,'7. PGE_Efficacité'!$A$4:$AO$4,0)+62),0)</f>
        <v>0</v>
      </c>
      <c r="M87" s="139">
        <f>VLOOKUP($E87,'7. PGE_Efficacité'!$A$6:$CY$266,(MATCH('4.5 ACE MAX WOL '!M$4,'7. PGE_Efficacité'!$A$4:$AO$4,0)+62),0)</f>
        <v>0</v>
      </c>
      <c r="N87" s="139">
        <f>VLOOKUP($E87,'7. PGE_Efficacité'!$A$6:$CY$266,(MATCH('4.5 ACE MAX WOL '!N$4,'7. PGE_Efficacité'!$A$4:$AO$4,0)+62),0)</f>
        <v>0</v>
      </c>
      <c r="O87" s="139">
        <f>VLOOKUP($E87,'7. PGE_Efficacité'!$A$6:$CY$266,78,0)</f>
        <v>0</v>
      </c>
      <c r="P87" s="139">
        <f>VLOOKUP($E87,'7. PGE_Efficacité'!$A$6:$CY$266,(MATCH('4.5 ACE MAX WOL '!P$4,'7. PGE_Efficacité'!$A$4:$AO$4,0)+62),0)</f>
        <v>0</v>
      </c>
      <c r="Q87" s="139">
        <f>VLOOKUP($E87,'7. PGE_Efficacité'!$A$6:$CY$266,(MATCH('4.5 ACE MAX WOL '!Q$4,'7. PGE_Efficacité'!$A$4:$AO$4,0)+62),0)</f>
        <v>0</v>
      </c>
      <c r="R87" s="139">
        <f>VLOOKUP($E87,'7. PGE_Efficacité'!$A$6:$CY$266,(MATCH('4.5 ACE MAX WOL '!R$4,'7. PGE_Efficacité'!$A$4:$AO$4,0)+62),0)</f>
        <v>0</v>
      </c>
      <c r="S87" s="139">
        <f>VLOOKUP($E87,'7. PGE_Efficacité'!$A$6:$CY$266,(MATCH('4.5 ACE MAX WOL '!S$4,'7. PGE_Efficacité'!$A$4:$AO$4,0)+62),0)</f>
        <v>0</v>
      </c>
      <c r="T87" s="139">
        <f>VLOOKUP($E87,'7. PGE_Efficacité'!$A$6:$CY$266,(MATCH('4.5 ACE MAX WOL '!T$4,'7. PGE_Efficacité'!$A$4:$AO$4,0)+62),0)</f>
        <v>0</v>
      </c>
      <c r="U87" s="139">
        <f>VLOOKUP($E87,'7. PGE_Efficacité'!$A$6:$CY$266,(MATCH('4.5 ACE MAX WOL '!U$4,'7. PGE_Efficacité'!$A$4:$AO$4,0)+62),0)</f>
        <v>0</v>
      </c>
      <c r="V87" s="139">
        <f>VLOOKUP($E87,'7. PGE_Efficacité'!$A$6:$CY$266,(MATCH('4.5 ACE MAX WOL '!V$4,'7. PGE_Efficacité'!$A$4:$AO$4,0)+62),0)</f>
        <v>0</v>
      </c>
      <c r="W87" s="139">
        <f>VLOOKUP($E87,'7. PGE_Efficacité'!$A$6:$CY$266,(MATCH('4.5 ACE MAX WOL '!W$4,'7. PGE_Efficacité'!$A$4:$AO$4,0)+62),0)</f>
        <v>0</v>
      </c>
      <c r="X87" s="139">
        <f>VLOOKUP($E87,'7. PGE_Efficacité'!$A$6:$CY$266,(MATCH('4.5 ACE MAX WOL '!X$4,'7. PGE_Efficacité'!$A$4:$AO$4,0)+62),0)</f>
        <v>0</v>
      </c>
      <c r="Y87" s="139">
        <f>VLOOKUP($E87,'7. PGE_Efficacité'!$A$6:$CY$266,(MATCH('4.5 ACE MAX WOL '!Y$4,'7. PGE_Efficacité'!$A$4:$AO$4,0)+62),0)</f>
        <v>0</v>
      </c>
      <c r="Z87" s="139">
        <f>VLOOKUP($E87,'7. PGE_Efficacité'!$A$6:$CY$266,(MATCH('4.5 ACE MAX WOL '!Z$4,'7. PGE_Efficacité'!$A$4:$AO$4,0)+62),0)</f>
        <v>0</v>
      </c>
      <c r="AA87" s="139">
        <f>VLOOKUP($E87,'7. PGE_Efficacité'!$A$6:$CY$266,(MATCH('4.5 ACE MAX WOL '!AA$4,'7. PGE_Efficacité'!$A$4:$AO$4,0)+62),0)</f>
        <v>0</v>
      </c>
      <c r="AB87" s="139">
        <f>VLOOKUP($E87,'7. PGE_Efficacité'!$A$6:$CY$266,(MATCH('4.5 ACE MAX WOL '!AB$4,'7. PGE_Efficacité'!$A$4:$AO$4,0)+62),0)</f>
        <v>0</v>
      </c>
      <c r="AC87" s="139">
        <f>VLOOKUP($E87,'7. PGE_Efficacité'!$A$6:$CY$266,(MATCH('4.5 ACE MAX WOL '!AC$4,'7. PGE_Efficacité'!$A$4:$AO$4,0)+62),0)</f>
        <v>0</v>
      </c>
      <c r="AD87" s="139">
        <f>VLOOKUP($E87,'7. PGE_Efficacité'!$A$6:$CY$266,(MATCH('4.5 ACE MAX WOL '!AD$4,'7. PGE_Efficacité'!$A$4:$AO$4,0)+62),0)</f>
        <v>0</v>
      </c>
      <c r="AE87" s="139">
        <f>VLOOKUP($E87,'7. PGE_Efficacité'!$A$6:$CY$266,(MATCH('4.5 ACE MAX WOL '!AE$4,'7. PGE_Efficacité'!$A$4:$AO$4,0)+62),0)</f>
        <v>0</v>
      </c>
      <c r="AF87" s="139">
        <f>VLOOKUP($E87,'7. PGE_Efficacité'!$A$6:$CY$266,(MATCH('4.5 ACE MAX WOL '!AF$4,'7. PGE_Efficacité'!$A$4:$AO$4,0)+62),0)</f>
        <v>0</v>
      </c>
      <c r="AG87" s="139">
        <f>VLOOKUP($E87,'7. PGE_Efficacité'!$A$6:$CY$266,(MATCH('4.5 ACE MAX WOL '!AG$4,'7. PGE_Efficacité'!$A$4:$AO$4,0)+62),0)</f>
        <v>0</v>
      </c>
      <c r="AH87" s="139">
        <f>VLOOKUP($E87,'7. PGE_Efficacité'!$A$6:$CY$266,(MATCH('4.5 ACE MAX WOL '!AH$4,'7. PGE_Efficacité'!$A$4:$AO$4,0)+62),0)</f>
        <v>0</v>
      </c>
      <c r="AI87" s="139">
        <f>VLOOKUP($E87,'7. PGE_Efficacité'!$A$6:$CY$266,(MATCH('4.5 ACE MAX WOL '!AI$4,'7. PGE_Efficacité'!$A$4:$AO$4,0)+62),0)</f>
        <v>0</v>
      </c>
      <c r="AJ87" s="139">
        <f>VLOOKUP($E87,'7. PGE_Efficacité'!$A$6:$CY$266,(MATCH('4.5 ACE MAX WOL '!AJ$4,'7. PGE_Efficacité'!$A$4:$AO$4,0)+62),0)</f>
        <v>0</v>
      </c>
      <c r="AK87" s="139">
        <f>VLOOKUP($E87,'7. PGE_Efficacité'!$A$6:$CY$266,(MATCH('4.5 ACE MAX WOL '!AK$4,'7. PGE_Efficacité'!$A$4:$AO$4,0)+62),0)</f>
        <v>0</v>
      </c>
      <c r="AL87" s="139">
        <f>VLOOKUP($E87,'7. PGE_Efficacité'!$A$6:$CY$266,(MATCH('4.5 ACE MAX WOL '!AL$4,'7. PGE_Efficacité'!$A$4:$AO$4,0)+62),0)</f>
        <v>0</v>
      </c>
      <c r="AM87" s="139">
        <f>VLOOKUP($E87,'7. PGE_Efficacité'!$A$6:$CY$266,(MATCH('4.5 ACE MAX WOL '!AM$4,'7. PGE_Efficacité'!$A$4:$AO$4,0)+62),0)</f>
        <v>0</v>
      </c>
      <c r="AN87" s="139">
        <f>VLOOKUP($E87,'7. PGE_Efficacité'!$A$6:$CY$266,(MATCH('4.5 ACE MAX WOL '!AN$4,'7. PGE_Efficacité'!$A$4:$AO$4,0)+62),0)</f>
        <v>0</v>
      </c>
    </row>
    <row r="88" spans="1:40" hidden="1" outlineLevel="2" x14ac:dyDescent="0.25">
      <c r="A88" s="48" t="s">
        <v>1524</v>
      </c>
      <c r="B88" s="49">
        <v>21</v>
      </c>
      <c r="C88" s="48" t="s">
        <v>1526</v>
      </c>
      <c r="D88" s="199" t="s">
        <v>21</v>
      </c>
      <c r="E88" s="200" t="s">
        <v>731</v>
      </c>
      <c r="F88" s="200" t="s">
        <v>1389</v>
      </c>
      <c r="G88" s="201" t="s">
        <v>1521</v>
      </c>
      <c r="H88" s="200" t="s">
        <v>1290</v>
      </c>
      <c r="I88" s="202"/>
      <c r="J88" s="139">
        <f>VLOOKUP($E88,'7. PGE_Efficacité'!$A$6:$CY$266,(MATCH('4.5 ACE MAX WOL '!J$4,'7. PGE_Efficacité'!$A$4:$AO$4,0)+62),0)</f>
        <v>0</v>
      </c>
      <c r="K88" s="139">
        <f>VLOOKUP($E88,'7. PGE_Efficacité'!$A$6:$CY$266,(MATCH('4.5 ACE MAX WOL '!K$4,'7. PGE_Efficacité'!$A$4:$AO$4,0)+62),0)</f>
        <v>0</v>
      </c>
      <c r="L88" s="139">
        <f>VLOOKUP($E88,'7. PGE_Efficacité'!$A$6:$CY$266,(MATCH('4.5 ACE MAX WOL '!L$4,'7. PGE_Efficacité'!$A$4:$AO$4,0)+62),0)</f>
        <v>0</v>
      </c>
      <c r="M88" s="139">
        <f>VLOOKUP($E88,'7. PGE_Efficacité'!$A$6:$CY$266,(MATCH('4.5 ACE MAX WOL '!M$4,'7. PGE_Efficacité'!$A$4:$AO$4,0)+62),0)</f>
        <v>0</v>
      </c>
      <c r="N88" s="139">
        <f>VLOOKUP($E88,'7. PGE_Efficacité'!$A$6:$CY$266,(MATCH('4.5 ACE MAX WOL '!N$4,'7. PGE_Efficacité'!$A$4:$AO$4,0)+62),0)</f>
        <v>0</v>
      </c>
      <c r="O88" s="139">
        <f>VLOOKUP($E88,'7. PGE_Efficacité'!$A$6:$CY$266,78,0)</f>
        <v>0</v>
      </c>
      <c r="P88" s="139">
        <f>VLOOKUP($E88,'7. PGE_Efficacité'!$A$6:$CY$266,(MATCH('4.5 ACE MAX WOL '!P$4,'7. PGE_Efficacité'!$A$4:$AO$4,0)+62),0)</f>
        <v>0</v>
      </c>
      <c r="Q88" s="139">
        <f>VLOOKUP($E88,'7. PGE_Efficacité'!$A$6:$CY$266,(MATCH('4.5 ACE MAX WOL '!Q$4,'7. PGE_Efficacité'!$A$4:$AO$4,0)+62),0)</f>
        <v>0</v>
      </c>
      <c r="R88" s="139">
        <f>VLOOKUP($E88,'7. PGE_Efficacité'!$A$6:$CY$266,(MATCH('4.5 ACE MAX WOL '!R$4,'7. PGE_Efficacité'!$A$4:$AO$4,0)+62),0)</f>
        <v>0</v>
      </c>
      <c r="S88" s="139">
        <f>VLOOKUP($E88,'7. PGE_Efficacité'!$A$6:$CY$266,(MATCH('4.5 ACE MAX WOL '!S$4,'7. PGE_Efficacité'!$A$4:$AO$4,0)+62),0)</f>
        <v>0</v>
      </c>
      <c r="T88" s="139">
        <f>VLOOKUP($E88,'7. PGE_Efficacité'!$A$6:$CY$266,(MATCH('4.5 ACE MAX WOL '!T$4,'7. PGE_Efficacité'!$A$4:$AO$4,0)+62),0)</f>
        <v>0</v>
      </c>
      <c r="U88" s="139">
        <f>VLOOKUP($E88,'7. PGE_Efficacité'!$A$6:$CY$266,(MATCH('4.5 ACE MAX WOL '!U$4,'7. PGE_Efficacité'!$A$4:$AO$4,0)+62),0)</f>
        <v>0</v>
      </c>
      <c r="V88" s="139">
        <f>VLOOKUP($E88,'7. PGE_Efficacité'!$A$6:$CY$266,(MATCH('4.5 ACE MAX WOL '!V$4,'7. PGE_Efficacité'!$A$4:$AO$4,0)+62),0)</f>
        <v>0</v>
      </c>
      <c r="W88" s="139">
        <f>VLOOKUP($E88,'7. PGE_Efficacité'!$A$6:$CY$266,(MATCH('4.5 ACE MAX WOL '!W$4,'7. PGE_Efficacité'!$A$4:$AO$4,0)+62),0)</f>
        <v>0</v>
      </c>
      <c r="X88" s="139">
        <f>VLOOKUP($E88,'7. PGE_Efficacité'!$A$6:$CY$266,(MATCH('4.5 ACE MAX WOL '!X$4,'7. PGE_Efficacité'!$A$4:$AO$4,0)+62),0)</f>
        <v>0</v>
      </c>
      <c r="Y88" s="139">
        <f>VLOOKUP($E88,'7. PGE_Efficacité'!$A$6:$CY$266,(MATCH('4.5 ACE MAX WOL '!Y$4,'7. PGE_Efficacité'!$A$4:$AO$4,0)+62),0)</f>
        <v>0</v>
      </c>
      <c r="Z88" s="139">
        <f>VLOOKUP($E88,'7. PGE_Efficacité'!$A$6:$CY$266,(MATCH('4.5 ACE MAX WOL '!Z$4,'7. PGE_Efficacité'!$A$4:$AO$4,0)+62),0)</f>
        <v>0</v>
      </c>
      <c r="AA88" s="139">
        <f>VLOOKUP($E88,'7. PGE_Efficacité'!$A$6:$CY$266,(MATCH('4.5 ACE MAX WOL '!AA$4,'7. PGE_Efficacité'!$A$4:$AO$4,0)+62),0)</f>
        <v>0</v>
      </c>
      <c r="AB88" s="139">
        <f>VLOOKUP($E88,'7. PGE_Efficacité'!$A$6:$CY$266,(MATCH('4.5 ACE MAX WOL '!AB$4,'7. PGE_Efficacité'!$A$4:$AO$4,0)+62),0)</f>
        <v>0</v>
      </c>
      <c r="AC88" s="139">
        <f>VLOOKUP($E88,'7. PGE_Efficacité'!$A$6:$CY$266,(MATCH('4.5 ACE MAX WOL '!AC$4,'7. PGE_Efficacité'!$A$4:$AO$4,0)+62),0)</f>
        <v>0</v>
      </c>
      <c r="AD88" s="139">
        <f>VLOOKUP($E88,'7. PGE_Efficacité'!$A$6:$CY$266,(MATCH('4.5 ACE MAX WOL '!AD$4,'7. PGE_Efficacité'!$A$4:$AO$4,0)+62),0)</f>
        <v>0</v>
      </c>
      <c r="AE88" s="139">
        <f>VLOOKUP($E88,'7. PGE_Efficacité'!$A$6:$CY$266,(MATCH('4.5 ACE MAX WOL '!AE$4,'7. PGE_Efficacité'!$A$4:$AO$4,0)+62),0)</f>
        <v>0</v>
      </c>
      <c r="AF88" s="139">
        <f>VLOOKUP($E88,'7. PGE_Efficacité'!$A$6:$CY$266,(MATCH('4.5 ACE MAX WOL '!AF$4,'7. PGE_Efficacité'!$A$4:$AO$4,0)+62),0)</f>
        <v>0</v>
      </c>
      <c r="AG88" s="139">
        <f>VLOOKUP($E88,'7. PGE_Efficacité'!$A$6:$CY$266,(MATCH('4.5 ACE MAX WOL '!AG$4,'7. PGE_Efficacité'!$A$4:$AO$4,0)+62),0)</f>
        <v>0</v>
      </c>
      <c r="AH88" s="139">
        <f>VLOOKUP($E88,'7. PGE_Efficacité'!$A$6:$CY$266,(MATCH('4.5 ACE MAX WOL '!AH$4,'7. PGE_Efficacité'!$A$4:$AO$4,0)+62),0)</f>
        <v>0</v>
      </c>
      <c r="AI88" s="139">
        <f>VLOOKUP($E88,'7. PGE_Efficacité'!$A$6:$CY$266,(MATCH('4.5 ACE MAX WOL '!AI$4,'7. PGE_Efficacité'!$A$4:$AO$4,0)+62),0)</f>
        <v>0</v>
      </c>
      <c r="AJ88" s="139">
        <f>VLOOKUP($E88,'7. PGE_Efficacité'!$A$6:$CY$266,(MATCH('4.5 ACE MAX WOL '!AJ$4,'7. PGE_Efficacité'!$A$4:$AO$4,0)+62),0)</f>
        <v>0</v>
      </c>
      <c r="AK88" s="139">
        <f>VLOOKUP($E88,'7. PGE_Efficacité'!$A$6:$CY$266,(MATCH('4.5 ACE MAX WOL '!AK$4,'7. PGE_Efficacité'!$A$4:$AO$4,0)+62),0)</f>
        <v>0</v>
      </c>
      <c r="AL88" s="139">
        <f>VLOOKUP($E88,'7. PGE_Efficacité'!$A$6:$CY$266,(MATCH('4.5 ACE MAX WOL '!AL$4,'7. PGE_Efficacité'!$A$4:$AO$4,0)+62),0)</f>
        <v>0</v>
      </c>
      <c r="AM88" s="139">
        <f>VLOOKUP($E88,'7. PGE_Efficacité'!$A$6:$CY$266,(MATCH('4.5 ACE MAX WOL '!AM$4,'7. PGE_Efficacité'!$A$4:$AO$4,0)+62),0)</f>
        <v>0</v>
      </c>
      <c r="AN88" s="139">
        <f>VLOOKUP($E88,'7. PGE_Efficacité'!$A$6:$CY$266,(MATCH('4.5 ACE MAX WOL '!AN$4,'7. PGE_Efficacité'!$A$4:$AO$4,0)+62),0)</f>
        <v>0</v>
      </c>
    </row>
    <row r="89" spans="1:40" hidden="1" outlineLevel="2" x14ac:dyDescent="0.25">
      <c r="A89" s="48" t="s">
        <v>1524</v>
      </c>
      <c r="B89" s="49">
        <v>21</v>
      </c>
      <c r="C89" s="48" t="s">
        <v>1527</v>
      </c>
      <c r="D89" s="199" t="s">
        <v>21</v>
      </c>
      <c r="E89" s="200" t="s">
        <v>732</v>
      </c>
      <c r="F89" s="200" t="s">
        <v>1390</v>
      </c>
      <c r="G89" s="201" t="s">
        <v>1521</v>
      </c>
      <c r="H89" s="200" t="s">
        <v>1290</v>
      </c>
      <c r="I89" s="202"/>
      <c r="J89" s="139">
        <f>VLOOKUP($E89,'7. PGE_Efficacité'!$A$6:$CY$266,(MATCH('4.5 ACE MAX WOL '!J$4,'7. PGE_Efficacité'!$A$4:$AO$4,0)+62),0)</f>
        <v>0</v>
      </c>
      <c r="K89" s="139">
        <f>VLOOKUP($E89,'7. PGE_Efficacité'!$A$6:$CY$266,(MATCH('4.5 ACE MAX WOL '!K$4,'7. PGE_Efficacité'!$A$4:$AO$4,0)+62),0)</f>
        <v>0</v>
      </c>
      <c r="L89" s="139">
        <f>VLOOKUP($E89,'7. PGE_Efficacité'!$A$6:$CY$266,(MATCH('4.5 ACE MAX WOL '!L$4,'7. PGE_Efficacité'!$A$4:$AO$4,0)+62),0)</f>
        <v>0</v>
      </c>
      <c r="M89" s="139">
        <f>VLOOKUP($E89,'7. PGE_Efficacité'!$A$6:$CY$266,(MATCH('4.5 ACE MAX WOL '!M$4,'7. PGE_Efficacité'!$A$4:$AO$4,0)+62),0)</f>
        <v>0</v>
      </c>
      <c r="N89" s="139">
        <f>VLOOKUP($E89,'7. PGE_Efficacité'!$A$6:$CY$266,(MATCH('4.5 ACE MAX WOL '!N$4,'7. PGE_Efficacité'!$A$4:$AO$4,0)+62),0)</f>
        <v>0</v>
      </c>
      <c r="O89" s="139">
        <f>VLOOKUP($E89,'7. PGE_Efficacité'!$A$6:$CY$266,78,0)</f>
        <v>0</v>
      </c>
      <c r="P89" s="139">
        <f>VLOOKUP($E89,'7. PGE_Efficacité'!$A$6:$CY$266,(MATCH('4.5 ACE MAX WOL '!P$4,'7. PGE_Efficacité'!$A$4:$AO$4,0)+62),0)</f>
        <v>0</v>
      </c>
      <c r="Q89" s="139">
        <f>VLOOKUP($E89,'7. PGE_Efficacité'!$A$6:$CY$266,(MATCH('4.5 ACE MAX WOL '!Q$4,'7. PGE_Efficacité'!$A$4:$AO$4,0)+62),0)</f>
        <v>0</v>
      </c>
      <c r="R89" s="139">
        <f>VLOOKUP($E89,'7. PGE_Efficacité'!$A$6:$CY$266,(MATCH('4.5 ACE MAX WOL '!R$4,'7. PGE_Efficacité'!$A$4:$AO$4,0)+62),0)</f>
        <v>0</v>
      </c>
      <c r="S89" s="139">
        <f>VLOOKUP($E89,'7. PGE_Efficacité'!$A$6:$CY$266,(MATCH('4.5 ACE MAX WOL '!S$4,'7. PGE_Efficacité'!$A$4:$AO$4,0)+62),0)</f>
        <v>0</v>
      </c>
      <c r="T89" s="139">
        <f>VLOOKUP($E89,'7. PGE_Efficacité'!$A$6:$CY$266,(MATCH('4.5 ACE MAX WOL '!T$4,'7. PGE_Efficacité'!$A$4:$AO$4,0)+62),0)</f>
        <v>0</v>
      </c>
      <c r="U89" s="139">
        <f>VLOOKUP($E89,'7. PGE_Efficacité'!$A$6:$CY$266,(MATCH('4.5 ACE MAX WOL '!U$4,'7. PGE_Efficacité'!$A$4:$AO$4,0)+62),0)</f>
        <v>0</v>
      </c>
      <c r="V89" s="139">
        <f>VLOOKUP($E89,'7. PGE_Efficacité'!$A$6:$CY$266,(MATCH('4.5 ACE MAX WOL '!V$4,'7. PGE_Efficacité'!$A$4:$AO$4,0)+62),0)</f>
        <v>0</v>
      </c>
      <c r="W89" s="139">
        <f>VLOOKUP($E89,'7. PGE_Efficacité'!$A$6:$CY$266,(MATCH('4.5 ACE MAX WOL '!W$4,'7. PGE_Efficacité'!$A$4:$AO$4,0)+62),0)</f>
        <v>0</v>
      </c>
      <c r="X89" s="139">
        <f>VLOOKUP($E89,'7. PGE_Efficacité'!$A$6:$CY$266,(MATCH('4.5 ACE MAX WOL '!X$4,'7. PGE_Efficacité'!$A$4:$AO$4,0)+62),0)</f>
        <v>0</v>
      </c>
      <c r="Y89" s="139">
        <f>VLOOKUP($E89,'7. PGE_Efficacité'!$A$6:$CY$266,(MATCH('4.5 ACE MAX WOL '!Y$4,'7. PGE_Efficacité'!$A$4:$AO$4,0)+62),0)</f>
        <v>0</v>
      </c>
      <c r="Z89" s="139">
        <f>VLOOKUP($E89,'7. PGE_Efficacité'!$A$6:$CY$266,(MATCH('4.5 ACE MAX WOL '!Z$4,'7. PGE_Efficacité'!$A$4:$AO$4,0)+62),0)</f>
        <v>0</v>
      </c>
      <c r="AA89" s="139">
        <f>VLOOKUP($E89,'7. PGE_Efficacité'!$A$6:$CY$266,(MATCH('4.5 ACE MAX WOL '!AA$4,'7. PGE_Efficacité'!$A$4:$AO$4,0)+62),0)</f>
        <v>0</v>
      </c>
      <c r="AB89" s="139">
        <f>VLOOKUP($E89,'7. PGE_Efficacité'!$A$6:$CY$266,(MATCH('4.5 ACE MAX WOL '!AB$4,'7. PGE_Efficacité'!$A$4:$AO$4,0)+62),0)</f>
        <v>0</v>
      </c>
      <c r="AC89" s="139">
        <f>VLOOKUP($E89,'7. PGE_Efficacité'!$A$6:$CY$266,(MATCH('4.5 ACE MAX WOL '!AC$4,'7. PGE_Efficacité'!$A$4:$AO$4,0)+62),0)</f>
        <v>0</v>
      </c>
      <c r="AD89" s="139">
        <f>VLOOKUP($E89,'7. PGE_Efficacité'!$A$6:$CY$266,(MATCH('4.5 ACE MAX WOL '!AD$4,'7. PGE_Efficacité'!$A$4:$AO$4,0)+62),0)</f>
        <v>0</v>
      </c>
      <c r="AE89" s="139">
        <f>VLOOKUP($E89,'7. PGE_Efficacité'!$A$6:$CY$266,(MATCH('4.5 ACE MAX WOL '!AE$4,'7. PGE_Efficacité'!$A$4:$AO$4,0)+62),0)</f>
        <v>0</v>
      </c>
      <c r="AF89" s="139">
        <f>VLOOKUP($E89,'7. PGE_Efficacité'!$A$6:$CY$266,(MATCH('4.5 ACE MAX WOL '!AF$4,'7. PGE_Efficacité'!$A$4:$AO$4,0)+62),0)</f>
        <v>0</v>
      </c>
      <c r="AG89" s="139">
        <f>VLOOKUP($E89,'7. PGE_Efficacité'!$A$6:$CY$266,(MATCH('4.5 ACE MAX WOL '!AG$4,'7. PGE_Efficacité'!$A$4:$AO$4,0)+62),0)</f>
        <v>0</v>
      </c>
      <c r="AH89" s="139">
        <f>VLOOKUP($E89,'7. PGE_Efficacité'!$A$6:$CY$266,(MATCH('4.5 ACE MAX WOL '!AH$4,'7. PGE_Efficacité'!$A$4:$AO$4,0)+62),0)</f>
        <v>0</v>
      </c>
      <c r="AI89" s="139">
        <f>VLOOKUP($E89,'7. PGE_Efficacité'!$A$6:$CY$266,(MATCH('4.5 ACE MAX WOL '!AI$4,'7. PGE_Efficacité'!$A$4:$AO$4,0)+62),0)</f>
        <v>0</v>
      </c>
      <c r="AJ89" s="139">
        <f>VLOOKUP($E89,'7. PGE_Efficacité'!$A$6:$CY$266,(MATCH('4.5 ACE MAX WOL '!AJ$4,'7. PGE_Efficacité'!$A$4:$AO$4,0)+62),0)</f>
        <v>0</v>
      </c>
      <c r="AK89" s="139">
        <f>VLOOKUP($E89,'7. PGE_Efficacité'!$A$6:$CY$266,(MATCH('4.5 ACE MAX WOL '!AK$4,'7. PGE_Efficacité'!$A$4:$AO$4,0)+62),0)</f>
        <v>0</v>
      </c>
      <c r="AL89" s="139">
        <f>VLOOKUP($E89,'7. PGE_Efficacité'!$A$6:$CY$266,(MATCH('4.5 ACE MAX WOL '!AL$4,'7. PGE_Efficacité'!$A$4:$AO$4,0)+62),0)</f>
        <v>0</v>
      </c>
      <c r="AM89" s="139">
        <f>VLOOKUP($E89,'7. PGE_Efficacité'!$A$6:$CY$266,(MATCH('4.5 ACE MAX WOL '!AM$4,'7. PGE_Efficacité'!$A$4:$AO$4,0)+62),0)</f>
        <v>0</v>
      </c>
      <c r="AN89" s="139">
        <f>VLOOKUP($E89,'7. PGE_Efficacité'!$A$6:$CY$266,(MATCH('4.5 ACE MAX WOL '!AN$4,'7. PGE_Efficacité'!$A$4:$AO$4,0)+62),0)</f>
        <v>0</v>
      </c>
    </row>
    <row r="90" spans="1:40" hidden="1" outlineLevel="2" x14ac:dyDescent="0.25">
      <c r="A90" s="48" t="s">
        <v>1524</v>
      </c>
      <c r="B90" s="49">
        <v>21</v>
      </c>
      <c r="C90" s="48" t="s">
        <v>410</v>
      </c>
      <c r="D90" s="199" t="s">
        <v>21</v>
      </c>
      <c r="E90" s="200" t="s">
        <v>733</v>
      </c>
      <c r="F90" s="200" t="s">
        <v>1391</v>
      </c>
      <c r="G90" s="201" t="s">
        <v>1521</v>
      </c>
      <c r="H90" s="200" t="s">
        <v>1290</v>
      </c>
      <c r="I90" s="202"/>
      <c r="J90" s="139">
        <f>VLOOKUP($E90,'7. PGE_Efficacité'!$A$6:$CY$266,(MATCH('4.5 ACE MAX WOL '!J$4,'7. PGE_Efficacité'!$A$4:$AO$4,0)+62),0)</f>
        <v>0</v>
      </c>
      <c r="K90" s="139">
        <f>VLOOKUP($E90,'7. PGE_Efficacité'!$A$6:$CY$266,(MATCH('4.5 ACE MAX WOL '!K$4,'7. PGE_Efficacité'!$A$4:$AO$4,0)+62),0)</f>
        <v>0</v>
      </c>
      <c r="L90" s="139">
        <f>VLOOKUP($E90,'7. PGE_Efficacité'!$A$6:$CY$266,(MATCH('4.5 ACE MAX WOL '!L$4,'7. PGE_Efficacité'!$A$4:$AO$4,0)+62),0)</f>
        <v>0</v>
      </c>
      <c r="M90" s="139">
        <f>VLOOKUP($E90,'7. PGE_Efficacité'!$A$6:$CY$266,(MATCH('4.5 ACE MAX WOL '!M$4,'7. PGE_Efficacité'!$A$4:$AO$4,0)+62),0)</f>
        <v>0</v>
      </c>
      <c r="N90" s="139">
        <f>VLOOKUP($E90,'7. PGE_Efficacité'!$A$6:$CY$266,(MATCH('4.5 ACE MAX WOL '!N$4,'7. PGE_Efficacité'!$A$4:$AO$4,0)+62),0)</f>
        <v>0</v>
      </c>
      <c r="O90" s="139">
        <f>VLOOKUP($E90,'7. PGE_Efficacité'!$A$6:$CY$266,78,0)</f>
        <v>0</v>
      </c>
      <c r="P90" s="139">
        <f>VLOOKUP($E90,'7. PGE_Efficacité'!$A$6:$CY$266,(MATCH('4.5 ACE MAX WOL '!P$4,'7. PGE_Efficacité'!$A$4:$AO$4,0)+62),0)</f>
        <v>0</v>
      </c>
      <c r="Q90" s="139">
        <f>VLOOKUP($E90,'7. PGE_Efficacité'!$A$6:$CY$266,(MATCH('4.5 ACE MAX WOL '!Q$4,'7. PGE_Efficacité'!$A$4:$AO$4,0)+62),0)</f>
        <v>0</v>
      </c>
      <c r="R90" s="139">
        <f>VLOOKUP($E90,'7. PGE_Efficacité'!$A$6:$CY$266,(MATCH('4.5 ACE MAX WOL '!R$4,'7. PGE_Efficacité'!$A$4:$AO$4,0)+62),0)</f>
        <v>0</v>
      </c>
      <c r="S90" s="139">
        <f>VLOOKUP($E90,'7. PGE_Efficacité'!$A$6:$CY$266,(MATCH('4.5 ACE MAX WOL '!S$4,'7. PGE_Efficacité'!$A$4:$AO$4,0)+62),0)</f>
        <v>0</v>
      </c>
      <c r="T90" s="139">
        <f>VLOOKUP($E90,'7. PGE_Efficacité'!$A$6:$CY$266,(MATCH('4.5 ACE MAX WOL '!T$4,'7. PGE_Efficacité'!$A$4:$AO$4,0)+62),0)</f>
        <v>0</v>
      </c>
      <c r="U90" s="139">
        <f>VLOOKUP($E90,'7. PGE_Efficacité'!$A$6:$CY$266,(MATCH('4.5 ACE MAX WOL '!U$4,'7. PGE_Efficacité'!$A$4:$AO$4,0)+62),0)</f>
        <v>0</v>
      </c>
      <c r="V90" s="139">
        <f>VLOOKUP($E90,'7. PGE_Efficacité'!$A$6:$CY$266,(MATCH('4.5 ACE MAX WOL '!V$4,'7. PGE_Efficacité'!$A$4:$AO$4,0)+62),0)</f>
        <v>0</v>
      </c>
      <c r="W90" s="139">
        <f>VLOOKUP($E90,'7. PGE_Efficacité'!$A$6:$CY$266,(MATCH('4.5 ACE MAX WOL '!W$4,'7. PGE_Efficacité'!$A$4:$AO$4,0)+62),0)</f>
        <v>0</v>
      </c>
      <c r="X90" s="139">
        <f>VLOOKUP($E90,'7. PGE_Efficacité'!$A$6:$CY$266,(MATCH('4.5 ACE MAX WOL '!X$4,'7. PGE_Efficacité'!$A$4:$AO$4,0)+62),0)</f>
        <v>0</v>
      </c>
      <c r="Y90" s="139">
        <f>VLOOKUP($E90,'7. PGE_Efficacité'!$A$6:$CY$266,(MATCH('4.5 ACE MAX WOL '!Y$4,'7. PGE_Efficacité'!$A$4:$AO$4,0)+62),0)</f>
        <v>0</v>
      </c>
      <c r="Z90" s="139">
        <f>VLOOKUP($E90,'7. PGE_Efficacité'!$A$6:$CY$266,(MATCH('4.5 ACE MAX WOL '!Z$4,'7. PGE_Efficacité'!$A$4:$AO$4,0)+62),0)</f>
        <v>0</v>
      </c>
      <c r="AA90" s="139">
        <f>VLOOKUP($E90,'7. PGE_Efficacité'!$A$6:$CY$266,(MATCH('4.5 ACE MAX WOL '!AA$4,'7. PGE_Efficacité'!$A$4:$AO$4,0)+62),0)</f>
        <v>0</v>
      </c>
      <c r="AB90" s="139">
        <f>VLOOKUP($E90,'7. PGE_Efficacité'!$A$6:$CY$266,(MATCH('4.5 ACE MAX WOL '!AB$4,'7. PGE_Efficacité'!$A$4:$AO$4,0)+62),0)</f>
        <v>0</v>
      </c>
      <c r="AC90" s="139">
        <f>VLOOKUP($E90,'7. PGE_Efficacité'!$A$6:$CY$266,(MATCH('4.5 ACE MAX WOL '!AC$4,'7. PGE_Efficacité'!$A$4:$AO$4,0)+62),0)</f>
        <v>0</v>
      </c>
      <c r="AD90" s="139">
        <f>VLOOKUP($E90,'7. PGE_Efficacité'!$A$6:$CY$266,(MATCH('4.5 ACE MAX WOL '!AD$4,'7. PGE_Efficacité'!$A$4:$AO$4,0)+62),0)</f>
        <v>0</v>
      </c>
      <c r="AE90" s="139">
        <f>VLOOKUP($E90,'7. PGE_Efficacité'!$A$6:$CY$266,(MATCH('4.5 ACE MAX WOL '!AE$4,'7. PGE_Efficacité'!$A$4:$AO$4,0)+62),0)</f>
        <v>0</v>
      </c>
      <c r="AF90" s="139">
        <f>VLOOKUP($E90,'7. PGE_Efficacité'!$A$6:$CY$266,(MATCH('4.5 ACE MAX WOL '!AF$4,'7. PGE_Efficacité'!$A$4:$AO$4,0)+62),0)</f>
        <v>0</v>
      </c>
      <c r="AG90" s="139">
        <f>VLOOKUP($E90,'7. PGE_Efficacité'!$A$6:$CY$266,(MATCH('4.5 ACE MAX WOL '!AG$4,'7. PGE_Efficacité'!$A$4:$AO$4,0)+62),0)</f>
        <v>0</v>
      </c>
      <c r="AH90" s="139">
        <f>VLOOKUP($E90,'7. PGE_Efficacité'!$A$6:$CY$266,(MATCH('4.5 ACE MAX WOL '!AH$4,'7. PGE_Efficacité'!$A$4:$AO$4,0)+62),0)</f>
        <v>0</v>
      </c>
      <c r="AI90" s="139">
        <f>VLOOKUP($E90,'7. PGE_Efficacité'!$A$6:$CY$266,(MATCH('4.5 ACE MAX WOL '!AI$4,'7. PGE_Efficacité'!$A$4:$AO$4,0)+62),0)</f>
        <v>0</v>
      </c>
      <c r="AJ90" s="139">
        <f>VLOOKUP($E90,'7. PGE_Efficacité'!$A$6:$CY$266,(MATCH('4.5 ACE MAX WOL '!AJ$4,'7. PGE_Efficacité'!$A$4:$AO$4,0)+62),0)</f>
        <v>0</v>
      </c>
      <c r="AK90" s="139">
        <f>VLOOKUP($E90,'7. PGE_Efficacité'!$A$6:$CY$266,(MATCH('4.5 ACE MAX WOL '!AK$4,'7. PGE_Efficacité'!$A$4:$AO$4,0)+62),0)</f>
        <v>0</v>
      </c>
      <c r="AL90" s="139">
        <f>VLOOKUP($E90,'7. PGE_Efficacité'!$A$6:$CY$266,(MATCH('4.5 ACE MAX WOL '!AL$4,'7. PGE_Efficacité'!$A$4:$AO$4,0)+62),0)</f>
        <v>0</v>
      </c>
      <c r="AM90" s="139">
        <f>VLOOKUP($E90,'7. PGE_Efficacité'!$A$6:$CY$266,(MATCH('4.5 ACE MAX WOL '!AM$4,'7. PGE_Efficacité'!$A$4:$AO$4,0)+62),0)</f>
        <v>0</v>
      </c>
      <c r="AN90" s="139">
        <f>VLOOKUP($E90,'7. PGE_Efficacité'!$A$6:$CY$266,(MATCH('4.5 ACE MAX WOL '!AN$4,'7. PGE_Efficacité'!$A$4:$AO$4,0)+62),0)</f>
        <v>0</v>
      </c>
    </row>
    <row r="91" spans="1:40" hidden="1" outlineLevel="2" x14ac:dyDescent="0.25">
      <c r="A91" s="48" t="s">
        <v>1524</v>
      </c>
      <c r="B91" s="49">
        <v>21</v>
      </c>
      <c r="C91" s="48" t="s">
        <v>1528</v>
      </c>
      <c r="D91" s="199" t="s">
        <v>21</v>
      </c>
      <c r="E91" s="200" t="s">
        <v>734</v>
      </c>
      <c r="F91" s="200" t="s">
        <v>1392</v>
      </c>
      <c r="G91" s="201" t="s">
        <v>1521</v>
      </c>
      <c r="H91" s="200" t="s">
        <v>1290</v>
      </c>
      <c r="I91" s="202"/>
      <c r="J91" s="139">
        <f>VLOOKUP($E91,'7. PGE_Efficacité'!$A$6:$CY$266,(MATCH('4.5 ACE MAX WOL '!J$4,'7. PGE_Efficacité'!$A$4:$AO$4,0)+62),0)</f>
        <v>0</v>
      </c>
      <c r="K91" s="139">
        <f>VLOOKUP($E91,'7. PGE_Efficacité'!$A$6:$CY$266,(MATCH('4.5 ACE MAX WOL '!K$4,'7. PGE_Efficacité'!$A$4:$AO$4,0)+62),0)</f>
        <v>0</v>
      </c>
      <c r="L91" s="139">
        <f>VLOOKUP($E91,'7. PGE_Efficacité'!$A$6:$CY$266,(MATCH('4.5 ACE MAX WOL '!L$4,'7. PGE_Efficacité'!$A$4:$AO$4,0)+62),0)</f>
        <v>0</v>
      </c>
      <c r="M91" s="139">
        <f>VLOOKUP($E91,'7. PGE_Efficacité'!$A$6:$CY$266,(MATCH('4.5 ACE MAX WOL '!M$4,'7. PGE_Efficacité'!$A$4:$AO$4,0)+62),0)</f>
        <v>0</v>
      </c>
      <c r="N91" s="139">
        <f>VLOOKUP($E91,'7. PGE_Efficacité'!$A$6:$CY$266,(MATCH('4.5 ACE MAX WOL '!N$4,'7. PGE_Efficacité'!$A$4:$AO$4,0)+62),0)</f>
        <v>0</v>
      </c>
      <c r="O91" s="139">
        <f>VLOOKUP($E91,'7. PGE_Efficacité'!$A$6:$CY$266,78,0)</f>
        <v>0</v>
      </c>
      <c r="P91" s="139">
        <f>VLOOKUP($E91,'7. PGE_Efficacité'!$A$6:$CY$266,(MATCH('4.5 ACE MAX WOL '!P$4,'7. PGE_Efficacité'!$A$4:$AO$4,0)+62),0)</f>
        <v>0</v>
      </c>
      <c r="Q91" s="139">
        <f>VLOOKUP($E91,'7. PGE_Efficacité'!$A$6:$CY$266,(MATCH('4.5 ACE MAX WOL '!Q$4,'7. PGE_Efficacité'!$A$4:$AO$4,0)+62),0)</f>
        <v>0</v>
      </c>
      <c r="R91" s="139">
        <f>VLOOKUP($E91,'7. PGE_Efficacité'!$A$6:$CY$266,(MATCH('4.5 ACE MAX WOL '!R$4,'7. PGE_Efficacité'!$A$4:$AO$4,0)+62),0)</f>
        <v>0</v>
      </c>
      <c r="S91" s="139">
        <f>VLOOKUP($E91,'7. PGE_Efficacité'!$A$6:$CY$266,(MATCH('4.5 ACE MAX WOL '!S$4,'7. PGE_Efficacité'!$A$4:$AO$4,0)+62),0)</f>
        <v>0</v>
      </c>
      <c r="T91" s="139">
        <f>VLOOKUP($E91,'7. PGE_Efficacité'!$A$6:$CY$266,(MATCH('4.5 ACE MAX WOL '!T$4,'7. PGE_Efficacité'!$A$4:$AO$4,0)+62),0)</f>
        <v>0</v>
      </c>
      <c r="U91" s="139">
        <f>VLOOKUP($E91,'7. PGE_Efficacité'!$A$6:$CY$266,(MATCH('4.5 ACE MAX WOL '!U$4,'7. PGE_Efficacité'!$A$4:$AO$4,0)+62),0)</f>
        <v>0</v>
      </c>
      <c r="V91" s="139">
        <f>VLOOKUP($E91,'7. PGE_Efficacité'!$A$6:$CY$266,(MATCH('4.5 ACE MAX WOL '!V$4,'7. PGE_Efficacité'!$A$4:$AO$4,0)+62),0)</f>
        <v>0</v>
      </c>
      <c r="W91" s="139">
        <f>VLOOKUP($E91,'7. PGE_Efficacité'!$A$6:$CY$266,(MATCH('4.5 ACE MAX WOL '!W$4,'7. PGE_Efficacité'!$A$4:$AO$4,0)+62),0)</f>
        <v>0</v>
      </c>
      <c r="X91" s="139">
        <f>VLOOKUP($E91,'7. PGE_Efficacité'!$A$6:$CY$266,(MATCH('4.5 ACE MAX WOL '!X$4,'7. PGE_Efficacité'!$A$4:$AO$4,0)+62),0)</f>
        <v>0</v>
      </c>
      <c r="Y91" s="139">
        <f>VLOOKUP($E91,'7. PGE_Efficacité'!$A$6:$CY$266,(MATCH('4.5 ACE MAX WOL '!Y$4,'7. PGE_Efficacité'!$A$4:$AO$4,0)+62),0)</f>
        <v>0</v>
      </c>
      <c r="Z91" s="139">
        <f>VLOOKUP($E91,'7. PGE_Efficacité'!$A$6:$CY$266,(MATCH('4.5 ACE MAX WOL '!Z$4,'7. PGE_Efficacité'!$A$4:$AO$4,0)+62),0)</f>
        <v>0</v>
      </c>
      <c r="AA91" s="139">
        <f>VLOOKUP($E91,'7. PGE_Efficacité'!$A$6:$CY$266,(MATCH('4.5 ACE MAX WOL '!AA$4,'7. PGE_Efficacité'!$A$4:$AO$4,0)+62),0)</f>
        <v>0</v>
      </c>
      <c r="AB91" s="139">
        <f>VLOOKUP($E91,'7. PGE_Efficacité'!$A$6:$CY$266,(MATCH('4.5 ACE MAX WOL '!AB$4,'7. PGE_Efficacité'!$A$4:$AO$4,0)+62),0)</f>
        <v>0</v>
      </c>
      <c r="AC91" s="139">
        <f>VLOOKUP($E91,'7. PGE_Efficacité'!$A$6:$CY$266,(MATCH('4.5 ACE MAX WOL '!AC$4,'7. PGE_Efficacité'!$A$4:$AO$4,0)+62),0)</f>
        <v>0</v>
      </c>
      <c r="AD91" s="139">
        <f>VLOOKUP($E91,'7. PGE_Efficacité'!$A$6:$CY$266,(MATCH('4.5 ACE MAX WOL '!AD$4,'7. PGE_Efficacité'!$A$4:$AO$4,0)+62),0)</f>
        <v>0</v>
      </c>
      <c r="AE91" s="139">
        <f>VLOOKUP($E91,'7. PGE_Efficacité'!$A$6:$CY$266,(MATCH('4.5 ACE MAX WOL '!AE$4,'7. PGE_Efficacité'!$A$4:$AO$4,0)+62),0)</f>
        <v>0</v>
      </c>
      <c r="AF91" s="139">
        <f>VLOOKUP($E91,'7. PGE_Efficacité'!$A$6:$CY$266,(MATCH('4.5 ACE MAX WOL '!AF$4,'7. PGE_Efficacité'!$A$4:$AO$4,0)+62),0)</f>
        <v>0</v>
      </c>
      <c r="AG91" s="139">
        <f>VLOOKUP($E91,'7. PGE_Efficacité'!$A$6:$CY$266,(MATCH('4.5 ACE MAX WOL '!AG$4,'7. PGE_Efficacité'!$A$4:$AO$4,0)+62),0)</f>
        <v>0</v>
      </c>
      <c r="AH91" s="139">
        <f>VLOOKUP($E91,'7. PGE_Efficacité'!$A$6:$CY$266,(MATCH('4.5 ACE MAX WOL '!AH$4,'7. PGE_Efficacité'!$A$4:$AO$4,0)+62),0)</f>
        <v>0</v>
      </c>
      <c r="AI91" s="139">
        <f>VLOOKUP($E91,'7. PGE_Efficacité'!$A$6:$CY$266,(MATCH('4.5 ACE MAX WOL '!AI$4,'7. PGE_Efficacité'!$A$4:$AO$4,0)+62),0)</f>
        <v>0</v>
      </c>
      <c r="AJ91" s="139">
        <f>VLOOKUP($E91,'7. PGE_Efficacité'!$A$6:$CY$266,(MATCH('4.5 ACE MAX WOL '!AJ$4,'7. PGE_Efficacité'!$A$4:$AO$4,0)+62),0)</f>
        <v>0</v>
      </c>
      <c r="AK91" s="139">
        <f>VLOOKUP($E91,'7. PGE_Efficacité'!$A$6:$CY$266,(MATCH('4.5 ACE MAX WOL '!AK$4,'7. PGE_Efficacité'!$A$4:$AO$4,0)+62),0)</f>
        <v>0</v>
      </c>
      <c r="AL91" s="139">
        <f>VLOOKUP($E91,'7. PGE_Efficacité'!$A$6:$CY$266,(MATCH('4.5 ACE MAX WOL '!AL$4,'7. PGE_Efficacité'!$A$4:$AO$4,0)+62),0)</f>
        <v>0</v>
      </c>
      <c r="AM91" s="139">
        <f>VLOOKUP($E91,'7. PGE_Efficacité'!$A$6:$CY$266,(MATCH('4.5 ACE MAX WOL '!AM$4,'7. PGE_Efficacité'!$A$4:$AO$4,0)+62),0)</f>
        <v>0</v>
      </c>
      <c r="AN91" s="139">
        <f>VLOOKUP($E91,'7. PGE_Efficacité'!$A$6:$CY$266,(MATCH('4.5 ACE MAX WOL '!AN$4,'7. PGE_Efficacité'!$A$4:$AO$4,0)+62),0)</f>
        <v>0</v>
      </c>
    </row>
    <row r="92" spans="1:40" hidden="1" outlineLevel="2" x14ac:dyDescent="0.25">
      <c r="A92" s="48" t="s">
        <v>1524</v>
      </c>
      <c r="B92" s="49">
        <v>21</v>
      </c>
      <c r="C92" s="48" t="s">
        <v>1529</v>
      </c>
      <c r="D92" s="199" t="s">
        <v>21</v>
      </c>
      <c r="E92" s="200" t="s">
        <v>735</v>
      </c>
      <c r="F92" s="200" t="s">
        <v>1393</v>
      </c>
      <c r="G92" s="201" t="s">
        <v>1521</v>
      </c>
      <c r="H92" s="200" t="s">
        <v>1290</v>
      </c>
      <c r="I92" s="202"/>
      <c r="J92" s="139">
        <f>VLOOKUP($E92,'7. PGE_Efficacité'!$A$6:$CY$266,(MATCH('4.5 ACE MAX WOL '!J$4,'7. PGE_Efficacité'!$A$4:$AO$4,0)+62),0)</f>
        <v>0</v>
      </c>
      <c r="K92" s="139">
        <f>VLOOKUP($E92,'7. PGE_Efficacité'!$A$6:$CY$266,(MATCH('4.5 ACE MAX WOL '!K$4,'7. PGE_Efficacité'!$A$4:$AO$4,0)+62),0)</f>
        <v>0</v>
      </c>
      <c r="L92" s="139">
        <f>VLOOKUP($E92,'7. PGE_Efficacité'!$A$6:$CY$266,(MATCH('4.5 ACE MAX WOL '!L$4,'7. PGE_Efficacité'!$A$4:$AO$4,0)+62),0)</f>
        <v>0</v>
      </c>
      <c r="M92" s="139">
        <f>VLOOKUP($E92,'7. PGE_Efficacité'!$A$6:$CY$266,(MATCH('4.5 ACE MAX WOL '!M$4,'7. PGE_Efficacité'!$A$4:$AO$4,0)+62),0)</f>
        <v>0</v>
      </c>
      <c r="N92" s="139">
        <f>VLOOKUP($E92,'7. PGE_Efficacité'!$A$6:$CY$266,(MATCH('4.5 ACE MAX WOL '!N$4,'7. PGE_Efficacité'!$A$4:$AO$4,0)+62),0)</f>
        <v>0</v>
      </c>
      <c r="O92" s="139">
        <f>VLOOKUP($E92,'7. PGE_Efficacité'!$A$6:$CY$266,78,0)</f>
        <v>0</v>
      </c>
      <c r="P92" s="139">
        <f>VLOOKUP($E92,'7. PGE_Efficacité'!$A$6:$CY$266,(MATCH('4.5 ACE MAX WOL '!P$4,'7. PGE_Efficacité'!$A$4:$AO$4,0)+62),0)</f>
        <v>0</v>
      </c>
      <c r="Q92" s="139">
        <f>VLOOKUP($E92,'7. PGE_Efficacité'!$A$6:$CY$266,(MATCH('4.5 ACE MAX WOL '!Q$4,'7. PGE_Efficacité'!$A$4:$AO$4,0)+62),0)</f>
        <v>0</v>
      </c>
      <c r="R92" s="139">
        <f>VLOOKUP($E92,'7. PGE_Efficacité'!$A$6:$CY$266,(MATCH('4.5 ACE MAX WOL '!R$4,'7. PGE_Efficacité'!$A$4:$AO$4,0)+62),0)</f>
        <v>0</v>
      </c>
      <c r="S92" s="139">
        <f>VLOOKUP($E92,'7. PGE_Efficacité'!$A$6:$CY$266,(MATCH('4.5 ACE MAX WOL '!S$4,'7. PGE_Efficacité'!$A$4:$AO$4,0)+62),0)</f>
        <v>0</v>
      </c>
      <c r="T92" s="139">
        <f>VLOOKUP($E92,'7. PGE_Efficacité'!$A$6:$CY$266,(MATCH('4.5 ACE MAX WOL '!T$4,'7. PGE_Efficacité'!$A$4:$AO$4,0)+62),0)</f>
        <v>0</v>
      </c>
      <c r="U92" s="139">
        <f>VLOOKUP($E92,'7. PGE_Efficacité'!$A$6:$CY$266,(MATCH('4.5 ACE MAX WOL '!U$4,'7. PGE_Efficacité'!$A$4:$AO$4,0)+62),0)</f>
        <v>0</v>
      </c>
      <c r="V92" s="139">
        <f>VLOOKUP($E92,'7. PGE_Efficacité'!$A$6:$CY$266,(MATCH('4.5 ACE MAX WOL '!V$4,'7. PGE_Efficacité'!$A$4:$AO$4,0)+62),0)</f>
        <v>0</v>
      </c>
      <c r="W92" s="139">
        <f>VLOOKUP($E92,'7. PGE_Efficacité'!$A$6:$CY$266,(MATCH('4.5 ACE MAX WOL '!W$4,'7. PGE_Efficacité'!$A$4:$AO$4,0)+62),0)</f>
        <v>0</v>
      </c>
      <c r="X92" s="139">
        <f>VLOOKUP($E92,'7. PGE_Efficacité'!$A$6:$CY$266,(MATCH('4.5 ACE MAX WOL '!X$4,'7. PGE_Efficacité'!$A$4:$AO$4,0)+62),0)</f>
        <v>0</v>
      </c>
      <c r="Y92" s="139">
        <f>VLOOKUP($E92,'7. PGE_Efficacité'!$A$6:$CY$266,(MATCH('4.5 ACE MAX WOL '!Y$4,'7. PGE_Efficacité'!$A$4:$AO$4,0)+62),0)</f>
        <v>0</v>
      </c>
      <c r="Z92" s="139">
        <f>VLOOKUP($E92,'7. PGE_Efficacité'!$A$6:$CY$266,(MATCH('4.5 ACE MAX WOL '!Z$4,'7. PGE_Efficacité'!$A$4:$AO$4,0)+62),0)</f>
        <v>0</v>
      </c>
      <c r="AA92" s="139">
        <f>VLOOKUP($E92,'7. PGE_Efficacité'!$A$6:$CY$266,(MATCH('4.5 ACE MAX WOL '!AA$4,'7. PGE_Efficacité'!$A$4:$AO$4,0)+62),0)</f>
        <v>0</v>
      </c>
      <c r="AB92" s="139">
        <f>VLOOKUP($E92,'7. PGE_Efficacité'!$A$6:$CY$266,(MATCH('4.5 ACE MAX WOL '!AB$4,'7. PGE_Efficacité'!$A$4:$AO$4,0)+62),0)</f>
        <v>0</v>
      </c>
      <c r="AC92" s="139">
        <f>VLOOKUP($E92,'7. PGE_Efficacité'!$A$6:$CY$266,(MATCH('4.5 ACE MAX WOL '!AC$4,'7. PGE_Efficacité'!$A$4:$AO$4,0)+62),0)</f>
        <v>0</v>
      </c>
      <c r="AD92" s="139">
        <f>VLOOKUP($E92,'7. PGE_Efficacité'!$A$6:$CY$266,(MATCH('4.5 ACE MAX WOL '!AD$4,'7. PGE_Efficacité'!$A$4:$AO$4,0)+62),0)</f>
        <v>0</v>
      </c>
      <c r="AE92" s="139">
        <f>VLOOKUP($E92,'7. PGE_Efficacité'!$A$6:$CY$266,(MATCH('4.5 ACE MAX WOL '!AE$4,'7. PGE_Efficacité'!$A$4:$AO$4,0)+62),0)</f>
        <v>0</v>
      </c>
      <c r="AF92" s="139">
        <f>VLOOKUP($E92,'7. PGE_Efficacité'!$A$6:$CY$266,(MATCH('4.5 ACE MAX WOL '!AF$4,'7. PGE_Efficacité'!$A$4:$AO$4,0)+62),0)</f>
        <v>0</v>
      </c>
      <c r="AG92" s="139">
        <f>VLOOKUP($E92,'7. PGE_Efficacité'!$A$6:$CY$266,(MATCH('4.5 ACE MAX WOL '!AG$4,'7. PGE_Efficacité'!$A$4:$AO$4,0)+62),0)</f>
        <v>0</v>
      </c>
      <c r="AH92" s="139">
        <f>VLOOKUP($E92,'7. PGE_Efficacité'!$A$6:$CY$266,(MATCH('4.5 ACE MAX WOL '!AH$4,'7. PGE_Efficacité'!$A$4:$AO$4,0)+62),0)</f>
        <v>0</v>
      </c>
      <c r="AI92" s="139">
        <f>VLOOKUP($E92,'7. PGE_Efficacité'!$A$6:$CY$266,(MATCH('4.5 ACE MAX WOL '!AI$4,'7. PGE_Efficacité'!$A$4:$AO$4,0)+62),0)</f>
        <v>0</v>
      </c>
      <c r="AJ92" s="139">
        <f>VLOOKUP($E92,'7. PGE_Efficacité'!$A$6:$CY$266,(MATCH('4.5 ACE MAX WOL '!AJ$4,'7. PGE_Efficacité'!$A$4:$AO$4,0)+62),0)</f>
        <v>0</v>
      </c>
      <c r="AK92" s="139">
        <f>VLOOKUP($E92,'7. PGE_Efficacité'!$A$6:$CY$266,(MATCH('4.5 ACE MAX WOL '!AK$4,'7. PGE_Efficacité'!$A$4:$AO$4,0)+62),0)</f>
        <v>0</v>
      </c>
      <c r="AL92" s="139">
        <f>VLOOKUP($E92,'7. PGE_Efficacité'!$A$6:$CY$266,(MATCH('4.5 ACE MAX WOL '!AL$4,'7. PGE_Efficacité'!$A$4:$AO$4,0)+62),0)</f>
        <v>0</v>
      </c>
      <c r="AM92" s="139">
        <f>VLOOKUP($E92,'7. PGE_Efficacité'!$A$6:$CY$266,(MATCH('4.5 ACE MAX WOL '!AM$4,'7. PGE_Efficacité'!$A$4:$AO$4,0)+62),0)</f>
        <v>0</v>
      </c>
      <c r="AN92" s="139">
        <f>VLOOKUP($E92,'7. PGE_Efficacité'!$A$6:$CY$266,(MATCH('4.5 ACE MAX WOL '!AN$4,'7. PGE_Efficacité'!$A$4:$AO$4,0)+62),0)</f>
        <v>0</v>
      </c>
    </row>
    <row r="93" spans="1:40" hidden="1" outlineLevel="2" x14ac:dyDescent="0.25">
      <c r="A93" s="48" t="s">
        <v>1524</v>
      </c>
      <c r="B93" s="49">
        <v>21</v>
      </c>
      <c r="C93" s="48" t="s">
        <v>1530</v>
      </c>
      <c r="D93" s="199" t="s">
        <v>21</v>
      </c>
      <c r="E93" s="200" t="s">
        <v>736</v>
      </c>
      <c r="F93" s="200" t="s">
        <v>1394</v>
      </c>
      <c r="G93" s="201" t="s">
        <v>1521</v>
      </c>
      <c r="H93" s="200" t="s">
        <v>1290</v>
      </c>
      <c r="I93" s="202"/>
      <c r="J93" s="139">
        <f>VLOOKUP($E93,'7. PGE_Efficacité'!$A$6:$CY$266,(MATCH('4.5 ACE MAX WOL '!J$4,'7. PGE_Efficacité'!$A$4:$AO$4,0)+62),0)</f>
        <v>0</v>
      </c>
      <c r="K93" s="139">
        <f>VLOOKUP($E93,'7. PGE_Efficacité'!$A$6:$CY$266,(MATCH('4.5 ACE MAX WOL '!K$4,'7. PGE_Efficacité'!$A$4:$AO$4,0)+62),0)</f>
        <v>0</v>
      </c>
      <c r="L93" s="139">
        <f>VLOOKUP($E93,'7. PGE_Efficacité'!$A$6:$CY$266,(MATCH('4.5 ACE MAX WOL '!L$4,'7. PGE_Efficacité'!$A$4:$AO$4,0)+62),0)</f>
        <v>0</v>
      </c>
      <c r="M93" s="139">
        <f>VLOOKUP($E93,'7. PGE_Efficacité'!$A$6:$CY$266,(MATCH('4.5 ACE MAX WOL '!M$4,'7. PGE_Efficacité'!$A$4:$AO$4,0)+62),0)</f>
        <v>0</v>
      </c>
      <c r="N93" s="139">
        <f>VLOOKUP($E93,'7. PGE_Efficacité'!$A$6:$CY$266,(MATCH('4.5 ACE MAX WOL '!N$4,'7. PGE_Efficacité'!$A$4:$AO$4,0)+62),0)</f>
        <v>0</v>
      </c>
      <c r="O93" s="139">
        <f>VLOOKUP($E93,'7. PGE_Efficacité'!$A$6:$CY$266,78,0)</f>
        <v>0</v>
      </c>
      <c r="P93" s="139">
        <f>VLOOKUP($E93,'7. PGE_Efficacité'!$A$6:$CY$266,(MATCH('4.5 ACE MAX WOL '!P$4,'7. PGE_Efficacité'!$A$4:$AO$4,0)+62),0)</f>
        <v>0</v>
      </c>
      <c r="Q93" s="139">
        <f>VLOOKUP($E93,'7. PGE_Efficacité'!$A$6:$CY$266,(MATCH('4.5 ACE MAX WOL '!Q$4,'7. PGE_Efficacité'!$A$4:$AO$4,0)+62),0)</f>
        <v>0</v>
      </c>
      <c r="R93" s="139">
        <f>VLOOKUP($E93,'7. PGE_Efficacité'!$A$6:$CY$266,(MATCH('4.5 ACE MAX WOL '!R$4,'7. PGE_Efficacité'!$A$4:$AO$4,0)+62),0)</f>
        <v>0</v>
      </c>
      <c r="S93" s="139">
        <f>VLOOKUP($E93,'7. PGE_Efficacité'!$A$6:$CY$266,(MATCH('4.5 ACE MAX WOL '!S$4,'7. PGE_Efficacité'!$A$4:$AO$4,0)+62),0)</f>
        <v>0</v>
      </c>
      <c r="T93" s="139">
        <f>VLOOKUP($E93,'7. PGE_Efficacité'!$A$6:$CY$266,(MATCH('4.5 ACE MAX WOL '!T$4,'7. PGE_Efficacité'!$A$4:$AO$4,0)+62),0)</f>
        <v>0</v>
      </c>
      <c r="U93" s="139">
        <f>VLOOKUP($E93,'7. PGE_Efficacité'!$A$6:$CY$266,(MATCH('4.5 ACE MAX WOL '!U$4,'7. PGE_Efficacité'!$A$4:$AO$4,0)+62),0)</f>
        <v>0</v>
      </c>
      <c r="V93" s="139">
        <f>VLOOKUP($E93,'7. PGE_Efficacité'!$A$6:$CY$266,(MATCH('4.5 ACE MAX WOL '!V$4,'7. PGE_Efficacité'!$A$4:$AO$4,0)+62),0)</f>
        <v>0</v>
      </c>
      <c r="W93" s="139">
        <f>VLOOKUP($E93,'7. PGE_Efficacité'!$A$6:$CY$266,(MATCH('4.5 ACE MAX WOL '!W$4,'7. PGE_Efficacité'!$A$4:$AO$4,0)+62),0)</f>
        <v>0</v>
      </c>
      <c r="X93" s="139">
        <f>VLOOKUP($E93,'7. PGE_Efficacité'!$A$6:$CY$266,(MATCH('4.5 ACE MAX WOL '!X$4,'7. PGE_Efficacité'!$A$4:$AO$4,0)+62),0)</f>
        <v>0</v>
      </c>
      <c r="Y93" s="139">
        <f>VLOOKUP($E93,'7. PGE_Efficacité'!$A$6:$CY$266,(MATCH('4.5 ACE MAX WOL '!Y$4,'7. PGE_Efficacité'!$A$4:$AO$4,0)+62),0)</f>
        <v>0</v>
      </c>
      <c r="Z93" s="139">
        <f>VLOOKUP($E93,'7. PGE_Efficacité'!$A$6:$CY$266,(MATCH('4.5 ACE MAX WOL '!Z$4,'7. PGE_Efficacité'!$A$4:$AO$4,0)+62),0)</f>
        <v>0</v>
      </c>
      <c r="AA93" s="139">
        <f>VLOOKUP($E93,'7. PGE_Efficacité'!$A$6:$CY$266,(MATCH('4.5 ACE MAX WOL '!AA$4,'7. PGE_Efficacité'!$A$4:$AO$4,0)+62),0)</f>
        <v>0</v>
      </c>
      <c r="AB93" s="139">
        <f>VLOOKUP($E93,'7. PGE_Efficacité'!$A$6:$CY$266,(MATCH('4.5 ACE MAX WOL '!AB$4,'7. PGE_Efficacité'!$A$4:$AO$4,0)+62),0)</f>
        <v>0</v>
      </c>
      <c r="AC93" s="139">
        <f>VLOOKUP($E93,'7. PGE_Efficacité'!$A$6:$CY$266,(MATCH('4.5 ACE MAX WOL '!AC$4,'7. PGE_Efficacité'!$A$4:$AO$4,0)+62),0)</f>
        <v>0</v>
      </c>
      <c r="AD93" s="139">
        <f>VLOOKUP($E93,'7. PGE_Efficacité'!$A$6:$CY$266,(MATCH('4.5 ACE MAX WOL '!AD$4,'7. PGE_Efficacité'!$A$4:$AO$4,0)+62),0)</f>
        <v>0</v>
      </c>
      <c r="AE93" s="139">
        <f>VLOOKUP($E93,'7. PGE_Efficacité'!$A$6:$CY$266,(MATCH('4.5 ACE MAX WOL '!AE$4,'7. PGE_Efficacité'!$A$4:$AO$4,0)+62),0)</f>
        <v>0</v>
      </c>
      <c r="AF93" s="139">
        <f>VLOOKUP($E93,'7. PGE_Efficacité'!$A$6:$CY$266,(MATCH('4.5 ACE MAX WOL '!AF$4,'7. PGE_Efficacité'!$A$4:$AO$4,0)+62),0)</f>
        <v>0</v>
      </c>
      <c r="AG93" s="139">
        <f>VLOOKUP($E93,'7. PGE_Efficacité'!$A$6:$CY$266,(MATCH('4.5 ACE MAX WOL '!AG$4,'7. PGE_Efficacité'!$A$4:$AO$4,0)+62),0)</f>
        <v>0</v>
      </c>
      <c r="AH93" s="139">
        <f>VLOOKUP($E93,'7. PGE_Efficacité'!$A$6:$CY$266,(MATCH('4.5 ACE MAX WOL '!AH$4,'7. PGE_Efficacité'!$A$4:$AO$4,0)+62),0)</f>
        <v>0</v>
      </c>
      <c r="AI93" s="139">
        <f>VLOOKUP($E93,'7. PGE_Efficacité'!$A$6:$CY$266,(MATCH('4.5 ACE MAX WOL '!AI$4,'7. PGE_Efficacité'!$A$4:$AO$4,0)+62),0)</f>
        <v>0</v>
      </c>
      <c r="AJ93" s="139">
        <f>VLOOKUP($E93,'7. PGE_Efficacité'!$A$6:$CY$266,(MATCH('4.5 ACE MAX WOL '!AJ$4,'7. PGE_Efficacité'!$A$4:$AO$4,0)+62),0)</f>
        <v>0</v>
      </c>
      <c r="AK93" s="139">
        <f>VLOOKUP($E93,'7. PGE_Efficacité'!$A$6:$CY$266,(MATCH('4.5 ACE MAX WOL '!AK$4,'7. PGE_Efficacité'!$A$4:$AO$4,0)+62),0)</f>
        <v>0</v>
      </c>
      <c r="AL93" s="139">
        <f>VLOOKUP($E93,'7. PGE_Efficacité'!$A$6:$CY$266,(MATCH('4.5 ACE MAX WOL '!AL$4,'7. PGE_Efficacité'!$A$4:$AO$4,0)+62),0)</f>
        <v>0</v>
      </c>
      <c r="AM93" s="139">
        <f>VLOOKUP($E93,'7. PGE_Efficacité'!$A$6:$CY$266,(MATCH('4.5 ACE MAX WOL '!AM$4,'7. PGE_Efficacité'!$A$4:$AO$4,0)+62),0)</f>
        <v>0</v>
      </c>
      <c r="AN93" s="139">
        <f>VLOOKUP($E93,'7. PGE_Efficacité'!$A$6:$CY$266,(MATCH('4.5 ACE MAX WOL '!AN$4,'7. PGE_Efficacité'!$A$4:$AO$4,0)+62),0)</f>
        <v>0</v>
      </c>
    </row>
    <row r="94" spans="1:40" hidden="1" outlineLevel="2" x14ac:dyDescent="0.25">
      <c r="A94" s="48" t="s">
        <v>1524</v>
      </c>
      <c r="B94" s="49">
        <v>21</v>
      </c>
      <c r="C94" s="48" t="s">
        <v>1531</v>
      </c>
      <c r="D94" s="199" t="s">
        <v>21</v>
      </c>
      <c r="E94" s="200" t="s">
        <v>737</v>
      </c>
      <c r="F94" s="200" t="s">
        <v>1395</v>
      </c>
      <c r="G94" s="201" t="s">
        <v>1521</v>
      </c>
      <c r="H94" s="200" t="s">
        <v>1290</v>
      </c>
      <c r="I94" s="202"/>
      <c r="J94" s="139">
        <f>VLOOKUP($E94,'7. PGE_Efficacité'!$A$6:$CY$266,(MATCH('4.5 ACE MAX WOL '!J$4,'7. PGE_Efficacité'!$A$4:$AO$4,0)+62),0)</f>
        <v>0</v>
      </c>
      <c r="K94" s="139">
        <f>VLOOKUP($E94,'7. PGE_Efficacité'!$A$6:$CY$266,(MATCH('4.5 ACE MAX WOL '!K$4,'7. PGE_Efficacité'!$A$4:$AO$4,0)+62),0)</f>
        <v>0</v>
      </c>
      <c r="L94" s="139">
        <f>VLOOKUP($E94,'7. PGE_Efficacité'!$A$6:$CY$266,(MATCH('4.5 ACE MAX WOL '!L$4,'7. PGE_Efficacité'!$A$4:$AO$4,0)+62),0)</f>
        <v>0</v>
      </c>
      <c r="M94" s="139">
        <f>VLOOKUP($E94,'7. PGE_Efficacité'!$A$6:$CY$266,(MATCH('4.5 ACE MAX WOL '!M$4,'7. PGE_Efficacité'!$A$4:$AO$4,0)+62),0)</f>
        <v>0</v>
      </c>
      <c r="N94" s="139">
        <f>VLOOKUP($E94,'7. PGE_Efficacité'!$A$6:$CY$266,(MATCH('4.5 ACE MAX WOL '!N$4,'7. PGE_Efficacité'!$A$4:$AO$4,0)+62),0)</f>
        <v>0</v>
      </c>
      <c r="O94" s="139">
        <f>VLOOKUP($E94,'7. PGE_Efficacité'!$A$6:$CY$266,78,0)</f>
        <v>0</v>
      </c>
      <c r="P94" s="139">
        <f>VLOOKUP($E94,'7. PGE_Efficacité'!$A$6:$CY$266,(MATCH('4.5 ACE MAX WOL '!P$4,'7. PGE_Efficacité'!$A$4:$AO$4,0)+62),0)</f>
        <v>0</v>
      </c>
      <c r="Q94" s="139">
        <f>VLOOKUP($E94,'7. PGE_Efficacité'!$A$6:$CY$266,(MATCH('4.5 ACE MAX WOL '!Q$4,'7. PGE_Efficacité'!$A$4:$AO$4,0)+62),0)</f>
        <v>0</v>
      </c>
      <c r="R94" s="139">
        <f>VLOOKUP($E94,'7. PGE_Efficacité'!$A$6:$CY$266,(MATCH('4.5 ACE MAX WOL '!R$4,'7. PGE_Efficacité'!$A$4:$AO$4,0)+62),0)</f>
        <v>0</v>
      </c>
      <c r="S94" s="139">
        <f>VLOOKUP($E94,'7. PGE_Efficacité'!$A$6:$CY$266,(MATCH('4.5 ACE MAX WOL '!S$4,'7. PGE_Efficacité'!$A$4:$AO$4,0)+62),0)</f>
        <v>0</v>
      </c>
      <c r="T94" s="139">
        <f>VLOOKUP($E94,'7. PGE_Efficacité'!$A$6:$CY$266,(MATCH('4.5 ACE MAX WOL '!T$4,'7. PGE_Efficacité'!$A$4:$AO$4,0)+62),0)</f>
        <v>0</v>
      </c>
      <c r="U94" s="139">
        <f>VLOOKUP($E94,'7. PGE_Efficacité'!$A$6:$CY$266,(MATCH('4.5 ACE MAX WOL '!U$4,'7. PGE_Efficacité'!$A$4:$AO$4,0)+62),0)</f>
        <v>0</v>
      </c>
      <c r="V94" s="139">
        <f>VLOOKUP($E94,'7. PGE_Efficacité'!$A$6:$CY$266,(MATCH('4.5 ACE MAX WOL '!V$4,'7. PGE_Efficacité'!$A$4:$AO$4,0)+62),0)</f>
        <v>0</v>
      </c>
      <c r="W94" s="139">
        <f>VLOOKUP($E94,'7. PGE_Efficacité'!$A$6:$CY$266,(MATCH('4.5 ACE MAX WOL '!W$4,'7. PGE_Efficacité'!$A$4:$AO$4,0)+62),0)</f>
        <v>0</v>
      </c>
      <c r="X94" s="139">
        <f>VLOOKUP($E94,'7. PGE_Efficacité'!$A$6:$CY$266,(MATCH('4.5 ACE MAX WOL '!X$4,'7. PGE_Efficacité'!$A$4:$AO$4,0)+62),0)</f>
        <v>0</v>
      </c>
      <c r="Y94" s="139">
        <f>VLOOKUP($E94,'7. PGE_Efficacité'!$A$6:$CY$266,(MATCH('4.5 ACE MAX WOL '!Y$4,'7. PGE_Efficacité'!$A$4:$AO$4,0)+62),0)</f>
        <v>0</v>
      </c>
      <c r="Z94" s="139">
        <f>VLOOKUP($E94,'7. PGE_Efficacité'!$A$6:$CY$266,(MATCH('4.5 ACE MAX WOL '!Z$4,'7. PGE_Efficacité'!$A$4:$AO$4,0)+62),0)</f>
        <v>0</v>
      </c>
      <c r="AA94" s="139">
        <f>VLOOKUP($E94,'7. PGE_Efficacité'!$A$6:$CY$266,(MATCH('4.5 ACE MAX WOL '!AA$4,'7. PGE_Efficacité'!$A$4:$AO$4,0)+62),0)</f>
        <v>0</v>
      </c>
      <c r="AB94" s="139">
        <f>VLOOKUP($E94,'7. PGE_Efficacité'!$A$6:$CY$266,(MATCH('4.5 ACE MAX WOL '!AB$4,'7. PGE_Efficacité'!$A$4:$AO$4,0)+62),0)</f>
        <v>0</v>
      </c>
      <c r="AC94" s="139">
        <f>VLOOKUP($E94,'7. PGE_Efficacité'!$A$6:$CY$266,(MATCH('4.5 ACE MAX WOL '!AC$4,'7. PGE_Efficacité'!$A$4:$AO$4,0)+62),0)</f>
        <v>0</v>
      </c>
      <c r="AD94" s="139">
        <f>VLOOKUP($E94,'7. PGE_Efficacité'!$A$6:$CY$266,(MATCH('4.5 ACE MAX WOL '!AD$4,'7. PGE_Efficacité'!$A$4:$AO$4,0)+62),0)</f>
        <v>0</v>
      </c>
      <c r="AE94" s="139">
        <f>VLOOKUP($E94,'7. PGE_Efficacité'!$A$6:$CY$266,(MATCH('4.5 ACE MAX WOL '!AE$4,'7. PGE_Efficacité'!$A$4:$AO$4,0)+62),0)</f>
        <v>0</v>
      </c>
      <c r="AF94" s="139">
        <f>VLOOKUP($E94,'7. PGE_Efficacité'!$A$6:$CY$266,(MATCH('4.5 ACE MAX WOL '!AF$4,'7. PGE_Efficacité'!$A$4:$AO$4,0)+62),0)</f>
        <v>0</v>
      </c>
      <c r="AG94" s="139">
        <f>VLOOKUP($E94,'7. PGE_Efficacité'!$A$6:$CY$266,(MATCH('4.5 ACE MAX WOL '!AG$4,'7. PGE_Efficacité'!$A$4:$AO$4,0)+62),0)</f>
        <v>0</v>
      </c>
      <c r="AH94" s="139">
        <f>VLOOKUP($E94,'7. PGE_Efficacité'!$A$6:$CY$266,(MATCH('4.5 ACE MAX WOL '!AH$4,'7. PGE_Efficacité'!$A$4:$AO$4,0)+62),0)</f>
        <v>0</v>
      </c>
      <c r="AI94" s="139">
        <f>VLOOKUP($E94,'7. PGE_Efficacité'!$A$6:$CY$266,(MATCH('4.5 ACE MAX WOL '!AI$4,'7. PGE_Efficacité'!$A$4:$AO$4,0)+62),0)</f>
        <v>0</v>
      </c>
      <c r="AJ94" s="139">
        <f>VLOOKUP($E94,'7. PGE_Efficacité'!$A$6:$CY$266,(MATCH('4.5 ACE MAX WOL '!AJ$4,'7. PGE_Efficacité'!$A$4:$AO$4,0)+62),0)</f>
        <v>0</v>
      </c>
      <c r="AK94" s="139">
        <f>VLOOKUP($E94,'7. PGE_Efficacité'!$A$6:$CY$266,(MATCH('4.5 ACE MAX WOL '!AK$4,'7. PGE_Efficacité'!$A$4:$AO$4,0)+62),0)</f>
        <v>0</v>
      </c>
      <c r="AL94" s="139">
        <f>VLOOKUP($E94,'7. PGE_Efficacité'!$A$6:$CY$266,(MATCH('4.5 ACE MAX WOL '!AL$4,'7. PGE_Efficacité'!$A$4:$AO$4,0)+62),0)</f>
        <v>0</v>
      </c>
      <c r="AM94" s="139">
        <f>VLOOKUP($E94,'7. PGE_Efficacité'!$A$6:$CY$266,(MATCH('4.5 ACE MAX WOL '!AM$4,'7. PGE_Efficacité'!$A$4:$AO$4,0)+62),0)</f>
        <v>0</v>
      </c>
      <c r="AN94" s="139">
        <f>VLOOKUP($E94,'7. PGE_Efficacité'!$A$6:$CY$266,(MATCH('4.5 ACE MAX WOL '!AN$4,'7. PGE_Efficacité'!$A$4:$AO$4,0)+62),0)</f>
        <v>0</v>
      </c>
    </row>
    <row r="95" spans="1:40" hidden="1" outlineLevel="2" x14ac:dyDescent="0.25">
      <c r="A95" s="48"/>
      <c r="B95" s="49"/>
      <c r="C95" s="48"/>
      <c r="D95" s="199" t="s">
        <v>21</v>
      </c>
      <c r="E95" s="200" t="s">
        <v>729</v>
      </c>
      <c r="F95" s="200" t="s">
        <v>1387</v>
      </c>
      <c r="G95" s="201" t="s">
        <v>1521</v>
      </c>
      <c r="H95" s="200" t="s">
        <v>1290</v>
      </c>
      <c r="I95" s="202"/>
      <c r="J95" s="139">
        <f>VLOOKUP($E95,'7. PGE_Efficacité'!$A$6:$CY$266,(MATCH('4.5 ACE MAX WOL '!J$4,'7. PGE_Efficacité'!$A$4:$AO$4,0)+62),0)</f>
        <v>0</v>
      </c>
      <c r="K95" s="139">
        <f>VLOOKUP($E95,'7. PGE_Efficacité'!$A$6:$CY$266,(MATCH('4.5 ACE MAX WOL '!K$4,'7. PGE_Efficacité'!$A$4:$AO$4,0)+62),0)</f>
        <v>0</v>
      </c>
      <c r="L95" s="139">
        <f>VLOOKUP($E95,'7. PGE_Efficacité'!$A$6:$CY$266,(MATCH('4.5 ACE MAX WOL '!L$4,'7. PGE_Efficacité'!$A$4:$AO$4,0)+62),0)</f>
        <v>0</v>
      </c>
      <c r="M95" s="139">
        <f>VLOOKUP($E95,'7. PGE_Efficacité'!$A$6:$CY$266,(MATCH('4.5 ACE MAX WOL '!M$4,'7. PGE_Efficacité'!$A$4:$AO$4,0)+62),0)</f>
        <v>0</v>
      </c>
      <c r="N95" s="139">
        <f>VLOOKUP($E95,'7. PGE_Efficacité'!$A$6:$CY$266,(MATCH('4.5 ACE MAX WOL '!N$4,'7. PGE_Efficacité'!$A$4:$AO$4,0)+62),0)</f>
        <v>0</v>
      </c>
      <c r="O95" s="139">
        <f>VLOOKUP($E95,'7. PGE_Efficacité'!$A$6:$CY$266,78,0)</f>
        <v>0</v>
      </c>
      <c r="P95" s="139">
        <f>VLOOKUP($E95,'7. PGE_Efficacité'!$A$6:$CY$266,(MATCH('4.5 ACE MAX WOL '!P$4,'7. PGE_Efficacité'!$A$4:$AO$4,0)+62),0)</f>
        <v>0</v>
      </c>
      <c r="Q95" s="139">
        <f>VLOOKUP($E95,'7. PGE_Efficacité'!$A$6:$CY$266,(MATCH('4.5 ACE MAX WOL '!Q$4,'7. PGE_Efficacité'!$A$4:$AO$4,0)+62),0)</f>
        <v>0</v>
      </c>
      <c r="R95" s="139">
        <f>VLOOKUP($E95,'7. PGE_Efficacité'!$A$6:$CY$266,(MATCH('4.5 ACE MAX WOL '!R$4,'7. PGE_Efficacité'!$A$4:$AO$4,0)+62),0)</f>
        <v>0</v>
      </c>
      <c r="S95" s="139">
        <f>VLOOKUP($E95,'7. PGE_Efficacité'!$A$6:$CY$266,(MATCH('4.5 ACE MAX WOL '!S$4,'7. PGE_Efficacité'!$A$4:$AO$4,0)+62),0)</f>
        <v>0</v>
      </c>
      <c r="T95" s="139">
        <f>VLOOKUP($E95,'7. PGE_Efficacité'!$A$6:$CY$266,(MATCH('4.5 ACE MAX WOL '!T$4,'7. PGE_Efficacité'!$A$4:$AO$4,0)+62),0)</f>
        <v>0</v>
      </c>
      <c r="U95" s="139">
        <f>VLOOKUP($E95,'7. PGE_Efficacité'!$A$6:$CY$266,(MATCH('4.5 ACE MAX WOL '!U$4,'7. PGE_Efficacité'!$A$4:$AO$4,0)+62),0)</f>
        <v>0</v>
      </c>
      <c r="V95" s="139">
        <f>VLOOKUP($E95,'7. PGE_Efficacité'!$A$6:$CY$266,(MATCH('4.5 ACE MAX WOL '!V$4,'7. PGE_Efficacité'!$A$4:$AO$4,0)+62),0)</f>
        <v>0</v>
      </c>
      <c r="W95" s="139">
        <f>VLOOKUP($E95,'7. PGE_Efficacité'!$A$6:$CY$266,(MATCH('4.5 ACE MAX WOL '!W$4,'7. PGE_Efficacité'!$A$4:$AO$4,0)+62),0)</f>
        <v>0</v>
      </c>
      <c r="X95" s="139">
        <f>VLOOKUP($E95,'7. PGE_Efficacité'!$A$6:$CY$266,(MATCH('4.5 ACE MAX WOL '!X$4,'7. PGE_Efficacité'!$A$4:$AO$4,0)+62),0)</f>
        <v>0</v>
      </c>
      <c r="Y95" s="139">
        <f>VLOOKUP($E95,'7. PGE_Efficacité'!$A$6:$CY$266,(MATCH('4.5 ACE MAX WOL '!Y$4,'7. PGE_Efficacité'!$A$4:$AO$4,0)+62),0)</f>
        <v>0</v>
      </c>
      <c r="Z95" s="139">
        <f>VLOOKUP($E95,'7. PGE_Efficacité'!$A$6:$CY$266,(MATCH('4.5 ACE MAX WOL '!Z$4,'7. PGE_Efficacité'!$A$4:$AO$4,0)+62),0)</f>
        <v>0</v>
      </c>
      <c r="AA95" s="139">
        <f>VLOOKUP($E95,'7. PGE_Efficacité'!$A$6:$CY$266,(MATCH('4.5 ACE MAX WOL '!AA$4,'7. PGE_Efficacité'!$A$4:$AO$4,0)+62),0)</f>
        <v>0</v>
      </c>
      <c r="AB95" s="139">
        <f>VLOOKUP($E95,'7. PGE_Efficacité'!$A$6:$CY$266,(MATCH('4.5 ACE MAX WOL '!AB$4,'7. PGE_Efficacité'!$A$4:$AO$4,0)+62),0)</f>
        <v>0</v>
      </c>
      <c r="AC95" s="139">
        <f>VLOOKUP($E95,'7. PGE_Efficacité'!$A$6:$CY$266,(MATCH('4.5 ACE MAX WOL '!AC$4,'7. PGE_Efficacité'!$A$4:$AO$4,0)+62),0)</f>
        <v>0</v>
      </c>
      <c r="AD95" s="139">
        <f>VLOOKUP($E95,'7. PGE_Efficacité'!$A$6:$CY$266,(MATCH('4.5 ACE MAX WOL '!AD$4,'7. PGE_Efficacité'!$A$4:$AO$4,0)+62),0)</f>
        <v>0</v>
      </c>
      <c r="AE95" s="139">
        <f>VLOOKUP($E95,'7. PGE_Efficacité'!$A$6:$CY$266,(MATCH('4.5 ACE MAX WOL '!AE$4,'7. PGE_Efficacité'!$A$4:$AO$4,0)+62),0)</f>
        <v>0</v>
      </c>
      <c r="AF95" s="139">
        <f>VLOOKUP($E95,'7. PGE_Efficacité'!$A$6:$CY$266,(MATCH('4.5 ACE MAX WOL '!AF$4,'7. PGE_Efficacité'!$A$4:$AO$4,0)+62),0)</f>
        <v>0</v>
      </c>
      <c r="AG95" s="139">
        <f>VLOOKUP($E95,'7. PGE_Efficacité'!$A$6:$CY$266,(MATCH('4.5 ACE MAX WOL '!AG$4,'7. PGE_Efficacité'!$A$4:$AO$4,0)+62),0)</f>
        <v>0</v>
      </c>
      <c r="AH95" s="139">
        <f>VLOOKUP($E95,'7. PGE_Efficacité'!$A$6:$CY$266,(MATCH('4.5 ACE MAX WOL '!AH$4,'7. PGE_Efficacité'!$A$4:$AO$4,0)+62),0)</f>
        <v>0</v>
      </c>
      <c r="AI95" s="139">
        <f>VLOOKUP($E95,'7. PGE_Efficacité'!$A$6:$CY$266,(MATCH('4.5 ACE MAX WOL '!AI$4,'7. PGE_Efficacité'!$A$4:$AO$4,0)+62),0)</f>
        <v>0</v>
      </c>
      <c r="AJ95" s="139">
        <f>VLOOKUP($E95,'7. PGE_Efficacité'!$A$6:$CY$266,(MATCH('4.5 ACE MAX WOL '!AJ$4,'7. PGE_Efficacité'!$A$4:$AO$4,0)+62),0)</f>
        <v>0</v>
      </c>
      <c r="AK95" s="139">
        <f>VLOOKUP($E95,'7. PGE_Efficacité'!$A$6:$CY$266,(MATCH('4.5 ACE MAX WOL '!AK$4,'7. PGE_Efficacité'!$A$4:$AO$4,0)+62),0)</f>
        <v>0</v>
      </c>
      <c r="AL95" s="139">
        <f>VLOOKUP($E95,'7. PGE_Efficacité'!$A$6:$CY$266,(MATCH('4.5 ACE MAX WOL '!AL$4,'7. PGE_Efficacité'!$A$4:$AO$4,0)+62),0)</f>
        <v>0</v>
      </c>
      <c r="AM95" s="139">
        <f>VLOOKUP($E95,'7. PGE_Efficacité'!$A$6:$CY$266,(MATCH('4.5 ACE MAX WOL '!AM$4,'7. PGE_Efficacité'!$A$4:$AO$4,0)+62),0)</f>
        <v>0</v>
      </c>
      <c r="AN95" s="139">
        <f>VLOOKUP($E95,'7. PGE_Efficacité'!$A$6:$CY$266,(MATCH('4.5 ACE MAX WOL '!AN$4,'7. PGE_Efficacité'!$A$4:$AO$4,0)+62),0)</f>
        <v>0</v>
      </c>
    </row>
    <row r="96" spans="1:40" outlineLevel="1" collapsed="1" x14ac:dyDescent="0.25">
      <c r="A96" s="48"/>
      <c r="B96" s="49"/>
      <c r="C96" s="48"/>
      <c r="D96" s="194" t="s">
        <v>22</v>
      </c>
      <c r="E96" s="195"/>
      <c r="F96" s="196" t="str">
        <f>VLOOKUP(D96,'1. Mesures'!$A$2:$B$116,2,0)</f>
        <v>Assurer et développer le réseau de monitoring qualitatif et quantitatif en continu FlowBru</v>
      </c>
      <c r="G96" s="197"/>
      <c r="H96" s="195"/>
      <c r="I96" s="198">
        <f>MEDIAN(VLOOKUP(D96,'4. Mesures_ACE_Budget'!$A$3:$N$32,13,0),(VLOOKUP(D96,'4. Mesures_ACE_Budget'!$A$3:$N$32,14,0)))</f>
        <v>0</v>
      </c>
      <c r="J96" s="235">
        <f>VLOOKUP($D96,'7. PGE_Efficacité'!$A$6:$CY$266,(MATCH('4.5 ACE MAX WOL '!J$4,'7. PGE_Efficacité'!$A$4:$AO$4,0)+62),0)</f>
        <v>0</v>
      </c>
      <c r="K96" s="235">
        <f>VLOOKUP($D96,'7. PGE_Efficacité'!$A$6:$CY$266,(MATCH('4.5 ACE MAX WOL '!K$4,'7. PGE_Efficacité'!$A$4:$AO$4,0)+62),0)</f>
        <v>0</v>
      </c>
      <c r="L96" s="235">
        <f>VLOOKUP($D96,'7. PGE_Efficacité'!$A$6:$CY$266,(MATCH('4.5 ACE MAX WOL '!L$4,'7. PGE_Efficacité'!$A$4:$AO$4,0)+62),0)</f>
        <v>0</v>
      </c>
      <c r="M96" s="235">
        <f>VLOOKUP($D96,'7. PGE_Efficacité'!$A$6:$CY$266,(MATCH('4.5 ACE MAX WOL '!M$4,'7. PGE_Efficacité'!$A$4:$AO$4,0)+62),0)</f>
        <v>0</v>
      </c>
      <c r="N96" s="235">
        <f>VLOOKUP($D96,'7. PGE_Efficacité'!$A$6:$CY$266,(MATCH('4.5 ACE MAX WOL '!N$4,'7. PGE_Efficacité'!$A$4:$AO$4,0)+62),0)</f>
        <v>0</v>
      </c>
      <c r="O96" s="235">
        <f>VLOOKUP($D96,'7. PGE_Efficacité'!$A$6:$CY$266,78,0)</f>
        <v>0</v>
      </c>
      <c r="P96" s="235">
        <f>VLOOKUP($D96,'7. PGE_Efficacité'!$A$6:$CY$266,(MATCH('4.5 ACE MAX WOL '!P$4,'7. PGE_Efficacité'!$A$4:$AO$4,0)+62),0)</f>
        <v>0</v>
      </c>
      <c r="Q96" s="235">
        <f>VLOOKUP($D96,'7. PGE_Efficacité'!$A$6:$CY$266,(MATCH('4.5 ACE MAX WOL '!Q$4,'7. PGE_Efficacité'!$A$4:$AO$4,0)+62),0)</f>
        <v>0</v>
      </c>
      <c r="R96" s="235">
        <f>VLOOKUP($D96,'7. PGE_Efficacité'!$A$6:$CY$266,(MATCH('4.5 ACE MAX WOL '!R$4,'7. PGE_Efficacité'!$A$4:$AO$4,0)+62),0)</f>
        <v>0</v>
      </c>
      <c r="S96" s="235">
        <f>VLOOKUP($D96,'7. PGE_Efficacité'!$A$6:$CY$266,(MATCH('4.5 ACE MAX WOL '!S$4,'7. PGE_Efficacité'!$A$4:$AO$4,0)+62),0)</f>
        <v>0</v>
      </c>
      <c r="T96" s="235">
        <f>VLOOKUP($D96,'7. PGE_Efficacité'!$A$6:$CY$266,(MATCH('4.5 ACE MAX WOL '!T$4,'7. PGE_Efficacité'!$A$4:$AO$4,0)+62),0)</f>
        <v>0</v>
      </c>
      <c r="U96" s="235">
        <f>VLOOKUP($D96,'7. PGE_Efficacité'!$A$6:$CY$266,(MATCH('4.5 ACE MAX WOL '!U$4,'7. PGE_Efficacité'!$A$4:$AO$4,0)+62),0)</f>
        <v>0</v>
      </c>
      <c r="V96" s="235">
        <f>VLOOKUP($D96,'7. PGE_Efficacité'!$A$6:$CY$266,(MATCH('4.5 ACE MAX WOL '!V$4,'7. PGE_Efficacité'!$A$4:$AO$4,0)+62),0)</f>
        <v>0</v>
      </c>
      <c r="W96" s="235">
        <f>VLOOKUP($D96,'7. PGE_Efficacité'!$A$6:$CY$266,(MATCH('4.5 ACE MAX WOL '!W$4,'7. PGE_Efficacité'!$A$4:$AO$4,0)+62),0)</f>
        <v>0</v>
      </c>
      <c r="X96" s="235">
        <f>VLOOKUP($D96,'7. PGE_Efficacité'!$A$6:$CY$266,(MATCH('4.5 ACE MAX WOL '!X$4,'7. PGE_Efficacité'!$A$4:$AO$4,0)+62),0)</f>
        <v>0</v>
      </c>
      <c r="Y96" s="235">
        <f>VLOOKUP($D96,'7. PGE_Efficacité'!$A$6:$CY$266,(MATCH('4.5 ACE MAX WOL '!Y$4,'7. PGE_Efficacité'!$A$4:$AO$4,0)+62),0)</f>
        <v>0</v>
      </c>
      <c r="Z96" s="235">
        <f>VLOOKUP($D96,'7. PGE_Efficacité'!$A$6:$CY$266,(MATCH('4.5 ACE MAX WOL '!Z$4,'7. PGE_Efficacité'!$A$4:$AO$4,0)+62),0)</f>
        <v>0</v>
      </c>
      <c r="AA96" s="235">
        <f>VLOOKUP($D96,'7. PGE_Efficacité'!$A$6:$CY$266,(MATCH('4.5 ACE MAX WOL '!AA$4,'7. PGE_Efficacité'!$A$4:$AO$4,0)+62),0)</f>
        <v>0</v>
      </c>
      <c r="AB96" s="235">
        <f>VLOOKUP($D96,'7. PGE_Efficacité'!$A$6:$CY$266,(MATCH('4.5 ACE MAX WOL '!AB$4,'7. PGE_Efficacité'!$A$4:$AO$4,0)+62),0)</f>
        <v>0</v>
      </c>
      <c r="AC96" s="235">
        <f>VLOOKUP($D96,'7. PGE_Efficacité'!$A$6:$CY$266,(MATCH('4.5 ACE MAX WOL '!AC$4,'7. PGE_Efficacité'!$A$4:$AO$4,0)+62),0)</f>
        <v>0</v>
      </c>
      <c r="AD96" s="235">
        <f>VLOOKUP($D96,'7. PGE_Efficacité'!$A$6:$CY$266,(MATCH('4.5 ACE MAX WOL '!AD$4,'7. PGE_Efficacité'!$A$4:$AO$4,0)+62),0)</f>
        <v>0</v>
      </c>
      <c r="AE96" s="235">
        <f>VLOOKUP($D96,'7. PGE_Efficacité'!$A$6:$CY$266,(MATCH('4.5 ACE MAX WOL '!AE$4,'7. PGE_Efficacité'!$A$4:$AO$4,0)+62),0)</f>
        <v>0</v>
      </c>
      <c r="AF96" s="235">
        <f>VLOOKUP($D96,'7. PGE_Efficacité'!$A$6:$CY$266,(MATCH('4.5 ACE MAX WOL '!AF$4,'7. PGE_Efficacité'!$A$4:$AO$4,0)+62),0)</f>
        <v>0</v>
      </c>
      <c r="AG96" s="235">
        <f>VLOOKUP($D96,'7. PGE_Efficacité'!$A$6:$CY$266,(MATCH('4.5 ACE MAX WOL '!AG$4,'7. PGE_Efficacité'!$A$4:$AO$4,0)+62),0)</f>
        <v>0</v>
      </c>
      <c r="AH96" s="235">
        <f>VLOOKUP($D96,'7. PGE_Efficacité'!$A$6:$CY$266,(MATCH('4.5 ACE MAX WOL '!AH$4,'7. PGE_Efficacité'!$A$4:$AO$4,0)+62),0)</f>
        <v>0</v>
      </c>
      <c r="AI96" s="235">
        <f>VLOOKUP($D96,'7. PGE_Efficacité'!$A$6:$CY$266,(MATCH('4.5 ACE MAX WOL '!AI$4,'7. PGE_Efficacité'!$A$4:$AO$4,0)+62),0)</f>
        <v>0</v>
      </c>
      <c r="AJ96" s="235">
        <f>VLOOKUP($D96,'7. PGE_Efficacité'!$A$6:$CY$266,(MATCH('4.5 ACE MAX WOL '!AJ$4,'7. PGE_Efficacité'!$A$4:$AO$4,0)+62),0)</f>
        <v>0</v>
      </c>
      <c r="AK96" s="235">
        <f>VLOOKUP($D96,'7. PGE_Efficacité'!$A$6:$CY$266,(MATCH('4.5 ACE MAX WOL '!AK$4,'7. PGE_Efficacité'!$A$4:$AO$4,0)+62),0)</f>
        <v>0</v>
      </c>
      <c r="AL96" s="235">
        <f>VLOOKUP($D96,'7. PGE_Efficacité'!$A$6:$CY$266,(MATCH('4.5 ACE MAX WOL '!AL$4,'7. PGE_Efficacité'!$A$4:$AO$4,0)+62),0)</f>
        <v>0</v>
      </c>
      <c r="AM96" s="235">
        <f>VLOOKUP($D96,'7. PGE_Efficacité'!$A$6:$CY$266,(MATCH('4.5 ACE MAX WOL '!AM$4,'7. PGE_Efficacité'!$A$4:$AO$4,0)+62),0)</f>
        <v>0</v>
      </c>
      <c r="AN96" s="235">
        <f>VLOOKUP($D96,'7. PGE_Efficacité'!$A$6:$CY$266,(MATCH('4.5 ACE MAX WOL '!AN$4,'7. PGE_Efficacité'!$A$4:$AO$4,0)+62),0)</f>
        <v>0</v>
      </c>
    </row>
    <row r="97" spans="1:40" hidden="1" outlineLevel="2" x14ac:dyDescent="0.25">
      <c r="A97" s="48" t="s">
        <v>1524</v>
      </c>
      <c r="B97" s="49">
        <v>22</v>
      </c>
      <c r="C97" s="48" t="s">
        <v>1524</v>
      </c>
      <c r="D97" s="199" t="s">
        <v>22</v>
      </c>
      <c r="E97" s="200" t="s">
        <v>738</v>
      </c>
      <c r="F97" s="200" t="s">
        <v>1396</v>
      </c>
      <c r="G97" s="201" t="s">
        <v>1521</v>
      </c>
      <c r="H97" s="200" t="s">
        <v>1290</v>
      </c>
      <c r="I97" s="202"/>
      <c r="J97" s="139">
        <f>VLOOKUP($E97,'7. PGE_Efficacité'!$A$6:$CY$266,(MATCH('4.5 ACE MAX WOL '!J$4,'7. PGE_Efficacité'!$A$4:$AO$4,0)+62),0)</f>
        <v>0</v>
      </c>
      <c r="K97" s="139">
        <f>VLOOKUP($E97,'7. PGE_Efficacité'!$A$6:$CY$266,(MATCH('4.5 ACE MAX WOL '!K$4,'7. PGE_Efficacité'!$A$4:$AO$4,0)+62),0)</f>
        <v>0</v>
      </c>
      <c r="L97" s="139">
        <f>VLOOKUP($E97,'7. PGE_Efficacité'!$A$6:$CY$266,(MATCH('4.5 ACE MAX WOL '!L$4,'7. PGE_Efficacité'!$A$4:$AO$4,0)+62),0)</f>
        <v>0</v>
      </c>
      <c r="M97" s="139">
        <f>VLOOKUP($E97,'7. PGE_Efficacité'!$A$6:$CY$266,(MATCH('4.5 ACE MAX WOL '!M$4,'7. PGE_Efficacité'!$A$4:$AO$4,0)+62),0)</f>
        <v>0</v>
      </c>
      <c r="N97" s="139">
        <f>VLOOKUP($E97,'7. PGE_Efficacité'!$A$6:$CY$266,(MATCH('4.5 ACE MAX WOL '!N$4,'7. PGE_Efficacité'!$A$4:$AO$4,0)+62),0)</f>
        <v>0</v>
      </c>
      <c r="O97" s="139">
        <f>VLOOKUP($E97,'7. PGE_Efficacité'!$A$6:$CY$266,78,0)</f>
        <v>0</v>
      </c>
      <c r="P97" s="139">
        <f>VLOOKUP($E97,'7. PGE_Efficacité'!$A$6:$CY$266,(MATCH('4.5 ACE MAX WOL '!P$4,'7. PGE_Efficacité'!$A$4:$AO$4,0)+62),0)</f>
        <v>0</v>
      </c>
      <c r="Q97" s="139">
        <f>VLOOKUP($E97,'7. PGE_Efficacité'!$A$6:$CY$266,(MATCH('4.5 ACE MAX WOL '!Q$4,'7. PGE_Efficacité'!$A$4:$AO$4,0)+62),0)</f>
        <v>0</v>
      </c>
      <c r="R97" s="139">
        <f>VLOOKUP($E97,'7. PGE_Efficacité'!$A$6:$CY$266,(MATCH('4.5 ACE MAX WOL '!R$4,'7. PGE_Efficacité'!$A$4:$AO$4,0)+62),0)</f>
        <v>0</v>
      </c>
      <c r="S97" s="139">
        <f>VLOOKUP($E97,'7. PGE_Efficacité'!$A$6:$CY$266,(MATCH('4.5 ACE MAX WOL '!S$4,'7. PGE_Efficacité'!$A$4:$AO$4,0)+62),0)</f>
        <v>0</v>
      </c>
      <c r="T97" s="139">
        <f>VLOOKUP($E97,'7. PGE_Efficacité'!$A$6:$CY$266,(MATCH('4.5 ACE MAX WOL '!T$4,'7. PGE_Efficacité'!$A$4:$AO$4,0)+62),0)</f>
        <v>0</v>
      </c>
      <c r="U97" s="139">
        <f>VLOOKUP($E97,'7. PGE_Efficacité'!$A$6:$CY$266,(MATCH('4.5 ACE MAX WOL '!U$4,'7. PGE_Efficacité'!$A$4:$AO$4,0)+62),0)</f>
        <v>0</v>
      </c>
      <c r="V97" s="139">
        <f>VLOOKUP($E97,'7. PGE_Efficacité'!$A$6:$CY$266,(MATCH('4.5 ACE MAX WOL '!V$4,'7. PGE_Efficacité'!$A$4:$AO$4,0)+62),0)</f>
        <v>0</v>
      </c>
      <c r="W97" s="139">
        <f>VLOOKUP($E97,'7. PGE_Efficacité'!$A$6:$CY$266,(MATCH('4.5 ACE MAX WOL '!W$4,'7. PGE_Efficacité'!$A$4:$AO$4,0)+62),0)</f>
        <v>0</v>
      </c>
      <c r="X97" s="139">
        <f>VLOOKUP($E97,'7. PGE_Efficacité'!$A$6:$CY$266,(MATCH('4.5 ACE MAX WOL '!X$4,'7. PGE_Efficacité'!$A$4:$AO$4,0)+62),0)</f>
        <v>0</v>
      </c>
      <c r="Y97" s="139">
        <f>VLOOKUP($E97,'7. PGE_Efficacité'!$A$6:$CY$266,(MATCH('4.5 ACE MAX WOL '!Y$4,'7. PGE_Efficacité'!$A$4:$AO$4,0)+62),0)</f>
        <v>0</v>
      </c>
      <c r="Z97" s="139">
        <f>VLOOKUP($E97,'7. PGE_Efficacité'!$A$6:$CY$266,(MATCH('4.5 ACE MAX WOL '!Z$4,'7. PGE_Efficacité'!$A$4:$AO$4,0)+62),0)</f>
        <v>0</v>
      </c>
      <c r="AA97" s="139">
        <f>VLOOKUP($E97,'7. PGE_Efficacité'!$A$6:$CY$266,(MATCH('4.5 ACE MAX WOL '!AA$4,'7. PGE_Efficacité'!$A$4:$AO$4,0)+62),0)</f>
        <v>0</v>
      </c>
      <c r="AB97" s="139">
        <f>VLOOKUP($E97,'7. PGE_Efficacité'!$A$6:$CY$266,(MATCH('4.5 ACE MAX WOL '!AB$4,'7. PGE_Efficacité'!$A$4:$AO$4,0)+62),0)</f>
        <v>0</v>
      </c>
      <c r="AC97" s="139">
        <f>VLOOKUP($E97,'7. PGE_Efficacité'!$A$6:$CY$266,(MATCH('4.5 ACE MAX WOL '!AC$4,'7. PGE_Efficacité'!$A$4:$AO$4,0)+62),0)</f>
        <v>0</v>
      </c>
      <c r="AD97" s="139">
        <f>VLOOKUP($E97,'7. PGE_Efficacité'!$A$6:$CY$266,(MATCH('4.5 ACE MAX WOL '!AD$4,'7. PGE_Efficacité'!$A$4:$AO$4,0)+62),0)</f>
        <v>0</v>
      </c>
      <c r="AE97" s="139">
        <f>VLOOKUP($E97,'7. PGE_Efficacité'!$A$6:$CY$266,(MATCH('4.5 ACE MAX WOL '!AE$4,'7. PGE_Efficacité'!$A$4:$AO$4,0)+62),0)</f>
        <v>0</v>
      </c>
      <c r="AF97" s="139">
        <f>VLOOKUP($E97,'7. PGE_Efficacité'!$A$6:$CY$266,(MATCH('4.5 ACE MAX WOL '!AF$4,'7. PGE_Efficacité'!$A$4:$AO$4,0)+62),0)</f>
        <v>0</v>
      </c>
      <c r="AG97" s="139">
        <f>VLOOKUP($E97,'7. PGE_Efficacité'!$A$6:$CY$266,(MATCH('4.5 ACE MAX WOL '!AG$4,'7. PGE_Efficacité'!$A$4:$AO$4,0)+62),0)</f>
        <v>0</v>
      </c>
      <c r="AH97" s="139">
        <f>VLOOKUP($E97,'7. PGE_Efficacité'!$A$6:$CY$266,(MATCH('4.5 ACE MAX WOL '!AH$4,'7. PGE_Efficacité'!$A$4:$AO$4,0)+62),0)</f>
        <v>0</v>
      </c>
      <c r="AI97" s="139">
        <f>VLOOKUP($E97,'7. PGE_Efficacité'!$A$6:$CY$266,(MATCH('4.5 ACE MAX WOL '!AI$4,'7. PGE_Efficacité'!$A$4:$AO$4,0)+62),0)</f>
        <v>0</v>
      </c>
      <c r="AJ97" s="139">
        <f>VLOOKUP($E97,'7. PGE_Efficacité'!$A$6:$CY$266,(MATCH('4.5 ACE MAX WOL '!AJ$4,'7. PGE_Efficacité'!$A$4:$AO$4,0)+62),0)</f>
        <v>0</v>
      </c>
      <c r="AK97" s="139">
        <f>VLOOKUP($E97,'7. PGE_Efficacité'!$A$6:$CY$266,(MATCH('4.5 ACE MAX WOL '!AK$4,'7. PGE_Efficacité'!$A$4:$AO$4,0)+62),0)</f>
        <v>0</v>
      </c>
      <c r="AL97" s="139">
        <f>VLOOKUP($E97,'7. PGE_Efficacité'!$A$6:$CY$266,(MATCH('4.5 ACE MAX WOL '!AL$4,'7. PGE_Efficacité'!$A$4:$AO$4,0)+62),0)</f>
        <v>0</v>
      </c>
      <c r="AM97" s="139">
        <f>VLOOKUP($E97,'7. PGE_Efficacité'!$A$6:$CY$266,(MATCH('4.5 ACE MAX WOL '!AM$4,'7. PGE_Efficacité'!$A$4:$AO$4,0)+62),0)</f>
        <v>0</v>
      </c>
      <c r="AN97" s="139">
        <f>VLOOKUP($E97,'7. PGE_Efficacité'!$A$6:$CY$266,(MATCH('4.5 ACE MAX WOL '!AN$4,'7. PGE_Efficacité'!$A$4:$AO$4,0)+62),0)</f>
        <v>0</v>
      </c>
    </row>
    <row r="98" spans="1:40" hidden="1" outlineLevel="2" x14ac:dyDescent="0.25">
      <c r="A98" s="48" t="s">
        <v>1524</v>
      </c>
      <c r="B98" s="49">
        <v>22</v>
      </c>
      <c r="C98" s="48" t="s">
        <v>1525</v>
      </c>
      <c r="D98" s="199" t="s">
        <v>22</v>
      </c>
      <c r="E98" s="200" t="s">
        <v>742</v>
      </c>
      <c r="F98" s="200" t="s">
        <v>1399</v>
      </c>
      <c r="G98" s="201" t="s">
        <v>1521</v>
      </c>
      <c r="H98" s="200" t="s">
        <v>1290</v>
      </c>
      <c r="I98" s="202"/>
      <c r="J98" s="139">
        <f>VLOOKUP($E98,'7. PGE_Efficacité'!$A$6:$CY$266,(MATCH('4.5 ACE MAX WOL '!J$4,'7. PGE_Efficacité'!$A$4:$AO$4,0)+62),0)</f>
        <v>0</v>
      </c>
      <c r="K98" s="139">
        <f>VLOOKUP($E98,'7. PGE_Efficacité'!$A$6:$CY$266,(MATCH('4.5 ACE MAX WOL '!K$4,'7. PGE_Efficacité'!$A$4:$AO$4,0)+62),0)</f>
        <v>0</v>
      </c>
      <c r="L98" s="139">
        <f>VLOOKUP($E98,'7. PGE_Efficacité'!$A$6:$CY$266,(MATCH('4.5 ACE MAX WOL '!L$4,'7. PGE_Efficacité'!$A$4:$AO$4,0)+62),0)</f>
        <v>0</v>
      </c>
      <c r="M98" s="139">
        <f>VLOOKUP($E98,'7. PGE_Efficacité'!$A$6:$CY$266,(MATCH('4.5 ACE MAX WOL '!M$4,'7. PGE_Efficacité'!$A$4:$AO$4,0)+62),0)</f>
        <v>0</v>
      </c>
      <c r="N98" s="139">
        <f>VLOOKUP($E98,'7. PGE_Efficacité'!$A$6:$CY$266,(MATCH('4.5 ACE MAX WOL '!N$4,'7. PGE_Efficacité'!$A$4:$AO$4,0)+62),0)</f>
        <v>0</v>
      </c>
      <c r="O98" s="139">
        <f>VLOOKUP($E98,'7. PGE_Efficacité'!$A$6:$CY$266,78,0)</f>
        <v>0</v>
      </c>
      <c r="P98" s="139">
        <f>VLOOKUP($E98,'7. PGE_Efficacité'!$A$6:$CY$266,(MATCH('4.5 ACE MAX WOL '!P$4,'7. PGE_Efficacité'!$A$4:$AO$4,0)+62),0)</f>
        <v>0</v>
      </c>
      <c r="Q98" s="139">
        <f>VLOOKUP($E98,'7. PGE_Efficacité'!$A$6:$CY$266,(MATCH('4.5 ACE MAX WOL '!Q$4,'7. PGE_Efficacité'!$A$4:$AO$4,0)+62),0)</f>
        <v>0</v>
      </c>
      <c r="R98" s="139">
        <f>VLOOKUP($E98,'7. PGE_Efficacité'!$A$6:$CY$266,(MATCH('4.5 ACE MAX WOL '!R$4,'7. PGE_Efficacité'!$A$4:$AO$4,0)+62),0)</f>
        <v>0</v>
      </c>
      <c r="S98" s="139">
        <f>VLOOKUP($E98,'7. PGE_Efficacité'!$A$6:$CY$266,(MATCH('4.5 ACE MAX WOL '!S$4,'7. PGE_Efficacité'!$A$4:$AO$4,0)+62),0)</f>
        <v>0</v>
      </c>
      <c r="T98" s="139">
        <f>VLOOKUP($E98,'7. PGE_Efficacité'!$A$6:$CY$266,(MATCH('4.5 ACE MAX WOL '!T$4,'7. PGE_Efficacité'!$A$4:$AO$4,0)+62),0)</f>
        <v>0</v>
      </c>
      <c r="U98" s="139">
        <f>VLOOKUP($E98,'7. PGE_Efficacité'!$A$6:$CY$266,(MATCH('4.5 ACE MAX WOL '!U$4,'7. PGE_Efficacité'!$A$4:$AO$4,0)+62),0)</f>
        <v>0</v>
      </c>
      <c r="V98" s="139">
        <f>VLOOKUP($E98,'7. PGE_Efficacité'!$A$6:$CY$266,(MATCH('4.5 ACE MAX WOL '!V$4,'7. PGE_Efficacité'!$A$4:$AO$4,0)+62),0)</f>
        <v>0</v>
      </c>
      <c r="W98" s="139">
        <f>VLOOKUP($E98,'7. PGE_Efficacité'!$A$6:$CY$266,(MATCH('4.5 ACE MAX WOL '!W$4,'7. PGE_Efficacité'!$A$4:$AO$4,0)+62),0)</f>
        <v>0</v>
      </c>
      <c r="X98" s="139">
        <f>VLOOKUP($E98,'7. PGE_Efficacité'!$A$6:$CY$266,(MATCH('4.5 ACE MAX WOL '!X$4,'7. PGE_Efficacité'!$A$4:$AO$4,0)+62),0)</f>
        <v>0</v>
      </c>
      <c r="Y98" s="139">
        <f>VLOOKUP($E98,'7. PGE_Efficacité'!$A$6:$CY$266,(MATCH('4.5 ACE MAX WOL '!Y$4,'7. PGE_Efficacité'!$A$4:$AO$4,0)+62),0)</f>
        <v>0</v>
      </c>
      <c r="Z98" s="139">
        <f>VLOOKUP($E98,'7. PGE_Efficacité'!$A$6:$CY$266,(MATCH('4.5 ACE MAX WOL '!Z$4,'7. PGE_Efficacité'!$A$4:$AO$4,0)+62),0)</f>
        <v>0</v>
      </c>
      <c r="AA98" s="139">
        <f>VLOOKUP($E98,'7. PGE_Efficacité'!$A$6:$CY$266,(MATCH('4.5 ACE MAX WOL '!AA$4,'7. PGE_Efficacité'!$A$4:$AO$4,0)+62),0)</f>
        <v>0</v>
      </c>
      <c r="AB98" s="139">
        <f>VLOOKUP($E98,'7. PGE_Efficacité'!$A$6:$CY$266,(MATCH('4.5 ACE MAX WOL '!AB$4,'7. PGE_Efficacité'!$A$4:$AO$4,0)+62),0)</f>
        <v>0</v>
      </c>
      <c r="AC98" s="139">
        <f>VLOOKUP($E98,'7. PGE_Efficacité'!$A$6:$CY$266,(MATCH('4.5 ACE MAX WOL '!AC$4,'7. PGE_Efficacité'!$A$4:$AO$4,0)+62),0)</f>
        <v>0</v>
      </c>
      <c r="AD98" s="139">
        <f>VLOOKUP($E98,'7. PGE_Efficacité'!$A$6:$CY$266,(MATCH('4.5 ACE MAX WOL '!AD$4,'7. PGE_Efficacité'!$A$4:$AO$4,0)+62),0)</f>
        <v>0</v>
      </c>
      <c r="AE98" s="139">
        <f>VLOOKUP($E98,'7. PGE_Efficacité'!$A$6:$CY$266,(MATCH('4.5 ACE MAX WOL '!AE$4,'7. PGE_Efficacité'!$A$4:$AO$4,0)+62),0)</f>
        <v>0</v>
      </c>
      <c r="AF98" s="139">
        <f>VLOOKUP($E98,'7. PGE_Efficacité'!$A$6:$CY$266,(MATCH('4.5 ACE MAX WOL '!AF$4,'7. PGE_Efficacité'!$A$4:$AO$4,0)+62),0)</f>
        <v>0</v>
      </c>
      <c r="AG98" s="139">
        <f>VLOOKUP($E98,'7. PGE_Efficacité'!$A$6:$CY$266,(MATCH('4.5 ACE MAX WOL '!AG$4,'7. PGE_Efficacité'!$A$4:$AO$4,0)+62),0)</f>
        <v>0</v>
      </c>
      <c r="AH98" s="139">
        <f>VLOOKUP($E98,'7. PGE_Efficacité'!$A$6:$CY$266,(MATCH('4.5 ACE MAX WOL '!AH$4,'7. PGE_Efficacité'!$A$4:$AO$4,0)+62),0)</f>
        <v>0</v>
      </c>
      <c r="AI98" s="139">
        <f>VLOOKUP($E98,'7. PGE_Efficacité'!$A$6:$CY$266,(MATCH('4.5 ACE MAX WOL '!AI$4,'7. PGE_Efficacité'!$A$4:$AO$4,0)+62),0)</f>
        <v>0</v>
      </c>
      <c r="AJ98" s="139">
        <f>VLOOKUP($E98,'7. PGE_Efficacité'!$A$6:$CY$266,(MATCH('4.5 ACE MAX WOL '!AJ$4,'7. PGE_Efficacité'!$A$4:$AO$4,0)+62),0)</f>
        <v>0</v>
      </c>
      <c r="AK98" s="139">
        <f>VLOOKUP($E98,'7. PGE_Efficacité'!$A$6:$CY$266,(MATCH('4.5 ACE MAX WOL '!AK$4,'7. PGE_Efficacité'!$A$4:$AO$4,0)+62),0)</f>
        <v>0</v>
      </c>
      <c r="AL98" s="139">
        <f>VLOOKUP($E98,'7. PGE_Efficacité'!$A$6:$CY$266,(MATCH('4.5 ACE MAX WOL '!AL$4,'7. PGE_Efficacité'!$A$4:$AO$4,0)+62),0)</f>
        <v>0</v>
      </c>
      <c r="AM98" s="139">
        <f>VLOOKUP($E98,'7. PGE_Efficacité'!$A$6:$CY$266,(MATCH('4.5 ACE MAX WOL '!AM$4,'7. PGE_Efficacité'!$A$4:$AO$4,0)+62),0)</f>
        <v>0</v>
      </c>
      <c r="AN98" s="139">
        <f>VLOOKUP($E98,'7. PGE_Efficacité'!$A$6:$CY$266,(MATCH('4.5 ACE MAX WOL '!AN$4,'7. PGE_Efficacité'!$A$4:$AO$4,0)+62),0)</f>
        <v>0</v>
      </c>
    </row>
    <row r="99" spans="1:40" hidden="1" outlineLevel="2" x14ac:dyDescent="0.25">
      <c r="A99" s="48" t="s">
        <v>1524</v>
      </c>
      <c r="B99" s="49">
        <v>22</v>
      </c>
      <c r="C99" s="48" t="s">
        <v>1527</v>
      </c>
      <c r="D99" s="199" t="s">
        <v>22</v>
      </c>
      <c r="E99" s="200" t="s">
        <v>744</v>
      </c>
      <c r="F99" s="200" t="s">
        <v>1401</v>
      </c>
      <c r="G99" s="201" t="s">
        <v>1521</v>
      </c>
      <c r="H99" s="200" t="s">
        <v>1290</v>
      </c>
      <c r="I99" s="202"/>
      <c r="J99" s="139">
        <f>VLOOKUP($E99,'7. PGE_Efficacité'!$A$6:$CY$266,(MATCH('4.5 ACE MAX WOL '!J$4,'7. PGE_Efficacité'!$A$4:$AO$4,0)+62),0)</f>
        <v>0</v>
      </c>
      <c r="K99" s="139">
        <f>VLOOKUP($E99,'7. PGE_Efficacité'!$A$6:$CY$266,(MATCH('4.5 ACE MAX WOL '!K$4,'7. PGE_Efficacité'!$A$4:$AO$4,0)+62),0)</f>
        <v>0</v>
      </c>
      <c r="L99" s="139">
        <f>VLOOKUP($E99,'7. PGE_Efficacité'!$A$6:$CY$266,(MATCH('4.5 ACE MAX WOL '!L$4,'7. PGE_Efficacité'!$A$4:$AO$4,0)+62),0)</f>
        <v>0</v>
      </c>
      <c r="M99" s="139">
        <f>VLOOKUP($E99,'7. PGE_Efficacité'!$A$6:$CY$266,(MATCH('4.5 ACE MAX WOL '!M$4,'7. PGE_Efficacité'!$A$4:$AO$4,0)+62),0)</f>
        <v>0</v>
      </c>
      <c r="N99" s="139">
        <f>VLOOKUP($E99,'7. PGE_Efficacité'!$A$6:$CY$266,(MATCH('4.5 ACE MAX WOL '!N$4,'7. PGE_Efficacité'!$A$4:$AO$4,0)+62),0)</f>
        <v>0</v>
      </c>
      <c r="O99" s="139">
        <f>VLOOKUP($E99,'7. PGE_Efficacité'!$A$6:$CY$266,78,0)</f>
        <v>0</v>
      </c>
      <c r="P99" s="139">
        <f>VLOOKUP($E99,'7. PGE_Efficacité'!$A$6:$CY$266,(MATCH('4.5 ACE MAX WOL '!P$4,'7. PGE_Efficacité'!$A$4:$AO$4,0)+62),0)</f>
        <v>0</v>
      </c>
      <c r="Q99" s="139">
        <f>VLOOKUP($E99,'7. PGE_Efficacité'!$A$6:$CY$266,(MATCH('4.5 ACE MAX WOL '!Q$4,'7. PGE_Efficacité'!$A$4:$AO$4,0)+62),0)</f>
        <v>0</v>
      </c>
      <c r="R99" s="139">
        <f>VLOOKUP($E99,'7. PGE_Efficacité'!$A$6:$CY$266,(MATCH('4.5 ACE MAX WOL '!R$4,'7. PGE_Efficacité'!$A$4:$AO$4,0)+62),0)</f>
        <v>0</v>
      </c>
      <c r="S99" s="139">
        <f>VLOOKUP($E99,'7. PGE_Efficacité'!$A$6:$CY$266,(MATCH('4.5 ACE MAX WOL '!S$4,'7. PGE_Efficacité'!$A$4:$AO$4,0)+62),0)</f>
        <v>0</v>
      </c>
      <c r="T99" s="139">
        <f>VLOOKUP($E99,'7. PGE_Efficacité'!$A$6:$CY$266,(MATCH('4.5 ACE MAX WOL '!T$4,'7. PGE_Efficacité'!$A$4:$AO$4,0)+62),0)</f>
        <v>0</v>
      </c>
      <c r="U99" s="139">
        <f>VLOOKUP($E99,'7. PGE_Efficacité'!$A$6:$CY$266,(MATCH('4.5 ACE MAX WOL '!U$4,'7. PGE_Efficacité'!$A$4:$AO$4,0)+62),0)</f>
        <v>0</v>
      </c>
      <c r="V99" s="139">
        <f>VLOOKUP($E99,'7. PGE_Efficacité'!$A$6:$CY$266,(MATCH('4.5 ACE MAX WOL '!V$4,'7. PGE_Efficacité'!$A$4:$AO$4,0)+62),0)</f>
        <v>0</v>
      </c>
      <c r="W99" s="139">
        <f>VLOOKUP($E99,'7. PGE_Efficacité'!$A$6:$CY$266,(MATCH('4.5 ACE MAX WOL '!W$4,'7. PGE_Efficacité'!$A$4:$AO$4,0)+62),0)</f>
        <v>0</v>
      </c>
      <c r="X99" s="139">
        <f>VLOOKUP($E99,'7. PGE_Efficacité'!$A$6:$CY$266,(MATCH('4.5 ACE MAX WOL '!X$4,'7. PGE_Efficacité'!$A$4:$AO$4,0)+62),0)</f>
        <v>0</v>
      </c>
      <c r="Y99" s="139">
        <f>VLOOKUP($E99,'7. PGE_Efficacité'!$A$6:$CY$266,(MATCH('4.5 ACE MAX WOL '!Y$4,'7. PGE_Efficacité'!$A$4:$AO$4,0)+62),0)</f>
        <v>0</v>
      </c>
      <c r="Z99" s="139">
        <f>VLOOKUP($E99,'7. PGE_Efficacité'!$A$6:$CY$266,(MATCH('4.5 ACE MAX WOL '!Z$4,'7. PGE_Efficacité'!$A$4:$AO$4,0)+62),0)</f>
        <v>0</v>
      </c>
      <c r="AA99" s="139">
        <f>VLOOKUP($E99,'7. PGE_Efficacité'!$A$6:$CY$266,(MATCH('4.5 ACE MAX WOL '!AA$4,'7. PGE_Efficacité'!$A$4:$AO$4,0)+62),0)</f>
        <v>0</v>
      </c>
      <c r="AB99" s="139">
        <f>VLOOKUP($E99,'7. PGE_Efficacité'!$A$6:$CY$266,(MATCH('4.5 ACE MAX WOL '!AB$4,'7. PGE_Efficacité'!$A$4:$AO$4,0)+62),0)</f>
        <v>0</v>
      </c>
      <c r="AC99" s="139">
        <f>VLOOKUP($E99,'7. PGE_Efficacité'!$A$6:$CY$266,(MATCH('4.5 ACE MAX WOL '!AC$4,'7. PGE_Efficacité'!$A$4:$AO$4,0)+62),0)</f>
        <v>0</v>
      </c>
      <c r="AD99" s="139">
        <f>VLOOKUP($E99,'7. PGE_Efficacité'!$A$6:$CY$266,(MATCH('4.5 ACE MAX WOL '!AD$4,'7. PGE_Efficacité'!$A$4:$AO$4,0)+62),0)</f>
        <v>0</v>
      </c>
      <c r="AE99" s="139">
        <f>VLOOKUP($E99,'7. PGE_Efficacité'!$A$6:$CY$266,(MATCH('4.5 ACE MAX WOL '!AE$4,'7. PGE_Efficacité'!$A$4:$AO$4,0)+62),0)</f>
        <v>0</v>
      </c>
      <c r="AF99" s="139">
        <f>VLOOKUP($E99,'7. PGE_Efficacité'!$A$6:$CY$266,(MATCH('4.5 ACE MAX WOL '!AF$4,'7. PGE_Efficacité'!$A$4:$AO$4,0)+62),0)</f>
        <v>0</v>
      </c>
      <c r="AG99" s="139">
        <f>VLOOKUP($E99,'7. PGE_Efficacité'!$A$6:$CY$266,(MATCH('4.5 ACE MAX WOL '!AG$4,'7. PGE_Efficacité'!$A$4:$AO$4,0)+62),0)</f>
        <v>0</v>
      </c>
      <c r="AH99" s="139">
        <f>VLOOKUP($E99,'7. PGE_Efficacité'!$A$6:$CY$266,(MATCH('4.5 ACE MAX WOL '!AH$4,'7. PGE_Efficacité'!$A$4:$AO$4,0)+62),0)</f>
        <v>0</v>
      </c>
      <c r="AI99" s="139">
        <f>VLOOKUP($E99,'7. PGE_Efficacité'!$A$6:$CY$266,(MATCH('4.5 ACE MAX WOL '!AI$4,'7. PGE_Efficacité'!$A$4:$AO$4,0)+62),0)</f>
        <v>0</v>
      </c>
      <c r="AJ99" s="139">
        <f>VLOOKUP($E99,'7. PGE_Efficacité'!$A$6:$CY$266,(MATCH('4.5 ACE MAX WOL '!AJ$4,'7. PGE_Efficacité'!$A$4:$AO$4,0)+62),0)</f>
        <v>0</v>
      </c>
      <c r="AK99" s="139">
        <f>VLOOKUP($E99,'7. PGE_Efficacité'!$A$6:$CY$266,(MATCH('4.5 ACE MAX WOL '!AK$4,'7. PGE_Efficacité'!$A$4:$AO$4,0)+62),0)</f>
        <v>0</v>
      </c>
      <c r="AL99" s="139">
        <f>VLOOKUP($E99,'7. PGE_Efficacité'!$A$6:$CY$266,(MATCH('4.5 ACE MAX WOL '!AL$4,'7. PGE_Efficacité'!$A$4:$AO$4,0)+62),0)</f>
        <v>0</v>
      </c>
      <c r="AM99" s="139">
        <f>VLOOKUP($E99,'7. PGE_Efficacité'!$A$6:$CY$266,(MATCH('4.5 ACE MAX WOL '!AM$4,'7. PGE_Efficacité'!$A$4:$AO$4,0)+62),0)</f>
        <v>0</v>
      </c>
      <c r="AN99" s="139">
        <f>VLOOKUP($E99,'7. PGE_Efficacité'!$A$6:$CY$266,(MATCH('4.5 ACE MAX WOL '!AN$4,'7. PGE_Efficacité'!$A$4:$AO$4,0)+62),0)</f>
        <v>0</v>
      </c>
    </row>
    <row r="100" spans="1:40" hidden="1" outlineLevel="2" x14ac:dyDescent="0.25">
      <c r="A100" s="48" t="s">
        <v>1524</v>
      </c>
      <c r="B100" s="49">
        <v>22</v>
      </c>
      <c r="C100" s="48" t="s">
        <v>410</v>
      </c>
      <c r="D100" s="199" t="s">
        <v>22</v>
      </c>
      <c r="E100" s="200" t="s">
        <v>745</v>
      </c>
      <c r="F100" s="200" t="s">
        <v>1402</v>
      </c>
      <c r="G100" s="201" t="s">
        <v>1521</v>
      </c>
      <c r="H100" s="200" t="s">
        <v>1290</v>
      </c>
      <c r="I100" s="202"/>
      <c r="J100" s="139">
        <f>VLOOKUP($E100,'7. PGE_Efficacité'!$A$6:$CY$266,(MATCH('4.5 ACE MAX WOL '!J$4,'7. PGE_Efficacité'!$A$4:$AO$4,0)+62),0)</f>
        <v>0</v>
      </c>
      <c r="K100" s="139">
        <f>VLOOKUP($E100,'7. PGE_Efficacité'!$A$6:$CY$266,(MATCH('4.5 ACE MAX WOL '!K$4,'7. PGE_Efficacité'!$A$4:$AO$4,0)+62),0)</f>
        <v>0</v>
      </c>
      <c r="L100" s="139">
        <f>VLOOKUP($E100,'7. PGE_Efficacité'!$A$6:$CY$266,(MATCH('4.5 ACE MAX WOL '!L$4,'7. PGE_Efficacité'!$A$4:$AO$4,0)+62),0)</f>
        <v>0</v>
      </c>
      <c r="M100" s="139">
        <f>VLOOKUP($E100,'7. PGE_Efficacité'!$A$6:$CY$266,(MATCH('4.5 ACE MAX WOL '!M$4,'7. PGE_Efficacité'!$A$4:$AO$4,0)+62),0)</f>
        <v>0</v>
      </c>
      <c r="N100" s="139">
        <f>VLOOKUP($E100,'7. PGE_Efficacité'!$A$6:$CY$266,(MATCH('4.5 ACE MAX WOL '!N$4,'7. PGE_Efficacité'!$A$4:$AO$4,0)+62),0)</f>
        <v>0</v>
      </c>
      <c r="O100" s="139">
        <f>VLOOKUP($E100,'7. PGE_Efficacité'!$A$6:$CY$266,78,0)</f>
        <v>0</v>
      </c>
      <c r="P100" s="139">
        <f>VLOOKUP($E100,'7. PGE_Efficacité'!$A$6:$CY$266,(MATCH('4.5 ACE MAX WOL '!P$4,'7. PGE_Efficacité'!$A$4:$AO$4,0)+62),0)</f>
        <v>0</v>
      </c>
      <c r="Q100" s="139">
        <f>VLOOKUP($E100,'7. PGE_Efficacité'!$A$6:$CY$266,(MATCH('4.5 ACE MAX WOL '!Q$4,'7. PGE_Efficacité'!$A$4:$AO$4,0)+62),0)</f>
        <v>0</v>
      </c>
      <c r="R100" s="139">
        <f>VLOOKUP($E100,'7. PGE_Efficacité'!$A$6:$CY$266,(MATCH('4.5 ACE MAX WOL '!R$4,'7. PGE_Efficacité'!$A$4:$AO$4,0)+62),0)</f>
        <v>0</v>
      </c>
      <c r="S100" s="139">
        <f>VLOOKUP($E100,'7. PGE_Efficacité'!$A$6:$CY$266,(MATCH('4.5 ACE MAX WOL '!S$4,'7. PGE_Efficacité'!$A$4:$AO$4,0)+62),0)</f>
        <v>0</v>
      </c>
      <c r="T100" s="139">
        <f>VLOOKUP($E100,'7. PGE_Efficacité'!$A$6:$CY$266,(MATCH('4.5 ACE MAX WOL '!T$4,'7. PGE_Efficacité'!$A$4:$AO$4,0)+62),0)</f>
        <v>0</v>
      </c>
      <c r="U100" s="139">
        <f>VLOOKUP($E100,'7. PGE_Efficacité'!$A$6:$CY$266,(MATCH('4.5 ACE MAX WOL '!U$4,'7. PGE_Efficacité'!$A$4:$AO$4,0)+62),0)</f>
        <v>0</v>
      </c>
      <c r="V100" s="139">
        <f>VLOOKUP($E100,'7. PGE_Efficacité'!$A$6:$CY$266,(MATCH('4.5 ACE MAX WOL '!V$4,'7. PGE_Efficacité'!$A$4:$AO$4,0)+62),0)</f>
        <v>0</v>
      </c>
      <c r="W100" s="139">
        <f>VLOOKUP($E100,'7. PGE_Efficacité'!$A$6:$CY$266,(MATCH('4.5 ACE MAX WOL '!W$4,'7. PGE_Efficacité'!$A$4:$AO$4,0)+62),0)</f>
        <v>0</v>
      </c>
      <c r="X100" s="139">
        <f>VLOOKUP($E100,'7. PGE_Efficacité'!$A$6:$CY$266,(MATCH('4.5 ACE MAX WOL '!X$4,'7. PGE_Efficacité'!$A$4:$AO$4,0)+62),0)</f>
        <v>0</v>
      </c>
      <c r="Y100" s="139">
        <f>VLOOKUP($E100,'7. PGE_Efficacité'!$A$6:$CY$266,(MATCH('4.5 ACE MAX WOL '!Y$4,'7. PGE_Efficacité'!$A$4:$AO$4,0)+62),0)</f>
        <v>0</v>
      </c>
      <c r="Z100" s="139">
        <f>VLOOKUP($E100,'7. PGE_Efficacité'!$A$6:$CY$266,(MATCH('4.5 ACE MAX WOL '!Z$4,'7. PGE_Efficacité'!$A$4:$AO$4,0)+62),0)</f>
        <v>0</v>
      </c>
      <c r="AA100" s="139">
        <f>VLOOKUP($E100,'7. PGE_Efficacité'!$A$6:$CY$266,(MATCH('4.5 ACE MAX WOL '!AA$4,'7. PGE_Efficacité'!$A$4:$AO$4,0)+62),0)</f>
        <v>0</v>
      </c>
      <c r="AB100" s="139">
        <f>VLOOKUP($E100,'7. PGE_Efficacité'!$A$6:$CY$266,(MATCH('4.5 ACE MAX WOL '!AB$4,'7. PGE_Efficacité'!$A$4:$AO$4,0)+62),0)</f>
        <v>0</v>
      </c>
      <c r="AC100" s="139">
        <f>VLOOKUP($E100,'7. PGE_Efficacité'!$A$6:$CY$266,(MATCH('4.5 ACE MAX WOL '!AC$4,'7. PGE_Efficacité'!$A$4:$AO$4,0)+62),0)</f>
        <v>0</v>
      </c>
      <c r="AD100" s="139">
        <f>VLOOKUP($E100,'7. PGE_Efficacité'!$A$6:$CY$266,(MATCH('4.5 ACE MAX WOL '!AD$4,'7. PGE_Efficacité'!$A$4:$AO$4,0)+62),0)</f>
        <v>0</v>
      </c>
      <c r="AE100" s="139">
        <f>VLOOKUP($E100,'7. PGE_Efficacité'!$A$6:$CY$266,(MATCH('4.5 ACE MAX WOL '!AE$4,'7. PGE_Efficacité'!$A$4:$AO$4,0)+62),0)</f>
        <v>0</v>
      </c>
      <c r="AF100" s="139">
        <f>VLOOKUP($E100,'7. PGE_Efficacité'!$A$6:$CY$266,(MATCH('4.5 ACE MAX WOL '!AF$4,'7. PGE_Efficacité'!$A$4:$AO$4,0)+62),0)</f>
        <v>0</v>
      </c>
      <c r="AG100" s="139">
        <f>VLOOKUP($E100,'7. PGE_Efficacité'!$A$6:$CY$266,(MATCH('4.5 ACE MAX WOL '!AG$4,'7. PGE_Efficacité'!$A$4:$AO$4,0)+62),0)</f>
        <v>0</v>
      </c>
      <c r="AH100" s="139">
        <f>VLOOKUP($E100,'7. PGE_Efficacité'!$A$6:$CY$266,(MATCH('4.5 ACE MAX WOL '!AH$4,'7. PGE_Efficacité'!$A$4:$AO$4,0)+62),0)</f>
        <v>0</v>
      </c>
      <c r="AI100" s="139">
        <f>VLOOKUP($E100,'7. PGE_Efficacité'!$A$6:$CY$266,(MATCH('4.5 ACE MAX WOL '!AI$4,'7. PGE_Efficacité'!$A$4:$AO$4,0)+62),0)</f>
        <v>0</v>
      </c>
      <c r="AJ100" s="139">
        <f>VLOOKUP($E100,'7. PGE_Efficacité'!$A$6:$CY$266,(MATCH('4.5 ACE MAX WOL '!AJ$4,'7. PGE_Efficacité'!$A$4:$AO$4,0)+62),0)</f>
        <v>0</v>
      </c>
      <c r="AK100" s="139">
        <f>VLOOKUP($E100,'7. PGE_Efficacité'!$A$6:$CY$266,(MATCH('4.5 ACE MAX WOL '!AK$4,'7. PGE_Efficacité'!$A$4:$AO$4,0)+62),0)</f>
        <v>0</v>
      </c>
      <c r="AL100" s="139">
        <f>VLOOKUP($E100,'7. PGE_Efficacité'!$A$6:$CY$266,(MATCH('4.5 ACE MAX WOL '!AL$4,'7. PGE_Efficacité'!$A$4:$AO$4,0)+62),0)</f>
        <v>0</v>
      </c>
      <c r="AM100" s="139">
        <f>VLOOKUP($E100,'7. PGE_Efficacité'!$A$6:$CY$266,(MATCH('4.5 ACE MAX WOL '!AM$4,'7. PGE_Efficacité'!$A$4:$AO$4,0)+62),0)</f>
        <v>0</v>
      </c>
      <c r="AN100" s="139">
        <f>VLOOKUP($E100,'7. PGE_Efficacité'!$A$6:$CY$266,(MATCH('4.5 ACE MAX WOL '!AN$4,'7. PGE_Efficacité'!$A$4:$AO$4,0)+62),0)</f>
        <v>0</v>
      </c>
    </row>
    <row r="101" spans="1:40" hidden="1" outlineLevel="2" x14ac:dyDescent="0.25">
      <c r="A101" s="48" t="s">
        <v>1524</v>
      </c>
      <c r="B101" s="49">
        <v>22</v>
      </c>
      <c r="C101" s="48" t="s">
        <v>1529</v>
      </c>
      <c r="D101" s="199" t="s">
        <v>22</v>
      </c>
      <c r="E101" s="200" t="s">
        <v>747</v>
      </c>
      <c r="F101" s="200" t="s">
        <v>1404</v>
      </c>
      <c r="G101" s="201" t="s">
        <v>1521</v>
      </c>
      <c r="H101" s="200" t="s">
        <v>1290</v>
      </c>
      <c r="I101" s="202"/>
      <c r="J101" s="139">
        <f>VLOOKUP($E101,'7. PGE_Efficacité'!$A$6:$CY$266,(MATCH('4.5 ACE MAX WOL '!J$4,'7. PGE_Efficacité'!$A$4:$AO$4,0)+62),0)</f>
        <v>0</v>
      </c>
      <c r="K101" s="139">
        <f>VLOOKUP($E101,'7. PGE_Efficacité'!$A$6:$CY$266,(MATCH('4.5 ACE MAX WOL '!K$4,'7. PGE_Efficacité'!$A$4:$AO$4,0)+62),0)</f>
        <v>0</v>
      </c>
      <c r="L101" s="139">
        <f>VLOOKUP($E101,'7. PGE_Efficacité'!$A$6:$CY$266,(MATCH('4.5 ACE MAX WOL '!L$4,'7. PGE_Efficacité'!$A$4:$AO$4,0)+62),0)</f>
        <v>0</v>
      </c>
      <c r="M101" s="139">
        <f>VLOOKUP($E101,'7. PGE_Efficacité'!$A$6:$CY$266,(MATCH('4.5 ACE MAX WOL '!M$4,'7. PGE_Efficacité'!$A$4:$AO$4,0)+62),0)</f>
        <v>0</v>
      </c>
      <c r="N101" s="139">
        <f>VLOOKUP($E101,'7. PGE_Efficacité'!$A$6:$CY$266,(MATCH('4.5 ACE MAX WOL '!N$4,'7. PGE_Efficacité'!$A$4:$AO$4,0)+62),0)</f>
        <v>0</v>
      </c>
      <c r="O101" s="139">
        <f>VLOOKUP($E101,'7. PGE_Efficacité'!$A$6:$CY$266,78,0)</f>
        <v>0</v>
      </c>
      <c r="P101" s="139">
        <f>VLOOKUP($E101,'7. PGE_Efficacité'!$A$6:$CY$266,(MATCH('4.5 ACE MAX WOL '!P$4,'7. PGE_Efficacité'!$A$4:$AO$4,0)+62),0)</f>
        <v>0</v>
      </c>
      <c r="Q101" s="139">
        <f>VLOOKUP($E101,'7. PGE_Efficacité'!$A$6:$CY$266,(MATCH('4.5 ACE MAX WOL '!Q$4,'7. PGE_Efficacité'!$A$4:$AO$4,0)+62),0)</f>
        <v>0</v>
      </c>
      <c r="R101" s="139">
        <f>VLOOKUP($E101,'7. PGE_Efficacité'!$A$6:$CY$266,(MATCH('4.5 ACE MAX WOL '!R$4,'7. PGE_Efficacité'!$A$4:$AO$4,0)+62),0)</f>
        <v>0</v>
      </c>
      <c r="S101" s="139">
        <f>VLOOKUP($E101,'7. PGE_Efficacité'!$A$6:$CY$266,(MATCH('4.5 ACE MAX WOL '!S$4,'7. PGE_Efficacité'!$A$4:$AO$4,0)+62),0)</f>
        <v>0</v>
      </c>
      <c r="T101" s="139">
        <f>VLOOKUP($E101,'7. PGE_Efficacité'!$A$6:$CY$266,(MATCH('4.5 ACE MAX WOL '!T$4,'7. PGE_Efficacité'!$A$4:$AO$4,0)+62),0)</f>
        <v>0</v>
      </c>
      <c r="U101" s="139">
        <f>VLOOKUP($E101,'7. PGE_Efficacité'!$A$6:$CY$266,(MATCH('4.5 ACE MAX WOL '!U$4,'7. PGE_Efficacité'!$A$4:$AO$4,0)+62),0)</f>
        <v>0</v>
      </c>
      <c r="V101" s="139">
        <f>VLOOKUP($E101,'7. PGE_Efficacité'!$A$6:$CY$266,(MATCH('4.5 ACE MAX WOL '!V$4,'7. PGE_Efficacité'!$A$4:$AO$4,0)+62),0)</f>
        <v>0</v>
      </c>
      <c r="W101" s="139">
        <f>VLOOKUP($E101,'7. PGE_Efficacité'!$A$6:$CY$266,(MATCH('4.5 ACE MAX WOL '!W$4,'7. PGE_Efficacité'!$A$4:$AO$4,0)+62),0)</f>
        <v>0</v>
      </c>
      <c r="X101" s="139">
        <f>VLOOKUP($E101,'7. PGE_Efficacité'!$A$6:$CY$266,(MATCH('4.5 ACE MAX WOL '!X$4,'7. PGE_Efficacité'!$A$4:$AO$4,0)+62),0)</f>
        <v>0</v>
      </c>
      <c r="Y101" s="139">
        <f>VLOOKUP($E101,'7. PGE_Efficacité'!$A$6:$CY$266,(MATCH('4.5 ACE MAX WOL '!Y$4,'7. PGE_Efficacité'!$A$4:$AO$4,0)+62),0)</f>
        <v>0</v>
      </c>
      <c r="Z101" s="139">
        <f>VLOOKUP($E101,'7. PGE_Efficacité'!$A$6:$CY$266,(MATCH('4.5 ACE MAX WOL '!Z$4,'7. PGE_Efficacité'!$A$4:$AO$4,0)+62),0)</f>
        <v>0</v>
      </c>
      <c r="AA101" s="139">
        <f>VLOOKUP($E101,'7. PGE_Efficacité'!$A$6:$CY$266,(MATCH('4.5 ACE MAX WOL '!AA$4,'7. PGE_Efficacité'!$A$4:$AO$4,0)+62),0)</f>
        <v>0</v>
      </c>
      <c r="AB101" s="139">
        <f>VLOOKUP($E101,'7. PGE_Efficacité'!$A$6:$CY$266,(MATCH('4.5 ACE MAX WOL '!AB$4,'7. PGE_Efficacité'!$A$4:$AO$4,0)+62),0)</f>
        <v>0</v>
      </c>
      <c r="AC101" s="139">
        <f>VLOOKUP($E101,'7. PGE_Efficacité'!$A$6:$CY$266,(MATCH('4.5 ACE MAX WOL '!AC$4,'7. PGE_Efficacité'!$A$4:$AO$4,0)+62),0)</f>
        <v>0</v>
      </c>
      <c r="AD101" s="139">
        <f>VLOOKUP($E101,'7. PGE_Efficacité'!$A$6:$CY$266,(MATCH('4.5 ACE MAX WOL '!AD$4,'7. PGE_Efficacité'!$A$4:$AO$4,0)+62),0)</f>
        <v>0</v>
      </c>
      <c r="AE101" s="139">
        <f>VLOOKUP($E101,'7. PGE_Efficacité'!$A$6:$CY$266,(MATCH('4.5 ACE MAX WOL '!AE$4,'7. PGE_Efficacité'!$A$4:$AO$4,0)+62),0)</f>
        <v>0</v>
      </c>
      <c r="AF101" s="139">
        <f>VLOOKUP($E101,'7. PGE_Efficacité'!$A$6:$CY$266,(MATCH('4.5 ACE MAX WOL '!AF$4,'7. PGE_Efficacité'!$A$4:$AO$4,0)+62),0)</f>
        <v>0</v>
      </c>
      <c r="AG101" s="139">
        <f>VLOOKUP($E101,'7. PGE_Efficacité'!$A$6:$CY$266,(MATCH('4.5 ACE MAX WOL '!AG$4,'7. PGE_Efficacité'!$A$4:$AO$4,0)+62),0)</f>
        <v>0</v>
      </c>
      <c r="AH101" s="139">
        <f>VLOOKUP($E101,'7. PGE_Efficacité'!$A$6:$CY$266,(MATCH('4.5 ACE MAX WOL '!AH$4,'7. PGE_Efficacité'!$A$4:$AO$4,0)+62),0)</f>
        <v>0</v>
      </c>
      <c r="AI101" s="139">
        <f>VLOOKUP($E101,'7. PGE_Efficacité'!$A$6:$CY$266,(MATCH('4.5 ACE MAX WOL '!AI$4,'7. PGE_Efficacité'!$A$4:$AO$4,0)+62),0)</f>
        <v>0</v>
      </c>
      <c r="AJ101" s="139">
        <f>VLOOKUP($E101,'7. PGE_Efficacité'!$A$6:$CY$266,(MATCH('4.5 ACE MAX WOL '!AJ$4,'7. PGE_Efficacité'!$A$4:$AO$4,0)+62),0)</f>
        <v>0</v>
      </c>
      <c r="AK101" s="139">
        <f>VLOOKUP($E101,'7. PGE_Efficacité'!$A$6:$CY$266,(MATCH('4.5 ACE MAX WOL '!AK$4,'7. PGE_Efficacité'!$A$4:$AO$4,0)+62),0)</f>
        <v>0</v>
      </c>
      <c r="AL101" s="139">
        <f>VLOOKUP($E101,'7. PGE_Efficacité'!$A$6:$CY$266,(MATCH('4.5 ACE MAX WOL '!AL$4,'7. PGE_Efficacité'!$A$4:$AO$4,0)+62),0)</f>
        <v>0</v>
      </c>
      <c r="AM101" s="139">
        <f>VLOOKUP($E101,'7. PGE_Efficacité'!$A$6:$CY$266,(MATCH('4.5 ACE MAX WOL '!AM$4,'7. PGE_Efficacité'!$A$4:$AO$4,0)+62),0)</f>
        <v>0</v>
      </c>
      <c r="AN101" s="139">
        <f>VLOOKUP($E101,'7. PGE_Efficacité'!$A$6:$CY$266,(MATCH('4.5 ACE MAX WOL '!AN$4,'7. PGE_Efficacité'!$A$4:$AO$4,0)+62),0)</f>
        <v>0</v>
      </c>
    </row>
    <row r="102" spans="1:40" hidden="1" outlineLevel="2" x14ac:dyDescent="0.25">
      <c r="A102" s="48" t="s">
        <v>1524</v>
      </c>
      <c r="B102" s="49">
        <v>22</v>
      </c>
      <c r="C102" s="48" t="s">
        <v>1530</v>
      </c>
      <c r="D102" s="199" t="s">
        <v>22</v>
      </c>
      <c r="E102" s="200" t="s">
        <v>748</v>
      </c>
      <c r="F102" s="200" t="s">
        <v>1405</v>
      </c>
      <c r="G102" s="201" t="s">
        <v>1521</v>
      </c>
      <c r="H102" s="200" t="s">
        <v>1290</v>
      </c>
      <c r="I102" s="202"/>
      <c r="J102" s="139">
        <f>VLOOKUP($E102,'7. PGE_Efficacité'!$A$6:$CY$266,(MATCH('4.5 ACE MAX WOL '!J$4,'7. PGE_Efficacité'!$A$4:$AO$4,0)+62),0)</f>
        <v>0</v>
      </c>
      <c r="K102" s="139">
        <f>VLOOKUP($E102,'7. PGE_Efficacité'!$A$6:$CY$266,(MATCH('4.5 ACE MAX WOL '!K$4,'7. PGE_Efficacité'!$A$4:$AO$4,0)+62),0)</f>
        <v>0</v>
      </c>
      <c r="L102" s="139">
        <f>VLOOKUP($E102,'7. PGE_Efficacité'!$A$6:$CY$266,(MATCH('4.5 ACE MAX WOL '!L$4,'7. PGE_Efficacité'!$A$4:$AO$4,0)+62),0)</f>
        <v>0</v>
      </c>
      <c r="M102" s="139">
        <f>VLOOKUP($E102,'7. PGE_Efficacité'!$A$6:$CY$266,(MATCH('4.5 ACE MAX WOL '!M$4,'7. PGE_Efficacité'!$A$4:$AO$4,0)+62),0)</f>
        <v>0</v>
      </c>
      <c r="N102" s="139">
        <f>VLOOKUP($E102,'7. PGE_Efficacité'!$A$6:$CY$266,(MATCH('4.5 ACE MAX WOL '!N$4,'7. PGE_Efficacité'!$A$4:$AO$4,0)+62),0)</f>
        <v>0</v>
      </c>
      <c r="O102" s="139">
        <f>VLOOKUP($E102,'7. PGE_Efficacité'!$A$6:$CY$266,78,0)</f>
        <v>0</v>
      </c>
      <c r="P102" s="139">
        <f>VLOOKUP($E102,'7. PGE_Efficacité'!$A$6:$CY$266,(MATCH('4.5 ACE MAX WOL '!P$4,'7. PGE_Efficacité'!$A$4:$AO$4,0)+62),0)</f>
        <v>0</v>
      </c>
      <c r="Q102" s="139">
        <f>VLOOKUP($E102,'7. PGE_Efficacité'!$A$6:$CY$266,(MATCH('4.5 ACE MAX WOL '!Q$4,'7. PGE_Efficacité'!$A$4:$AO$4,0)+62),0)</f>
        <v>0</v>
      </c>
      <c r="R102" s="139">
        <f>VLOOKUP($E102,'7. PGE_Efficacité'!$A$6:$CY$266,(MATCH('4.5 ACE MAX WOL '!R$4,'7. PGE_Efficacité'!$A$4:$AO$4,0)+62),0)</f>
        <v>0</v>
      </c>
      <c r="S102" s="139">
        <f>VLOOKUP($E102,'7. PGE_Efficacité'!$A$6:$CY$266,(MATCH('4.5 ACE MAX WOL '!S$4,'7. PGE_Efficacité'!$A$4:$AO$4,0)+62),0)</f>
        <v>0</v>
      </c>
      <c r="T102" s="139">
        <f>VLOOKUP($E102,'7. PGE_Efficacité'!$A$6:$CY$266,(MATCH('4.5 ACE MAX WOL '!T$4,'7. PGE_Efficacité'!$A$4:$AO$4,0)+62),0)</f>
        <v>0</v>
      </c>
      <c r="U102" s="139">
        <f>VLOOKUP($E102,'7. PGE_Efficacité'!$A$6:$CY$266,(MATCH('4.5 ACE MAX WOL '!U$4,'7. PGE_Efficacité'!$A$4:$AO$4,0)+62),0)</f>
        <v>0</v>
      </c>
      <c r="V102" s="139">
        <f>VLOOKUP($E102,'7. PGE_Efficacité'!$A$6:$CY$266,(MATCH('4.5 ACE MAX WOL '!V$4,'7. PGE_Efficacité'!$A$4:$AO$4,0)+62),0)</f>
        <v>0</v>
      </c>
      <c r="W102" s="139">
        <f>VLOOKUP($E102,'7. PGE_Efficacité'!$A$6:$CY$266,(MATCH('4.5 ACE MAX WOL '!W$4,'7. PGE_Efficacité'!$A$4:$AO$4,0)+62),0)</f>
        <v>0</v>
      </c>
      <c r="X102" s="139">
        <f>VLOOKUP($E102,'7. PGE_Efficacité'!$A$6:$CY$266,(MATCH('4.5 ACE MAX WOL '!X$4,'7. PGE_Efficacité'!$A$4:$AO$4,0)+62),0)</f>
        <v>0</v>
      </c>
      <c r="Y102" s="139">
        <f>VLOOKUP($E102,'7. PGE_Efficacité'!$A$6:$CY$266,(MATCH('4.5 ACE MAX WOL '!Y$4,'7. PGE_Efficacité'!$A$4:$AO$4,0)+62),0)</f>
        <v>0</v>
      </c>
      <c r="Z102" s="139">
        <f>VLOOKUP($E102,'7. PGE_Efficacité'!$A$6:$CY$266,(MATCH('4.5 ACE MAX WOL '!Z$4,'7. PGE_Efficacité'!$A$4:$AO$4,0)+62),0)</f>
        <v>0</v>
      </c>
      <c r="AA102" s="139">
        <f>VLOOKUP($E102,'7. PGE_Efficacité'!$A$6:$CY$266,(MATCH('4.5 ACE MAX WOL '!AA$4,'7. PGE_Efficacité'!$A$4:$AO$4,0)+62),0)</f>
        <v>0</v>
      </c>
      <c r="AB102" s="139">
        <f>VLOOKUP($E102,'7. PGE_Efficacité'!$A$6:$CY$266,(MATCH('4.5 ACE MAX WOL '!AB$4,'7. PGE_Efficacité'!$A$4:$AO$4,0)+62),0)</f>
        <v>0</v>
      </c>
      <c r="AC102" s="139">
        <f>VLOOKUP($E102,'7. PGE_Efficacité'!$A$6:$CY$266,(MATCH('4.5 ACE MAX WOL '!AC$4,'7. PGE_Efficacité'!$A$4:$AO$4,0)+62),0)</f>
        <v>0</v>
      </c>
      <c r="AD102" s="139">
        <f>VLOOKUP($E102,'7. PGE_Efficacité'!$A$6:$CY$266,(MATCH('4.5 ACE MAX WOL '!AD$4,'7. PGE_Efficacité'!$A$4:$AO$4,0)+62),0)</f>
        <v>0</v>
      </c>
      <c r="AE102" s="139">
        <f>VLOOKUP($E102,'7. PGE_Efficacité'!$A$6:$CY$266,(MATCH('4.5 ACE MAX WOL '!AE$4,'7. PGE_Efficacité'!$A$4:$AO$4,0)+62),0)</f>
        <v>0</v>
      </c>
      <c r="AF102" s="139">
        <f>VLOOKUP($E102,'7. PGE_Efficacité'!$A$6:$CY$266,(MATCH('4.5 ACE MAX WOL '!AF$4,'7. PGE_Efficacité'!$A$4:$AO$4,0)+62),0)</f>
        <v>0</v>
      </c>
      <c r="AG102" s="139">
        <f>VLOOKUP($E102,'7. PGE_Efficacité'!$A$6:$CY$266,(MATCH('4.5 ACE MAX WOL '!AG$4,'7. PGE_Efficacité'!$A$4:$AO$4,0)+62),0)</f>
        <v>0</v>
      </c>
      <c r="AH102" s="139">
        <f>VLOOKUP($E102,'7. PGE_Efficacité'!$A$6:$CY$266,(MATCH('4.5 ACE MAX WOL '!AH$4,'7. PGE_Efficacité'!$A$4:$AO$4,0)+62),0)</f>
        <v>0</v>
      </c>
      <c r="AI102" s="139">
        <f>VLOOKUP($E102,'7. PGE_Efficacité'!$A$6:$CY$266,(MATCH('4.5 ACE MAX WOL '!AI$4,'7. PGE_Efficacité'!$A$4:$AO$4,0)+62),0)</f>
        <v>0</v>
      </c>
      <c r="AJ102" s="139">
        <f>VLOOKUP($E102,'7. PGE_Efficacité'!$A$6:$CY$266,(MATCH('4.5 ACE MAX WOL '!AJ$4,'7. PGE_Efficacité'!$A$4:$AO$4,0)+62),0)</f>
        <v>0</v>
      </c>
      <c r="AK102" s="139">
        <f>VLOOKUP($E102,'7. PGE_Efficacité'!$A$6:$CY$266,(MATCH('4.5 ACE MAX WOL '!AK$4,'7. PGE_Efficacité'!$A$4:$AO$4,0)+62),0)</f>
        <v>0</v>
      </c>
      <c r="AL102" s="139">
        <f>VLOOKUP($E102,'7. PGE_Efficacité'!$A$6:$CY$266,(MATCH('4.5 ACE MAX WOL '!AL$4,'7. PGE_Efficacité'!$A$4:$AO$4,0)+62),0)</f>
        <v>0</v>
      </c>
      <c r="AM102" s="139">
        <f>VLOOKUP($E102,'7. PGE_Efficacité'!$A$6:$CY$266,(MATCH('4.5 ACE MAX WOL '!AM$4,'7. PGE_Efficacité'!$A$4:$AO$4,0)+62),0)</f>
        <v>0</v>
      </c>
      <c r="AN102" s="139">
        <f>VLOOKUP($E102,'7. PGE_Efficacité'!$A$6:$CY$266,(MATCH('4.5 ACE MAX WOL '!AN$4,'7. PGE_Efficacité'!$A$4:$AO$4,0)+62),0)</f>
        <v>0</v>
      </c>
    </row>
    <row r="103" spans="1:40" hidden="1" outlineLevel="2" x14ac:dyDescent="0.25">
      <c r="A103" s="48" t="s">
        <v>1524</v>
      </c>
      <c r="B103" s="49">
        <v>22</v>
      </c>
      <c r="C103" s="48" t="s">
        <v>1531</v>
      </c>
      <c r="D103" s="199" t="s">
        <v>22</v>
      </c>
      <c r="E103" s="200" t="s">
        <v>749</v>
      </c>
      <c r="F103" s="200" t="s">
        <v>1406</v>
      </c>
      <c r="G103" s="201" t="s">
        <v>1521</v>
      </c>
      <c r="H103" s="200" t="s">
        <v>1290</v>
      </c>
      <c r="I103" s="202"/>
      <c r="J103" s="139">
        <f>VLOOKUP($E103,'7. PGE_Efficacité'!$A$6:$CY$266,(MATCH('4.5 ACE MAX WOL '!J$4,'7. PGE_Efficacité'!$A$4:$AO$4,0)+62),0)</f>
        <v>0</v>
      </c>
      <c r="K103" s="139">
        <f>VLOOKUP($E103,'7. PGE_Efficacité'!$A$6:$CY$266,(MATCH('4.5 ACE MAX WOL '!K$4,'7. PGE_Efficacité'!$A$4:$AO$4,0)+62),0)</f>
        <v>0</v>
      </c>
      <c r="L103" s="139">
        <f>VLOOKUP($E103,'7. PGE_Efficacité'!$A$6:$CY$266,(MATCH('4.5 ACE MAX WOL '!L$4,'7. PGE_Efficacité'!$A$4:$AO$4,0)+62),0)</f>
        <v>0</v>
      </c>
      <c r="M103" s="139">
        <f>VLOOKUP($E103,'7. PGE_Efficacité'!$A$6:$CY$266,(MATCH('4.5 ACE MAX WOL '!M$4,'7. PGE_Efficacité'!$A$4:$AO$4,0)+62),0)</f>
        <v>0</v>
      </c>
      <c r="N103" s="139">
        <f>VLOOKUP($E103,'7. PGE_Efficacité'!$A$6:$CY$266,(MATCH('4.5 ACE MAX WOL '!N$4,'7. PGE_Efficacité'!$A$4:$AO$4,0)+62),0)</f>
        <v>0</v>
      </c>
      <c r="O103" s="139">
        <f>VLOOKUP($E103,'7. PGE_Efficacité'!$A$6:$CY$266,78,0)</f>
        <v>0</v>
      </c>
      <c r="P103" s="139">
        <f>VLOOKUP($E103,'7. PGE_Efficacité'!$A$6:$CY$266,(MATCH('4.5 ACE MAX WOL '!P$4,'7. PGE_Efficacité'!$A$4:$AO$4,0)+62),0)</f>
        <v>0</v>
      </c>
      <c r="Q103" s="139">
        <f>VLOOKUP($E103,'7. PGE_Efficacité'!$A$6:$CY$266,(MATCH('4.5 ACE MAX WOL '!Q$4,'7. PGE_Efficacité'!$A$4:$AO$4,0)+62),0)</f>
        <v>0</v>
      </c>
      <c r="R103" s="139">
        <f>VLOOKUP($E103,'7. PGE_Efficacité'!$A$6:$CY$266,(MATCH('4.5 ACE MAX WOL '!R$4,'7. PGE_Efficacité'!$A$4:$AO$4,0)+62),0)</f>
        <v>0</v>
      </c>
      <c r="S103" s="139">
        <f>VLOOKUP($E103,'7. PGE_Efficacité'!$A$6:$CY$266,(MATCH('4.5 ACE MAX WOL '!S$4,'7. PGE_Efficacité'!$A$4:$AO$4,0)+62),0)</f>
        <v>0</v>
      </c>
      <c r="T103" s="139">
        <f>VLOOKUP($E103,'7. PGE_Efficacité'!$A$6:$CY$266,(MATCH('4.5 ACE MAX WOL '!T$4,'7. PGE_Efficacité'!$A$4:$AO$4,0)+62),0)</f>
        <v>0</v>
      </c>
      <c r="U103" s="139">
        <f>VLOOKUP($E103,'7. PGE_Efficacité'!$A$6:$CY$266,(MATCH('4.5 ACE MAX WOL '!U$4,'7. PGE_Efficacité'!$A$4:$AO$4,0)+62),0)</f>
        <v>0</v>
      </c>
      <c r="V103" s="139">
        <f>VLOOKUP($E103,'7. PGE_Efficacité'!$A$6:$CY$266,(MATCH('4.5 ACE MAX WOL '!V$4,'7. PGE_Efficacité'!$A$4:$AO$4,0)+62),0)</f>
        <v>0</v>
      </c>
      <c r="W103" s="139">
        <f>VLOOKUP($E103,'7. PGE_Efficacité'!$A$6:$CY$266,(MATCH('4.5 ACE MAX WOL '!W$4,'7. PGE_Efficacité'!$A$4:$AO$4,0)+62),0)</f>
        <v>0</v>
      </c>
      <c r="X103" s="139">
        <f>VLOOKUP($E103,'7. PGE_Efficacité'!$A$6:$CY$266,(MATCH('4.5 ACE MAX WOL '!X$4,'7. PGE_Efficacité'!$A$4:$AO$4,0)+62),0)</f>
        <v>0</v>
      </c>
      <c r="Y103" s="139">
        <f>VLOOKUP($E103,'7. PGE_Efficacité'!$A$6:$CY$266,(MATCH('4.5 ACE MAX WOL '!Y$4,'7. PGE_Efficacité'!$A$4:$AO$4,0)+62),0)</f>
        <v>0</v>
      </c>
      <c r="Z103" s="139">
        <f>VLOOKUP($E103,'7. PGE_Efficacité'!$A$6:$CY$266,(MATCH('4.5 ACE MAX WOL '!Z$4,'7. PGE_Efficacité'!$A$4:$AO$4,0)+62),0)</f>
        <v>0</v>
      </c>
      <c r="AA103" s="139">
        <f>VLOOKUP($E103,'7. PGE_Efficacité'!$A$6:$CY$266,(MATCH('4.5 ACE MAX WOL '!AA$4,'7. PGE_Efficacité'!$A$4:$AO$4,0)+62),0)</f>
        <v>0</v>
      </c>
      <c r="AB103" s="139">
        <f>VLOOKUP($E103,'7. PGE_Efficacité'!$A$6:$CY$266,(MATCH('4.5 ACE MAX WOL '!AB$4,'7. PGE_Efficacité'!$A$4:$AO$4,0)+62),0)</f>
        <v>0</v>
      </c>
      <c r="AC103" s="139">
        <f>VLOOKUP($E103,'7. PGE_Efficacité'!$A$6:$CY$266,(MATCH('4.5 ACE MAX WOL '!AC$4,'7. PGE_Efficacité'!$A$4:$AO$4,0)+62),0)</f>
        <v>0</v>
      </c>
      <c r="AD103" s="139">
        <f>VLOOKUP($E103,'7. PGE_Efficacité'!$A$6:$CY$266,(MATCH('4.5 ACE MAX WOL '!AD$4,'7. PGE_Efficacité'!$A$4:$AO$4,0)+62),0)</f>
        <v>0</v>
      </c>
      <c r="AE103" s="139">
        <f>VLOOKUP($E103,'7. PGE_Efficacité'!$A$6:$CY$266,(MATCH('4.5 ACE MAX WOL '!AE$4,'7. PGE_Efficacité'!$A$4:$AO$4,0)+62),0)</f>
        <v>0</v>
      </c>
      <c r="AF103" s="139">
        <f>VLOOKUP($E103,'7. PGE_Efficacité'!$A$6:$CY$266,(MATCH('4.5 ACE MAX WOL '!AF$4,'7. PGE_Efficacité'!$A$4:$AO$4,0)+62),0)</f>
        <v>0</v>
      </c>
      <c r="AG103" s="139">
        <f>VLOOKUP($E103,'7. PGE_Efficacité'!$A$6:$CY$266,(MATCH('4.5 ACE MAX WOL '!AG$4,'7. PGE_Efficacité'!$A$4:$AO$4,0)+62),0)</f>
        <v>0</v>
      </c>
      <c r="AH103" s="139">
        <f>VLOOKUP($E103,'7. PGE_Efficacité'!$A$6:$CY$266,(MATCH('4.5 ACE MAX WOL '!AH$4,'7. PGE_Efficacité'!$A$4:$AO$4,0)+62),0)</f>
        <v>0</v>
      </c>
      <c r="AI103" s="139">
        <f>VLOOKUP($E103,'7. PGE_Efficacité'!$A$6:$CY$266,(MATCH('4.5 ACE MAX WOL '!AI$4,'7. PGE_Efficacité'!$A$4:$AO$4,0)+62),0)</f>
        <v>0</v>
      </c>
      <c r="AJ103" s="139">
        <f>VLOOKUP($E103,'7. PGE_Efficacité'!$A$6:$CY$266,(MATCH('4.5 ACE MAX WOL '!AJ$4,'7. PGE_Efficacité'!$A$4:$AO$4,0)+62),0)</f>
        <v>0</v>
      </c>
      <c r="AK103" s="139">
        <f>VLOOKUP($E103,'7. PGE_Efficacité'!$A$6:$CY$266,(MATCH('4.5 ACE MAX WOL '!AK$4,'7. PGE_Efficacité'!$A$4:$AO$4,0)+62),0)</f>
        <v>0</v>
      </c>
      <c r="AL103" s="139">
        <f>VLOOKUP($E103,'7. PGE_Efficacité'!$A$6:$CY$266,(MATCH('4.5 ACE MAX WOL '!AL$4,'7. PGE_Efficacité'!$A$4:$AO$4,0)+62),0)</f>
        <v>0</v>
      </c>
      <c r="AM103" s="139">
        <f>VLOOKUP($E103,'7. PGE_Efficacité'!$A$6:$CY$266,(MATCH('4.5 ACE MAX WOL '!AM$4,'7. PGE_Efficacité'!$A$4:$AO$4,0)+62),0)</f>
        <v>0</v>
      </c>
      <c r="AN103" s="139">
        <f>VLOOKUP($E103,'7. PGE_Efficacité'!$A$6:$CY$266,(MATCH('4.5 ACE MAX WOL '!AN$4,'7. PGE_Efficacité'!$A$4:$AO$4,0)+62),0)</f>
        <v>0</v>
      </c>
    </row>
    <row r="104" spans="1:40" outlineLevel="1" collapsed="1" x14ac:dyDescent="0.25">
      <c r="A104" s="48"/>
      <c r="B104" s="49"/>
      <c r="C104" s="48"/>
      <c r="D104" s="194" t="s">
        <v>25</v>
      </c>
      <c r="E104" s="195"/>
      <c r="F104" s="196" t="str">
        <f>VLOOKUP(D104,'1. Mesures'!$A$2:$B$116,2,0)</f>
        <v>Sensibiliser les Bruxellois.e.s à l'impact des certaines pratiques sur les eaux de surface</v>
      </c>
      <c r="G104" s="197"/>
      <c r="H104" s="195"/>
      <c r="I104" s="198">
        <f>MEDIAN(VLOOKUP(D104,'4. Mesures_ACE_Budget'!$A$3:$N$32,13,0),(VLOOKUP(D104,'4. Mesures_ACE_Budget'!$A$3:$N$32,14,0)))</f>
        <v>0</v>
      </c>
      <c r="J104" s="235">
        <f>VLOOKUP($D104,'7. PGE_Efficacité'!$A$6:$CY$266,(MATCH('4.5 ACE MAX WOL '!J$4,'7. PGE_Efficacité'!$A$4:$AO$4,0)+62),0)</f>
        <v>0</v>
      </c>
      <c r="K104" s="235">
        <f>VLOOKUP($D104,'7. PGE_Efficacité'!$A$6:$CY$266,(MATCH('4.5 ACE MAX WOL '!K$4,'7. PGE_Efficacité'!$A$4:$AO$4,0)+62),0)</f>
        <v>0</v>
      </c>
      <c r="L104" s="235">
        <f>VLOOKUP($D104,'7. PGE_Efficacité'!$A$6:$CY$266,(MATCH('4.5 ACE MAX WOL '!L$4,'7. PGE_Efficacité'!$A$4:$AO$4,0)+62),0)</f>
        <v>0</v>
      </c>
      <c r="M104" s="235">
        <f>VLOOKUP($D104,'7. PGE_Efficacité'!$A$6:$CY$266,(MATCH('4.5 ACE MAX WOL '!M$4,'7. PGE_Efficacité'!$A$4:$AO$4,0)+62),0)</f>
        <v>0</v>
      </c>
      <c r="N104" s="235">
        <f>VLOOKUP($D104,'7. PGE_Efficacité'!$A$6:$CY$266,(MATCH('4.5 ACE MAX WOL '!N$4,'7. PGE_Efficacité'!$A$4:$AO$4,0)+62),0)</f>
        <v>0</v>
      </c>
      <c r="O104" s="235">
        <f>VLOOKUP($D104,'7. PGE_Efficacité'!$A$6:$CY$266,78,0)</f>
        <v>0</v>
      </c>
      <c r="P104" s="235">
        <f>VLOOKUP($D104,'7. PGE_Efficacité'!$A$6:$CY$266,(MATCH('4.5 ACE MAX WOL '!P$4,'7. PGE_Efficacité'!$A$4:$AO$4,0)+62),0)</f>
        <v>0</v>
      </c>
      <c r="Q104" s="235">
        <f>VLOOKUP($D104,'7. PGE_Efficacité'!$A$6:$CY$266,(MATCH('4.5 ACE MAX WOL '!Q$4,'7. PGE_Efficacité'!$A$4:$AO$4,0)+62),0)</f>
        <v>0</v>
      </c>
      <c r="R104" s="235">
        <f>VLOOKUP($D104,'7. PGE_Efficacité'!$A$6:$CY$266,(MATCH('4.5 ACE MAX WOL '!R$4,'7. PGE_Efficacité'!$A$4:$AO$4,0)+62),0)</f>
        <v>0</v>
      </c>
      <c r="S104" s="235">
        <f>VLOOKUP($D104,'7. PGE_Efficacité'!$A$6:$CY$266,(MATCH('4.5 ACE MAX WOL '!S$4,'7. PGE_Efficacité'!$A$4:$AO$4,0)+62),0)</f>
        <v>0</v>
      </c>
      <c r="T104" s="235">
        <f>VLOOKUP($D104,'7. PGE_Efficacité'!$A$6:$CY$266,(MATCH('4.5 ACE MAX WOL '!T$4,'7. PGE_Efficacité'!$A$4:$AO$4,0)+62),0)</f>
        <v>0</v>
      </c>
      <c r="U104" s="235">
        <f>VLOOKUP($D104,'7. PGE_Efficacité'!$A$6:$CY$266,(MATCH('4.5 ACE MAX WOL '!U$4,'7. PGE_Efficacité'!$A$4:$AO$4,0)+62),0)</f>
        <v>0</v>
      </c>
      <c r="V104" s="235">
        <f>VLOOKUP($D104,'7. PGE_Efficacité'!$A$6:$CY$266,(MATCH('4.5 ACE MAX WOL '!V$4,'7. PGE_Efficacité'!$A$4:$AO$4,0)+62),0)</f>
        <v>0</v>
      </c>
      <c r="W104" s="235">
        <f>VLOOKUP($D104,'7. PGE_Efficacité'!$A$6:$CY$266,(MATCH('4.5 ACE MAX WOL '!W$4,'7. PGE_Efficacité'!$A$4:$AO$4,0)+62),0)</f>
        <v>0</v>
      </c>
      <c r="X104" s="235">
        <f>VLOOKUP($D104,'7. PGE_Efficacité'!$A$6:$CY$266,(MATCH('4.5 ACE MAX WOL '!X$4,'7. PGE_Efficacité'!$A$4:$AO$4,0)+62),0)</f>
        <v>0</v>
      </c>
      <c r="Y104" s="235">
        <f>VLOOKUP($D104,'7. PGE_Efficacité'!$A$6:$CY$266,(MATCH('4.5 ACE MAX WOL '!Y$4,'7. PGE_Efficacité'!$A$4:$AO$4,0)+62),0)</f>
        <v>0</v>
      </c>
      <c r="Z104" s="235">
        <f>VLOOKUP($D104,'7. PGE_Efficacité'!$A$6:$CY$266,(MATCH('4.5 ACE MAX WOL '!Z$4,'7. PGE_Efficacité'!$A$4:$AO$4,0)+62),0)</f>
        <v>0</v>
      </c>
      <c r="AA104" s="235">
        <f>VLOOKUP($D104,'7. PGE_Efficacité'!$A$6:$CY$266,(MATCH('4.5 ACE MAX WOL '!AA$4,'7. PGE_Efficacité'!$A$4:$AO$4,0)+62),0)</f>
        <v>0</v>
      </c>
      <c r="AB104" s="235">
        <f>VLOOKUP($D104,'7. PGE_Efficacité'!$A$6:$CY$266,(MATCH('4.5 ACE MAX WOL '!AB$4,'7. PGE_Efficacité'!$A$4:$AO$4,0)+62),0)</f>
        <v>0</v>
      </c>
      <c r="AC104" s="235">
        <f>VLOOKUP($D104,'7. PGE_Efficacité'!$A$6:$CY$266,(MATCH('4.5 ACE MAX WOL '!AC$4,'7. PGE_Efficacité'!$A$4:$AO$4,0)+62),0)</f>
        <v>0</v>
      </c>
      <c r="AD104" s="235">
        <f>VLOOKUP($D104,'7. PGE_Efficacité'!$A$6:$CY$266,(MATCH('4.5 ACE MAX WOL '!AD$4,'7. PGE_Efficacité'!$A$4:$AO$4,0)+62),0)</f>
        <v>0</v>
      </c>
      <c r="AE104" s="235">
        <f>VLOOKUP($D104,'7. PGE_Efficacité'!$A$6:$CY$266,(MATCH('4.5 ACE MAX WOL '!AE$4,'7. PGE_Efficacité'!$A$4:$AO$4,0)+62),0)</f>
        <v>0</v>
      </c>
      <c r="AF104" s="235">
        <f>VLOOKUP($D104,'7. PGE_Efficacité'!$A$6:$CY$266,(MATCH('4.5 ACE MAX WOL '!AF$4,'7. PGE_Efficacité'!$A$4:$AO$4,0)+62),0)</f>
        <v>0</v>
      </c>
      <c r="AG104" s="235">
        <f>VLOOKUP($D104,'7. PGE_Efficacité'!$A$6:$CY$266,(MATCH('4.5 ACE MAX WOL '!AG$4,'7. PGE_Efficacité'!$A$4:$AO$4,0)+62),0)</f>
        <v>0</v>
      </c>
      <c r="AH104" s="235">
        <f>VLOOKUP($D104,'7. PGE_Efficacité'!$A$6:$CY$266,(MATCH('4.5 ACE MAX WOL '!AH$4,'7. PGE_Efficacité'!$A$4:$AO$4,0)+62),0)</f>
        <v>0</v>
      </c>
      <c r="AI104" s="235">
        <f>VLOOKUP($D104,'7. PGE_Efficacité'!$A$6:$CY$266,(MATCH('4.5 ACE MAX WOL '!AI$4,'7. PGE_Efficacité'!$A$4:$AO$4,0)+62),0)</f>
        <v>0</v>
      </c>
      <c r="AJ104" s="235">
        <f>VLOOKUP($D104,'7. PGE_Efficacité'!$A$6:$CY$266,(MATCH('4.5 ACE MAX WOL '!AJ$4,'7. PGE_Efficacité'!$A$4:$AO$4,0)+62),0)</f>
        <v>0</v>
      </c>
      <c r="AK104" s="235">
        <f>VLOOKUP($D104,'7. PGE_Efficacité'!$A$6:$CY$266,(MATCH('4.5 ACE MAX WOL '!AK$4,'7. PGE_Efficacité'!$A$4:$AO$4,0)+62),0)</f>
        <v>0</v>
      </c>
      <c r="AL104" s="235">
        <f>VLOOKUP($D104,'7. PGE_Efficacité'!$A$6:$CY$266,(MATCH('4.5 ACE MAX WOL '!AL$4,'7. PGE_Efficacité'!$A$4:$AO$4,0)+62),0)</f>
        <v>0</v>
      </c>
      <c r="AM104" s="235">
        <f>VLOOKUP($D104,'7. PGE_Efficacité'!$A$6:$CY$266,(MATCH('4.5 ACE MAX WOL '!AM$4,'7. PGE_Efficacité'!$A$4:$AO$4,0)+62),0)</f>
        <v>0</v>
      </c>
      <c r="AN104" s="235">
        <f>VLOOKUP($D104,'7. PGE_Efficacité'!$A$6:$CY$266,(MATCH('4.5 ACE MAX WOL '!AN$4,'7. PGE_Efficacité'!$A$4:$AO$4,0)+62),0)</f>
        <v>0</v>
      </c>
    </row>
    <row r="105" spans="1:40" hidden="1" outlineLevel="2" x14ac:dyDescent="0.25">
      <c r="A105" s="48" t="s">
        <v>1524</v>
      </c>
      <c r="B105" s="49">
        <v>24</v>
      </c>
      <c r="C105" s="48" t="s">
        <v>1527</v>
      </c>
      <c r="D105" s="199" t="s">
        <v>25</v>
      </c>
      <c r="E105" s="200" t="s">
        <v>753</v>
      </c>
      <c r="F105" s="200" t="s">
        <v>1407</v>
      </c>
      <c r="G105" s="201" t="s">
        <v>1521</v>
      </c>
      <c r="H105" s="200" t="s">
        <v>416</v>
      </c>
      <c r="I105" s="202"/>
      <c r="J105" s="139">
        <f>VLOOKUP($E105,'7. PGE_Efficacité'!$A$6:$CY$266,(MATCH('4.5 ACE MAX WOL '!J$4,'7. PGE_Efficacité'!$A$4:$AO$4,0)+62),0)</f>
        <v>0</v>
      </c>
      <c r="K105" s="139">
        <f>VLOOKUP($E105,'7. PGE_Efficacité'!$A$6:$CY$266,(MATCH('4.5 ACE MAX WOL '!K$4,'7. PGE_Efficacité'!$A$4:$AO$4,0)+62),0)</f>
        <v>0</v>
      </c>
      <c r="L105" s="139">
        <f>VLOOKUP($E105,'7. PGE_Efficacité'!$A$6:$CY$266,(MATCH('4.5 ACE MAX WOL '!L$4,'7. PGE_Efficacité'!$A$4:$AO$4,0)+62),0)</f>
        <v>0</v>
      </c>
      <c r="M105" s="139">
        <f>VLOOKUP($E105,'7. PGE_Efficacité'!$A$6:$CY$266,(MATCH('4.5 ACE MAX WOL '!M$4,'7. PGE_Efficacité'!$A$4:$AO$4,0)+62),0)</f>
        <v>0</v>
      </c>
      <c r="N105" s="139">
        <f>VLOOKUP($E105,'7. PGE_Efficacité'!$A$6:$CY$266,(MATCH('4.5 ACE MAX WOL '!N$4,'7. PGE_Efficacité'!$A$4:$AO$4,0)+62),0)</f>
        <v>0</v>
      </c>
      <c r="O105" s="139">
        <f>VLOOKUP($E105,'7. PGE_Efficacité'!$A$6:$CY$266,78,0)</f>
        <v>0</v>
      </c>
      <c r="P105" s="139">
        <f>VLOOKUP($E105,'7. PGE_Efficacité'!$A$6:$CY$266,(MATCH('4.5 ACE MAX WOL '!P$4,'7. PGE_Efficacité'!$A$4:$AO$4,0)+62),0)</f>
        <v>0</v>
      </c>
      <c r="Q105" s="139">
        <f>VLOOKUP($E105,'7. PGE_Efficacité'!$A$6:$CY$266,(MATCH('4.5 ACE MAX WOL '!Q$4,'7. PGE_Efficacité'!$A$4:$AO$4,0)+62),0)</f>
        <v>0</v>
      </c>
      <c r="R105" s="139">
        <f>VLOOKUP($E105,'7. PGE_Efficacité'!$A$6:$CY$266,(MATCH('4.5 ACE MAX WOL '!R$4,'7. PGE_Efficacité'!$A$4:$AO$4,0)+62),0)</f>
        <v>0</v>
      </c>
      <c r="S105" s="139">
        <f>VLOOKUP($E105,'7. PGE_Efficacité'!$A$6:$CY$266,(MATCH('4.5 ACE MAX WOL '!S$4,'7. PGE_Efficacité'!$A$4:$AO$4,0)+62),0)</f>
        <v>0</v>
      </c>
      <c r="T105" s="139">
        <f>VLOOKUP($E105,'7. PGE_Efficacité'!$A$6:$CY$266,(MATCH('4.5 ACE MAX WOL '!T$4,'7. PGE_Efficacité'!$A$4:$AO$4,0)+62),0)</f>
        <v>0</v>
      </c>
      <c r="U105" s="139">
        <f>VLOOKUP($E105,'7. PGE_Efficacité'!$A$6:$CY$266,(MATCH('4.5 ACE MAX WOL '!U$4,'7. PGE_Efficacité'!$A$4:$AO$4,0)+62),0)</f>
        <v>0</v>
      </c>
      <c r="V105" s="139">
        <f>VLOOKUP($E105,'7. PGE_Efficacité'!$A$6:$CY$266,(MATCH('4.5 ACE MAX WOL '!V$4,'7. PGE_Efficacité'!$A$4:$AO$4,0)+62),0)</f>
        <v>0</v>
      </c>
      <c r="W105" s="139">
        <f>VLOOKUP($E105,'7. PGE_Efficacité'!$A$6:$CY$266,(MATCH('4.5 ACE MAX WOL '!W$4,'7. PGE_Efficacité'!$A$4:$AO$4,0)+62),0)</f>
        <v>0</v>
      </c>
      <c r="X105" s="139">
        <f>VLOOKUP($E105,'7. PGE_Efficacité'!$A$6:$CY$266,(MATCH('4.5 ACE MAX WOL '!X$4,'7. PGE_Efficacité'!$A$4:$AO$4,0)+62),0)</f>
        <v>0</v>
      </c>
      <c r="Y105" s="139">
        <f>VLOOKUP($E105,'7. PGE_Efficacité'!$A$6:$CY$266,(MATCH('4.5 ACE MAX WOL '!Y$4,'7. PGE_Efficacité'!$A$4:$AO$4,0)+62),0)</f>
        <v>0</v>
      </c>
      <c r="Z105" s="139">
        <f>VLOOKUP($E105,'7. PGE_Efficacité'!$A$6:$CY$266,(MATCH('4.5 ACE MAX WOL '!Z$4,'7. PGE_Efficacité'!$A$4:$AO$4,0)+62),0)</f>
        <v>0</v>
      </c>
      <c r="AA105" s="139">
        <f>VLOOKUP($E105,'7. PGE_Efficacité'!$A$6:$CY$266,(MATCH('4.5 ACE MAX WOL '!AA$4,'7. PGE_Efficacité'!$A$4:$AO$4,0)+62),0)</f>
        <v>0</v>
      </c>
      <c r="AB105" s="139">
        <f>VLOOKUP($E105,'7. PGE_Efficacité'!$A$6:$CY$266,(MATCH('4.5 ACE MAX WOL '!AB$4,'7. PGE_Efficacité'!$A$4:$AO$4,0)+62),0)</f>
        <v>0</v>
      </c>
      <c r="AC105" s="139">
        <f>VLOOKUP($E105,'7. PGE_Efficacité'!$A$6:$CY$266,(MATCH('4.5 ACE MAX WOL '!AC$4,'7. PGE_Efficacité'!$A$4:$AO$4,0)+62),0)</f>
        <v>0</v>
      </c>
      <c r="AD105" s="139">
        <f>VLOOKUP($E105,'7. PGE_Efficacité'!$A$6:$CY$266,(MATCH('4.5 ACE MAX WOL '!AD$4,'7. PGE_Efficacité'!$A$4:$AO$4,0)+62),0)</f>
        <v>0</v>
      </c>
      <c r="AE105" s="139">
        <f>VLOOKUP($E105,'7. PGE_Efficacité'!$A$6:$CY$266,(MATCH('4.5 ACE MAX WOL '!AE$4,'7. PGE_Efficacité'!$A$4:$AO$4,0)+62),0)</f>
        <v>0</v>
      </c>
      <c r="AF105" s="139">
        <f>VLOOKUP($E105,'7. PGE_Efficacité'!$A$6:$CY$266,(MATCH('4.5 ACE MAX WOL '!AF$4,'7. PGE_Efficacité'!$A$4:$AO$4,0)+62),0)</f>
        <v>0</v>
      </c>
      <c r="AG105" s="139">
        <f>VLOOKUP($E105,'7. PGE_Efficacité'!$A$6:$CY$266,(MATCH('4.5 ACE MAX WOL '!AG$4,'7. PGE_Efficacité'!$A$4:$AO$4,0)+62),0)</f>
        <v>0</v>
      </c>
      <c r="AH105" s="139">
        <f>VLOOKUP($E105,'7. PGE_Efficacité'!$A$6:$CY$266,(MATCH('4.5 ACE MAX WOL '!AH$4,'7. PGE_Efficacité'!$A$4:$AO$4,0)+62),0)</f>
        <v>0</v>
      </c>
      <c r="AI105" s="139">
        <f>VLOOKUP($E105,'7. PGE_Efficacité'!$A$6:$CY$266,(MATCH('4.5 ACE MAX WOL '!AI$4,'7. PGE_Efficacité'!$A$4:$AO$4,0)+62),0)</f>
        <v>0</v>
      </c>
      <c r="AJ105" s="139">
        <f>VLOOKUP($E105,'7. PGE_Efficacité'!$A$6:$CY$266,(MATCH('4.5 ACE MAX WOL '!AJ$4,'7. PGE_Efficacité'!$A$4:$AO$4,0)+62),0)</f>
        <v>0</v>
      </c>
      <c r="AK105" s="139">
        <f>VLOOKUP($E105,'7. PGE_Efficacité'!$A$6:$CY$266,(MATCH('4.5 ACE MAX WOL '!AK$4,'7. PGE_Efficacité'!$A$4:$AO$4,0)+62),0)</f>
        <v>0</v>
      </c>
      <c r="AL105" s="139">
        <f>VLOOKUP($E105,'7. PGE_Efficacité'!$A$6:$CY$266,(MATCH('4.5 ACE MAX WOL '!AL$4,'7. PGE_Efficacité'!$A$4:$AO$4,0)+62),0)</f>
        <v>0</v>
      </c>
      <c r="AM105" s="139">
        <f>VLOOKUP($E105,'7. PGE_Efficacité'!$A$6:$CY$266,(MATCH('4.5 ACE MAX WOL '!AM$4,'7. PGE_Efficacité'!$A$4:$AO$4,0)+62),0)</f>
        <v>0</v>
      </c>
      <c r="AN105" s="139">
        <f>VLOOKUP($E105,'7. PGE_Efficacité'!$A$6:$CY$266,(MATCH('4.5 ACE MAX WOL '!AN$4,'7. PGE_Efficacité'!$A$4:$AO$4,0)+62),0)</f>
        <v>0</v>
      </c>
    </row>
    <row r="106" spans="1:40" hidden="1" outlineLevel="2" x14ac:dyDescent="0.25">
      <c r="A106" s="48"/>
      <c r="B106" s="49"/>
      <c r="C106" s="48"/>
      <c r="D106" s="199" t="s">
        <v>25</v>
      </c>
      <c r="E106" s="200" t="s">
        <v>754</v>
      </c>
      <c r="F106" s="200" t="s">
        <v>1408</v>
      </c>
      <c r="G106" s="201" t="s">
        <v>1521</v>
      </c>
      <c r="H106" s="200" t="s">
        <v>416</v>
      </c>
      <c r="I106" s="202"/>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row>
    <row r="107" spans="1:40" hidden="1" outlineLevel="2" x14ac:dyDescent="0.25">
      <c r="A107" s="48"/>
      <c r="B107" s="49"/>
      <c r="C107" s="48"/>
      <c r="D107" s="199" t="s">
        <v>25</v>
      </c>
      <c r="E107" s="200" t="s">
        <v>2602</v>
      </c>
      <c r="F107" s="200" t="s">
        <v>1996</v>
      </c>
      <c r="G107" s="201" t="s">
        <v>1521</v>
      </c>
      <c r="H107" s="200" t="s">
        <v>1290</v>
      </c>
      <c r="I107" s="202"/>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row>
    <row r="108" spans="1:40" hidden="1" outlineLevel="2" x14ac:dyDescent="0.25">
      <c r="A108" s="48"/>
      <c r="B108" s="49"/>
      <c r="C108" s="48"/>
      <c r="D108" s="199" t="s">
        <v>25</v>
      </c>
      <c r="E108" s="200" t="s">
        <v>2603</v>
      </c>
      <c r="F108" s="200" t="s">
        <v>1998</v>
      </c>
      <c r="G108" s="201" t="s">
        <v>1521</v>
      </c>
      <c r="H108" s="200" t="s">
        <v>1290</v>
      </c>
      <c r="I108" s="202"/>
      <c r="J108" s="139">
        <f>VLOOKUP($E108,'7. PGE_Efficacité'!$A$6:$CY$266,(MATCH('4.5 ACE MAX WOL '!J$4,'7. PGE_Efficacité'!$A$4:$AO$4,0)+62),0)</f>
        <v>0</v>
      </c>
      <c r="K108" s="139">
        <f>VLOOKUP($E108,'7. PGE_Efficacité'!$A$6:$CY$266,(MATCH('4.5 ACE MAX WOL '!K$4,'7. PGE_Efficacité'!$A$4:$AO$4,0)+62),0)</f>
        <v>0</v>
      </c>
      <c r="L108" s="139">
        <f>VLOOKUP($E108,'7. PGE_Efficacité'!$A$6:$CY$266,(MATCH('4.5 ACE MAX WOL '!L$4,'7. PGE_Efficacité'!$A$4:$AO$4,0)+62),0)</f>
        <v>0</v>
      </c>
      <c r="M108" s="139">
        <f>VLOOKUP($E108,'7. PGE_Efficacité'!$A$6:$CY$266,(MATCH('4.5 ACE MAX WOL '!M$4,'7. PGE_Efficacité'!$A$4:$AO$4,0)+62),0)</f>
        <v>0</v>
      </c>
      <c r="N108" s="139">
        <f>VLOOKUP($E108,'7. PGE_Efficacité'!$A$6:$CY$266,(MATCH('4.5 ACE MAX WOL '!N$4,'7. PGE_Efficacité'!$A$4:$AO$4,0)+62),0)</f>
        <v>0</v>
      </c>
      <c r="O108" s="139">
        <f>VLOOKUP($E108,'7. PGE_Efficacité'!$A$6:$CY$266,78,0)</f>
        <v>0</v>
      </c>
      <c r="P108" s="139">
        <f>VLOOKUP($E108,'7. PGE_Efficacité'!$A$6:$CY$266,(MATCH('4.5 ACE MAX WOL '!P$4,'7. PGE_Efficacité'!$A$4:$AO$4,0)+62),0)</f>
        <v>0</v>
      </c>
      <c r="Q108" s="139">
        <f>VLOOKUP($E108,'7. PGE_Efficacité'!$A$6:$CY$266,(MATCH('4.5 ACE MAX WOL '!Q$4,'7. PGE_Efficacité'!$A$4:$AO$4,0)+62),0)</f>
        <v>0</v>
      </c>
      <c r="R108" s="139">
        <f>VLOOKUP($E108,'7. PGE_Efficacité'!$A$6:$CY$266,(MATCH('4.5 ACE MAX WOL '!R$4,'7. PGE_Efficacité'!$A$4:$AO$4,0)+62),0)</f>
        <v>0</v>
      </c>
      <c r="S108" s="139">
        <f>VLOOKUP($E108,'7. PGE_Efficacité'!$A$6:$CY$266,(MATCH('4.5 ACE MAX WOL '!S$4,'7. PGE_Efficacité'!$A$4:$AO$4,0)+62),0)</f>
        <v>0</v>
      </c>
      <c r="T108" s="139">
        <f>VLOOKUP($E108,'7. PGE_Efficacité'!$A$6:$CY$266,(MATCH('4.5 ACE MAX WOL '!T$4,'7. PGE_Efficacité'!$A$4:$AO$4,0)+62),0)</f>
        <v>0</v>
      </c>
      <c r="U108" s="139">
        <f>VLOOKUP($E108,'7. PGE_Efficacité'!$A$6:$CY$266,(MATCH('4.5 ACE MAX WOL '!U$4,'7. PGE_Efficacité'!$A$4:$AO$4,0)+62),0)</f>
        <v>0</v>
      </c>
      <c r="V108" s="139">
        <f>VLOOKUP($E108,'7. PGE_Efficacité'!$A$6:$CY$266,(MATCH('4.5 ACE MAX WOL '!V$4,'7. PGE_Efficacité'!$A$4:$AO$4,0)+62),0)</f>
        <v>0</v>
      </c>
      <c r="W108" s="139">
        <f>VLOOKUP($E108,'7. PGE_Efficacité'!$A$6:$CY$266,(MATCH('4.5 ACE MAX WOL '!W$4,'7. PGE_Efficacité'!$A$4:$AO$4,0)+62),0)</f>
        <v>0</v>
      </c>
      <c r="X108" s="139">
        <f>VLOOKUP($E108,'7. PGE_Efficacité'!$A$6:$CY$266,(MATCH('4.5 ACE MAX WOL '!X$4,'7. PGE_Efficacité'!$A$4:$AO$4,0)+62),0)</f>
        <v>0</v>
      </c>
      <c r="Y108" s="139">
        <f>VLOOKUP($E108,'7. PGE_Efficacité'!$A$6:$CY$266,(MATCH('4.5 ACE MAX WOL '!Y$4,'7. PGE_Efficacité'!$A$4:$AO$4,0)+62),0)</f>
        <v>0</v>
      </c>
      <c r="Z108" s="139">
        <f>VLOOKUP($E108,'7. PGE_Efficacité'!$A$6:$CY$266,(MATCH('4.5 ACE MAX WOL '!Z$4,'7. PGE_Efficacité'!$A$4:$AO$4,0)+62),0)</f>
        <v>0</v>
      </c>
      <c r="AA108" s="139">
        <f>VLOOKUP($E108,'7. PGE_Efficacité'!$A$6:$CY$266,(MATCH('4.5 ACE MAX WOL '!AA$4,'7. PGE_Efficacité'!$A$4:$AO$4,0)+62),0)</f>
        <v>0</v>
      </c>
      <c r="AB108" s="139">
        <f>VLOOKUP($E108,'7. PGE_Efficacité'!$A$6:$CY$266,(MATCH('4.5 ACE MAX WOL '!AB$4,'7. PGE_Efficacité'!$A$4:$AO$4,0)+62),0)</f>
        <v>0</v>
      </c>
      <c r="AC108" s="139">
        <f>VLOOKUP($E108,'7. PGE_Efficacité'!$A$6:$CY$266,(MATCH('4.5 ACE MAX WOL '!AC$4,'7. PGE_Efficacité'!$A$4:$AO$4,0)+62),0)</f>
        <v>0</v>
      </c>
      <c r="AD108" s="139">
        <f>VLOOKUP($E108,'7. PGE_Efficacité'!$A$6:$CY$266,(MATCH('4.5 ACE MAX WOL '!AD$4,'7. PGE_Efficacité'!$A$4:$AO$4,0)+62),0)</f>
        <v>0</v>
      </c>
      <c r="AE108" s="139">
        <f>VLOOKUP($E108,'7. PGE_Efficacité'!$A$6:$CY$266,(MATCH('4.5 ACE MAX WOL '!AE$4,'7. PGE_Efficacité'!$A$4:$AO$4,0)+62),0)</f>
        <v>0</v>
      </c>
      <c r="AF108" s="139">
        <f>VLOOKUP($E108,'7. PGE_Efficacité'!$A$6:$CY$266,(MATCH('4.5 ACE MAX WOL '!AF$4,'7. PGE_Efficacité'!$A$4:$AO$4,0)+62),0)</f>
        <v>0</v>
      </c>
      <c r="AG108" s="139">
        <f>VLOOKUP($E108,'7. PGE_Efficacité'!$A$6:$CY$266,(MATCH('4.5 ACE MAX WOL '!AG$4,'7. PGE_Efficacité'!$A$4:$AO$4,0)+62),0)</f>
        <v>0</v>
      </c>
      <c r="AH108" s="139">
        <f>VLOOKUP($E108,'7. PGE_Efficacité'!$A$6:$CY$266,(MATCH('4.5 ACE MAX WOL '!AH$4,'7. PGE_Efficacité'!$A$4:$AO$4,0)+62),0)</f>
        <v>0</v>
      </c>
      <c r="AI108" s="139">
        <f>VLOOKUP($E108,'7. PGE_Efficacité'!$A$6:$CY$266,(MATCH('4.5 ACE MAX WOL '!AI$4,'7. PGE_Efficacité'!$A$4:$AO$4,0)+62),0)</f>
        <v>0</v>
      </c>
      <c r="AJ108" s="139">
        <f>VLOOKUP($E108,'7. PGE_Efficacité'!$A$6:$CY$266,(MATCH('4.5 ACE MAX WOL '!AJ$4,'7. PGE_Efficacité'!$A$4:$AO$4,0)+62),0)</f>
        <v>0</v>
      </c>
      <c r="AK108" s="139">
        <f>VLOOKUP($E108,'7. PGE_Efficacité'!$A$6:$CY$266,(MATCH('4.5 ACE MAX WOL '!AK$4,'7. PGE_Efficacité'!$A$4:$AO$4,0)+62),0)</f>
        <v>0</v>
      </c>
      <c r="AL108" s="139">
        <f>VLOOKUP($E108,'7. PGE_Efficacité'!$A$6:$CY$266,(MATCH('4.5 ACE MAX WOL '!AL$4,'7. PGE_Efficacité'!$A$4:$AO$4,0)+62),0)</f>
        <v>0</v>
      </c>
      <c r="AM108" s="139">
        <f>VLOOKUP($E108,'7. PGE_Efficacité'!$A$6:$CY$266,(MATCH('4.5 ACE MAX WOL '!AM$4,'7. PGE_Efficacité'!$A$4:$AO$4,0)+62),0)</f>
        <v>0</v>
      </c>
      <c r="AN108" s="139">
        <f>VLOOKUP($E108,'7. PGE_Efficacité'!$A$6:$CY$266,(MATCH('4.5 ACE MAX WOL '!AN$4,'7. PGE_Efficacité'!$A$4:$AO$4,0)+62),0)</f>
        <v>0</v>
      </c>
    </row>
    <row r="109" spans="1:40" outlineLevel="1" collapsed="1" x14ac:dyDescent="0.25">
      <c r="A109" s="48"/>
      <c r="B109" s="49"/>
      <c r="C109" s="48"/>
      <c r="D109" s="194" t="s">
        <v>26</v>
      </c>
      <c r="E109" s="195"/>
      <c r="F109" s="196" t="str">
        <f>VLOOKUP(D109,'1. Mesures'!$A$2:$B$116,2,0)</f>
        <v>Assurer la gestion des pollutions intra régionales et transfrontalières</v>
      </c>
      <c r="G109" s="197"/>
      <c r="H109" s="195"/>
      <c r="I109" s="198">
        <f>MEDIAN(VLOOKUP(D109,'4. Mesures_ACE_Budget'!$A$3:$N$32,13,0),(VLOOKUP(D109,'4. Mesures_ACE_Budget'!$A$3:$N$32,14,0)))</f>
        <v>0</v>
      </c>
      <c r="J109" s="235">
        <f>VLOOKUP($D109,'7. PGE_Efficacité'!$A$6:$CY$266,(MATCH('4.5 ACE MAX WOL '!J$4,'7. PGE_Efficacité'!$A$4:$AO$4,0)+62),0)</f>
        <v>0</v>
      </c>
      <c r="K109" s="235">
        <f>VLOOKUP($D109,'7. PGE_Efficacité'!$A$6:$CY$266,(MATCH('4.5 ACE MAX WOL '!K$4,'7. PGE_Efficacité'!$A$4:$AO$4,0)+62),0)</f>
        <v>0</v>
      </c>
      <c r="L109" s="235">
        <f>VLOOKUP($D109,'7. PGE_Efficacité'!$A$6:$CY$266,(MATCH('4.5 ACE MAX WOL '!L$4,'7. PGE_Efficacité'!$A$4:$AO$4,0)+62),0)</f>
        <v>0</v>
      </c>
      <c r="M109" s="235" t="str">
        <f>VLOOKUP($D109,'7. PGE_Efficacité'!$A$6:$CY$266,(MATCH('4.5 ACE MAX WOL '!M$4,'7. PGE_Efficacité'!$A$4:$AO$4,0)+62),0)</f>
        <v>+</v>
      </c>
      <c r="N109" s="235" t="str">
        <f>VLOOKUP($D109,'7. PGE_Efficacité'!$A$6:$CY$266,(MATCH('4.5 ACE MAX WOL '!N$4,'7. PGE_Efficacité'!$A$4:$AO$4,0)+62),0)</f>
        <v>+</v>
      </c>
      <c r="O109" s="235" t="str">
        <f>VLOOKUP($D109,'7. PGE_Efficacité'!$A$6:$CY$266,78,0)</f>
        <v>+</v>
      </c>
      <c r="P109" s="235">
        <f>VLOOKUP($D109,'7. PGE_Efficacité'!$A$6:$CY$266,(MATCH('4.5 ACE MAX WOL '!P$4,'7. PGE_Efficacité'!$A$4:$AO$4,0)+62),0)</f>
        <v>0</v>
      </c>
      <c r="Q109" s="235">
        <f>VLOOKUP($D109,'7. PGE_Efficacité'!$A$6:$CY$266,(MATCH('4.5 ACE MAX WOL '!Q$4,'7. PGE_Efficacité'!$A$4:$AO$4,0)+62),0)</f>
        <v>0</v>
      </c>
      <c r="R109" s="235">
        <f>VLOOKUP($D109,'7. PGE_Efficacité'!$A$6:$CY$266,(MATCH('4.5 ACE MAX WOL '!R$4,'7. PGE_Efficacité'!$A$4:$AO$4,0)+62),0)</f>
        <v>0</v>
      </c>
      <c r="S109" s="235">
        <f>VLOOKUP($D109,'7. PGE_Efficacité'!$A$6:$CY$266,(MATCH('4.5 ACE MAX WOL '!S$4,'7. PGE_Efficacité'!$A$4:$AO$4,0)+62),0)</f>
        <v>0</v>
      </c>
      <c r="T109" s="235">
        <f>VLOOKUP($D109,'7. PGE_Efficacité'!$A$6:$CY$266,(MATCH('4.5 ACE MAX WOL '!T$4,'7. PGE_Efficacité'!$A$4:$AO$4,0)+62),0)</f>
        <v>0</v>
      </c>
      <c r="U109" s="235">
        <f>VLOOKUP($D109,'7. PGE_Efficacité'!$A$6:$CY$266,(MATCH('4.5 ACE MAX WOL '!U$4,'7. PGE_Efficacité'!$A$4:$AO$4,0)+62),0)</f>
        <v>0</v>
      </c>
      <c r="V109" s="235" t="str">
        <f>VLOOKUP($D109,'7. PGE_Efficacité'!$A$6:$CY$266,(MATCH('4.5 ACE MAX WOL '!V$4,'7. PGE_Efficacité'!$A$4:$AO$4,0)+62),0)</f>
        <v>+</v>
      </c>
      <c r="W109" s="235" t="str">
        <f>VLOOKUP($D109,'7. PGE_Efficacité'!$A$6:$CY$266,(MATCH('4.5 ACE MAX WOL '!W$4,'7. PGE_Efficacité'!$A$4:$AO$4,0)+62),0)</f>
        <v>+</v>
      </c>
      <c r="X109" s="235">
        <f>VLOOKUP($D109,'7. PGE_Efficacité'!$A$6:$CY$266,(MATCH('4.5 ACE MAX WOL '!X$4,'7. PGE_Efficacité'!$A$4:$AO$4,0)+62),0)</f>
        <v>0</v>
      </c>
      <c r="Y109" s="235">
        <f>VLOOKUP($D109,'7. PGE_Efficacité'!$A$6:$CY$266,(MATCH('4.5 ACE MAX WOL '!Y$4,'7. PGE_Efficacité'!$A$4:$AO$4,0)+62),0)</f>
        <v>0</v>
      </c>
      <c r="Z109" s="235">
        <f>VLOOKUP($D109,'7. PGE_Efficacité'!$A$6:$CY$266,(MATCH('4.5 ACE MAX WOL '!Z$4,'7. PGE_Efficacité'!$A$4:$AO$4,0)+62),0)</f>
        <v>0</v>
      </c>
      <c r="AA109" s="235">
        <f>VLOOKUP($D109,'7. PGE_Efficacité'!$A$6:$CY$266,(MATCH('4.5 ACE MAX WOL '!AA$4,'7. PGE_Efficacité'!$A$4:$AO$4,0)+62),0)</f>
        <v>0</v>
      </c>
      <c r="AB109" s="235">
        <f>VLOOKUP($D109,'7. PGE_Efficacité'!$A$6:$CY$266,(MATCH('4.5 ACE MAX WOL '!AB$4,'7. PGE_Efficacité'!$A$4:$AO$4,0)+62),0)</f>
        <v>0</v>
      </c>
      <c r="AC109" s="235">
        <f>VLOOKUP($D109,'7. PGE_Efficacité'!$A$6:$CY$266,(MATCH('4.5 ACE MAX WOL '!AC$4,'7. PGE_Efficacité'!$A$4:$AO$4,0)+62),0)</f>
        <v>0</v>
      </c>
      <c r="AD109" s="235">
        <f>VLOOKUP($D109,'7. PGE_Efficacité'!$A$6:$CY$266,(MATCH('4.5 ACE MAX WOL '!AD$4,'7. PGE_Efficacité'!$A$4:$AO$4,0)+62),0)</f>
        <v>0</v>
      </c>
      <c r="AE109" s="235" t="str">
        <f>VLOOKUP($D109,'7. PGE_Efficacité'!$A$6:$CY$266,(MATCH('4.5 ACE MAX WOL '!AE$4,'7. PGE_Efficacité'!$A$4:$AO$4,0)+62),0)</f>
        <v>+</v>
      </c>
      <c r="AF109" s="235">
        <f>VLOOKUP($D109,'7. PGE_Efficacité'!$A$6:$CY$266,(MATCH('4.5 ACE MAX WOL '!AF$4,'7. PGE_Efficacité'!$A$4:$AO$4,0)+62),0)</f>
        <v>0</v>
      </c>
      <c r="AG109" s="235">
        <f>VLOOKUP($D109,'7. PGE_Efficacité'!$A$6:$CY$266,(MATCH('4.5 ACE MAX WOL '!AG$4,'7. PGE_Efficacité'!$A$4:$AO$4,0)+62),0)</f>
        <v>0</v>
      </c>
      <c r="AH109" s="235">
        <f>VLOOKUP($D109,'7. PGE_Efficacité'!$A$6:$CY$266,(MATCH('4.5 ACE MAX WOL '!AH$4,'7. PGE_Efficacité'!$A$4:$AO$4,0)+62),0)</f>
        <v>0</v>
      </c>
      <c r="AI109" s="235">
        <f>VLOOKUP($D109,'7. PGE_Efficacité'!$A$6:$CY$266,(MATCH('4.5 ACE MAX WOL '!AI$4,'7. PGE_Efficacité'!$A$4:$AO$4,0)+62),0)</f>
        <v>0</v>
      </c>
      <c r="AJ109" s="235">
        <f>VLOOKUP($D109,'7. PGE_Efficacité'!$A$6:$CY$266,(MATCH('4.5 ACE MAX WOL '!AJ$4,'7. PGE_Efficacité'!$A$4:$AO$4,0)+62),0)</f>
        <v>0</v>
      </c>
      <c r="AK109" s="235" t="str">
        <f>VLOOKUP($D109,'7. PGE_Efficacité'!$A$6:$CY$266,(MATCH('4.5 ACE MAX WOL '!AK$4,'7. PGE_Efficacité'!$A$4:$AO$4,0)+62),0)</f>
        <v>+</v>
      </c>
      <c r="AL109" s="235">
        <f>VLOOKUP($D109,'7. PGE_Efficacité'!$A$6:$CY$266,(MATCH('4.5 ACE MAX WOL '!AL$4,'7. PGE_Efficacité'!$A$4:$AO$4,0)+62),0)</f>
        <v>0</v>
      </c>
      <c r="AM109" s="235" t="str">
        <f>VLOOKUP($D109,'7. PGE_Efficacité'!$A$6:$CY$266,(MATCH('4.5 ACE MAX WOL '!AM$4,'7. PGE_Efficacité'!$A$4:$AO$4,0)+62),0)</f>
        <v>+</v>
      </c>
      <c r="AN109" s="235" t="str">
        <f>VLOOKUP($D109,'7. PGE_Efficacité'!$A$6:$CY$266,(MATCH('4.5 ACE MAX WOL '!AN$4,'7. PGE_Efficacité'!$A$4:$AO$4,0)+62),0)</f>
        <v>+</v>
      </c>
    </row>
    <row r="110" spans="1:40" hidden="1" outlineLevel="2" x14ac:dyDescent="0.25">
      <c r="A110" s="48" t="s">
        <v>1524</v>
      </c>
      <c r="B110" s="49">
        <v>25</v>
      </c>
      <c r="C110" s="48" t="s">
        <v>1524</v>
      </c>
      <c r="D110" s="199" t="s">
        <v>26</v>
      </c>
      <c r="E110" s="200" t="s">
        <v>755</v>
      </c>
      <c r="F110" s="200" t="s">
        <v>1641</v>
      </c>
      <c r="G110" s="201" t="s">
        <v>1521</v>
      </c>
      <c r="H110" s="200" t="s">
        <v>1290</v>
      </c>
      <c r="I110" s="202"/>
      <c r="J110" s="139">
        <f>VLOOKUP($E110,'7. PGE_Efficacité'!$A$6:$CY$266,(MATCH('4.5 ACE MAX WOL '!J$4,'7. PGE_Efficacité'!$A$4:$AO$4,0)+62),0)</f>
        <v>0</v>
      </c>
      <c r="K110" s="139">
        <f>VLOOKUP($E110,'7. PGE_Efficacité'!$A$6:$CY$266,(MATCH('4.5 ACE MAX WOL '!K$4,'7. PGE_Efficacité'!$A$4:$AO$4,0)+62),0)</f>
        <v>0</v>
      </c>
      <c r="L110" s="139">
        <f>VLOOKUP($E110,'7. PGE_Efficacité'!$A$6:$CY$266,(MATCH('4.5 ACE MAX WOL '!L$4,'7. PGE_Efficacité'!$A$4:$AO$4,0)+62),0)</f>
        <v>0</v>
      </c>
      <c r="M110" s="139">
        <f>VLOOKUP($E110,'7. PGE_Efficacité'!$A$6:$CY$266,(MATCH('4.5 ACE MAX WOL '!M$4,'7. PGE_Efficacité'!$A$4:$AO$4,0)+62),0)</f>
        <v>0</v>
      </c>
      <c r="N110" s="139">
        <f>VLOOKUP($E110,'7. PGE_Efficacité'!$A$6:$CY$266,(MATCH('4.5 ACE MAX WOL '!N$4,'7. PGE_Efficacité'!$A$4:$AO$4,0)+62),0)</f>
        <v>0</v>
      </c>
      <c r="O110" s="139">
        <f>VLOOKUP($E110,'7. PGE_Efficacité'!$A$6:$CY$266,78,0)</f>
        <v>0</v>
      </c>
      <c r="P110" s="139">
        <f>VLOOKUP($E110,'7. PGE_Efficacité'!$A$6:$CY$266,(MATCH('4.5 ACE MAX WOL '!P$4,'7. PGE_Efficacité'!$A$4:$AO$4,0)+62),0)</f>
        <v>0</v>
      </c>
      <c r="Q110" s="139">
        <f>VLOOKUP($E110,'7. PGE_Efficacité'!$A$6:$CY$266,(MATCH('4.5 ACE MAX WOL '!Q$4,'7. PGE_Efficacité'!$A$4:$AO$4,0)+62),0)</f>
        <v>0</v>
      </c>
      <c r="R110" s="139">
        <f>VLOOKUP($E110,'7. PGE_Efficacité'!$A$6:$CY$266,(MATCH('4.5 ACE MAX WOL '!R$4,'7. PGE_Efficacité'!$A$4:$AO$4,0)+62),0)</f>
        <v>0</v>
      </c>
      <c r="S110" s="139">
        <f>VLOOKUP($E110,'7. PGE_Efficacité'!$A$6:$CY$266,(MATCH('4.5 ACE MAX WOL '!S$4,'7. PGE_Efficacité'!$A$4:$AO$4,0)+62),0)</f>
        <v>0</v>
      </c>
      <c r="T110" s="139">
        <f>VLOOKUP($E110,'7. PGE_Efficacité'!$A$6:$CY$266,(MATCH('4.5 ACE MAX WOL '!T$4,'7. PGE_Efficacité'!$A$4:$AO$4,0)+62),0)</f>
        <v>0</v>
      </c>
      <c r="U110" s="139">
        <f>VLOOKUP($E110,'7. PGE_Efficacité'!$A$6:$CY$266,(MATCH('4.5 ACE MAX WOL '!U$4,'7. PGE_Efficacité'!$A$4:$AO$4,0)+62),0)</f>
        <v>0</v>
      </c>
      <c r="V110" s="139">
        <f>VLOOKUP($E110,'7. PGE_Efficacité'!$A$6:$CY$266,(MATCH('4.5 ACE MAX WOL '!V$4,'7. PGE_Efficacité'!$A$4:$AO$4,0)+62),0)</f>
        <v>0</v>
      </c>
      <c r="W110" s="139">
        <f>VLOOKUP($E110,'7. PGE_Efficacité'!$A$6:$CY$266,(MATCH('4.5 ACE MAX WOL '!W$4,'7. PGE_Efficacité'!$A$4:$AO$4,0)+62),0)</f>
        <v>0</v>
      </c>
      <c r="X110" s="139">
        <f>VLOOKUP($E110,'7. PGE_Efficacité'!$A$6:$CY$266,(MATCH('4.5 ACE MAX WOL '!X$4,'7. PGE_Efficacité'!$A$4:$AO$4,0)+62),0)</f>
        <v>0</v>
      </c>
      <c r="Y110" s="139">
        <f>VLOOKUP($E110,'7. PGE_Efficacité'!$A$6:$CY$266,(MATCH('4.5 ACE MAX WOL '!Y$4,'7. PGE_Efficacité'!$A$4:$AO$4,0)+62),0)</f>
        <v>0</v>
      </c>
      <c r="Z110" s="139">
        <f>VLOOKUP($E110,'7. PGE_Efficacité'!$A$6:$CY$266,(MATCH('4.5 ACE MAX WOL '!Z$4,'7. PGE_Efficacité'!$A$4:$AO$4,0)+62),0)</f>
        <v>0</v>
      </c>
      <c r="AA110" s="139">
        <f>VLOOKUP($E110,'7. PGE_Efficacité'!$A$6:$CY$266,(MATCH('4.5 ACE MAX WOL '!AA$4,'7. PGE_Efficacité'!$A$4:$AO$4,0)+62),0)</f>
        <v>0</v>
      </c>
      <c r="AB110" s="139">
        <f>VLOOKUP($E110,'7. PGE_Efficacité'!$A$6:$CY$266,(MATCH('4.5 ACE MAX WOL '!AB$4,'7. PGE_Efficacité'!$A$4:$AO$4,0)+62),0)</f>
        <v>0</v>
      </c>
      <c r="AC110" s="139">
        <f>VLOOKUP($E110,'7. PGE_Efficacité'!$A$6:$CY$266,(MATCH('4.5 ACE MAX WOL '!AC$4,'7. PGE_Efficacité'!$A$4:$AO$4,0)+62),0)</f>
        <v>0</v>
      </c>
      <c r="AD110" s="139">
        <f>VLOOKUP($E110,'7. PGE_Efficacité'!$A$6:$CY$266,(MATCH('4.5 ACE MAX WOL '!AD$4,'7. PGE_Efficacité'!$A$4:$AO$4,0)+62),0)</f>
        <v>0</v>
      </c>
      <c r="AE110" s="139">
        <f>VLOOKUP($E110,'7. PGE_Efficacité'!$A$6:$CY$266,(MATCH('4.5 ACE MAX WOL '!AE$4,'7. PGE_Efficacité'!$A$4:$AO$4,0)+62),0)</f>
        <v>0</v>
      </c>
      <c r="AF110" s="139">
        <f>VLOOKUP($E110,'7. PGE_Efficacité'!$A$6:$CY$266,(MATCH('4.5 ACE MAX WOL '!AF$4,'7. PGE_Efficacité'!$A$4:$AO$4,0)+62),0)</f>
        <v>0</v>
      </c>
      <c r="AG110" s="139">
        <f>VLOOKUP($E110,'7. PGE_Efficacité'!$A$6:$CY$266,(MATCH('4.5 ACE MAX WOL '!AG$4,'7. PGE_Efficacité'!$A$4:$AO$4,0)+62),0)</f>
        <v>0</v>
      </c>
      <c r="AH110" s="139">
        <f>VLOOKUP($E110,'7. PGE_Efficacité'!$A$6:$CY$266,(MATCH('4.5 ACE MAX WOL '!AH$4,'7. PGE_Efficacité'!$A$4:$AO$4,0)+62),0)</f>
        <v>0</v>
      </c>
      <c r="AI110" s="139">
        <f>VLOOKUP($E110,'7. PGE_Efficacité'!$A$6:$CY$266,(MATCH('4.5 ACE MAX WOL '!AI$4,'7. PGE_Efficacité'!$A$4:$AO$4,0)+62),0)</f>
        <v>0</v>
      </c>
      <c r="AJ110" s="139">
        <f>VLOOKUP($E110,'7. PGE_Efficacité'!$A$6:$CY$266,(MATCH('4.5 ACE MAX WOL '!AJ$4,'7. PGE_Efficacité'!$A$4:$AO$4,0)+62),0)</f>
        <v>0</v>
      </c>
      <c r="AK110" s="139">
        <f>VLOOKUP($E110,'7. PGE_Efficacité'!$A$6:$CY$266,(MATCH('4.5 ACE MAX WOL '!AK$4,'7. PGE_Efficacité'!$A$4:$AO$4,0)+62),0)</f>
        <v>0</v>
      </c>
      <c r="AL110" s="139">
        <f>VLOOKUP($E110,'7. PGE_Efficacité'!$A$6:$CY$266,(MATCH('4.5 ACE MAX WOL '!AL$4,'7. PGE_Efficacité'!$A$4:$AO$4,0)+62),0)</f>
        <v>0</v>
      </c>
      <c r="AM110" s="139">
        <f>VLOOKUP($E110,'7. PGE_Efficacité'!$A$6:$CY$266,(MATCH('4.5 ACE MAX WOL '!AM$4,'7. PGE_Efficacité'!$A$4:$AO$4,0)+62),0)</f>
        <v>0</v>
      </c>
      <c r="AN110" s="139">
        <f>VLOOKUP($E110,'7. PGE_Efficacité'!$A$6:$CY$266,(MATCH('4.5 ACE MAX WOL '!AN$4,'7. PGE_Efficacité'!$A$4:$AO$4,0)+62),0)</f>
        <v>0</v>
      </c>
    </row>
    <row r="111" spans="1:40" hidden="1" outlineLevel="2" x14ac:dyDescent="0.25">
      <c r="A111" s="48" t="s">
        <v>1524</v>
      </c>
      <c r="B111" s="49">
        <v>25</v>
      </c>
      <c r="C111" s="48" t="s">
        <v>1525</v>
      </c>
      <c r="D111" s="199" t="s">
        <v>26</v>
      </c>
      <c r="E111" s="200" t="s">
        <v>756</v>
      </c>
      <c r="F111" s="200" t="s">
        <v>1644</v>
      </c>
      <c r="G111" s="201" t="s">
        <v>1521</v>
      </c>
      <c r="H111" s="200" t="s">
        <v>1290</v>
      </c>
      <c r="I111" s="202"/>
      <c r="J111" s="139">
        <f>VLOOKUP($E111,'7. PGE_Efficacité'!$A$6:$CY$266,(MATCH('4.5 ACE MAX WOL '!J$4,'7. PGE_Efficacité'!$A$4:$AO$4,0)+62),0)</f>
        <v>0</v>
      </c>
      <c r="K111" s="139">
        <f>VLOOKUP($E111,'7. PGE_Efficacité'!$A$6:$CY$266,(MATCH('4.5 ACE MAX WOL '!K$4,'7. PGE_Efficacité'!$A$4:$AO$4,0)+62),0)</f>
        <v>0</v>
      </c>
      <c r="L111" s="139">
        <f>VLOOKUP($E111,'7. PGE_Efficacité'!$A$6:$CY$266,(MATCH('4.5 ACE MAX WOL '!L$4,'7. PGE_Efficacité'!$A$4:$AO$4,0)+62),0)</f>
        <v>0</v>
      </c>
      <c r="M111" s="139">
        <f>VLOOKUP($E111,'7. PGE_Efficacité'!$A$6:$CY$266,(MATCH('4.5 ACE MAX WOL '!M$4,'7. PGE_Efficacité'!$A$4:$AO$4,0)+62),0)</f>
        <v>0</v>
      </c>
      <c r="N111" s="139">
        <f>VLOOKUP($E111,'7. PGE_Efficacité'!$A$6:$CY$266,(MATCH('4.5 ACE MAX WOL '!N$4,'7. PGE_Efficacité'!$A$4:$AO$4,0)+62),0)</f>
        <v>0</v>
      </c>
      <c r="O111" s="139">
        <f>VLOOKUP($E111,'7. PGE_Efficacité'!$A$6:$CY$266,78,0)</f>
        <v>0</v>
      </c>
      <c r="P111" s="139">
        <f>VLOOKUP($E111,'7. PGE_Efficacité'!$A$6:$CY$266,(MATCH('4.5 ACE MAX WOL '!P$4,'7. PGE_Efficacité'!$A$4:$AO$4,0)+62),0)</f>
        <v>0</v>
      </c>
      <c r="Q111" s="139">
        <f>VLOOKUP($E111,'7. PGE_Efficacité'!$A$6:$CY$266,(MATCH('4.5 ACE MAX WOL '!Q$4,'7. PGE_Efficacité'!$A$4:$AO$4,0)+62),0)</f>
        <v>0</v>
      </c>
      <c r="R111" s="139">
        <f>VLOOKUP($E111,'7. PGE_Efficacité'!$A$6:$CY$266,(MATCH('4.5 ACE MAX WOL '!R$4,'7. PGE_Efficacité'!$A$4:$AO$4,0)+62),0)</f>
        <v>0</v>
      </c>
      <c r="S111" s="139">
        <f>VLOOKUP($E111,'7. PGE_Efficacité'!$A$6:$CY$266,(MATCH('4.5 ACE MAX WOL '!S$4,'7. PGE_Efficacité'!$A$4:$AO$4,0)+62),0)</f>
        <v>0</v>
      </c>
      <c r="T111" s="139">
        <f>VLOOKUP($E111,'7. PGE_Efficacité'!$A$6:$CY$266,(MATCH('4.5 ACE MAX WOL '!T$4,'7. PGE_Efficacité'!$A$4:$AO$4,0)+62),0)</f>
        <v>0</v>
      </c>
      <c r="U111" s="139">
        <f>VLOOKUP($E111,'7. PGE_Efficacité'!$A$6:$CY$266,(MATCH('4.5 ACE MAX WOL '!U$4,'7. PGE_Efficacité'!$A$4:$AO$4,0)+62),0)</f>
        <v>0</v>
      </c>
      <c r="V111" s="139">
        <f>VLOOKUP($E111,'7. PGE_Efficacité'!$A$6:$CY$266,(MATCH('4.5 ACE MAX WOL '!V$4,'7. PGE_Efficacité'!$A$4:$AO$4,0)+62),0)</f>
        <v>0</v>
      </c>
      <c r="W111" s="139">
        <f>VLOOKUP($E111,'7. PGE_Efficacité'!$A$6:$CY$266,(MATCH('4.5 ACE MAX WOL '!W$4,'7. PGE_Efficacité'!$A$4:$AO$4,0)+62),0)</f>
        <v>0</v>
      </c>
      <c r="X111" s="139">
        <f>VLOOKUP($E111,'7. PGE_Efficacité'!$A$6:$CY$266,(MATCH('4.5 ACE MAX WOL '!X$4,'7. PGE_Efficacité'!$A$4:$AO$4,0)+62),0)</f>
        <v>0</v>
      </c>
      <c r="Y111" s="139">
        <f>VLOOKUP($E111,'7. PGE_Efficacité'!$A$6:$CY$266,(MATCH('4.5 ACE MAX WOL '!Y$4,'7. PGE_Efficacité'!$A$4:$AO$4,0)+62),0)</f>
        <v>0</v>
      </c>
      <c r="Z111" s="139">
        <f>VLOOKUP($E111,'7. PGE_Efficacité'!$A$6:$CY$266,(MATCH('4.5 ACE MAX WOL '!Z$4,'7. PGE_Efficacité'!$A$4:$AO$4,0)+62),0)</f>
        <v>0</v>
      </c>
      <c r="AA111" s="139">
        <f>VLOOKUP($E111,'7. PGE_Efficacité'!$A$6:$CY$266,(MATCH('4.5 ACE MAX WOL '!AA$4,'7. PGE_Efficacité'!$A$4:$AO$4,0)+62),0)</f>
        <v>0</v>
      </c>
      <c r="AB111" s="139">
        <f>VLOOKUP($E111,'7. PGE_Efficacité'!$A$6:$CY$266,(MATCH('4.5 ACE MAX WOL '!AB$4,'7. PGE_Efficacité'!$A$4:$AO$4,0)+62),0)</f>
        <v>0</v>
      </c>
      <c r="AC111" s="139">
        <f>VLOOKUP($E111,'7. PGE_Efficacité'!$A$6:$CY$266,(MATCH('4.5 ACE MAX WOL '!AC$4,'7. PGE_Efficacité'!$A$4:$AO$4,0)+62),0)</f>
        <v>0</v>
      </c>
      <c r="AD111" s="139">
        <f>VLOOKUP($E111,'7. PGE_Efficacité'!$A$6:$CY$266,(MATCH('4.5 ACE MAX WOL '!AD$4,'7. PGE_Efficacité'!$A$4:$AO$4,0)+62),0)</f>
        <v>0</v>
      </c>
      <c r="AE111" s="139">
        <f>VLOOKUP($E111,'7. PGE_Efficacité'!$A$6:$CY$266,(MATCH('4.5 ACE MAX WOL '!AE$4,'7. PGE_Efficacité'!$A$4:$AO$4,0)+62),0)</f>
        <v>0</v>
      </c>
      <c r="AF111" s="139">
        <f>VLOOKUP($E111,'7. PGE_Efficacité'!$A$6:$CY$266,(MATCH('4.5 ACE MAX WOL '!AF$4,'7. PGE_Efficacité'!$A$4:$AO$4,0)+62),0)</f>
        <v>0</v>
      </c>
      <c r="AG111" s="139">
        <f>VLOOKUP($E111,'7. PGE_Efficacité'!$A$6:$CY$266,(MATCH('4.5 ACE MAX WOL '!AG$4,'7. PGE_Efficacité'!$A$4:$AO$4,0)+62),0)</f>
        <v>0</v>
      </c>
      <c r="AH111" s="139">
        <f>VLOOKUP($E111,'7. PGE_Efficacité'!$A$6:$CY$266,(MATCH('4.5 ACE MAX WOL '!AH$4,'7. PGE_Efficacité'!$A$4:$AO$4,0)+62),0)</f>
        <v>0</v>
      </c>
      <c r="AI111" s="139">
        <f>VLOOKUP($E111,'7. PGE_Efficacité'!$A$6:$CY$266,(MATCH('4.5 ACE MAX WOL '!AI$4,'7. PGE_Efficacité'!$A$4:$AO$4,0)+62),0)</f>
        <v>0</v>
      </c>
      <c r="AJ111" s="139">
        <f>VLOOKUP($E111,'7. PGE_Efficacité'!$A$6:$CY$266,(MATCH('4.5 ACE MAX WOL '!AJ$4,'7. PGE_Efficacité'!$A$4:$AO$4,0)+62),0)</f>
        <v>0</v>
      </c>
      <c r="AK111" s="139">
        <f>VLOOKUP($E111,'7. PGE_Efficacité'!$A$6:$CY$266,(MATCH('4.5 ACE MAX WOL '!AK$4,'7. PGE_Efficacité'!$A$4:$AO$4,0)+62),0)</f>
        <v>0</v>
      </c>
      <c r="AL111" s="139">
        <f>VLOOKUP($E111,'7. PGE_Efficacité'!$A$6:$CY$266,(MATCH('4.5 ACE MAX WOL '!AL$4,'7. PGE_Efficacité'!$A$4:$AO$4,0)+62),0)</f>
        <v>0</v>
      </c>
      <c r="AM111" s="139">
        <f>VLOOKUP($E111,'7. PGE_Efficacité'!$A$6:$CY$266,(MATCH('4.5 ACE MAX WOL '!AM$4,'7. PGE_Efficacité'!$A$4:$AO$4,0)+62),0)</f>
        <v>0</v>
      </c>
      <c r="AN111" s="139">
        <f>VLOOKUP($E111,'7. PGE_Efficacité'!$A$6:$CY$266,(MATCH('4.5 ACE MAX WOL '!AN$4,'7. PGE_Efficacité'!$A$4:$AO$4,0)+62),0)</f>
        <v>0</v>
      </c>
    </row>
    <row r="112" spans="1:40" hidden="1" outlineLevel="2" x14ac:dyDescent="0.25">
      <c r="A112" s="48" t="s">
        <v>1524</v>
      </c>
      <c r="B112" s="49">
        <v>25</v>
      </c>
      <c r="C112" s="48" t="s">
        <v>1526</v>
      </c>
      <c r="D112" s="199" t="s">
        <v>26</v>
      </c>
      <c r="E112" s="200" t="s">
        <v>757</v>
      </c>
      <c r="F112" s="200" t="s">
        <v>1645</v>
      </c>
      <c r="G112" s="201" t="s">
        <v>1521</v>
      </c>
      <c r="H112" s="200" t="s">
        <v>1290</v>
      </c>
      <c r="I112" s="202"/>
      <c r="J112" s="139">
        <f>VLOOKUP($E112,'7. PGE_Efficacité'!$A$6:$CY$266,(MATCH('4.5 ACE MAX WOL '!J$4,'7. PGE_Efficacité'!$A$4:$AO$4,0)+62),0)</f>
        <v>0</v>
      </c>
      <c r="K112" s="139">
        <f>VLOOKUP($E112,'7. PGE_Efficacité'!$A$6:$CY$266,(MATCH('4.5 ACE MAX WOL '!K$4,'7. PGE_Efficacité'!$A$4:$AO$4,0)+62),0)</f>
        <v>0</v>
      </c>
      <c r="L112" s="139">
        <f>VLOOKUP($E112,'7. PGE_Efficacité'!$A$6:$CY$266,(MATCH('4.5 ACE MAX WOL '!L$4,'7. PGE_Efficacité'!$A$4:$AO$4,0)+62),0)</f>
        <v>0</v>
      </c>
      <c r="M112" s="139">
        <f>VLOOKUP($E112,'7. PGE_Efficacité'!$A$6:$CY$266,(MATCH('4.5 ACE MAX WOL '!M$4,'7. PGE_Efficacité'!$A$4:$AO$4,0)+62),0)</f>
        <v>0</v>
      </c>
      <c r="N112" s="139">
        <f>VLOOKUP($E112,'7. PGE_Efficacité'!$A$6:$CY$266,(MATCH('4.5 ACE MAX WOL '!N$4,'7. PGE_Efficacité'!$A$4:$AO$4,0)+62),0)</f>
        <v>0</v>
      </c>
      <c r="O112" s="139">
        <f>VLOOKUP($E112,'7. PGE_Efficacité'!$A$6:$CY$266,78,0)</f>
        <v>0</v>
      </c>
      <c r="P112" s="139">
        <f>VLOOKUP($E112,'7. PGE_Efficacité'!$A$6:$CY$266,(MATCH('4.5 ACE MAX WOL '!P$4,'7. PGE_Efficacité'!$A$4:$AO$4,0)+62),0)</f>
        <v>0</v>
      </c>
      <c r="Q112" s="139">
        <f>VLOOKUP($E112,'7. PGE_Efficacité'!$A$6:$CY$266,(MATCH('4.5 ACE MAX WOL '!Q$4,'7. PGE_Efficacité'!$A$4:$AO$4,0)+62),0)</f>
        <v>0</v>
      </c>
      <c r="R112" s="139">
        <f>VLOOKUP($E112,'7. PGE_Efficacité'!$A$6:$CY$266,(MATCH('4.5 ACE MAX WOL '!R$4,'7. PGE_Efficacité'!$A$4:$AO$4,0)+62),0)</f>
        <v>0</v>
      </c>
      <c r="S112" s="139">
        <f>VLOOKUP($E112,'7. PGE_Efficacité'!$A$6:$CY$266,(MATCH('4.5 ACE MAX WOL '!S$4,'7. PGE_Efficacité'!$A$4:$AO$4,0)+62),0)</f>
        <v>0</v>
      </c>
      <c r="T112" s="139">
        <f>VLOOKUP($E112,'7. PGE_Efficacité'!$A$6:$CY$266,(MATCH('4.5 ACE MAX WOL '!T$4,'7. PGE_Efficacité'!$A$4:$AO$4,0)+62),0)</f>
        <v>0</v>
      </c>
      <c r="U112" s="139">
        <f>VLOOKUP($E112,'7. PGE_Efficacité'!$A$6:$CY$266,(MATCH('4.5 ACE MAX WOL '!U$4,'7. PGE_Efficacité'!$A$4:$AO$4,0)+62),0)</f>
        <v>0</v>
      </c>
      <c r="V112" s="139">
        <f>VLOOKUP($E112,'7. PGE_Efficacité'!$A$6:$CY$266,(MATCH('4.5 ACE MAX WOL '!V$4,'7. PGE_Efficacité'!$A$4:$AO$4,0)+62),0)</f>
        <v>0</v>
      </c>
      <c r="W112" s="139">
        <f>VLOOKUP($E112,'7. PGE_Efficacité'!$A$6:$CY$266,(MATCH('4.5 ACE MAX WOL '!W$4,'7. PGE_Efficacité'!$A$4:$AO$4,0)+62),0)</f>
        <v>0</v>
      </c>
      <c r="X112" s="139">
        <f>VLOOKUP($E112,'7. PGE_Efficacité'!$A$6:$CY$266,(MATCH('4.5 ACE MAX WOL '!X$4,'7. PGE_Efficacité'!$A$4:$AO$4,0)+62),0)</f>
        <v>0</v>
      </c>
      <c r="Y112" s="139">
        <f>VLOOKUP($E112,'7. PGE_Efficacité'!$A$6:$CY$266,(MATCH('4.5 ACE MAX WOL '!Y$4,'7. PGE_Efficacité'!$A$4:$AO$4,0)+62),0)</f>
        <v>0</v>
      </c>
      <c r="Z112" s="139">
        <f>VLOOKUP($E112,'7. PGE_Efficacité'!$A$6:$CY$266,(MATCH('4.5 ACE MAX WOL '!Z$4,'7. PGE_Efficacité'!$A$4:$AO$4,0)+62),0)</f>
        <v>0</v>
      </c>
      <c r="AA112" s="139">
        <f>VLOOKUP($E112,'7. PGE_Efficacité'!$A$6:$CY$266,(MATCH('4.5 ACE MAX WOL '!AA$4,'7. PGE_Efficacité'!$A$4:$AO$4,0)+62),0)</f>
        <v>0</v>
      </c>
      <c r="AB112" s="139">
        <f>VLOOKUP($E112,'7. PGE_Efficacité'!$A$6:$CY$266,(MATCH('4.5 ACE MAX WOL '!AB$4,'7. PGE_Efficacité'!$A$4:$AO$4,0)+62),0)</f>
        <v>0</v>
      </c>
      <c r="AC112" s="139">
        <f>VLOOKUP($E112,'7. PGE_Efficacité'!$A$6:$CY$266,(MATCH('4.5 ACE MAX WOL '!AC$4,'7. PGE_Efficacité'!$A$4:$AO$4,0)+62),0)</f>
        <v>0</v>
      </c>
      <c r="AD112" s="139">
        <f>VLOOKUP($E112,'7. PGE_Efficacité'!$A$6:$CY$266,(MATCH('4.5 ACE MAX WOL '!AD$4,'7. PGE_Efficacité'!$A$4:$AO$4,0)+62),0)</f>
        <v>0</v>
      </c>
      <c r="AE112" s="139">
        <f>VLOOKUP($E112,'7. PGE_Efficacité'!$A$6:$CY$266,(MATCH('4.5 ACE MAX WOL '!AE$4,'7. PGE_Efficacité'!$A$4:$AO$4,0)+62),0)</f>
        <v>0</v>
      </c>
      <c r="AF112" s="139">
        <f>VLOOKUP($E112,'7. PGE_Efficacité'!$A$6:$CY$266,(MATCH('4.5 ACE MAX WOL '!AF$4,'7. PGE_Efficacité'!$A$4:$AO$4,0)+62),0)</f>
        <v>0</v>
      </c>
      <c r="AG112" s="139">
        <f>VLOOKUP($E112,'7. PGE_Efficacité'!$A$6:$CY$266,(MATCH('4.5 ACE MAX WOL '!AG$4,'7. PGE_Efficacité'!$A$4:$AO$4,0)+62),0)</f>
        <v>0</v>
      </c>
      <c r="AH112" s="139">
        <f>VLOOKUP($E112,'7. PGE_Efficacité'!$A$6:$CY$266,(MATCH('4.5 ACE MAX WOL '!AH$4,'7. PGE_Efficacité'!$A$4:$AO$4,0)+62),0)</f>
        <v>0</v>
      </c>
      <c r="AI112" s="139">
        <f>VLOOKUP($E112,'7. PGE_Efficacité'!$A$6:$CY$266,(MATCH('4.5 ACE MAX WOL '!AI$4,'7. PGE_Efficacité'!$A$4:$AO$4,0)+62),0)</f>
        <v>0</v>
      </c>
      <c r="AJ112" s="139">
        <f>VLOOKUP($E112,'7. PGE_Efficacité'!$A$6:$CY$266,(MATCH('4.5 ACE MAX WOL '!AJ$4,'7. PGE_Efficacité'!$A$4:$AO$4,0)+62),0)</f>
        <v>0</v>
      </c>
      <c r="AK112" s="139">
        <f>VLOOKUP($E112,'7. PGE_Efficacité'!$A$6:$CY$266,(MATCH('4.5 ACE MAX WOL '!AK$4,'7. PGE_Efficacité'!$A$4:$AO$4,0)+62),0)</f>
        <v>0</v>
      </c>
      <c r="AL112" s="139">
        <f>VLOOKUP($E112,'7. PGE_Efficacité'!$A$6:$CY$266,(MATCH('4.5 ACE MAX WOL '!AL$4,'7. PGE_Efficacité'!$A$4:$AO$4,0)+62),0)</f>
        <v>0</v>
      </c>
      <c r="AM112" s="139">
        <f>VLOOKUP($E112,'7. PGE_Efficacité'!$A$6:$CY$266,(MATCH('4.5 ACE MAX WOL '!AM$4,'7. PGE_Efficacité'!$A$4:$AO$4,0)+62),0)</f>
        <v>0</v>
      </c>
      <c r="AN112" s="139">
        <f>VLOOKUP($E112,'7. PGE_Efficacité'!$A$6:$CY$266,(MATCH('4.5 ACE MAX WOL '!AN$4,'7. PGE_Efficacité'!$A$4:$AO$4,0)+62),0)</f>
        <v>0</v>
      </c>
    </row>
    <row r="113" spans="1:40" hidden="1" outlineLevel="2" x14ac:dyDescent="0.25">
      <c r="A113" s="48" t="s">
        <v>1524</v>
      </c>
      <c r="B113" s="49">
        <v>25</v>
      </c>
      <c r="C113" s="48" t="s">
        <v>1527</v>
      </c>
      <c r="D113" s="199" t="s">
        <v>26</v>
      </c>
      <c r="E113" s="200" t="s">
        <v>758</v>
      </c>
      <c r="F113" s="200" t="s">
        <v>1646</v>
      </c>
      <c r="G113" s="201" t="s">
        <v>1521</v>
      </c>
      <c r="H113" s="200" t="s">
        <v>1290</v>
      </c>
      <c r="I113" s="202"/>
      <c r="J113" s="139">
        <f>VLOOKUP($E113,'7. PGE_Efficacité'!$A$6:$CY$266,(MATCH('4.5 ACE MAX WOL '!J$4,'7. PGE_Efficacité'!$A$4:$AO$4,0)+62),0)</f>
        <v>0</v>
      </c>
      <c r="K113" s="139">
        <f>VLOOKUP($E113,'7. PGE_Efficacité'!$A$6:$CY$266,(MATCH('4.5 ACE MAX WOL '!K$4,'7. PGE_Efficacité'!$A$4:$AO$4,0)+62),0)</f>
        <v>0</v>
      </c>
      <c r="L113" s="139">
        <f>VLOOKUP($E113,'7. PGE_Efficacité'!$A$6:$CY$266,(MATCH('4.5 ACE MAX WOL '!L$4,'7. PGE_Efficacité'!$A$4:$AO$4,0)+62),0)</f>
        <v>0</v>
      </c>
      <c r="M113" s="139">
        <f>VLOOKUP($E113,'7. PGE_Efficacité'!$A$6:$CY$266,(MATCH('4.5 ACE MAX WOL '!M$4,'7. PGE_Efficacité'!$A$4:$AO$4,0)+62),0)</f>
        <v>0</v>
      </c>
      <c r="N113" s="139">
        <f>VLOOKUP($E113,'7. PGE_Efficacité'!$A$6:$CY$266,(MATCH('4.5 ACE MAX WOL '!N$4,'7. PGE_Efficacité'!$A$4:$AO$4,0)+62),0)</f>
        <v>0</v>
      </c>
      <c r="O113" s="139">
        <f>VLOOKUP($E113,'7. PGE_Efficacité'!$A$6:$CY$266,78,0)</f>
        <v>0</v>
      </c>
      <c r="P113" s="139">
        <f>VLOOKUP($E113,'7. PGE_Efficacité'!$A$6:$CY$266,(MATCH('4.5 ACE MAX WOL '!P$4,'7. PGE_Efficacité'!$A$4:$AO$4,0)+62),0)</f>
        <v>0</v>
      </c>
      <c r="Q113" s="139">
        <f>VLOOKUP($E113,'7. PGE_Efficacité'!$A$6:$CY$266,(MATCH('4.5 ACE MAX WOL '!Q$4,'7. PGE_Efficacité'!$A$4:$AO$4,0)+62),0)</f>
        <v>0</v>
      </c>
      <c r="R113" s="139">
        <f>VLOOKUP($E113,'7. PGE_Efficacité'!$A$6:$CY$266,(MATCH('4.5 ACE MAX WOL '!R$4,'7. PGE_Efficacité'!$A$4:$AO$4,0)+62),0)</f>
        <v>0</v>
      </c>
      <c r="S113" s="139">
        <f>VLOOKUP($E113,'7. PGE_Efficacité'!$A$6:$CY$266,(MATCH('4.5 ACE MAX WOL '!S$4,'7. PGE_Efficacité'!$A$4:$AO$4,0)+62),0)</f>
        <v>0</v>
      </c>
      <c r="T113" s="139">
        <f>VLOOKUP($E113,'7. PGE_Efficacité'!$A$6:$CY$266,(MATCH('4.5 ACE MAX WOL '!T$4,'7. PGE_Efficacité'!$A$4:$AO$4,0)+62),0)</f>
        <v>0</v>
      </c>
      <c r="U113" s="139">
        <f>VLOOKUP($E113,'7. PGE_Efficacité'!$A$6:$CY$266,(MATCH('4.5 ACE MAX WOL '!U$4,'7. PGE_Efficacité'!$A$4:$AO$4,0)+62),0)</f>
        <v>0</v>
      </c>
      <c r="V113" s="139">
        <f>VLOOKUP($E113,'7. PGE_Efficacité'!$A$6:$CY$266,(MATCH('4.5 ACE MAX WOL '!V$4,'7. PGE_Efficacité'!$A$4:$AO$4,0)+62),0)</f>
        <v>0</v>
      </c>
      <c r="W113" s="139">
        <f>VLOOKUP($E113,'7. PGE_Efficacité'!$A$6:$CY$266,(MATCH('4.5 ACE MAX WOL '!W$4,'7. PGE_Efficacité'!$A$4:$AO$4,0)+62),0)</f>
        <v>0</v>
      </c>
      <c r="X113" s="139">
        <f>VLOOKUP($E113,'7. PGE_Efficacité'!$A$6:$CY$266,(MATCH('4.5 ACE MAX WOL '!X$4,'7. PGE_Efficacité'!$A$4:$AO$4,0)+62),0)</f>
        <v>0</v>
      </c>
      <c r="Y113" s="139">
        <f>VLOOKUP($E113,'7. PGE_Efficacité'!$A$6:$CY$266,(MATCH('4.5 ACE MAX WOL '!Y$4,'7. PGE_Efficacité'!$A$4:$AO$4,0)+62),0)</f>
        <v>0</v>
      </c>
      <c r="Z113" s="139">
        <f>VLOOKUP($E113,'7. PGE_Efficacité'!$A$6:$CY$266,(MATCH('4.5 ACE MAX WOL '!Z$4,'7. PGE_Efficacité'!$A$4:$AO$4,0)+62),0)</f>
        <v>0</v>
      </c>
      <c r="AA113" s="139">
        <f>VLOOKUP($E113,'7. PGE_Efficacité'!$A$6:$CY$266,(MATCH('4.5 ACE MAX WOL '!AA$4,'7. PGE_Efficacité'!$A$4:$AO$4,0)+62),0)</f>
        <v>0</v>
      </c>
      <c r="AB113" s="139">
        <f>VLOOKUP($E113,'7. PGE_Efficacité'!$A$6:$CY$266,(MATCH('4.5 ACE MAX WOL '!AB$4,'7. PGE_Efficacité'!$A$4:$AO$4,0)+62),0)</f>
        <v>0</v>
      </c>
      <c r="AC113" s="139">
        <f>VLOOKUP($E113,'7. PGE_Efficacité'!$A$6:$CY$266,(MATCH('4.5 ACE MAX WOL '!AC$4,'7. PGE_Efficacité'!$A$4:$AO$4,0)+62),0)</f>
        <v>0</v>
      </c>
      <c r="AD113" s="139">
        <f>VLOOKUP($E113,'7. PGE_Efficacité'!$A$6:$CY$266,(MATCH('4.5 ACE MAX WOL '!AD$4,'7. PGE_Efficacité'!$A$4:$AO$4,0)+62),0)</f>
        <v>0</v>
      </c>
      <c r="AE113" s="139">
        <f>VLOOKUP($E113,'7. PGE_Efficacité'!$A$6:$CY$266,(MATCH('4.5 ACE MAX WOL '!AE$4,'7. PGE_Efficacité'!$A$4:$AO$4,0)+62),0)</f>
        <v>0</v>
      </c>
      <c r="AF113" s="139">
        <f>VLOOKUP($E113,'7. PGE_Efficacité'!$A$6:$CY$266,(MATCH('4.5 ACE MAX WOL '!AF$4,'7. PGE_Efficacité'!$A$4:$AO$4,0)+62),0)</f>
        <v>0</v>
      </c>
      <c r="AG113" s="139">
        <f>VLOOKUP($E113,'7. PGE_Efficacité'!$A$6:$CY$266,(MATCH('4.5 ACE MAX WOL '!AG$4,'7. PGE_Efficacité'!$A$4:$AO$4,0)+62),0)</f>
        <v>0</v>
      </c>
      <c r="AH113" s="139">
        <f>VLOOKUP($E113,'7. PGE_Efficacité'!$A$6:$CY$266,(MATCH('4.5 ACE MAX WOL '!AH$4,'7. PGE_Efficacité'!$A$4:$AO$4,0)+62),0)</f>
        <v>0</v>
      </c>
      <c r="AI113" s="139">
        <f>VLOOKUP($E113,'7. PGE_Efficacité'!$A$6:$CY$266,(MATCH('4.5 ACE MAX WOL '!AI$4,'7. PGE_Efficacité'!$A$4:$AO$4,0)+62),0)</f>
        <v>0</v>
      </c>
      <c r="AJ113" s="139">
        <f>VLOOKUP($E113,'7. PGE_Efficacité'!$A$6:$CY$266,(MATCH('4.5 ACE MAX WOL '!AJ$4,'7. PGE_Efficacité'!$A$4:$AO$4,0)+62),0)</f>
        <v>0</v>
      </c>
      <c r="AK113" s="139">
        <f>VLOOKUP($E113,'7. PGE_Efficacité'!$A$6:$CY$266,(MATCH('4.5 ACE MAX WOL '!AK$4,'7. PGE_Efficacité'!$A$4:$AO$4,0)+62),0)</f>
        <v>0</v>
      </c>
      <c r="AL113" s="139">
        <f>VLOOKUP($E113,'7. PGE_Efficacité'!$A$6:$CY$266,(MATCH('4.5 ACE MAX WOL '!AL$4,'7. PGE_Efficacité'!$A$4:$AO$4,0)+62),0)</f>
        <v>0</v>
      </c>
      <c r="AM113" s="139">
        <f>VLOOKUP($E113,'7. PGE_Efficacité'!$A$6:$CY$266,(MATCH('4.5 ACE MAX WOL '!AM$4,'7. PGE_Efficacité'!$A$4:$AO$4,0)+62),0)</f>
        <v>0</v>
      </c>
      <c r="AN113" s="139">
        <f>VLOOKUP($E113,'7. PGE_Efficacité'!$A$6:$CY$266,(MATCH('4.5 ACE MAX WOL '!AN$4,'7. PGE_Efficacité'!$A$4:$AO$4,0)+62),0)</f>
        <v>0</v>
      </c>
    </row>
    <row r="114" spans="1:40" hidden="1" outlineLevel="2" x14ac:dyDescent="0.25">
      <c r="A114" s="48" t="s">
        <v>1524</v>
      </c>
      <c r="B114" s="49">
        <v>25</v>
      </c>
      <c r="C114" s="48" t="s">
        <v>410</v>
      </c>
      <c r="D114" s="199" t="s">
        <v>26</v>
      </c>
      <c r="E114" s="200" t="s">
        <v>759</v>
      </c>
      <c r="F114" s="200" t="s">
        <v>1647</v>
      </c>
      <c r="G114" s="201" t="s">
        <v>1521</v>
      </c>
      <c r="H114" s="200" t="s">
        <v>1290</v>
      </c>
      <c r="I114" s="202"/>
      <c r="J114" s="139">
        <f>VLOOKUP($E114,'7. PGE_Efficacité'!$A$6:$CY$266,(MATCH('4.5 ACE MAX WOL '!J$4,'7. PGE_Efficacité'!$A$4:$AO$4,0)+62),0)</f>
        <v>0</v>
      </c>
      <c r="K114" s="139">
        <f>VLOOKUP($E114,'7. PGE_Efficacité'!$A$6:$CY$266,(MATCH('4.5 ACE MAX WOL '!K$4,'7. PGE_Efficacité'!$A$4:$AO$4,0)+62),0)</f>
        <v>0</v>
      </c>
      <c r="L114" s="139">
        <f>VLOOKUP($E114,'7. PGE_Efficacité'!$A$6:$CY$266,(MATCH('4.5 ACE MAX WOL '!L$4,'7. PGE_Efficacité'!$A$4:$AO$4,0)+62),0)</f>
        <v>0</v>
      </c>
      <c r="M114" s="139">
        <f>VLOOKUP($E114,'7. PGE_Efficacité'!$A$6:$CY$266,(MATCH('4.5 ACE MAX WOL '!M$4,'7. PGE_Efficacité'!$A$4:$AO$4,0)+62),0)</f>
        <v>0</v>
      </c>
      <c r="N114" s="139">
        <f>VLOOKUP($E114,'7. PGE_Efficacité'!$A$6:$CY$266,(MATCH('4.5 ACE MAX WOL '!N$4,'7. PGE_Efficacité'!$A$4:$AO$4,0)+62),0)</f>
        <v>0</v>
      </c>
      <c r="O114" s="139">
        <f>VLOOKUP($E114,'7. PGE_Efficacité'!$A$6:$CY$266,78,0)</f>
        <v>0</v>
      </c>
      <c r="P114" s="139">
        <f>VLOOKUP($E114,'7. PGE_Efficacité'!$A$6:$CY$266,(MATCH('4.5 ACE MAX WOL '!P$4,'7. PGE_Efficacité'!$A$4:$AO$4,0)+62),0)</f>
        <v>0</v>
      </c>
      <c r="Q114" s="139">
        <f>VLOOKUP($E114,'7. PGE_Efficacité'!$A$6:$CY$266,(MATCH('4.5 ACE MAX WOL '!Q$4,'7. PGE_Efficacité'!$A$4:$AO$4,0)+62),0)</f>
        <v>0</v>
      </c>
      <c r="R114" s="139">
        <f>VLOOKUP($E114,'7. PGE_Efficacité'!$A$6:$CY$266,(MATCH('4.5 ACE MAX WOL '!R$4,'7. PGE_Efficacité'!$A$4:$AO$4,0)+62),0)</f>
        <v>0</v>
      </c>
      <c r="S114" s="139">
        <f>VLOOKUP($E114,'7. PGE_Efficacité'!$A$6:$CY$266,(MATCH('4.5 ACE MAX WOL '!S$4,'7. PGE_Efficacité'!$A$4:$AO$4,0)+62),0)</f>
        <v>0</v>
      </c>
      <c r="T114" s="139">
        <f>VLOOKUP($E114,'7. PGE_Efficacité'!$A$6:$CY$266,(MATCH('4.5 ACE MAX WOL '!T$4,'7. PGE_Efficacité'!$A$4:$AO$4,0)+62),0)</f>
        <v>0</v>
      </c>
      <c r="U114" s="139">
        <f>VLOOKUP($E114,'7. PGE_Efficacité'!$A$6:$CY$266,(MATCH('4.5 ACE MAX WOL '!U$4,'7. PGE_Efficacité'!$A$4:$AO$4,0)+62),0)</f>
        <v>0</v>
      </c>
      <c r="V114" s="139">
        <f>VLOOKUP($E114,'7. PGE_Efficacité'!$A$6:$CY$266,(MATCH('4.5 ACE MAX WOL '!V$4,'7. PGE_Efficacité'!$A$4:$AO$4,0)+62),0)</f>
        <v>0</v>
      </c>
      <c r="W114" s="139">
        <f>VLOOKUP($E114,'7. PGE_Efficacité'!$A$6:$CY$266,(MATCH('4.5 ACE MAX WOL '!W$4,'7. PGE_Efficacité'!$A$4:$AO$4,0)+62),0)</f>
        <v>0</v>
      </c>
      <c r="X114" s="139">
        <f>VLOOKUP($E114,'7. PGE_Efficacité'!$A$6:$CY$266,(MATCH('4.5 ACE MAX WOL '!X$4,'7. PGE_Efficacité'!$A$4:$AO$4,0)+62),0)</f>
        <v>0</v>
      </c>
      <c r="Y114" s="139">
        <f>VLOOKUP($E114,'7. PGE_Efficacité'!$A$6:$CY$266,(MATCH('4.5 ACE MAX WOL '!Y$4,'7. PGE_Efficacité'!$A$4:$AO$4,0)+62),0)</f>
        <v>0</v>
      </c>
      <c r="Z114" s="139">
        <f>VLOOKUP($E114,'7. PGE_Efficacité'!$A$6:$CY$266,(MATCH('4.5 ACE MAX WOL '!Z$4,'7. PGE_Efficacité'!$A$4:$AO$4,0)+62),0)</f>
        <v>0</v>
      </c>
      <c r="AA114" s="139">
        <f>VLOOKUP($E114,'7. PGE_Efficacité'!$A$6:$CY$266,(MATCH('4.5 ACE MAX WOL '!AA$4,'7. PGE_Efficacité'!$A$4:$AO$4,0)+62),0)</f>
        <v>0</v>
      </c>
      <c r="AB114" s="139">
        <f>VLOOKUP($E114,'7. PGE_Efficacité'!$A$6:$CY$266,(MATCH('4.5 ACE MAX WOL '!AB$4,'7. PGE_Efficacité'!$A$4:$AO$4,0)+62),0)</f>
        <v>0</v>
      </c>
      <c r="AC114" s="139">
        <f>VLOOKUP($E114,'7. PGE_Efficacité'!$A$6:$CY$266,(MATCH('4.5 ACE MAX WOL '!AC$4,'7. PGE_Efficacité'!$A$4:$AO$4,0)+62),0)</f>
        <v>0</v>
      </c>
      <c r="AD114" s="139">
        <f>VLOOKUP($E114,'7. PGE_Efficacité'!$A$6:$CY$266,(MATCH('4.5 ACE MAX WOL '!AD$4,'7. PGE_Efficacité'!$A$4:$AO$4,0)+62),0)</f>
        <v>0</v>
      </c>
      <c r="AE114" s="139">
        <f>VLOOKUP($E114,'7. PGE_Efficacité'!$A$6:$CY$266,(MATCH('4.5 ACE MAX WOL '!AE$4,'7. PGE_Efficacité'!$A$4:$AO$4,0)+62),0)</f>
        <v>0</v>
      </c>
      <c r="AF114" s="139">
        <f>VLOOKUP($E114,'7. PGE_Efficacité'!$A$6:$CY$266,(MATCH('4.5 ACE MAX WOL '!AF$4,'7. PGE_Efficacité'!$A$4:$AO$4,0)+62),0)</f>
        <v>0</v>
      </c>
      <c r="AG114" s="139">
        <f>VLOOKUP($E114,'7. PGE_Efficacité'!$A$6:$CY$266,(MATCH('4.5 ACE MAX WOL '!AG$4,'7. PGE_Efficacité'!$A$4:$AO$4,0)+62),0)</f>
        <v>0</v>
      </c>
      <c r="AH114" s="139">
        <f>VLOOKUP($E114,'7. PGE_Efficacité'!$A$6:$CY$266,(MATCH('4.5 ACE MAX WOL '!AH$4,'7. PGE_Efficacité'!$A$4:$AO$4,0)+62),0)</f>
        <v>0</v>
      </c>
      <c r="AI114" s="139">
        <f>VLOOKUP($E114,'7. PGE_Efficacité'!$A$6:$CY$266,(MATCH('4.5 ACE MAX WOL '!AI$4,'7. PGE_Efficacité'!$A$4:$AO$4,0)+62),0)</f>
        <v>0</v>
      </c>
      <c r="AJ114" s="139">
        <f>VLOOKUP($E114,'7. PGE_Efficacité'!$A$6:$CY$266,(MATCH('4.5 ACE MAX WOL '!AJ$4,'7. PGE_Efficacité'!$A$4:$AO$4,0)+62),0)</f>
        <v>0</v>
      </c>
      <c r="AK114" s="139">
        <f>VLOOKUP($E114,'7. PGE_Efficacité'!$A$6:$CY$266,(MATCH('4.5 ACE MAX WOL '!AK$4,'7. PGE_Efficacité'!$A$4:$AO$4,0)+62),0)</f>
        <v>0</v>
      </c>
      <c r="AL114" s="139">
        <f>VLOOKUP($E114,'7. PGE_Efficacité'!$A$6:$CY$266,(MATCH('4.5 ACE MAX WOL '!AL$4,'7. PGE_Efficacité'!$A$4:$AO$4,0)+62),0)</f>
        <v>0</v>
      </c>
      <c r="AM114" s="139">
        <f>VLOOKUP($E114,'7. PGE_Efficacité'!$A$6:$CY$266,(MATCH('4.5 ACE MAX WOL '!AM$4,'7. PGE_Efficacité'!$A$4:$AO$4,0)+62),0)</f>
        <v>0</v>
      </c>
      <c r="AN114" s="139">
        <f>VLOOKUP($E114,'7. PGE_Efficacité'!$A$6:$CY$266,(MATCH('4.5 ACE MAX WOL '!AN$4,'7. PGE_Efficacité'!$A$4:$AO$4,0)+62),0)</f>
        <v>0</v>
      </c>
    </row>
    <row r="115" spans="1:40" hidden="1" outlineLevel="2" x14ac:dyDescent="0.25">
      <c r="A115" s="48" t="s">
        <v>1524</v>
      </c>
      <c r="B115" s="49">
        <v>25</v>
      </c>
      <c r="C115" s="48" t="s">
        <v>1528</v>
      </c>
      <c r="D115" s="199" t="s">
        <v>26</v>
      </c>
      <c r="E115" s="200" t="s">
        <v>760</v>
      </c>
      <c r="F115" s="200" t="s">
        <v>1648</v>
      </c>
      <c r="G115" s="201" t="s">
        <v>1521</v>
      </c>
      <c r="H115" s="200" t="s">
        <v>1290</v>
      </c>
      <c r="I115" s="202"/>
      <c r="J115" s="139">
        <f>VLOOKUP($E115,'7. PGE_Efficacité'!$A$6:$CY$266,(MATCH('4.5 ACE MAX WOL '!J$4,'7. PGE_Efficacité'!$A$4:$AO$4,0)+62),0)</f>
        <v>0</v>
      </c>
      <c r="K115" s="139">
        <f>VLOOKUP($E115,'7. PGE_Efficacité'!$A$6:$CY$266,(MATCH('4.5 ACE MAX WOL '!K$4,'7. PGE_Efficacité'!$A$4:$AO$4,0)+62),0)</f>
        <v>0</v>
      </c>
      <c r="L115" s="139">
        <f>VLOOKUP($E115,'7. PGE_Efficacité'!$A$6:$CY$266,(MATCH('4.5 ACE MAX WOL '!L$4,'7. PGE_Efficacité'!$A$4:$AO$4,0)+62),0)</f>
        <v>0</v>
      </c>
      <c r="M115" s="139">
        <f>VLOOKUP($E115,'7. PGE_Efficacité'!$A$6:$CY$266,(MATCH('4.5 ACE MAX WOL '!M$4,'7. PGE_Efficacité'!$A$4:$AO$4,0)+62),0)</f>
        <v>0</v>
      </c>
      <c r="N115" s="139">
        <f>VLOOKUP($E115,'7. PGE_Efficacité'!$A$6:$CY$266,(MATCH('4.5 ACE MAX WOL '!N$4,'7. PGE_Efficacité'!$A$4:$AO$4,0)+62),0)</f>
        <v>0</v>
      </c>
      <c r="O115" s="139">
        <f>VLOOKUP($E115,'7. PGE_Efficacité'!$A$6:$CY$266,78,0)</f>
        <v>0</v>
      </c>
      <c r="P115" s="139">
        <f>VLOOKUP($E115,'7. PGE_Efficacité'!$A$6:$CY$266,(MATCH('4.5 ACE MAX WOL '!P$4,'7. PGE_Efficacité'!$A$4:$AO$4,0)+62),0)</f>
        <v>0</v>
      </c>
      <c r="Q115" s="139">
        <f>VLOOKUP($E115,'7. PGE_Efficacité'!$A$6:$CY$266,(MATCH('4.5 ACE MAX WOL '!Q$4,'7. PGE_Efficacité'!$A$4:$AO$4,0)+62),0)</f>
        <v>0</v>
      </c>
      <c r="R115" s="139">
        <f>VLOOKUP($E115,'7. PGE_Efficacité'!$A$6:$CY$266,(MATCH('4.5 ACE MAX WOL '!R$4,'7. PGE_Efficacité'!$A$4:$AO$4,0)+62),0)</f>
        <v>0</v>
      </c>
      <c r="S115" s="139">
        <f>VLOOKUP($E115,'7. PGE_Efficacité'!$A$6:$CY$266,(MATCH('4.5 ACE MAX WOL '!S$4,'7. PGE_Efficacité'!$A$4:$AO$4,0)+62),0)</f>
        <v>0</v>
      </c>
      <c r="T115" s="139">
        <f>VLOOKUP($E115,'7. PGE_Efficacité'!$A$6:$CY$266,(MATCH('4.5 ACE MAX WOL '!T$4,'7. PGE_Efficacité'!$A$4:$AO$4,0)+62),0)</f>
        <v>0</v>
      </c>
      <c r="U115" s="139">
        <f>VLOOKUP($E115,'7. PGE_Efficacité'!$A$6:$CY$266,(MATCH('4.5 ACE MAX WOL '!U$4,'7. PGE_Efficacité'!$A$4:$AO$4,0)+62),0)</f>
        <v>0</v>
      </c>
      <c r="V115" s="139">
        <f>VLOOKUP($E115,'7. PGE_Efficacité'!$A$6:$CY$266,(MATCH('4.5 ACE MAX WOL '!V$4,'7. PGE_Efficacité'!$A$4:$AO$4,0)+62),0)</f>
        <v>0</v>
      </c>
      <c r="W115" s="139">
        <f>VLOOKUP($E115,'7. PGE_Efficacité'!$A$6:$CY$266,(MATCH('4.5 ACE MAX WOL '!W$4,'7. PGE_Efficacité'!$A$4:$AO$4,0)+62),0)</f>
        <v>0</v>
      </c>
      <c r="X115" s="139">
        <f>VLOOKUP($E115,'7. PGE_Efficacité'!$A$6:$CY$266,(MATCH('4.5 ACE MAX WOL '!X$4,'7. PGE_Efficacité'!$A$4:$AO$4,0)+62),0)</f>
        <v>0</v>
      </c>
      <c r="Y115" s="139">
        <f>VLOOKUP($E115,'7. PGE_Efficacité'!$A$6:$CY$266,(MATCH('4.5 ACE MAX WOL '!Y$4,'7. PGE_Efficacité'!$A$4:$AO$4,0)+62),0)</f>
        <v>0</v>
      </c>
      <c r="Z115" s="139">
        <f>VLOOKUP($E115,'7. PGE_Efficacité'!$A$6:$CY$266,(MATCH('4.5 ACE MAX WOL '!Z$4,'7. PGE_Efficacité'!$A$4:$AO$4,0)+62),0)</f>
        <v>0</v>
      </c>
      <c r="AA115" s="139">
        <f>VLOOKUP($E115,'7. PGE_Efficacité'!$A$6:$CY$266,(MATCH('4.5 ACE MAX WOL '!AA$4,'7. PGE_Efficacité'!$A$4:$AO$4,0)+62),0)</f>
        <v>0</v>
      </c>
      <c r="AB115" s="139">
        <f>VLOOKUP($E115,'7. PGE_Efficacité'!$A$6:$CY$266,(MATCH('4.5 ACE MAX WOL '!AB$4,'7. PGE_Efficacité'!$A$4:$AO$4,0)+62),0)</f>
        <v>0</v>
      </c>
      <c r="AC115" s="139">
        <f>VLOOKUP($E115,'7. PGE_Efficacité'!$A$6:$CY$266,(MATCH('4.5 ACE MAX WOL '!AC$4,'7. PGE_Efficacité'!$A$4:$AO$4,0)+62),0)</f>
        <v>0</v>
      </c>
      <c r="AD115" s="139">
        <f>VLOOKUP($E115,'7. PGE_Efficacité'!$A$6:$CY$266,(MATCH('4.5 ACE MAX WOL '!AD$4,'7. PGE_Efficacité'!$A$4:$AO$4,0)+62),0)</f>
        <v>0</v>
      </c>
      <c r="AE115" s="139">
        <f>VLOOKUP($E115,'7. PGE_Efficacité'!$A$6:$CY$266,(MATCH('4.5 ACE MAX WOL '!AE$4,'7. PGE_Efficacité'!$A$4:$AO$4,0)+62),0)</f>
        <v>0</v>
      </c>
      <c r="AF115" s="139">
        <f>VLOOKUP($E115,'7. PGE_Efficacité'!$A$6:$CY$266,(MATCH('4.5 ACE MAX WOL '!AF$4,'7. PGE_Efficacité'!$A$4:$AO$4,0)+62),0)</f>
        <v>0</v>
      </c>
      <c r="AG115" s="139">
        <f>VLOOKUP($E115,'7. PGE_Efficacité'!$A$6:$CY$266,(MATCH('4.5 ACE MAX WOL '!AG$4,'7. PGE_Efficacité'!$A$4:$AO$4,0)+62),0)</f>
        <v>0</v>
      </c>
      <c r="AH115" s="139">
        <f>VLOOKUP($E115,'7. PGE_Efficacité'!$A$6:$CY$266,(MATCH('4.5 ACE MAX WOL '!AH$4,'7. PGE_Efficacité'!$A$4:$AO$4,0)+62),0)</f>
        <v>0</v>
      </c>
      <c r="AI115" s="139">
        <f>VLOOKUP($E115,'7. PGE_Efficacité'!$A$6:$CY$266,(MATCH('4.5 ACE MAX WOL '!AI$4,'7. PGE_Efficacité'!$A$4:$AO$4,0)+62),0)</f>
        <v>0</v>
      </c>
      <c r="AJ115" s="139">
        <f>VLOOKUP($E115,'7. PGE_Efficacité'!$A$6:$CY$266,(MATCH('4.5 ACE MAX WOL '!AJ$4,'7. PGE_Efficacité'!$A$4:$AO$4,0)+62),0)</f>
        <v>0</v>
      </c>
      <c r="AK115" s="139">
        <f>VLOOKUP($E115,'7. PGE_Efficacité'!$A$6:$CY$266,(MATCH('4.5 ACE MAX WOL '!AK$4,'7. PGE_Efficacité'!$A$4:$AO$4,0)+62),0)</f>
        <v>0</v>
      </c>
      <c r="AL115" s="139">
        <f>VLOOKUP($E115,'7. PGE_Efficacité'!$A$6:$CY$266,(MATCH('4.5 ACE MAX WOL '!AL$4,'7. PGE_Efficacité'!$A$4:$AO$4,0)+62),0)</f>
        <v>0</v>
      </c>
      <c r="AM115" s="139">
        <f>VLOOKUP($E115,'7. PGE_Efficacité'!$A$6:$CY$266,(MATCH('4.5 ACE MAX WOL '!AM$4,'7. PGE_Efficacité'!$A$4:$AO$4,0)+62),0)</f>
        <v>0</v>
      </c>
      <c r="AN115" s="139">
        <f>VLOOKUP($E115,'7. PGE_Efficacité'!$A$6:$CY$266,(MATCH('4.5 ACE MAX WOL '!AN$4,'7. PGE_Efficacité'!$A$4:$AO$4,0)+62),0)</f>
        <v>0</v>
      </c>
    </row>
    <row r="116" spans="1:40" hidden="1" outlineLevel="2" x14ac:dyDescent="0.25">
      <c r="A116" s="48" t="s">
        <v>1524</v>
      </c>
      <c r="B116" s="49">
        <v>25</v>
      </c>
      <c r="C116" s="48" t="s">
        <v>1529</v>
      </c>
      <c r="D116" s="199" t="s">
        <v>26</v>
      </c>
      <c r="E116" s="200" t="s">
        <v>761</v>
      </c>
      <c r="F116" s="200" t="s">
        <v>1649</v>
      </c>
      <c r="G116" s="201" t="s">
        <v>1521</v>
      </c>
      <c r="H116" s="200" t="s">
        <v>1290</v>
      </c>
      <c r="I116" s="202"/>
      <c r="J116" s="139">
        <f>VLOOKUP($E116,'7. PGE_Efficacité'!$A$6:$CY$266,(MATCH('4.5 ACE MAX WOL '!J$4,'7. PGE_Efficacité'!$A$4:$AO$4,0)+62),0)</f>
        <v>0</v>
      </c>
      <c r="K116" s="139">
        <f>VLOOKUP($E116,'7. PGE_Efficacité'!$A$6:$CY$266,(MATCH('4.5 ACE MAX WOL '!K$4,'7. PGE_Efficacité'!$A$4:$AO$4,0)+62),0)</f>
        <v>0</v>
      </c>
      <c r="L116" s="139">
        <f>VLOOKUP($E116,'7. PGE_Efficacité'!$A$6:$CY$266,(MATCH('4.5 ACE MAX WOL '!L$4,'7. PGE_Efficacité'!$A$4:$AO$4,0)+62),0)</f>
        <v>0</v>
      </c>
      <c r="M116" s="139">
        <f>VLOOKUP($E116,'7. PGE_Efficacité'!$A$6:$CY$266,(MATCH('4.5 ACE MAX WOL '!M$4,'7. PGE_Efficacité'!$A$4:$AO$4,0)+62),0)</f>
        <v>0</v>
      </c>
      <c r="N116" s="139">
        <f>VLOOKUP($E116,'7. PGE_Efficacité'!$A$6:$CY$266,(MATCH('4.5 ACE MAX WOL '!N$4,'7. PGE_Efficacité'!$A$4:$AO$4,0)+62),0)</f>
        <v>0</v>
      </c>
      <c r="O116" s="139">
        <f>VLOOKUP($E116,'7. PGE_Efficacité'!$A$6:$CY$266,78,0)</f>
        <v>0</v>
      </c>
      <c r="P116" s="139">
        <f>VLOOKUP($E116,'7. PGE_Efficacité'!$A$6:$CY$266,(MATCH('4.5 ACE MAX WOL '!P$4,'7. PGE_Efficacité'!$A$4:$AO$4,0)+62),0)</f>
        <v>0</v>
      </c>
      <c r="Q116" s="139">
        <f>VLOOKUP($E116,'7. PGE_Efficacité'!$A$6:$CY$266,(MATCH('4.5 ACE MAX WOL '!Q$4,'7. PGE_Efficacité'!$A$4:$AO$4,0)+62),0)</f>
        <v>0</v>
      </c>
      <c r="R116" s="139">
        <f>VLOOKUP($E116,'7. PGE_Efficacité'!$A$6:$CY$266,(MATCH('4.5 ACE MAX WOL '!R$4,'7. PGE_Efficacité'!$A$4:$AO$4,0)+62),0)</f>
        <v>0</v>
      </c>
      <c r="S116" s="139">
        <f>VLOOKUP($E116,'7. PGE_Efficacité'!$A$6:$CY$266,(MATCH('4.5 ACE MAX WOL '!S$4,'7. PGE_Efficacité'!$A$4:$AO$4,0)+62),0)</f>
        <v>0</v>
      </c>
      <c r="T116" s="139">
        <f>VLOOKUP($E116,'7. PGE_Efficacité'!$A$6:$CY$266,(MATCH('4.5 ACE MAX WOL '!T$4,'7. PGE_Efficacité'!$A$4:$AO$4,0)+62),0)</f>
        <v>0</v>
      </c>
      <c r="U116" s="139">
        <f>VLOOKUP($E116,'7. PGE_Efficacité'!$A$6:$CY$266,(MATCH('4.5 ACE MAX WOL '!U$4,'7. PGE_Efficacité'!$A$4:$AO$4,0)+62),0)</f>
        <v>0</v>
      </c>
      <c r="V116" s="139">
        <f>VLOOKUP($E116,'7. PGE_Efficacité'!$A$6:$CY$266,(MATCH('4.5 ACE MAX WOL '!V$4,'7. PGE_Efficacité'!$A$4:$AO$4,0)+62),0)</f>
        <v>0</v>
      </c>
      <c r="W116" s="139">
        <f>VLOOKUP($E116,'7. PGE_Efficacité'!$A$6:$CY$266,(MATCH('4.5 ACE MAX WOL '!W$4,'7. PGE_Efficacité'!$A$4:$AO$4,0)+62),0)</f>
        <v>0</v>
      </c>
      <c r="X116" s="139">
        <f>VLOOKUP($E116,'7. PGE_Efficacité'!$A$6:$CY$266,(MATCH('4.5 ACE MAX WOL '!X$4,'7. PGE_Efficacité'!$A$4:$AO$4,0)+62),0)</f>
        <v>0</v>
      </c>
      <c r="Y116" s="139">
        <f>VLOOKUP($E116,'7. PGE_Efficacité'!$A$6:$CY$266,(MATCH('4.5 ACE MAX WOL '!Y$4,'7. PGE_Efficacité'!$A$4:$AO$4,0)+62),0)</f>
        <v>0</v>
      </c>
      <c r="Z116" s="139">
        <f>VLOOKUP($E116,'7. PGE_Efficacité'!$A$6:$CY$266,(MATCH('4.5 ACE MAX WOL '!Z$4,'7. PGE_Efficacité'!$A$4:$AO$4,0)+62),0)</f>
        <v>0</v>
      </c>
      <c r="AA116" s="139">
        <f>VLOOKUP($E116,'7. PGE_Efficacité'!$A$6:$CY$266,(MATCH('4.5 ACE MAX WOL '!AA$4,'7. PGE_Efficacité'!$A$4:$AO$4,0)+62),0)</f>
        <v>0</v>
      </c>
      <c r="AB116" s="139">
        <f>VLOOKUP($E116,'7. PGE_Efficacité'!$A$6:$CY$266,(MATCH('4.5 ACE MAX WOL '!AB$4,'7. PGE_Efficacité'!$A$4:$AO$4,0)+62),0)</f>
        <v>0</v>
      </c>
      <c r="AC116" s="139">
        <f>VLOOKUP($E116,'7. PGE_Efficacité'!$A$6:$CY$266,(MATCH('4.5 ACE MAX WOL '!AC$4,'7. PGE_Efficacité'!$A$4:$AO$4,0)+62),0)</f>
        <v>0</v>
      </c>
      <c r="AD116" s="139">
        <f>VLOOKUP($E116,'7. PGE_Efficacité'!$A$6:$CY$266,(MATCH('4.5 ACE MAX WOL '!AD$4,'7. PGE_Efficacité'!$A$4:$AO$4,0)+62),0)</f>
        <v>0</v>
      </c>
      <c r="AE116" s="139">
        <f>VLOOKUP($E116,'7. PGE_Efficacité'!$A$6:$CY$266,(MATCH('4.5 ACE MAX WOL '!AE$4,'7. PGE_Efficacité'!$A$4:$AO$4,0)+62),0)</f>
        <v>0</v>
      </c>
      <c r="AF116" s="139">
        <f>VLOOKUP($E116,'7. PGE_Efficacité'!$A$6:$CY$266,(MATCH('4.5 ACE MAX WOL '!AF$4,'7. PGE_Efficacité'!$A$4:$AO$4,0)+62),0)</f>
        <v>0</v>
      </c>
      <c r="AG116" s="139">
        <f>VLOOKUP($E116,'7. PGE_Efficacité'!$A$6:$CY$266,(MATCH('4.5 ACE MAX WOL '!AG$4,'7. PGE_Efficacité'!$A$4:$AO$4,0)+62),0)</f>
        <v>0</v>
      </c>
      <c r="AH116" s="139">
        <f>VLOOKUP($E116,'7. PGE_Efficacité'!$A$6:$CY$266,(MATCH('4.5 ACE MAX WOL '!AH$4,'7. PGE_Efficacité'!$A$4:$AO$4,0)+62),0)</f>
        <v>0</v>
      </c>
      <c r="AI116" s="139">
        <f>VLOOKUP($E116,'7. PGE_Efficacité'!$A$6:$CY$266,(MATCH('4.5 ACE MAX WOL '!AI$4,'7. PGE_Efficacité'!$A$4:$AO$4,0)+62),0)</f>
        <v>0</v>
      </c>
      <c r="AJ116" s="139">
        <f>VLOOKUP($E116,'7. PGE_Efficacité'!$A$6:$CY$266,(MATCH('4.5 ACE MAX WOL '!AJ$4,'7. PGE_Efficacité'!$A$4:$AO$4,0)+62),0)</f>
        <v>0</v>
      </c>
      <c r="AK116" s="139">
        <f>VLOOKUP($E116,'7. PGE_Efficacité'!$A$6:$CY$266,(MATCH('4.5 ACE MAX WOL '!AK$4,'7. PGE_Efficacité'!$A$4:$AO$4,0)+62),0)</f>
        <v>0</v>
      </c>
      <c r="AL116" s="139">
        <f>VLOOKUP($E116,'7. PGE_Efficacité'!$A$6:$CY$266,(MATCH('4.5 ACE MAX WOL '!AL$4,'7. PGE_Efficacité'!$A$4:$AO$4,0)+62),0)</f>
        <v>0</v>
      </c>
      <c r="AM116" s="139">
        <f>VLOOKUP($E116,'7. PGE_Efficacité'!$A$6:$CY$266,(MATCH('4.5 ACE MAX WOL '!AM$4,'7. PGE_Efficacité'!$A$4:$AO$4,0)+62),0)</f>
        <v>0</v>
      </c>
      <c r="AN116" s="139">
        <f>VLOOKUP($E116,'7. PGE_Efficacité'!$A$6:$CY$266,(MATCH('4.5 ACE MAX WOL '!AN$4,'7. PGE_Efficacité'!$A$4:$AO$4,0)+62),0)</f>
        <v>0</v>
      </c>
    </row>
    <row r="117" spans="1:40" hidden="1" outlineLevel="2" x14ac:dyDescent="0.25">
      <c r="A117" s="48"/>
      <c r="B117" s="49"/>
      <c r="C117" s="48"/>
      <c r="D117" s="199" t="s">
        <v>26</v>
      </c>
      <c r="E117" s="200" t="s">
        <v>762</v>
      </c>
      <c r="F117" s="200" t="s">
        <v>1650</v>
      </c>
      <c r="G117" s="201" t="s">
        <v>1521</v>
      </c>
      <c r="H117" s="200" t="s">
        <v>1290</v>
      </c>
      <c r="I117" s="202"/>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row>
    <row r="118" spans="1:40" hidden="1" outlineLevel="2" x14ac:dyDescent="0.25">
      <c r="A118" s="48"/>
      <c r="B118" s="49"/>
      <c r="C118" s="48"/>
      <c r="D118" s="199" t="s">
        <v>26</v>
      </c>
      <c r="E118" s="200" t="s">
        <v>2861</v>
      </c>
      <c r="F118" s="249" t="s">
        <v>1642</v>
      </c>
      <c r="G118" s="201" t="s">
        <v>1521</v>
      </c>
      <c r="H118" s="200" t="s">
        <v>1290</v>
      </c>
      <c r="I118" s="202"/>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row>
    <row r="119" spans="1:40" hidden="1" outlineLevel="2" x14ac:dyDescent="0.25">
      <c r="A119" s="48"/>
      <c r="B119" s="49"/>
      <c r="C119" s="48"/>
      <c r="D119" s="199" t="s">
        <v>26</v>
      </c>
      <c r="E119" s="200" t="s">
        <v>2607</v>
      </c>
      <c r="F119" s="249" t="s">
        <v>1643</v>
      </c>
      <c r="G119" s="201" t="s">
        <v>1521</v>
      </c>
      <c r="H119" s="200" t="s">
        <v>1290</v>
      </c>
      <c r="I119" s="202"/>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row>
    <row r="120" spans="1:40" hidden="1" outlineLevel="2" x14ac:dyDescent="0.25">
      <c r="A120" s="48"/>
      <c r="B120" s="49"/>
      <c r="C120" s="48"/>
      <c r="D120" s="199" t="s">
        <v>26</v>
      </c>
      <c r="E120" s="200" t="s">
        <v>2608</v>
      </c>
      <c r="F120" s="249" t="s">
        <v>3007</v>
      </c>
      <c r="G120" s="201" t="s">
        <v>1521</v>
      </c>
      <c r="H120" t="s">
        <v>1290</v>
      </c>
      <c r="I120" s="202"/>
      <c r="J120" s="139">
        <f>VLOOKUP($E117,'7. PGE_Efficacité'!$A$6:$CY$266,(MATCH('4.5 ACE MAX WOL '!J$4,'7. PGE_Efficacité'!$A$4:$AO$4,0)+62),0)</f>
        <v>0</v>
      </c>
      <c r="K120" s="139">
        <f>VLOOKUP($E117,'7. PGE_Efficacité'!$A$6:$CY$266,(MATCH('4.5 ACE MAX WOL '!K$4,'7. PGE_Efficacité'!$A$4:$AO$4,0)+62),0)</f>
        <v>0</v>
      </c>
      <c r="L120" s="139">
        <f>VLOOKUP($E117,'7. PGE_Efficacité'!$A$6:$CY$266,(MATCH('4.5 ACE MAX WOL '!L$4,'7. PGE_Efficacité'!$A$4:$AO$4,0)+62),0)</f>
        <v>0</v>
      </c>
      <c r="M120" s="139">
        <f>VLOOKUP($E117,'7. PGE_Efficacité'!$A$6:$CY$266,(MATCH('4.5 ACE MAX WOL '!M$4,'7. PGE_Efficacité'!$A$4:$AO$4,0)+62),0)</f>
        <v>0</v>
      </c>
      <c r="N120" s="139">
        <f>VLOOKUP($E117,'7. PGE_Efficacité'!$A$6:$CY$266,(MATCH('4.5 ACE MAX WOL '!N$4,'7. PGE_Efficacité'!$A$4:$AO$4,0)+62),0)</f>
        <v>0</v>
      </c>
      <c r="O120" s="139">
        <f>VLOOKUP($E117,'7. PGE_Efficacité'!$A$6:$CY$266,78,0)</f>
        <v>0</v>
      </c>
      <c r="P120" s="139">
        <f>VLOOKUP($E117,'7. PGE_Efficacité'!$A$6:$CY$266,(MATCH('4.5 ACE MAX WOL '!P$4,'7. PGE_Efficacité'!$A$4:$AO$4,0)+62),0)</f>
        <v>0</v>
      </c>
      <c r="Q120" s="139">
        <f>VLOOKUP($E117,'7. PGE_Efficacité'!$A$6:$CY$266,(MATCH('4.5 ACE MAX WOL '!Q$4,'7. PGE_Efficacité'!$A$4:$AO$4,0)+62),0)</f>
        <v>0</v>
      </c>
      <c r="R120" s="139">
        <f>VLOOKUP($E117,'7. PGE_Efficacité'!$A$6:$CY$266,(MATCH('4.5 ACE MAX WOL '!R$4,'7. PGE_Efficacité'!$A$4:$AO$4,0)+62),0)</f>
        <v>0</v>
      </c>
      <c r="S120" s="139">
        <f>VLOOKUP($E117,'7. PGE_Efficacité'!$A$6:$CY$266,(MATCH('4.5 ACE MAX WOL '!S$4,'7. PGE_Efficacité'!$A$4:$AO$4,0)+62),0)</f>
        <v>0</v>
      </c>
      <c r="T120" s="139">
        <f>VLOOKUP($E117,'7. PGE_Efficacité'!$A$6:$CY$266,(MATCH('4.5 ACE MAX WOL '!T$4,'7. PGE_Efficacité'!$A$4:$AO$4,0)+62),0)</f>
        <v>0</v>
      </c>
      <c r="U120" s="139">
        <f>VLOOKUP($E117,'7. PGE_Efficacité'!$A$6:$CY$266,(MATCH('4.5 ACE MAX WOL '!U$4,'7. PGE_Efficacité'!$A$4:$AO$4,0)+62),0)</f>
        <v>0</v>
      </c>
      <c r="V120" s="139">
        <f>VLOOKUP($E117,'7. PGE_Efficacité'!$A$6:$CY$266,(MATCH('4.5 ACE MAX WOL '!V$4,'7. PGE_Efficacité'!$A$4:$AO$4,0)+62),0)</f>
        <v>0</v>
      </c>
      <c r="W120" s="139">
        <f>VLOOKUP($E117,'7. PGE_Efficacité'!$A$6:$CY$266,(MATCH('4.5 ACE MAX WOL '!W$4,'7. PGE_Efficacité'!$A$4:$AO$4,0)+62),0)</f>
        <v>0</v>
      </c>
      <c r="X120" s="139">
        <f>VLOOKUP($E117,'7. PGE_Efficacité'!$A$6:$CY$266,(MATCH('4.5 ACE MAX WOL '!X$4,'7. PGE_Efficacité'!$A$4:$AO$4,0)+62),0)</f>
        <v>0</v>
      </c>
      <c r="Y120" s="139">
        <f>VLOOKUP($E117,'7. PGE_Efficacité'!$A$6:$CY$266,(MATCH('4.5 ACE MAX WOL '!Y$4,'7. PGE_Efficacité'!$A$4:$AO$4,0)+62),0)</f>
        <v>0</v>
      </c>
      <c r="Z120" s="139">
        <f>VLOOKUP($E117,'7. PGE_Efficacité'!$A$6:$CY$266,(MATCH('4.5 ACE MAX WOL '!Z$4,'7. PGE_Efficacité'!$A$4:$AO$4,0)+62),0)</f>
        <v>0</v>
      </c>
      <c r="AA120" s="139">
        <f>VLOOKUP($E117,'7. PGE_Efficacité'!$A$6:$CY$266,(MATCH('4.5 ACE MAX WOL '!AA$4,'7. PGE_Efficacité'!$A$4:$AO$4,0)+62),0)</f>
        <v>0</v>
      </c>
      <c r="AB120" s="139">
        <f>VLOOKUP($E117,'7. PGE_Efficacité'!$A$6:$CY$266,(MATCH('4.5 ACE MAX WOL '!AB$4,'7. PGE_Efficacité'!$A$4:$AO$4,0)+62),0)</f>
        <v>0</v>
      </c>
      <c r="AC120" s="139">
        <f>VLOOKUP($E117,'7. PGE_Efficacité'!$A$6:$CY$266,(MATCH('4.5 ACE MAX WOL '!AC$4,'7. PGE_Efficacité'!$A$4:$AO$4,0)+62),0)</f>
        <v>0</v>
      </c>
      <c r="AD120" s="139">
        <f>VLOOKUP($E117,'7. PGE_Efficacité'!$A$6:$CY$266,(MATCH('4.5 ACE MAX WOL '!AD$4,'7. PGE_Efficacité'!$A$4:$AO$4,0)+62),0)</f>
        <v>0</v>
      </c>
      <c r="AE120" s="139">
        <f>VLOOKUP($E117,'7. PGE_Efficacité'!$A$6:$CY$266,(MATCH('4.5 ACE MAX WOL '!AE$4,'7. PGE_Efficacité'!$A$4:$AO$4,0)+62),0)</f>
        <v>0</v>
      </c>
      <c r="AF120" s="139">
        <f>VLOOKUP($E117,'7. PGE_Efficacité'!$A$6:$CY$266,(MATCH('4.5 ACE MAX WOL '!AF$4,'7. PGE_Efficacité'!$A$4:$AO$4,0)+62),0)</f>
        <v>0</v>
      </c>
      <c r="AG120" s="139">
        <f>VLOOKUP($E117,'7. PGE_Efficacité'!$A$6:$CY$266,(MATCH('4.5 ACE MAX WOL '!AG$4,'7. PGE_Efficacité'!$A$4:$AO$4,0)+62),0)</f>
        <v>0</v>
      </c>
      <c r="AH120" s="139">
        <f>VLOOKUP($E117,'7. PGE_Efficacité'!$A$6:$CY$266,(MATCH('4.5 ACE MAX WOL '!AH$4,'7. PGE_Efficacité'!$A$4:$AO$4,0)+62),0)</f>
        <v>0</v>
      </c>
      <c r="AI120" s="139">
        <f>VLOOKUP($E117,'7. PGE_Efficacité'!$A$6:$CY$266,(MATCH('4.5 ACE MAX WOL '!AI$4,'7. PGE_Efficacité'!$A$4:$AO$4,0)+62),0)</f>
        <v>0</v>
      </c>
      <c r="AJ120" s="139">
        <f>VLOOKUP($E117,'7. PGE_Efficacité'!$A$6:$CY$266,(MATCH('4.5 ACE MAX WOL '!AJ$4,'7. PGE_Efficacité'!$A$4:$AO$4,0)+62),0)</f>
        <v>0</v>
      </c>
      <c r="AK120" s="139">
        <f>VLOOKUP($E117,'7. PGE_Efficacité'!$A$6:$CY$266,(MATCH('4.5 ACE MAX WOL '!AK$4,'7. PGE_Efficacité'!$A$4:$AO$4,0)+62),0)</f>
        <v>0</v>
      </c>
      <c r="AL120" s="139">
        <f>VLOOKUP($E117,'7. PGE_Efficacité'!$A$6:$CY$266,(MATCH('4.5 ACE MAX WOL '!AL$4,'7. PGE_Efficacité'!$A$4:$AO$4,0)+62),0)</f>
        <v>0</v>
      </c>
      <c r="AM120" s="139">
        <f>VLOOKUP($E117,'7. PGE_Efficacité'!$A$6:$CY$266,(MATCH('4.5 ACE MAX WOL '!AM$4,'7. PGE_Efficacité'!$A$4:$AO$4,0)+62),0)</f>
        <v>0</v>
      </c>
      <c r="AN120" s="139">
        <f>VLOOKUP($E117,'7. PGE_Efficacité'!$A$6:$CY$266,(MATCH('4.5 ACE MAX WOL '!AN$4,'7. PGE_Efficacité'!$A$4:$AO$4,0)+62),0)</f>
        <v>0</v>
      </c>
    </row>
    <row r="121" spans="1:40" ht="39" outlineLevel="1" collapsed="1" x14ac:dyDescent="0.25">
      <c r="A121" s="48"/>
      <c r="B121" s="49"/>
      <c r="C121" s="48"/>
      <c r="D121" s="553" t="s">
        <v>27</v>
      </c>
      <c r="E121" s="195"/>
      <c r="F121" s="196" t="str">
        <f>VLOOKUP(D121,'1. Mesures'!$A$2:$B$116,2,0)</f>
        <v>Identifier les opportunités de connexion au réseau hydrographique des eaux claires actuellement perdues par temps sec dans le réseau d’égouttage et définir un débit minimum écologique et une hauteur d'eau minimale pour les masses d'eau</v>
      </c>
      <c r="G121" s="197"/>
      <c r="H121" s="195"/>
      <c r="I121" s="198">
        <f>MEDIAN(VLOOKUP(D121,'4. Mesures_ACE_Budget'!$A$3:$N$32,13,0),(VLOOKUP(D121,'4. Mesures_ACE_Budget'!$A$3:$N$32,14,0)))</f>
        <v>0</v>
      </c>
      <c r="J121" s="235">
        <f>VLOOKUP($D121,'7. PGE_Efficacité'!$A$6:$CY$266,(MATCH('4.5 ACE MAX WOL '!J$4,'7. PGE_Efficacité'!$A$4:$AO$4,0)+62),0)</f>
        <v>0</v>
      </c>
      <c r="K121" s="235">
        <f>VLOOKUP($D121,'7. PGE_Efficacité'!$A$6:$CY$266,(MATCH('4.5 ACE MAX WOL '!K$4,'7. PGE_Efficacité'!$A$4:$AO$4,0)+62),0)</f>
        <v>0</v>
      </c>
      <c r="L121" s="235">
        <f>VLOOKUP($D121,'7. PGE_Efficacité'!$A$6:$CY$266,(MATCH('4.5 ACE MAX WOL '!L$4,'7. PGE_Efficacité'!$A$4:$AO$4,0)+62),0)</f>
        <v>0</v>
      </c>
      <c r="M121" s="235" t="str">
        <f>VLOOKUP($D121,'7. PGE_Efficacité'!$A$6:$CY$266,(MATCH('4.5 ACE MAX WOL '!M$4,'7. PGE_Efficacité'!$A$4:$AO$4,0)+62),0)</f>
        <v>+</v>
      </c>
      <c r="N121" s="235" t="str">
        <f>VLOOKUP($D121,'7. PGE_Efficacité'!$A$6:$CY$266,(MATCH('4.5 ACE MAX WOL '!N$4,'7. PGE_Efficacité'!$A$4:$AO$4,0)+62),0)</f>
        <v>+</v>
      </c>
      <c r="O121" s="235" t="str">
        <f>VLOOKUP($D121,'7. PGE_Efficacité'!$A$6:$CY$266,78,0)</f>
        <v>+</v>
      </c>
      <c r="P121" s="235">
        <f>VLOOKUP($D121,'7. PGE_Efficacité'!$A$6:$CY$266,(MATCH('4.5 ACE MAX WOL '!P$4,'7. PGE_Efficacité'!$A$4:$AO$4,0)+62),0)</f>
        <v>0</v>
      </c>
      <c r="Q121" s="235">
        <f>VLOOKUP($D121,'7. PGE_Efficacité'!$A$6:$CY$266,(MATCH('4.5 ACE MAX WOL '!Q$4,'7. PGE_Efficacité'!$A$4:$AO$4,0)+62),0)</f>
        <v>0</v>
      </c>
      <c r="R121" s="235">
        <f>VLOOKUP($D121,'7. PGE_Efficacité'!$A$6:$CY$266,(MATCH('4.5 ACE MAX WOL '!R$4,'7. PGE_Efficacité'!$A$4:$AO$4,0)+62),0)</f>
        <v>0</v>
      </c>
      <c r="S121" s="235">
        <f>VLOOKUP($D121,'7. PGE_Efficacité'!$A$6:$CY$266,(MATCH('4.5 ACE MAX WOL '!S$4,'7. PGE_Efficacité'!$A$4:$AO$4,0)+62),0)</f>
        <v>0</v>
      </c>
      <c r="T121" s="235">
        <f>VLOOKUP($D121,'7. PGE_Efficacité'!$A$6:$CY$266,(MATCH('4.5 ACE MAX WOL '!T$4,'7. PGE_Efficacité'!$A$4:$AO$4,0)+62),0)</f>
        <v>0</v>
      </c>
      <c r="U121" s="235">
        <f>VLOOKUP($D121,'7. PGE_Efficacité'!$A$6:$CY$266,(MATCH('4.5 ACE MAX WOL '!U$4,'7. PGE_Efficacité'!$A$4:$AO$4,0)+62),0)</f>
        <v>0</v>
      </c>
      <c r="V121" s="235" t="str">
        <f>VLOOKUP($D121,'7. PGE_Efficacité'!$A$6:$CY$266,(MATCH('4.5 ACE MAX WOL '!V$4,'7. PGE_Efficacité'!$A$4:$AO$4,0)+62),0)</f>
        <v>+</v>
      </c>
      <c r="W121" s="235" t="str">
        <f>VLOOKUP($D121,'7. PGE_Efficacité'!$A$6:$CY$266,(MATCH('4.5 ACE MAX WOL '!W$4,'7. PGE_Efficacité'!$A$4:$AO$4,0)+62),0)</f>
        <v>+</v>
      </c>
      <c r="X121" s="235">
        <f>VLOOKUP($D121,'7. PGE_Efficacité'!$A$6:$CY$266,(MATCH('4.5 ACE MAX WOL '!X$4,'7. PGE_Efficacité'!$A$4:$AO$4,0)+62),0)</f>
        <v>0</v>
      </c>
      <c r="Y121" s="235">
        <f>VLOOKUP($D121,'7. PGE_Efficacité'!$A$6:$CY$266,(MATCH('4.5 ACE MAX WOL '!Y$4,'7. PGE_Efficacité'!$A$4:$AO$4,0)+62),0)</f>
        <v>0</v>
      </c>
      <c r="Z121" s="235">
        <f>VLOOKUP($D121,'7. PGE_Efficacité'!$A$6:$CY$266,(MATCH('4.5 ACE MAX WOL '!Z$4,'7. PGE_Efficacité'!$A$4:$AO$4,0)+62),0)</f>
        <v>0</v>
      </c>
      <c r="AA121" s="235">
        <f>VLOOKUP($D121,'7. PGE_Efficacité'!$A$6:$CY$266,(MATCH('4.5 ACE MAX WOL '!AA$4,'7. PGE_Efficacité'!$A$4:$AO$4,0)+62),0)</f>
        <v>0</v>
      </c>
      <c r="AB121" s="235">
        <f>VLOOKUP($D121,'7. PGE_Efficacité'!$A$6:$CY$266,(MATCH('4.5 ACE MAX WOL '!AB$4,'7. PGE_Efficacité'!$A$4:$AO$4,0)+62),0)</f>
        <v>0</v>
      </c>
      <c r="AC121" s="235">
        <f>VLOOKUP($D121,'7. PGE_Efficacité'!$A$6:$CY$266,(MATCH('4.5 ACE MAX WOL '!AC$4,'7. PGE_Efficacité'!$A$4:$AO$4,0)+62),0)</f>
        <v>0</v>
      </c>
      <c r="AD121" s="235">
        <f>VLOOKUP($D121,'7. PGE_Efficacité'!$A$6:$CY$266,(MATCH('4.5 ACE MAX WOL '!AD$4,'7. PGE_Efficacité'!$A$4:$AO$4,0)+62),0)</f>
        <v>0</v>
      </c>
      <c r="AE121" s="235" t="str">
        <f>VLOOKUP($D121,'7. PGE_Efficacité'!$A$6:$CY$266,(MATCH('4.5 ACE MAX WOL '!AE$4,'7. PGE_Efficacité'!$A$4:$AO$4,0)+62),0)</f>
        <v>+</v>
      </c>
      <c r="AF121" s="235">
        <f>VLOOKUP($D121,'7. PGE_Efficacité'!$A$6:$CY$266,(MATCH('4.5 ACE MAX WOL '!AF$4,'7. PGE_Efficacité'!$A$4:$AO$4,0)+62),0)</f>
        <v>0</v>
      </c>
      <c r="AG121" s="235">
        <f>VLOOKUP($D121,'7. PGE_Efficacité'!$A$6:$CY$266,(MATCH('4.5 ACE MAX WOL '!AG$4,'7. PGE_Efficacité'!$A$4:$AO$4,0)+62),0)</f>
        <v>0</v>
      </c>
      <c r="AH121" s="235">
        <f>VLOOKUP($D121,'7. PGE_Efficacité'!$A$6:$CY$266,(MATCH('4.5 ACE MAX WOL '!AH$4,'7. PGE_Efficacité'!$A$4:$AO$4,0)+62),0)</f>
        <v>0</v>
      </c>
      <c r="AI121" s="235">
        <f>VLOOKUP($D121,'7. PGE_Efficacité'!$A$6:$CY$266,(MATCH('4.5 ACE MAX WOL '!AI$4,'7. PGE_Efficacité'!$A$4:$AO$4,0)+62),0)</f>
        <v>0</v>
      </c>
      <c r="AJ121" s="235">
        <f>VLOOKUP($D121,'7. PGE_Efficacité'!$A$6:$CY$266,(MATCH('4.5 ACE MAX WOL '!AJ$4,'7. PGE_Efficacité'!$A$4:$AO$4,0)+62),0)</f>
        <v>0</v>
      </c>
      <c r="AK121" s="235" t="str">
        <f>VLOOKUP($D121,'7. PGE_Efficacité'!$A$6:$CY$266,(MATCH('4.5 ACE MAX WOL '!AK$4,'7. PGE_Efficacité'!$A$4:$AO$4,0)+62),0)</f>
        <v>+</v>
      </c>
      <c r="AL121" s="235">
        <f>VLOOKUP($D121,'7. PGE_Efficacité'!$A$6:$CY$266,(MATCH('4.5 ACE MAX WOL '!AL$4,'7. PGE_Efficacité'!$A$4:$AO$4,0)+62),0)</f>
        <v>0</v>
      </c>
      <c r="AM121" s="235" t="str">
        <f>VLOOKUP($D121,'7. PGE_Efficacité'!$A$6:$CY$266,(MATCH('4.5 ACE MAX WOL '!AM$4,'7. PGE_Efficacité'!$A$4:$AO$4,0)+62),0)</f>
        <v>+</v>
      </c>
      <c r="AN121" s="235" t="str">
        <f>VLOOKUP($D121,'7. PGE_Efficacité'!$A$6:$CY$266,(MATCH('4.5 ACE MAX WOL '!AN$4,'7. PGE_Efficacité'!$A$4:$AO$4,0)+62),0)</f>
        <v>+</v>
      </c>
    </row>
    <row r="122" spans="1:40" hidden="1" outlineLevel="2" x14ac:dyDescent="0.25">
      <c r="A122" s="48" t="s">
        <v>1524</v>
      </c>
      <c r="B122" s="49">
        <v>27</v>
      </c>
      <c r="C122" s="48" t="s">
        <v>1524</v>
      </c>
      <c r="D122" s="200" t="s">
        <v>27</v>
      </c>
      <c r="E122" s="200" t="s">
        <v>763</v>
      </c>
      <c r="F122" s="200" t="s">
        <v>1409</v>
      </c>
      <c r="G122" s="201" t="s">
        <v>1521</v>
      </c>
      <c r="H122" s="200" t="s">
        <v>1290</v>
      </c>
      <c r="I122" s="202"/>
      <c r="J122" s="139">
        <f>VLOOKUP($E122,'7. PGE_Efficacité'!$A$6:$CY$266,(MATCH('4.5 ACE MAX WOL '!J$4,'7. PGE_Efficacité'!$A$4:$AO$4,0)+62),0)</f>
        <v>0</v>
      </c>
      <c r="K122" s="139">
        <f>VLOOKUP($E122,'7. PGE_Efficacité'!$A$6:$CY$266,(MATCH('4.5 ACE MAX WOL '!K$4,'7. PGE_Efficacité'!$A$4:$AO$4,0)+62),0)</f>
        <v>0</v>
      </c>
      <c r="L122" s="139">
        <f>VLOOKUP($E122,'7. PGE_Efficacité'!$A$6:$CY$266,(MATCH('4.5 ACE MAX WOL '!L$4,'7. PGE_Efficacité'!$A$4:$AO$4,0)+62),0)</f>
        <v>0</v>
      </c>
      <c r="M122" s="139">
        <f>VLOOKUP($E122,'7. PGE_Efficacité'!$A$6:$CY$266,(MATCH('4.5 ACE MAX WOL '!M$4,'7. PGE_Efficacité'!$A$4:$AO$4,0)+62),0)</f>
        <v>0</v>
      </c>
      <c r="N122" s="139">
        <f>VLOOKUP($E122,'7. PGE_Efficacité'!$A$6:$CY$266,(MATCH('4.5 ACE MAX WOL '!N$4,'7. PGE_Efficacité'!$A$4:$AO$4,0)+62),0)</f>
        <v>0</v>
      </c>
      <c r="O122" s="139">
        <f>VLOOKUP($E122,'7. PGE_Efficacité'!$A$6:$CY$266,78,0)</f>
        <v>0</v>
      </c>
      <c r="P122" s="139">
        <f>VLOOKUP($E122,'7. PGE_Efficacité'!$A$6:$CY$266,(MATCH('4.5 ACE MAX WOL '!P$4,'7. PGE_Efficacité'!$A$4:$AO$4,0)+62),0)</f>
        <v>0</v>
      </c>
      <c r="Q122" s="139">
        <f>VLOOKUP($E122,'7. PGE_Efficacité'!$A$6:$CY$266,(MATCH('4.5 ACE MAX WOL '!Q$4,'7. PGE_Efficacité'!$A$4:$AO$4,0)+62),0)</f>
        <v>0</v>
      </c>
      <c r="R122" s="139">
        <f>VLOOKUP($E122,'7. PGE_Efficacité'!$A$6:$CY$266,(MATCH('4.5 ACE MAX WOL '!R$4,'7. PGE_Efficacité'!$A$4:$AO$4,0)+62),0)</f>
        <v>0</v>
      </c>
      <c r="S122" s="139">
        <f>VLOOKUP($E122,'7. PGE_Efficacité'!$A$6:$CY$266,(MATCH('4.5 ACE MAX WOL '!S$4,'7. PGE_Efficacité'!$A$4:$AO$4,0)+62),0)</f>
        <v>0</v>
      </c>
      <c r="T122" s="139">
        <f>VLOOKUP($E122,'7. PGE_Efficacité'!$A$6:$CY$266,(MATCH('4.5 ACE MAX WOL '!T$4,'7. PGE_Efficacité'!$A$4:$AO$4,0)+62),0)</f>
        <v>0</v>
      </c>
      <c r="U122" s="139">
        <f>VLOOKUP($E122,'7. PGE_Efficacité'!$A$6:$CY$266,(MATCH('4.5 ACE MAX WOL '!U$4,'7. PGE_Efficacité'!$A$4:$AO$4,0)+62),0)</f>
        <v>0</v>
      </c>
      <c r="V122" s="139">
        <f>VLOOKUP($E122,'7. PGE_Efficacité'!$A$6:$CY$266,(MATCH('4.5 ACE MAX WOL '!V$4,'7. PGE_Efficacité'!$A$4:$AO$4,0)+62),0)</f>
        <v>0</v>
      </c>
      <c r="W122" s="139">
        <f>VLOOKUP($E122,'7. PGE_Efficacité'!$A$6:$CY$266,(MATCH('4.5 ACE MAX WOL '!W$4,'7. PGE_Efficacité'!$A$4:$AO$4,0)+62),0)</f>
        <v>0</v>
      </c>
      <c r="X122" s="139">
        <f>VLOOKUP($E122,'7. PGE_Efficacité'!$A$6:$CY$266,(MATCH('4.5 ACE MAX WOL '!X$4,'7. PGE_Efficacité'!$A$4:$AO$4,0)+62),0)</f>
        <v>0</v>
      </c>
      <c r="Y122" s="139">
        <f>VLOOKUP($E122,'7. PGE_Efficacité'!$A$6:$CY$266,(MATCH('4.5 ACE MAX WOL '!Y$4,'7. PGE_Efficacité'!$A$4:$AO$4,0)+62),0)</f>
        <v>0</v>
      </c>
      <c r="Z122" s="139">
        <f>VLOOKUP($E122,'7. PGE_Efficacité'!$A$6:$CY$266,(MATCH('4.5 ACE MAX WOL '!Z$4,'7. PGE_Efficacité'!$A$4:$AO$4,0)+62),0)</f>
        <v>0</v>
      </c>
      <c r="AA122" s="139">
        <f>VLOOKUP($E122,'7. PGE_Efficacité'!$A$6:$CY$266,(MATCH('4.5 ACE MAX WOL '!AA$4,'7. PGE_Efficacité'!$A$4:$AO$4,0)+62),0)</f>
        <v>0</v>
      </c>
      <c r="AB122" s="139">
        <f>VLOOKUP($E122,'7. PGE_Efficacité'!$A$6:$CY$266,(MATCH('4.5 ACE MAX WOL '!AB$4,'7. PGE_Efficacité'!$A$4:$AO$4,0)+62),0)</f>
        <v>0</v>
      </c>
      <c r="AC122" s="139">
        <f>VLOOKUP($E122,'7. PGE_Efficacité'!$A$6:$CY$266,(MATCH('4.5 ACE MAX WOL '!AC$4,'7. PGE_Efficacité'!$A$4:$AO$4,0)+62),0)</f>
        <v>0</v>
      </c>
      <c r="AD122" s="139">
        <f>VLOOKUP($E122,'7. PGE_Efficacité'!$A$6:$CY$266,(MATCH('4.5 ACE MAX WOL '!AD$4,'7. PGE_Efficacité'!$A$4:$AO$4,0)+62),0)</f>
        <v>0</v>
      </c>
      <c r="AE122" s="139">
        <f>VLOOKUP($E122,'7. PGE_Efficacité'!$A$6:$CY$266,(MATCH('4.5 ACE MAX WOL '!AE$4,'7. PGE_Efficacité'!$A$4:$AO$4,0)+62),0)</f>
        <v>0</v>
      </c>
      <c r="AF122" s="139">
        <f>VLOOKUP($E122,'7. PGE_Efficacité'!$A$6:$CY$266,(MATCH('4.5 ACE MAX WOL '!AF$4,'7. PGE_Efficacité'!$A$4:$AO$4,0)+62),0)</f>
        <v>0</v>
      </c>
      <c r="AG122" s="139">
        <f>VLOOKUP($E122,'7. PGE_Efficacité'!$A$6:$CY$266,(MATCH('4.5 ACE MAX WOL '!AG$4,'7. PGE_Efficacité'!$A$4:$AO$4,0)+62),0)</f>
        <v>0</v>
      </c>
      <c r="AH122" s="139">
        <f>VLOOKUP($E122,'7. PGE_Efficacité'!$A$6:$CY$266,(MATCH('4.5 ACE MAX WOL '!AH$4,'7. PGE_Efficacité'!$A$4:$AO$4,0)+62),0)</f>
        <v>0</v>
      </c>
      <c r="AI122" s="139">
        <f>VLOOKUP($E122,'7. PGE_Efficacité'!$A$6:$CY$266,(MATCH('4.5 ACE MAX WOL '!AI$4,'7. PGE_Efficacité'!$A$4:$AO$4,0)+62),0)</f>
        <v>0</v>
      </c>
      <c r="AJ122" s="139">
        <f>VLOOKUP($E122,'7. PGE_Efficacité'!$A$6:$CY$266,(MATCH('4.5 ACE MAX WOL '!AJ$4,'7. PGE_Efficacité'!$A$4:$AO$4,0)+62),0)</f>
        <v>0</v>
      </c>
      <c r="AK122" s="139">
        <f>VLOOKUP($E122,'7. PGE_Efficacité'!$A$6:$CY$266,(MATCH('4.5 ACE MAX WOL '!AK$4,'7. PGE_Efficacité'!$A$4:$AO$4,0)+62),0)</f>
        <v>0</v>
      </c>
      <c r="AL122" s="139">
        <f>VLOOKUP($E122,'7. PGE_Efficacité'!$A$6:$CY$266,(MATCH('4.5 ACE MAX WOL '!AL$4,'7. PGE_Efficacité'!$A$4:$AO$4,0)+62),0)</f>
        <v>0</v>
      </c>
      <c r="AM122" s="139">
        <f>VLOOKUP($E122,'7. PGE_Efficacité'!$A$6:$CY$266,(MATCH('4.5 ACE MAX WOL '!AM$4,'7. PGE_Efficacité'!$A$4:$AO$4,0)+62),0)</f>
        <v>0</v>
      </c>
      <c r="AN122" s="139">
        <f>VLOOKUP($E122,'7. PGE_Efficacité'!$A$6:$CY$266,(MATCH('4.5 ACE MAX WOL '!AN$4,'7. PGE_Efficacité'!$A$4:$AO$4,0)+62),0)</f>
        <v>0</v>
      </c>
    </row>
    <row r="123" spans="1:40" hidden="1" outlineLevel="2" x14ac:dyDescent="0.25">
      <c r="A123" s="48" t="s">
        <v>1524</v>
      </c>
      <c r="B123" s="49">
        <v>27</v>
      </c>
      <c r="C123" s="48" t="s">
        <v>1527</v>
      </c>
      <c r="D123" s="200" t="s">
        <v>27</v>
      </c>
      <c r="E123" s="200" t="s">
        <v>769</v>
      </c>
      <c r="F123" s="200" t="s">
        <v>1412</v>
      </c>
      <c r="G123" s="201" t="s">
        <v>1521</v>
      </c>
      <c r="H123" s="200" t="s">
        <v>416</v>
      </c>
      <c r="I123" s="202"/>
      <c r="J123" s="139">
        <f>VLOOKUP($E123,'7. PGE_Efficacité'!$A$6:$CY$266,(MATCH('4.5 ACE MAX WOL '!J$4,'7. PGE_Efficacité'!$A$4:$AO$4,0)+62),0)</f>
        <v>0</v>
      </c>
      <c r="K123" s="139">
        <f>VLOOKUP($E123,'7. PGE_Efficacité'!$A$6:$CY$266,(MATCH('4.5 ACE MAX WOL '!K$4,'7. PGE_Efficacité'!$A$4:$AO$4,0)+62),0)</f>
        <v>0</v>
      </c>
      <c r="L123" s="139">
        <f>VLOOKUP($E123,'7. PGE_Efficacité'!$A$6:$CY$266,(MATCH('4.5 ACE MAX WOL '!L$4,'7. PGE_Efficacité'!$A$4:$AO$4,0)+62),0)</f>
        <v>0</v>
      </c>
      <c r="M123" s="139">
        <f>VLOOKUP($E123,'7. PGE_Efficacité'!$A$6:$CY$266,(MATCH('4.5 ACE MAX WOL '!M$4,'7. PGE_Efficacité'!$A$4:$AO$4,0)+62),0)</f>
        <v>0</v>
      </c>
      <c r="N123" s="139">
        <f>VLOOKUP($E123,'7. PGE_Efficacité'!$A$6:$CY$266,(MATCH('4.5 ACE MAX WOL '!N$4,'7. PGE_Efficacité'!$A$4:$AO$4,0)+62),0)</f>
        <v>0</v>
      </c>
      <c r="O123" s="139">
        <f>VLOOKUP($E123,'7. PGE_Efficacité'!$A$6:$CY$266,78,0)</f>
        <v>0</v>
      </c>
      <c r="P123" s="139">
        <f>VLOOKUP($E123,'7. PGE_Efficacité'!$A$6:$CY$266,(MATCH('4.5 ACE MAX WOL '!P$4,'7. PGE_Efficacité'!$A$4:$AO$4,0)+62),0)</f>
        <v>0</v>
      </c>
      <c r="Q123" s="139">
        <f>VLOOKUP($E123,'7. PGE_Efficacité'!$A$6:$CY$266,(MATCH('4.5 ACE MAX WOL '!Q$4,'7. PGE_Efficacité'!$A$4:$AO$4,0)+62),0)</f>
        <v>0</v>
      </c>
      <c r="R123" s="139">
        <f>VLOOKUP($E123,'7. PGE_Efficacité'!$A$6:$CY$266,(MATCH('4.5 ACE MAX WOL '!R$4,'7. PGE_Efficacité'!$A$4:$AO$4,0)+62),0)</f>
        <v>0</v>
      </c>
      <c r="S123" s="139">
        <f>VLOOKUP($E123,'7. PGE_Efficacité'!$A$6:$CY$266,(MATCH('4.5 ACE MAX WOL '!S$4,'7. PGE_Efficacité'!$A$4:$AO$4,0)+62),0)</f>
        <v>0</v>
      </c>
      <c r="T123" s="139">
        <f>VLOOKUP($E123,'7. PGE_Efficacité'!$A$6:$CY$266,(MATCH('4.5 ACE MAX WOL '!T$4,'7. PGE_Efficacité'!$A$4:$AO$4,0)+62),0)</f>
        <v>0</v>
      </c>
      <c r="U123" s="139">
        <f>VLOOKUP($E123,'7. PGE_Efficacité'!$A$6:$CY$266,(MATCH('4.5 ACE MAX WOL '!U$4,'7. PGE_Efficacité'!$A$4:$AO$4,0)+62),0)</f>
        <v>0</v>
      </c>
      <c r="V123" s="139">
        <f>VLOOKUP($E123,'7. PGE_Efficacité'!$A$6:$CY$266,(MATCH('4.5 ACE MAX WOL '!V$4,'7. PGE_Efficacité'!$A$4:$AO$4,0)+62),0)</f>
        <v>0</v>
      </c>
      <c r="W123" s="139">
        <f>VLOOKUP($E123,'7. PGE_Efficacité'!$A$6:$CY$266,(MATCH('4.5 ACE MAX WOL '!W$4,'7. PGE_Efficacité'!$A$4:$AO$4,0)+62),0)</f>
        <v>0</v>
      </c>
      <c r="X123" s="139">
        <f>VLOOKUP($E123,'7. PGE_Efficacité'!$A$6:$CY$266,(MATCH('4.5 ACE MAX WOL '!X$4,'7. PGE_Efficacité'!$A$4:$AO$4,0)+62),0)</f>
        <v>0</v>
      </c>
      <c r="Y123" s="139">
        <f>VLOOKUP($E123,'7. PGE_Efficacité'!$A$6:$CY$266,(MATCH('4.5 ACE MAX WOL '!Y$4,'7. PGE_Efficacité'!$A$4:$AO$4,0)+62),0)</f>
        <v>0</v>
      </c>
      <c r="Z123" s="139">
        <f>VLOOKUP($E123,'7. PGE_Efficacité'!$A$6:$CY$266,(MATCH('4.5 ACE MAX WOL '!Z$4,'7. PGE_Efficacité'!$A$4:$AO$4,0)+62),0)</f>
        <v>0</v>
      </c>
      <c r="AA123" s="139">
        <f>VLOOKUP($E123,'7. PGE_Efficacité'!$A$6:$CY$266,(MATCH('4.5 ACE MAX WOL '!AA$4,'7. PGE_Efficacité'!$A$4:$AO$4,0)+62),0)</f>
        <v>0</v>
      </c>
      <c r="AB123" s="139">
        <f>VLOOKUP($E123,'7. PGE_Efficacité'!$A$6:$CY$266,(MATCH('4.5 ACE MAX WOL '!AB$4,'7. PGE_Efficacité'!$A$4:$AO$4,0)+62),0)</f>
        <v>0</v>
      </c>
      <c r="AC123" s="139">
        <f>VLOOKUP($E123,'7. PGE_Efficacité'!$A$6:$CY$266,(MATCH('4.5 ACE MAX WOL '!AC$4,'7. PGE_Efficacité'!$A$4:$AO$4,0)+62),0)</f>
        <v>0</v>
      </c>
      <c r="AD123" s="139">
        <f>VLOOKUP($E123,'7. PGE_Efficacité'!$A$6:$CY$266,(MATCH('4.5 ACE MAX WOL '!AD$4,'7. PGE_Efficacité'!$A$4:$AO$4,0)+62),0)</f>
        <v>0</v>
      </c>
      <c r="AE123" s="139">
        <f>VLOOKUP($E123,'7. PGE_Efficacité'!$A$6:$CY$266,(MATCH('4.5 ACE MAX WOL '!AE$4,'7. PGE_Efficacité'!$A$4:$AO$4,0)+62),0)</f>
        <v>0</v>
      </c>
      <c r="AF123" s="139">
        <f>VLOOKUP($E123,'7. PGE_Efficacité'!$A$6:$CY$266,(MATCH('4.5 ACE MAX WOL '!AF$4,'7. PGE_Efficacité'!$A$4:$AO$4,0)+62),0)</f>
        <v>0</v>
      </c>
      <c r="AG123" s="139">
        <f>VLOOKUP($E123,'7. PGE_Efficacité'!$A$6:$CY$266,(MATCH('4.5 ACE MAX WOL '!AG$4,'7. PGE_Efficacité'!$A$4:$AO$4,0)+62),0)</f>
        <v>0</v>
      </c>
      <c r="AH123" s="139">
        <f>VLOOKUP($E123,'7. PGE_Efficacité'!$A$6:$CY$266,(MATCH('4.5 ACE MAX WOL '!AH$4,'7. PGE_Efficacité'!$A$4:$AO$4,0)+62),0)</f>
        <v>0</v>
      </c>
      <c r="AI123" s="139">
        <f>VLOOKUP($E123,'7. PGE_Efficacité'!$A$6:$CY$266,(MATCH('4.5 ACE MAX WOL '!AI$4,'7. PGE_Efficacité'!$A$4:$AO$4,0)+62),0)</f>
        <v>0</v>
      </c>
      <c r="AJ123" s="139">
        <f>VLOOKUP($E123,'7. PGE_Efficacité'!$A$6:$CY$266,(MATCH('4.5 ACE MAX WOL '!AJ$4,'7. PGE_Efficacité'!$A$4:$AO$4,0)+62),0)</f>
        <v>0</v>
      </c>
      <c r="AK123" s="139">
        <f>VLOOKUP($E123,'7. PGE_Efficacité'!$A$6:$CY$266,(MATCH('4.5 ACE MAX WOL '!AK$4,'7. PGE_Efficacité'!$A$4:$AO$4,0)+62),0)</f>
        <v>0</v>
      </c>
      <c r="AL123" s="139">
        <f>VLOOKUP($E123,'7. PGE_Efficacité'!$A$6:$CY$266,(MATCH('4.5 ACE MAX WOL '!AL$4,'7. PGE_Efficacité'!$A$4:$AO$4,0)+62),0)</f>
        <v>0</v>
      </c>
      <c r="AM123" s="139">
        <f>VLOOKUP($E123,'7. PGE_Efficacité'!$A$6:$CY$266,(MATCH('4.5 ACE MAX WOL '!AM$4,'7. PGE_Efficacité'!$A$4:$AO$4,0)+62),0)</f>
        <v>0</v>
      </c>
      <c r="AN123" s="139">
        <f>VLOOKUP($E123,'7. PGE_Efficacité'!$A$6:$CY$266,(MATCH('4.5 ACE MAX WOL '!AN$4,'7. PGE_Efficacité'!$A$4:$AO$4,0)+62),0)</f>
        <v>0</v>
      </c>
    </row>
    <row r="124" spans="1:40" hidden="1" outlineLevel="2" x14ac:dyDescent="0.25">
      <c r="A124" s="48" t="s">
        <v>1524</v>
      </c>
      <c r="B124" s="49">
        <v>27</v>
      </c>
      <c r="C124" s="48" t="s">
        <v>1505</v>
      </c>
      <c r="D124" s="200" t="s">
        <v>27</v>
      </c>
      <c r="E124" s="200" t="s">
        <v>766</v>
      </c>
      <c r="F124" s="200" t="s">
        <v>1410</v>
      </c>
      <c r="G124" s="201" t="s">
        <v>1521</v>
      </c>
      <c r="H124" s="200" t="s">
        <v>416</v>
      </c>
      <c r="I124" s="202"/>
      <c r="J124" s="139">
        <f>VLOOKUP($E124,'7. PGE_Efficacité'!$A$6:$CY$266,(MATCH('4.5 ACE MAX WOL '!J$4,'7. PGE_Efficacité'!$A$4:$AO$4,0)+62),0)</f>
        <v>0</v>
      </c>
      <c r="K124" s="139">
        <f>VLOOKUP($E124,'7. PGE_Efficacité'!$A$6:$CY$266,(MATCH('4.5 ACE MAX WOL '!K$4,'7. PGE_Efficacité'!$A$4:$AO$4,0)+62),0)</f>
        <v>0</v>
      </c>
      <c r="L124" s="139">
        <f>VLOOKUP($E124,'7. PGE_Efficacité'!$A$6:$CY$266,(MATCH('4.5 ACE MAX WOL '!L$4,'7. PGE_Efficacité'!$A$4:$AO$4,0)+62),0)</f>
        <v>0</v>
      </c>
      <c r="M124" s="139">
        <f>VLOOKUP($E124,'7. PGE_Efficacité'!$A$6:$CY$266,(MATCH('4.5 ACE MAX WOL '!M$4,'7. PGE_Efficacité'!$A$4:$AO$4,0)+62),0)</f>
        <v>0</v>
      </c>
      <c r="N124" s="139">
        <f>VLOOKUP($E124,'7. PGE_Efficacité'!$A$6:$CY$266,(MATCH('4.5 ACE MAX WOL '!N$4,'7. PGE_Efficacité'!$A$4:$AO$4,0)+62),0)</f>
        <v>0</v>
      </c>
      <c r="O124" s="139">
        <f>VLOOKUP($E124,'7. PGE_Efficacité'!$A$6:$CY$266,78,0)</f>
        <v>0</v>
      </c>
      <c r="P124" s="139">
        <f>VLOOKUP($E124,'7. PGE_Efficacité'!$A$6:$CY$266,(MATCH('4.5 ACE MAX WOL '!P$4,'7. PGE_Efficacité'!$A$4:$AO$4,0)+62),0)</f>
        <v>0</v>
      </c>
      <c r="Q124" s="139">
        <f>VLOOKUP($E124,'7. PGE_Efficacité'!$A$6:$CY$266,(MATCH('4.5 ACE MAX WOL '!Q$4,'7. PGE_Efficacité'!$A$4:$AO$4,0)+62),0)</f>
        <v>0</v>
      </c>
      <c r="R124" s="139">
        <f>VLOOKUP($E124,'7. PGE_Efficacité'!$A$6:$CY$266,(MATCH('4.5 ACE MAX WOL '!R$4,'7. PGE_Efficacité'!$A$4:$AO$4,0)+62),0)</f>
        <v>0</v>
      </c>
      <c r="S124" s="139">
        <f>VLOOKUP($E124,'7. PGE_Efficacité'!$A$6:$CY$266,(MATCH('4.5 ACE MAX WOL '!S$4,'7. PGE_Efficacité'!$A$4:$AO$4,0)+62),0)</f>
        <v>0</v>
      </c>
      <c r="T124" s="139">
        <f>VLOOKUP($E124,'7. PGE_Efficacité'!$A$6:$CY$266,(MATCH('4.5 ACE MAX WOL '!T$4,'7. PGE_Efficacité'!$A$4:$AO$4,0)+62),0)</f>
        <v>0</v>
      </c>
      <c r="U124" s="139">
        <f>VLOOKUP($E124,'7. PGE_Efficacité'!$A$6:$CY$266,(MATCH('4.5 ACE MAX WOL '!U$4,'7. PGE_Efficacité'!$A$4:$AO$4,0)+62),0)</f>
        <v>0</v>
      </c>
      <c r="V124" s="139">
        <f>VLOOKUP($E124,'7. PGE_Efficacité'!$A$6:$CY$266,(MATCH('4.5 ACE MAX WOL '!V$4,'7. PGE_Efficacité'!$A$4:$AO$4,0)+62),0)</f>
        <v>0</v>
      </c>
      <c r="W124" s="139">
        <f>VLOOKUP($E124,'7. PGE_Efficacité'!$A$6:$CY$266,(MATCH('4.5 ACE MAX WOL '!W$4,'7. PGE_Efficacité'!$A$4:$AO$4,0)+62),0)</f>
        <v>0</v>
      </c>
      <c r="X124" s="139">
        <f>VLOOKUP($E124,'7. PGE_Efficacité'!$A$6:$CY$266,(MATCH('4.5 ACE MAX WOL '!X$4,'7. PGE_Efficacité'!$A$4:$AO$4,0)+62),0)</f>
        <v>0</v>
      </c>
      <c r="Y124" s="139">
        <f>VLOOKUP($E124,'7. PGE_Efficacité'!$A$6:$CY$266,(MATCH('4.5 ACE MAX WOL '!Y$4,'7. PGE_Efficacité'!$A$4:$AO$4,0)+62),0)</f>
        <v>0</v>
      </c>
      <c r="Z124" s="139">
        <f>VLOOKUP($E124,'7. PGE_Efficacité'!$A$6:$CY$266,(MATCH('4.5 ACE MAX WOL '!Z$4,'7. PGE_Efficacité'!$A$4:$AO$4,0)+62),0)</f>
        <v>0</v>
      </c>
      <c r="AA124" s="139">
        <f>VLOOKUP($E124,'7. PGE_Efficacité'!$A$6:$CY$266,(MATCH('4.5 ACE MAX WOL '!AA$4,'7. PGE_Efficacité'!$A$4:$AO$4,0)+62),0)</f>
        <v>0</v>
      </c>
      <c r="AB124" s="139">
        <f>VLOOKUP($E124,'7. PGE_Efficacité'!$A$6:$CY$266,(MATCH('4.5 ACE MAX WOL '!AB$4,'7. PGE_Efficacité'!$A$4:$AO$4,0)+62),0)</f>
        <v>0</v>
      </c>
      <c r="AC124" s="139">
        <f>VLOOKUP($E124,'7. PGE_Efficacité'!$A$6:$CY$266,(MATCH('4.5 ACE MAX WOL '!AC$4,'7. PGE_Efficacité'!$A$4:$AO$4,0)+62),0)</f>
        <v>0</v>
      </c>
      <c r="AD124" s="139">
        <f>VLOOKUP($E124,'7. PGE_Efficacité'!$A$6:$CY$266,(MATCH('4.5 ACE MAX WOL '!AD$4,'7. PGE_Efficacité'!$A$4:$AO$4,0)+62),0)</f>
        <v>0</v>
      </c>
      <c r="AE124" s="139">
        <f>VLOOKUP($E124,'7. PGE_Efficacité'!$A$6:$CY$266,(MATCH('4.5 ACE MAX WOL '!AE$4,'7. PGE_Efficacité'!$A$4:$AO$4,0)+62),0)</f>
        <v>0</v>
      </c>
      <c r="AF124" s="139">
        <f>VLOOKUP($E124,'7. PGE_Efficacité'!$A$6:$CY$266,(MATCH('4.5 ACE MAX WOL '!AF$4,'7. PGE_Efficacité'!$A$4:$AO$4,0)+62),0)</f>
        <v>0</v>
      </c>
      <c r="AG124" s="139">
        <f>VLOOKUP($E124,'7. PGE_Efficacité'!$A$6:$CY$266,(MATCH('4.5 ACE MAX WOL '!AG$4,'7. PGE_Efficacité'!$A$4:$AO$4,0)+62),0)</f>
        <v>0</v>
      </c>
      <c r="AH124" s="139">
        <f>VLOOKUP($E124,'7. PGE_Efficacité'!$A$6:$CY$266,(MATCH('4.5 ACE MAX WOL '!AH$4,'7. PGE_Efficacité'!$A$4:$AO$4,0)+62),0)</f>
        <v>0</v>
      </c>
      <c r="AI124" s="139">
        <f>VLOOKUP($E124,'7. PGE_Efficacité'!$A$6:$CY$266,(MATCH('4.5 ACE MAX WOL '!AI$4,'7. PGE_Efficacité'!$A$4:$AO$4,0)+62),0)</f>
        <v>0</v>
      </c>
      <c r="AJ124" s="139">
        <f>VLOOKUP($E124,'7. PGE_Efficacité'!$A$6:$CY$266,(MATCH('4.5 ACE MAX WOL '!AJ$4,'7. PGE_Efficacité'!$A$4:$AO$4,0)+62),0)</f>
        <v>0</v>
      </c>
      <c r="AK124" s="139">
        <f>VLOOKUP($E124,'7. PGE_Efficacité'!$A$6:$CY$266,(MATCH('4.5 ACE MAX WOL '!AK$4,'7. PGE_Efficacité'!$A$4:$AO$4,0)+62),0)</f>
        <v>0</v>
      </c>
      <c r="AL124" s="139">
        <f>VLOOKUP($E124,'7. PGE_Efficacité'!$A$6:$CY$266,(MATCH('4.5 ACE MAX WOL '!AL$4,'7. PGE_Efficacité'!$A$4:$AO$4,0)+62),0)</f>
        <v>0</v>
      </c>
      <c r="AM124" s="139">
        <f>VLOOKUP($E124,'7. PGE_Efficacité'!$A$6:$CY$266,(MATCH('4.5 ACE MAX WOL '!AM$4,'7. PGE_Efficacité'!$A$4:$AO$4,0)+62),0)</f>
        <v>0</v>
      </c>
      <c r="AN124" s="139">
        <f>VLOOKUP($E124,'7. PGE_Efficacité'!$A$6:$CY$266,(MATCH('4.5 ACE MAX WOL '!AN$4,'7. PGE_Efficacité'!$A$4:$AO$4,0)+62),0)</f>
        <v>0</v>
      </c>
    </row>
    <row r="125" spans="1:40" hidden="1" outlineLevel="2" x14ac:dyDescent="0.25">
      <c r="A125" s="48"/>
      <c r="B125" s="49"/>
      <c r="C125" s="48"/>
      <c r="D125" s="200" t="s">
        <v>27</v>
      </c>
      <c r="E125" s="200" t="s">
        <v>1599</v>
      </c>
      <c r="F125" s="200" t="s">
        <v>1411</v>
      </c>
      <c r="G125" s="201" t="s">
        <v>1521</v>
      </c>
      <c r="H125" s="200" t="s">
        <v>1288</v>
      </c>
      <c r="I125" s="202"/>
      <c r="J125" s="139">
        <f>VLOOKUP($E125,'7. PGE_Efficacité'!$A$6:$CY$266,(MATCH('4.5 ACE MAX WOL '!J$4,'7. PGE_Efficacité'!$A$4:$AO$4,0)+62),0)</f>
        <v>0</v>
      </c>
      <c r="K125" s="139">
        <f>VLOOKUP($E125,'7. PGE_Efficacité'!$A$6:$CY$266,(MATCH('4.5 ACE MAX WOL '!K$4,'7. PGE_Efficacité'!$A$4:$AO$4,0)+62),0)</f>
        <v>0</v>
      </c>
      <c r="L125" s="139">
        <f>VLOOKUP($E125,'7. PGE_Efficacité'!$A$6:$CY$266,(MATCH('4.5 ACE MAX WOL '!L$4,'7. PGE_Efficacité'!$A$4:$AO$4,0)+62),0)</f>
        <v>0</v>
      </c>
      <c r="M125" s="139">
        <f>VLOOKUP($E125,'7. PGE_Efficacité'!$A$6:$CY$266,(MATCH('4.5 ACE MAX WOL '!M$4,'7. PGE_Efficacité'!$A$4:$AO$4,0)+62),0)</f>
        <v>0</v>
      </c>
      <c r="N125" s="139">
        <f>VLOOKUP($E125,'7. PGE_Efficacité'!$A$6:$CY$266,(MATCH('4.5 ACE MAX WOL '!N$4,'7. PGE_Efficacité'!$A$4:$AO$4,0)+62),0)</f>
        <v>0</v>
      </c>
      <c r="O125" s="139">
        <f>VLOOKUP($E125,'7. PGE_Efficacité'!$A$6:$CY$266,78,0)</f>
        <v>0</v>
      </c>
      <c r="P125" s="139">
        <f>VLOOKUP($E125,'7. PGE_Efficacité'!$A$6:$CY$266,(MATCH('4.5 ACE MAX WOL '!P$4,'7. PGE_Efficacité'!$A$4:$AO$4,0)+62),0)</f>
        <v>0</v>
      </c>
      <c r="Q125" s="139">
        <f>VLOOKUP($E125,'7. PGE_Efficacité'!$A$6:$CY$266,(MATCH('4.5 ACE MAX WOL '!Q$4,'7. PGE_Efficacité'!$A$4:$AO$4,0)+62),0)</f>
        <v>0</v>
      </c>
      <c r="R125" s="139">
        <f>VLOOKUP($E125,'7. PGE_Efficacité'!$A$6:$CY$266,(MATCH('4.5 ACE MAX WOL '!R$4,'7. PGE_Efficacité'!$A$4:$AO$4,0)+62),0)</f>
        <v>0</v>
      </c>
      <c r="S125" s="139">
        <f>VLOOKUP($E125,'7. PGE_Efficacité'!$A$6:$CY$266,(MATCH('4.5 ACE MAX WOL '!S$4,'7. PGE_Efficacité'!$A$4:$AO$4,0)+62),0)</f>
        <v>0</v>
      </c>
      <c r="T125" s="139">
        <f>VLOOKUP($E125,'7. PGE_Efficacité'!$A$6:$CY$266,(MATCH('4.5 ACE MAX WOL '!T$4,'7. PGE_Efficacité'!$A$4:$AO$4,0)+62),0)</f>
        <v>0</v>
      </c>
      <c r="U125" s="139">
        <f>VLOOKUP($E125,'7. PGE_Efficacité'!$A$6:$CY$266,(MATCH('4.5 ACE MAX WOL '!U$4,'7. PGE_Efficacité'!$A$4:$AO$4,0)+62),0)</f>
        <v>0</v>
      </c>
      <c r="V125" s="139">
        <f>VLOOKUP($E125,'7. PGE_Efficacité'!$A$6:$CY$266,(MATCH('4.5 ACE MAX WOL '!V$4,'7. PGE_Efficacité'!$A$4:$AO$4,0)+62),0)</f>
        <v>0</v>
      </c>
      <c r="W125" s="139">
        <f>VLOOKUP($E125,'7. PGE_Efficacité'!$A$6:$CY$266,(MATCH('4.5 ACE MAX WOL '!W$4,'7. PGE_Efficacité'!$A$4:$AO$4,0)+62),0)</f>
        <v>0</v>
      </c>
      <c r="X125" s="139">
        <f>VLOOKUP($E125,'7. PGE_Efficacité'!$A$6:$CY$266,(MATCH('4.5 ACE MAX WOL '!X$4,'7. PGE_Efficacité'!$A$4:$AO$4,0)+62),0)</f>
        <v>0</v>
      </c>
      <c r="Y125" s="139">
        <f>VLOOKUP($E125,'7. PGE_Efficacité'!$A$6:$CY$266,(MATCH('4.5 ACE MAX WOL '!Y$4,'7. PGE_Efficacité'!$A$4:$AO$4,0)+62),0)</f>
        <v>0</v>
      </c>
      <c r="Z125" s="139">
        <f>VLOOKUP($E125,'7. PGE_Efficacité'!$A$6:$CY$266,(MATCH('4.5 ACE MAX WOL '!Z$4,'7. PGE_Efficacité'!$A$4:$AO$4,0)+62),0)</f>
        <v>0</v>
      </c>
      <c r="AA125" s="139">
        <f>VLOOKUP($E125,'7. PGE_Efficacité'!$A$6:$CY$266,(MATCH('4.5 ACE MAX WOL '!AA$4,'7. PGE_Efficacité'!$A$4:$AO$4,0)+62),0)</f>
        <v>0</v>
      </c>
      <c r="AB125" s="139">
        <f>VLOOKUP($E125,'7. PGE_Efficacité'!$A$6:$CY$266,(MATCH('4.5 ACE MAX WOL '!AB$4,'7. PGE_Efficacité'!$A$4:$AO$4,0)+62),0)</f>
        <v>0</v>
      </c>
      <c r="AC125" s="139">
        <f>VLOOKUP($E125,'7. PGE_Efficacité'!$A$6:$CY$266,(MATCH('4.5 ACE MAX WOL '!AC$4,'7. PGE_Efficacité'!$A$4:$AO$4,0)+62),0)</f>
        <v>0</v>
      </c>
      <c r="AD125" s="139">
        <f>VLOOKUP($E125,'7. PGE_Efficacité'!$A$6:$CY$266,(MATCH('4.5 ACE MAX WOL '!AD$4,'7. PGE_Efficacité'!$A$4:$AO$4,0)+62),0)</f>
        <v>0</v>
      </c>
      <c r="AE125" s="139">
        <f>VLOOKUP($E125,'7. PGE_Efficacité'!$A$6:$CY$266,(MATCH('4.5 ACE MAX WOL '!AE$4,'7. PGE_Efficacité'!$A$4:$AO$4,0)+62),0)</f>
        <v>0</v>
      </c>
      <c r="AF125" s="139">
        <f>VLOOKUP($E125,'7. PGE_Efficacité'!$A$6:$CY$266,(MATCH('4.5 ACE MAX WOL '!AF$4,'7. PGE_Efficacité'!$A$4:$AO$4,0)+62),0)</f>
        <v>0</v>
      </c>
      <c r="AG125" s="139">
        <f>VLOOKUP($E125,'7. PGE_Efficacité'!$A$6:$CY$266,(MATCH('4.5 ACE MAX WOL '!AG$4,'7. PGE_Efficacité'!$A$4:$AO$4,0)+62),0)</f>
        <v>0</v>
      </c>
      <c r="AH125" s="139">
        <f>VLOOKUP($E125,'7. PGE_Efficacité'!$A$6:$CY$266,(MATCH('4.5 ACE MAX WOL '!AH$4,'7. PGE_Efficacité'!$A$4:$AO$4,0)+62),0)</f>
        <v>0</v>
      </c>
      <c r="AI125" s="139">
        <f>VLOOKUP($E125,'7. PGE_Efficacité'!$A$6:$CY$266,(MATCH('4.5 ACE MAX WOL '!AI$4,'7. PGE_Efficacité'!$A$4:$AO$4,0)+62),0)</f>
        <v>0</v>
      </c>
      <c r="AJ125" s="139">
        <f>VLOOKUP($E125,'7. PGE_Efficacité'!$A$6:$CY$266,(MATCH('4.5 ACE MAX WOL '!AJ$4,'7. PGE_Efficacité'!$A$4:$AO$4,0)+62),0)</f>
        <v>0</v>
      </c>
      <c r="AK125" s="139">
        <f>VLOOKUP($E125,'7. PGE_Efficacité'!$A$6:$CY$266,(MATCH('4.5 ACE MAX WOL '!AK$4,'7. PGE_Efficacité'!$A$4:$AO$4,0)+62),0)</f>
        <v>0</v>
      </c>
      <c r="AL125" s="139">
        <f>VLOOKUP($E125,'7. PGE_Efficacité'!$A$6:$CY$266,(MATCH('4.5 ACE MAX WOL '!AL$4,'7. PGE_Efficacité'!$A$4:$AO$4,0)+62),0)</f>
        <v>0</v>
      </c>
      <c r="AM125" s="139">
        <f>VLOOKUP($E125,'7. PGE_Efficacité'!$A$6:$CY$266,(MATCH('4.5 ACE MAX WOL '!AM$4,'7. PGE_Efficacité'!$A$4:$AO$4,0)+62),0)</f>
        <v>0</v>
      </c>
      <c r="AN125" s="139">
        <f>VLOOKUP($E125,'7. PGE_Efficacité'!$A$6:$CY$266,(MATCH('4.5 ACE MAX WOL '!AN$4,'7. PGE_Efficacité'!$A$4:$AO$4,0)+62),0)</f>
        <v>0</v>
      </c>
    </row>
    <row r="126" spans="1:40" ht="26.25" outlineLevel="1" collapsed="1" x14ac:dyDescent="0.25">
      <c r="A126" s="48"/>
      <c r="B126" s="49"/>
      <c r="C126" s="48"/>
      <c r="D126" s="194" t="s">
        <v>38</v>
      </c>
      <c r="E126" s="195"/>
      <c r="F126" s="196" t="str">
        <f>VLOOKUP(D126,'1. Mesures'!$A$2:$B$116,2,0)</f>
        <v xml:space="preserve">Rénover et étendre le réseau d'assainissement afin de réduire les concentrations en nitrates d’origine non agricole </v>
      </c>
      <c r="G126" s="197"/>
      <c r="H126" s="195"/>
      <c r="I126" s="198">
        <f>MEDIAN(VLOOKUP(D126,'4. Mesures_ACE_Budget'!$A$3:$N$32,13,0),(VLOOKUP(D126,'4. Mesures_ACE_Budget'!$A$3:$N$32,14,0)))</f>
        <v>0</v>
      </c>
      <c r="J126" s="235">
        <f>VLOOKUP($D126,'7. PGE_Efficacité'!$A$6:$CY$266,(MATCH('4.5 ACE MAX WOL '!J$4,'7. PGE_Efficacité'!$A$4:$AO$4,0)+62),0)</f>
        <v>0</v>
      </c>
      <c r="K126" s="235">
        <f>VLOOKUP($D126,'7. PGE_Efficacité'!$A$6:$CY$266,(MATCH('4.5 ACE MAX WOL '!K$4,'7. PGE_Efficacité'!$A$4:$AO$4,0)+62),0)</f>
        <v>0</v>
      </c>
      <c r="L126" s="235">
        <f>VLOOKUP($D126,'7. PGE_Efficacité'!$A$6:$CY$266,(MATCH('4.5 ACE MAX WOL '!L$4,'7. PGE_Efficacité'!$A$4:$AO$4,0)+62),0)</f>
        <v>0</v>
      </c>
      <c r="M126" s="235" t="str">
        <f>VLOOKUP($D126,'7. PGE_Efficacité'!$A$6:$CY$266,(MATCH('4.5 ACE MAX WOL '!M$4,'7. PGE_Efficacité'!$A$4:$AO$4,0)+62),0)</f>
        <v>+</v>
      </c>
      <c r="N126" s="235" t="str">
        <f>VLOOKUP($D126,'7. PGE_Efficacité'!$A$6:$CY$266,(MATCH('4.5 ACE MAX WOL '!N$4,'7. PGE_Efficacité'!$A$4:$AO$4,0)+62),0)</f>
        <v>+</v>
      </c>
      <c r="O126" s="235" t="str">
        <f>VLOOKUP($D126,'7. PGE_Efficacité'!$A$6:$CY$266,78,0)</f>
        <v>+</v>
      </c>
      <c r="P126" s="235">
        <f>VLOOKUP($D126,'7. PGE_Efficacité'!$A$6:$CY$266,(MATCH('4.5 ACE MAX WOL '!P$4,'7. PGE_Efficacité'!$A$4:$AO$4,0)+62),0)</f>
        <v>0</v>
      </c>
      <c r="Q126" s="235">
        <f>VLOOKUP($D126,'7. PGE_Efficacité'!$A$6:$CY$266,(MATCH('4.5 ACE MAX WOL '!Q$4,'7. PGE_Efficacité'!$A$4:$AO$4,0)+62),0)</f>
        <v>0</v>
      </c>
      <c r="R126" s="235">
        <f>VLOOKUP($D126,'7. PGE_Efficacité'!$A$6:$CY$266,(MATCH('4.5 ACE MAX WOL '!R$4,'7. PGE_Efficacité'!$A$4:$AO$4,0)+62),0)</f>
        <v>0</v>
      </c>
      <c r="S126" s="235">
        <f>VLOOKUP($D126,'7. PGE_Efficacité'!$A$6:$CY$266,(MATCH('4.5 ACE MAX WOL '!S$4,'7. PGE_Efficacité'!$A$4:$AO$4,0)+62),0)</f>
        <v>0</v>
      </c>
      <c r="T126" s="235">
        <f>VLOOKUP($D126,'7. PGE_Efficacité'!$A$6:$CY$266,(MATCH('4.5 ACE MAX WOL '!T$4,'7. PGE_Efficacité'!$A$4:$AO$4,0)+62),0)</f>
        <v>0</v>
      </c>
      <c r="U126" s="235">
        <f>VLOOKUP($D126,'7. PGE_Efficacité'!$A$6:$CY$266,(MATCH('4.5 ACE MAX WOL '!U$4,'7. PGE_Efficacité'!$A$4:$AO$4,0)+62),0)</f>
        <v>0</v>
      </c>
      <c r="V126" s="235" t="str">
        <f>VLOOKUP($D126,'7. PGE_Efficacité'!$A$6:$CY$266,(MATCH('4.5 ACE MAX WOL '!V$4,'7. PGE_Efficacité'!$A$4:$AO$4,0)+62),0)</f>
        <v>+</v>
      </c>
      <c r="W126" s="235" t="str">
        <f>VLOOKUP($D126,'7. PGE_Efficacité'!$A$6:$CY$266,(MATCH('4.5 ACE MAX WOL '!W$4,'7. PGE_Efficacité'!$A$4:$AO$4,0)+62),0)</f>
        <v>+</v>
      </c>
      <c r="X126" s="235">
        <f>VLOOKUP($D126,'7. PGE_Efficacité'!$A$6:$CY$266,(MATCH('4.5 ACE MAX WOL '!X$4,'7. PGE_Efficacité'!$A$4:$AO$4,0)+62),0)</f>
        <v>0</v>
      </c>
      <c r="Y126" s="235">
        <f>VLOOKUP($D126,'7. PGE_Efficacité'!$A$6:$CY$266,(MATCH('4.5 ACE MAX WOL '!Y$4,'7. PGE_Efficacité'!$A$4:$AO$4,0)+62),0)</f>
        <v>0</v>
      </c>
      <c r="Z126" s="235">
        <f>VLOOKUP($D126,'7. PGE_Efficacité'!$A$6:$CY$266,(MATCH('4.5 ACE MAX WOL '!Z$4,'7. PGE_Efficacité'!$A$4:$AO$4,0)+62),0)</f>
        <v>0</v>
      </c>
      <c r="AA126" s="235">
        <f>VLOOKUP($D126,'7. PGE_Efficacité'!$A$6:$CY$266,(MATCH('4.5 ACE MAX WOL '!AA$4,'7. PGE_Efficacité'!$A$4:$AO$4,0)+62),0)</f>
        <v>0</v>
      </c>
      <c r="AB126" s="235">
        <f>VLOOKUP($D126,'7. PGE_Efficacité'!$A$6:$CY$266,(MATCH('4.5 ACE MAX WOL '!AB$4,'7. PGE_Efficacité'!$A$4:$AO$4,0)+62),0)</f>
        <v>0</v>
      </c>
      <c r="AC126" s="235">
        <f>VLOOKUP($D126,'7. PGE_Efficacité'!$A$6:$CY$266,(MATCH('4.5 ACE MAX WOL '!AC$4,'7. PGE_Efficacité'!$A$4:$AO$4,0)+62),0)</f>
        <v>0</v>
      </c>
      <c r="AD126" s="235">
        <f>VLOOKUP($D126,'7. PGE_Efficacité'!$A$6:$CY$266,(MATCH('4.5 ACE MAX WOL '!AD$4,'7. PGE_Efficacité'!$A$4:$AO$4,0)+62),0)</f>
        <v>0</v>
      </c>
      <c r="AE126" s="235" t="str">
        <f>VLOOKUP($D126,'7. PGE_Efficacité'!$A$6:$CY$266,(MATCH('4.5 ACE MAX WOL '!AE$4,'7. PGE_Efficacité'!$A$4:$AO$4,0)+62),0)</f>
        <v>+</v>
      </c>
      <c r="AF126" s="235">
        <f>VLOOKUP($D126,'7. PGE_Efficacité'!$A$6:$CY$266,(MATCH('4.5 ACE MAX WOL '!AF$4,'7. PGE_Efficacité'!$A$4:$AO$4,0)+62),0)</f>
        <v>0</v>
      </c>
      <c r="AG126" s="235">
        <f>VLOOKUP($D126,'7. PGE_Efficacité'!$A$6:$CY$266,(MATCH('4.5 ACE MAX WOL '!AG$4,'7. PGE_Efficacité'!$A$4:$AO$4,0)+62),0)</f>
        <v>0</v>
      </c>
      <c r="AH126" s="235">
        <f>VLOOKUP($D126,'7. PGE_Efficacité'!$A$6:$CY$266,(MATCH('4.5 ACE MAX WOL '!AH$4,'7. PGE_Efficacité'!$A$4:$AO$4,0)+62),0)</f>
        <v>0</v>
      </c>
      <c r="AI126" s="235">
        <f>VLOOKUP($D126,'7. PGE_Efficacité'!$A$6:$CY$266,(MATCH('4.5 ACE MAX WOL '!AI$4,'7. PGE_Efficacité'!$A$4:$AO$4,0)+62),0)</f>
        <v>0</v>
      </c>
      <c r="AJ126" s="235">
        <f>VLOOKUP($D126,'7. PGE_Efficacité'!$A$6:$CY$266,(MATCH('4.5 ACE MAX WOL '!AJ$4,'7. PGE_Efficacité'!$A$4:$AO$4,0)+62),0)</f>
        <v>0</v>
      </c>
      <c r="AK126" s="235" t="str">
        <f>VLOOKUP($D126,'7. PGE_Efficacité'!$A$6:$CY$266,(MATCH('4.5 ACE MAX WOL '!AK$4,'7. PGE_Efficacité'!$A$4:$AO$4,0)+62),0)</f>
        <v>+</v>
      </c>
      <c r="AL126" s="235">
        <f>VLOOKUP($D126,'7. PGE_Efficacité'!$A$6:$CY$266,(MATCH('4.5 ACE MAX WOL '!AL$4,'7. PGE_Efficacité'!$A$4:$AO$4,0)+62),0)</f>
        <v>0</v>
      </c>
      <c r="AM126" s="235" t="str">
        <f>VLOOKUP($D126,'7. PGE_Efficacité'!$A$6:$CY$266,(MATCH('4.5 ACE MAX WOL '!AM$4,'7. PGE_Efficacité'!$A$4:$AO$4,0)+62),0)</f>
        <v>+</v>
      </c>
      <c r="AN126" s="235" t="str">
        <f>VLOOKUP($D126,'7. PGE_Efficacité'!$A$6:$CY$266,(MATCH('4.5 ACE MAX WOL '!AN$4,'7. PGE_Efficacité'!$A$4:$AO$4,0)+62),0)</f>
        <v>+</v>
      </c>
    </row>
    <row r="127" spans="1:40" hidden="1" outlineLevel="2" x14ac:dyDescent="0.25">
      <c r="A127" s="48" t="s">
        <v>1525</v>
      </c>
      <c r="B127" s="49">
        <v>3</v>
      </c>
      <c r="C127" s="48" t="s">
        <v>1524</v>
      </c>
      <c r="D127" s="199" t="s">
        <v>38</v>
      </c>
      <c r="E127" s="200" t="s">
        <v>892</v>
      </c>
      <c r="F127" s="200" t="s">
        <v>1482</v>
      </c>
      <c r="G127" s="201" t="s">
        <v>1522</v>
      </c>
      <c r="H127" s="200" t="s">
        <v>1290</v>
      </c>
      <c r="I127" s="236"/>
      <c r="J127" s="237">
        <f>VLOOKUP($E127,'7. PGE_Efficacité'!$A$6:$CY$266,(MATCH('4.5 ACE MAX WOL '!J$4,'7. PGE_Efficacité'!$A$4:$AO$4,0)+62),0)</f>
        <v>0</v>
      </c>
      <c r="K127" s="237">
        <f>VLOOKUP($E127,'7. PGE_Efficacité'!$A$6:$CY$266,(MATCH('4.5 ACE MAX WOL '!K$4,'7. PGE_Efficacité'!$A$4:$AO$4,0)+62),0)</f>
        <v>0</v>
      </c>
      <c r="L127" s="237">
        <f>VLOOKUP($E127,'7. PGE_Efficacité'!$A$6:$CY$266,(MATCH('4.5 ACE MAX WOL '!L$4,'7. PGE_Efficacité'!$A$4:$AO$4,0)+62),0)</f>
        <v>0</v>
      </c>
      <c r="M127" s="237">
        <f>VLOOKUP($E127,'7. PGE_Efficacité'!$A$6:$CY$266,(MATCH('4.5 ACE MAX WOL '!M$4,'7. PGE_Efficacité'!$A$4:$AO$4,0)+62),0)</f>
        <v>0</v>
      </c>
      <c r="N127" s="237">
        <f>VLOOKUP($E127,'7. PGE_Efficacité'!$A$6:$CY$266,(MATCH('4.5 ACE MAX WOL '!N$4,'7. PGE_Efficacité'!$A$4:$AO$4,0)+62),0)</f>
        <v>0</v>
      </c>
      <c r="O127" s="237">
        <f>VLOOKUP($E127,'7. PGE_Efficacité'!$A$6:$CY$266,78,0)</f>
        <v>0</v>
      </c>
      <c r="P127" s="237">
        <f>VLOOKUP($E127,'7. PGE_Efficacité'!$A$6:$CY$266,(MATCH('4.5 ACE MAX WOL '!P$4,'7. PGE_Efficacité'!$A$4:$AO$4,0)+62),0)</f>
        <v>0</v>
      </c>
      <c r="Q127" s="237">
        <f>VLOOKUP($E127,'7. PGE_Efficacité'!$A$6:$CY$266,(MATCH('4.5 ACE MAX WOL '!Q$4,'7. PGE_Efficacité'!$A$4:$AO$4,0)+62),0)</f>
        <v>0</v>
      </c>
      <c r="R127" s="237">
        <f>VLOOKUP($E127,'7. PGE_Efficacité'!$A$6:$CY$266,(MATCH('4.5 ACE MAX WOL '!R$4,'7. PGE_Efficacité'!$A$4:$AO$4,0)+62),0)</f>
        <v>0</v>
      </c>
      <c r="S127" s="237">
        <f>VLOOKUP($E127,'7. PGE_Efficacité'!$A$6:$CY$266,(MATCH('4.5 ACE MAX WOL '!S$4,'7. PGE_Efficacité'!$A$4:$AO$4,0)+62),0)</f>
        <v>0</v>
      </c>
      <c r="T127" s="237">
        <f>VLOOKUP($E127,'7. PGE_Efficacité'!$A$6:$CY$266,(MATCH('4.5 ACE MAX WOL '!T$4,'7. PGE_Efficacité'!$A$4:$AO$4,0)+62),0)</f>
        <v>0</v>
      </c>
      <c r="U127" s="237">
        <f>VLOOKUP($E127,'7. PGE_Efficacité'!$A$6:$CY$266,(MATCH('4.5 ACE MAX WOL '!U$4,'7. PGE_Efficacité'!$A$4:$AO$4,0)+62),0)</f>
        <v>0</v>
      </c>
      <c r="V127" s="237">
        <f>VLOOKUP($E127,'7. PGE_Efficacité'!$A$6:$CY$266,(MATCH('4.5 ACE MAX WOL '!V$4,'7. PGE_Efficacité'!$A$4:$AO$4,0)+62),0)</f>
        <v>0</v>
      </c>
      <c r="W127" s="237">
        <f>VLOOKUP($E127,'7. PGE_Efficacité'!$A$6:$CY$266,(MATCH('4.5 ACE MAX WOL '!W$4,'7. PGE_Efficacité'!$A$4:$AO$4,0)+62),0)</f>
        <v>0</v>
      </c>
      <c r="X127" s="237">
        <f>VLOOKUP($E127,'7. PGE_Efficacité'!$A$6:$CY$266,(MATCH('4.5 ACE MAX WOL '!X$4,'7. PGE_Efficacité'!$A$4:$AO$4,0)+62),0)</f>
        <v>0</v>
      </c>
      <c r="Y127" s="237">
        <f>VLOOKUP($E127,'7. PGE_Efficacité'!$A$6:$CY$266,(MATCH('4.5 ACE MAX WOL '!Y$4,'7. PGE_Efficacité'!$A$4:$AO$4,0)+62),0)</f>
        <v>0</v>
      </c>
      <c r="Z127" s="237">
        <f>VLOOKUP($E127,'7. PGE_Efficacité'!$A$6:$CY$266,(MATCH('4.5 ACE MAX WOL '!Z$4,'7. PGE_Efficacité'!$A$4:$AO$4,0)+62),0)</f>
        <v>0</v>
      </c>
      <c r="AA127" s="237">
        <f>VLOOKUP($E127,'7. PGE_Efficacité'!$A$6:$CY$266,(MATCH('4.5 ACE MAX WOL '!AA$4,'7. PGE_Efficacité'!$A$4:$AO$4,0)+62),0)</f>
        <v>0</v>
      </c>
      <c r="AB127" s="237">
        <f>VLOOKUP($E127,'7. PGE_Efficacité'!$A$6:$CY$266,(MATCH('4.5 ACE MAX WOL '!AB$4,'7. PGE_Efficacité'!$A$4:$AO$4,0)+62),0)</f>
        <v>0</v>
      </c>
      <c r="AC127" s="237">
        <f>VLOOKUP($E127,'7. PGE_Efficacité'!$A$6:$CY$266,(MATCH('4.5 ACE MAX WOL '!AC$4,'7. PGE_Efficacité'!$A$4:$AO$4,0)+62),0)</f>
        <v>0</v>
      </c>
      <c r="AD127" s="237">
        <f>VLOOKUP($E127,'7. PGE_Efficacité'!$A$6:$CY$266,(MATCH('4.5 ACE MAX WOL '!AD$4,'7. PGE_Efficacité'!$A$4:$AO$4,0)+62),0)</f>
        <v>0</v>
      </c>
      <c r="AE127" s="237">
        <f>VLOOKUP($E127,'7. PGE_Efficacité'!$A$6:$CY$266,(MATCH('4.5 ACE MAX WOL '!AE$4,'7. PGE_Efficacité'!$A$4:$AO$4,0)+62),0)</f>
        <v>0</v>
      </c>
      <c r="AF127" s="237">
        <f>VLOOKUP($E127,'7. PGE_Efficacité'!$A$6:$CY$266,(MATCH('4.5 ACE MAX WOL '!AF$4,'7. PGE_Efficacité'!$A$4:$AO$4,0)+62),0)</f>
        <v>0</v>
      </c>
      <c r="AG127" s="237">
        <f>VLOOKUP($E127,'7. PGE_Efficacité'!$A$6:$CY$266,(MATCH('4.5 ACE MAX WOL '!AG$4,'7. PGE_Efficacité'!$A$4:$AO$4,0)+62),0)</f>
        <v>0</v>
      </c>
      <c r="AH127" s="237">
        <f>VLOOKUP($E127,'7. PGE_Efficacité'!$A$6:$CY$266,(MATCH('4.5 ACE MAX WOL '!AH$4,'7. PGE_Efficacité'!$A$4:$AO$4,0)+62),0)</f>
        <v>0</v>
      </c>
      <c r="AI127" s="237">
        <f>VLOOKUP($E127,'7. PGE_Efficacité'!$A$6:$CY$266,(MATCH('4.5 ACE MAX WOL '!AI$4,'7. PGE_Efficacité'!$A$4:$AO$4,0)+62),0)</f>
        <v>0</v>
      </c>
      <c r="AJ127" s="237">
        <f>VLOOKUP($E127,'7. PGE_Efficacité'!$A$6:$CY$266,(MATCH('4.5 ACE MAX WOL '!AJ$4,'7. PGE_Efficacité'!$A$4:$AO$4,0)+62),0)</f>
        <v>0</v>
      </c>
      <c r="AK127" s="237">
        <f>VLOOKUP($E127,'7. PGE_Efficacité'!$A$6:$CY$266,(MATCH('4.5 ACE MAX WOL '!AK$4,'7. PGE_Efficacité'!$A$4:$AO$4,0)+62),0)</f>
        <v>0</v>
      </c>
      <c r="AL127" s="237">
        <f>VLOOKUP($E127,'7. PGE_Efficacité'!$A$6:$CY$266,(MATCH('4.5 ACE MAX WOL '!AL$4,'7. PGE_Efficacité'!$A$4:$AO$4,0)+62),0)</f>
        <v>0</v>
      </c>
      <c r="AM127" s="237">
        <f>VLOOKUP($E127,'7. PGE_Efficacité'!$A$6:$CY$266,(MATCH('4.5 ACE MAX WOL '!AM$4,'7. PGE_Efficacité'!$A$4:$AO$4,0)+62),0)</f>
        <v>0</v>
      </c>
      <c r="AN127" s="237">
        <f>VLOOKUP($E127,'7. PGE_Efficacité'!$A$6:$CY$266,(MATCH('4.5 ACE MAX WOL '!AN$4,'7. PGE_Efficacité'!$A$4:$AO$4,0)+62),0)</f>
        <v>0</v>
      </c>
    </row>
    <row r="128" spans="1:40" hidden="1" outlineLevel="2" x14ac:dyDescent="0.25">
      <c r="A128" s="48" t="s">
        <v>1525</v>
      </c>
      <c r="B128" s="49">
        <v>3</v>
      </c>
      <c r="C128" s="48" t="s">
        <v>1525</v>
      </c>
      <c r="D128" s="199" t="s">
        <v>38</v>
      </c>
      <c r="E128" s="200" t="s">
        <v>893</v>
      </c>
      <c r="F128" s="200" t="s">
        <v>1483</v>
      </c>
      <c r="G128" s="201" t="s">
        <v>1522</v>
      </c>
      <c r="H128" s="200" t="s">
        <v>1290</v>
      </c>
      <c r="I128" s="236"/>
      <c r="J128" s="237">
        <f>VLOOKUP($E128,'7. PGE_Efficacité'!$A$6:$CY$266,(MATCH('4.5 ACE MAX WOL '!J$4,'7. PGE_Efficacité'!$A$4:$AO$4,0)+62),0)</f>
        <v>0</v>
      </c>
      <c r="K128" s="237">
        <f>VLOOKUP($E128,'7. PGE_Efficacité'!$A$6:$CY$266,(MATCH('4.5 ACE MAX WOL '!K$4,'7. PGE_Efficacité'!$A$4:$AO$4,0)+62),0)</f>
        <v>0</v>
      </c>
      <c r="L128" s="237">
        <f>VLOOKUP($E128,'7. PGE_Efficacité'!$A$6:$CY$266,(MATCH('4.5 ACE MAX WOL '!L$4,'7. PGE_Efficacité'!$A$4:$AO$4,0)+62),0)</f>
        <v>0</v>
      </c>
      <c r="M128" s="237">
        <f>VLOOKUP($E128,'7. PGE_Efficacité'!$A$6:$CY$266,(MATCH('4.5 ACE MAX WOL '!M$4,'7. PGE_Efficacité'!$A$4:$AO$4,0)+62),0)</f>
        <v>0</v>
      </c>
      <c r="N128" s="237">
        <f>VLOOKUP($E128,'7. PGE_Efficacité'!$A$6:$CY$266,(MATCH('4.5 ACE MAX WOL '!N$4,'7. PGE_Efficacité'!$A$4:$AO$4,0)+62),0)</f>
        <v>0</v>
      </c>
      <c r="O128" s="237">
        <f>VLOOKUP($E128,'7. PGE_Efficacité'!$A$6:$CY$266,78,0)</f>
        <v>0</v>
      </c>
      <c r="P128" s="237">
        <f>VLOOKUP($E128,'7. PGE_Efficacité'!$A$6:$CY$266,(MATCH('4.5 ACE MAX WOL '!P$4,'7. PGE_Efficacité'!$A$4:$AO$4,0)+62),0)</f>
        <v>0</v>
      </c>
      <c r="Q128" s="237">
        <f>VLOOKUP($E128,'7. PGE_Efficacité'!$A$6:$CY$266,(MATCH('4.5 ACE MAX WOL '!Q$4,'7. PGE_Efficacité'!$A$4:$AO$4,0)+62),0)</f>
        <v>0</v>
      </c>
      <c r="R128" s="237">
        <f>VLOOKUP($E128,'7. PGE_Efficacité'!$A$6:$CY$266,(MATCH('4.5 ACE MAX WOL '!R$4,'7. PGE_Efficacité'!$A$4:$AO$4,0)+62),0)</f>
        <v>0</v>
      </c>
      <c r="S128" s="237">
        <f>VLOOKUP($E128,'7. PGE_Efficacité'!$A$6:$CY$266,(MATCH('4.5 ACE MAX WOL '!S$4,'7. PGE_Efficacité'!$A$4:$AO$4,0)+62),0)</f>
        <v>0</v>
      </c>
      <c r="T128" s="237">
        <f>VLOOKUP($E128,'7. PGE_Efficacité'!$A$6:$CY$266,(MATCH('4.5 ACE MAX WOL '!T$4,'7. PGE_Efficacité'!$A$4:$AO$4,0)+62),0)</f>
        <v>0</v>
      </c>
      <c r="U128" s="237">
        <f>VLOOKUP($E128,'7. PGE_Efficacité'!$A$6:$CY$266,(MATCH('4.5 ACE MAX WOL '!U$4,'7. PGE_Efficacité'!$A$4:$AO$4,0)+62),0)</f>
        <v>0</v>
      </c>
      <c r="V128" s="237">
        <f>VLOOKUP($E128,'7. PGE_Efficacité'!$A$6:$CY$266,(MATCH('4.5 ACE MAX WOL '!V$4,'7. PGE_Efficacité'!$A$4:$AO$4,0)+62),0)</f>
        <v>0</v>
      </c>
      <c r="W128" s="237">
        <f>VLOOKUP($E128,'7. PGE_Efficacité'!$A$6:$CY$266,(MATCH('4.5 ACE MAX WOL '!W$4,'7. PGE_Efficacité'!$A$4:$AO$4,0)+62),0)</f>
        <v>0</v>
      </c>
      <c r="X128" s="237">
        <f>VLOOKUP($E128,'7. PGE_Efficacité'!$A$6:$CY$266,(MATCH('4.5 ACE MAX WOL '!X$4,'7. PGE_Efficacité'!$A$4:$AO$4,0)+62),0)</f>
        <v>0</v>
      </c>
      <c r="Y128" s="237">
        <f>VLOOKUP($E128,'7. PGE_Efficacité'!$A$6:$CY$266,(MATCH('4.5 ACE MAX WOL '!Y$4,'7. PGE_Efficacité'!$A$4:$AO$4,0)+62),0)</f>
        <v>0</v>
      </c>
      <c r="Z128" s="237">
        <f>VLOOKUP($E128,'7. PGE_Efficacité'!$A$6:$CY$266,(MATCH('4.5 ACE MAX WOL '!Z$4,'7. PGE_Efficacité'!$A$4:$AO$4,0)+62),0)</f>
        <v>0</v>
      </c>
      <c r="AA128" s="237">
        <f>VLOOKUP($E128,'7. PGE_Efficacité'!$A$6:$CY$266,(MATCH('4.5 ACE MAX WOL '!AA$4,'7. PGE_Efficacité'!$A$4:$AO$4,0)+62),0)</f>
        <v>0</v>
      </c>
      <c r="AB128" s="237">
        <f>VLOOKUP($E128,'7. PGE_Efficacité'!$A$6:$CY$266,(MATCH('4.5 ACE MAX WOL '!AB$4,'7. PGE_Efficacité'!$A$4:$AO$4,0)+62),0)</f>
        <v>0</v>
      </c>
      <c r="AC128" s="237">
        <f>VLOOKUP($E128,'7. PGE_Efficacité'!$A$6:$CY$266,(MATCH('4.5 ACE MAX WOL '!AC$4,'7. PGE_Efficacité'!$A$4:$AO$4,0)+62),0)</f>
        <v>0</v>
      </c>
      <c r="AD128" s="237">
        <f>VLOOKUP($E128,'7. PGE_Efficacité'!$A$6:$CY$266,(MATCH('4.5 ACE MAX WOL '!AD$4,'7. PGE_Efficacité'!$A$4:$AO$4,0)+62),0)</f>
        <v>0</v>
      </c>
      <c r="AE128" s="237">
        <f>VLOOKUP($E128,'7. PGE_Efficacité'!$A$6:$CY$266,(MATCH('4.5 ACE MAX WOL '!AE$4,'7. PGE_Efficacité'!$A$4:$AO$4,0)+62),0)</f>
        <v>0</v>
      </c>
      <c r="AF128" s="237">
        <f>VLOOKUP($E128,'7. PGE_Efficacité'!$A$6:$CY$266,(MATCH('4.5 ACE MAX WOL '!AF$4,'7. PGE_Efficacité'!$A$4:$AO$4,0)+62),0)</f>
        <v>0</v>
      </c>
      <c r="AG128" s="237">
        <f>VLOOKUP($E128,'7. PGE_Efficacité'!$A$6:$CY$266,(MATCH('4.5 ACE MAX WOL '!AG$4,'7. PGE_Efficacité'!$A$4:$AO$4,0)+62),0)</f>
        <v>0</v>
      </c>
      <c r="AH128" s="237">
        <f>VLOOKUP($E128,'7. PGE_Efficacité'!$A$6:$CY$266,(MATCH('4.5 ACE MAX WOL '!AH$4,'7. PGE_Efficacité'!$A$4:$AO$4,0)+62),0)</f>
        <v>0</v>
      </c>
      <c r="AI128" s="237">
        <f>VLOOKUP($E128,'7. PGE_Efficacité'!$A$6:$CY$266,(MATCH('4.5 ACE MAX WOL '!AI$4,'7. PGE_Efficacité'!$A$4:$AO$4,0)+62),0)</f>
        <v>0</v>
      </c>
      <c r="AJ128" s="237">
        <f>VLOOKUP($E128,'7. PGE_Efficacité'!$A$6:$CY$266,(MATCH('4.5 ACE MAX WOL '!AJ$4,'7. PGE_Efficacité'!$A$4:$AO$4,0)+62),0)</f>
        <v>0</v>
      </c>
      <c r="AK128" s="237">
        <f>VLOOKUP($E128,'7. PGE_Efficacité'!$A$6:$CY$266,(MATCH('4.5 ACE MAX WOL '!AK$4,'7. PGE_Efficacité'!$A$4:$AO$4,0)+62),0)</f>
        <v>0</v>
      </c>
      <c r="AL128" s="237">
        <f>VLOOKUP($E128,'7. PGE_Efficacité'!$A$6:$CY$266,(MATCH('4.5 ACE MAX WOL '!AL$4,'7. PGE_Efficacité'!$A$4:$AO$4,0)+62),0)</f>
        <v>0</v>
      </c>
      <c r="AM128" s="237">
        <f>VLOOKUP($E128,'7. PGE_Efficacité'!$A$6:$CY$266,(MATCH('4.5 ACE MAX WOL '!AM$4,'7. PGE_Efficacité'!$A$4:$AO$4,0)+62),0)</f>
        <v>0</v>
      </c>
      <c r="AN128" s="237">
        <f>VLOOKUP($E128,'7. PGE_Efficacité'!$A$6:$CY$266,(MATCH('4.5 ACE MAX WOL '!AN$4,'7. PGE_Efficacité'!$A$4:$AO$4,0)+62),0)</f>
        <v>0</v>
      </c>
    </row>
    <row r="129" spans="1:40" hidden="1" outlineLevel="2" x14ac:dyDescent="0.25">
      <c r="A129" s="48" t="s">
        <v>1525</v>
      </c>
      <c r="B129" s="49">
        <v>3</v>
      </c>
      <c r="C129" s="48" t="s">
        <v>1526</v>
      </c>
      <c r="D129" s="199" t="s">
        <v>38</v>
      </c>
      <c r="E129" s="200" t="s">
        <v>894</v>
      </c>
      <c r="F129" s="200" t="s">
        <v>1484</v>
      </c>
      <c r="G129" s="201" t="s">
        <v>1522</v>
      </c>
      <c r="H129" s="200" t="s">
        <v>1290</v>
      </c>
      <c r="I129" s="236"/>
      <c r="J129" s="237">
        <f>VLOOKUP($E129,'7. PGE_Efficacité'!$A$6:$CY$266,(MATCH('4.5 ACE MAX WOL '!J$4,'7. PGE_Efficacité'!$A$4:$AO$4,0)+62),0)</f>
        <v>0</v>
      </c>
      <c r="K129" s="237">
        <f>VLOOKUP($E129,'7. PGE_Efficacité'!$A$6:$CY$266,(MATCH('4.5 ACE MAX WOL '!K$4,'7. PGE_Efficacité'!$A$4:$AO$4,0)+62),0)</f>
        <v>0</v>
      </c>
      <c r="L129" s="237">
        <f>VLOOKUP($E129,'7. PGE_Efficacité'!$A$6:$CY$266,(MATCH('4.5 ACE MAX WOL '!L$4,'7. PGE_Efficacité'!$A$4:$AO$4,0)+62),0)</f>
        <v>0</v>
      </c>
      <c r="M129" s="237">
        <f>VLOOKUP($E129,'7. PGE_Efficacité'!$A$6:$CY$266,(MATCH('4.5 ACE MAX WOL '!M$4,'7. PGE_Efficacité'!$A$4:$AO$4,0)+62),0)</f>
        <v>0</v>
      </c>
      <c r="N129" s="237">
        <f>VLOOKUP($E129,'7. PGE_Efficacité'!$A$6:$CY$266,(MATCH('4.5 ACE MAX WOL '!N$4,'7. PGE_Efficacité'!$A$4:$AO$4,0)+62),0)</f>
        <v>0</v>
      </c>
      <c r="O129" s="237">
        <f>VLOOKUP($E129,'7. PGE_Efficacité'!$A$6:$CY$266,78,0)</f>
        <v>0</v>
      </c>
      <c r="P129" s="237">
        <f>VLOOKUP($E129,'7. PGE_Efficacité'!$A$6:$CY$266,(MATCH('4.5 ACE MAX WOL '!P$4,'7. PGE_Efficacité'!$A$4:$AO$4,0)+62),0)</f>
        <v>0</v>
      </c>
      <c r="Q129" s="237">
        <f>VLOOKUP($E129,'7. PGE_Efficacité'!$A$6:$CY$266,(MATCH('4.5 ACE MAX WOL '!Q$4,'7. PGE_Efficacité'!$A$4:$AO$4,0)+62),0)</f>
        <v>0</v>
      </c>
      <c r="R129" s="237">
        <f>VLOOKUP($E129,'7. PGE_Efficacité'!$A$6:$CY$266,(MATCH('4.5 ACE MAX WOL '!R$4,'7. PGE_Efficacité'!$A$4:$AO$4,0)+62),0)</f>
        <v>0</v>
      </c>
      <c r="S129" s="237">
        <f>VLOOKUP($E129,'7. PGE_Efficacité'!$A$6:$CY$266,(MATCH('4.5 ACE MAX WOL '!S$4,'7. PGE_Efficacité'!$A$4:$AO$4,0)+62),0)</f>
        <v>0</v>
      </c>
      <c r="T129" s="237">
        <f>VLOOKUP($E129,'7. PGE_Efficacité'!$A$6:$CY$266,(MATCH('4.5 ACE MAX WOL '!T$4,'7. PGE_Efficacité'!$A$4:$AO$4,0)+62),0)</f>
        <v>0</v>
      </c>
      <c r="U129" s="237">
        <f>VLOOKUP($E129,'7. PGE_Efficacité'!$A$6:$CY$266,(MATCH('4.5 ACE MAX WOL '!U$4,'7. PGE_Efficacité'!$A$4:$AO$4,0)+62),0)</f>
        <v>0</v>
      </c>
      <c r="V129" s="237">
        <f>VLOOKUP($E129,'7. PGE_Efficacité'!$A$6:$CY$266,(MATCH('4.5 ACE MAX WOL '!V$4,'7. PGE_Efficacité'!$A$4:$AO$4,0)+62),0)</f>
        <v>0</v>
      </c>
      <c r="W129" s="237">
        <f>VLOOKUP($E129,'7. PGE_Efficacité'!$A$6:$CY$266,(MATCH('4.5 ACE MAX WOL '!W$4,'7. PGE_Efficacité'!$A$4:$AO$4,0)+62),0)</f>
        <v>0</v>
      </c>
      <c r="X129" s="237">
        <f>VLOOKUP($E129,'7. PGE_Efficacité'!$A$6:$CY$266,(MATCH('4.5 ACE MAX WOL '!X$4,'7. PGE_Efficacité'!$A$4:$AO$4,0)+62),0)</f>
        <v>0</v>
      </c>
      <c r="Y129" s="237">
        <f>VLOOKUP($E129,'7. PGE_Efficacité'!$A$6:$CY$266,(MATCH('4.5 ACE MAX WOL '!Y$4,'7. PGE_Efficacité'!$A$4:$AO$4,0)+62),0)</f>
        <v>0</v>
      </c>
      <c r="Z129" s="237">
        <f>VLOOKUP($E129,'7. PGE_Efficacité'!$A$6:$CY$266,(MATCH('4.5 ACE MAX WOL '!Z$4,'7. PGE_Efficacité'!$A$4:$AO$4,0)+62),0)</f>
        <v>0</v>
      </c>
      <c r="AA129" s="237">
        <f>VLOOKUP($E129,'7. PGE_Efficacité'!$A$6:$CY$266,(MATCH('4.5 ACE MAX WOL '!AA$4,'7. PGE_Efficacité'!$A$4:$AO$4,0)+62),0)</f>
        <v>0</v>
      </c>
      <c r="AB129" s="237">
        <f>VLOOKUP($E129,'7. PGE_Efficacité'!$A$6:$CY$266,(MATCH('4.5 ACE MAX WOL '!AB$4,'7. PGE_Efficacité'!$A$4:$AO$4,0)+62),0)</f>
        <v>0</v>
      </c>
      <c r="AC129" s="237">
        <f>VLOOKUP($E129,'7. PGE_Efficacité'!$A$6:$CY$266,(MATCH('4.5 ACE MAX WOL '!AC$4,'7. PGE_Efficacité'!$A$4:$AO$4,0)+62),0)</f>
        <v>0</v>
      </c>
      <c r="AD129" s="237">
        <f>VLOOKUP($E129,'7. PGE_Efficacité'!$A$6:$CY$266,(MATCH('4.5 ACE MAX WOL '!AD$4,'7. PGE_Efficacité'!$A$4:$AO$4,0)+62),0)</f>
        <v>0</v>
      </c>
      <c r="AE129" s="237">
        <f>VLOOKUP($E129,'7. PGE_Efficacité'!$A$6:$CY$266,(MATCH('4.5 ACE MAX WOL '!AE$4,'7. PGE_Efficacité'!$A$4:$AO$4,0)+62),0)</f>
        <v>0</v>
      </c>
      <c r="AF129" s="237">
        <f>VLOOKUP($E129,'7. PGE_Efficacité'!$A$6:$CY$266,(MATCH('4.5 ACE MAX WOL '!AF$4,'7. PGE_Efficacité'!$A$4:$AO$4,0)+62),0)</f>
        <v>0</v>
      </c>
      <c r="AG129" s="237">
        <f>VLOOKUP($E129,'7. PGE_Efficacité'!$A$6:$CY$266,(MATCH('4.5 ACE MAX WOL '!AG$4,'7. PGE_Efficacité'!$A$4:$AO$4,0)+62),0)</f>
        <v>0</v>
      </c>
      <c r="AH129" s="237">
        <f>VLOOKUP($E129,'7. PGE_Efficacité'!$A$6:$CY$266,(MATCH('4.5 ACE MAX WOL '!AH$4,'7. PGE_Efficacité'!$A$4:$AO$4,0)+62),0)</f>
        <v>0</v>
      </c>
      <c r="AI129" s="237">
        <f>VLOOKUP($E129,'7. PGE_Efficacité'!$A$6:$CY$266,(MATCH('4.5 ACE MAX WOL '!AI$4,'7. PGE_Efficacité'!$A$4:$AO$4,0)+62),0)</f>
        <v>0</v>
      </c>
      <c r="AJ129" s="237">
        <f>VLOOKUP($E129,'7. PGE_Efficacité'!$A$6:$CY$266,(MATCH('4.5 ACE MAX WOL '!AJ$4,'7. PGE_Efficacité'!$A$4:$AO$4,0)+62),0)</f>
        <v>0</v>
      </c>
      <c r="AK129" s="237">
        <f>VLOOKUP($E129,'7. PGE_Efficacité'!$A$6:$CY$266,(MATCH('4.5 ACE MAX WOL '!AK$4,'7. PGE_Efficacité'!$A$4:$AO$4,0)+62),0)</f>
        <v>0</v>
      </c>
      <c r="AL129" s="237">
        <f>VLOOKUP($E129,'7. PGE_Efficacité'!$A$6:$CY$266,(MATCH('4.5 ACE MAX WOL '!AL$4,'7. PGE_Efficacité'!$A$4:$AO$4,0)+62),0)</f>
        <v>0</v>
      </c>
      <c r="AM129" s="237">
        <f>VLOOKUP($E129,'7. PGE_Efficacité'!$A$6:$CY$266,(MATCH('4.5 ACE MAX WOL '!AM$4,'7. PGE_Efficacité'!$A$4:$AO$4,0)+62),0)</f>
        <v>0</v>
      </c>
      <c r="AN129" s="237">
        <f>VLOOKUP($E129,'7. PGE_Efficacité'!$A$6:$CY$266,(MATCH('4.5 ACE MAX WOL '!AN$4,'7. PGE_Efficacité'!$A$4:$AO$4,0)+62),0)</f>
        <v>0</v>
      </c>
    </row>
    <row r="130" spans="1:40" hidden="1" outlineLevel="2" x14ac:dyDescent="0.25">
      <c r="A130" s="48" t="s">
        <v>1525</v>
      </c>
      <c r="B130" s="49">
        <v>3</v>
      </c>
      <c r="C130" s="48" t="s">
        <v>1527</v>
      </c>
      <c r="D130" s="199" t="s">
        <v>38</v>
      </c>
      <c r="E130" s="200" t="s">
        <v>895</v>
      </c>
      <c r="F130" s="200" t="s">
        <v>1485</v>
      </c>
      <c r="G130" s="201" t="s">
        <v>1522</v>
      </c>
      <c r="H130" s="200" t="s">
        <v>1290</v>
      </c>
      <c r="I130" s="236"/>
      <c r="J130" s="237">
        <f>VLOOKUP($E130,'7. PGE_Efficacité'!$A$6:$CY$266,(MATCH('4.5 ACE MAX WOL '!J$4,'7. PGE_Efficacité'!$A$4:$AO$4,0)+62),0)</f>
        <v>0</v>
      </c>
      <c r="K130" s="237">
        <f>VLOOKUP($E130,'7. PGE_Efficacité'!$A$6:$CY$266,(MATCH('4.5 ACE MAX WOL '!K$4,'7. PGE_Efficacité'!$A$4:$AO$4,0)+62),0)</f>
        <v>0</v>
      </c>
      <c r="L130" s="237">
        <f>VLOOKUP($E130,'7. PGE_Efficacité'!$A$6:$CY$266,(MATCH('4.5 ACE MAX WOL '!L$4,'7. PGE_Efficacité'!$A$4:$AO$4,0)+62),0)</f>
        <v>0</v>
      </c>
      <c r="M130" s="237" t="str">
        <f>VLOOKUP($E130,'7. PGE_Efficacité'!$A$6:$CY$266,(MATCH('4.5 ACE MAX WOL '!M$4,'7. PGE_Efficacité'!$A$4:$AO$4,0)+62),0)</f>
        <v>+</v>
      </c>
      <c r="N130" s="237" t="str">
        <f>VLOOKUP($E130,'7. PGE_Efficacité'!$A$6:$CY$266,(MATCH('4.5 ACE MAX WOL '!N$4,'7. PGE_Efficacité'!$A$4:$AO$4,0)+62),0)</f>
        <v>+</v>
      </c>
      <c r="O130" s="237" t="str">
        <f>VLOOKUP($E130,'7. PGE_Efficacité'!$A$6:$CY$266,78,0)</f>
        <v>+</v>
      </c>
      <c r="P130" s="237">
        <f>VLOOKUP($E130,'7. PGE_Efficacité'!$A$6:$CY$266,(MATCH('4.5 ACE MAX WOL '!P$4,'7. PGE_Efficacité'!$A$4:$AO$4,0)+62),0)</f>
        <v>0</v>
      </c>
      <c r="Q130" s="237">
        <f>VLOOKUP($E130,'7. PGE_Efficacité'!$A$6:$CY$266,(MATCH('4.5 ACE MAX WOL '!Q$4,'7. PGE_Efficacité'!$A$4:$AO$4,0)+62),0)</f>
        <v>0</v>
      </c>
      <c r="R130" s="237">
        <f>VLOOKUP($E130,'7. PGE_Efficacité'!$A$6:$CY$266,(MATCH('4.5 ACE MAX WOL '!R$4,'7. PGE_Efficacité'!$A$4:$AO$4,0)+62),0)</f>
        <v>0</v>
      </c>
      <c r="S130" s="237">
        <f>VLOOKUP($E130,'7. PGE_Efficacité'!$A$6:$CY$266,(MATCH('4.5 ACE MAX WOL '!S$4,'7. PGE_Efficacité'!$A$4:$AO$4,0)+62),0)</f>
        <v>0</v>
      </c>
      <c r="T130" s="237">
        <f>VLOOKUP($E130,'7. PGE_Efficacité'!$A$6:$CY$266,(MATCH('4.5 ACE MAX WOL '!T$4,'7. PGE_Efficacité'!$A$4:$AO$4,0)+62),0)</f>
        <v>0</v>
      </c>
      <c r="U130" s="237">
        <f>VLOOKUP($E130,'7. PGE_Efficacité'!$A$6:$CY$266,(MATCH('4.5 ACE MAX WOL '!U$4,'7. PGE_Efficacité'!$A$4:$AO$4,0)+62),0)</f>
        <v>0</v>
      </c>
      <c r="V130" s="237" t="str">
        <f>VLOOKUP($E130,'7. PGE_Efficacité'!$A$6:$CY$266,(MATCH('4.5 ACE MAX WOL '!V$4,'7. PGE_Efficacité'!$A$4:$AO$4,0)+62),0)</f>
        <v>+</v>
      </c>
      <c r="W130" s="237" t="str">
        <f>VLOOKUP($E130,'7. PGE_Efficacité'!$A$6:$CY$266,(MATCH('4.5 ACE MAX WOL '!W$4,'7. PGE_Efficacité'!$A$4:$AO$4,0)+62),0)</f>
        <v>+</v>
      </c>
      <c r="X130" s="237">
        <f>VLOOKUP($E130,'7. PGE_Efficacité'!$A$6:$CY$266,(MATCH('4.5 ACE MAX WOL '!X$4,'7. PGE_Efficacité'!$A$4:$AO$4,0)+62),0)</f>
        <v>0</v>
      </c>
      <c r="Y130" s="237">
        <f>VLOOKUP($E130,'7. PGE_Efficacité'!$A$6:$CY$266,(MATCH('4.5 ACE MAX WOL '!Y$4,'7. PGE_Efficacité'!$A$4:$AO$4,0)+62),0)</f>
        <v>0</v>
      </c>
      <c r="Z130" s="237">
        <f>VLOOKUP($E130,'7. PGE_Efficacité'!$A$6:$CY$266,(MATCH('4.5 ACE MAX WOL '!Z$4,'7. PGE_Efficacité'!$A$4:$AO$4,0)+62),0)</f>
        <v>0</v>
      </c>
      <c r="AA130" s="237">
        <f>VLOOKUP($E130,'7. PGE_Efficacité'!$A$6:$CY$266,(MATCH('4.5 ACE MAX WOL '!AA$4,'7. PGE_Efficacité'!$A$4:$AO$4,0)+62),0)</f>
        <v>0</v>
      </c>
      <c r="AB130" s="237">
        <f>VLOOKUP($E130,'7. PGE_Efficacité'!$A$6:$CY$266,(MATCH('4.5 ACE MAX WOL '!AB$4,'7. PGE_Efficacité'!$A$4:$AO$4,0)+62),0)</f>
        <v>0</v>
      </c>
      <c r="AC130" s="237">
        <f>VLOOKUP($E130,'7. PGE_Efficacité'!$A$6:$CY$266,(MATCH('4.5 ACE MAX WOL '!AC$4,'7. PGE_Efficacité'!$A$4:$AO$4,0)+62),0)</f>
        <v>0</v>
      </c>
      <c r="AD130" s="237">
        <f>VLOOKUP($E130,'7. PGE_Efficacité'!$A$6:$CY$266,(MATCH('4.5 ACE MAX WOL '!AD$4,'7. PGE_Efficacité'!$A$4:$AO$4,0)+62),0)</f>
        <v>0</v>
      </c>
      <c r="AE130" s="237" t="str">
        <f>VLOOKUP($E130,'7. PGE_Efficacité'!$A$6:$CY$266,(MATCH('4.5 ACE MAX WOL '!AE$4,'7. PGE_Efficacité'!$A$4:$AO$4,0)+62),0)</f>
        <v>+</v>
      </c>
      <c r="AF130" s="237">
        <f>VLOOKUP($E130,'7. PGE_Efficacité'!$A$6:$CY$266,(MATCH('4.5 ACE MAX WOL '!AF$4,'7. PGE_Efficacité'!$A$4:$AO$4,0)+62),0)</f>
        <v>0</v>
      </c>
      <c r="AG130" s="237">
        <f>VLOOKUP($E130,'7. PGE_Efficacité'!$A$6:$CY$266,(MATCH('4.5 ACE MAX WOL '!AG$4,'7. PGE_Efficacité'!$A$4:$AO$4,0)+62),0)</f>
        <v>0</v>
      </c>
      <c r="AH130" s="237">
        <f>VLOOKUP($E130,'7. PGE_Efficacité'!$A$6:$CY$266,(MATCH('4.5 ACE MAX WOL '!AH$4,'7. PGE_Efficacité'!$A$4:$AO$4,0)+62),0)</f>
        <v>0</v>
      </c>
      <c r="AI130" s="237">
        <f>VLOOKUP($E130,'7. PGE_Efficacité'!$A$6:$CY$266,(MATCH('4.5 ACE MAX WOL '!AI$4,'7. PGE_Efficacité'!$A$4:$AO$4,0)+62),0)</f>
        <v>0</v>
      </c>
      <c r="AJ130" s="237">
        <f>VLOOKUP($E130,'7. PGE_Efficacité'!$A$6:$CY$266,(MATCH('4.5 ACE MAX WOL '!AJ$4,'7. PGE_Efficacité'!$A$4:$AO$4,0)+62),0)</f>
        <v>0</v>
      </c>
      <c r="AK130" s="237" t="str">
        <f>VLOOKUP($E130,'7. PGE_Efficacité'!$A$6:$CY$266,(MATCH('4.5 ACE MAX WOL '!AK$4,'7. PGE_Efficacité'!$A$4:$AO$4,0)+62),0)</f>
        <v>+</v>
      </c>
      <c r="AL130" s="237">
        <f>VLOOKUP($E130,'7. PGE_Efficacité'!$A$6:$CY$266,(MATCH('4.5 ACE MAX WOL '!AL$4,'7. PGE_Efficacité'!$A$4:$AO$4,0)+62),0)</f>
        <v>0</v>
      </c>
      <c r="AM130" s="237" t="str">
        <f>VLOOKUP($E130,'7. PGE_Efficacité'!$A$6:$CY$266,(MATCH('4.5 ACE MAX WOL '!AM$4,'7. PGE_Efficacité'!$A$4:$AO$4,0)+62),0)</f>
        <v>+</v>
      </c>
      <c r="AN130" s="237" t="str">
        <f>VLOOKUP($E130,'7. PGE_Efficacité'!$A$6:$CY$266,(MATCH('4.5 ACE MAX WOL '!AN$4,'7. PGE_Efficacité'!$A$4:$AO$4,0)+62),0)</f>
        <v>+</v>
      </c>
    </row>
    <row r="131" spans="1:40" hidden="1" outlineLevel="2" x14ac:dyDescent="0.25">
      <c r="A131" s="48" t="s">
        <v>1525</v>
      </c>
      <c r="B131" s="49">
        <v>3</v>
      </c>
      <c r="C131" s="48" t="s">
        <v>410</v>
      </c>
      <c r="D131" s="199" t="s">
        <v>38</v>
      </c>
      <c r="E131" s="200" t="s">
        <v>896</v>
      </c>
      <c r="F131" s="200" t="s">
        <v>1486</v>
      </c>
      <c r="G131" s="201" t="s">
        <v>1522</v>
      </c>
      <c r="H131" s="200" t="s">
        <v>1290</v>
      </c>
      <c r="I131" s="236"/>
      <c r="J131" s="237">
        <f>VLOOKUP($E131,'7. PGE_Efficacité'!$A$6:$CY$266,(MATCH('4.5 ACE MAX WOL '!J$4,'7. PGE_Efficacité'!$A$4:$AO$4,0)+62),0)</f>
        <v>0</v>
      </c>
      <c r="K131" s="237">
        <f>VLOOKUP($E131,'7. PGE_Efficacité'!$A$6:$CY$266,(MATCH('4.5 ACE MAX WOL '!K$4,'7. PGE_Efficacité'!$A$4:$AO$4,0)+62),0)</f>
        <v>0</v>
      </c>
      <c r="L131" s="237">
        <f>VLOOKUP($E131,'7. PGE_Efficacité'!$A$6:$CY$266,(MATCH('4.5 ACE MAX WOL '!L$4,'7. PGE_Efficacité'!$A$4:$AO$4,0)+62),0)</f>
        <v>0</v>
      </c>
      <c r="M131" s="237">
        <f>VLOOKUP($E131,'7. PGE_Efficacité'!$A$6:$CY$266,(MATCH('4.5 ACE MAX WOL '!M$4,'7. PGE_Efficacité'!$A$4:$AO$4,0)+62),0)</f>
        <v>0</v>
      </c>
      <c r="N131" s="237">
        <f>VLOOKUP($E131,'7. PGE_Efficacité'!$A$6:$CY$266,(MATCH('4.5 ACE MAX WOL '!N$4,'7. PGE_Efficacité'!$A$4:$AO$4,0)+62),0)</f>
        <v>0</v>
      </c>
      <c r="O131" s="237">
        <f>VLOOKUP($E131,'7. PGE_Efficacité'!$A$6:$CY$266,78,0)</f>
        <v>0</v>
      </c>
      <c r="P131" s="237">
        <f>VLOOKUP($E131,'7. PGE_Efficacité'!$A$6:$CY$266,(MATCH('4.5 ACE MAX WOL '!P$4,'7. PGE_Efficacité'!$A$4:$AO$4,0)+62),0)</f>
        <v>0</v>
      </c>
      <c r="Q131" s="237">
        <f>VLOOKUP($E131,'7. PGE_Efficacité'!$A$6:$CY$266,(MATCH('4.5 ACE MAX WOL '!Q$4,'7. PGE_Efficacité'!$A$4:$AO$4,0)+62),0)</f>
        <v>0</v>
      </c>
      <c r="R131" s="237">
        <f>VLOOKUP($E131,'7. PGE_Efficacité'!$A$6:$CY$266,(MATCH('4.5 ACE MAX WOL '!R$4,'7. PGE_Efficacité'!$A$4:$AO$4,0)+62),0)</f>
        <v>0</v>
      </c>
      <c r="S131" s="237">
        <f>VLOOKUP($E131,'7. PGE_Efficacité'!$A$6:$CY$266,(MATCH('4.5 ACE MAX WOL '!S$4,'7. PGE_Efficacité'!$A$4:$AO$4,0)+62),0)</f>
        <v>0</v>
      </c>
      <c r="T131" s="237">
        <f>VLOOKUP($E131,'7. PGE_Efficacité'!$A$6:$CY$266,(MATCH('4.5 ACE MAX WOL '!T$4,'7. PGE_Efficacité'!$A$4:$AO$4,0)+62),0)</f>
        <v>0</v>
      </c>
      <c r="U131" s="237">
        <f>VLOOKUP($E131,'7. PGE_Efficacité'!$A$6:$CY$266,(MATCH('4.5 ACE MAX WOL '!U$4,'7. PGE_Efficacité'!$A$4:$AO$4,0)+62),0)</f>
        <v>0</v>
      </c>
      <c r="V131" s="237">
        <f>VLOOKUP($E131,'7. PGE_Efficacité'!$A$6:$CY$266,(MATCH('4.5 ACE MAX WOL '!V$4,'7. PGE_Efficacité'!$A$4:$AO$4,0)+62),0)</f>
        <v>0</v>
      </c>
      <c r="W131" s="237">
        <f>VLOOKUP($E131,'7. PGE_Efficacité'!$A$6:$CY$266,(MATCH('4.5 ACE MAX WOL '!W$4,'7. PGE_Efficacité'!$A$4:$AO$4,0)+62),0)</f>
        <v>0</v>
      </c>
      <c r="X131" s="237">
        <f>VLOOKUP($E131,'7. PGE_Efficacité'!$A$6:$CY$266,(MATCH('4.5 ACE MAX WOL '!X$4,'7. PGE_Efficacité'!$A$4:$AO$4,0)+62),0)</f>
        <v>0</v>
      </c>
      <c r="Y131" s="237">
        <f>VLOOKUP($E131,'7. PGE_Efficacité'!$A$6:$CY$266,(MATCH('4.5 ACE MAX WOL '!Y$4,'7. PGE_Efficacité'!$A$4:$AO$4,0)+62),0)</f>
        <v>0</v>
      </c>
      <c r="Z131" s="237">
        <f>VLOOKUP($E131,'7. PGE_Efficacité'!$A$6:$CY$266,(MATCH('4.5 ACE MAX WOL '!Z$4,'7. PGE_Efficacité'!$A$4:$AO$4,0)+62),0)</f>
        <v>0</v>
      </c>
      <c r="AA131" s="237">
        <f>VLOOKUP($E131,'7. PGE_Efficacité'!$A$6:$CY$266,(MATCH('4.5 ACE MAX WOL '!AA$4,'7. PGE_Efficacité'!$A$4:$AO$4,0)+62),0)</f>
        <v>0</v>
      </c>
      <c r="AB131" s="237">
        <f>VLOOKUP($E131,'7. PGE_Efficacité'!$A$6:$CY$266,(MATCH('4.5 ACE MAX WOL '!AB$4,'7. PGE_Efficacité'!$A$4:$AO$4,0)+62),0)</f>
        <v>0</v>
      </c>
      <c r="AC131" s="237">
        <f>VLOOKUP($E131,'7. PGE_Efficacité'!$A$6:$CY$266,(MATCH('4.5 ACE MAX WOL '!AC$4,'7. PGE_Efficacité'!$A$4:$AO$4,0)+62),0)</f>
        <v>0</v>
      </c>
      <c r="AD131" s="237">
        <f>VLOOKUP($E131,'7. PGE_Efficacité'!$A$6:$CY$266,(MATCH('4.5 ACE MAX WOL '!AD$4,'7. PGE_Efficacité'!$A$4:$AO$4,0)+62),0)</f>
        <v>0</v>
      </c>
      <c r="AE131" s="237">
        <f>VLOOKUP($E131,'7. PGE_Efficacité'!$A$6:$CY$266,(MATCH('4.5 ACE MAX WOL '!AE$4,'7. PGE_Efficacité'!$A$4:$AO$4,0)+62),0)</f>
        <v>0</v>
      </c>
      <c r="AF131" s="237">
        <f>VLOOKUP($E131,'7. PGE_Efficacité'!$A$6:$CY$266,(MATCH('4.5 ACE MAX WOL '!AF$4,'7. PGE_Efficacité'!$A$4:$AO$4,0)+62),0)</f>
        <v>0</v>
      </c>
      <c r="AG131" s="237">
        <f>VLOOKUP($E131,'7. PGE_Efficacité'!$A$6:$CY$266,(MATCH('4.5 ACE MAX WOL '!AG$4,'7. PGE_Efficacité'!$A$4:$AO$4,0)+62),0)</f>
        <v>0</v>
      </c>
      <c r="AH131" s="237">
        <f>VLOOKUP($E131,'7. PGE_Efficacité'!$A$6:$CY$266,(MATCH('4.5 ACE MAX WOL '!AH$4,'7. PGE_Efficacité'!$A$4:$AO$4,0)+62),0)</f>
        <v>0</v>
      </c>
      <c r="AI131" s="237">
        <f>VLOOKUP($E131,'7. PGE_Efficacité'!$A$6:$CY$266,(MATCH('4.5 ACE MAX WOL '!AI$4,'7. PGE_Efficacité'!$A$4:$AO$4,0)+62),0)</f>
        <v>0</v>
      </c>
      <c r="AJ131" s="237">
        <f>VLOOKUP($E131,'7. PGE_Efficacité'!$A$6:$CY$266,(MATCH('4.5 ACE MAX WOL '!AJ$4,'7. PGE_Efficacité'!$A$4:$AO$4,0)+62),0)</f>
        <v>0</v>
      </c>
      <c r="AK131" s="237">
        <f>VLOOKUP($E131,'7. PGE_Efficacité'!$A$6:$CY$266,(MATCH('4.5 ACE MAX WOL '!AK$4,'7. PGE_Efficacité'!$A$4:$AO$4,0)+62),0)</f>
        <v>0</v>
      </c>
      <c r="AL131" s="237">
        <f>VLOOKUP($E131,'7. PGE_Efficacité'!$A$6:$CY$266,(MATCH('4.5 ACE MAX WOL '!AL$4,'7. PGE_Efficacité'!$A$4:$AO$4,0)+62),0)</f>
        <v>0</v>
      </c>
      <c r="AM131" s="237">
        <f>VLOOKUP($E131,'7. PGE_Efficacité'!$A$6:$CY$266,(MATCH('4.5 ACE MAX WOL '!AM$4,'7. PGE_Efficacité'!$A$4:$AO$4,0)+62),0)</f>
        <v>0</v>
      </c>
      <c r="AN131" s="237">
        <f>VLOOKUP($E131,'7. PGE_Efficacité'!$A$6:$CY$266,(MATCH('4.5 ACE MAX WOL '!AN$4,'7. PGE_Efficacité'!$A$4:$AO$4,0)+62),0)</f>
        <v>0</v>
      </c>
    </row>
    <row r="132" spans="1:40" hidden="1" outlineLevel="2" x14ac:dyDescent="0.25">
      <c r="A132" s="48"/>
      <c r="B132" s="49"/>
      <c r="C132" s="48"/>
      <c r="D132" s="199" t="s">
        <v>38</v>
      </c>
      <c r="E132" s="200" t="s">
        <v>897</v>
      </c>
      <c r="F132" s="200" t="s">
        <v>1487</v>
      </c>
      <c r="G132" s="201" t="s">
        <v>1522</v>
      </c>
      <c r="H132" s="200" t="s">
        <v>1290</v>
      </c>
      <c r="I132" s="236"/>
      <c r="J132" s="237">
        <f>VLOOKUP($E132,'7. PGE_Efficacité'!$A$6:$CY$266,(MATCH('4.5 ACE MAX WOL '!J$4,'7. PGE_Efficacité'!$A$4:$AO$4,0)+62),0)</f>
        <v>0</v>
      </c>
      <c r="K132" s="237">
        <f>VLOOKUP($E132,'7. PGE_Efficacité'!$A$6:$CY$266,(MATCH('4.5 ACE MAX WOL '!K$4,'7. PGE_Efficacité'!$A$4:$AO$4,0)+62),0)</f>
        <v>0</v>
      </c>
      <c r="L132" s="237">
        <f>VLOOKUP($E132,'7. PGE_Efficacité'!$A$6:$CY$266,(MATCH('4.5 ACE MAX WOL '!L$4,'7. PGE_Efficacité'!$A$4:$AO$4,0)+62),0)</f>
        <v>0</v>
      </c>
      <c r="M132" s="237">
        <f>VLOOKUP($E132,'7. PGE_Efficacité'!$A$6:$CY$266,(MATCH('4.5 ACE MAX WOL '!M$4,'7. PGE_Efficacité'!$A$4:$AO$4,0)+62),0)</f>
        <v>0</v>
      </c>
      <c r="N132" s="237">
        <f>VLOOKUP($E132,'7. PGE_Efficacité'!$A$6:$CY$266,(MATCH('4.5 ACE MAX WOL '!N$4,'7. PGE_Efficacité'!$A$4:$AO$4,0)+62),0)</f>
        <v>0</v>
      </c>
      <c r="O132" s="237">
        <f>VLOOKUP($E132,'7. PGE_Efficacité'!$A$6:$CY$266,78,0)</f>
        <v>0</v>
      </c>
      <c r="P132" s="237">
        <f>VLOOKUP($E132,'7. PGE_Efficacité'!$A$6:$CY$266,(MATCH('4.5 ACE MAX WOL '!P$4,'7. PGE_Efficacité'!$A$4:$AO$4,0)+62),0)</f>
        <v>0</v>
      </c>
      <c r="Q132" s="237">
        <f>VLOOKUP($E132,'7. PGE_Efficacité'!$A$6:$CY$266,(MATCH('4.5 ACE MAX WOL '!Q$4,'7. PGE_Efficacité'!$A$4:$AO$4,0)+62),0)</f>
        <v>0</v>
      </c>
      <c r="R132" s="237">
        <f>VLOOKUP($E132,'7. PGE_Efficacité'!$A$6:$CY$266,(MATCH('4.5 ACE MAX WOL '!R$4,'7. PGE_Efficacité'!$A$4:$AO$4,0)+62),0)</f>
        <v>0</v>
      </c>
      <c r="S132" s="237">
        <f>VLOOKUP($E132,'7. PGE_Efficacité'!$A$6:$CY$266,(MATCH('4.5 ACE MAX WOL '!S$4,'7. PGE_Efficacité'!$A$4:$AO$4,0)+62),0)</f>
        <v>0</v>
      </c>
      <c r="T132" s="237">
        <f>VLOOKUP($E132,'7. PGE_Efficacité'!$A$6:$CY$266,(MATCH('4.5 ACE MAX WOL '!T$4,'7. PGE_Efficacité'!$A$4:$AO$4,0)+62),0)</f>
        <v>0</v>
      </c>
      <c r="U132" s="237">
        <f>VLOOKUP($E132,'7. PGE_Efficacité'!$A$6:$CY$266,(MATCH('4.5 ACE MAX WOL '!U$4,'7. PGE_Efficacité'!$A$4:$AO$4,0)+62),0)</f>
        <v>0</v>
      </c>
      <c r="V132" s="237">
        <f>VLOOKUP($E132,'7. PGE_Efficacité'!$A$6:$CY$266,(MATCH('4.5 ACE MAX WOL '!V$4,'7. PGE_Efficacité'!$A$4:$AO$4,0)+62),0)</f>
        <v>0</v>
      </c>
      <c r="W132" s="237">
        <f>VLOOKUP($E132,'7. PGE_Efficacité'!$A$6:$CY$266,(MATCH('4.5 ACE MAX WOL '!W$4,'7. PGE_Efficacité'!$A$4:$AO$4,0)+62),0)</f>
        <v>0</v>
      </c>
      <c r="X132" s="237">
        <f>VLOOKUP($E132,'7. PGE_Efficacité'!$A$6:$CY$266,(MATCH('4.5 ACE MAX WOL '!X$4,'7. PGE_Efficacité'!$A$4:$AO$4,0)+62),0)</f>
        <v>0</v>
      </c>
      <c r="Y132" s="237">
        <f>VLOOKUP($E132,'7. PGE_Efficacité'!$A$6:$CY$266,(MATCH('4.5 ACE MAX WOL '!Y$4,'7. PGE_Efficacité'!$A$4:$AO$4,0)+62),0)</f>
        <v>0</v>
      </c>
      <c r="Z132" s="237">
        <f>VLOOKUP($E132,'7. PGE_Efficacité'!$A$6:$CY$266,(MATCH('4.5 ACE MAX WOL '!Z$4,'7. PGE_Efficacité'!$A$4:$AO$4,0)+62),0)</f>
        <v>0</v>
      </c>
      <c r="AA132" s="237">
        <f>VLOOKUP($E132,'7. PGE_Efficacité'!$A$6:$CY$266,(MATCH('4.5 ACE MAX WOL '!AA$4,'7. PGE_Efficacité'!$A$4:$AO$4,0)+62),0)</f>
        <v>0</v>
      </c>
      <c r="AB132" s="237">
        <f>VLOOKUP($E132,'7. PGE_Efficacité'!$A$6:$CY$266,(MATCH('4.5 ACE MAX WOL '!AB$4,'7. PGE_Efficacité'!$A$4:$AO$4,0)+62),0)</f>
        <v>0</v>
      </c>
      <c r="AC132" s="237">
        <f>VLOOKUP($E132,'7. PGE_Efficacité'!$A$6:$CY$266,(MATCH('4.5 ACE MAX WOL '!AC$4,'7. PGE_Efficacité'!$A$4:$AO$4,0)+62),0)</f>
        <v>0</v>
      </c>
      <c r="AD132" s="237">
        <f>VLOOKUP($E132,'7. PGE_Efficacité'!$A$6:$CY$266,(MATCH('4.5 ACE MAX WOL '!AD$4,'7. PGE_Efficacité'!$A$4:$AO$4,0)+62),0)</f>
        <v>0</v>
      </c>
      <c r="AE132" s="237">
        <f>VLOOKUP($E132,'7. PGE_Efficacité'!$A$6:$CY$266,(MATCH('4.5 ACE MAX WOL '!AE$4,'7. PGE_Efficacité'!$A$4:$AO$4,0)+62),0)</f>
        <v>0</v>
      </c>
      <c r="AF132" s="237">
        <f>VLOOKUP($E132,'7. PGE_Efficacité'!$A$6:$CY$266,(MATCH('4.5 ACE MAX WOL '!AF$4,'7. PGE_Efficacité'!$A$4:$AO$4,0)+62),0)</f>
        <v>0</v>
      </c>
      <c r="AG132" s="237">
        <f>VLOOKUP($E132,'7. PGE_Efficacité'!$A$6:$CY$266,(MATCH('4.5 ACE MAX WOL '!AG$4,'7. PGE_Efficacité'!$A$4:$AO$4,0)+62),0)</f>
        <v>0</v>
      </c>
      <c r="AH132" s="237">
        <f>VLOOKUP($E132,'7. PGE_Efficacité'!$A$6:$CY$266,(MATCH('4.5 ACE MAX WOL '!AH$4,'7. PGE_Efficacité'!$A$4:$AO$4,0)+62),0)</f>
        <v>0</v>
      </c>
      <c r="AI132" s="237">
        <f>VLOOKUP($E132,'7. PGE_Efficacité'!$A$6:$CY$266,(MATCH('4.5 ACE MAX WOL '!AI$4,'7. PGE_Efficacité'!$A$4:$AO$4,0)+62),0)</f>
        <v>0</v>
      </c>
      <c r="AJ132" s="237">
        <f>VLOOKUP($E132,'7. PGE_Efficacité'!$A$6:$CY$266,(MATCH('4.5 ACE MAX WOL '!AJ$4,'7. PGE_Efficacité'!$A$4:$AO$4,0)+62),0)</f>
        <v>0</v>
      </c>
      <c r="AK132" s="237">
        <f>VLOOKUP($E132,'7. PGE_Efficacité'!$A$6:$CY$266,(MATCH('4.5 ACE MAX WOL '!AK$4,'7. PGE_Efficacité'!$A$4:$AO$4,0)+62),0)</f>
        <v>0</v>
      </c>
      <c r="AL132" s="237">
        <f>VLOOKUP($E132,'7. PGE_Efficacité'!$A$6:$CY$266,(MATCH('4.5 ACE MAX WOL '!AL$4,'7. PGE_Efficacité'!$A$4:$AO$4,0)+62),0)</f>
        <v>0</v>
      </c>
      <c r="AM132" s="237">
        <f>VLOOKUP($E132,'7. PGE_Efficacité'!$A$6:$CY$266,(MATCH('4.5 ACE MAX WOL '!AM$4,'7. PGE_Efficacité'!$A$4:$AO$4,0)+62),0)</f>
        <v>0</v>
      </c>
      <c r="AN132" s="237">
        <f>VLOOKUP($E132,'7. PGE_Efficacité'!$A$6:$CY$266,(MATCH('4.5 ACE MAX WOL '!AN$4,'7. PGE_Efficacité'!$A$4:$AO$4,0)+62),0)</f>
        <v>0</v>
      </c>
    </row>
    <row r="133" spans="1:40" ht="26.25" outlineLevel="1" collapsed="1" x14ac:dyDescent="0.25">
      <c r="A133" s="48"/>
      <c r="B133" s="49"/>
      <c r="C133" s="48"/>
      <c r="D133" s="206" t="s">
        <v>65</v>
      </c>
      <c r="E133" s="207"/>
      <c r="F133" s="208" t="str">
        <f>VLOOKUP(D133,'1. Mesures'!$A$2:$B$116,2,0)</f>
        <v>Assurer le traitement des eaux résiduaires urbaines conformément à la directive 91/271/CEE et reprise de l’ensemble des ouvrages d’épuration par le secteur public</v>
      </c>
      <c r="G133" s="209"/>
      <c r="H133" s="210"/>
      <c r="I133" s="198">
        <f>MEDIAN(VLOOKUP(D133,'4. Mesures_ACE_Budget'!$A$3:$N$32,13,0),(VLOOKUP(D133,'4. Mesures_ACE_Budget'!$A$3:$N$32,14,0)))</f>
        <v>0</v>
      </c>
      <c r="J133" s="23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c r="AN133" s="235"/>
    </row>
    <row r="134" spans="1:40" hidden="1" outlineLevel="2" x14ac:dyDescent="0.25">
      <c r="A134" s="48" t="s">
        <v>1526</v>
      </c>
      <c r="B134" s="49">
        <v>5</v>
      </c>
      <c r="C134" s="48" t="s">
        <v>1524</v>
      </c>
      <c r="D134" s="199" t="s">
        <v>65</v>
      </c>
      <c r="E134" s="200" t="s">
        <v>952</v>
      </c>
      <c r="F134" s="200" t="s">
        <v>1488</v>
      </c>
      <c r="G134" s="201" t="s">
        <v>1522</v>
      </c>
      <c r="H134" s="200" t="s">
        <v>1578</v>
      </c>
      <c r="I134" s="238"/>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row>
    <row r="135" spans="1:40" hidden="1" outlineLevel="2" x14ac:dyDescent="0.25">
      <c r="A135" s="48" t="s">
        <v>1526</v>
      </c>
      <c r="B135" s="49">
        <v>5</v>
      </c>
      <c r="C135" s="48" t="s">
        <v>1525</v>
      </c>
      <c r="D135" s="199" t="s">
        <v>65</v>
      </c>
      <c r="E135" s="200" t="s">
        <v>953</v>
      </c>
      <c r="F135" s="200" t="s">
        <v>1489</v>
      </c>
      <c r="G135" s="201" t="s">
        <v>1522</v>
      </c>
      <c r="H135" s="200" t="s">
        <v>1578</v>
      </c>
      <c r="I135" s="202"/>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row>
    <row r="136" spans="1:40" hidden="1" outlineLevel="2" x14ac:dyDescent="0.25">
      <c r="A136" s="48" t="s">
        <v>1526</v>
      </c>
      <c r="B136" s="49">
        <v>5</v>
      </c>
      <c r="C136" s="48" t="s">
        <v>1526</v>
      </c>
      <c r="D136" s="199" t="s">
        <v>65</v>
      </c>
      <c r="E136" s="200" t="s">
        <v>954</v>
      </c>
      <c r="F136" s="200" t="s">
        <v>1490</v>
      </c>
      <c r="G136" s="201" t="s">
        <v>1522</v>
      </c>
      <c r="H136" s="200"/>
      <c r="I136" s="202"/>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row>
    <row r="137" spans="1:40" hidden="1" outlineLevel="2" x14ac:dyDescent="0.25">
      <c r="A137" s="48" t="s">
        <v>1526</v>
      </c>
      <c r="B137" s="49">
        <v>5</v>
      </c>
      <c r="C137" s="48" t="s">
        <v>1527</v>
      </c>
      <c r="D137" s="199" t="s">
        <v>65</v>
      </c>
      <c r="E137" s="200" t="s">
        <v>955</v>
      </c>
      <c r="F137" s="200" t="s">
        <v>1491</v>
      </c>
      <c r="G137" s="201" t="s">
        <v>1522</v>
      </c>
      <c r="H137" s="200"/>
      <c r="I137" s="202"/>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row>
    <row r="138" spans="1:40" hidden="1" outlineLevel="2" x14ac:dyDescent="0.25">
      <c r="A138" s="48"/>
      <c r="B138" s="49"/>
      <c r="C138" s="48"/>
      <c r="D138" s="199" t="s">
        <v>65</v>
      </c>
      <c r="E138" s="200" t="s">
        <v>956</v>
      </c>
      <c r="F138" s="200" t="s">
        <v>1492</v>
      </c>
      <c r="G138" s="201" t="s">
        <v>1522</v>
      </c>
      <c r="H138" s="200"/>
      <c r="I138" s="202"/>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row>
    <row r="139" spans="1:40" ht="26.25" outlineLevel="1" collapsed="1" x14ac:dyDescent="0.25">
      <c r="A139" s="48" t="s">
        <v>410</v>
      </c>
      <c r="B139" s="49">
        <v>4</v>
      </c>
      <c r="C139" s="48" t="s">
        <v>1524</v>
      </c>
      <c r="D139" s="194" t="s">
        <v>79</v>
      </c>
      <c r="E139" s="195"/>
      <c r="F139" s="196" t="str">
        <f>VLOOKUP(D139,'1. Mesures'!$A$2:$B$116,2,0)</f>
        <v>Mettre en œuvre la GiEP dans l'espace public et privé, ainsi que les autres mesures de résilience climatique liées à la gestion de l’eau</v>
      </c>
      <c r="G139" s="197"/>
      <c r="H139" s="195"/>
      <c r="I139" s="198">
        <f>MEDIAN(VLOOKUP(D139,'4. Mesures_ACE_Budget'!$A$3:$N$32,13,0),(VLOOKUP(D139,'4. Mesures_ACE_Budget'!$A$3:$N$32,14,0)))</f>
        <v>332861545.49449217</v>
      </c>
      <c r="J139" s="205" t="e">
        <f>VLOOKUP($D139,'7. PGE_Efficacité'!$A$6:$CY$266,(MATCH('4.5 ACE MAX WOL '!J$4,'7. PGE_Efficacité'!$A$4:$AO$4,0)+62),0)</f>
        <v>#N/A</v>
      </c>
      <c r="K139" s="205" t="e">
        <f>VLOOKUP($D139,'7. PGE_Efficacité'!$A$6:$CY$266,(MATCH('4.5 ACE MAX WOL '!K$4,'7. PGE_Efficacité'!$A$4:$AO$4,0)+62),0)</f>
        <v>#N/A</v>
      </c>
      <c r="L139" s="205" t="e">
        <f>VLOOKUP($D139,'7. PGE_Efficacité'!$A$6:$CY$266,(MATCH('4.5 ACE MAX WOL '!L$4,'7. PGE_Efficacité'!$A$4:$AO$4,0)+62),0)</f>
        <v>#N/A</v>
      </c>
      <c r="M139" s="205" t="e">
        <f>VLOOKUP($D139,'7. PGE_Efficacité'!$A$6:$CY$266,(MATCH('4.5 ACE MAX WOL '!M$4,'7. PGE_Efficacité'!$A$4:$AO$4,0)+62),0)</f>
        <v>#N/A</v>
      </c>
      <c r="N139" s="205" t="e">
        <f>VLOOKUP($D139,'7. PGE_Efficacité'!$A$6:$CY$266,(MATCH('4.5 ACE MAX WOL '!N$4,'7. PGE_Efficacité'!$A$4:$AO$4,0)+62),0)</f>
        <v>#N/A</v>
      </c>
      <c r="O139" s="205" t="e">
        <f>VLOOKUP($D139,'7. PGE_Efficacité'!$A$6:$CY$266,78,0)</f>
        <v>#N/A</v>
      </c>
      <c r="P139" s="205" t="e">
        <f>VLOOKUP($D139,'7. PGE_Efficacité'!$A$6:$CY$266,(MATCH('4.5 ACE MAX WOL '!P$4,'7. PGE_Efficacité'!$A$4:$AO$4,0)+62),0)</f>
        <v>#N/A</v>
      </c>
      <c r="Q139" s="205" t="e">
        <f>VLOOKUP($D139,'7. PGE_Efficacité'!$A$6:$CY$266,(MATCH('4.5 ACE MAX WOL '!Q$4,'7. PGE_Efficacité'!$A$4:$AO$4,0)+62),0)</f>
        <v>#N/A</v>
      </c>
      <c r="R139" s="205" t="e">
        <f>VLOOKUP($D139,'7. PGE_Efficacité'!$A$6:$CY$266,(MATCH('4.5 ACE MAX WOL '!R$4,'7. PGE_Efficacité'!$A$4:$AO$4,0)+62),0)</f>
        <v>#N/A</v>
      </c>
      <c r="S139" s="205" t="e">
        <f>VLOOKUP($D139,'7. PGE_Efficacité'!$A$6:$CY$266,(MATCH('4.5 ACE MAX WOL '!S$4,'7. PGE_Efficacité'!$A$4:$AO$4,0)+62),0)</f>
        <v>#N/A</v>
      </c>
      <c r="T139" s="205" t="e">
        <f>VLOOKUP($D139,'7. PGE_Efficacité'!$A$6:$CY$266,(MATCH('4.5 ACE MAX WOL '!T$4,'7. PGE_Efficacité'!$A$4:$AO$4,0)+62),0)</f>
        <v>#N/A</v>
      </c>
      <c r="U139" s="205" t="e">
        <f>VLOOKUP($D139,'7. PGE_Efficacité'!$A$6:$CY$266,(MATCH('4.5 ACE MAX WOL '!U$4,'7. PGE_Efficacité'!$A$4:$AO$4,0)+62),0)</f>
        <v>#N/A</v>
      </c>
      <c r="V139" s="205" t="e">
        <f>VLOOKUP($D139,'7. PGE_Efficacité'!$A$6:$CY$266,(MATCH('4.5 ACE MAX WOL '!V$4,'7. PGE_Efficacité'!$A$4:$AO$4,0)+62),0)</f>
        <v>#N/A</v>
      </c>
      <c r="W139" s="205" t="e">
        <f>VLOOKUP($D139,'7. PGE_Efficacité'!$A$6:$CY$266,(MATCH('4.5 ACE MAX WOL '!W$4,'7. PGE_Efficacité'!$A$4:$AO$4,0)+62),0)</f>
        <v>#N/A</v>
      </c>
      <c r="X139" s="205" t="e">
        <f>VLOOKUP($D139,'7. PGE_Efficacité'!$A$6:$CY$266,(MATCH('4.5 ACE MAX WOL '!X$4,'7. PGE_Efficacité'!$A$4:$AO$4,0)+62),0)</f>
        <v>#N/A</v>
      </c>
      <c r="Y139" s="205" t="e">
        <f>VLOOKUP($D139,'7. PGE_Efficacité'!$A$6:$CY$266,(MATCH('4.5 ACE MAX WOL '!Y$4,'7. PGE_Efficacité'!$A$4:$AO$4,0)+62),0)</f>
        <v>#N/A</v>
      </c>
      <c r="Z139" s="205" t="e">
        <f>VLOOKUP($D139,'7. PGE_Efficacité'!$A$6:$CY$266,(MATCH('4.5 ACE MAX WOL '!Z$4,'7. PGE_Efficacité'!$A$4:$AO$4,0)+62),0)</f>
        <v>#N/A</v>
      </c>
      <c r="AA139" s="205" t="e">
        <f>VLOOKUP($D139,'7. PGE_Efficacité'!$A$6:$CY$266,(MATCH('4.5 ACE MAX WOL '!AA$4,'7. PGE_Efficacité'!$A$4:$AO$4,0)+62),0)</f>
        <v>#N/A</v>
      </c>
      <c r="AB139" s="205" t="e">
        <f>VLOOKUP($D139,'7. PGE_Efficacité'!$A$6:$CY$266,(MATCH('4.5 ACE MAX WOL '!AB$4,'7. PGE_Efficacité'!$A$4:$AO$4,0)+62),0)</f>
        <v>#N/A</v>
      </c>
      <c r="AC139" s="205" t="e">
        <f>VLOOKUP($D139,'7. PGE_Efficacité'!$A$6:$CY$266,(MATCH('4.5 ACE MAX WOL '!AC$4,'7. PGE_Efficacité'!$A$4:$AO$4,0)+62),0)</f>
        <v>#N/A</v>
      </c>
      <c r="AD139" s="205" t="e">
        <f>VLOOKUP($D139,'7. PGE_Efficacité'!$A$6:$CY$266,(MATCH('4.5 ACE MAX WOL '!AD$4,'7. PGE_Efficacité'!$A$4:$AO$4,0)+62),0)</f>
        <v>#N/A</v>
      </c>
      <c r="AE139" s="205" t="e">
        <f>VLOOKUP($D139,'7. PGE_Efficacité'!$A$6:$CY$266,(MATCH('4.5 ACE MAX WOL '!AE$4,'7. PGE_Efficacité'!$A$4:$AO$4,0)+62),0)</f>
        <v>#N/A</v>
      </c>
      <c r="AF139" s="205" t="e">
        <f>VLOOKUP($D139,'7. PGE_Efficacité'!$A$6:$CY$266,(MATCH('4.5 ACE MAX WOL '!AF$4,'7. PGE_Efficacité'!$A$4:$AO$4,0)+62),0)</f>
        <v>#N/A</v>
      </c>
      <c r="AG139" s="205" t="e">
        <f>VLOOKUP($D139,'7. PGE_Efficacité'!$A$6:$CY$266,(MATCH('4.5 ACE MAX WOL '!AG$4,'7. PGE_Efficacité'!$A$4:$AO$4,0)+62),0)</f>
        <v>#N/A</v>
      </c>
      <c r="AH139" s="205" t="e">
        <f>VLOOKUP($D139,'7. PGE_Efficacité'!$A$6:$CY$266,(MATCH('4.5 ACE MAX WOL '!AH$4,'7. PGE_Efficacité'!$A$4:$AO$4,0)+62),0)</f>
        <v>#N/A</v>
      </c>
      <c r="AI139" s="205" t="e">
        <f>VLOOKUP($D139,'7. PGE_Efficacité'!$A$6:$CY$266,(MATCH('4.5 ACE MAX WOL '!AI$4,'7. PGE_Efficacité'!$A$4:$AO$4,0)+62),0)</f>
        <v>#N/A</v>
      </c>
      <c r="AJ139" s="205" t="e">
        <f>VLOOKUP($D139,'7. PGE_Efficacité'!$A$6:$CY$266,(MATCH('4.5 ACE MAX WOL '!AJ$4,'7. PGE_Efficacité'!$A$4:$AO$4,0)+62),0)</f>
        <v>#N/A</v>
      </c>
      <c r="AK139" s="205" t="e">
        <f>VLOOKUP($D139,'7. PGE_Efficacité'!$A$6:$CY$266,(MATCH('4.5 ACE MAX WOL '!AK$4,'7. PGE_Efficacité'!$A$4:$AO$4,0)+62),0)</f>
        <v>#N/A</v>
      </c>
      <c r="AL139" s="205" t="e">
        <f>VLOOKUP($D139,'7. PGE_Efficacité'!$A$6:$CY$266,(MATCH('4.5 ACE MAX WOL '!AL$4,'7. PGE_Efficacité'!$A$4:$AO$4,0)+62),0)</f>
        <v>#N/A</v>
      </c>
      <c r="AM139" s="205" t="e">
        <f>VLOOKUP($D139,'7. PGE_Efficacité'!$A$6:$CY$266,(MATCH('4.5 ACE MAX WOL '!AM$4,'7. PGE_Efficacité'!$A$4:$AO$4,0)+62),0)</f>
        <v>#N/A</v>
      </c>
      <c r="AN139" s="205" t="e">
        <f>VLOOKUP($D139,'7. PGE_Efficacité'!$A$6:$CY$266,(MATCH('4.5 ACE MAX WOL '!AN$4,'7. PGE_Efficacité'!$A$4:$AO$4,0)+62),0)</f>
        <v>#N/A</v>
      </c>
    </row>
    <row r="140" spans="1:40" ht="23.1" hidden="1" customHeight="1" outlineLevel="2" x14ac:dyDescent="0.25">
      <c r="A140" s="48" t="s">
        <v>410</v>
      </c>
      <c r="B140" s="49">
        <v>4</v>
      </c>
      <c r="C140" s="48" t="s">
        <v>1525</v>
      </c>
      <c r="D140" s="133" t="s">
        <v>79</v>
      </c>
      <c r="E140" s="134" t="s">
        <v>417</v>
      </c>
      <c r="F140" s="134" t="s">
        <v>1293</v>
      </c>
      <c r="G140" s="135" t="s">
        <v>1520</v>
      </c>
      <c r="H140" s="134" t="s">
        <v>1290</v>
      </c>
      <c r="I140" s="137"/>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row>
    <row r="141" spans="1:40" hidden="1" outlineLevel="2" x14ac:dyDescent="0.25">
      <c r="A141" s="48" t="s">
        <v>410</v>
      </c>
      <c r="B141" s="49">
        <v>4</v>
      </c>
      <c r="C141" s="48" t="s">
        <v>1526</v>
      </c>
      <c r="D141" s="51" t="s">
        <v>79</v>
      </c>
      <c r="E141" s="13" t="s">
        <v>418</v>
      </c>
      <c r="F141" s="13" t="s">
        <v>1294</v>
      </c>
      <c r="G141" s="50" t="s">
        <v>1520</v>
      </c>
      <c r="H141" s="13" t="s">
        <v>1290</v>
      </c>
      <c r="I141" s="136"/>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row>
    <row r="142" spans="1:40" hidden="1" outlineLevel="2" x14ac:dyDescent="0.25">
      <c r="A142" s="48" t="s">
        <v>410</v>
      </c>
      <c r="B142" s="49">
        <v>4</v>
      </c>
      <c r="C142" s="48" t="s">
        <v>1527</v>
      </c>
      <c r="D142" s="51" t="s">
        <v>79</v>
      </c>
      <c r="E142" s="13" t="s">
        <v>419</v>
      </c>
      <c r="F142" s="13" t="s">
        <v>1295</v>
      </c>
      <c r="G142" s="50" t="s">
        <v>1520</v>
      </c>
      <c r="H142" s="13" t="s">
        <v>1290</v>
      </c>
      <c r="I142" s="136"/>
      <c r="J142" s="140"/>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c r="AH142" s="140"/>
      <c r="AI142" s="140"/>
      <c r="AJ142" s="140"/>
      <c r="AK142" s="140"/>
      <c r="AL142" s="140"/>
      <c r="AM142" s="140"/>
      <c r="AN142" s="140"/>
    </row>
    <row r="143" spans="1:40" hidden="1" outlineLevel="2" x14ac:dyDescent="0.25">
      <c r="A143" s="48" t="s">
        <v>410</v>
      </c>
      <c r="B143" s="49">
        <v>4</v>
      </c>
      <c r="C143" s="48" t="s">
        <v>410</v>
      </c>
      <c r="D143" s="51" t="s">
        <v>79</v>
      </c>
      <c r="E143" s="13" t="s">
        <v>420</v>
      </c>
      <c r="F143" s="13" t="s">
        <v>1296</v>
      </c>
      <c r="G143" s="50" t="s">
        <v>1520</v>
      </c>
      <c r="H143" s="13" t="s">
        <v>1290</v>
      </c>
      <c r="I143" s="136"/>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row>
    <row r="144" spans="1:40" hidden="1" outlineLevel="2" x14ac:dyDescent="0.25">
      <c r="A144" s="48" t="s">
        <v>410</v>
      </c>
      <c r="B144" s="49">
        <v>4</v>
      </c>
      <c r="C144" s="48" t="s">
        <v>1528</v>
      </c>
      <c r="D144" s="51" t="s">
        <v>79</v>
      </c>
      <c r="E144" s="13" t="s">
        <v>421</v>
      </c>
      <c r="F144" s="13" t="s">
        <v>1297</v>
      </c>
      <c r="G144" s="50" t="s">
        <v>1520</v>
      </c>
      <c r="H144" s="13" t="s">
        <v>1290</v>
      </c>
      <c r="I144" s="136"/>
      <c r="J144" s="140"/>
      <c r="K144" s="140"/>
      <c r="L144" s="140"/>
      <c r="M144" s="140"/>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row>
    <row r="145" spans="1:40" hidden="1" outlineLevel="2" x14ac:dyDescent="0.25">
      <c r="A145" s="48" t="s">
        <v>410</v>
      </c>
      <c r="B145" s="49">
        <v>4</v>
      </c>
      <c r="C145" s="48" t="s">
        <v>1529</v>
      </c>
      <c r="D145" s="51" t="s">
        <v>79</v>
      </c>
      <c r="E145" s="13" t="s">
        <v>422</v>
      </c>
      <c r="F145" s="13" t="s">
        <v>1298</v>
      </c>
      <c r="G145" s="50" t="s">
        <v>1520</v>
      </c>
      <c r="H145" s="13" t="s">
        <v>1290</v>
      </c>
      <c r="I145" s="136"/>
      <c r="J145" s="140"/>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row>
    <row r="146" spans="1:40" hidden="1" outlineLevel="2" x14ac:dyDescent="0.25">
      <c r="A146" s="48" t="s">
        <v>410</v>
      </c>
      <c r="B146" s="49">
        <v>4</v>
      </c>
      <c r="C146" s="48" t="s">
        <v>1532</v>
      </c>
      <c r="D146" s="51" t="s">
        <v>79</v>
      </c>
      <c r="E146" s="13" t="s">
        <v>423</v>
      </c>
      <c r="F146" s="13" t="s">
        <v>1493</v>
      </c>
      <c r="G146" s="50" t="s">
        <v>1520</v>
      </c>
      <c r="H146" s="13"/>
      <c r="I146" s="136"/>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row>
    <row r="147" spans="1:40" hidden="1" outlineLevel="2" x14ac:dyDescent="0.25">
      <c r="A147" s="48" t="s">
        <v>410</v>
      </c>
      <c r="B147" s="49">
        <v>4</v>
      </c>
      <c r="C147" s="48" t="s">
        <v>1533</v>
      </c>
      <c r="D147" s="51" t="s">
        <v>79</v>
      </c>
      <c r="E147" s="13" t="s">
        <v>424</v>
      </c>
      <c r="F147" s="13" t="s">
        <v>1494</v>
      </c>
      <c r="G147" s="50" t="s">
        <v>1520</v>
      </c>
      <c r="H147" s="13" t="s">
        <v>1290</v>
      </c>
      <c r="I147" s="136"/>
      <c r="J147" s="140"/>
      <c r="K147" s="140"/>
      <c r="L147" s="140"/>
      <c r="M147" s="140"/>
      <c r="N147" s="140"/>
      <c r="O147" s="140"/>
      <c r="P147" s="140"/>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row>
    <row r="148" spans="1:40" hidden="1" outlineLevel="2" x14ac:dyDescent="0.25">
      <c r="A148" s="48" t="s">
        <v>410</v>
      </c>
      <c r="B148" s="49">
        <v>4</v>
      </c>
      <c r="C148" s="48" t="s">
        <v>1534</v>
      </c>
      <c r="D148" s="51" t="s">
        <v>79</v>
      </c>
      <c r="E148" s="13" t="s">
        <v>425</v>
      </c>
      <c r="F148" s="13" t="s">
        <v>1495</v>
      </c>
      <c r="G148" s="50" t="s">
        <v>1520</v>
      </c>
      <c r="H148" s="13"/>
      <c r="I148" s="136"/>
      <c r="J148" s="140"/>
      <c r="K148" s="140"/>
      <c r="L148" s="140"/>
      <c r="M148" s="140"/>
      <c r="N148" s="140"/>
      <c r="O148" s="140"/>
      <c r="P148" s="140"/>
      <c r="Q148" s="140"/>
      <c r="R148" s="140"/>
      <c r="S148" s="140"/>
      <c r="T148" s="140"/>
      <c r="U148" s="140"/>
      <c r="V148" s="140"/>
      <c r="W148" s="140"/>
      <c r="X148" s="140"/>
      <c r="Y148" s="140"/>
      <c r="Z148" s="140"/>
      <c r="AA148" s="140"/>
      <c r="AB148" s="140"/>
      <c r="AC148" s="140"/>
      <c r="AD148" s="140"/>
      <c r="AE148" s="140"/>
      <c r="AF148" s="140"/>
      <c r="AG148" s="140"/>
      <c r="AH148" s="140"/>
      <c r="AI148" s="140"/>
      <c r="AJ148" s="140"/>
      <c r="AK148" s="140"/>
      <c r="AL148" s="140"/>
      <c r="AM148" s="140"/>
      <c r="AN148" s="140"/>
    </row>
    <row r="149" spans="1:40" hidden="1" outlineLevel="2" x14ac:dyDescent="0.25">
      <c r="A149" s="48" t="s">
        <v>410</v>
      </c>
      <c r="B149" s="49">
        <v>4</v>
      </c>
      <c r="C149" s="48" t="s">
        <v>1535</v>
      </c>
      <c r="D149" s="51" t="s">
        <v>79</v>
      </c>
      <c r="E149" s="13" t="s">
        <v>426</v>
      </c>
      <c r="F149" s="13" t="s">
        <v>1496</v>
      </c>
      <c r="G149" s="50" t="s">
        <v>1520</v>
      </c>
      <c r="H149" s="13" t="s">
        <v>1290</v>
      </c>
      <c r="I149" s="136"/>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c r="AM149" s="140"/>
      <c r="AN149" s="140"/>
    </row>
    <row r="150" spans="1:40" hidden="1" outlineLevel="2" x14ac:dyDescent="0.25">
      <c r="D150" s="51" t="s">
        <v>79</v>
      </c>
      <c r="E150" s="13" t="s">
        <v>427</v>
      </c>
      <c r="F150" s="13" t="s">
        <v>1497</v>
      </c>
      <c r="G150" s="50" t="s">
        <v>1520</v>
      </c>
      <c r="H150" s="13" t="s">
        <v>1290</v>
      </c>
      <c r="I150" s="136"/>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row>
    <row r="151" spans="1:40" x14ac:dyDescent="0.25">
      <c r="J151" s="159" t="s">
        <v>1613</v>
      </c>
    </row>
    <row r="152" spans="1:40" x14ac:dyDescent="0.25">
      <c r="J152" s="187" t="s">
        <v>1614</v>
      </c>
      <c r="K152" s="18"/>
      <c r="L152" s="18"/>
      <c r="M152" s="18"/>
      <c r="N152" s="18"/>
    </row>
    <row r="153" spans="1:40" x14ac:dyDescent="0.25">
      <c r="J153" s="188" t="s">
        <v>1615</v>
      </c>
      <c r="K153" s="18"/>
      <c r="L153" s="18"/>
      <c r="M153" s="18"/>
      <c r="N153" s="18"/>
    </row>
  </sheetData>
  <autoFilter ref="D5:AN153" xr:uid="{00000000-0009-0000-0000-00000A000000}"/>
  <mergeCells count="10">
    <mergeCell ref="J2:Y2"/>
    <mergeCell ref="Z2:AF2"/>
    <mergeCell ref="AG2:AI2"/>
    <mergeCell ref="AJ2:AN2"/>
    <mergeCell ref="J3:N3"/>
    <mergeCell ref="P3:Q3"/>
    <mergeCell ref="U3:Y3"/>
    <mergeCell ref="Z3:AF3"/>
    <mergeCell ref="AG3:AI3"/>
    <mergeCell ref="AJ3:AN3"/>
  </mergeCells>
  <conditionalFormatting sqref="I7 I13 I20 I28 I43 I54 I60 I66 I71 I76 I78 I83 I85 I96 I104 I109 I121 I126 I133 I139">
    <cfRule type="cellIs" dxfId="17" priority="1" operator="greaterThan">
      <formula>10000000</formula>
    </cfRule>
    <cfRule type="cellIs" dxfId="16" priority="2" operator="lessThanOrEqual">
      <formula>1000000</formula>
    </cfRule>
    <cfRule type="cellIs" dxfId="15" priority="3" operator="between">
      <formula>1000000</formula>
      <formula>10000000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4">
    <tabColor theme="8"/>
    <outlinePr summaryBelow="0"/>
  </sheetPr>
  <dimension ref="A1:AN178"/>
  <sheetViews>
    <sheetView showGridLines="0" topLeftCell="D1" zoomScale="70" zoomScaleNormal="70" workbookViewId="0">
      <pane xSplit="6" ySplit="4" topLeftCell="U145" activePane="bottomRight" state="frozen"/>
      <selection activeCell="F66" sqref="F66"/>
      <selection pane="topRight" activeCell="F66" sqref="F66"/>
      <selection pane="bottomLeft" activeCell="F66" sqref="F66"/>
      <selection pane="bottomRight" activeCell="W142" sqref="W142"/>
    </sheetView>
  </sheetViews>
  <sheetFormatPr baseColWidth="10" defaultColWidth="10.85546875" defaultRowHeight="15" outlineLevelRow="2" x14ac:dyDescent="0.25"/>
  <cols>
    <col min="1" max="3" width="0" hidden="1" customWidth="1"/>
    <col min="4" max="4" width="8.140625" customWidth="1"/>
    <col min="5" max="5" width="9.85546875" bestFit="1" customWidth="1"/>
    <col min="6" max="6" width="104.85546875" customWidth="1"/>
    <col min="7" max="7" width="11.140625" bestFit="1" customWidth="1"/>
    <col min="8" max="8" width="15.28515625" bestFit="1" customWidth="1"/>
    <col min="9" max="9" width="16.42578125" bestFit="1" customWidth="1"/>
    <col min="10" max="10" width="6.85546875" customWidth="1"/>
    <col min="11" max="17" width="5.140625" bestFit="1" customWidth="1"/>
    <col min="18" max="18" width="10.85546875" customWidth="1"/>
    <col min="19" max="19" width="5.140625" bestFit="1" customWidth="1"/>
    <col min="20" max="20" width="8.85546875" customWidth="1"/>
    <col min="21" max="32" width="5.140625" bestFit="1" customWidth="1"/>
    <col min="33" max="33" width="6.85546875" customWidth="1"/>
    <col min="34" max="34" width="6.5703125" customWidth="1"/>
    <col min="35" max="35" width="8.42578125" customWidth="1"/>
    <col min="36" max="40" width="5.140625" bestFit="1" customWidth="1"/>
  </cols>
  <sheetData>
    <row r="1" spans="1:40" ht="23.25" x14ac:dyDescent="0.35">
      <c r="J1" s="591" t="s">
        <v>500</v>
      </c>
      <c r="K1" s="592"/>
      <c r="L1" s="592"/>
      <c r="M1" s="592"/>
      <c r="N1" s="592"/>
      <c r="O1" s="592"/>
      <c r="P1" s="592"/>
      <c r="Q1" s="592"/>
      <c r="R1" s="592"/>
      <c r="S1" s="592"/>
      <c r="T1" s="592"/>
      <c r="U1" s="592"/>
      <c r="V1" s="592"/>
      <c r="W1" s="592"/>
      <c r="X1" s="593"/>
      <c r="Y1" s="593"/>
      <c r="Z1" s="593"/>
      <c r="AA1" s="593"/>
      <c r="AB1" s="593"/>
      <c r="AC1" s="593"/>
      <c r="AD1" s="593"/>
      <c r="AE1" s="593"/>
      <c r="AF1" s="593"/>
      <c r="AG1" s="593"/>
      <c r="AH1" s="593"/>
      <c r="AI1" s="593"/>
      <c r="AJ1" s="593"/>
      <c r="AK1" s="593"/>
      <c r="AL1" s="593"/>
      <c r="AM1" s="593"/>
      <c r="AN1" s="594"/>
    </row>
    <row r="2" spans="1:40" x14ac:dyDescent="0.25">
      <c r="J2" s="588" t="s">
        <v>2594</v>
      </c>
      <c r="K2" s="589"/>
      <c r="L2" s="589"/>
      <c r="M2" s="589"/>
      <c r="N2" s="589"/>
      <c r="O2" s="589"/>
      <c r="P2" s="589"/>
      <c r="Q2" s="589"/>
      <c r="R2" s="589"/>
      <c r="S2" s="589"/>
      <c r="T2" s="589"/>
      <c r="U2" s="589"/>
      <c r="V2" s="589"/>
      <c r="W2" s="590"/>
      <c r="X2" s="387"/>
      <c r="Y2" s="388"/>
      <c r="Z2" s="388"/>
      <c r="AA2" s="388"/>
      <c r="AB2" s="388"/>
      <c r="AC2" s="388"/>
      <c r="AD2" s="388"/>
      <c r="AE2" s="388"/>
      <c r="AF2" s="388"/>
      <c r="AG2" s="142"/>
      <c r="AH2" s="142"/>
      <c r="AI2" s="142"/>
      <c r="AJ2" s="142"/>
      <c r="AK2" s="142"/>
      <c r="AL2" s="142"/>
      <c r="AM2" s="142"/>
      <c r="AN2" s="143"/>
    </row>
    <row r="3" spans="1:40" ht="78.75" customHeight="1" x14ac:dyDescent="0.25">
      <c r="J3" s="595" t="s">
        <v>1540</v>
      </c>
      <c r="K3" s="595"/>
      <c r="L3" s="595"/>
      <c r="M3" s="595"/>
      <c r="N3" s="595"/>
      <c r="O3" s="389" t="s">
        <v>1541</v>
      </c>
      <c r="P3" s="596" t="s">
        <v>1611</v>
      </c>
      <c r="Q3" s="595"/>
      <c r="R3" s="582" t="s">
        <v>1543</v>
      </c>
      <c r="S3" s="583"/>
      <c r="T3" s="584"/>
      <c r="U3" s="582" t="s">
        <v>2593</v>
      </c>
      <c r="V3" s="583"/>
      <c r="W3" s="583"/>
      <c r="X3" s="583"/>
      <c r="Y3" s="584"/>
      <c r="Z3" s="597" t="s">
        <v>1537</v>
      </c>
      <c r="AA3" s="598"/>
      <c r="AB3" s="598"/>
      <c r="AC3" s="598"/>
      <c r="AD3" s="598"/>
      <c r="AE3" s="598"/>
      <c r="AF3" s="599"/>
      <c r="AG3" s="582" t="s">
        <v>1538</v>
      </c>
      <c r="AH3" s="583"/>
      <c r="AI3" s="584"/>
      <c r="AJ3" s="597" t="s">
        <v>1539</v>
      </c>
      <c r="AK3" s="598"/>
      <c r="AL3" s="598"/>
      <c r="AM3" s="598"/>
      <c r="AN3" s="599"/>
    </row>
    <row r="4" spans="1:40" ht="156.75" customHeight="1" x14ac:dyDescent="0.25">
      <c r="J4" s="144" t="s">
        <v>1545</v>
      </c>
      <c r="K4" s="146" t="s">
        <v>1546</v>
      </c>
      <c r="L4" s="147" t="s">
        <v>1547</v>
      </c>
      <c r="M4" s="147" t="s">
        <v>1548</v>
      </c>
      <c r="N4" s="147" t="s">
        <v>1549</v>
      </c>
      <c r="O4" s="146" t="s">
        <v>1612</v>
      </c>
      <c r="P4" s="145" t="s">
        <v>1550</v>
      </c>
      <c r="Q4" s="147" t="s">
        <v>1551</v>
      </c>
      <c r="R4" s="374" t="s">
        <v>1552</v>
      </c>
      <c r="S4" s="145" t="s">
        <v>1553</v>
      </c>
      <c r="T4" s="147" t="s">
        <v>1554</v>
      </c>
      <c r="U4" s="147" t="s">
        <v>1555</v>
      </c>
      <c r="V4" s="147" t="s">
        <v>1556</v>
      </c>
      <c r="W4" s="147" t="s">
        <v>1557</v>
      </c>
      <c r="X4" s="145" t="s">
        <v>1558</v>
      </c>
      <c r="Y4" s="147" t="s">
        <v>1559</v>
      </c>
      <c r="Z4" s="375" t="s">
        <v>1560</v>
      </c>
      <c r="AA4" s="144" t="s">
        <v>1561</v>
      </c>
      <c r="AB4" s="144" t="s">
        <v>1562</v>
      </c>
      <c r="AC4" s="144" t="s">
        <v>1563</v>
      </c>
      <c r="AD4" s="144" t="s">
        <v>1564</v>
      </c>
      <c r="AE4" s="145" t="s">
        <v>1565</v>
      </c>
      <c r="AF4" s="145" t="s">
        <v>1566</v>
      </c>
      <c r="AG4" s="374" t="s">
        <v>1567</v>
      </c>
      <c r="AH4" s="147" t="s">
        <v>1568</v>
      </c>
      <c r="AI4" s="147" t="s">
        <v>1569</v>
      </c>
      <c r="AJ4" s="145" t="s">
        <v>514</v>
      </c>
      <c r="AK4" s="147" t="s">
        <v>1570</v>
      </c>
      <c r="AL4" s="145" t="s">
        <v>1571</v>
      </c>
      <c r="AM4" s="147" t="s">
        <v>1572</v>
      </c>
      <c r="AN4" s="147" t="s">
        <v>1573</v>
      </c>
    </row>
    <row r="5" spans="1:40" ht="26.25" x14ac:dyDescent="0.25">
      <c r="A5" t="s">
        <v>30</v>
      </c>
      <c r="B5" t="s">
        <v>1502</v>
      </c>
      <c r="C5" t="s">
        <v>1523</v>
      </c>
      <c r="D5" s="391" t="s">
        <v>412</v>
      </c>
      <c r="E5" s="391" t="s">
        <v>413</v>
      </c>
      <c r="F5" s="391" t="s">
        <v>1519</v>
      </c>
      <c r="G5" s="391" t="s">
        <v>1500</v>
      </c>
      <c r="H5" s="391" t="s">
        <v>1501</v>
      </c>
      <c r="I5" s="392" t="s">
        <v>1654</v>
      </c>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row>
    <row r="6" spans="1:40" x14ac:dyDescent="0.25">
      <c r="D6" s="393" t="s">
        <v>411</v>
      </c>
      <c r="E6" s="330"/>
      <c r="F6" s="330"/>
      <c r="G6" s="330"/>
      <c r="H6" s="330"/>
      <c r="I6" s="556">
        <f>SUM(I7,I60,I97,I163)</f>
        <v>278971400</v>
      </c>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row>
    <row r="7" spans="1:40" ht="26.25" outlineLevel="1" x14ac:dyDescent="0.25">
      <c r="D7" s="360" t="s">
        <v>1</v>
      </c>
      <c r="E7" s="360"/>
      <c r="F7" s="361" t="str">
        <f>VLOOKUP(D7,'1. Mesures'!$A$2:$B$116,2,0)</f>
        <v>Améliorer la qualité des berges et des lits du réseau hydrographique, créer des méandres et aménager des zones propices au développement de la faune et de la flore aquatiques</v>
      </c>
      <c r="G7" s="360"/>
      <c r="H7" s="360"/>
      <c r="I7" s="362">
        <f>MEDIAN(VLOOKUP(D7,'4. Mesures_ACE_Budget'!$A$3:$R$32,17,0),VLOOKUP(D7,'4. Mesures_ACE_Budget'!$A$3:$R$32,18,0))</f>
        <v>1688000</v>
      </c>
      <c r="J7" s="211">
        <f>VLOOKUP($D7,'7. PGE_Efficacité'!$A$6:$BT$266,(MATCH('4.6 ACE MAX CAN '!J$4,'7. PGE_Efficacité'!$A$4:$AO$4,0)+31),0)</f>
        <v>0</v>
      </c>
      <c r="K7" s="211">
        <f>VLOOKUP($D7,'7. PGE_Efficacité'!$A$6:$BT$266,(MATCH('4.6 ACE MAX CAN '!K$4,'7. PGE_Efficacité'!$A$4:$AO$4,0)+31),0)</f>
        <v>0</v>
      </c>
      <c r="L7" s="211">
        <f>VLOOKUP($D7,'7. PGE_Efficacité'!$A$6:$BT$266,(MATCH('4.6 ACE MAX CAN '!L$4,'7. PGE_Efficacité'!$A$4:$AO$4,0)+31),0)</f>
        <v>0</v>
      </c>
      <c r="M7" s="211">
        <f>VLOOKUP($D7,'7. PGE_Efficacité'!$A$6:$BT$266,(MATCH('4.6 ACE MAX CAN '!M$4,'7. PGE_Efficacité'!$A$4:$AO$4,0)+31),0)</f>
        <v>0</v>
      </c>
      <c r="N7" s="211">
        <f>VLOOKUP($D7,'7. PGE_Efficacité'!$A$6:$BT$266,(MATCH('4.6 ACE MAX CAN '!N$4,'7. PGE_Efficacité'!$A$4:$AO$4,0)+31),0)</f>
        <v>0</v>
      </c>
      <c r="O7" s="211">
        <f>VLOOKUP($D7,'7. PGE_Efficacité'!$A$6:$BT$268,47,0)</f>
        <v>0</v>
      </c>
      <c r="P7" s="211">
        <f>VLOOKUP($D7,'7. PGE_Efficacité'!$A$6:$BT$266,(MATCH('4.6 ACE MAX CAN '!P$4,'7. PGE_Efficacité'!$A$4:$AO$4,0)+31),0)</f>
        <v>0</v>
      </c>
      <c r="Q7" s="211">
        <f>VLOOKUP($D7,'7. PGE_Efficacité'!$A$6:$BT$266,(MATCH('4.6 ACE MAX CAN '!Q$4,'7. PGE_Efficacité'!$A$4:$AO$4,0)+31),0)</f>
        <v>0</v>
      </c>
      <c r="R7" s="211">
        <f>VLOOKUP($D7,'7. PGE_Efficacité'!$A$6:$BT$266,(MATCH('4.6 ACE MAX CAN '!R$4,'7. PGE_Efficacité'!$A$4:$AO$4,0)+31),0)</f>
        <v>0</v>
      </c>
      <c r="S7" s="211">
        <f>VLOOKUP($D7,'7. PGE_Efficacité'!$A$6:$BT$266,(MATCH('4.6 ACE MAX CAN '!S$4,'7. PGE_Efficacité'!$A$4:$AO$4,0)+31),0)</f>
        <v>0</v>
      </c>
      <c r="T7" s="211">
        <f>VLOOKUP($D7,'7. PGE_Efficacité'!$A$6:$BT$266,(MATCH('4.6 ACE MAX CAN '!T$4,'7. PGE_Efficacité'!$A$4:$AO$4,0)+31),0)</f>
        <v>0</v>
      </c>
      <c r="U7" s="211">
        <f>VLOOKUP($D7,'7. PGE_Efficacité'!$A$6:$BT$266,(MATCH('4.6 ACE MAX CAN '!U$4,'7. PGE_Efficacité'!$A$4:$AO$4,0)+31),0)</f>
        <v>0</v>
      </c>
      <c r="V7" s="211">
        <f>VLOOKUP($D7,'7. PGE_Efficacité'!$A$6:$BT$266,(MATCH('4.6 ACE MAX CAN '!V$4,'7. PGE_Efficacité'!$A$4:$AO$4,0)+31),0)</f>
        <v>0</v>
      </c>
      <c r="W7" s="211">
        <f>VLOOKUP($D7,'7. PGE_Efficacité'!$A$6:$BT$266,(MATCH('4.6 ACE MAX CAN '!W$4,'7. PGE_Efficacité'!$A$4:$AO$4,0)+31),0)</f>
        <v>0</v>
      </c>
      <c r="X7" s="211">
        <f>VLOOKUP($D7,'7. PGE_Efficacité'!$A$6:$BT$266,(MATCH('4.6 ACE MAX CAN '!X$4,'7. PGE_Efficacité'!$A$4:$AO$4,0)+31),0)</f>
        <v>0</v>
      </c>
      <c r="Y7" s="211">
        <f>VLOOKUP($D7,'7. PGE_Efficacité'!$A$6:$BT$266,(MATCH('4.6 ACE MAX CAN '!Y$4,'7. PGE_Efficacité'!$A$4:$AO$4,0)+31),0)</f>
        <v>0</v>
      </c>
      <c r="Z7" s="211">
        <f>VLOOKUP($D7,'7. PGE_Efficacité'!$A$6:$BT$266,(MATCH('4.6 ACE MAX CAN '!Z$4,'7. PGE_Efficacité'!$A$4:$AO$4,0)+31),0)</f>
        <v>0</v>
      </c>
      <c r="AA7" s="211">
        <f>VLOOKUP($D7,'7. PGE_Efficacité'!$A$6:$BT$266,(MATCH('4.6 ACE MAX CAN '!AA$4,'7. PGE_Efficacité'!$A$4:$AO$4,0)+31),0)</f>
        <v>0</v>
      </c>
      <c r="AB7" s="211">
        <f>VLOOKUP($D7,'7. PGE_Efficacité'!$A$6:$BT$266,(MATCH('4.6 ACE MAX CAN '!AB$4,'7. PGE_Efficacité'!$A$4:$AO$4,0)+31),0)</f>
        <v>0</v>
      </c>
      <c r="AC7" s="211">
        <f>VLOOKUP($D7,'7. PGE_Efficacité'!$A$6:$BT$266,(MATCH('4.6 ACE MAX CAN '!AC$4,'7. PGE_Efficacité'!$A$4:$AO$4,0)+31),0)</f>
        <v>0</v>
      </c>
      <c r="AD7" s="211">
        <f>VLOOKUP($D7,'7. PGE_Efficacité'!$A$6:$BT$266,(MATCH('4.6 ACE MAX CAN '!AD$4,'7. PGE_Efficacité'!$A$4:$AO$4,0)+31),0)</f>
        <v>0</v>
      </c>
      <c r="AE7" s="211">
        <f>VLOOKUP($D7,'7. PGE_Efficacité'!$A$6:$BT$266,(MATCH('4.6 ACE MAX CAN '!AE$4,'7. PGE_Efficacité'!$A$4:$AO$4,0)+31),0)</f>
        <v>0</v>
      </c>
      <c r="AF7" s="211">
        <f>VLOOKUP($D7,'7. PGE_Efficacité'!$A$6:$BT$266,(MATCH('4.6 ACE MAX CAN '!AF$4,'7. PGE_Efficacité'!$A$4:$AO$4,0)+31),0)</f>
        <v>0</v>
      </c>
      <c r="AG7" s="211" t="str">
        <f>VLOOKUP($D7,'7. PGE_Efficacité'!$A$6:$BT$266,(MATCH('4.6 ACE MAX CAN '!AG$4,'7. PGE_Efficacité'!$A$4:$AO$4,0)+31),0)</f>
        <v>+++</v>
      </c>
      <c r="AH7" s="211" t="str">
        <f>VLOOKUP($D7,'7. PGE_Efficacité'!$A$6:$BT$266,(MATCH('4.6 ACE MAX CAN '!AH$4,'7. PGE_Efficacité'!$A$4:$AO$4,0)+31),0)</f>
        <v>+++</v>
      </c>
      <c r="AI7" s="211" t="str">
        <f>VLOOKUP($D7,'7. PGE_Efficacité'!$A$6:$BT$266,(MATCH('4.6 ACE MAX CAN '!AI$4,'7. PGE_Efficacité'!$A$4:$AO$4,0)+31),0)</f>
        <v>+++</v>
      </c>
      <c r="AJ7" s="211">
        <f>VLOOKUP($D7,'7. PGE_Efficacité'!$A$6:$BT$266,(MATCH('4.6 ACE MAX CAN '!AJ$4,'7. PGE_Efficacité'!$A$4:$AO$4,0)+31),0)</f>
        <v>0</v>
      </c>
      <c r="AK7" s="211" t="str">
        <f>VLOOKUP($D7,'7. PGE_Efficacité'!$A$6:$BT$266,(MATCH('4.6 ACE MAX CAN '!AK$4,'7. PGE_Efficacité'!$A$4:$AO$4,0)+31),0)</f>
        <v>++</v>
      </c>
      <c r="AL7" s="211">
        <f>VLOOKUP($D7,'7. PGE_Efficacité'!$A$6:$BT$266,(MATCH('4.6 ACE MAX CAN '!AL$4,'7. PGE_Efficacité'!$A$4:$AO$4,0)+31),0)</f>
        <v>0</v>
      </c>
      <c r="AM7" s="211" t="str">
        <f>VLOOKUP($D7,'7. PGE_Efficacité'!$A$6:$BT$266,(MATCH('4.6 ACE MAX CAN '!AM$4,'7. PGE_Efficacité'!$A$4:$AO$4,0)+31),0)</f>
        <v>+++</v>
      </c>
      <c r="AN7" s="211" t="str">
        <f>VLOOKUP($D7,'7. PGE_Efficacité'!$A$6:$BT$266,(MATCH('4.6 ACE MAX CAN '!AN$4,'7. PGE_Efficacité'!$A$4:$AO$4,0)+31),0)</f>
        <v>+++</v>
      </c>
    </row>
    <row r="8" spans="1:40" outlineLevel="2" x14ac:dyDescent="0.25">
      <c r="A8" t="s">
        <v>1524</v>
      </c>
      <c r="B8">
        <v>2</v>
      </c>
      <c r="C8" t="s">
        <v>1517</v>
      </c>
      <c r="D8" s="12" t="s">
        <v>1</v>
      </c>
      <c r="E8" s="12" t="s">
        <v>712</v>
      </c>
      <c r="F8" s="12" t="s">
        <v>1372</v>
      </c>
      <c r="G8" s="12" t="s">
        <v>1520</v>
      </c>
      <c r="H8" s="12" t="s">
        <v>414</v>
      </c>
      <c r="I8" s="148"/>
      <c r="J8" s="149">
        <f>VLOOKUP($E8,'7. PGE_Efficacité'!$A$6:$BT$266,(MATCH('4.6 ACE MAX CAN '!J$4,'7. PGE_Efficacité'!$A$4:$BU$4,0)+31),0)</f>
        <v>0</v>
      </c>
      <c r="K8" s="149">
        <f>VLOOKUP($E8,'7. PGE_Efficacité'!$A$6:$BT$266,(MATCH('4.6 ACE MAX CAN '!K$4,'7. PGE_Efficacité'!$A$4:$BU$4,0)+31),0)</f>
        <v>0</v>
      </c>
      <c r="L8" s="149">
        <f>VLOOKUP($E8,'7. PGE_Efficacité'!$A$6:$BT$266,(MATCH('4.6 ACE MAX CAN '!L$4,'7. PGE_Efficacité'!$A$4:$BU$4,0)+31),0)</f>
        <v>0</v>
      </c>
      <c r="M8" s="149">
        <f>VLOOKUP($E8,'7. PGE_Efficacité'!$A$6:$BT$266,(MATCH('4.6 ACE MAX CAN '!M$4,'7. PGE_Efficacité'!$A$4:$BU$4,0)+31),0)</f>
        <v>0</v>
      </c>
      <c r="N8" s="149">
        <f>VLOOKUP($E8,'7. PGE_Efficacité'!$A$6:$BT$266,(MATCH('4.6 ACE MAX CAN '!N$4,'7. PGE_Efficacité'!$A$4:$BU$4,0)+31),0)</f>
        <v>0</v>
      </c>
      <c r="O8" s="149">
        <f>VLOOKUP($D8,'7. PGE_Efficacité'!$A$6:$BT$268,47,0)</f>
        <v>0</v>
      </c>
      <c r="P8" s="149">
        <f>VLOOKUP($E8,'7. PGE_Efficacité'!$A$6:$BT$266,(MATCH('4.6 ACE MAX CAN '!P$4,'7. PGE_Efficacité'!$A$4:$BU$4,0)+31),0)</f>
        <v>0</v>
      </c>
      <c r="Q8" s="149">
        <f>VLOOKUP($E8,'7. PGE_Efficacité'!$A$6:$BT$266,(MATCH('4.6 ACE MAX CAN '!Q$4,'7. PGE_Efficacité'!$A$4:$BU$4,0)+31),0)</f>
        <v>0</v>
      </c>
      <c r="R8" s="149">
        <f>VLOOKUP($E8,'7. PGE_Efficacité'!$A$6:$BT$266,(MATCH('4.6 ACE MAX CAN '!R$4,'7. PGE_Efficacité'!$A$4:$BU$4,0)+31),0)</f>
        <v>0</v>
      </c>
      <c r="S8" s="149">
        <f>VLOOKUP($E8,'7. PGE_Efficacité'!$A$6:$BT$266,(MATCH('4.6 ACE MAX CAN '!S$4,'7. PGE_Efficacité'!$A$4:$BU$4,0)+31),0)</f>
        <v>0</v>
      </c>
      <c r="T8" s="149">
        <f>VLOOKUP($E8,'7. PGE_Efficacité'!$A$6:$BT$266,(MATCH('4.6 ACE MAX CAN '!T$4,'7. PGE_Efficacité'!$A$4:$BU$4,0)+31),0)</f>
        <v>0</v>
      </c>
      <c r="U8" s="149">
        <f>VLOOKUP($E8,'7. PGE_Efficacité'!$A$6:$BT$266,(MATCH('4.6 ACE MAX CAN '!U$4,'7. PGE_Efficacité'!$A$4:$BU$4,0)+31),0)</f>
        <v>0</v>
      </c>
      <c r="V8" s="149">
        <f>VLOOKUP($E8,'7. PGE_Efficacité'!$A$6:$BT$266,(MATCH('4.6 ACE MAX CAN '!V$4,'7. PGE_Efficacité'!$A$4:$BU$4,0)+31),0)</f>
        <v>0</v>
      </c>
      <c r="W8" s="149">
        <f>VLOOKUP($E8,'7. PGE_Efficacité'!$A$6:$BT$266,(MATCH('4.6 ACE MAX CAN '!W$4,'7. PGE_Efficacité'!$A$4:$BU$4,0)+31),0)</f>
        <v>0</v>
      </c>
      <c r="X8" s="149">
        <f>VLOOKUP($E8,'7. PGE_Efficacité'!$A$6:$BT$266,(MATCH('4.6 ACE MAX CAN '!X$4,'7. PGE_Efficacité'!$A$4:$BU$4,0)+31),0)</f>
        <v>0</v>
      </c>
      <c r="Y8" s="149">
        <f>VLOOKUP($E8,'7. PGE_Efficacité'!$A$6:$BT$266,(MATCH('4.6 ACE MAX CAN '!Y$4,'7. PGE_Efficacité'!$A$4:$BU$4,0)+31),0)</f>
        <v>0</v>
      </c>
      <c r="Z8" s="149">
        <f>VLOOKUP($E8,'7. PGE_Efficacité'!$A$6:$BT$266,(MATCH('4.6 ACE MAX CAN '!Z$4,'7. PGE_Efficacité'!$A$4:$BU$4,0)+31),0)</f>
        <v>0</v>
      </c>
      <c r="AA8" s="149">
        <f>VLOOKUP($E8,'7. PGE_Efficacité'!$A$6:$BT$266,(MATCH('4.6 ACE MAX CAN '!AA$4,'7. PGE_Efficacité'!$A$4:$BU$4,0)+31),0)</f>
        <v>0</v>
      </c>
      <c r="AB8" s="149">
        <f>VLOOKUP($E8,'7. PGE_Efficacité'!$A$6:$BT$266,(MATCH('4.6 ACE MAX CAN '!AB$4,'7. PGE_Efficacité'!$A$4:$BU$4,0)+31),0)</f>
        <v>0</v>
      </c>
      <c r="AC8" s="149">
        <f>VLOOKUP($E8,'7. PGE_Efficacité'!$A$6:$BT$266,(MATCH('4.6 ACE MAX CAN '!AC$4,'7. PGE_Efficacité'!$A$4:$BU$4,0)+31),0)</f>
        <v>0</v>
      </c>
      <c r="AD8" s="149">
        <f>VLOOKUP($E8,'7. PGE_Efficacité'!$A$6:$BT$266,(MATCH('4.6 ACE MAX CAN '!AD$4,'7. PGE_Efficacité'!$A$4:$BU$4,0)+31),0)</f>
        <v>0</v>
      </c>
      <c r="AE8" s="149">
        <f>VLOOKUP($E8,'7. PGE_Efficacité'!$A$6:$BT$266,(MATCH('4.6 ACE MAX CAN '!AE$4,'7. PGE_Efficacité'!$A$4:$BU$4,0)+31),0)</f>
        <v>0</v>
      </c>
      <c r="AF8" s="149">
        <f>VLOOKUP($E8,'7. PGE_Efficacité'!$A$6:$BT$266,(MATCH('4.6 ACE MAX CAN '!AF$4,'7. PGE_Efficacité'!$A$4:$BU$4,0)+31),0)</f>
        <v>0</v>
      </c>
      <c r="AG8" s="149">
        <f>VLOOKUP($E8,'7. PGE_Efficacité'!$A$6:$BT$266,(MATCH('4.6 ACE MAX CAN '!AG$4,'7. PGE_Efficacité'!$A$4:$BU$4,0)+31),0)</f>
        <v>0</v>
      </c>
      <c r="AH8" s="149">
        <f>VLOOKUP($E8,'7. PGE_Efficacité'!$A$6:$BT$266,(MATCH('4.6 ACE MAX CAN '!AH$4,'7. PGE_Efficacité'!$A$4:$BU$4,0)+31),0)</f>
        <v>0</v>
      </c>
      <c r="AI8" s="149">
        <f>VLOOKUP($E8,'7. PGE_Efficacité'!$A$6:$BT$266,(MATCH('4.6 ACE MAX CAN '!AI$4,'7. PGE_Efficacité'!$A$4:$BU$4,0)+31),0)</f>
        <v>0</v>
      </c>
      <c r="AJ8" s="149">
        <f>VLOOKUP($E8,'7. PGE_Efficacité'!$A$6:$BT$266,(MATCH('4.6 ACE MAX CAN '!AJ$4,'7. PGE_Efficacité'!$A$4:$BU$4,0)+31),0)</f>
        <v>0</v>
      </c>
      <c r="AK8" s="149">
        <f>VLOOKUP($E8,'7. PGE_Efficacité'!$A$6:$BT$266,(MATCH('4.6 ACE MAX CAN '!AK$4,'7. PGE_Efficacité'!$A$4:$BU$4,0)+31),0)</f>
        <v>0</v>
      </c>
      <c r="AL8" s="149">
        <f>VLOOKUP($E8,'7. PGE_Efficacité'!$A$6:$BT$266,(MATCH('4.6 ACE MAX CAN '!AL$4,'7. PGE_Efficacité'!$A$4:$BU$4,0)+31),0)</f>
        <v>0</v>
      </c>
      <c r="AM8" s="149">
        <f>VLOOKUP($E8,'7. PGE_Efficacité'!$A$6:$BT$266,(MATCH('4.6 ACE MAX CAN '!AM$4,'7. PGE_Efficacité'!$A$4:$BU$4,0)+31),0)</f>
        <v>0</v>
      </c>
      <c r="AN8" s="149">
        <f>VLOOKUP($E8,'7. PGE_Efficacité'!$A$6:$BT$266,(MATCH('4.6 ACE MAX CAN '!AN$4,'7. PGE_Efficacité'!$A$4:$BU$4,0)+31),0)</f>
        <v>0</v>
      </c>
    </row>
    <row r="9" spans="1:40" outlineLevel="2" x14ac:dyDescent="0.25">
      <c r="A9" t="s">
        <v>1524</v>
      </c>
      <c r="B9">
        <v>2</v>
      </c>
      <c r="C9" t="s">
        <v>1510</v>
      </c>
      <c r="D9" s="12" t="s">
        <v>1</v>
      </c>
      <c r="E9" s="12" t="s">
        <v>713</v>
      </c>
      <c r="F9" s="12" t="s">
        <v>1373</v>
      </c>
      <c r="G9" s="12" t="s">
        <v>1520</v>
      </c>
      <c r="H9" s="12" t="s">
        <v>414</v>
      </c>
      <c r="I9" s="148"/>
      <c r="J9" s="149">
        <f>VLOOKUP($E9,'7. PGE_Efficacité'!$A$6:$BT$266,(MATCH('4.6 ACE MAX CAN '!J$4,'7. PGE_Efficacité'!$A$4:$BU$4,0)+31),0)</f>
        <v>0</v>
      </c>
      <c r="K9" s="149">
        <f>VLOOKUP($E9,'7. PGE_Efficacité'!$A$6:$BT$266,(MATCH('4.6 ACE MAX CAN '!K$4,'7. PGE_Efficacité'!$A$4:$BU$4,0)+31),0)</f>
        <v>0</v>
      </c>
      <c r="L9" s="149">
        <f>VLOOKUP($E9,'7. PGE_Efficacité'!$A$6:$BT$266,(MATCH('4.6 ACE MAX CAN '!L$4,'7. PGE_Efficacité'!$A$4:$BU$4,0)+31),0)</f>
        <v>0</v>
      </c>
      <c r="M9" s="149">
        <f>VLOOKUP($E9,'7. PGE_Efficacité'!$A$6:$BT$266,(MATCH('4.6 ACE MAX CAN '!M$4,'7. PGE_Efficacité'!$A$4:$BU$4,0)+31),0)</f>
        <v>0</v>
      </c>
      <c r="N9" s="149">
        <f>VLOOKUP($E9,'7. PGE_Efficacité'!$A$6:$BT$266,(MATCH('4.6 ACE MAX CAN '!N$4,'7. PGE_Efficacité'!$A$4:$BU$4,0)+31),0)</f>
        <v>0</v>
      </c>
      <c r="O9" s="149">
        <f>VLOOKUP($D9,'7. PGE_Efficacité'!$A$6:$BT$268,47,0)</f>
        <v>0</v>
      </c>
      <c r="P9" s="149">
        <f>VLOOKUP($E9,'7. PGE_Efficacité'!$A$6:$BT$266,(MATCH('4.6 ACE MAX CAN '!P$4,'7. PGE_Efficacité'!$A$4:$BU$4,0)+31),0)</f>
        <v>0</v>
      </c>
      <c r="Q9" s="149">
        <f>VLOOKUP($E9,'7. PGE_Efficacité'!$A$6:$BT$266,(MATCH('4.6 ACE MAX CAN '!Q$4,'7. PGE_Efficacité'!$A$4:$BU$4,0)+31),0)</f>
        <v>0</v>
      </c>
      <c r="R9" s="149">
        <f>VLOOKUP($E9,'7. PGE_Efficacité'!$A$6:$BT$266,(MATCH('4.6 ACE MAX CAN '!R$4,'7. PGE_Efficacité'!$A$4:$BU$4,0)+31),0)</f>
        <v>0</v>
      </c>
      <c r="S9" s="149">
        <f>VLOOKUP($E9,'7. PGE_Efficacité'!$A$6:$BT$266,(MATCH('4.6 ACE MAX CAN '!S$4,'7. PGE_Efficacité'!$A$4:$BU$4,0)+31),0)</f>
        <v>0</v>
      </c>
      <c r="T9" s="149">
        <f>VLOOKUP($E9,'7. PGE_Efficacité'!$A$6:$BT$266,(MATCH('4.6 ACE MAX CAN '!T$4,'7. PGE_Efficacité'!$A$4:$BU$4,0)+31),0)</f>
        <v>0</v>
      </c>
      <c r="U9" s="149">
        <f>VLOOKUP($E9,'7. PGE_Efficacité'!$A$6:$BT$266,(MATCH('4.6 ACE MAX CAN '!U$4,'7. PGE_Efficacité'!$A$4:$BU$4,0)+31),0)</f>
        <v>0</v>
      </c>
      <c r="V9" s="149">
        <f>VLOOKUP($E9,'7. PGE_Efficacité'!$A$6:$BT$266,(MATCH('4.6 ACE MAX CAN '!V$4,'7. PGE_Efficacité'!$A$4:$BU$4,0)+31),0)</f>
        <v>0</v>
      </c>
      <c r="W9" s="149">
        <f>VLOOKUP($E9,'7. PGE_Efficacité'!$A$6:$BT$266,(MATCH('4.6 ACE MAX CAN '!W$4,'7. PGE_Efficacité'!$A$4:$BU$4,0)+31),0)</f>
        <v>0</v>
      </c>
      <c r="X9" s="149">
        <f>VLOOKUP($E9,'7. PGE_Efficacité'!$A$6:$BT$266,(MATCH('4.6 ACE MAX CAN '!X$4,'7. PGE_Efficacité'!$A$4:$BU$4,0)+31),0)</f>
        <v>0</v>
      </c>
      <c r="Y9" s="149">
        <f>VLOOKUP($E9,'7. PGE_Efficacité'!$A$6:$BT$266,(MATCH('4.6 ACE MAX CAN '!Y$4,'7. PGE_Efficacité'!$A$4:$BU$4,0)+31),0)</f>
        <v>0</v>
      </c>
      <c r="Z9" s="149">
        <f>VLOOKUP($E9,'7. PGE_Efficacité'!$A$6:$BT$266,(MATCH('4.6 ACE MAX CAN '!Z$4,'7. PGE_Efficacité'!$A$4:$BU$4,0)+31),0)</f>
        <v>0</v>
      </c>
      <c r="AA9" s="149">
        <f>VLOOKUP($E9,'7. PGE_Efficacité'!$A$6:$BT$266,(MATCH('4.6 ACE MAX CAN '!AA$4,'7. PGE_Efficacité'!$A$4:$BU$4,0)+31),0)</f>
        <v>0</v>
      </c>
      <c r="AB9" s="149">
        <f>VLOOKUP($E9,'7. PGE_Efficacité'!$A$6:$BT$266,(MATCH('4.6 ACE MAX CAN '!AB$4,'7. PGE_Efficacité'!$A$4:$BU$4,0)+31),0)</f>
        <v>0</v>
      </c>
      <c r="AC9" s="149">
        <f>VLOOKUP($E9,'7. PGE_Efficacité'!$A$6:$BT$266,(MATCH('4.6 ACE MAX CAN '!AC$4,'7. PGE_Efficacité'!$A$4:$BU$4,0)+31),0)</f>
        <v>0</v>
      </c>
      <c r="AD9" s="149">
        <f>VLOOKUP($E9,'7. PGE_Efficacité'!$A$6:$BT$266,(MATCH('4.6 ACE MAX CAN '!AD$4,'7. PGE_Efficacité'!$A$4:$BU$4,0)+31),0)</f>
        <v>0</v>
      </c>
      <c r="AE9" s="149">
        <f>VLOOKUP($E9,'7. PGE_Efficacité'!$A$6:$BT$266,(MATCH('4.6 ACE MAX CAN '!AE$4,'7. PGE_Efficacité'!$A$4:$BU$4,0)+31),0)</f>
        <v>0</v>
      </c>
      <c r="AF9" s="149">
        <f>VLOOKUP($E9,'7. PGE_Efficacité'!$A$6:$BT$266,(MATCH('4.6 ACE MAX CAN '!AF$4,'7. PGE_Efficacité'!$A$4:$BU$4,0)+31),0)</f>
        <v>0</v>
      </c>
      <c r="AG9" s="149" t="str">
        <f>VLOOKUP($E9,'7. PGE_Efficacité'!$A$6:$BT$266,(MATCH('4.6 ACE MAX CAN '!AG$4,'7. PGE_Efficacité'!$A$4:$BU$4,0)+31),0)</f>
        <v>+</v>
      </c>
      <c r="AH9" s="149" t="str">
        <f>VLOOKUP($E9,'7. PGE_Efficacité'!$A$6:$BT$266,(MATCH('4.6 ACE MAX CAN '!AH$4,'7. PGE_Efficacité'!$A$4:$BU$4,0)+31),0)</f>
        <v>+</v>
      </c>
      <c r="AI9" s="149" t="str">
        <f>VLOOKUP($E9,'7. PGE_Efficacité'!$A$6:$BT$266,(MATCH('4.6 ACE MAX CAN '!AI$4,'7. PGE_Efficacité'!$A$4:$BU$4,0)+31),0)</f>
        <v>+</v>
      </c>
      <c r="AJ9" s="149">
        <f>VLOOKUP($E9,'7. PGE_Efficacité'!$A$6:$BT$266,(MATCH('4.6 ACE MAX CAN '!AJ$4,'7. PGE_Efficacité'!$A$4:$BU$4,0)+31),0)</f>
        <v>0</v>
      </c>
      <c r="AK9" s="149">
        <f>VLOOKUP($E9,'7. PGE_Efficacité'!$A$6:$BT$266,(MATCH('4.6 ACE MAX CAN '!AK$4,'7. PGE_Efficacité'!$A$4:$BU$4,0)+31),0)</f>
        <v>0</v>
      </c>
      <c r="AL9" s="149">
        <f>VLOOKUP($E9,'7. PGE_Efficacité'!$A$6:$BT$266,(MATCH('4.6 ACE MAX CAN '!AL$4,'7. PGE_Efficacité'!$A$4:$BU$4,0)+31),0)</f>
        <v>0</v>
      </c>
      <c r="AM9" s="149">
        <f>VLOOKUP($E9,'7. PGE_Efficacité'!$A$6:$BT$266,(MATCH('4.6 ACE MAX CAN '!AM$4,'7. PGE_Efficacité'!$A$4:$BU$4,0)+31),0)</f>
        <v>0</v>
      </c>
      <c r="AN9" s="149">
        <f>VLOOKUP($E9,'7. PGE_Efficacité'!$A$6:$BT$266,(MATCH('4.6 ACE MAX CAN '!AN$4,'7. PGE_Efficacité'!$A$4:$BU$4,0)+31),0)</f>
        <v>0</v>
      </c>
    </row>
    <row r="10" spans="1:40" outlineLevel="2" x14ac:dyDescent="0.25">
      <c r="A10" t="s">
        <v>1524</v>
      </c>
      <c r="B10">
        <v>2</v>
      </c>
      <c r="C10" t="s">
        <v>1511</v>
      </c>
      <c r="D10" s="12" t="s">
        <v>1</v>
      </c>
      <c r="E10" s="12" t="s">
        <v>714</v>
      </c>
      <c r="F10" s="12" t="s">
        <v>1374</v>
      </c>
      <c r="G10" s="12" t="s">
        <v>1520</v>
      </c>
      <c r="H10" s="12" t="s">
        <v>414</v>
      </c>
      <c r="I10" s="148"/>
      <c r="J10" s="149">
        <f>VLOOKUP($E10,'7. PGE_Efficacité'!$A$6:$BT$266,(MATCH('4.6 ACE MAX CAN '!J$4,'7. PGE_Efficacité'!$A$4:$BU$4,0)+31),0)</f>
        <v>0</v>
      </c>
      <c r="K10" s="149">
        <f>VLOOKUP($E10,'7. PGE_Efficacité'!$A$6:$BT$266,(MATCH('4.6 ACE MAX CAN '!K$4,'7. PGE_Efficacité'!$A$4:$BU$4,0)+31),0)</f>
        <v>0</v>
      </c>
      <c r="L10" s="149">
        <f>VLOOKUP($E10,'7. PGE_Efficacité'!$A$6:$BT$266,(MATCH('4.6 ACE MAX CAN '!L$4,'7. PGE_Efficacité'!$A$4:$BU$4,0)+31),0)</f>
        <v>0</v>
      </c>
      <c r="M10" s="149">
        <f>VLOOKUP($E10,'7. PGE_Efficacité'!$A$6:$BT$266,(MATCH('4.6 ACE MAX CAN '!M$4,'7. PGE_Efficacité'!$A$4:$BU$4,0)+31),0)</f>
        <v>0</v>
      </c>
      <c r="N10" s="149">
        <f>VLOOKUP($E10,'7. PGE_Efficacité'!$A$6:$BT$266,(MATCH('4.6 ACE MAX CAN '!N$4,'7. PGE_Efficacité'!$A$4:$BU$4,0)+31),0)</f>
        <v>0</v>
      </c>
      <c r="O10" s="149">
        <f>VLOOKUP($D10,'7. PGE_Efficacité'!$A$6:$BT$268,47,0)</f>
        <v>0</v>
      </c>
      <c r="P10" s="149">
        <f>VLOOKUP($E10,'7. PGE_Efficacité'!$A$6:$BT$266,(MATCH('4.6 ACE MAX CAN '!P$4,'7. PGE_Efficacité'!$A$4:$BU$4,0)+31),0)</f>
        <v>0</v>
      </c>
      <c r="Q10" s="149">
        <f>VLOOKUP($E10,'7. PGE_Efficacité'!$A$6:$BT$266,(MATCH('4.6 ACE MAX CAN '!Q$4,'7. PGE_Efficacité'!$A$4:$BU$4,0)+31),0)</f>
        <v>0</v>
      </c>
      <c r="R10" s="149">
        <f>VLOOKUP($E10,'7. PGE_Efficacité'!$A$6:$BT$266,(MATCH('4.6 ACE MAX CAN '!R$4,'7. PGE_Efficacité'!$A$4:$BU$4,0)+31),0)</f>
        <v>0</v>
      </c>
      <c r="S10" s="149">
        <f>VLOOKUP($E10,'7. PGE_Efficacité'!$A$6:$BT$266,(MATCH('4.6 ACE MAX CAN '!S$4,'7. PGE_Efficacité'!$A$4:$BU$4,0)+31),0)</f>
        <v>0</v>
      </c>
      <c r="T10" s="149">
        <f>VLOOKUP($E10,'7. PGE_Efficacité'!$A$6:$BT$266,(MATCH('4.6 ACE MAX CAN '!T$4,'7. PGE_Efficacité'!$A$4:$BU$4,0)+31),0)</f>
        <v>0</v>
      </c>
      <c r="U10" s="149">
        <f>VLOOKUP($E10,'7. PGE_Efficacité'!$A$6:$BT$266,(MATCH('4.6 ACE MAX CAN '!U$4,'7. PGE_Efficacité'!$A$4:$BU$4,0)+31),0)</f>
        <v>0</v>
      </c>
      <c r="V10" s="149">
        <f>VLOOKUP($E10,'7. PGE_Efficacité'!$A$6:$BT$266,(MATCH('4.6 ACE MAX CAN '!V$4,'7. PGE_Efficacité'!$A$4:$BU$4,0)+31),0)</f>
        <v>0</v>
      </c>
      <c r="W10" s="149">
        <f>VLOOKUP($E10,'7. PGE_Efficacité'!$A$6:$BT$266,(MATCH('4.6 ACE MAX CAN '!W$4,'7. PGE_Efficacité'!$A$4:$BU$4,0)+31),0)</f>
        <v>0</v>
      </c>
      <c r="X10" s="149">
        <f>VLOOKUP($E10,'7. PGE_Efficacité'!$A$6:$BT$266,(MATCH('4.6 ACE MAX CAN '!X$4,'7. PGE_Efficacité'!$A$4:$BU$4,0)+31),0)</f>
        <v>0</v>
      </c>
      <c r="Y10" s="149">
        <f>VLOOKUP($E10,'7. PGE_Efficacité'!$A$6:$BT$266,(MATCH('4.6 ACE MAX CAN '!Y$4,'7. PGE_Efficacité'!$A$4:$BU$4,0)+31),0)</f>
        <v>0</v>
      </c>
      <c r="Z10" s="149">
        <f>VLOOKUP($E10,'7. PGE_Efficacité'!$A$6:$BT$266,(MATCH('4.6 ACE MAX CAN '!Z$4,'7. PGE_Efficacité'!$A$4:$BU$4,0)+31),0)</f>
        <v>0</v>
      </c>
      <c r="AA10" s="149">
        <f>VLOOKUP($E10,'7. PGE_Efficacité'!$A$6:$BT$266,(MATCH('4.6 ACE MAX CAN '!AA$4,'7. PGE_Efficacité'!$A$4:$BU$4,0)+31),0)</f>
        <v>0</v>
      </c>
      <c r="AB10" s="149">
        <f>VLOOKUP($E10,'7. PGE_Efficacité'!$A$6:$BT$266,(MATCH('4.6 ACE MAX CAN '!AB$4,'7. PGE_Efficacité'!$A$4:$BU$4,0)+31),0)</f>
        <v>0</v>
      </c>
      <c r="AC10" s="149">
        <f>VLOOKUP($E10,'7. PGE_Efficacité'!$A$6:$BT$266,(MATCH('4.6 ACE MAX CAN '!AC$4,'7. PGE_Efficacité'!$A$4:$BU$4,0)+31),0)</f>
        <v>0</v>
      </c>
      <c r="AD10" s="149">
        <f>VLOOKUP($E10,'7. PGE_Efficacité'!$A$6:$BT$266,(MATCH('4.6 ACE MAX CAN '!AD$4,'7. PGE_Efficacité'!$A$4:$BU$4,0)+31),0)</f>
        <v>0</v>
      </c>
      <c r="AE10" s="149">
        <f>VLOOKUP($E10,'7. PGE_Efficacité'!$A$6:$BT$266,(MATCH('4.6 ACE MAX CAN '!AE$4,'7. PGE_Efficacité'!$A$4:$BU$4,0)+31),0)</f>
        <v>0</v>
      </c>
      <c r="AF10" s="149">
        <f>VLOOKUP($E10,'7. PGE_Efficacité'!$A$6:$BT$266,(MATCH('4.6 ACE MAX CAN '!AF$4,'7. PGE_Efficacité'!$A$4:$BU$4,0)+31),0)</f>
        <v>0</v>
      </c>
      <c r="AG10" s="149">
        <f>VLOOKUP($E10,'7. PGE_Efficacité'!$A$6:$BT$266,(MATCH('4.6 ACE MAX CAN '!AG$4,'7. PGE_Efficacité'!$A$4:$BU$4,0)+31),0)</f>
        <v>0</v>
      </c>
      <c r="AH10" s="149">
        <f>VLOOKUP($E10,'7. PGE_Efficacité'!$A$6:$BT$266,(MATCH('4.6 ACE MAX CAN '!AH$4,'7. PGE_Efficacité'!$A$4:$BU$4,0)+31),0)</f>
        <v>0</v>
      </c>
      <c r="AI10" s="149">
        <f>VLOOKUP($E10,'7. PGE_Efficacité'!$A$6:$BT$266,(MATCH('4.6 ACE MAX CAN '!AI$4,'7. PGE_Efficacité'!$A$4:$BU$4,0)+31),0)</f>
        <v>0</v>
      </c>
      <c r="AJ10" s="149">
        <f>VLOOKUP($E10,'7. PGE_Efficacité'!$A$6:$BT$266,(MATCH('4.6 ACE MAX CAN '!AJ$4,'7. PGE_Efficacité'!$A$4:$BU$4,0)+31),0)</f>
        <v>0</v>
      </c>
      <c r="AK10" s="149">
        <f>VLOOKUP($E10,'7. PGE_Efficacité'!$A$6:$BT$266,(MATCH('4.6 ACE MAX CAN '!AK$4,'7. PGE_Efficacité'!$A$4:$BU$4,0)+31),0)</f>
        <v>0</v>
      </c>
      <c r="AL10" s="149">
        <f>VLOOKUP($E10,'7. PGE_Efficacité'!$A$6:$BT$266,(MATCH('4.6 ACE MAX CAN '!AL$4,'7. PGE_Efficacité'!$A$4:$BU$4,0)+31),0)</f>
        <v>0</v>
      </c>
      <c r="AM10" s="149">
        <f>VLOOKUP($E10,'7. PGE_Efficacité'!$A$6:$BT$266,(MATCH('4.6 ACE MAX CAN '!AM$4,'7. PGE_Efficacité'!$A$4:$BU$4,0)+31),0)</f>
        <v>0</v>
      </c>
      <c r="AN10" s="149">
        <f>VLOOKUP($E10,'7. PGE_Efficacité'!$A$6:$BT$266,(MATCH('4.6 ACE MAX CAN '!AN$4,'7. PGE_Efficacité'!$A$4:$BU$4,0)+31),0)</f>
        <v>0</v>
      </c>
    </row>
    <row r="11" spans="1:40" outlineLevel="2" x14ac:dyDescent="0.25">
      <c r="A11" t="s">
        <v>1524</v>
      </c>
      <c r="B11">
        <v>2</v>
      </c>
      <c r="C11" t="s">
        <v>1518</v>
      </c>
      <c r="D11" s="12" t="s">
        <v>1</v>
      </c>
      <c r="E11" s="12" t="s">
        <v>715</v>
      </c>
      <c r="F11" s="12" t="s">
        <v>1375</v>
      </c>
      <c r="G11" s="12" t="s">
        <v>1520</v>
      </c>
      <c r="H11" s="12" t="s">
        <v>414</v>
      </c>
      <c r="I11" s="148"/>
      <c r="J11" s="149">
        <f>VLOOKUP($E11,'7. PGE_Efficacité'!$A$6:$BT$266,(MATCH('4.6 ACE MAX CAN '!J$4,'7. PGE_Efficacité'!$A$4:$BU$4,0)+31),0)</f>
        <v>0</v>
      </c>
      <c r="K11" s="149">
        <f>VLOOKUP($E11,'7. PGE_Efficacité'!$A$6:$BT$266,(MATCH('4.6 ACE MAX CAN '!K$4,'7. PGE_Efficacité'!$A$4:$BU$4,0)+31),0)</f>
        <v>0</v>
      </c>
      <c r="L11" s="149">
        <f>VLOOKUP($E11,'7. PGE_Efficacité'!$A$6:$BT$266,(MATCH('4.6 ACE MAX CAN '!L$4,'7. PGE_Efficacité'!$A$4:$BU$4,0)+31),0)</f>
        <v>0</v>
      </c>
      <c r="M11" s="149">
        <f>VLOOKUP($E11,'7. PGE_Efficacité'!$A$6:$BT$266,(MATCH('4.6 ACE MAX CAN '!M$4,'7. PGE_Efficacité'!$A$4:$BU$4,0)+31),0)</f>
        <v>0</v>
      </c>
      <c r="N11" s="149">
        <f>VLOOKUP($E11,'7. PGE_Efficacité'!$A$6:$BT$266,(MATCH('4.6 ACE MAX CAN '!N$4,'7. PGE_Efficacité'!$A$4:$BU$4,0)+31),0)</f>
        <v>0</v>
      </c>
      <c r="O11" s="149">
        <f>VLOOKUP($D11,'7. PGE_Efficacité'!$A$6:$BT$268,47,0)</f>
        <v>0</v>
      </c>
      <c r="P11" s="149">
        <f>VLOOKUP($E11,'7. PGE_Efficacité'!$A$6:$BT$266,(MATCH('4.6 ACE MAX CAN '!P$4,'7. PGE_Efficacité'!$A$4:$BU$4,0)+31),0)</f>
        <v>0</v>
      </c>
      <c r="Q11" s="149">
        <f>VLOOKUP($E11,'7. PGE_Efficacité'!$A$6:$BT$266,(MATCH('4.6 ACE MAX CAN '!Q$4,'7. PGE_Efficacité'!$A$4:$BU$4,0)+31),0)</f>
        <v>0</v>
      </c>
      <c r="R11" s="149">
        <f>VLOOKUP($E11,'7. PGE_Efficacité'!$A$6:$BT$266,(MATCH('4.6 ACE MAX CAN '!R$4,'7. PGE_Efficacité'!$A$4:$BU$4,0)+31),0)</f>
        <v>0</v>
      </c>
      <c r="S11" s="149">
        <f>VLOOKUP($E11,'7. PGE_Efficacité'!$A$6:$BT$266,(MATCH('4.6 ACE MAX CAN '!S$4,'7. PGE_Efficacité'!$A$4:$BU$4,0)+31),0)</f>
        <v>0</v>
      </c>
      <c r="T11" s="149">
        <f>VLOOKUP($E11,'7. PGE_Efficacité'!$A$6:$BT$266,(MATCH('4.6 ACE MAX CAN '!T$4,'7. PGE_Efficacité'!$A$4:$BU$4,0)+31),0)</f>
        <v>0</v>
      </c>
      <c r="U11" s="149">
        <f>VLOOKUP($E11,'7. PGE_Efficacité'!$A$6:$BT$266,(MATCH('4.6 ACE MAX CAN '!U$4,'7. PGE_Efficacité'!$A$4:$BU$4,0)+31),0)</f>
        <v>0</v>
      </c>
      <c r="V11" s="149">
        <f>VLOOKUP($E11,'7. PGE_Efficacité'!$A$6:$BT$266,(MATCH('4.6 ACE MAX CAN '!V$4,'7. PGE_Efficacité'!$A$4:$BU$4,0)+31),0)</f>
        <v>0</v>
      </c>
      <c r="W11" s="149">
        <f>VLOOKUP($E11,'7. PGE_Efficacité'!$A$6:$BT$266,(MATCH('4.6 ACE MAX CAN '!W$4,'7. PGE_Efficacité'!$A$4:$BU$4,0)+31),0)</f>
        <v>0</v>
      </c>
      <c r="X11" s="149">
        <f>VLOOKUP($E11,'7. PGE_Efficacité'!$A$6:$BT$266,(MATCH('4.6 ACE MAX CAN '!X$4,'7. PGE_Efficacité'!$A$4:$BU$4,0)+31),0)</f>
        <v>0</v>
      </c>
      <c r="Y11" s="149">
        <f>VLOOKUP($E11,'7. PGE_Efficacité'!$A$6:$BT$266,(MATCH('4.6 ACE MAX CAN '!Y$4,'7. PGE_Efficacité'!$A$4:$BU$4,0)+31),0)</f>
        <v>0</v>
      </c>
      <c r="Z11" s="149">
        <f>VLOOKUP($E11,'7. PGE_Efficacité'!$A$6:$BT$266,(MATCH('4.6 ACE MAX CAN '!Z$4,'7. PGE_Efficacité'!$A$4:$BU$4,0)+31),0)</f>
        <v>0</v>
      </c>
      <c r="AA11" s="149">
        <f>VLOOKUP($E11,'7. PGE_Efficacité'!$A$6:$BT$266,(MATCH('4.6 ACE MAX CAN '!AA$4,'7. PGE_Efficacité'!$A$4:$BU$4,0)+31),0)</f>
        <v>0</v>
      </c>
      <c r="AB11" s="149">
        <f>VLOOKUP($E11,'7. PGE_Efficacité'!$A$6:$BT$266,(MATCH('4.6 ACE MAX CAN '!AB$4,'7. PGE_Efficacité'!$A$4:$BU$4,0)+31),0)</f>
        <v>0</v>
      </c>
      <c r="AC11" s="149">
        <f>VLOOKUP($E11,'7. PGE_Efficacité'!$A$6:$BT$266,(MATCH('4.6 ACE MAX CAN '!AC$4,'7. PGE_Efficacité'!$A$4:$BU$4,0)+31),0)</f>
        <v>0</v>
      </c>
      <c r="AD11" s="149">
        <f>VLOOKUP($E11,'7. PGE_Efficacité'!$A$6:$BT$266,(MATCH('4.6 ACE MAX CAN '!AD$4,'7. PGE_Efficacité'!$A$4:$BU$4,0)+31),0)</f>
        <v>0</v>
      </c>
      <c r="AE11" s="149">
        <f>VLOOKUP($E11,'7. PGE_Efficacité'!$A$6:$BT$266,(MATCH('4.6 ACE MAX CAN '!AE$4,'7. PGE_Efficacité'!$A$4:$BU$4,0)+31),0)</f>
        <v>0</v>
      </c>
      <c r="AF11" s="149">
        <f>VLOOKUP($E11,'7. PGE_Efficacité'!$A$6:$BT$266,(MATCH('4.6 ACE MAX CAN '!AF$4,'7. PGE_Efficacité'!$A$4:$BU$4,0)+31),0)</f>
        <v>0</v>
      </c>
      <c r="AG11" s="149">
        <f>VLOOKUP($E11,'7. PGE_Efficacité'!$A$6:$BT$266,(MATCH('4.6 ACE MAX CAN '!AG$4,'7. PGE_Efficacité'!$A$4:$BU$4,0)+31),0)</f>
        <v>0</v>
      </c>
      <c r="AH11" s="149">
        <f>VLOOKUP($E11,'7. PGE_Efficacité'!$A$6:$BT$266,(MATCH('4.6 ACE MAX CAN '!AH$4,'7. PGE_Efficacité'!$A$4:$BU$4,0)+31),0)</f>
        <v>0</v>
      </c>
      <c r="AI11" s="149">
        <f>VLOOKUP($E11,'7. PGE_Efficacité'!$A$6:$BT$266,(MATCH('4.6 ACE MAX CAN '!AI$4,'7. PGE_Efficacité'!$A$4:$BU$4,0)+31),0)</f>
        <v>0</v>
      </c>
      <c r="AJ11" s="149">
        <f>VLOOKUP($E11,'7. PGE_Efficacité'!$A$6:$BT$266,(MATCH('4.6 ACE MAX CAN '!AJ$4,'7. PGE_Efficacité'!$A$4:$BU$4,0)+31),0)</f>
        <v>0</v>
      </c>
      <c r="AK11" s="149">
        <f>VLOOKUP($E11,'7. PGE_Efficacité'!$A$6:$BT$266,(MATCH('4.6 ACE MAX CAN '!AK$4,'7. PGE_Efficacité'!$A$4:$BU$4,0)+31),0)</f>
        <v>0</v>
      </c>
      <c r="AL11" s="149">
        <f>VLOOKUP($E11,'7. PGE_Efficacité'!$A$6:$BT$266,(MATCH('4.6 ACE MAX CAN '!AL$4,'7. PGE_Efficacité'!$A$4:$BU$4,0)+31),0)</f>
        <v>0</v>
      </c>
      <c r="AM11" s="149">
        <f>VLOOKUP($E11,'7. PGE_Efficacité'!$A$6:$BT$266,(MATCH('4.6 ACE MAX CAN '!AM$4,'7. PGE_Efficacité'!$A$4:$BU$4,0)+31),0)</f>
        <v>0</v>
      </c>
      <c r="AN11" s="149">
        <f>VLOOKUP($E11,'7. PGE_Efficacité'!$A$6:$BT$266,(MATCH('4.6 ACE MAX CAN '!AN$4,'7. PGE_Efficacité'!$A$4:$BU$4,0)+31),0)</f>
        <v>0</v>
      </c>
    </row>
    <row r="12" spans="1:40" outlineLevel="2" x14ac:dyDescent="0.25">
      <c r="A12" t="s">
        <v>1524</v>
      </c>
      <c r="B12">
        <v>2</v>
      </c>
      <c r="C12" t="s">
        <v>1512</v>
      </c>
      <c r="D12" s="12" t="s">
        <v>1</v>
      </c>
      <c r="E12" s="12" t="s">
        <v>716</v>
      </c>
      <c r="F12" s="12" t="s">
        <v>1376</v>
      </c>
      <c r="G12" s="12" t="s">
        <v>1520</v>
      </c>
      <c r="H12" s="12" t="s">
        <v>414</v>
      </c>
      <c r="I12" s="148"/>
      <c r="J12" s="149">
        <f>VLOOKUP($E12,'7. PGE_Efficacité'!$A$6:$BT$266,(MATCH('4.6 ACE MAX CAN '!J$4,'7. PGE_Efficacité'!$A$4:$BU$4,0)+31),0)</f>
        <v>0</v>
      </c>
      <c r="K12" s="149">
        <f>VLOOKUP($E12,'7. PGE_Efficacité'!$A$6:$BT$266,(MATCH('4.6 ACE MAX CAN '!K$4,'7. PGE_Efficacité'!$A$4:$BU$4,0)+31),0)</f>
        <v>0</v>
      </c>
      <c r="L12" s="149">
        <f>VLOOKUP($E12,'7. PGE_Efficacité'!$A$6:$BT$266,(MATCH('4.6 ACE MAX CAN '!L$4,'7. PGE_Efficacité'!$A$4:$BU$4,0)+31),0)</f>
        <v>0</v>
      </c>
      <c r="M12" s="149">
        <f>VLOOKUP($E12,'7. PGE_Efficacité'!$A$6:$BT$266,(MATCH('4.6 ACE MAX CAN '!M$4,'7. PGE_Efficacité'!$A$4:$BU$4,0)+31),0)</f>
        <v>0</v>
      </c>
      <c r="N12" s="149">
        <f>VLOOKUP($E12,'7. PGE_Efficacité'!$A$6:$BT$266,(MATCH('4.6 ACE MAX CAN '!N$4,'7. PGE_Efficacité'!$A$4:$BU$4,0)+31),0)</f>
        <v>0</v>
      </c>
      <c r="O12" s="149">
        <f>VLOOKUP($D12,'7. PGE_Efficacité'!$A$6:$BT$268,47,0)</f>
        <v>0</v>
      </c>
      <c r="P12" s="149">
        <f>VLOOKUP($E12,'7. PGE_Efficacité'!$A$6:$BT$266,(MATCH('4.6 ACE MAX CAN '!P$4,'7. PGE_Efficacité'!$A$4:$BU$4,0)+31),0)</f>
        <v>0</v>
      </c>
      <c r="Q12" s="149">
        <f>VLOOKUP($E12,'7. PGE_Efficacité'!$A$6:$BT$266,(MATCH('4.6 ACE MAX CAN '!Q$4,'7. PGE_Efficacité'!$A$4:$BU$4,0)+31),0)</f>
        <v>0</v>
      </c>
      <c r="R12" s="149">
        <f>VLOOKUP($E12,'7. PGE_Efficacité'!$A$6:$BT$266,(MATCH('4.6 ACE MAX CAN '!R$4,'7. PGE_Efficacité'!$A$4:$BU$4,0)+31),0)</f>
        <v>0</v>
      </c>
      <c r="S12" s="149">
        <f>VLOOKUP($E12,'7. PGE_Efficacité'!$A$6:$BT$266,(MATCH('4.6 ACE MAX CAN '!S$4,'7. PGE_Efficacité'!$A$4:$BU$4,0)+31),0)</f>
        <v>0</v>
      </c>
      <c r="T12" s="149">
        <f>VLOOKUP($E12,'7. PGE_Efficacité'!$A$6:$BT$266,(MATCH('4.6 ACE MAX CAN '!T$4,'7. PGE_Efficacité'!$A$4:$BU$4,0)+31),0)</f>
        <v>0</v>
      </c>
      <c r="U12" s="149">
        <f>VLOOKUP($E12,'7. PGE_Efficacité'!$A$6:$BT$266,(MATCH('4.6 ACE MAX CAN '!U$4,'7. PGE_Efficacité'!$A$4:$BU$4,0)+31),0)</f>
        <v>0</v>
      </c>
      <c r="V12" s="149">
        <f>VLOOKUP($E12,'7. PGE_Efficacité'!$A$6:$BT$266,(MATCH('4.6 ACE MAX CAN '!V$4,'7. PGE_Efficacité'!$A$4:$BU$4,0)+31),0)</f>
        <v>0</v>
      </c>
      <c r="W12" s="149">
        <f>VLOOKUP($E12,'7. PGE_Efficacité'!$A$6:$BT$266,(MATCH('4.6 ACE MAX CAN '!W$4,'7. PGE_Efficacité'!$A$4:$BU$4,0)+31),0)</f>
        <v>0</v>
      </c>
      <c r="X12" s="149">
        <f>VLOOKUP($E12,'7. PGE_Efficacité'!$A$6:$BT$266,(MATCH('4.6 ACE MAX CAN '!X$4,'7. PGE_Efficacité'!$A$4:$BU$4,0)+31),0)</f>
        <v>0</v>
      </c>
      <c r="Y12" s="149">
        <f>VLOOKUP($E12,'7. PGE_Efficacité'!$A$6:$BT$266,(MATCH('4.6 ACE MAX CAN '!Y$4,'7. PGE_Efficacité'!$A$4:$BU$4,0)+31),0)</f>
        <v>0</v>
      </c>
      <c r="Z12" s="149">
        <f>VLOOKUP($E12,'7. PGE_Efficacité'!$A$6:$BT$266,(MATCH('4.6 ACE MAX CAN '!Z$4,'7. PGE_Efficacité'!$A$4:$BU$4,0)+31),0)</f>
        <v>0</v>
      </c>
      <c r="AA12" s="149">
        <f>VLOOKUP($E12,'7. PGE_Efficacité'!$A$6:$BT$266,(MATCH('4.6 ACE MAX CAN '!AA$4,'7. PGE_Efficacité'!$A$4:$BU$4,0)+31),0)</f>
        <v>0</v>
      </c>
      <c r="AB12" s="149">
        <f>VLOOKUP($E12,'7. PGE_Efficacité'!$A$6:$BT$266,(MATCH('4.6 ACE MAX CAN '!AB$4,'7. PGE_Efficacité'!$A$4:$BU$4,0)+31),0)</f>
        <v>0</v>
      </c>
      <c r="AC12" s="149">
        <f>VLOOKUP($E12,'7. PGE_Efficacité'!$A$6:$BT$266,(MATCH('4.6 ACE MAX CAN '!AC$4,'7. PGE_Efficacité'!$A$4:$BU$4,0)+31),0)</f>
        <v>0</v>
      </c>
      <c r="AD12" s="149">
        <f>VLOOKUP($E12,'7. PGE_Efficacité'!$A$6:$BT$266,(MATCH('4.6 ACE MAX CAN '!AD$4,'7. PGE_Efficacité'!$A$4:$BU$4,0)+31),0)</f>
        <v>0</v>
      </c>
      <c r="AE12" s="149">
        <f>VLOOKUP($E12,'7. PGE_Efficacité'!$A$6:$BT$266,(MATCH('4.6 ACE MAX CAN '!AE$4,'7. PGE_Efficacité'!$A$4:$BU$4,0)+31),0)</f>
        <v>0</v>
      </c>
      <c r="AF12" s="149">
        <f>VLOOKUP($E12,'7. PGE_Efficacité'!$A$6:$BT$266,(MATCH('4.6 ACE MAX CAN '!AF$4,'7. PGE_Efficacité'!$A$4:$BU$4,0)+31),0)</f>
        <v>0</v>
      </c>
      <c r="AG12" s="149" t="str">
        <f>VLOOKUP($E12,'7. PGE_Efficacité'!$A$6:$BT$266,(MATCH('4.6 ACE MAX CAN '!AG$4,'7. PGE_Efficacité'!$A$4:$BU$4,0)+31),0)</f>
        <v>++</v>
      </c>
      <c r="AH12" s="149" t="str">
        <f>VLOOKUP($E12,'7. PGE_Efficacité'!$A$6:$BT$266,(MATCH('4.6 ACE MAX CAN '!AH$4,'7. PGE_Efficacité'!$A$4:$BU$4,0)+31),0)</f>
        <v>++</v>
      </c>
      <c r="AI12" s="149" t="str">
        <f>VLOOKUP($E12,'7. PGE_Efficacité'!$A$6:$BT$266,(MATCH('4.6 ACE MAX CAN '!AI$4,'7. PGE_Efficacité'!$A$4:$BU$4,0)+31),0)</f>
        <v>++</v>
      </c>
      <c r="AJ12" s="149">
        <f>VLOOKUP($E12,'7. PGE_Efficacité'!$A$6:$BT$266,(MATCH('4.6 ACE MAX CAN '!AJ$4,'7. PGE_Efficacité'!$A$4:$BU$4,0)+31),0)</f>
        <v>0</v>
      </c>
      <c r="AK12" s="149">
        <f>VLOOKUP($E12,'7. PGE_Efficacité'!$A$6:$BT$266,(MATCH('4.6 ACE MAX CAN '!AK$4,'7. PGE_Efficacité'!$A$4:$BU$4,0)+31),0)</f>
        <v>0</v>
      </c>
      <c r="AL12" s="149">
        <f>VLOOKUP($E12,'7. PGE_Efficacité'!$A$6:$BT$266,(MATCH('4.6 ACE MAX CAN '!AL$4,'7. PGE_Efficacité'!$A$4:$BU$4,0)+31),0)</f>
        <v>0</v>
      </c>
      <c r="AM12" s="149">
        <f>VLOOKUP($E12,'7. PGE_Efficacité'!$A$6:$BT$266,(MATCH('4.6 ACE MAX CAN '!AM$4,'7. PGE_Efficacité'!$A$4:$BU$4,0)+31),0)</f>
        <v>0</v>
      </c>
      <c r="AN12" s="149">
        <f>VLOOKUP($E12,'7. PGE_Efficacité'!$A$6:$BT$266,(MATCH('4.6 ACE MAX CAN '!AN$4,'7. PGE_Efficacité'!$A$4:$BU$4,0)+31),0)</f>
        <v>0</v>
      </c>
    </row>
    <row r="13" spans="1:40" outlineLevel="2" x14ac:dyDescent="0.25">
      <c r="A13" t="s">
        <v>1524</v>
      </c>
      <c r="B13">
        <v>2</v>
      </c>
      <c r="C13" t="s">
        <v>1513</v>
      </c>
      <c r="D13" s="12" t="s">
        <v>1</v>
      </c>
      <c r="E13" s="12" t="s">
        <v>717</v>
      </c>
      <c r="F13" s="12" t="s">
        <v>1377</v>
      </c>
      <c r="G13" s="12" t="s">
        <v>1520</v>
      </c>
      <c r="H13" s="12" t="s">
        <v>414</v>
      </c>
      <c r="I13" s="148"/>
      <c r="J13" s="149">
        <f>VLOOKUP($E13,'7. PGE_Efficacité'!$A$6:$BT$266,(MATCH('4.6 ACE MAX CAN '!J$4,'7. PGE_Efficacité'!$A$4:$BU$4,0)+31),0)</f>
        <v>0</v>
      </c>
      <c r="K13" s="149">
        <f>VLOOKUP($E13,'7. PGE_Efficacité'!$A$6:$BT$266,(MATCH('4.6 ACE MAX CAN '!K$4,'7. PGE_Efficacité'!$A$4:$BU$4,0)+31),0)</f>
        <v>0</v>
      </c>
      <c r="L13" s="149">
        <f>VLOOKUP($E13,'7. PGE_Efficacité'!$A$6:$BT$266,(MATCH('4.6 ACE MAX CAN '!L$4,'7. PGE_Efficacité'!$A$4:$BU$4,0)+31),0)</f>
        <v>0</v>
      </c>
      <c r="M13" s="149">
        <f>VLOOKUP($E13,'7. PGE_Efficacité'!$A$6:$BT$266,(MATCH('4.6 ACE MAX CAN '!M$4,'7. PGE_Efficacité'!$A$4:$BU$4,0)+31),0)</f>
        <v>0</v>
      </c>
      <c r="N13" s="149">
        <f>VLOOKUP($E13,'7. PGE_Efficacité'!$A$6:$BT$266,(MATCH('4.6 ACE MAX CAN '!N$4,'7. PGE_Efficacité'!$A$4:$BU$4,0)+31),0)</f>
        <v>0</v>
      </c>
      <c r="O13" s="149">
        <f>VLOOKUP($D13,'7. PGE_Efficacité'!$A$6:$BT$268,47,0)</f>
        <v>0</v>
      </c>
      <c r="P13" s="149">
        <f>VLOOKUP($E13,'7. PGE_Efficacité'!$A$6:$BT$266,(MATCH('4.6 ACE MAX CAN '!P$4,'7. PGE_Efficacité'!$A$4:$BU$4,0)+31),0)</f>
        <v>0</v>
      </c>
      <c r="Q13" s="149">
        <f>VLOOKUP($E13,'7. PGE_Efficacité'!$A$6:$BT$266,(MATCH('4.6 ACE MAX CAN '!Q$4,'7. PGE_Efficacité'!$A$4:$BU$4,0)+31),0)</f>
        <v>0</v>
      </c>
      <c r="R13" s="149">
        <f>VLOOKUP($E13,'7. PGE_Efficacité'!$A$6:$BT$266,(MATCH('4.6 ACE MAX CAN '!R$4,'7. PGE_Efficacité'!$A$4:$BU$4,0)+31),0)</f>
        <v>0</v>
      </c>
      <c r="S13" s="149">
        <f>VLOOKUP($E13,'7. PGE_Efficacité'!$A$6:$BT$266,(MATCH('4.6 ACE MAX CAN '!S$4,'7. PGE_Efficacité'!$A$4:$BU$4,0)+31),0)</f>
        <v>0</v>
      </c>
      <c r="T13" s="149">
        <f>VLOOKUP($E13,'7. PGE_Efficacité'!$A$6:$BT$266,(MATCH('4.6 ACE MAX CAN '!T$4,'7. PGE_Efficacité'!$A$4:$BU$4,0)+31),0)</f>
        <v>0</v>
      </c>
      <c r="U13" s="149">
        <f>VLOOKUP($E13,'7. PGE_Efficacité'!$A$6:$BT$266,(MATCH('4.6 ACE MAX CAN '!U$4,'7. PGE_Efficacité'!$A$4:$BU$4,0)+31),0)</f>
        <v>0</v>
      </c>
      <c r="V13" s="149">
        <f>VLOOKUP($E13,'7. PGE_Efficacité'!$A$6:$BT$266,(MATCH('4.6 ACE MAX CAN '!V$4,'7. PGE_Efficacité'!$A$4:$BU$4,0)+31),0)</f>
        <v>0</v>
      </c>
      <c r="W13" s="149">
        <f>VLOOKUP($E13,'7. PGE_Efficacité'!$A$6:$BT$266,(MATCH('4.6 ACE MAX CAN '!W$4,'7. PGE_Efficacité'!$A$4:$BU$4,0)+31),0)</f>
        <v>0</v>
      </c>
      <c r="X13" s="149">
        <f>VLOOKUP($E13,'7. PGE_Efficacité'!$A$6:$BT$266,(MATCH('4.6 ACE MAX CAN '!X$4,'7. PGE_Efficacité'!$A$4:$BU$4,0)+31),0)</f>
        <v>0</v>
      </c>
      <c r="Y13" s="149">
        <f>VLOOKUP($E13,'7. PGE_Efficacité'!$A$6:$BT$266,(MATCH('4.6 ACE MAX CAN '!Y$4,'7. PGE_Efficacité'!$A$4:$BU$4,0)+31),0)</f>
        <v>0</v>
      </c>
      <c r="Z13" s="149">
        <f>VLOOKUP($E13,'7. PGE_Efficacité'!$A$6:$BT$266,(MATCH('4.6 ACE MAX CAN '!Z$4,'7. PGE_Efficacité'!$A$4:$BU$4,0)+31),0)</f>
        <v>0</v>
      </c>
      <c r="AA13" s="149">
        <f>VLOOKUP($E13,'7. PGE_Efficacité'!$A$6:$BT$266,(MATCH('4.6 ACE MAX CAN '!AA$4,'7. PGE_Efficacité'!$A$4:$BU$4,0)+31),0)</f>
        <v>0</v>
      </c>
      <c r="AB13" s="149">
        <f>VLOOKUP($E13,'7. PGE_Efficacité'!$A$6:$BT$266,(MATCH('4.6 ACE MAX CAN '!AB$4,'7. PGE_Efficacité'!$A$4:$BU$4,0)+31),0)</f>
        <v>0</v>
      </c>
      <c r="AC13" s="149">
        <f>VLOOKUP($E13,'7. PGE_Efficacité'!$A$6:$BT$266,(MATCH('4.6 ACE MAX CAN '!AC$4,'7. PGE_Efficacité'!$A$4:$BU$4,0)+31),0)</f>
        <v>0</v>
      </c>
      <c r="AD13" s="149">
        <f>VLOOKUP($E13,'7. PGE_Efficacité'!$A$6:$BT$266,(MATCH('4.6 ACE MAX CAN '!AD$4,'7. PGE_Efficacité'!$A$4:$BU$4,0)+31),0)</f>
        <v>0</v>
      </c>
      <c r="AE13" s="149">
        <f>VLOOKUP($E13,'7. PGE_Efficacité'!$A$6:$BT$266,(MATCH('4.6 ACE MAX CAN '!AE$4,'7. PGE_Efficacité'!$A$4:$BU$4,0)+31),0)</f>
        <v>0</v>
      </c>
      <c r="AF13" s="149">
        <f>VLOOKUP($E13,'7. PGE_Efficacité'!$A$6:$BT$266,(MATCH('4.6 ACE MAX CAN '!AF$4,'7. PGE_Efficacité'!$A$4:$BU$4,0)+31),0)</f>
        <v>0</v>
      </c>
      <c r="AG13" s="149" t="str">
        <f>VLOOKUP($E13,'7. PGE_Efficacité'!$A$6:$BT$266,(MATCH('4.6 ACE MAX CAN '!AG$4,'7. PGE_Efficacité'!$A$4:$BU$4,0)+31),0)</f>
        <v>+++</v>
      </c>
      <c r="AH13" s="149" t="str">
        <f>VLOOKUP($E13,'7. PGE_Efficacité'!$A$6:$BT$266,(MATCH('4.6 ACE MAX CAN '!AH$4,'7. PGE_Efficacité'!$A$4:$BU$4,0)+31),0)</f>
        <v>+++</v>
      </c>
      <c r="AI13" s="149" t="str">
        <f>VLOOKUP($E13,'7. PGE_Efficacité'!$A$6:$BT$266,(MATCH('4.6 ACE MAX CAN '!AI$4,'7. PGE_Efficacité'!$A$4:$BU$4,0)+31),0)</f>
        <v>+++</v>
      </c>
      <c r="AJ13" s="149">
        <f>VLOOKUP($E13,'7. PGE_Efficacité'!$A$6:$BT$266,(MATCH('4.6 ACE MAX CAN '!AJ$4,'7. PGE_Efficacité'!$A$4:$BU$4,0)+31),0)</f>
        <v>0</v>
      </c>
      <c r="AK13" s="149">
        <f>VLOOKUP($E13,'7. PGE_Efficacité'!$A$6:$BT$266,(MATCH('4.6 ACE MAX CAN '!AK$4,'7. PGE_Efficacité'!$A$4:$BU$4,0)+31),0)</f>
        <v>0</v>
      </c>
      <c r="AL13" s="149">
        <f>VLOOKUP($E13,'7. PGE_Efficacité'!$A$6:$BT$266,(MATCH('4.6 ACE MAX CAN '!AL$4,'7. PGE_Efficacité'!$A$4:$BU$4,0)+31),0)</f>
        <v>0</v>
      </c>
      <c r="AM13" s="149">
        <f>VLOOKUP($E13,'7. PGE_Efficacité'!$A$6:$BT$266,(MATCH('4.6 ACE MAX CAN '!AM$4,'7. PGE_Efficacité'!$A$4:$BU$4,0)+31),0)</f>
        <v>0</v>
      </c>
      <c r="AN13" s="149">
        <f>VLOOKUP($E13,'7. PGE_Efficacité'!$A$6:$BT$266,(MATCH('4.6 ACE MAX CAN '!AN$4,'7. PGE_Efficacité'!$A$4:$BU$4,0)+31),0)</f>
        <v>0</v>
      </c>
    </row>
    <row r="14" spans="1:40" outlineLevel="1" x14ac:dyDescent="0.25">
      <c r="D14" s="360" t="s">
        <v>2</v>
      </c>
      <c r="E14" s="360"/>
      <c r="F14" s="361" t="str">
        <f>VLOOKUP(D14,'1. Mesures'!$A$2:$B$116,2,0)</f>
        <v>Supprimer les obstacles à la libre circulation des poissons</v>
      </c>
      <c r="G14" s="360"/>
      <c r="H14" s="360"/>
      <c r="I14" s="362">
        <f>MEDIAN(VLOOKUP(D14,'4. Mesures_ACE_Budget'!$A$3:$R$32,17,0),VLOOKUP(D14,'4. Mesures_ACE_Budget'!$A$3:$R$32,18,0))</f>
        <v>0</v>
      </c>
      <c r="J14" s="212">
        <f>VLOOKUP($D14,'7. PGE_Efficacité'!$A$6:$BT$266,(MATCH('4.6 ACE MAX CAN '!J$4,'7. PGE_Efficacité'!$A$4:$AO$4,0)+31),0)</f>
        <v>0</v>
      </c>
      <c r="K14" s="212">
        <f>VLOOKUP($D14,'7. PGE_Efficacité'!$A$6:$BT$266,(MATCH('4.6 ACE MAX CAN '!K$4,'7. PGE_Efficacité'!$A$4:$AO$4,0)+31),0)</f>
        <v>0</v>
      </c>
      <c r="L14" s="212">
        <f>VLOOKUP($D14,'7. PGE_Efficacité'!$A$6:$BT$266,(MATCH('4.6 ACE MAX CAN '!L$4,'7. PGE_Efficacité'!$A$4:$AO$4,0)+31),0)</f>
        <v>0</v>
      </c>
      <c r="M14" s="212">
        <f>VLOOKUP($D14,'7. PGE_Efficacité'!$A$6:$BT$266,(MATCH('4.6 ACE MAX CAN '!M$4,'7. PGE_Efficacité'!$A$4:$AO$4,0)+31),0)</f>
        <v>0</v>
      </c>
      <c r="N14" s="212">
        <f>VLOOKUP($D14,'7. PGE_Efficacité'!$A$6:$BT$266,(MATCH('4.6 ACE MAX CAN '!N$4,'7. PGE_Efficacité'!$A$4:$AO$4,0)+31),0)</f>
        <v>0</v>
      </c>
      <c r="O14" s="212">
        <f>VLOOKUP($D14,'7. PGE_Efficacité'!$A$6:$BT$268,47,0)</f>
        <v>0</v>
      </c>
      <c r="P14" s="212">
        <f>VLOOKUP($D14,'7. PGE_Efficacité'!$A$6:$BT$266,(MATCH('4.6 ACE MAX CAN '!P$4,'7. PGE_Efficacité'!$A$4:$AO$4,0)+31),0)</f>
        <v>0</v>
      </c>
      <c r="Q14" s="212">
        <f>VLOOKUP($D14,'7. PGE_Efficacité'!$A$6:$BT$266,(MATCH('4.6 ACE MAX CAN '!Q$4,'7. PGE_Efficacité'!$A$4:$AO$4,0)+31),0)</f>
        <v>0</v>
      </c>
      <c r="R14" s="212">
        <f>VLOOKUP($D14,'7. PGE_Efficacité'!$A$6:$BT$266,(MATCH('4.6 ACE MAX CAN '!R$4,'7. PGE_Efficacité'!$A$4:$AO$4,0)+31),0)</f>
        <v>0</v>
      </c>
      <c r="S14" s="212">
        <f>VLOOKUP($D14,'7. PGE_Efficacité'!$A$6:$BT$266,(MATCH('4.6 ACE MAX CAN '!S$4,'7. PGE_Efficacité'!$A$4:$AO$4,0)+31),0)</f>
        <v>0</v>
      </c>
      <c r="T14" s="212">
        <f>VLOOKUP($D14,'7. PGE_Efficacité'!$A$6:$BT$266,(MATCH('4.6 ACE MAX CAN '!T$4,'7. PGE_Efficacité'!$A$4:$AO$4,0)+31),0)</f>
        <v>0</v>
      </c>
      <c r="U14" s="212">
        <f>VLOOKUP($D14,'7. PGE_Efficacité'!$A$6:$BT$266,(MATCH('4.6 ACE MAX CAN '!U$4,'7. PGE_Efficacité'!$A$4:$AO$4,0)+31),0)</f>
        <v>0</v>
      </c>
      <c r="V14" s="212">
        <f>VLOOKUP($D14,'7. PGE_Efficacité'!$A$6:$BT$266,(MATCH('4.6 ACE MAX CAN '!V$4,'7. PGE_Efficacité'!$A$4:$AO$4,0)+31),0)</f>
        <v>0</v>
      </c>
      <c r="W14" s="212">
        <f>VLOOKUP($D14,'7. PGE_Efficacité'!$A$6:$BT$266,(MATCH('4.6 ACE MAX CAN '!W$4,'7. PGE_Efficacité'!$A$4:$AO$4,0)+31),0)</f>
        <v>0</v>
      </c>
      <c r="X14" s="212">
        <f>VLOOKUP($D14,'7. PGE_Efficacité'!$A$6:$BT$266,(MATCH('4.6 ACE MAX CAN '!X$4,'7. PGE_Efficacité'!$A$4:$AO$4,0)+31),0)</f>
        <v>0</v>
      </c>
      <c r="Y14" s="212">
        <f>VLOOKUP($D14,'7. PGE_Efficacité'!$A$6:$BT$266,(MATCH('4.6 ACE MAX CAN '!Y$4,'7. PGE_Efficacité'!$A$4:$AO$4,0)+31),0)</f>
        <v>0</v>
      </c>
      <c r="Z14" s="212">
        <f>VLOOKUP($D14,'7. PGE_Efficacité'!$A$6:$BT$266,(MATCH('4.6 ACE MAX CAN '!Z$4,'7. PGE_Efficacité'!$A$4:$AO$4,0)+31),0)</f>
        <v>0</v>
      </c>
      <c r="AA14" s="212">
        <f>VLOOKUP($D14,'7. PGE_Efficacité'!$A$6:$BT$266,(MATCH('4.6 ACE MAX CAN '!AA$4,'7. PGE_Efficacité'!$A$4:$AO$4,0)+31),0)</f>
        <v>0</v>
      </c>
      <c r="AB14" s="212">
        <f>VLOOKUP($D14,'7. PGE_Efficacité'!$A$6:$BT$266,(MATCH('4.6 ACE MAX CAN '!AB$4,'7. PGE_Efficacité'!$A$4:$AO$4,0)+31),0)</f>
        <v>0</v>
      </c>
      <c r="AC14" s="212">
        <f>VLOOKUP($D14,'7. PGE_Efficacité'!$A$6:$BT$266,(MATCH('4.6 ACE MAX CAN '!AC$4,'7. PGE_Efficacité'!$A$4:$AO$4,0)+31),0)</f>
        <v>0</v>
      </c>
      <c r="AD14" s="212">
        <f>VLOOKUP($D14,'7. PGE_Efficacité'!$A$6:$BT$266,(MATCH('4.6 ACE MAX CAN '!AD$4,'7. PGE_Efficacité'!$A$4:$AO$4,0)+31),0)</f>
        <v>0</v>
      </c>
      <c r="AE14" s="212">
        <f>VLOOKUP($D14,'7. PGE_Efficacité'!$A$6:$BT$266,(MATCH('4.6 ACE MAX CAN '!AE$4,'7. PGE_Efficacité'!$A$4:$AO$4,0)+31),0)</f>
        <v>0</v>
      </c>
      <c r="AF14" s="212">
        <f>VLOOKUP($D14,'7. PGE_Efficacité'!$A$6:$BT$266,(MATCH('4.6 ACE MAX CAN '!AF$4,'7. PGE_Efficacité'!$A$4:$AO$4,0)+31),0)</f>
        <v>0</v>
      </c>
      <c r="AG14" s="212">
        <f>VLOOKUP($D14,'7. PGE_Efficacité'!$A$6:$BT$266,(MATCH('4.6 ACE MAX CAN '!AG$4,'7. PGE_Efficacité'!$A$4:$AO$4,0)+31),0)</f>
        <v>0</v>
      </c>
      <c r="AH14" s="212">
        <f>VLOOKUP($D14,'7. PGE_Efficacité'!$A$6:$BT$266,(MATCH('4.6 ACE MAX CAN '!AH$4,'7. PGE_Efficacité'!$A$4:$AO$4,0)+31),0)</f>
        <v>0</v>
      </c>
      <c r="AI14" s="212">
        <f>VLOOKUP($D14,'7. PGE_Efficacité'!$A$6:$BT$266,(MATCH('4.6 ACE MAX CAN '!AI$4,'7. PGE_Efficacité'!$A$4:$AO$4,0)+31),0)</f>
        <v>0</v>
      </c>
      <c r="AJ14" s="212">
        <f>VLOOKUP($D14,'7. PGE_Efficacité'!$A$6:$BT$266,(MATCH('4.6 ACE MAX CAN '!AJ$4,'7. PGE_Efficacité'!$A$4:$AO$4,0)+31),0)</f>
        <v>0</v>
      </c>
      <c r="AK14" s="212">
        <f>VLOOKUP($D14,'7. PGE_Efficacité'!$A$6:$BT$266,(MATCH('4.6 ACE MAX CAN '!AK$4,'7. PGE_Efficacité'!$A$4:$AO$4,0)+31),0)</f>
        <v>0</v>
      </c>
      <c r="AL14" s="212">
        <f>VLOOKUP($D14,'7. PGE_Efficacité'!$A$6:$BT$266,(MATCH('4.6 ACE MAX CAN '!AL$4,'7. PGE_Efficacité'!$A$4:$AO$4,0)+31),0)</f>
        <v>0</v>
      </c>
      <c r="AM14" s="212">
        <f>VLOOKUP($D14,'7. PGE_Efficacité'!$A$6:$BT$266,(MATCH('4.6 ACE MAX CAN '!AM$4,'7. PGE_Efficacité'!$A$4:$AO$4,0)+31),0)</f>
        <v>0</v>
      </c>
      <c r="AN14" s="212">
        <f>VLOOKUP($D14,'7. PGE_Efficacité'!$A$6:$BT$266,(MATCH('4.6 ACE MAX CAN '!AN$4,'7. PGE_Efficacité'!$A$4:$AO$4,0)+31),0)</f>
        <v>0</v>
      </c>
    </row>
    <row r="15" spans="1:40" outlineLevel="2" x14ac:dyDescent="0.25">
      <c r="A15" t="s">
        <v>1524</v>
      </c>
      <c r="B15">
        <v>3</v>
      </c>
      <c r="C15" t="s">
        <v>1532</v>
      </c>
      <c r="D15" s="12" t="s">
        <v>2</v>
      </c>
      <c r="E15" s="12" t="s">
        <v>783</v>
      </c>
      <c r="F15" s="12" t="s">
        <v>1421</v>
      </c>
      <c r="G15" s="12" t="s">
        <v>1520</v>
      </c>
      <c r="H15" s="12" t="s">
        <v>414</v>
      </c>
      <c r="I15" s="148"/>
      <c r="J15" s="149">
        <f>VLOOKUP($E15,'7. PGE_Efficacité'!$A$6:$BT$266,(MATCH('4.6 ACE MAX CAN '!J$4,'7. PGE_Efficacité'!$A$4:$BU$4,0)+31),0)</f>
        <v>0</v>
      </c>
      <c r="K15" s="149">
        <f>VLOOKUP($E15,'7. PGE_Efficacité'!$A$6:$BT$266,(MATCH('4.6 ACE MAX CAN '!K$4,'7. PGE_Efficacité'!$A$4:$BU$4,0)+31),0)</f>
        <v>0</v>
      </c>
      <c r="L15" s="149">
        <f>VLOOKUP($E15,'7. PGE_Efficacité'!$A$6:$BT$266,(MATCH('4.6 ACE MAX CAN '!L$4,'7. PGE_Efficacité'!$A$4:$BU$4,0)+31),0)</f>
        <v>0</v>
      </c>
      <c r="M15" s="149">
        <f>VLOOKUP($E15,'7. PGE_Efficacité'!$A$6:$BT$266,(MATCH('4.6 ACE MAX CAN '!M$4,'7. PGE_Efficacité'!$A$4:$BU$4,0)+31),0)</f>
        <v>0</v>
      </c>
      <c r="N15" s="149">
        <f>VLOOKUP($E15,'7. PGE_Efficacité'!$A$6:$BT$266,(MATCH('4.6 ACE MAX CAN '!N$4,'7. PGE_Efficacité'!$A$4:$BU$4,0)+31),0)</f>
        <v>0</v>
      </c>
      <c r="O15" s="149">
        <f>VLOOKUP($D15,'7. PGE_Efficacité'!$A$6:$BT$268,47,0)</f>
        <v>0</v>
      </c>
      <c r="P15" s="149">
        <f>VLOOKUP($E15,'7. PGE_Efficacité'!$A$6:$BT$266,(MATCH('4.6 ACE MAX CAN '!P$4,'7. PGE_Efficacité'!$A$4:$BU$4,0)+31),0)</f>
        <v>0</v>
      </c>
      <c r="Q15" s="149">
        <f>VLOOKUP($E15,'7. PGE_Efficacité'!$A$6:$BT$266,(MATCH('4.6 ACE MAX CAN '!Q$4,'7. PGE_Efficacité'!$A$4:$BU$4,0)+31),0)</f>
        <v>0</v>
      </c>
      <c r="R15" s="149">
        <f>VLOOKUP($E15,'7. PGE_Efficacité'!$A$6:$BT$266,(MATCH('4.6 ACE MAX CAN '!R$4,'7. PGE_Efficacité'!$A$4:$BU$4,0)+31),0)</f>
        <v>0</v>
      </c>
      <c r="S15" s="149">
        <f>VLOOKUP($E15,'7. PGE_Efficacité'!$A$6:$BT$266,(MATCH('4.6 ACE MAX CAN '!S$4,'7. PGE_Efficacité'!$A$4:$BU$4,0)+31),0)</f>
        <v>0</v>
      </c>
      <c r="T15" s="149">
        <f>VLOOKUP($E15,'7. PGE_Efficacité'!$A$6:$BT$266,(MATCH('4.6 ACE MAX CAN '!T$4,'7. PGE_Efficacité'!$A$4:$BU$4,0)+31),0)</f>
        <v>0</v>
      </c>
      <c r="U15" s="149">
        <f>VLOOKUP($E15,'7. PGE_Efficacité'!$A$6:$BT$266,(MATCH('4.6 ACE MAX CAN '!U$4,'7. PGE_Efficacité'!$A$4:$BU$4,0)+31),0)</f>
        <v>0</v>
      </c>
      <c r="V15" s="149">
        <f>VLOOKUP($E15,'7. PGE_Efficacité'!$A$6:$BT$266,(MATCH('4.6 ACE MAX CAN '!V$4,'7. PGE_Efficacité'!$A$4:$BU$4,0)+31),0)</f>
        <v>0</v>
      </c>
      <c r="W15" s="149">
        <f>VLOOKUP($E15,'7. PGE_Efficacité'!$A$6:$BT$266,(MATCH('4.6 ACE MAX CAN '!W$4,'7. PGE_Efficacité'!$A$4:$BU$4,0)+31),0)</f>
        <v>0</v>
      </c>
      <c r="X15" s="149">
        <f>VLOOKUP($E15,'7. PGE_Efficacité'!$A$6:$BT$266,(MATCH('4.6 ACE MAX CAN '!X$4,'7. PGE_Efficacité'!$A$4:$BU$4,0)+31),0)</f>
        <v>0</v>
      </c>
      <c r="Y15" s="212">
        <f>VLOOKUP($E15,'7. PGE_Efficacité'!$A$6:$BT$266,(MATCH('4.6 ACE MAX CAN '!Y$4,'7. PGE_Efficacité'!$A$4:$BU$4,0)+31),0)</f>
        <v>0</v>
      </c>
      <c r="Z15" s="212">
        <f>VLOOKUP($E15,'7. PGE_Efficacité'!$A$6:$BT$266,(MATCH('4.6 ACE MAX CAN '!Z$4,'7. PGE_Efficacité'!$A$4:$BU$4,0)+31),0)</f>
        <v>0</v>
      </c>
      <c r="AA15" s="212">
        <f>VLOOKUP($E15,'7. PGE_Efficacité'!$A$6:$BT$266,(MATCH('4.6 ACE MAX CAN '!AA$4,'7. PGE_Efficacité'!$A$4:$BU$4,0)+31),0)</f>
        <v>0</v>
      </c>
      <c r="AB15" s="212">
        <f>VLOOKUP($E15,'7. PGE_Efficacité'!$A$6:$BT$266,(MATCH('4.6 ACE MAX CAN '!AB$4,'7. PGE_Efficacité'!$A$4:$BU$4,0)+31),0)</f>
        <v>0</v>
      </c>
      <c r="AC15" s="212">
        <f>VLOOKUP($E15,'7. PGE_Efficacité'!$A$6:$BT$266,(MATCH('4.6 ACE MAX CAN '!AC$4,'7. PGE_Efficacité'!$A$4:$BU$4,0)+31),0)</f>
        <v>0</v>
      </c>
      <c r="AD15" s="212">
        <f>VLOOKUP($E15,'7. PGE_Efficacité'!$A$6:$BT$266,(MATCH('4.6 ACE MAX CAN '!AD$4,'7. PGE_Efficacité'!$A$4:$BU$4,0)+31),0)</f>
        <v>0</v>
      </c>
      <c r="AE15" s="212">
        <f>VLOOKUP($E15,'7. PGE_Efficacité'!$A$6:$BT$266,(MATCH('4.6 ACE MAX CAN '!AE$4,'7. PGE_Efficacité'!$A$4:$BU$4,0)+31),0)</f>
        <v>0</v>
      </c>
      <c r="AF15" s="212">
        <f>VLOOKUP($E15,'7. PGE_Efficacité'!$A$6:$BT$266,(MATCH('4.6 ACE MAX CAN '!AF$4,'7. PGE_Efficacité'!$A$4:$BU$4,0)+31),0)</f>
        <v>0</v>
      </c>
      <c r="AG15" s="212" t="str">
        <f>VLOOKUP($E15,'7. PGE_Efficacité'!$A$6:$BT$266,(MATCH('4.6 ACE MAX CAN '!AG$4,'7. PGE_Efficacité'!$A$4:$BU$4,0)+31),0)</f>
        <v>++</v>
      </c>
      <c r="AH15" s="212">
        <f>VLOOKUP($E15,'7. PGE_Efficacité'!$A$6:$BT$266,(MATCH('4.6 ACE MAX CAN '!AH$4,'7. PGE_Efficacité'!$A$4:$BU$4,0)+31),0)</f>
        <v>0</v>
      </c>
      <c r="AI15" s="212">
        <f>VLOOKUP($E15,'7. PGE_Efficacité'!$A$6:$BT$266,(MATCH('4.6 ACE MAX CAN '!AI$4,'7. PGE_Efficacité'!$A$4:$BU$4,0)+31),0)</f>
        <v>0</v>
      </c>
      <c r="AJ15" s="212">
        <f>VLOOKUP($E15,'7. PGE_Efficacité'!$A$6:$BT$266,(MATCH('4.6 ACE MAX CAN '!AJ$4,'7. PGE_Efficacité'!$A$4:$BU$4,0)+31),0)</f>
        <v>0</v>
      </c>
      <c r="AK15" s="212">
        <f>VLOOKUP($E15,'7. PGE_Efficacité'!$A$6:$BT$266,(MATCH('4.6 ACE MAX CAN '!AK$4,'7. PGE_Efficacité'!$A$4:$BU$4,0)+31),0)</f>
        <v>0</v>
      </c>
      <c r="AL15" s="212">
        <f>VLOOKUP($E15,'7. PGE_Efficacité'!$A$6:$BT$266,(MATCH('4.6 ACE MAX CAN '!AL$4,'7. PGE_Efficacité'!$A$4:$BU$4,0)+31),0)</f>
        <v>0</v>
      </c>
      <c r="AM15" s="212">
        <f>VLOOKUP($E15,'7. PGE_Efficacité'!$A$6:$BT$266,(MATCH('4.6 ACE MAX CAN '!AM$4,'7. PGE_Efficacité'!$A$4:$BU$4,0)+31),0)</f>
        <v>0</v>
      </c>
      <c r="AN15" s="212" t="str">
        <f>VLOOKUP($E15,'7. PGE_Efficacité'!$A$6:$BT$266,(MATCH('4.6 ACE MAX CAN '!AN$4,'7. PGE_Efficacité'!$A$4:$BU$4,0)+31),0)</f>
        <v>++</v>
      </c>
    </row>
    <row r="16" spans="1:40" ht="26.25" outlineLevel="1" x14ac:dyDescent="0.25">
      <c r="D16" s="360" t="s">
        <v>3</v>
      </c>
      <c r="E16" s="360"/>
      <c r="F16" s="361" t="str">
        <f>VLOOKUP(D16,'1. Mesures'!$A$2:$B$116,2,0)</f>
        <v>Lutter contre les espèces exotiques envahissantes qui portent atteinte ou présentent un risque pour le bon potentiel écologique des masses d'eau de surface</v>
      </c>
      <c r="G16" s="360"/>
      <c r="H16" s="360"/>
      <c r="I16" s="362">
        <f>MEDIAN(VLOOKUP(D16,'4. Mesures_ACE_Budget'!$A$3:$R$32,17,0),VLOOKUP(D16,'4. Mesures_ACE_Budget'!$A$3:$R$32,18,0))</f>
        <v>0</v>
      </c>
      <c r="J16" s="212">
        <f>VLOOKUP($D16,'7. PGE_Efficacité'!$A$6:$BT$266,(MATCH('4.6 ACE MAX CAN '!J$4,'7. PGE_Efficacité'!$A$4:$AO$4,0)+31),0)</f>
        <v>0</v>
      </c>
      <c r="K16" s="212">
        <f>VLOOKUP($D16,'7. PGE_Efficacité'!$A$6:$BT$266,(MATCH('4.6 ACE MAX CAN '!K$4,'7. PGE_Efficacité'!$A$4:$AO$4,0)+31),0)</f>
        <v>0</v>
      </c>
      <c r="L16" s="212">
        <f>VLOOKUP($D16,'7. PGE_Efficacité'!$A$6:$BT$266,(MATCH('4.6 ACE MAX CAN '!L$4,'7. PGE_Efficacité'!$A$4:$AO$4,0)+31),0)</f>
        <v>0</v>
      </c>
      <c r="M16" s="212">
        <f>VLOOKUP($D16,'7. PGE_Efficacité'!$A$6:$BT$266,(MATCH('4.6 ACE MAX CAN '!M$4,'7. PGE_Efficacité'!$A$4:$AO$4,0)+31),0)</f>
        <v>0</v>
      </c>
      <c r="N16" s="212">
        <f>VLOOKUP($D16,'7. PGE_Efficacité'!$A$6:$BT$266,(MATCH('4.6 ACE MAX CAN '!N$4,'7. PGE_Efficacité'!$A$4:$AO$4,0)+31),0)</f>
        <v>0</v>
      </c>
      <c r="O16" s="212">
        <f>VLOOKUP($D16,'7. PGE_Efficacité'!$A$6:$BT$268,47,0)</f>
        <v>0</v>
      </c>
      <c r="P16" s="212">
        <f>VLOOKUP($D16,'7. PGE_Efficacité'!$A$6:$BT$266,(MATCH('4.6 ACE MAX CAN '!P$4,'7. PGE_Efficacité'!$A$4:$AO$4,0)+31),0)</f>
        <v>0</v>
      </c>
      <c r="Q16" s="212">
        <f>VLOOKUP($D16,'7. PGE_Efficacité'!$A$6:$BT$266,(MATCH('4.6 ACE MAX CAN '!Q$4,'7. PGE_Efficacité'!$A$4:$AO$4,0)+31),0)</f>
        <v>0</v>
      </c>
      <c r="R16" s="212">
        <f>VLOOKUP($D16,'7. PGE_Efficacité'!$A$6:$BT$266,(MATCH('4.6 ACE MAX CAN '!R$4,'7. PGE_Efficacité'!$A$4:$AO$4,0)+31),0)</f>
        <v>0</v>
      </c>
      <c r="S16" s="212">
        <f>VLOOKUP($D16,'7. PGE_Efficacité'!$A$6:$BT$266,(MATCH('4.6 ACE MAX CAN '!S$4,'7. PGE_Efficacité'!$A$4:$AO$4,0)+31),0)</f>
        <v>0</v>
      </c>
      <c r="T16" s="212">
        <f>VLOOKUP($D16,'7. PGE_Efficacité'!$A$6:$BT$266,(MATCH('4.6 ACE MAX CAN '!T$4,'7. PGE_Efficacité'!$A$4:$AO$4,0)+31),0)</f>
        <v>0</v>
      </c>
      <c r="U16" s="212">
        <f>VLOOKUP($D16,'7. PGE_Efficacité'!$A$6:$BT$266,(MATCH('4.6 ACE MAX CAN '!U$4,'7. PGE_Efficacité'!$A$4:$AO$4,0)+31),0)</f>
        <v>0</v>
      </c>
      <c r="V16" s="212">
        <f>VLOOKUP($D16,'7. PGE_Efficacité'!$A$6:$BT$266,(MATCH('4.6 ACE MAX CAN '!V$4,'7. PGE_Efficacité'!$A$4:$AO$4,0)+31),0)</f>
        <v>0</v>
      </c>
      <c r="W16" s="212">
        <f>VLOOKUP($D16,'7. PGE_Efficacité'!$A$6:$BT$266,(MATCH('4.6 ACE MAX CAN '!W$4,'7. PGE_Efficacité'!$A$4:$AO$4,0)+31),0)</f>
        <v>0</v>
      </c>
      <c r="X16" s="212">
        <f>VLOOKUP($D16,'7. PGE_Efficacité'!$A$6:$BT$266,(MATCH('4.6 ACE MAX CAN '!X$4,'7. PGE_Efficacité'!$A$4:$AO$4,0)+31),0)</f>
        <v>0</v>
      </c>
      <c r="Y16" s="212">
        <f>VLOOKUP($D16,'7. PGE_Efficacité'!$A$6:$BT$266,(MATCH('4.6 ACE MAX CAN '!Y$4,'7. PGE_Efficacité'!$A$4:$AO$4,0)+31),0)</f>
        <v>0</v>
      </c>
      <c r="Z16" s="212">
        <f>VLOOKUP($D16,'7. PGE_Efficacité'!$A$6:$BT$266,(MATCH('4.6 ACE MAX CAN '!Z$4,'7. PGE_Efficacité'!$A$4:$AO$4,0)+31),0)</f>
        <v>0</v>
      </c>
      <c r="AA16" s="212">
        <f>VLOOKUP($D16,'7. PGE_Efficacité'!$A$6:$BT$266,(MATCH('4.6 ACE MAX CAN '!AA$4,'7. PGE_Efficacité'!$A$4:$AO$4,0)+31),0)</f>
        <v>0</v>
      </c>
      <c r="AB16" s="212">
        <f>VLOOKUP($D16,'7. PGE_Efficacité'!$A$6:$BT$266,(MATCH('4.6 ACE MAX CAN '!AB$4,'7. PGE_Efficacité'!$A$4:$AO$4,0)+31),0)</f>
        <v>0</v>
      </c>
      <c r="AC16" s="212">
        <f>VLOOKUP($D16,'7. PGE_Efficacité'!$A$6:$BT$266,(MATCH('4.6 ACE MAX CAN '!AC$4,'7. PGE_Efficacité'!$A$4:$AO$4,0)+31),0)</f>
        <v>0</v>
      </c>
      <c r="AD16" s="212">
        <f>VLOOKUP($D16,'7. PGE_Efficacité'!$A$6:$BT$266,(MATCH('4.6 ACE MAX CAN '!AD$4,'7. PGE_Efficacité'!$A$4:$AO$4,0)+31),0)</f>
        <v>0</v>
      </c>
      <c r="AE16" s="212">
        <f>VLOOKUP($D16,'7. PGE_Efficacité'!$A$6:$BT$266,(MATCH('4.6 ACE MAX CAN '!AE$4,'7. PGE_Efficacité'!$A$4:$AO$4,0)+31),0)</f>
        <v>0</v>
      </c>
      <c r="AF16" s="212">
        <f>VLOOKUP($D16,'7. PGE_Efficacité'!$A$6:$BT$266,(MATCH('4.6 ACE MAX CAN '!AF$4,'7. PGE_Efficacité'!$A$4:$AO$4,0)+31),0)</f>
        <v>0</v>
      </c>
      <c r="AG16" s="212">
        <f>VLOOKUP($D16,'7. PGE_Efficacité'!$A$6:$BT$266,(MATCH('4.6 ACE MAX CAN '!AG$4,'7. PGE_Efficacité'!$A$4:$AO$4,0)+31),0)</f>
        <v>0</v>
      </c>
      <c r="AH16" s="212">
        <f>VLOOKUP($D16,'7. PGE_Efficacité'!$A$6:$BT$266,(MATCH('4.6 ACE MAX CAN '!AH$4,'7. PGE_Efficacité'!$A$4:$AO$4,0)+31),0)</f>
        <v>0</v>
      </c>
      <c r="AI16" s="212">
        <f>VLOOKUP($D16,'7. PGE_Efficacité'!$A$6:$BT$266,(MATCH('4.6 ACE MAX CAN '!AI$4,'7. PGE_Efficacité'!$A$4:$AO$4,0)+31),0)</f>
        <v>0</v>
      </c>
      <c r="AJ16" s="212">
        <f>VLOOKUP($D16,'7. PGE_Efficacité'!$A$6:$BT$266,(MATCH('4.6 ACE MAX CAN '!AJ$4,'7. PGE_Efficacité'!$A$4:$AO$4,0)+31),0)</f>
        <v>0</v>
      </c>
      <c r="AK16" s="212">
        <f>VLOOKUP($D16,'7. PGE_Efficacité'!$A$6:$BT$266,(MATCH('4.6 ACE MAX CAN '!AK$4,'7. PGE_Efficacité'!$A$4:$AO$4,0)+31),0)</f>
        <v>0</v>
      </c>
      <c r="AL16" s="212">
        <f>VLOOKUP($D16,'7. PGE_Efficacité'!$A$6:$BT$266,(MATCH('4.6 ACE MAX CAN '!AL$4,'7. PGE_Efficacité'!$A$4:$AO$4,0)+31),0)</f>
        <v>0</v>
      </c>
      <c r="AM16" s="212">
        <f>VLOOKUP($D16,'7. PGE_Efficacité'!$A$6:$BT$266,(MATCH('4.6 ACE MAX CAN '!AM$4,'7. PGE_Efficacité'!$A$4:$AO$4,0)+31),0)</f>
        <v>0</v>
      </c>
      <c r="AN16" s="212">
        <f>VLOOKUP($D16,'7. PGE_Efficacité'!$A$6:$BT$266,(MATCH('4.6 ACE MAX CAN '!AN$4,'7. PGE_Efficacité'!$A$4:$AO$4,0)+31),0)</f>
        <v>0</v>
      </c>
    </row>
    <row r="17" spans="1:40" outlineLevel="2" x14ac:dyDescent="0.25">
      <c r="A17" t="s">
        <v>1524</v>
      </c>
      <c r="B17">
        <v>4</v>
      </c>
      <c r="C17" t="s">
        <v>1524</v>
      </c>
      <c r="D17" s="12" t="s">
        <v>3</v>
      </c>
      <c r="E17" s="12" t="s">
        <v>784</v>
      </c>
      <c r="F17" s="12" t="s">
        <v>1422</v>
      </c>
      <c r="G17" s="12" t="s">
        <v>1520</v>
      </c>
      <c r="H17" s="12" t="s">
        <v>1290</v>
      </c>
      <c r="I17" s="148"/>
      <c r="J17" s="149">
        <f>VLOOKUP($E17,'7. PGE_Efficacité'!$A$6:$BT$266,(MATCH('4.6 ACE MAX CAN '!J$4,'7. PGE_Efficacité'!$A$4:$BU$4,0)+31),0)</f>
        <v>0</v>
      </c>
      <c r="K17" s="149">
        <f>VLOOKUP($E17,'7. PGE_Efficacité'!$A$6:$BT$266,(MATCH('4.6 ACE MAX CAN '!K$4,'7. PGE_Efficacité'!$A$4:$BU$4,0)+31),0)</f>
        <v>0</v>
      </c>
      <c r="L17" s="149">
        <f>VLOOKUP($E17,'7. PGE_Efficacité'!$A$6:$BT$266,(MATCH('4.6 ACE MAX CAN '!L$4,'7. PGE_Efficacité'!$A$4:$BU$4,0)+31),0)</f>
        <v>0</v>
      </c>
      <c r="M17" s="149">
        <f>VLOOKUP($E17,'7. PGE_Efficacité'!$A$6:$BT$266,(MATCH('4.6 ACE MAX CAN '!M$4,'7. PGE_Efficacité'!$A$4:$BU$4,0)+31),0)</f>
        <v>0</v>
      </c>
      <c r="N17" s="149">
        <f>VLOOKUP($E17,'7. PGE_Efficacité'!$A$6:$BT$266,(MATCH('4.6 ACE MAX CAN '!N$4,'7. PGE_Efficacité'!$A$4:$BU$4,0)+31),0)</f>
        <v>0</v>
      </c>
      <c r="O17" s="149">
        <f>VLOOKUP($D17,'7. PGE_Efficacité'!$A$6:$BT$268,47,0)</f>
        <v>0</v>
      </c>
      <c r="P17" s="149">
        <f>VLOOKUP($E17,'7. PGE_Efficacité'!$A$6:$BT$266,(MATCH('4.6 ACE MAX CAN '!P$4,'7. PGE_Efficacité'!$A$4:$BU$4,0)+31),0)</f>
        <v>0</v>
      </c>
      <c r="Q17" s="149">
        <f>VLOOKUP($E17,'7. PGE_Efficacité'!$A$6:$BT$266,(MATCH('4.6 ACE MAX CAN '!Q$4,'7. PGE_Efficacité'!$A$4:$BU$4,0)+31),0)</f>
        <v>0</v>
      </c>
      <c r="R17" s="149">
        <f>VLOOKUP($E17,'7. PGE_Efficacité'!$A$6:$BT$266,(MATCH('4.6 ACE MAX CAN '!R$4,'7. PGE_Efficacité'!$A$4:$BU$4,0)+31),0)</f>
        <v>0</v>
      </c>
      <c r="S17" s="149">
        <f>VLOOKUP($E17,'7. PGE_Efficacité'!$A$6:$BT$266,(MATCH('4.6 ACE MAX CAN '!S$4,'7. PGE_Efficacité'!$A$4:$BU$4,0)+31),0)</f>
        <v>0</v>
      </c>
      <c r="T17" s="149">
        <f>VLOOKUP($E17,'7. PGE_Efficacité'!$A$6:$BT$266,(MATCH('4.6 ACE MAX CAN '!T$4,'7. PGE_Efficacité'!$A$4:$BU$4,0)+31),0)</f>
        <v>0</v>
      </c>
      <c r="U17" s="149">
        <f>VLOOKUP($E17,'7. PGE_Efficacité'!$A$6:$BT$266,(MATCH('4.6 ACE MAX CAN '!U$4,'7. PGE_Efficacité'!$A$4:$BU$4,0)+31),0)</f>
        <v>0</v>
      </c>
      <c r="V17" s="149">
        <f>VLOOKUP($E17,'7. PGE_Efficacité'!$A$6:$BT$266,(MATCH('4.6 ACE MAX CAN '!V$4,'7. PGE_Efficacité'!$A$4:$BU$4,0)+31),0)</f>
        <v>0</v>
      </c>
      <c r="W17" s="149">
        <f>VLOOKUP($E17,'7. PGE_Efficacité'!$A$6:$BT$266,(MATCH('4.6 ACE MAX CAN '!W$4,'7. PGE_Efficacité'!$A$4:$BU$4,0)+31),0)</f>
        <v>0</v>
      </c>
      <c r="X17" s="149">
        <f>VLOOKUP($E17,'7. PGE_Efficacité'!$A$6:$BT$266,(MATCH('4.6 ACE MAX CAN '!X$4,'7. PGE_Efficacité'!$A$4:$BU$4,0)+31),0)</f>
        <v>0</v>
      </c>
      <c r="Y17" s="212">
        <f>VLOOKUP($E17,'7. PGE_Efficacité'!$A$6:$BT$266,(MATCH('4.6 ACE MAX CAN '!Y$4,'7. PGE_Efficacité'!$A$4:$BU$4,0)+31),0)</f>
        <v>0</v>
      </c>
      <c r="Z17" s="212">
        <f>VLOOKUP($E17,'7. PGE_Efficacité'!$A$6:$BT$266,(MATCH('4.6 ACE MAX CAN '!Z$4,'7. PGE_Efficacité'!$A$4:$BU$4,0)+31),0)</f>
        <v>0</v>
      </c>
      <c r="AA17" s="212">
        <f>VLOOKUP($E17,'7. PGE_Efficacité'!$A$6:$BT$266,(MATCH('4.6 ACE MAX CAN '!AA$4,'7. PGE_Efficacité'!$A$4:$BU$4,0)+31),0)</f>
        <v>0</v>
      </c>
      <c r="AB17" s="212">
        <f>VLOOKUP($E17,'7. PGE_Efficacité'!$A$6:$BT$266,(MATCH('4.6 ACE MAX CAN '!AB$4,'7. PGE_Efficacité'!$A$4:$BU$4,0)+31),0)</f>
        <v>0</v>
      </c>
      <c r="AC17" s="212">
        <f>VLOOKUP($E17,'7. PGE_Efficacité'!$A$6:$BT$266,(MATCH('4.6 ACE MAX CAN '!AC$4,'7. PGE_Efficacité'!$A$4:$BU$4,0)+31),0)</f>
        <v>0</v>
      </c>
      <c r="AD17" s="212">
        <f>VLOOKUP($E17,'7. PGE_Efficacité'!$A$6:$BT$266,(MATCH('4.6 ACE MAX CAN '!AD$4,'7. PGE_Efficacité'!$A$4:$BU$4,0)+31),0)</f>
        <v>0</v>
      </c>
      <c r="AE17" s="212">
        <f>VLOOKUP($E17,'7. PGE_Efficacité'!$A$6:$BT$266,(MATCH('4.6 ACE MAX CAN '!AE$4,'7. PGE_Efficacité'!$A$4:$BU$4,0)+31),0)</f>
        <v>0</v>
      </c>
      <c r="AF17" s="212">
        <f>VLOOKUP($E17,'7. PGE_Efficacité'!$A$6:$BT$266,(MATCH('4.6 ACE MAX CAN '!AF$4,'7. PGE_Efficacité'!$A$4:$BU$4,0)+31),0)</f>
        <v>0</v>
      </c>
      <c r="AG17" s="212">
        <f>VLOOKUP($E17,'7. PGE_Efficacité'!$A$6:$BT$266,(MATCH('4.6 ACE MAX CAN '!AG$4,'7. PGE_Efficacité'!$A$4:$BU$4,0)+31),0)</f>
        <v>0</v>
      </c>
      <c r="AH17" s="212">
        <f>VLOOKUP($E17,'7. PGE_Efficacité'!$A$6:$BT$266,(MATCH('4.6 ACE MAX CAN '!AH$4,'7. PGE_Efficacité'!$A$4:$BU$4,0)+31),0)</f>
        <v>0</v>
      </c>
      <c r="AI17" s="212">
        <f>VLOOKUP($E17,'7. PGE_Efficacité'!$A$6:$BT$266,(MATCH('4.6 ACE MAX CAN '!AI$4,'7. PGE_Efficacité'!$A$4:$BU$4,0)+31),0)</f>
        <v>0</v>
      </c>
      <c r="AJ17" s="212">
        <f>VLOOKUP($E17,'7. PGE_Efficacité'!$A$6:$BT$266,(MATCH('4.6 ACE MAX CAN '!AJ$4,'7. PGE_Efficacité'!$A$4:$BU$4,0)+31),0)</f>
        <v>0</v>
      </c>
      <c r="AK17" s="212">
        <f>VLOOKUP($E17,'7. PGE_Efficacité'!$A$6:$BT$266,(MATCH('4.6 ACE MAX CAN '!AK$4,'7. PGE_Efficacité'!$A$4:$BU$4,0)+31),0)</f>
        <v>0</v>
      </c>
      <c r="AL17" s="212">
        <f>VLOOKUP($E17,'7. PGE_Efficacité'!$A$6:$BT$266,(MATCH('4.6 ACE MAX CAN '!AL$4,'7. PGE_Efficacité'!$A$4:$BU$4,0)+31),0)</f>
        <v>0</v>
      </c>
      <c r="AM17" s="212">
        <f>VLOOKUP($E17,'7. PGE_Efficacité'!$A$6:$BT$266,(MATCH('4.6 ACE MAX CAN '!AM$4,'7. PGE_Efficacité'!$A$4:$BU$4,0)+31),0)</f>
        <v>0</v>
      </c>
      <c r="AN17" s="212">
        <f>VLOOKUP($E17,'7. PGE_Efficacité'!$A$6:$BT$266,(MATCH('4.6 ACE MAX CAN '!AN$4,'7. PGE_Efficacité'!$A$4:$BU$4,0)+31),0)</f>
        <v>0</v>
      </c>
    </row>
    <row r="18" spans="1:40" outlineLevel="2" x14ac:dyDescent="0.25">
      <c r="A18" t="s">
        <v>1524</v>
      </c>
      <c r="B18">
        <v>4</v>
      </c>
      <c r="C18" t="s">
        <v>1525</v>
      </c>
      <c r="D18" s="12" t="s">
        <v>3</v>
      </c>
      <c r="E18" s="12" t="s">
        <v>789</v>
      </c>
      <c r="F18" s="12" t="s">
        <v>1427</v>
      </c>
      <c r="G18" s="12" t="s">
        <v>1520</v>
      </c>
      <c r="H18" s="12" t="s">
        <v>1290</v>
      </c>
      <c r="I18" s="148"/>
      <c r="J18" s="149">
        <f>VLOOKUP($E18,'7. PGE_Efficacité'!$A$6:$BT$266,(MATCH('4.6 ACE MAX CAN '!J$4,'7. PGE_Efficacité'!$A$4:$BU$4,0)+31),0)</f>
        <v>0</v>
      </c>
      <c r="K18" s="149">
        <f>VLOOKUP($E18,'7. PGE_Efficacité'!$A$6:$BT$266,(MATCH('4.6 ACE MAX CAN '!K$4,'7. PGE_Efficacité'!$A$4:$BU$4,0)+31),0)</f>
        <v>0</v>
      </c>
      <c r="L18" s="149">
        <f>VLOOKUP($E18,'7. PGE_Efficacité'!$A$6:$BT$266,(MATCH('4.6 ACE MAX CAN '!L$4,'7. PGE_Efficacité'!$A$4:$BU$4,0)+31),0)</f>
        <v>0</v>
      </c>
      <c r="M18" s="149">
        <f>VLOOKUP($E18,'7. PGE_Efficacité'!$A$6:$BT$266,(MATCH('4.6 ACE MAX CAN '!M$4,'7. PGE_Efficacité'!$A$4:$BU$4,0)+31),0)</f>
        <v>0</v>
      </c>
      <c r="N18" s="149">
        <f>VLOOKUP($E18,'7. PGE_Efficacité'!$A$6:$BT$266,(MATCH('4.6 ACE MAX CAN '!N$4,'7. PGE_Efficacité'!$A$4:$BU$4,0)+31),0)</f>
        <v>0</v>
      </c>
      <c r="O18" s="149">
        <f>VLOOKUP($D18,'7. PGE_Efficacité'!$A$6:$BT$268,47,0)</f>
        <v>0</v>
      </c>
      <c r="P18" s="149">
        <f>VLOOKUP($E18,'7. PGE_Efficacité'!$A$6:$BT$266,(MATCH('4.6 ACE MAX CAN '!P$4,'7. PGE_Efficacité'!$A$4:$BU$4,0)+31),0)</f>
        <v>0</v>
      </c>
      <c r="Q18" s="149">
        <f>VLOOKUP($E18,'7. PGE_Efficacité'!$A$6:$BT$266,(MATCH('4.6 ACE MAX CAN '!Q$4,'7. PGE_Efficacité'!$A$4:$BU$4,0)+31),0)</f>
        <v>0</v>
      </c>
      <c r="R18" s="149">
        <f>VLOOKUP($E18,'7. PGE_Efficacité'!$A$6:$BT$266,(MATCH('4.6 ACE MAX CAN '!R$4,'7. PGE_Efficacité'!$A$4:$BU$4,0)+31),0)</f>
        <v>0</v>
      </c>
      <c r="S18" s="149">
        <f>VLOOKUP($E18,'7. PGE_Efficacité'!$A$6:$BT$266,(MATCH('4.6 ACE MAX CAN '!S$4,'7. PGE_Efficacité'!$A$4:$BU$4,0)+31),0)</f>
        <v>0</v>
      </c>
      <c r="T18" s="149">
        <f>VLOOKUP($E18,'7. PGE_Efficacité'!$A$6:$BT$266,(MATCH('4.6 ACE MAX CAN '!T$4,'7. PGE_Efficacité'!$A$4:$BU$4,0)+31),0)</f>
        <v>0</v>
      </c>
      <c r="U18" s="149">
        <f>VLOOKUP($E18,'7. PGE_Efficacité'!$A$6:$BT$266,(MATCH('4.6 ACE MAX CAN '!U$4,'7. PGE_Efficacité'!$A$4:$BU$4,0)+31),0)</f>
        <v>0</v>
      </c>
      <c r="V18" s="149">
        <f>VLOOKUP($E18,'7. PGE_Efficacité'!$A$6:$BT$266,(MATCH('4.6 ACE MAX CAN '!V$4,'7. PGE_Efficacité'!$A$4:$BU$4,0)+31),0)</f>
        <v>0</v>
      </c>
      <c r="W18" s="149">
        <f>VLOOKUP($E18,'7. PGE_Efficacité'!$A$6:$BT$266,(MATCH('4.6 ACE MAX CAN '!W$4,'7. PGE_Efficacité'!$A$4:$BU$4,0)+31),0)</f>
        <v>0</v>
      </c>
      <c r="X18" s="149">
        <f>VLOOKUP($E18,'7. PGE_Efficacité'!$A$6:$BT$266,(MATCH('4.6 ACE MAX CAN '!X$4,'7. PGE_Efficacité'!$A$4:$BU$4,0)+31),0)</f>
        <v>0</v>
      </c>
      <c r="Y18" s="212">
        <f>VLOOKUP($E18,'7. PGE_Efficacité'!$A$6:$BT$266,(MATCH('4.6 ACE MAX CAN '!Y$4,'7. PGE_Efficacité'!$A$4:$BU$4,0)+31),0)</f>
        <v>0</v>
      </c>
      <c r="Z18" s="212">
        <f>VLOOKUP($E18,'7. PGE_Efficacité'!$A$6:$BT$266,(MATCH('4.6 ACE MAX CAN '!Z$4,'7. PGE_Efficacité'!$A$4:$BU$4,0)+31),0)</f>
        <v>0</v>
      </c>
      <c r="AA18" s="212">
        <f>VLOOKUP($E18,'7. PGE_Efficacité'!$A$6:$BT$266,(MATCH('4.6 ACE MAX CAN '!AA$4,'7. PGE_Efficacité'!$A$4:$BU$4,0)+31),0)</f>
        <v>0</v>
      </c>
      <c r="AB18" s="212">
        <f>VLOOKUP($E18,'7. PGE_Efficacité'!$A$6:$BT$266,(MATCH('4.6 ACE MAX CAN '!AB$4,'7. PGE_Efficacité'!$A$4:$BU$4,0)+31),0)</f>
        <v>0</v>
      </c>
      <c r="AC18" s="212">
        <f>VLOOKUP($E18,'7. PGE_Efficacité'!$A$6:$BT$266,(MATCH('4.6 ACE MAX CAN '!AC$4,'7. PGE_Efficacité'!$A$4:$BU$4,0)+31),0)</f>
        <v>0</v>
      </c>
      <c r="AD18" s="212">
        <f>VLOOKUP($E18,'7. PGE_Efficacité'!$A$6:$BT$266,(MATCH('4.6 ACE MAX CAN '!AD$4,'7. PGE_Efficacité'!$A$4:$BU$4,0)+31),0)</f>
        <v>0</v>
      </c>
      <c r="AE18" s="212">
        <f>VLOOKUP($E18,'7. PGE_Efficacité'!$A$6:$BT$266,(MATCH('4.6 ACE MAX CAN '!AE$4,'7. PGE_Efficacité'!$A$4:$BU$4,0)+31),0)</f>
        <v>0</v>
      </c>
      <c r="AF18" s="212">
        <f>VLOOKUP($E18,'7. PGE_Efficacité'!$A$6:$BT$266,(MATCH('4.6 ACE MAX CAN '!AF$4,'7. PGE_Efficacité'!$A$4:$BU$4,0)+31),0)</f>
        <v>0</v>
      </c>
      <c r="AG18" s="212">
        <f>VLOOKUP($E18,'7. PGE_Efficacité'!$A$6:$BT$266,(MATCH('4.6 ACE MAX CAN '!AG$4,'7. PGE_Efficacité'!$A$4:$BU$4,0)+31),0)</f>
        <v>0</v>
      </c>
      <c r="AH18" s="212">
        <f>VLOOKUP($E18,'7. PGE_Efficacité'!$A$6:$BT$266,(MATCH('4.6 ACE MAX CAN '!AH$4,'7. PGE_Efficacité'!$A$4:$BU$4,0)+31),0)</f>
        <v>0</v>
      </c>
      <c r="AI18" s="212">
        <f>VLOOKUP($E18,'7. PGE_Efficacité'!$A$6:$BT$266,(MATCH('4.6 ACE MAX CAN '!AI$4,'7. PGE_Efficacité'!$A$4:$BU$4,0)+31),0)</f>
        <v>0</v>
      </c>
      <c r="AJ18" s="212">
        <f>VLOOKUP($E18,'7. PGE_Efficacité'!$A$6:$BT$266,(MATCH('4.6 ACE MAX CAN '!AJ$4,'7. PGE_Efficacité'!$A$4:$BU$4,0)+31),0)</f>
        <v>0</v>
      </c>
      <c r="AK18" s="212">
        <f>VLOOKUP($E18,'7. PGE_Efficacité'!$A$6:$BT$266,(MATCH('4.6 ACE MAX CAN '!AK$4,'7. PGE_Efficacité'!$A$4:$BU$4,0)+31),0)</f>
        <v>0</v>
      </c>
      <c r="AL18" s="212">
        <f>VLOOKUP($E18,'7. PGE_Efficacité'!$A$6:$BT$266,(MATCH('4.6 ACE MAX CAN '!AL$4,'7. PGE_Efficacité'!$A$4:$BU$4,0)+31),0)</f>
        <v>0</v>
      </c>
      <c r="AM18" s="212">
        <f>VLOOKUP($E18,'7. PGE_Efficacité'!$A$6:$BT$266,(MATCH('4.6 ACE MAX CAN '!AM$4,'7. PGE_Efficacité'!$A$4:$BU$4,0)+31),0)</f>
        <v>0</v>
      </c>
      <c r="AN18" s="212">
        <f>VLOOKUP($E18,'7. PGE_Efficacité'!$A$6:$BT$266,(MATCH('4.6 ACE MAX CAN '!AN$4,'7. PGE_Efficacité'!$A$4:$BU$4,0)+31),0)</f>
        <v>0</v>
      </c>
    </row>
    <row r="19" spans="1:40" outlineLevel="2" x14ac:dyDescent="0.25">
      <c r="A19" t="s">
        <v>1524</v>
      </c>
      <c r="B19">
        <v>4</v>
      </c>
      <c r="C19" t="s">
        <v>1526</v>
      </c>
      <c r="D19" s="12" t="s">
        <v>3</v>
      </c>
      <c r="E19" s="12" t="s">
        <v>790</v>
      </c>
      <c r="F19" s="12" t="s">
        <v>1428</v>
      </c>
      <c r="G19" s="12" t="s">
        <v>1520</v>
      </c>
      <c r="H19" s="12" t="s">
        <v>1290</v>
      </c>
      <c r="I19" s="148"/>
      <c r="J19" s="149">
        <f>VLOOKUP($E19,'7. PGE_Efficacité'!$A$6:$BT$266,(MATCH('4.6 ACE MAX CAN '!J$4,'7. PGE_Efficacité'!$A$4:$BU$4,0)+31),0)</f>
        <v>0</v>
      </c>
      <c r="K19" s="149">
        <f>VLOOKUP($E19,'7. PGE_Efficacité'!$A$6:$BT$266,(MATCH('4.6 ACE MAX CAN '!K$4,'7. PGE_Efficacité'!$A$4:$BU$4,0)+31),0)</f>
        <v>0</v>
      </c>
      <c r="L19" s="149">
        <f>VLOOKUP($E19,'7. PGE_Efficacité'!$A$6:$BT$266,(MATCH('4.6 ACE MAX CAN '!L$4,'7. PGE_Efficacité'!$A$4:$BU$4,0)+31),0)</f>
        <v>0</v>
      </c>
      <c r="M19" s="149">
        <f>VLOOKUP($E19,'7. PGE_Efficacité'!$A$6:$BT$266,(MATCH('4.6 ACE MAX CAN '!M$4,'7. PGE_Efficacité'!$A$4:$BU$4,0)+31),0)</f>
        <v>0</v>
      </c>
      <c r="N19" s="149">
        <f>VLOOKUP($E19,'7. PGE_Efficacité'!$A$6:$BT$266,(MATCH('4.6 ACE MAX CAN '!N$4,'7. PGE_Efficacité'!$A$4:$BU$4,0)+31),0)</f>
        <v>0</v>
      </c>
      <c r="O19" s="149">
        <f>VLOOKUP($D19,'7. PGE_Efficacité'!$A$6:$BT$268,47,0)</f>
        <v>0</v>
      </c>
      <c r="P19" s="149">
        <f>VLOOKUP($E19,'7. PGE_Efficacité'!$A$6:$BT$266,(MATCH('4.6 ACE MAX CAN '!P$4,'7. PGE_Efficacité'!$A$4:$BU$4,0)+31),0)</f>
        <v>0</v>
      </c>
      <c r="Q19" s="149">
        <f>VLOOKUP($E19,'7. PGE_Efficacité'!$A$6:$BT$266,(MATCH('4.6 ACE MAX CAN '!Q$4,'7. PGE_Efficacité'!$A$4:$BU$4,0)+31),0)</f>
        <v>0</v>
      </c>
      <c r="R19" s="149">
        <f>VLOOKUP($E19,'7. PGE_Efficacité'!$A$6:$BT$266,(MATCH('4.6 ACE MAX CAN '!R$4,'7. PGE_Efficacité'!$A$4:$BU$4,0)+31),0)</f>
        <v>0</v>
      </c>
      <c r="S19" s="149">
        <f>VLOOKUP($E19,'7. PGE_Efficacité'!$A$6:$BT$266,(MATCH('4.6 ACE MAX CAN '!S$4,'7. PGE_Efficacité'!$A$4:$BU$4,0)+31),0)</f>
        <v>0</v>
      </c>
      <c r="T19" s="149">
        <f>VLOOKUP($E19,'7. PGE_Efficacité'!$A$6:$BT$266,(MATCH('4.6 ACE MAX CAN '!T$4,'7. PGE_Efficacité'!$A$4:$BU$4,0)+31),0)</f>
        <v>0</v>
      </c>
      <c r="U19" s="149">
        <f>VLOOKUP($E19,'7. PGE_Efficacité'!$A$6:$BT$266,(MATCH('4.6 ACE MAX CAN '!U$4,'7. PGE_Efficacité'!$A$4:$BU$4,0)+31),0)</f>
        <v>0</v>
      </c>
      <c r="V19" s="149">
        <f>VLOOKUP($E19,'7. PGE_Efficacité'!$A$6:$BT$266,(MATCH('4.6 ACE MAX CAN '!V$4,'7. PGE_Efficacité'!$A$4:$BU$4,0)+31),0)</f>
        <v>0</v>
      </c>
      <c r="W19" s="149">
        <f>VLOOKUP($E19,'7. PGE_Efficacité'!$A$6:$BT$266,(MATCH('4.6 ACE MAX CAN '!W$4,'7. PGE_Efficacité'!$A$4:$BU$4,0)+31),0)</f>
        <v>0</v>
      </c>
      <c r="X19" s="149">
        <f>VLOOKUP($E19,'7. PGE_Efficacité'!$A$6:$BT$266,(MATCH('4.6 ACE MAX CAN '!X$4,'7. PGE_Efficacité'!$A$4:$BU$4,0)+31),0)</f>
        <v>0</v>
      </c>
      <c r="Y19" s="212">
        <f>VLOOKUP($E19,'7. PGE_Efficacité'!$A$6:$BT$266,(MATCH('4.6 ACE MAX CAN '!Y$4,'7. PGE_Efficacité'!$A$4:$BU$4,0)+31),0)</f>
        <v>0</v>
      </c>
      <c r="Z19" s="212">
        <f>VLOOKUP($E19,'7. PGE_Efficacité'!$A$6:$BT$266,(MATCH('4.6 ACE MAX CAN '!Z$4,'7. PGE_Efficacité'!$A$4:$BU$4,0)+31),0)</f>
        <v>0</v>
      </c>
      <c r="AA19" s="212">
        <f>VLOOKUP($E19,'7. PGE_Efficacité'!$A$6:$BT$266,(MATCH('4.6 ACE MAX CAN '!AA$4,'7. PGE_Efficacité'!$A$4:$BU$4,0)+31),0)</f>
        <v>0</v>
      </c>
      <c r="AB19" s="212">
        <f>VLOOKUP($E19,'7. PGE_Efficacité'!$A$6:$BT$266,(MATCH('4.6 ACE MAX CAN '!AB$4,'7. PGE_Efficacité'!$A$4:$BU$4,0)+31),0)</f>
        <v>0</v>
      </c>
      <c r="AC19" s="212">
        <f>VLOOKUP($E19,'7. PGE_Efficacité'!$A$6:$BT$266,(MATCH('4.6 ACE MAX CAN '!AC$4,'7. PGE_Efficacité'!$A$4:$BU$4,0)+31),0)</f>
        <v>0</v>
      </c>
      <c r="AD19" s="212">
        <f>VLOOKUP($E19,'7. PGE_Efficacité'!$A$6:$BT$266,(MATCH('4.6 ACE MAX CAN '!AD$4,'7. PGE_Efficacité'!$A$4:$BU$4,0)+31),0)</f>
        <v>0</v>
      </c>
      <c r="AE19" s="212">
        <f>VLOOKUP($E19,'7. PGE_Efficacité'!$A$6:$BT$266,(MATCH('4.6 ACE MAX CAN '!AE$4,'7. PGE_Efficacité'!$A$4:$BU$4,0)+31),0)</f>
        <v>0</v>
      </c>
      <c r="AF19" s="212">
        <f>VLOOKUP($E19,'7. PGE_Efficacité'!$A$6:$BT$266,(MATCH('4.6 ACE MAX CAN '!AF$4,'7. PGE_Efficacité'!$A$4:$BU$4,0)+31),0)</f>
        <v>0</v>
      </c>
      <c r="AG19" s="212">
        <f>VLOOKUP($E19,'7. PGE_Efficacité'!$A$6:$BT$266,(MATCH('4.6 ACE MAX CAN '!AG$4,'7. PGE_Efficacité'!$A$4:$BU$4,0)+31),0)</f>
        <v>0</v>
      </c>
      <c r="AH19" s="212">
        <f>VLOOKUP($E19,'7. PGE_Efficacité'!$A$6:$BT$266,(MATCH('4.6 ACE MAX CAN '!AH$4,'7. PGE_Efficacité'!$A$4:$BU$4,0)+31),0)</f>
        <v>0</v>
      </c>
      <c r="AI19" s="212">
        <f>VLOOKUP($E19,'7. PGE_Efficacité'!$A$6:$BT$266,(MATCH('4.6 ACE MAX CAN '!AI$4,'7. PGE_Efficacité'!$A$4:$BU$4,0)+31),0)</f>
        <v>0</v>
      </c>
      <c r="AJ19" s="212">
        <f>VLOOKUP($E19,'7. PGE_Efficacité'!$A$6:$BT$266,(MATCH('4.6 ACE MAX CAN '!AJ$4,'7. PGE_Efficacité'!$A$4:$BU$4,0)+31),0)</f>
        <v>0</v>
      </c>
      <c r="AK19" s="212">
        <f>VLOOKUP($E19,'7. PGE_Efficacité'!$A$6:$BT$266,(MATCH('4.6 ACE MAX CAN '!AK$4,'7. PGE_Efficacité'!$A$4:$BU$4,0)+31),0)</f>
        <v>0</v>
      </c>
      <c r="AL19" s="212">
        <f>VLOOKUP($E19,'7. PGE_Efficacité'!$A$6:$BT$266,(MATCH('4.6 ACE MAX CAN '!AL$4,'7. PGE_Efficacité'!$A$4:$BU$4,0)+31),0)</f>
        <v>0</v>
      </c>
      <c r="AM19" s="212">
        <f>VLOOKUP($E19,'7. PGE_Efficacité'!$A$6:$BT$266,(MATCH('4.6 ACE MAX CAN '!AM$4,'7. PGE_Efficacité'!$A$4:$BU$4,0)+31),0)</f>
        <v>0</v>
      </c>
      <c r="AN19" s="212">
        <f>VLOOKUP($E19,'7. PGE_Efficacité'!$A$6:$BT$266,(MATCH('4.6 ACE MAX CAN '!AN$4,'7. PGE_Efficacité'!$A$4:$BU$4,0)+31),0)</f>
        <v>0</v>
      </c>
    </row>
    <row r="20" spans="1:40" outlineLevel="2" x14ac:dyDescent="0.25">
      <c r="A20" t="s">
        <v>1524</v>
      </c>
      <c r="B20">
        <v>4</v>
      </c>
      <c r="C20" t="s">
        <v>1527</v>
      </c>
      <c r="D20" s="12" t="s">
        <v>3</v>
      </c>
      <c r="E20" s="12" t="s">
        <v>791</v>
      </c>
      <c r="F20" s="12" t="s">
        <v>1429</v>
      </c>
      <c r="G20" s="12" t="s">
        <v>1520</v>
      </c>
      <c r="H20" s="12" t="s">
        <v>1290</v>
      </c>
      <c r="I20" s="148"/>
      <c r="J20" s="149">
        <f>VLOOKUP($E20,'7. PGE_Efficacité'!$A$6:$BT$266,(MATCH('4.6 ACE MAX CAN '!J$4,'7. PGE_Efficacité'!$A$4:$BU$4,0)+31),0)</f>
        <v>0</v>
      </c>
      <c r="K20" s="149">
        <f>VLOOKUP($E20,'7. PGE_Efficacité'!$A$6:$BT$266,(MATCH('4.6 ACE MAX CAN '!K$4,'7. PGE_Efficacité'!$A$4:$BU$4,0)+31),0)</f>
        <v>0</v>
      </c>
      <c r="L20" s="149">
        <f>VLOOKUP($E20,'7. PGE_Efficacité'!$A$6:$BT$266,(MATCH('4.6 ACE MAX CAN '!L$4,'7. PGE_Efficacité'!$A$4:$BU$4,0)+31),0)</f>
        <v>0</v>
      </c>
      <c r="M20" s="149">
        <f>VLOOKUP($E20,'7. PGE_Efficacité'!$A$6:$BT$266,(MATCH('4.6 ACE MAX CAN '!M$4,'7. PGE_Efficacité'!$A$4:$BU$4,0)+31),0)</f>
        <v>0</v>
      </c>
      <c r="N20" s="149">
        <f>VLOOKUP($E20,'7. PGE_Efficacité'!$A$6:$BT$266,(MATCH('4.6 ACE MAX CAN '!N$4,'7. PGE_Efficacité'!$A$4:$BU$4,0)+31),0)</f>
        <v>0</v>
      </c>
      <c r="O20" s="149">
        <f>VLOOKUP($D20,'7. PGE_Efficacité'!$A$6:$BT$268,47,0)</f>
        <v>0</v>
      </c>
      <c r="P20" s="149">
        <f>VLOOKUP($E20,'7. PGE_Efficacité'!$A$6:$BT$266,(MATCH('4.6 ACE MAX CAN '!P$4,'7. PGE_Efficacité'!$A$4:$BU$4,0)+31),0)</f>
        <v>0</v>
      </c>
      <c r="Q20" s="149">
        <f>VLOOKUP($E20,'7. PGE_Efficacité'!$A$6:$BT$266,(MATCH('4.6 ACE MAX CAN '!Q$4,'7. PGE_Efficacité'!$A$4:$BU$4,0)+31),0)</f>
        <v>0</v>
      </c>
      <c r="R20" s="149">
        <f>VLOOKUP($E20,'7. PGE_Efficacité'!$A$6:$BT$266,(MATCH('4.6 ACE MAX CAN '!R$4,'7. PGE_Efficacité'!$A$4:$BU$4,0)+31),0)</f>
        <v>0</v>
      </c>
      <c r="S20" s="149">
        <f>VLOOKUP($E20,'7. PGE_Efficacité'!$A$6:$BT$266,(MATCH('4.6 ACE MAX CAN '!S$4,'7. PGE_Efficacité'!$A$4:$BU$4,0)+31),0)</f>
        <v>0</v>
      </c>
      <c r="T20" s="149">
        <f>VLOOKUP($E20,'7. PGE_Efficacité'!$A$6:$BT$266,(MATCH('4.6 ACE MAX CAN '!T$4,'7. PGE_Efficacité'!$A$4:$BU$4,0)+31),0)</f>
        <v>0</v>
      </c>
      <c r="U20" s="149">
        <f>VLOOKUP($E20,'7. PGE_Efficacité'!$A$6:$BT$266,(MATCH('4.6 ACE MAX CAN '!U$4,'7. PGE_Efficacité'!$A$4:$BU$4,0)+31),0)</f>
        <v>0</v>
      </c>
      <c r="V20" s="149">
        <f>VLOOKUP($E20,'7. PGE_Efficacité'!$A$6:$BT$266,(MATCH('4.6 ACE MAX CAN '!V$4,'7. PGE_Efficacité'!$A$4:$BU$4,0)+31),0)</f>
        <v>0</v>
      </c>
      <c r="W20" s="149">
        <f>VLOOKUP($E20,'7. PGE_Efficacité'!$A$6:$BT$266,(MATCH('4.6 ACE MAX CAN '!W$4,'7. PGE_Efficacité'!$A$4:$BU$4,0)+31),0)</f>
        <v>0</v>
      </c>
      <c r="X20" s="149">
        <f>VLOOKUP($E20,'7. PGE_Efficacité'!$A$6:$BT$266,(MATCH('4.6 ACE MAX CAN '!X$4,'7. PGE_Efficacité'!$A$4:$BU$4,0)+31),0)</f>
        <v>0</v>
      </c>
      <c r="Y20" s="212">
        <f>VLOOKUP($E20,'7. PGE_Efficacité'!$A$6:$BT$266,(MATCH('4.6 ACE MAX CAN '!Y$4,'7. PGE_Efficacité'!$A$4:$BU$4,0)+31),0)</f>
        <v>0</v>
      </c>
      <c r="Z20" s="212">
        <f>VLOOKUP($E20,'7. PGE_Efficacité'!$A$6:$BT$266,(MATCH('4.6 ACE MAX CAN '!Z$4,'7. PGE_Efficacité'!$A$4:$BU$4,0)+31),0)</f>
        <v>0</v>
      </c>
      <c r="AA20" s="212">
        <f>VLOOKUP($E20,'7. PGE_Efficacité'!$A$6:$BT$266,(MATCH('4.6 ACE MAX CAN '!AA$4,'7. PGE_Efficacité'!$A$4:$BU$4,0)+31),0)</f>
        <v>0</v>
      </c>
      <c r="AB20" s="212">
        <f>VLOOKUP($E20,'7. PGE_Efficacité'!$A$6:$BT$266,(MATCH('4.6 ACE MAX CAN '!AB$4,'7. PGE_Efficacité'!$A$4:$BU$4,0)+31),0)</f>
        <v>0</v>
      </c>
      <c r="AC20" s="212">
        <f>VLOOKUP($E20,'7. PGE_Efficacité'!$A$6:$BT$266,(MATCH('4.6 ACE MAX CAN '!AC$4,'7. PGE_Efficacité'!$A$4:$BU$4,0)+31),0)</f>
        <v>0</v>
      </c>
      <c r="AD20" s="212">
        <f>VLOOKUP($E20,'7. PGE_Efficacité'!$A$6:$BT$266,(MATCH('4.6 ACE MAX CAN '!AD$4,'7. PGE_Efficacité'!$A$4:$BU$4,0)+31),0)</f>
        <v>0</v>
      </c>
      <c r="AE20" s="212">
        <f>VLOOKUP($E20,'7. PGE_Efficacité'!$A$6:$BT$266,(MATCH('4.6 ACE MAX CAN '!AE$4,'7. PGE_Efficacité'!$A$4:$BU$4,0)+31),0)</f>
        <v>0</v>
      </c>
      <c r="AF20" s="212">
        <f>VLOOKUP($E20,'7. PGE_Efficacité'!$A$6:$BT$266,(MATCH('4.6 ACE MAX CAN '!AF$4,'7. PGE_Efficacité'!$A$4:$BU$4,0)+31),0)</f>
        <v>0</v>
      </c>
      <c r="AG20" s="212">
        <f>VLOOKUP($E20,'7. PGE_Efficacité'!$A$6:$BT$266,(MATCH('4.6 ACE MAX CAN '!AG$4,'7. PGE_Efficacité'!$A$4:$BU$4,0)+31),0)</f>
        <v>0</v>
      </c>
      <c r="AH20" s="212">
        <f>VLOOKUP($E20,'7. PGE_Efficacité'!$A$6:$BT$266,(MATCH('4.6 ACE MAX CAN '!AH$4,'7. PGE_Efficacité'!$A$4:$BU$4,0)+31),0)</f>
        <v>0</v>
      </c>
      <c r="AI20" s="212">
        <f>VLOOKUP($E20,'7. PGE_Efficacité'!$A$6:$BT$266,(MATCH('4.6 ACE MAX CAN '!AI$4,'7. PGE_Efficacité'!$A$4:$BU$4,0)+31),0)</f>
        <v>0</v>
      </c>
      <c r="AJ20" s="212">
        <f>VLOOKUP($E20,'7. PGE_Efficacité'!$A$6:$BT$266,(MATCH('4.6 ACE MAX CAN '!AJ$4,'7. PGE_Efficacité'!$A$4:$BU$4,0)+31),0)</f>
        <v>0</v>
      </c>
      <c r="AK20" s="212">
        <f>VLOOKUP($E20,'7. PGE_Efficacité'!$A$6:$BT$266,(MATCH('4.6 ACE MAX CAN '!AK$4,'7. PGE_Efficacité'!$A$4:$BU$4,0)+31),0)</f>
        <v>0</v>
      </c>
      <c r="AL20" s="212">
        <f>VLOOKUP($E20,'7. PGE_Efficacité'!$A$6:$BT$266,(MATCH('4.6 ACE MAX CAN '!AL$4,'7. PGE_Efficacité'!$A$4:$BU$4,0)+31),0)</f>
        <v>0</v>
      </c>
      <c r="AM20" s="212">
        <f>VLOOKUP($E20,'7. PGE_Efficacité'!$A$6:$BT$266,(MATCH('4.6 ACE MAX CAN '!AM$4,'7. PGE_Efficacité'!$A$4:$BU$4,0)+31),0)</f>
        <v>0</v>
      </c>
      <c r="AN20" s="212">
        <f>VLOOKUP($E20,'7. PGE_Efficacité'!$A$6:$BT$266,(MATCH('4.6 ACE MAX CAN '!AN$4,'7. PGE_Efficacité'!$A$4:$BU$4,0)+31),0)</f>
        <v>0</v>
      </c>
    </row>
    <row r="21" spans="1:40" outlineLevel="2" x14ac:dyDescent="0.25">
      <c r="A21" t="s">
        <v>1524</v>
      </c>
      <c r="B21">
        <v>4</v>
      </c>
      <c r="C21" t="s">
        <v>410</v>
      </c>
      <c r="D21" s="12" t="s">
        <v>3</v>
      </c>
      <c r="E21" s="12" t="s">
        <v>792</v>
      </c>
      <c r="F21" s="12" t="s">
        <v>1430</v>
      </c>
      <c r="G21" s="12" t="s">
        <v>1520</v>
      </c>
      <c r="H21" s="12" t="s">
        <v>1290</v>
      </c>
      <c r="I21" s="148"/>
      <c r="J21" s="149">
        <f>VLOOKUP($E21,'7. PGE_Efficacité'!$A$6:$BT$266,(MATCH('4.6 ACE MAX CAN '!J$4,'7. PGE_Efficacité'!$A$4:$BU$4,0)+31),0)</f>
        <v>0</v>
      </c>
      <c r="K21" s="149">
        <f>VLOOKUP($E21,'7. PGE_Efficacité'!$A$6:$BT$266,(MATCH('4.6 ACE MAX CAN '!K$4,'7. PGE_Efficacité'!$A$4:$BU$4,0)+31),0)</f>
        <v>0</v>
      </c>
      <c r="L21" s="149">
        <f>VLOOKUP($E21,'7. PGE_Efficacité'!$A$6:$BT$266,(MATCH('4.6 ACE MAX CAN '!L$4,'7. PGE_Efficacité'!$A$4:$BU$4,0)+31),0)</f>
        <v>0</v>
      </c>
      <c r="M21" s="149">
        <f>VLOOKUP($E21,'7. PGE_Efficacité'!$A$6:$BT$266,(MATCH('4.6 ACE MAX CAN '!M$4,'7. PGE_Efficacité'!$A$4:$BU$4,0)+31),0)</f>
        <v>0</v>
      </c>
      <c r="N21" s="149">
        <f>VLOOKUP($E21,'7. PGE_Efficacité'!$A$6:$BT$266,(MATCH('4.6 ACE MAX CAN '!N$4,'7. PGE_Efficacité'!$A$4:$BU$4,0)+31),0)</f>
        <v>0</v>
      </c>
      <c r="O21" s="149">
        <f>VLOOKUP($D21,'7. PGE_Efficacité'!$A$6:$BT$268,47,0)</f>
        <v>0</v>
      </c>
      <c r="P21" s="149">
        <f>VLOOKUP($E21,'7. PGE_Efficacité'!$A$6:$BT$266,(MATCH('4.6 ACE MAX CAN '!P$4,'7. PGE_Efficacité'!$A$4:$BU$4,0)+31),0)</f>
        <v>0</v>
      </c>
      <c r="Q21" s="149">
        <f>VLOOKUP($E21,'7. PGE_Efficacité'!$A$6:$BT$266,(MATCH('4.6 ACE MAX CAN '!Q$4,'7. PGE_Efficacité'!$A$4:$BU$4,0)+31),0)</f>
        <v>0</v>
      </c>
      <c r="R21" s="149">
        <f>VLOOKUP($E21,'7. PGE_Efficacité'!$A$6:$BT$266,(MATCH('4.6 ACE MAX CAN '!R$4,'7. PGE_Efficacité'!$A$4:$BU$4,0)+31),0)</f>
        <v>0</v>
      </c>
      <c r="S21" s="149">
        <f>VLOOKUP($E21,'7. PGE_Efficacité'!$A$6:$BT$266,(MATCH('4.6 ACE MAX CAN '!S$4,'7. PGE_Efficacité'!$A$4:$BU$4,0)+31),0)</f>
        <v>0</v>
      </c>
      <c r="T21" s="149">
        <f>VLOOKUP($E21,'7. PGE_Efficacité'!$A$6:$BT$266,(MATCH('4.6 ACE MAX CAN '!T$4,'7. PGE_Efficacité'!$A$4:$BU$4,0)+31),0)</f>
        <v>0</v>
      </c>
      <c r="U21" s="149">
        <f>VLOOKUP($E21,'7. PGE_Efficacité'!$A$6:$BT$266,(MATCH('4.6 ACE MAX CAN '!U$4,'7. PGE_Efficacité'!$A$4:$BU$4,0)+31),0)</f>
        <v>0</v>
      </c>
      <c r="V21" s="149">
        <f>VLOOKUP($E21,'7. PGE_Efficacité'!$A$6:$BT$266,(MATCH('4.6 ACE MAX CAN '!V$4,'7. PGE_Efficacité'!$A$4:$BU$4,0)+31),0)</f>
        <v>0</v>
      </c>
      <c r="W21" s="149">
        <f>VLOOKUP($E21,'7. PGE_Efficacité'!$A$6:$BT$266,(MATCH('4.6 ACE MAX CAN '!W$4,'7. PGE_Efficacité'!$A$4:$BU$4,0)+31),0)</f>
        <v>0</v>
      </c>
      <c r="X21" s="149">
        <f>VLOOKUP($E21,'7. PGE_Efficacité'!$A$6:$BT$266,(MATCH('4.6 ACE MAX CAN '!X$4,'7. PGE_Efficacité'!$A$4:$BU$4,0)+31),0)</f>
        <v>0</v>
      </c>
      <c r="Y21" s="212">
        <f>VLOOKUP($E21,'7. PGE_Efficacité'!$A$6:$BT$266,(MATCH('4.6 ACE MAX CAN '!Y$4,'7. PGE_Efficacité'!$A$4:$BU$4,0)+31),0)</f>
        <v>0</v>
      </c>
      <c r="Z21" s="212">
        <f>VLOOKUP($E21,'7. PGE_Efficacité'!$A$6:$BT$266,(MATCH('4.6 ACE MAX CAN '!Z$4,'7. PGE_Efficacité'!$A$4:$BU$4,0)+31),0)</f>
        <v>0</v>
      </c>
      <c r="AA21" s="212">
        <f>VLOOKUP($E21,'7. PGE_Efficacité'!$A$6:$BT$266,(MATCH('4.6 ACE MAX CAN '!AA$4,'7. PGE_Efficacité'!$A$4:$BU$4,0)+31),0)</f>
        <v>0</v>
      </c>
      <c r="AB21" s="212">
        <f>VLOOKUP($E21,'7. PGE_Efficacité'!$A$6:$BT$266,(MATCH('4.6 ACE MAX CAN '!AB$4,'7. PGE_Efficacité'!$A$4:$BU$4,0)+31),0)</f>
        <v>0</v>
      </c>
      <c r="AC21" s="212">
        <f>VLOOKUP($E21,'7. PGE_Efficacité'!$A$6:$BT$266,(MATCH('4.6 ACE MAX CAN '!AC$4,'7. PGE_Efficacité'!$A$4:$BU$4,0)+31),0)</f>
        <v>0</v>
      </c>
      <c r="AD21" s="212">
        <f>VLOOKUP($E21,'7. PGE_Efficacité'!$A$6:$BT$266,(MATCH('4.6 ACE MAX CAN '!AD$4,'7. PGE_Efficacité'!$A$4:$BU$4,0)+31),0)</f>
        <v>0</v>
      </c>
      <c r="AE21" s="212">
        <f>VLOOKUP($E21,'7. PGE_Efficacité'!$A$6:$BT$266,(MATCH('4.6 ACE MAX CAN '!AE$4,'7. PGE_Efficacité'!$A$4:$BU$4,0)+31),0)</f>
        <v>0</v>
      </c>
      <c r="AF21" s="212">
        <f>VLOOKUP($E21,'7. PGE_Efficacité'!$A$6:$BT$266,(MATCH('4.6 ACE MAX CAN '!AF$4,'7. PGE_Efficacité'!$A$4:$BU$4,0)+31),0)</f>
        <v>0</v>
      </c>
      <c r="AG21" s="212">
        <f>VLOOKUP($E21,'7. PGE_Efficacité'!$A$6:$BT$266,(MATCH('4.6 ACE MAX CAN '!AG$4,'7. PGE_Efficacité'!$A$4:$BU$4,0)+31),0)</f>
        <v>0</v>
      </c>
      <c r="AH21" s="212">
        <f>VLOOKUP($E21,'7. PGE_Efficacité'!$A$6:$BT$266,(MATCH('4.6 ACE MAX CAN '!AH$4,'7. PGE_Efficacité'!$A$4:$BU$4,0)+31),0)</f>
        <v>0</v>
      </c>
      <c r="AI21" s="212">
        <f>VLOOKUP($E21,'7. PGE_Efficacité'!$A$6:$BT$266,(MATCH('4.6 ACE MAX CAN '!AI$4,'7. PGE_Efficacité'!$A$4:$BU$4,0)+31),0)</f>
        <v>0</v>
      </c>
      <c r="AJ21" s="212">
        <f>VLOOKUP($E21,'7. PGE_Efficacité'!$A$6:$BT$266,(MATCH('4.6 ACE MAX CAN '!AJ$4,'7. PGE_Efficacité'!$A$4:$BU$4,0)+31),0)</f>
        <v>0</v>
      </c>
      <c r="AK21" s="212">
        <f>VLOOKUP($E21,'7. PGE_Efficacité'!$A$6:$BT$266,(MATCH('4.6 ACE MAX CAN '!AK$4,'7. PGE_Efficacité'!$A$4:$BU$4,0)+31),0)</f>
        <v>0</v>
      </c>
      <c r="AL21" s="212">
        <f>VLOOKUP($E21,'7. PGE_Efficacité'!$A$6:$BT$266,(MATCH('4.6 ACE MAX CAN '!AL$4,'7. PGE_Efficacité'!$A$4:$BU$4,0)+31),0)</f>
        <v>0</v>
      </c>
      <c r="AM21" s="212">
        <f>VLOOKUP($E21,'7. PGE_Efficacité'!$A$6:$BT$266,(MATCH('4.6 ACE MAX CAN '!AM$4,'7. PGE_Efficacité'!$A$4:$BU$4,0)+31),0)</f>
        <v>0</v>
      </c>
      <c r="AN21" s="212">
        <f>VLOOKUP($E21,'7. PGE_Efficacité'!$A$6:$BT$266,(MATCH('4.6 ACE MAX CAN '!AN$4,'7. PGE_Efficacité'!$A$4:$BU$4,0)+31),0)</f>
        <v>0</v>
      </c>
    </row>
    <row r="22" spans="1:40" outlineLevel="2" x14ac:dyDescent="0.25">
      <c r="A22" t="s">
        <v>1524</v>
      </c>
      <c r="B22">
        <v>4</v>
      </c>
      <c r="C22" t="s">
        <v>1528</v>
      </c>
      <c r="D22" s="12" t="s">
        <v>3</v>
      </c>
      <c r="E22" s="12" t="s">
        <v>793</v>
      </c>
      <c r="F22" s="12" t="s">
        <v>1431</v>
      </c>
      <c r="G22" s="12" t="s">
        <v>1520</v>
      </c>
      <c r="H22" s="12" t="s">
        <v>1290</v>
      </c>
      <c r="I22" s="148"/>
      <c r="J22" s="149">
        <f>VLOOKUP($E22,'7. PGE_Efficacité'!$A$6:$BT$266,(MATCH('4.6 ACE MAX CAN '!J$4,'7. PGE_Efficacité'!$A$4:$BU$4,0)+31),0)</f>
        <v>0</v>
      </c>
      <c r="K22" s="149">
        <f>VLOOKUP($E22,'7. PGE_Efficacité'!$A$6:$BT$266,(MATCH('4.6 ACE MAX CAN '!K$4,'7. PGE_Efficacité'!$A$4:$BU$4,0)+31),0)</f>
        <v>0</v>
      </c>
      <c r="L22" s="149">
        <f>VLOOKUP($E22,'7. PGE_Efficacité'!$A$6:$BT$266,(MATCH('4.6 ACE MAX CAN '!L$4,'7. PGE_Efficacité'!$A$4:$BU$4,0)+31),0)</f>
        <v>0</v>
      </c>
      <c r="M22" s="149">
        <f>VLOOKUP($E22,'7. PGE_Efficacité'!$A$6:$BT$266,(MATCH('4.6 ACE MAX CAN '!M$4,'7. PGE_Efficacité'!$A$4:$BU$4,0)+31),0)</f>
        <v>0</v>
      </c>
      <c r="N22" s="149">
        <f>VLOOKUP($E22,'7. PGE_Efficacité'!$A$6:$BT$266,(MATCH('4.6 ACE MAX CAN '!N$4,'7. PGE_Efficacité'!$A$4:$BU$4,0)+31),0)</f>
        <v>0</v>
      </c>
      <c r="O22" s="149">
        <f>VLOOKUP($D22,'7. PGE_Efficacité'!$A$6:$BT$268,47,0)</f>
        <v>0</v>
      </c>
      <c r="P22" s="149">
        <f>VLOOKUP($E22,'7. PGE_Efficacité'!$A$6:$BT$266,(MATCH('4.6 ACE MAX CAN '!P$4,'7. PGE_Efficacité'!$A$4:$BU$4,0)+31),0)</f>
        <v>0</v>
      </c>
      <c r="Q22" s="149">
        <f>VLOOKUP($E22,'7. PGE_Efficacité'!$A$6:$BT$266,(MATCH('4.6 ACE MAX CAN '!Q$4,'7. PGE_Efficacité'!$A$4:$BU$4,0)+31),0)</f>
        <v>0</v>
      </c>
      <c r="R22" s="149">
        <f>VLOOKUP($E22,'7. PGE_Efficacité'!$A$6:$BT$266,(MATCH('4.6 ACE MAX CAN '!R$4,'7. PGE_Efficacité'!$A$4:$BU$4,0)+31),0)</f>
        <v>0</v>
      </c>
      <c r="S22" s="149">
        <f>VLOOKUP($E22,'7. PGE_Efficacité'!$A$6:$BT$266,(MATCH('4.6 ACE MAX CAN '!S$4,'7. PGE_Efficacité'!$A$4:$BU$4,0)+31),0)</f>
        <v>0</v>
      </c>
      <c r="T22" s="149">
        <f>VLOOKUP($E22,'7. PGE_Efficacité'!$A$6:$BT$266,(MATCH('4.6 ACE MAX CAN '!T$4,'7. PGE_Efficacité'!$A$4:$BU$4,0)+31),0)</f>
        <v>0</v>
      </c>
      <c r="U22" s="149">
        <f>VLOOKUP($E22,'7. PGE_Efficacité'!$A$6:$BT$266,(MATCH('4.6 ACE MAX CAN '!U$4,'7. PGE_Efficacité'!$A$4:$BU$4,0)+31),0)</f>
        <v>0</v>
      </c>
      <c r="V22" s="149">
        <f>VLOOKUP($E22,'7. PGE_Efficacité'!$A$6:$BT$266,(MATCH('4.6 ACE MAX CAN '!V$4,'7. PGE_Efficacité'!$A$4:$BU$4,0)+31),0)</f>
        <v>0</v>
      </c>
      <c r="W22" s="149">
        <f>VLOOKUP($E22,'7. PGE_Efficacité'!$A$6:$BT$266,(MATCH('4.6 ACE MAX CAN '!W$4,'7. PGE_Efficacité'!$A$4:$BU$4,0)+31),0)</f>
        <v>0</v>
      </c>
      <c r="X22" s="149">
        <f>VLOOKUP($E22,'7. PGE_Efficacité'!$A$6:$BT$266,(MATCH('4.6 ACE MAX CAN '!X$4,'7. PGE_Efficacité'!$A$4:$BU$4,0)+31),0)</f>
        <v>0</v>
      </c>
      <c r="Y22" s="212">
        <f>VLOOKUP($E22,'7. PGE_Efficacité'!$A$6:$BT$266,(MATCH('4.6 ACE MAX CAN '!Y$4,'7. PGE_Efficacité'!$A$4:$BU$4,0)+31),0)</f>
        <v>0</v>
      </c>
      <c r="Z22" s="212">
        <f>VLOOKUP($E22,'7. PGE_Efficacité'!$A$6:$BT$266,(MATCH('4.6 ACE MAX CAN '!Z$4,'7. PGE_Efficacité'!$A$4:$BU$4,0)+31),0)</f>
        <v>0</v>
      </c>
      <c r="AA22" s="212">
        <f>VLOOKUP($E22,'7. PGE_Efficacité'!$A$6:$BT$266,(MATCH('4.6 ACE MAX CAN '!AA$4,'7. PGE_Efficacité'!$A$4:$BU$4,0)+31),0)</f>
        <v>0</v>
      </c>
      <c r="AB22" s="212">
        <f>VLOOKUP($E22,'7. PGE_Efficacité'!$A$6:$BT$266,(MATCH('4.6 ACE MAX CAN '!AB$4,'7. PGE_Efficacité'!$A$4:$BU$4,0)+31),0)</f>
        <v>0</v>
      </c>
      <c r="AC22" s="212">
        <f>VLOOKUP($E22,'7. PGE_Efficacité'!$A$6:$BT$266,(MATCH('4.6 ACE MAX CAN '!AC$4,'7. PGE_Efficacité'!$A$4:$BU$4,0)+31),0)</f>
        <v>0</v>
      </c>
      <c r="AD22" s="212">
        <f>VLOOKUP($E22,'7. PGE_Efficacité'!$A$6:$BT$266,(MATCH('4.6 ACE MAX CAN '!AD$4,'7. PGE_Efficacité'!$A$4:$BU$4,0)+31),0)</f>
        <v>0</v>
      </c>
      <c r="AE22" s="212">
        <f>VLOOKUP($E22,'7. PGE_Efficacité'!$A$6:$BT$266,(MATCH('4.6 ACE MAX CAN '!AE$4,'7. PGE_Efficacité'!$A$4:$BU$4,0)+31),0)</f>
        <v>0</v>
      </c>
      <c r="AF22" s="212">
        <f>VLOOKUP($E22,'7. PGE_Efficacité'!$A$6:$BT$266,(MATCH('4.6 ACE MAX CAN '!AF$4,'7. PGE_Efficacité'!$A$4:$BU$4,0)+31),0)</f>
        <v>0</v>
      </c>
      <c r="AG22" s="212">
        <f>VLOOKUP($E22,'7. PGE_Efficacité'!$A$6:$BT$266,(MATCH('4.6 ACE MAX CAN '!AG$4,'7. PGE_Efficacité'!$A$4:$BU$4,0)+31),0)</f>
        <v>0</v>
      </c>
      <c r="AH22" s="212">
        <f>VLOOKUP($E22,'7. PGE_Efficacité'!$A$6:$BT$266,(MATCH('4.6 ACE MAX CAN '!AH$4,'7. PGE_Efficacité'!$A$4:$BU$4,0)+31),0)</f>
        <v>0</v>
      </c>
      <c r="AI22" s="212">
        <f>VLOOKUP($E22,'7. PGE_Efficacité'!$A$6:$BT$266,(MATCH('4.6 ACE MAX CAN '!AI$4,'7. PGE_Efficacité'!$A$4:$BU$4,0)+31),0)</f>
        <v>0</v>
      </c>
      <c r="AJ22" s="212">
        <f>VLOOKUP($E22,'7. PGE_Efficacité'!$A$6:$BT$266,(MATCH('4.6 ACE MAX CAN '!AJ$4,'7. PGE_Efficacité'!$A$4:$BU$4,0)+31),0)</f>
        <v>0</v>
      </c>
      <c r="AK22" s="212">
        <f>VLOOKUP($E22,'7. PGE_Efficacité'!$A$6:$BT$266,(MATCH('4.6 ACE MAX CAN '!AK$4,'7. PGE_Efficacité'!$A$4:$BU$4,0)+31),0)</f>
        <v>0</v>
      </c>
      <c r="AL22" s="212">
        <f>VLOOKUP($E22,'7. PGE_Efficacité'!$A$6:$BT$266,(MATCH('4.6 ACE MAX CAN '!AL$4,'7. PGE_Efficacité'!$A$4:$BU$4,0)+31),0)</f>
        <v>0</v>
      </c>
      <c r="AM22" s="212">
        <f>VLOOKUP($E22,'7. PGE_Efficacité'!$A$6:$BT$266,(MATCH('4.6 ACE MAX CAN '!AM$4,'7. PGE_Efficacité'!$A$4:$BU$4,0)+31),0)</f>
        <v>0</v>
      </c>
      <c r="AN22" s="212">
        <f>VLOOKUP($E22,'7. PGE_Efficacité'!$A$6:$BT$266,(MATCH('4.6 ACE MAX CAN '!AN$4,'7. PGE_Efficacité'!$A$4:$BU$4,0)+31),0)</f>
        <v>0</v>
      </c>
    </row>
    <row r="23" spans="1:40" outlineLevel="2" x14ac:dyDescent="0.25">
      <c r="A23" t="s">
        <v>1524</v>
      </c>
      <c r="B23">
        <v>4</v>
      </c>
      <c r="C23" t="s">
        <v>1529</v>
      </c>
      <c r="D23" s="12" t="s">
        <v>3</v>
      </c>
      <c r="E23" s="12" t="s">
        <v>794</v>
      </c>
      <c r="F23" s="12" t="s">
        <v>1432</v>
      </c>
      <c r="G23" s="12" t="s">
        <v>1520</v>
      </c>
      <c r="H23" s="12" t="s">
        <v>1290</v>
      </c>
      <c r="I23" s="148"/>
      <c r="J23" s="149">
        <f>VLOOKUP($E23,'7. PGE_Efficacité'!$A$6:$BT$266,(MATCH('4.6 ACE MAX CAN '!J$4,'7. PGE_Efficacité'!$A$4:$BU$4,0)+31),0)</f>
        <v>0</v>
      </c>
      <c r="K23" s="149">
        <f>VLOOKUP($E23,'7. PGE_Efficacité'!$A$6:$BT$266,(MATCH('4.6 ACE MAX CAN '!K$4,'7. PGE_Efficacité'!$A$4:$BU$4,0)+31),0)</f>
        <v>0</v>
      </c>
      <c r="L23" s="149">
        <f>VLOOKUP($E23,'7. PGE_Efficacité'!$A$6:$BT$266,(MATCH('4.6 ACE MAX CAN '!L$4,'7. PGE_Efficacité'!$A$4:$BU$4,0)+31),0)</f>
        <v>0</v>
      </c>
      <c r="M23" s="149">
        <f>VLOOKUP($E23,'7. PGE_Efficacité'!$A$6:$BT$266,(MATCH('4.6 ACE MAX CAN '!M$4,'7. PGE_Efficacité'!$A$4:$BU$4,0)+31),0)</f>
        <v>0</v>
      </c>
      <c r="N23" s="149">
        <f>VLOOKUP($E23,'7. PGE_Efficacité'!$A$6:$BT$266,(MATCH('4.6 ACE MAX CAN '!N$4,'7. PGE_Efficacité'!$A$4:$BU$4,0)+31),0)</f>
        <v>0</v>
      </c>
      <c r="O23" s="149">
        <f>VLOOKUP($D23,'7. PGE_Efficacité'!$A$6:$BT$268,47,0)</f>
        <v>0</v>
      </c>
      <c r="P23" s="149">
        <f>VLOOKUP($E23,'7. PGE_Efficacité'!$A$6:$BT$266,(MATCH('4.6 ACE MAX CAN '!P$4,'7. PGE_Efficacité'!$A$4:$BU$4,0)+31),0)</f>
        <v>0</v>
      </c>
      <c r="Q23" s="149">
        <f>VLOOKUP($E23,'7. PGE_Efficacité'!$A$6:$BT$266,(MATCH('4.6 ACE MAX CAN '!Q$4,'7. PGE_Efficacité'!$A$4:$BU$4,0)+31),0)</f>
        <v>0</v>
      </c>
      <c r="R23" s="149">
        <f>VLOOKUP($E23,'7. PGE_Efficacité'!$A$6:$BT$266,(MATCH('4.6 ACE MAX CAN '!R$4,'7. PGE_Efficacité'!$A$4:$BU$4,0)+31),0)</f>
        <v>0</v>
      </c>
      <c r="S23" s="149">
        <f>VLOOKUP($E23,'7. PGE_Efficacité'!$A$6:$BT$266,(MATCH('4.6 ACE MAX CAN '!S$4,'7. PGE_Efficacité'!$A$4:$BU$4,0)+31),0)</f>
        <v>0</v>
      </c>
      <c r="T23" s="149">
        <f>VLOOKUP($E23,'7. PGE_Efficacité'!$A$6:$BT$266,(MATCH('4.6 ACE MAX CAN '!T$4,'7. PGE_Efficacité'!$A$4:$BU$4,0)+31),0)</f>
        <v>0</v>
      </c>
      <c r="U23" s="149">
        <f>VLOOKUP($E23,'7. PGE_Efficacité'!$A$6:$BT$266,(MATCH('4.6 ACE MAX CAN '!U$4,'7. PGE_Efficacité'!$A$4:$BU$4,0)+31),0)</f>
        <v>0</v>
      </c>
      <c r="V23" s="149">
        <f>VLOOKUP($E23,'7. PGE_Efficacité'!$A$6:$BT$266,(MATCH('4.6 ACE MAX CAN '!V$4,'7. PGE_Efficacité'!$A$4:$BU$4,0)+31),0)</f>
        <v>0</v>
      </c>
      <c r="W23" s="149">
        <f>VLOOKUP($E23,'7. PGE_Efficacité'!$A$6:$BT$266,(MATCH('4.6 ACE MAX CAN '!W$4,'7. PGE_Efficacité'!$A$4:$BU$4,0)+31),0)</f>
        <v>0</v>
      </c>
      <c r="X23" s="149">
        <f>VLOOKUP($E23,'7. PGE_Efficacité'!$A$6:$BT$266,(MATCH('4.6 ACE MAX CAN '!X$4,'7. PGE_Efficacité'!$A$4:$BU$4,0)+31),0)</f>
        <v>0</v>
      </c>
      <c r="Y23" s="212">
        <f>VLOOKUP($E23,'7. PGE_Efficacité'!$A$6:$BT$266,(MATCH('4.6 ACE MAX CAN '!Y$4,'7. PGE_Efficacité'!$A$4:$BU$4,0)+31),0)</f>
        <v>0</v>
      </c>
      <c r="Z23" s="212">
        <f>VLOOKUP($E23,'7. PGE_Efficacité'!$A$6:$BT$266,(MATCH('4.6 ACE MAX CAN '!Z$4,'7. PGE_Efficacité'!$A$4:$BU$4,0)+31),0)</f>
        <v>0</v>
      </c>
      <c r="AA23" s="212">
        <f>VLOOKUP($E23,'7. PGE_Efficacité'!$A$6:$BT$266,(MATCH('4.6 ACE MAX CAN '!AA$4,'7. PGE_Efficacité'!$A$4:$BU$4,0)+31),0)</f>
        <v>0</v>
      </c>
      <c r="AB23" s="212">
        <f>VLOOKUP($E23,'7. PGE_Efficacité'!$A$6:$BT$266,(MATCH('4.6 ACE MAX CAN '!AB$4,'7. PGE_Efficacité'!$A$4:$BU$4,0)+31),0)</f>
        <v>0</v>
      </c>
      <c r="AC23" s="212">
        <f>VLOOKUP($E23,'7. PGE_Efficacité'!$A$6:$BT$266,(MATCH('4.6 ACE MAX CAN '!AC$4,'7. PGE_Efficacité'!$A$4:$BU$4,0)+31),0)</f>
        <v>0</v>
      </c>
      <c r="AD23" s="212">
        <f>VLOOKUP($E23,'7. PGE_Efficacité'!$A$6:$BT$266,(MATCH('4.6 ACE MAX CAN '!AD$4,'7. PGE_Efficacité'!$A$4:$BU$4,0)+31),0)</f>
        <v>0</v>
      </c>
      <c r="AE23" s="212">
        <f>VLOOKUP($E23,'7. PGE_Efficacité'!$A$6:$BT$266,(MATCH('4.6 ACE MAX CAN '!AE$4,'7. PGE_Efficacité'!$A$4:$BU$4,0)+31),0)</f>
        <v>0</v>
      </c>
      <c r="AF23" s="212">
        <f>VLOOKUP($E23,'7. PGE_Efficacité'!$A$6:$BT$266,(MATCH('4.6 ACE MAX CAN '!AF$4,'7. PGE_Efficacité'!$A$4:$BU$4,0)+31),0)</f>
        <v>0</v>
      </c>
      <c r="AG23" s="212">
        <f>VLOOKUP($E23,'7. PGE_Efficacité'!$A$6:$BT$266,(MATCH('4.6 ACE MAX CAN '!AG$4,'7. PGE_Efficacité'!$A$4:$BU$4,0)+31),0)</f>
        <v>0</v>
      </c>
      <c r="AH23" s="212">
        <f>VLOOKUP($E23,'7. PGE_Efficacité'!$A$6:$BT$266,(MATCH('4.6 ACE MAX CAN '!AH$4,'7. PGE_Efficacité'!$A$4:$BU$4,0)+31),0)</f>
        <v>0</v>
      </c>
      <c r="AI23" s="212">
        <f>VLOOKUP($E23,'7. PGE_Efficacité'!$A$6:$BT$266,(MATCH('4.6 ACE MAX CAN '!AI$4,'7. PGE_Efficacité'!$A$4:$BU$4,0)+31),0)</f>
        <v>0</v>
      </c>
      <c r="AJ23" s="212">
        <f>VLOOKUP($E23,'7. PGE_Efficacité'!$A$6:$BT$266,(MATCH('4.6 ACE MAX CAN '!AJ$4,'7. PGE_Efficacité'!$A$4:$BU$4,0)+31),0)</f>
        <v>0</v>
      </c>
      <c r="AK23" s="212">
        <f>VLOOKUP($E23,'7. PGE_Efficacité'!$A$6:$BT$266,(MATCH('4.6 ACE MAX CAN '!AK$4,'7. PGE_Efficacité'!$A$4:$BU$4,0)+31),0)</f>
        <v>0</v>
      </c>
      <c r="AL23" s="212">
        <f>VLOOKUP($E23,'7. PGE_Efficacité'!$A$6:$BT$266,(MATCH('4.6 ACE MAX CAN '!AL$4,'7. PGE_Efficacité'!$A$4:$BU$4,0)+31),0)</f>
        <v>0</v>
      </c>
      <c r="AM23" s="212">
        <f>VLOOKUP($E23,'7. PGE_Efficacité'!$A$6:$BT$266,(MATCH('4.6 ACE MAX CAN '!AM$4,'7. PGE_Efficacité'!$A$4:$BU$4,0)+31),0)</f>
        <v>0</v>
      </c>
      <c r="AN23" s="212">
        <f>VLOOKUP($E23,'7. PGE_Efficacité'!$A$6:$BT$266,(MATCH('4.6 ACE MAX CAN '!AN$4,'7. PGE_Efficacité'!$A$4:$BU$4,0)+31),0)</f>
        <v>0</v>
      </c>
    </row>
    <row r="24" spans="1:40" outlineLevel="2" x14ac:dyDescent="0.25">
      <c r="A24" t="s">
        <v>1524</v>
      </c>
      <c r="B24">
        <v>4</v>
      </c>
      <c r="C24" t="s">
        <v>1530</v>
      </c>
      <c r="D24" s="12" t="s">
        <v>3</v>
      </c>
      <c r="E24" s="12" t="s">
        <v>795</v>
      </c>
      <c r="F24" s="12" t="s">
        <v>1433</v>
      </c>
      <c r="G24" s="12" t="s">
        <v>1520</v>
      </c>
      <c r="H24" s="12" t="s">
        <v>1290</v>
      </c>
      <c r="I24" s="148"/>
      <c r="J24" s="149">
        <f>VLOOKUP($E24,'7. PGE_Efficacité'!$A$6:$BT$266,(MATCH('4.6 ACE MAX CAN '!J$4,'7. PGE_Efficacité'!$A$4:$BU$4,0)+31),0)</f>
        <v>0</v>
      </c>
      <c r="K24" s="149">
        <f>VLOOKUP($E24,'7. PGE_Efficacité'!$A$6:$BT$266,(MATCH('4.6 ACE MAX CAN '!K$4,'7. PGE_Efficacité'!$A$4:$BU$4,0)+31),0)</f>
        <v>0</v>
      </c>
      <c r="L24" s="149">
        <f>VLOOKUP($E24,'7. PGE_Efficacité'!$A$6:$BT$266,(MATCH('4.6 ACE MAX CAN '!L$4,'7. PGE_Efficacité'!$A$4:$BU$4,0)+31),0)</f>
        <v>0</v>
      </c>
      <c r="M24" s="149">
        <f>VLOOKUP($E24,'7. PGE_Efficacité'!$A$6:$BT$266,(MATCH('4.6 ACE MAX CAN '!M$4,'7. PGE_Efficacité'!$A$4:$BU$4,0)+31),0)</f>
        <v>0</v>
      </c>
      <c r="N24" s="149">
        <f>VLOOKUP($E24,'7. PGE_Efficacité'!$A$6:$BT$266,(MATCH('4.6 ACE MAX CAN '!N$4,'7. PGE_Efficacité'!$A$4:$BU$4,0)+31),0)</f>
        <v>0</v>
      </c>
      <c r="O24" s="149">
        <f>VLOOKUP($D24,'7. PGE_Efficacité'!$A$6:$BT$268,47,0)</f>
        <v>0</v>
      </c>
      <c r="P24" s="149">
        <f>VLOOKUP($E24,'7. PGE_Efficacité'!$A$6:$BT$266,(MATCH('4.6 ACE MAX CAN '!P$4,'7. PGE_Efficacité'!$A$4:$BU$4,0)+31),0)</f>
        <v>0</v>
      </c>
      <c r="Q24" s="149">
        <f>VLOOKUP($E24,'7. PGE_Efficacité'!$A$6:$BT$266,(MATCH('4.6 ACE MAX CAN '!Q$4,'7. PGE_Efficacité'!$A$4:$BU$4,0)+31),0)</f>
        <v>0</v>
      </c>
      <c r="R24" s="149">
        <f>VLOOKUP($E24,'7. PGE_Efficacité'!$A$6:$BT$266,(MATCH('4.6 ACE MAX CAN '!R$4,'7. PGE_Efficacité'!$A$4:$BU$4,0)+31),0)</f>
        <v>0</v>
      </c>
      <c r="S24" s="149">
        <f>VLOOKUP($E24,'7. PGE_Efficacité'!$A$6:$BT$266,(MATCH('4.6 ACE MAX CAN '!S$4,'7. PGE_Efficacité'!$A$4:$BU$4,0)+31),0)</f>
        <v>0</v>
      </c>
      <c r="T24" s="149">
        <f>VLOOKUP($E24,'7. PGE_Efficacité'!$A$6:$BT$266,(MATCH('4.6 ACE MAX CAN '!T$4,'7. PGE_Efficacité'!$A$4:$BU$4,0)+31),0)</f>
        <v>0</v>
      </c>
      <c r="U24" s="149">
        <f>VLOOKUP($E24,'7. PGE_Efficacité'!$A$6:$BT$266,(MATCH('4.6 ACE MAX CAN '!U$4,'7. PGE_Efficacité'!$A$4:$BU$4,0)+31),0)</f>
        <v>0</v>
      </c>
      <c r="V24" s="149">
        <f>VLOOKUP($E24,'7. PGE_Efficacité'!$A$6:$BT$266,(MATCH('4.6 ACE MAX CAN '!V$4,'7. PGE_Efficacité'!$A$4:$BU$4,0)+31),0)</f>
        <v>0</v>
      </c>
      <c r="W24" s="149">
        <f>VLOOKUP($E24,'7. PGE_Efficacité'!$A$6:$BT$266,(MATCH('4.6 ACE MAX CAN '!W$4,'7. PGE_Efficacité'!$A$4:$BU$4,0)+31),0)</f>
        <v>0</v>
      </c>
      <c r="X24" s="149">
        <f>VLOOKUP($E24,'7. PGE_Efficacité'!$A$6:$BT$266,(MATCH('4.6 ACE MAX CAN '!X$4,'7. PGE_Efficacité'!$A$4:$BU$4,0)+31),0)</f>
        <v>0</v>
      </c>
      <c r="Y24" s="212">
        <f>VLOOKUP($E24,'7. PGE_Efficacité'!$A$6:$BT$266,(MATCH('4.6 ACE MAX CAN '!Y$4,'7. PGE_Efficacité'!$A$4:$BU$4,0)+31),0)</f>
        <v>0</v>
      </c>
      <c r="Z24" s="212">
        <f>VLOOKUP($E24,'7. PGE_Efficacité'!$A$6:$BT$266,(MATCH('4.6 ACE MAX CAN '!Z$4,'7. PGE_Efficacité'!$A$4:$BU$4,0)+31),0)</f>
        <v>0</v>
      </c>
      <c r="AA24" s="212">
        <f>VLOOKUP($E24,'7. PGE_Efficacité'!$A$6:$BT$266,(MATCH('4.6 ACE MAX CAN '!AA$4,'7. PGE_Efficacité'!$A$4:$BU$4,0)+31),0)</f>
        <v>0</v>
      </c>
      <c r="AB24" s="212">
        <f>VLOOKUP($E24,'7. PGE_Efficacité'!$A$6:$BT$266,(MATCH('4.6 ACE MAX CAN '!AB$4,'7. PGE_Efficacité'!$A$4:$BU$4,0)+31),0)</f>
        <v>0</v>
      </c>
      <c r="AC24" s="212">
        <f>VLOOKUP($E24,'7. PGE_Efficacité'!$A$6:$BT$266,(MATCH('4.6 ACE MAX CAN '!AC$4,'7. PGE_Efficacité'!$A$4:$BU$4,0)+31),0)</f>
        <v>0</v>
      </c>
      <c r="AD24" s="212">
        <f>VLOOKUP($E24,'7. PGE_Efficacité'!$A$6:$BT$266,(MATCH('4.6 ACE MAX CAN '!AD$4,'7. PGE_Efficacité'!$A$4:$BU$4,0)+31),0)</f>
        <v>0</v>
      </c>
      <c r="AE24" s="212">
        <f>VLOOKUP($E24,'7. PGE_Efficacité'!$A$6:$BT$266,(MATCH('4.6 ACE MAX CAN '!AE$4,'7. PGE_Efficacité'!$A$4:$BU$4,0)+31),0)</f>
        <v>0</v>
      </c>
      <c r="AF24" s="212">
        <f>VLOOKUP($E24,'7. PGE_Efficacité'!$A$6:$BT$266,(MATCH('4.6 ACE MAX CAN '!AF$4,'7. PGE_Efficacité'!$A$4:$BU$4,0)+31),0)</f>
        <v>0</v>
      </c>
      <c r="AG24" s="212">
        <f>VLOOKUP($E24,'7. PGE_Efficacité'!$A$6:$BT$266,(MATCH('4.6 ACE MAX CAN '!AG$4,'7. PGE_Efficacité'!$A$4:$BU$4,0)+31),0)</f>
        <v>0</v>
      </c>
      <c r="AH24" s="212">
        <f>VLOOKUP($E24,'7. PGE_Efficacité'!$A$6:$BT$266,(MATCH('4.6 ACE MAX CAN '!AH$4,'7. PGE_Efficacité'!$A$4:$BU$4,0)+31),0)</f>
        <v>0</v>
      </c>
      <c r="AI24" s="212">
        <f>VLOOKUP($E24,'7. PGE_Efficacité'!$A$6:$BT$266,(MATCH('4.6 ACE MAX CAN '!AI$4,'7. PGE_Efficacité'!$A$4:$BU$4,0)+31),0)</f>
        <v>0</v>
      </c>
      <c r="AJ24" s="212">
        <f>VLOOKUP($E24,'7. PGE_Efficacité'!$A$6:$BT$266,(MATCH('4.6 ACE MAX CAN '!AJ$4,'7. PGE_Efficacité'!$A$4:$BU$4,0)+31),0)</f>
        <v>0</v>
      </c>
      <c r="AK24" s="212">
        <f>VLOOKUP($E24,'7. PGE_Efficacité'!$A$6:$BT$266,(MATCH('4.6 ACE MAX CAN '!AK$4,'7. PGE_Efficacité'!$A$4:$BU$4,0)+31),0)</f>
        <v>0</v>
      </c>
      <c r="AL24" s="212">
        <f>VLOOKUP($E24,'7. PGE_Efficacité'!$A$6:$BT$266,(MATCH('4.6 ACE MAX CAN '!AL$4,'7. PGE_Efficacité'!$A$4:$BU$4,0)+31),0)</f>
        <v>0</v>
      </c>
      <c r="AM24" s="212">
        <f>VLOOKUP($E24,'7. PGE_Efficacité'!$A$6:$BT$266,(MATCH('4.6 ACE MAX CAN '!AM$4,'7. PGE_Efficacité'!$A$4:$BU$4,0)+31),0)</f>
        <v>0</v>
      </c>
      <c r="AN24" s="212">
        <f>VLOOKUP($E24,'7. PGE_Efficacité'!$A$6:$BT$266,(MATCH('4.6 ACE MAX CAN '!AN$4,'7. PGE_Efficacité'!$A$4:$BU$4,0)+31),0)</f>
        <v>0</v>
      </c>
    </row>
    <row r="25" spans="1:40" outlineLevel="2" x14ac:dyDescent="0.25">
      <c r="A25" t="s">
        <v>1524</v>
      </c>
      <c r="B25">
        <v>4</v>
      </c>
      <c r="C25" t="s">
        <v>1531</v>
      </c>
      <c r="D25" s="12" t="s">
        <v>3</v>
      </c>
      <c r="E25" s="12" t="s">
        <v>796</v>
      </c>
      <c r="F25" s="12" t="s">
        <v>1434</v>
      </c>
      <c r="G25" s="12" t="s">
        <v>1520</v>
      </c>
      <c r="H25" s="12" t="s">
        <v>1290</v>
      </c>
      <c r="I25" s="148"/>
      <c r="J25" s="149">
        <f>VLOOKUP($E25,'7. PGE_Efficacité'!$A$6:$BT$266,(MATCH('4.6 ACE MAX CAN '!J$4,'7. PGE_Efficacité'!$A$4:$BU$4,0)+31),0)</f>
        <v>0</v>
      </c>
      <c r="K25" s="149">
        <f>VLOOKUP($E25,'7. PGE_Efficacité'!$A$6:$BT$266,(MATCH('4.6 ACE MAX CAN '!K$4,'7. PGE_Efficacité'!$A$4:$BU$4,0)+31),0)</f>
        <v>0</v>
      </c>
      <c r="L25" s="149">
        <f>VLOOKUP($E25,'7. PGE_Efficacité'!$A$6:$BT$266,(MATCH('4.6 ACE MAX CAN '!L$4,'7. PGE_Efficacité'!$A$4:$BU$4,0)+31),0)</f>
        <v>0</v>
      </c>
      <c r="M25" s="149">
        <f>VLOOKUP($E25,'7. PGE_Efficacité'!$A$6:$BT$266,(MATCH('4.6 ACE MAX CAN '!M$4,'7. PGE_Efficacité'!$A$4:$BU$4,0)+31),0)</f>
        <v>0</v>
      </c>
      <c r="N25" s="149">
        <f>VLOOKUP($E25,'7. PGE_Efficacité'!$A$6:$BT$266,(MATCH('4.6 ACE MAX CAN '!N$4,'7. PGE_Efficacité'!$A$4:$BU$4,0)+31),0)</f>
        <v>0</v>
      </c>
      <c r="O25" s="149">
        <f>VLOOKUP($D25,'7. PGE_Efficacité'!$A$6:$BT$268,47,0)</f>
        <v>0</v>
      </c>
      <c r="P25" s="149">
        <f>VLOOKUP($E25,'7. PGE_Efficacité'!$A$6:$BT$266,(MATCH('4.6 ACE MAX CAN '!P$4,'7. PGE_Efficacité'!$A$4:$BU$4,0)+31),0)</f>
        <v>0</v>
      </c>
      <c r="Q25" s="149">
        <f>VLOOKUP($E25,'7. PGE_Efficacité'!$A$6:$BT$266,(MATCH('4.6 ACE MAX CAN '!Q$4,'7. PGE_Efficacité'!$A$4:$BU$4,0)+31),0)</f>
        <v>0</v>
      </c>
      <c r="R25" s="149">
        <f>VLOOKUP($E25,'7. PGE_Efficacité'!$A$6:$BT$266,(MATCH('4.6 ACE MAX CAN '!R$4,'7. PGE_Efficacité'!$A$4:$BU$4,0)+31),0)</f>
        <v>0</v>
      </c>
      <c r="S25" s="149">
        <f>VLOOKUP($E25,'7. PGE_Efficacité'!$A$6:$BT$266,(MATCH('4.6 ACE MAX CAN '!S$4,'7. PGE_Efficacité'!$A$4:$BU$4,0)+31),0)</f>
        <v>0</v>
      </c>
      <c r="T25" s="149">
        <f>VLOOKUP($E25,'7. PGE_Efficacité'!$A$6:$BT$266,(MATCH('4.6 ACE MAX CAN '!T$4,'7. PGE_Efficacité'!$A$4:$BU$4,0)+31),0)</f>
        <v>0</v>
      </c>
      <c r="U25" s="149">
        <f>VLOOKUP($E25,'7. PGE_Efficacité'!$A$6:$BT$266,(MATCH('4.6 ACE MAX CAN '!U$4,'7. PGE_Efficacité'!$A$4:$BU$4,0)+31),0)</f>
        <v>0</v>
      </c>
      <c r="V25" s="149">
        <f>VLOOKUP($E25,'7. PGE_Efficacité'!$A$6:$BT$266,(MATCH('4.6 ACE MAX CAN '!V$4,'7. PGE_Efficacité'!$A$4:$BU$4,0)+31),0)</f>
        <v>0</v>
      </c>
      <c r="W25" s="149">
        <f>VLOOKUP($E25,'7. PGE_Efficacité'!$A$6:$BT$266,(MATCH('4.6 ACE MAX CAN '!W$4,'7. PGE_Efficacité'!$A$4:$BU$4,0)+31),0)</f>
        <v>0</v>
      </c>
      <c r="X25" s="149">
        <f>VLOOKUP($E25,'7. PGE_Efficacité'!$A$6:$BT$266,(MATCH('4.6 ACE MAX CAN '!X$4,'7. PGE_Efficacité'!$A$4:$BU$4,0)+31),0)</f>
        <v>0</v>
      </c>
      <c r="Y25" s="212">
        <f>VLOOKUP($E25,'7. PGE_Efficacité'!$A$6:$BT$266,(MATCH('4.6 ACE MAX CAN '!Y$4,'7. PGE_Efficacité'!$A$4:$BU$4,0)+31),0)</f>
        <v>0</v>
      </c>
      <c r="Z25" s="212">
        <f>VLOOKUP($E25,'7. PGE_Efficacité'!$A$6:$BT$266,(MATCH('4.6 ACE MAX CAN '!Z$4,'7. PGE_Efficacité'!$A$4:$BU$4,0)+31),0)</f>
        <v>0</v>
      </c>
      <c r="AA25" s="212">
        <f>VLOOKUP($E25,'7. PGE_Efficacité'!$A$6:$BT$266,(MATCH('4.6 ACE MAX CAN '!AA$4,'7. PGE_Efficacité'!$A$4:$BU$4,0)+31),0)</f>
        <v>0</v>
      </c>
      <c r="AB25" s="212">
        <f>VLOOKUP($E25,'7. PGE_Efficacité'!$A$6:$BT$266,(MATCH('4.6 ACE MAX CAN '!AB$4,'7. PGE_Efficacité'!$A$4:$BU$4,0)+31),0)</f>
        <v>0</v>
      </c>
      <c r="AC25" s="212">
        <f>VLOOKUP($E25,'7. PGE_Efficacité'!$A$6:$BT$266,(MATCH('4.6 ACE MAX CAN '!AC$4,'7. PGE_Efficacité'!$A$4:$BU$4,0)+31),0)</f>
        <v>0</v>
      </c>
      <c r="AD25" s="212">
        <f>VLOOKUP($E25,'7. PGE_Efficacité'!$A$6:$BT$266,(MATCH('4.6 ACE MAX CAN '!AD$4,'7. PGE_Efficacité'!$A$4:$BU$4,0)+31),0)</f>
        <v>0</v>
      </c>
      <c r="AE25" s="212">
        <f>VLOOKUP($E25,'7. PGE_Efficacité'!$A$6:$BT$266,(MATCH('4.6 ACE MAX CAN '!AE$4,'7. PGE_Efficacité'!$A$4:$BU$4,0)+31),0)</f>
        <v>0</v>
      </c>
      <c r="AF25" s="212">
        <f>VLOOKUP($E25,'7. PGE_Efficacité'!$A$6:$BT$266,(MATCH('4.6 ACE MAX CAN '!AF$4,'7. PGE_Efficacité'!$A$4:$BU$4,0)+31),0)</f>
        <v>0</v>
      </c>
      <c r="AG25" s="212">
        <f>VLOOKUP($E25,'7. PGE_Efficacité'!$A$6:$BT$266,(MATCH('4.6 ACE MAX CAN '!AG$4,'7. PGE_Efficacité'!$A$4:$BU$4,0)+31),0)</f>
        <v>0</v>
      </c>
      <c r="AH25" s="212">
        <f>VLOOKUP($E25,'7. PGE_Efficacité'!$A$6:$BT$266,(MATCH('4.6 ACE MAX CAN '!AH$4,'7. PGE_Efficacité'!$A$4:$BU$4,0)+31),0)</f>
        <v>0</v>
      </c>
      <c r="AI25" s="212">
        <f>VLOOKUP($E25,'7. PGE_Efficacité'!$A$6:$BT$266,(MATCH('4.6 ACE MAX CAN '!AI$4,'7. PGE_Efficacité'!$A$4:$BU$4,0)+31),0)</f>
        <v>0</v>
      </c>
      <c r="AJ25" s="212">
        <f>VLOOKUP($E25,'7. PGE_Efficacité'!$A$6:$BT$266,(MATCH('4.6 ACE MAX CAN '!AJ$4,'7. PGE_Efficacité'!$A$4:$BU$4,0)+31),0)</f>
        <v>0</v>
      </c>
      <c r="AK25" s="212">
        <f>VLOOKUP($E25,'7. PGE_Efficacité'!$A$6:$BT$266,(MATCH('4.6 ACE MAX CAN '!AK$4,'7. PGE_Efficacité'!$A$4:$BU$4,0)+31),0)</f>
        <v>0</v>
      </c>
      <c r="AL25" s="212">
        <f>VLOOKUP($E25,'7. PGE_Efficacité'!$A$6:$BT$266,(MATCH('4.6 ACE MAX CAN '!AL$4,'7. PGE_Efficacité'!$A$4:$BU$4,0)+31),0)</f>
        <v>0</v>
      </c>
      <c r="AM25" s="212">
        <f>VLOOKUP($E25,'7. PGE_Efficacité'!$A$6:$BT$266,(MATCH('4.6 ACE MAX CAN '!AM$4,'7. PGE_Efficacité'!$A$4:$BU$4,0)+31),0)</f>
        <v>0</v>
      </c>
      <c r="AN25" s="212">
        <f>VLOOKUP($E25,'7. PGE_Efficacité'!$A$6:$BT$266,(MATCH('4.6 ACE MAX CAN '!AN$4,'7. PGE_Efficacité'!$A$4:$BU$4,0)+31),0)</f>
        <v>0</v>
      </c>
    </row>
    <row r="26" spans="1:40" outlineLevel="2" x14ac:dyDescent="0.25">
      <c r="A26" t="s">
        <v>1524</v>
      </c>
      <c r="B26">
        <v>4</v>
      </c>
      <c r="C26" t="s">
        <v>1503</v>
      </c>
      <c r="D26" s="12" t="s">
        <v>3</v>
      </c>
      <c r="E26" s="12" t="s">
        <v>785</v>
      </c>
      <c r="F26" s="12" t="s">
        <v>1423</v>
      </c>
      <c r="G26" s="12" t="s">
        <v>1520</v>
      </c>
      <c r="H26" s="12" t="s">
        <v>1290</v>
      </c>
      <c r="I26" s="148"/>
      <c r="J26" s="149">
        <f>VLOOKUP($E26,'7. PGE_Efficacité'!$A$6:$BT$266,(MATCH('4.6 ACE MAX CAN '!J$4,'7. PGE_Efficacité'!$A$4:$BU$4,0)+31),0)</f>
        <v>0</v>
      </c>
      <c r="K26" s="149">
        <f>VLOOKUP($E26,'7. PGE_Efficacité'!$A$6:$BT$266,(MATCH('4.6 ACE MAX CAN '!K$4,'7. PGE_Efficacité'!$A$4:$BU$4,0)+31),0)</f>
        <v>0</v>
      </c>
      <c r="L26" s="149">
        <f>VLOOKUP($E26,'7. PGE_Efficacité'!$A$6:$BT$266,(MATCH('4.6 ACE MAX CAN '!L$4,'7. PGE_Efficacité'!$A$4:$BU$4,0)+31),0)</f>
        <v>0</v>
      </c>
      <c r="M26" s="149">
        <f>VLOOKUP($E26,'7. PGE_Efficacité'!$A$6:$BT$266,(MATCH('4.6 ACE MAX CAN '!M$4,'7. PGE_Efficacité'!$A$4:$BU$4,0)+31),0)</f>
        <v>0</v>
      </c>
      <c r="N26" s="149">
        <f>VLOOKUP($E26,'7. PGE_Efficacité'!$A$6:$BT$266,(MATCH('4.6 ACE MAX CAN '!N$4,'7. PGE_Efficacité'!$A$4:$BU$4,0)+31),0)</f>
        <v>0</v>
      </c>
      <c r="O26" s="149">
        <f>VLOOKUP($D26,'7. PGE_Efficacité'!$A$6:$BT$268,47,0)</f>
        <v>0</v>
      </c>
      <c r="P26" s="149">
        <f>VLOOKUP($E26,'7. PGE_Efficacité'!$A$6:$BT$266,(MATCH('4.6 ACE MAX CAN '!P$4,'7. PGE_Efficacité'!$A$4:$BU$4,0)+31),0)</f>
        <v>0</v>
      </c>
      <c r="Q26" s="149">
        <f>VLOOKUP($E26,'7. PGE_Efficacité'!$A$6:$BT$266,(MATCH('4.6 ACE MAX CAN '!Q$4,'7. PGE_Efficacité'!$A$4:$BU$4,0)+31),0)</f>
        <v>0</v>
      </c>
      <c r="R26" s="149">
        <f>VLOOKUP($E26,'7. PGE_Efficacité'!$A$6:$BT$266,(MATCH('4.6 ACE MAX CAN '!R$4,'7. PGE_Efficacité'!$A$4:$BU$4,0)+31),0)</f>
        <v>0</v>
      </c>
      <c r="S26" s="149">
        <f>VLOOKUP($E26,'7. PGE_Efficacité'!$A$6:$BT$266,(MATCH('4.6 ACE MAX CAN '!S$4,'7. PGE_Efficacité'!$A$4:$BU$4,0)+31),0)</f>
        <v>0</v>
      </c>
      <c r="T26" s="149">
        <f>VLOOKUP($E26,'7. PGE_Efficacité'!$A$6:$BT$266,(MATCH('4.6 ACE MAX CAN '!T$4,'7. PGE_Efficacité'!$A$4:$BU$4,0)+31),0)</f>
        <v>0</v>
      </c>
      <c r="U26" s="149">
        <f>VLOOKUP($E26,'7. PGE_Efficacité'!$A$6:$BT$266,(MATCH('4.6 ACE MAX CAN '!U$4,'7. PGE_Efficacité'!$A$4:$BU$4,0)+31),0)</f>
        <v>0</v>
      </c>
      <c r="V26" s="149">
        <f>VLOOKUP($E26,'7. PGE_Efficacité'!$A$6:$BT$266,(MATCH('4.6 ACE MAX CAN '!V$4,'7. PGE_Efficacité'!$A$4:$BU$4,0)+31),0)</f>
        <v>0</v>
      </c>
      <c r="W26" s="149">
        <f>VLOOKUP($E26,'7. PGE_Efficacité'!$A$6:$BT$266,(MATCH('4.6 ACE MAX CAN '!W$4,'7. PGE_Efficacité'!$A$4:$BU$4,0)+31),0)</f>
        <v>0</v>
      </c>
      <c r="X26" s="149">
        <f>VLOOKUP($E26,'7. PGE_Efficacité'!$A$6:$BT$266,(MATCH('4.6 ACE MAX CAN '!X$4,'7. PGE_Efficacité'!$A$4:$BU$4,0)+31),0)</f>
        <v>0</v>
      </c>
      <c r="Y26" s="212">
        <f>VLOOKUP($E26,'7. PGE_Efficacité'!$A$6:$BT$266,(MATCH('4.6 ACE MAX CAN '!Y$4,'7. PGE_Efficacité'!$A$4:$BU$4,0)+31),0)</f>
        <v>0</v>
      </c>
      <c r="Z26" s="212">
        <f>VLOOKUP($E26,'7. PGE_Efficacité'!$A$6:$BT$266,(MATCH('4.6 ACE MAX CAN '!Z$4,'7. PGE_Efficacité'!$A$4:$BU$4,0)+31),0)</f>
        <v>0</v>
      </c>
      <c r="AA26" s="212">
        <f>VLOOKUP($E26,'7. PGE_Efficacité'!$A$6:$BT$266,(MATCH('4.6 ACE MAX CAN '!AA$4,'7. PGE_Efficacité'!$A$4:$BU$4,0)+31),0)</f>
        <v>0</v>
      </c>
      <c r="AB26" s="212">
        <f>VLOOKUP($E26,'7. PGE_Efficacité'!$A$6:$BT$266,(MATCH('4.6 ACE MAX CAN '!AB$4,'7. PGE_Efficacité'!$A$4:$BU$4,0)+31),0)</f>
        <v>0</v>
      </c>
      <c r="AC26" s="212">
        <f>VLOOKUP($E26,'7. PGE_Efficacité'!$A$6:$BT$266,(MATCH('4.6 ACE MAX CAN '!AC$4,'7. PGE_Efficacité'!$A$4:$BU$4,0)+31),0)</f>
        <v>0</v>
      </c>
      <c r="AD26" s="212">
        <f>VLOOKUP($E26,'7. PGE_Efficacité'!$A$6:$BT$266,(MATCH('4.6 ACE MAX CAN '!AD$4,'7. PGE_Efficacité'!$A$4:$BU$4,0)+31),0)</f>
        <v>0</v>
      </c>
      <c r="AE26" s="212">
        <f>VLOOKUP($E26,'7. PGE_Efficacité'!$A$6:$BT$266,(MATCH('4.6 ACE MAX CAN '!AE$4,'7. PGE_Efficacité'!$A$4:$BU$4,0)+31),0)</f>
        <v>0</v>
      </c>
      <c r="AF26" s="212">
        <f>VLOOKUP($E26,'7. PGE_Efficacité'!$A$6:$BT$266,(MATCH('4.6 ACE MAX CAN '!AF$4,'7. PGE_Efficacité'!$A$4:$BU$4,0)+31),0)</f>
        <v>0</v>
      </c>
      <c r="AG26" s="212">
        <f>VLOOKUP($E26,'7. PGE_Efficacité'!$A$6:$BT$266,(MATCH('4.6 ACE MAX CAN '!AG$4,'7. PGE_Efficacité'!$A$4:$BU$4,0)+31),0)</f>
        <v>0</v>
      </c>
      <c r="AH26" s="212">
        <f>VLOOKUP($E26,'7. PGE_Efficacité'!$A$6:$BT$266,(MATCH('4.6 ACE MAX CAN '!AH$4,'7. PGE_Efficacité'!$A$4:$BU$4,0)+31),0)</f>
        <v>0</v>
      </c>
      <c r="AI26" s="212">
        <f>VLOOKUP($E26,'7. PGE_Efficacité'!$A$6:$BT$266,(MATCH('4.6 ACE MAX CAN '!AI$4,'7. PGE_Efficacité'!$A$4:$BU$4,0)+31),0)</f>
        <v>0</v>
      </c>
      <c r="AJ26" s="212">
        <f>VLOOKUP($E26,'7. PGE_Efficacité'!$A$6:$BT$266,(MATCH('4.6 ACE MAX CAN '!AJ$4,'7. PGE_Efficacité'!$A$4:$BU$4,0)+31),0)</f>
        <v>0</v>
      </c>
      <c r="AK26" s="212">
        <f>VLOOKUP($E26,'7. PGE_Efficacité'!$A$6:$BT$266,(MATCH('4.6 ACE MAX CAN '!AK$4,'7. PGE_Efficacité'!$A$4:$BU$4,0)+31),0)</f>
        <v>0</v>
      </c>
      <c r="AL26" s="212">
        <f>VLOOKUP($E26,'7. PGE_Efficacité'!$A$6:$BT$266,(MATCH('4.6 ACE MAX CAN '!AL$4,'7. PGE_Efficacité'!$A$4:$BU$4,0)+31),0)</f>
        <v>0</v>
      </c>
      <c r="AM26" s="212">
        <f>VLOOKUP($E26,'7. PGE_Efficacité'!$A$6:$BT$266,(MATCH('4.6 ACE MAX CAN '!AM$4,'7. PGE_Efficacité'!$A$4:$BU$4,0)+31),0)</f>
        <v>0</v>
      </c>
      <c r="AN26" s="212">
        <f>VLOOKUP($E26,'7. PGE_Efficacité'!$A$6:$BT$266,(MATCH('4.6 ACE MAX CAN '!AN$4,'7. PGE_Efficacité'!$A$4:$BU$4,0)+31),0)</f>
        <v>0</v>
      </c>
    </row>
    <row r="27" spans="1:40" outlineLevel="2" x14ac:dyDescent="0.25">
      <c r="A27" t="s">
        <v>1524</v>
      </c>
      <c r="B27">
        <v>4</v>
      </c>
      <c r="C27" t="s">
        <v>1504</v>
      </c>
      <c r="D27" s="12" t="s">
        <v>3</v>
      </c>
      <c r="E27" s="12" t="s">
        <v>786</v>
      </c>
      <c r="F27" s="12" t="s">
        <v>1424</v>
      </c>
      <c r="G27" s="12" t="s">
        <v>1520</v>
      </c>
      <c r="H27" s="12" t="s">
        <v>1290</v>
      </c>
      <c r="I27" s="148"/>
      <c r="J27" s="149">
        <f>VLOOKUP($E27,'7. PGE_Efficacité'!$A$6:$BT$266,(MATCH('4.6 ACE MAX CAN '!J$4,'7. PGE_Efficacité'!$A$4:$BU$4,0)+31),0)</f>
        <v>0</v>
      </c>
      <c r="K27" s="149">
        <f>VLOOKUP($E27,'7. PGE_Efficacité'!$A$6:$BT$266,(MATCH('4.6 ACE MAX CAN '!K$4,'7. PGE_Efficacité'!$A$4:$BU$4,0)+31),0)</f>
        <v>0</v>
      </c>
      <c r="L27" s="149">
        <f>VLOOKUP($E27,'7. PGE_Efficacité'!$A$6:$BT$266,(MATCH('4.6 ACE MAX CAN '!L$4,'7. PGE_Efficacité'!$A$4:$BU$4,0)+31),0)</f>
        <v>0</v>
      </c>
      <c r="M27" s="149">
        <f>VLOOKUP($E27,'7. PGE_Efficacité'!$A$6:$BT$266,(MATCH('4.6 ACE MAX CAN '!M$4,'7. PGE_Efficacité'!$A$4:$BU$4,0)+31),0)</f>
        <v>0</v>
      </c>
      <c r="N27" s="149">
        <f>VLOOKUP($E27,'7. PGE_Efficacité'!$A$6:$BT$266,(MATCH('4.6 ACE MAX CAN '!N$4,'7. PGE_Efficacité'!$A$4:$BU$4,0)+31),0)</f>
        <v>0</v>
      </c>
      <c r="O27" s="149">
        <f>VLOOKUP($D27,'7. PGE_Efficacité'!$A$6:$BT$268,47,0)</f>
        <v>0</v>
      </c>
      <c r="P27" s="149">
        <f>VLOOKUP($E27,'7. PGE_Efficacité'!$A$6:$BT$266,(MATCH('4.6 ACE MAX CAN '!P$4,'7. PGE_Efficacité'!$A$4:$BU$4,0)+31),0)</f>
        <v>0</v>
      </c>
      <c r="Q27" s="149">
        <f>VLOOKUP($E27,'7. PGE_Efficacité'!$A$6:$BT$266,(MATCH('4.6 ACE MAX CAN '!Q$4,'7. PGE_Efficacité'!$A$4:$BU$4,0)+31),0)</f>
        <v>0</v>
      </c>
      <c r="R27" s="149">
        <f>VLOOKUP($E27,'7. PGE_Efficacité'!$A$6:$BT$266,(MATCH('4.6 ACE MAX CAN '!R$4,'7. PGE_Efficacité'!$A$4:$BU$4,0)+31),0)</f>
        <v>0</v>
      </c>
      <c r="S27" s="149">
        <f>VLOOKUP($E27,'7. PGE_Efficacité'!$A$6:$BT$266,(MATCH('4.6 ACE MAX CAN '!S$4,'7. PGE_Efficacité'!$A$4:$BU$4,0)+31),0)</f>
        <v>0</v>
      </c>
      <c r="T27" s="149">
        <f>VLOOKUP($E27,'7. PGE_Efficacité'!$A$6:$BT$266,(MATCH('4.6 ACE MAX CAN '!T$4,'7. PGE_Efficacité'!$A$4:$BU$4,0)+31),0)</f>
        <v>0</v>
      </c>
      <c r="U27" s="149">
        <f>VLOOKUP($E27,'7. PGE_Efficacité'!$A$6:$BT$266,(MATCH('4.6 ACE MAX CAN '!U$4,'7. PGE_Efficacité'!$A$4:$BU$4,0)+31),0)</f>
        <v>0</v>
      </c>
      <c r="V27" s="149">
        <f>VLOOKUP($E27,'7. PGE_Efficacité'!$A$6:$BT$266,(MATCH('4.6 ACE MAX CAN '!V$4,'7. PGE_Efficacité'!$A$4:$BU$4,0)+31),0)</f>
        <v>0</v>
      </c>
      <c r="W27" s="149">
        <f>VLOOKUP($E27,'7. PGE_Efficacité'!$A$6:$BT$266,(MATCH('4.6 ACE MAX CAN '!W$4,'7. PGE_Efficacité'!$A$4:$BU$4,0)+31),0)</f>
        <v>0</v>
      </c>
      <c r="X27" s="149">
        <f>VLOOKUP($E27,'7. PGE_Efficacité'!$A$6:$BT$266,(MATCH('4.6 ACE MAX CAN '!X$4,'7. PGE_Efficacité'!$A$4:$BU$4,0)+31),0)</f>
        <v>0</v>
      </c>
      <c r="Y27" s="212">
        <f>VLOOKUP($E27,'7. PGE_Efficacité'!$A$6:$BT$266,(MATCH('4.6 ACE MAX CAN '!Y$4,'7. PGE_Efficacité'!$A$4:$BU$4,0)+31),0)</f>
        <v>0</v>
      </c>
      <c r="Z27" s="212">
        <f>VLOOKUP($E27,'7. PGE_Efficacité'!$A$6:$BT$266,(MATCH('4.6 ACE MAX CAN '!Z$4,'7. PGE_Efficacité'!$A$4:$BU$4,0)+31),0)</f>
        <v>0</v>
      </c>
      <c r="AA27" s="212">
        <f>VLOOKUP($E27,'7. PGE_Efficacité'!$A$6:$BT$266,(MATCH('4.6 ACE MAX CAN '!AA$4,'7. PGE_Efficacité'!$A$4:$BU$4,0)+31),0)</f>
        <v>0</v>
      </c>
      <c r="AB27" s="212">
        <f>VLOOKUP($E27,'7. PGE_Efficacité'!$A$6:$BT$266,(MATCH('4.6 ACE MAX CAN '!AB$4,'7. PGE_Efficacité'!$A$4:$BU$4,0)+31),0)</f>
        <v>0</v>
      </c>
      <c r="AC27" s="212">
        <f>VLOOKUP($E27,'7. PGE_Efficacité'!$A$6:$BT$266,(MATCH('4.6 ACE MAX CAN '!AC$4,'7. PGE_Efficacité'!$A$4:$BU$4,0)+31),0)</f>
        <v>0</v>
      </c>
      <c r="AD27" s="212">
        <f>VLOOKUP($E27,'7. PGE_Efficacité'!$A$6:$BT$266,(MATCH('4.6 ACE MAX CAN '!AD$4,'7. PGE_Efficacité'!$A$4:$BU$4,0)+31),0)</f>
        <v>0</v>
      </c>
      <c r="AE27" s="212">
        <f>VLOOKUP($E27,'7. PGE_Efficacité'!$A$6:$BT$266,(MATCH('4.6 ACE MAX CAN '!AE$4,'7. PGE_Efficacité'!$A$4:$BU$4,0)+31),0)</f>
        <v>0</v>
      </c>
      <c r="AF27" s="212">
        <f>VLOOKUP($E27,'7. PGE_Efficacité'!$A$6:$BT$266,(MATCH('4.6 ACE MAX CAN '!AF$4,'7. PGE_Efficacité'!$A$4:$BU$4,0)+31),0)</f>
        <v>0</v>
      </c>
      <c r="AG27" s="212">
        <f>VLOOKUP($E27,'7. PGE_Efficacité'!$A$6:$BT$266,(MATCH('4.6 ACE MAX CAN '!AG$4,'7. PGE_Efficacité'!$A$4:$BU$4,0)+31),0)</f>
        <v>0</v>
      </c>
      <c r="AH27" s="212">
        <f>VLOOKUP($E27,'7. PGE_Efficacité'!$A$6:$BT$266,(MATCH('4.6 ACE MAX CAN '!AH$4,'7. PGE_Efficacité'!$A$4:$BU$4,0)+31),0)</f>
        <v>0</v>
      </c>
      <c r="AI27" s="212">
        <f>VLOOKUP($E27,'7. PGE_Efficacité'!$A$6:$BT$266,(MATCH('4.6 ACE MAX CAN '!AI$4,'7. PGE_Efficacité'!$A$4:$BU$4,0)+31),0)</f>
        <v>0</v>
      </c>
      <c r="AJ27" s="212">
        <f>VLOOKUP($E27,'7. PGE_Efficacité'!$A$6:$BT$266,(MATCH('4.6 ACE MAX CAN '!AJ$4,'7. PGE_Efficacité'!$A$4:$BU$4,0)+31),0)</f>
        <v>0</v>
      </c>
      <c r="AK27" s="212">
        <f>VLOOKUP($E27,'7. PGE_Efficacité'!$A$6:$BT$266,(MATCH('4.6 ACE MAX CAN '!AK$4,'7. PGE_Efficacité'!$A$4:$BU$4,0)+31),0)</f>
        <v>0</v>
      </c>
      <c r="AL27" s="212">
        <f>VLOOKUP($E27,'7. PGE_Efficacité'!$A$6:$BT$266,(MATCH('4.6 ACE MAX CAN '!AL$4,'7. PGE_Efficacité'!$A$4:$BU$4,0)+31),0)</f>
        <v>0</v>
      </c>
      <c r="AM27" s="212">
        <f>VLOOKUP($E27,'7. PGE_Efficacité'!$A$6:$BT$266,(MATCH('4.6 ACE MAX CAN '!AM$4,'7. PGE_Efficacité'!$A$4:$BU$4,0)+31),0)</f>
        <v>0</v>
      </c>
      <c r="AN27" s="212">
        <f>VLOOKUP($E27,'7. PGE_Efficacité'!$A$6:$BT$266,(MATCH('4.6 ACE MAX CAN '!AN$4,'7. PGE_Efficacité'!$A$4:$BU$4,0)+31),0)</f>
        <v>0</v>
      </c>
    </row>
    <row r="28" spans="1:40" outlineLevel="2" x14ac:dyDescent="0.25">
      <c r="A28" t="s">
        <v>1524</v>
      </c>
      <c r="B28">
        <v>4</v>
      </c>
      <c r="C28" t="s">
        <v>1505</v>
      </c>
      <c r="D28" s="12" t="s">
        <v>3</v>
      </c>
      <c r="E28" s="12" t="s">
        <v>787</v>
      </c>
      <c r="F28" s="12" t="s">
        <v>1425</v>
      </c>
      <c r="G28" s="12" t="s">
        <v>1520</v>
      </c>
      <c r="H28" s="12" t="s">
        <v>1290</v>
      </c>
      <c r="I28" s="148"/>
      <c r="J28" s="149">
        <f>VLOOKUP($E28,'7. PGE_Efficacité'!$A$6:$BT$266,(MATCH('4.6 ACE MAX CAN '!J$4,'7. PGE_Efficacité'!$A$4:$BU$4,0)+31),0)</f>
        <v>0</v>
      </c>
      <c r="K28" s="149">
        <f>VLOOKUP($E28,'7. PGE_Efficacité'!$A$6:$BT$266,(MATCH('4.6 ACE MAX CAN '!K$4,'7. PGE_Efficacité'!$A$4:$BU$4,0)+31),0)</f>
        <v>0</v>
      </c>
      <c r="L28" s="149">
        <f>VLOOKUP($E28,'7. PGE_Efficacité'!$A$6:$BT$266,(MATCH('4.6 ACE MAX CAN '!L$4,'7. PGE_Efficacité'!$A$4:$BU$4,0)+31),0)</f>
        <v>0</v>
      </c>
      <c r="M28" s="149">
        <f>VLOOKUP($E28,'7. PGE_Efficacité'!$A$6:$BT$266,(MATCH('4.6 ACE MAX CAN '!M$4,'7. PGE_Efficacité'!$A$4:$BU$4,0)+31),0)</f>
        <v>0</v>
      </c>
      <c r="N28" s="149">
        <f>VLOOKUP($E28,'7. PGE_Efficacité'!$A$6:$BT$266,(MATCH('4.6 ACE MAX CAN '!N$4,'7. PGE_Efficacité'!$A$4:$BU$4,0)+31),0)</f>
        <v>0</v>
      </c>
      <c r="O28" s="149">
        <f>VLOOKUP($D28,'7. PGE_Efficacité'!$A$6:$BT$268,47,0)</f>
        <v>0</v>
      </c>
      <c r="P28" s="149">
        <f>VLOOKUP($E28,'7. PGE_Efficacité'!$A$6:$BT$266,(MATCH('4.6 ACE MAX CAN '!P$4,'7. PGE_Efficacité'!$A$4:$BU$4,0)+31),0)</f>
        <v>0</v>
      </c>
      <c r="Q28" s="149">
        <f>VLOOKUP($E28,'7. PGE_Efficacité'!$A$6:$BT$266,(MATCH('4.6 ACE MAX CAN '!Q$4,'7. PGE_Efficacité'!$A$4:$BU$4,0)+31),0)</f>
        <v>0</v>
      </c>
      <c r="R28" s="149">
        <f>VLOOKUP($E28,'7. PGE_Efficacité'!$A$6:$BT$266,(MATCH('4.6 ACE MAX CAN '!R$4,'7. PGE_Efficacité'!$A$4:$BU$4,0)+31),0)</f>
        <v>0</v>
      </c>
      <c r="S28" s="149">
        <f>VLOOKUP($E28,'7. PGE_Efficacité'!$A$6:$BT$266,(MATCH('4.6 ACE MAX CAN '!S$4,'7. PGE_Efficacité'!$A$4:$BU$4,0)+31),0)</f>
        <v>0</v>
      </c>
      <c r="T28" s="149">
        <f>VLOOKUP($E28,'7. PGE_Efficacité'!$A$6:$BT$266,(MATCH('4.6 ACE MAX CAN '!T$4,'7. PGE_Efficacité'!$A$4:$BU$4,0)+31),0)</f>
        <v>0</v>
      </c>
      <c r="U28" s="149">
        <f>VLOOKUP($E28,'7. PGE_Efficacité'!$A$6:$BT$266,(MATCH('4.6 ACE MAX CAN '!U$4,'7. PGE_Efficacité'!$A$4:$BU$4,0)+31),0)</f>
        <v>0</v>
      </c>
      <c r="V28" s="149">
        <f>VLOOKUP($E28,'7. PGE_Efficacité'!$A$6:$BT$266,(MATCH('4.6 ACE MAX CAN '!V$4,'7. PGE_Efficacité'!$A$4:$BU$4,0)+31),0)</f>
        <v>0</v>
      </c>
      <c r="W28" s="149">
        <f>VLOOKUP($E28,'7. PGE_Efficacité'!$A$6:$BT$266,(MATCH('4.6 ACE MAX CAN '!W$4,'7. PGE_Efficacité'!$A$4:$BU$4,0)+31),0)</f>
        <v>0</v>
      </c>
      <c r="X28" s="149">
        <f>VLOOKUP($E28,'7. PGE_Efficacité'!$A$6:$BT$266,(MATCH('4.6 ACE MAX CAN '!X$4,'7. PGE_Efficacité'!$A$4:$BU$4,0)+31),0)</f>
        <v>0</v>
      </c>
      <c r="Y28" s="212">
        <f>VLOOKUP($E28,'7. PGE_Efficacité'!$A$6:$BT$266,(MATCH('4.6 ACE MAX CAN '!Y$4,'7. PGE_Efficacité'!$A$4:$BU$4,0)+31),0)</f>
        <v>0</v>
      </c>
      <c r="Z28" s="212">
        <f>VLOOKUP($E28,'7. PGE_Efficacité'!$A$6:$BT$266,(MATCH('4.6 ACE MAX CAN '!Z$4,'7. PGE_Efficacité'!$A$4:$BU$4,0)+31),0)</f>
        <v>0</v>
      </c>
      <c r="AA28" s="212">
        <f>VLOOKUP($E28,'7. PGE_Efficacité'!$A$6:$BT$266,(MATCH('4.6 ACE MAX CAN '!AA$4,'7. PGE_Efficacité'!$A$4:$BU$4,0)+31),0)</f>
        <v>0</v>
      </c>
      <c r="AB28" s="212">
        <f>VLOOKUP($E28,'7. PGE_Efficacité'!$A$6:$BT$266,(MATCH('4.6 ACE MAX CAN '!AB$4,'7. PGE_Efficacité'!$A$4:$BU$4,0)+31),0)</f>
        <v>0</v>
      </c>
      <c r="AC28" s="212">
        <f>VLOOKUP($E28,'7. PGE_Efficacité'!$A$6:$BT$266,(MATCH('4.6 ACE MAX CAN '!AC$4,'7. PGE_Efficacité'!$A$4:$BU$4,0)+31),0)</f>
        <v>0</v>
      </c>
      <c r="AD28" s="212">
        <f>VLOOKUP($E28,'7. PGE_Efficacité'!$A$6:$BT$266,(MATCH('4.6 ACE MAX CAN '!AD$4,'7. PGE_Efficacité'!$A$4:$BU$4,0)+31),0)</f>
        <v>0</v>
      </c>
      <c r="AE28" s="212">
        <f>VLOOKUP($E28,'7. PGE_Efficacité'!$A$6:$BT$266,(MATCH('4.6 ACE MAX CAN '!AE$4,'7. PGE_Efficacité'!$A$4:$BU$4,0)+31),0)</f>
        <v>0</v>
      </c>
      <c r="AF28" s="212">
        <f>VLOOKUP($E28,'7. PGE_Efficacité'!$A$6:$BT$266,(MATCH('4.6 ACE MAX CAN '!AF$4,'7. PGE_Efficacité'!$A$4:$BU$4,0)+31),0)</f>
        <v>0</v>
      </c>
      <c r="AG28" s="212">
        <f>VLOOKUP($E28,'7. PGE_Efficacité'!$A$6:$BT$266,(MATCH('4.6 ACE MAX CAN '!AG$4,'7. PGE_Efficacité'!$A$4:$BU$4,0)+31),0)</f>
        <v>0</v>
      </c>
      <c r="AH28" s="212">
        <f>VLOOKUP($E28,'7. PGE_Efficacité'!$A$6:$BT$266,(MATCH('4.6 ACE MAX CAN '!AH$4,'7. PGE_Efficacité'!$A$4:$BU$4,0)+31),0)</f>
        <v>0</v>
      </c>
      <c r="AI28" s="212">
        <f>VLOOKUP($E28,'7. PGE_Efficacité'!$A$6:$BT$266,(MATCH('4.6 ACE MAX CAN '!AI$4,'7. PGE_Efficacité'!$A$4:$BU$4,0)+31),0)</f>
        <v>0</v>
      </c>
      <c r="AJ28" s="212">
        <f>VLOOKUP($E28,'7. PGE_Efficacité'!$A$6:$BT$266,(MATCH('4.6 ACE MAX CAN '!AJ$4,'7. PGE_Efficacité'!$A$4:$BU$4,0)+31),0)</f>
        <v>0</v>
      </c>
      <c r="AK28" s="212">
        <f>VLOOKUP($E28,'7. PGE_Efficacité'!$A$6:$BT$266,(MATCH('4.6 ACE MAX CAN '!AK$4,'7. PGE_Efficacité'!$A$4:$BU$4,0)+31),0)</f>
        <v>0</v>
      </c>
      <c r="AL28" s="212">
        <f>VLOOKUP($E28,'7. PGE_Efficacité'!$A$6:$BT$266,(MATCH('4.6 ACE MAX CAN '!AL$4,'7. PGE_Efficacité'!$A$4:$BU$4,0)+31),0)</f>
        <v>0</v>
      </c>
      <c r="AM28" s="212">
        <f>VLOOKUP($E28,'7. PGE_Efficacité'!$A$6:$BT$266,(MATCH('4.6 ACE MAX CAN '!AM$4,'7. PGE_Efficacité'!$A$4:$BU$4,0)+31),0)</f>
        <v>0</v>
      </c>
      <c r="AN28" s="212">
        <f>VLOOKUP($E28,'7. PGE_Efficacité'!$A$6:$BT$266,(MATCH('4.6 ACE MAX CAN '!AN$4,'7. PGE_Efficacité'!$A$4:$BU$4,0)+31),0)</f>
        <v>0</v>
      </c>
    </row>
    <row r="29" spans="1:40" outlineLevel="2" x14ac:dyDescent="0.25">
      <c r="A29" t="s">
        <v>1524</v>
      </c>
      <c r="B29">
        <v>4</v>
      </c>
      <c r="C29" t="s">
        <v>1514</v>
      </c>
      <c r="D29" s="12" t="s">
        <v>3</v>
      </c>
      <c r="E29" s="12" t="s">
        <v>788</v>
      </c>
      <c r="F29" s="12" t="s">
        <v>1426</v>
      </c>
      <c r="G29" s="12" t="s">
        <v>1520</v>
      </c>
      <c r="H29" s="12" t="s">
        <v>1290</v>
      </c>
      <c r="I29" s="148"/>
      <c r="J29" s="149">
        <f>VLOOKUP($E29,'7. PGE_Efficacité'!$A$6:$BT$266,(MATCH('4.6 ACE MAX CAN '!J$4,'7. PGE_Efficacité'!$A$4:$BU$4,0)+31),0)</f>
        <v>0</v>
      </c>
      <c r="K29" s="149">
        <f>VLOOKUP($E29,'7. PGE_Efficacité'!$A$6:$BT$266,(MATCH('4.6 ACE MAX CAN '!K$4,'7. PGE_Efficacité'!$A$4:$BU$4,0)+31),0)</f>
        <v>0</v>
      </c>
      <c r="L29" s="149">
        <f>VLOOKUP($E29,'7. PGE_Efficacité'!$A$6:$BT$266,(MATCH('4.6 ACE MAX CAN '!L$4,'7. PGE_Efficacité'!$A$4:$BU$4,0)+31),0)</f>
        <v>0</v>
      </c>
      <c r="M29" s="149">
        <f>VLOOKUP($E29,'7. PGE_Efficacité'!$A$6:$BT$266,(MATCH('4.6 ACE MAX CAN '!M$4,'7. PGE_Efficacité'!$A$4:$BU$4,0)+31),0)</f>
        <v>0</v>
      </c>
      <c r="N29" s="149">
        <f>VLOOKUP($E29,'7. PGE_Efficacité'!$A$6:$BT$266,(MATCH('4.6 ACE MAX CAN '!N$4,'7. PGE_Efficacité'!$A$4:$BU$4,0)+31),0)</f>
        <v>0</v>
      </c>
      <c r="O29" s="149">
        <f>VLOOKUP($D29,'7. PGE_Efficacité'!$A$6:$BT$268,47,0)</f>
        <v>0</v>
      </c>
      <c r="P29" s="149">
        <f>VLOOKUP($E29,'7. PGE_Efficacité'!$A$6:$BT$266,(MATCH('4.6 ACE MAX CAN '!P$4,'7. PGE_Efficacité'!$A$4:$BU$4,0)+31),0)</f>
        <v>0</v>
      </c>
      <c r="Q29" s="149">
        <f>VLOOKUP($E29,'7. PGE_Efficacité'!$A$6:$BT$266,(MATCH('4.6 ACE MAX CAN '!Q$4,'7. PGE_Efficacité'!$A$4:$BU$4,0)+31),0)</f>
        <v>0</v>
      </c>
      <c r="R29" s="149">
        <f>VLOOKUP($E29,'7. PGE_Efficacité'!$A$6:$BT$266,(MATCH('4.6 ACE MAX CAN '!R$4,'7. PGE_Efficacité'!$A$4:$BU$4,0)+31),0)</f>
        <v>0</v>
      </c>
      <c r="S29" s="149">
        <f>VLOOKUP($E29,'7. PGE_Efficacité'!$A$6:$BT$266,(MATCH('4.6 ACE MAX CAN '!S$4,'7. PGE_Efficacité'!$A$4:$BU$4,0)+31),0)</f>
        <v>0</v>
      </c>
      <c r="T29" s="149">
        <f>VLOOKUP($E29,'7. PGE_Efficacité'!$A$6:$BT$266,(MATCH('4.6 ACE MAX CAN '!T$4,'7. PGE_Efficacité'!$A$4:$BU$4,0)+31),0)</f>
        <v>0</v>
      </c>
      <c r="U29" s="149">
        <f>VLOOKUP($E29,'7. PGE_Efficacité'!$A$6:$BT$266,(MATCH('4.6 ACE MAX CAN '!U$4,'7. PGE_Efficacité'!$A$4:$BU$4,0)+31),0)</f>
        <v>0</v>
      </c>
      <c r="V29" s="149">
        <f>VLOOKUP($E29,'7. PGE_Efficacité'!$A$6:$BT$266,(MATCH('4.6 ACE MAX CAN '!V$4,'7. PGE_Efficacité'!$A$4:$BU$4,0)+31),0)</f>
        <v>0</v>
      </c>
      <c r="W29" s="149">
        <f>VLOOKUP($E29,'7. PGE_Efficacité'!$A$6:$BT$266,(MATCH('4.6 ACE MAX CAN '!W$4,'7. PGE_Efficacité'!$A$4:$BU$4,0)+31),0)</f>
        <v>0</v>
      </c>
      <c r="X29" s="149">
        <f>VLOOKUP($E29,'7. PGE_Efficacité'!$A$6:$BT$266,(MATCH('4.6 ACE MAX CAN '!X$4,'7. PGE_Efficacité'!$A$4:$BU$4,0)+31),0)</f>
        <v>0</v>
      </c>
      <c r="Y29" s="212">
        <f>VLOOKUP($E29,'7. PGE_Efficacité'!$A$6:$BT$266,(MATCH('4.6 ACE MAX CAN '!Y$4,'7. PGE_Efficacité'!$A$4:$BU$4,0)+31),0)</f>
        <v>0</v>
      </c>
      <c r="Z29" s="212">
        <f>VLOOKUP($E29,'7. PGE_Efficacité'!$A$6:$BT$266,(MATCH('4.6 ACE MAX CAN '!Z$4,'7. PGE_Efficacité'!$A$4:$BU$4,0)+31),0)</f>
        <v>0</v>
      </c>
      <c r="AA29" s="212">
        <f>VLOOKUP($E29,'7. PGE_Efficacité'!$A$6:$BT$266,(MATCH('4.6 ACE MAX CAN '!AA$4,'7. PGE_Efficacité'!$A$4:$BU$4,0)+31),0)</f>
        <v>0</v>
      </c>
      <c r="AB29" s="212">
        <f>VLOOKUP($E29,'7. PGE_Efficacité'!$A$6:$BT$266,(MATCH('4.6 ACE MAX CAN '!AB$4,'7. PGE_Efficacité'!$A$4:$BU$4,0)+31),0)</f>
        <v>0</v>
      </c>
      <c r="AC29" s="212">
        <f>VLOOKUP($E29,'7. PGE_Efficacité'!$A$6:$BT$266,(MATCH('4.6 ACE MAX CAN '!AC$4,'7. PGE_Efficacité'!$A$4:$BU$4,0)+31),0)</f>
        <v>0</v>
      </c>
      <c r="AD29" s="212">
        <f>VLOOKUP($E29,'7. PGE_Efficacité'!$A$6:$BT$266,(MATCH('4.6 ACE MAX CAN '!AD$4,'7. PGE_Efficacité'!$A$4:$BU$4,0)+31),0)</f>
        <v>0</v>
      </c>
      <c r="AE29" s="212">
        <f>VLOOKUP($E29,'7. PGE_Efficacité'!$A$6:$BT$266,(MATCH('4.6 ACE MAX CAN '!AE$4,'7. PGE_Efficacité'!$A$4:$BU$4,0)+31),0)</f>
        <v>0</v>
      </c>
      <c r="AF29" s="212">
        <f>VLOOKUP($E29,'7. PGE_Efficacité'!$A$6:$BT$266,(MATCH('4.6 ACE MAX CAN '!AF$4,'7. PGE_Efficacité'!$A$4:$BU$4,0)+31),0)</f>
        <v>0</v>
      </c>
      <c r="AG29" s="212">
        <f>VLOOKUP($E29,'7. PGE_Efficacité'!$A$6:$BT$266,(MATCH('4.6 ACE MAX CAN '!AG$4,'7. PGE_Efficacité'!$A$4:$BU$4,0)+31),0)</f>
        <v>0</v>
      </c>
      <c r="AH29" s="212">
        <f>VLOOKUP($E29,'7. PGE_Efficacité'!$A$6:$BT$266,(MATCH('4.6 ACE MAX CAN '!AH$4,'7. PGE_Efficacité'!$A$4:$BU$4,0)+31),0)</f>
        <v>0</v>
      </c>
      <c r="AI29" s="212">
        <f>VLOOKUP($E29,'7. PGE_Efficacité'!$A$6:$BT$266,(MATCH('4.6 ACE MAX CAN '!AI$4,'7. PGE_Efficacité'!$A$4:$BU$4,0)+31),0)</f>
        <v>0</v>
      </c>
      <c r="AJ29" s="212">
        <f>VLOOKUP($E29,'7. PGE_Efficacité'!$A$6:$BT$266,(MATCH('4.6 ACE MAX CAN '!AJ$4,'7. PGE_Efficacité'!$A$4:$BU$4,0)+31),0)</f>
        <v>0</v>
      </c>
      <c r="AK29" s="212">
        <f>VLOOKUP($E29,'7. PGE_Efficacité'!$A$6:$BT$266,(MATCH('4.6 ACE MAX CAN '!AK$4,'7. PGE_Efficacité'!$A$4:$BU$4,0)+31),0)</f>
        <v>0</v>
      </c>
      <c r="AL29" s="212">
        <f>VLOOKUP($E29,'7. PGE_Efficacité'!$A$6:$BT$266,(MATCH('4.6 ACE MAX CAN '!AL$4,'7. PGE_Efficacité'!$A$4:$BU$4,0)+31),0)</f>
        <v>0</v>
      </c>
      <c r="AM29" s="212">
        <f>VLOOKUP($E29,'7. PGE_Efficacité'!$A$6:$BT$266,(MATCH('4.6 ACE MAX CAN '!AM$4,'7. PGE_Efficacité'!$A$4:$BU$4,0)+31),0)</f>
        <v>0</v>
      </c>
      <c r="AN29" s="212">
        <f>VLOOKUP($E29,'7. PGE_Efficacité'!$A$6:$BT$266,(MATCH('4.6 ACE MAX CAN '!AN$4,'7. PGE_Efficacité'!$A$4:$BU$4,0)+31),0)</f>
        <v>0</v>
      </c>
    </row>
    <row r="30" spans="1:40" outlineLevel="2" x14ac:dyDescent="0.25">
      <c r="A30" t="s">
        <v>1524</v>
      </c>
      <c r="B30">
        <v>4</v>
      </c>
      <c r="C30" t="s">
        <v>1532</v>
      </c>
      <c r="D30" s="12" t="s">
        <v>3</v>
      </c>
      <c r="E30" s="12" t="s">
        <v>797</v>
      </c>
      <c r="F30" s="12" t="s">
        <v>1435</v>
      </c>
      <c r="G30" s="12" t="s">
        <v>1520</v>
      </c>
      <c r="H30" s="12" t="s">
        <v>1290</v>
      </c>
      <c r="I30" s="148"/>
      <c r="J30" s="149">
        <f>VLOOKUP($E30,'7. PGE_Efficacité'!$A$6:$BT$266,(MATCH('4.6 ACE MAX CAN '!J$4,'7. PGE_Efficacité'!$A$4:$BU$4,0)+31),0)</f>
        <v>0</v>
      </c>
      <c r="K30" s="149">
        <f>VLOOKUP($E30,'7. PGE_Efficacité'!$A$6:$BT$266,(MATCH('4.6 ACE MAX CAN '!K$4,'7. PGE_Efficacité'!$A$4:$BU$4,0)+31),0)</f>
        <v>0</v>
      </c>
      <c r="L30" s="149">
        <f>VLOOKUP($E30,'7. PGE_Efficacité'!$A$6:$BT$266,(MATCH('4.6 ACE MAX CAN '!L$4,'7. PGE_Efficacité'!$A$4:$BU$4,0)+31),0)</f>
        <v>0</v>
      </c>
      <c r="M30" s="149">
        <f>VLOOKUP($E30,'7. PGE_Efficacité'!$A$6:$BT$266,(MATCH('4.6 ACE MAX CAN '!M$4,'7. PGE_Efficacité'!$A$4:$BU$4,0)+31),0)</f>
        <v>0</v>
      </c>
      <c r="N30" s="149">
        <f>VLOOKUP($E30,'7. PGE_Efficacité'!$A$6:$BT$266,(MATCH('4.6 ACE MAX CAN '!N$4,'7. PGE_Efficacité'!$A$4:$BU$4,0)+31),0)</f>
        <v>0</v>
      </c>
      <c r="O30" s="149">
        <f>VLOOKUP($D30,'7. PGE_Efficacité'!$A$6:$BT$268,47,0)</f>
        <v>0</v>
      </c>
      <c r="P30" s="149">
        <f>VLOOKUP($E30,'7. PGE_Efficacité'!$A$6:$BT$266,(MATCH('4.6 ACE MAX CAN '!P$4,'7. PGE_Efficacité'!$A$4:$BU$4,0)+31),0)</f>
        <v>0</v>
      </c>
      <c r="Q30" s="149">
        <f>VLOOKUP($E30,'7. PGE_Efficacité'!$A$6:$BT$266,(MATCH('4.6 ACE MAX CAN '!Q$4,'7. PGE_Efficacité'!$A$4:$BU$4,0)+31),0)</f>
        <v>0</v>
      </c>
      <c r="R30" s="149">
        <f>VLOOKUP($E30,'7. PGE_Efficacité'!$A$6:$BT$266,(MATCH('4.6 ACE MAX CAN '!R$4,'7. PGE_Efficacité'!$A$4:$BU$4,0)+31),0)</f>
        <v>0</v>
      </c>
      <c r="S30" s="149">
        <f>VLOOKUP($E30,'7. PGE_Efficacité'!$A$6:$BT$266,(MATCH('4.6 ACE MAX CAN '!S$4,'7. PGE_Efficacité'!$A$4:$BU$4,0)+31),0)</f>
        <v>0</v>
      </c>
      <c r="T30" s="149">
        <f>VLOOKUP($E30,'7. PGE_Efficacité'!$A$6:$BT$266,(MATCH('4.6 ACE MAX CAN '!T$4,'7. PGE_Efficacité'!$A$4:$BU$4,0)+31),0)</f>
        <v>0</v>
      </c>
      <c r="U30" s="149">
        <f>VLOOKUP($E30,'7. PGE_Efficacité'!$A$6:$BT$266,(MATCH('4.6 ACE MAX CAN '!U$4,'7. PGE_Efficacité'!$A$4:$BU$4,0)+31),0)</f>
        <v>0</v>
      </c>
      <c r="V30" s="149">
        <f>VLOOKUP($E30,'7. PGE_Efficacité'!$A$6:$BT$266,(MATCH('4.6 ACE MAX CAN '!V$4,'7. PGE_Efficacité'!$A$4:$BU$4,0)+31),0)</f>
        <v>0</v>
      </c>
      <c r="W30" s="149">
        <f>VLOOKUP($E30,'7. PGE_Efficacité'!$A$6:$BT$266,(MATCH('4.6 ACE MAX CAN '!W$4,'7. PGE_Efficacité'!$A$4:$BU$4,0)+31),0)</f>
        <v>0</v>
      </c>
      <c r="X30" s="149">
        <f>VLOOKUP($E30,'7. PGE_Efficacité'!$A$6:$BT$266,(MATCH('4.6 ACE MAX CAN '!X$4,'7. PGE_Efficacité'!$A$4:$BU$4,0)+31),0)</f>
        <v>0</v>
      </c>
      <c r="Y30" s="212">
        <f>VLOOKUP($E30,'7. PGE_Efficacité'!$A$6:$BT$266,(MATCH('4.6 ACE MAX CAN '!Y$4,'7. PGE_Efficacité'!$A$4:$BU$4,0)+31),0)</f>
        <v>0</v>
      </c>
      <c r="Z30" s="212">
        <f>VLOOKUP($E30,'7. PGE_Efficacité'!$A$6:$BT$266,(MATCH('4.6 ACE MAX CAN '!Z$4,'7. PGE_Efficacité'!$A$4:$BU$4,0)+31),0)</f>
        <v>0</v>
      </c>
      <c r="AA30" s="212">
        <f>VLOOKUP($E30,'7. PGE_Efficacité'!$A$6:$BT$266,(MATCH('4.6 ACE MAX CAN '!AA$4,'7. PGE_Efficacité'!$A$4:$BU$4,0)+31),0)</f>
        <v>0</v>
      </c>
      <c r="AB30" s="212">
        <f>VLOOKUP($E30,'7. PGE_Efficacité'!$A$6:$BT$266,(MATCH('4.6 ACE MAX CAN '!AB$4,'7. PGE_Efficacité'!$A$4:$BU$4,0)+31),0)</f>
        <v>0</v>
      </c>
      <c r="AC30" s="212">
        <f>VLOOKUP($E30,'7. PGE_Efficacité'!$A$6:$BT$266,(MATCH('4.6 ACE MAX CAN '!AC$4,'7. PGE_Efficacité'!$A$4:$BU$4,0)+31),0)</f>
        <v>0</v>
      </c>
      <c r="AD30" s="212">
        <f>VLOOKUP($E30,'7. PGE_Efficacité'!$A$6:$BT$266,(MATCH('4.6 ACE MAX CAN '!AD$4,'7. PGE_Efficacité'!$A$4:$BU$4,0)+31),0)</f>
        <v>0</v>
      </c>
      <c r="AE30" s="212">
        <f>VLOOKUP($E30,'7. PGE_Efficacité'!$A$6:$BT$266,(MATCH('4.6 ACE MAX CAN '!AE$4,'7. PGE_Efficacité'!$A$4:$BU$4,0)+31),0)</f>
        <v>0</v>
      </c>
      <c r="AF30" s="212">
        <f>VLOOKUP($E30,'7. PGE_Efficacité'!$A$6:$BT$266,(MATCH('4.6 ACE MAX CAN '!AF$4,'7. PGE_Efficacité'!$A$4:$BU$4,0)+31),0)</f>
        <v>0</v>
      </c>
      <c r="AG30" s="212">
        <f>VLOOKUP($E30,'7. PGE_Efficacité'!$A$6:$BT$266,(MATCH('4.6 ACE MAX CAN '!AG$4,'7. PGE_Efficacité'!$A$4:$BU$4,0)+31),0)</f>
        <v>0</v>
      </c>
      <c r="AH30" s="212">
        <f>VLOOKUP($E30,'7. PGE_Efficacité'!$A$6:$BT$266,(MATCH('4.6 ACE MAX CAN '!AH$4,'7. PGE_Efficacité'!$A$4:$BU$4,0)+31),0)</f>
        <v>0</v>
      </c>
      <c r="AI30" s="212">
        <f>VLOOKUP($E30,'7. PGE_Efficacité'!$A$6:$BT$266,(MATCH('4.6 ACE MAX CAN '!AI$4,'7. PGE_Efficacité'!$A$4:$BU$4,0)+31),0)</f>
        <v>0</v>
      </c>
      <c r="AJ30" s="212">
        <f>VLOOKUP($E30,'7. PGE_Efficacité'!$A$6:$BT$266,(MATCH('4.6 ACE MAX CAN '!AJ$4,'7. PGE_Efficacité'!$A$4:$BU$4,0)+31),0)</f>
        <v>0</v>
      </c>
      <c r="AK30" s="212">
        <f>VLOOKUP($E30,'7. PGE_Efficacité'!$A$6:$BT$266,(MATCH('4.6 ACE MAX CAN '!AK$4,'7. PGE_Efficacité'!$A$4:$BU$4,0)+31),0)</f>
        <v>0</v>
      </c>
      <c r="AL30" s="212">
        <f>VLOOKUP($E30,'7. PGE_Efficacité'!$A$6:$BT$266,(MATCH('4.6 ACE MAX CAN '!AL$4,'7. PGE_Efficacité'!$A$4:$BU$4,0)+31),0)</f>
        <v>0</v>
      </c>
      <c r="AM30" s="212">
        <f>VLOOKUP($E30,'7. PGE_Efficacité'!$A$6:$BT$266,(MATCH('4.6 ACE MAX CAN '!AM$4,'7. PGE_Efficacité'!$A$4:$BU$4,0)+31),0)</f>
        <v>0</v>
      </c>
      <c r="AN30" s="212">
        <f>VLOOKUP($E30,'7. PGE_Efficacité'!$A$6:$BT$266,(MATCH('4.6 ACE MAX CAN '!AN$4,'7. PGE_Efficacité'!$A$4:$BU$4,0)+31),0)</f>
        <v>0</v>
      </c>
    </row>
    <row r="31" spans="1:40" outlineLevel="1" x14ac:dyDescent="0.25">
      <c r="D31" s="360" t="s">
        <v>4</v>
      </c>
      <c r="E31" s="360"/>
      <c r="F31" s="361" t="str">
        <f>VLOOKUP(D31,'1. Mesures'!$A$2:$B$116,2,0)</f>
        <v xml:space="preserve">Inventorier les rejets directs dans une base de données dynamique </v>
      </c>
      <c r="G31" s="360"/>
      <c r="H31" s="360"/>
      <c r="I31" s="362">
        <f>MEDIAN(VLOOKUP(D31,'4. Mesures_ACE_Budget'!$A$3:$R$32,17,0),VLOOKUP(D31,'4. Mesures_ACE_Budget'!$A$3:$R$32,18,0))</f>
        <v>0</v>
      </c>
      <c r="J31" s="212">
        <f>VLOOKUP($D31,'7. PGE_Efficacité'!$A$6:$BT$266,(MATCH('4.6 ACE MAX CAN '!J$4,'7. PGE_Efficacité'!$A$4:$AO$4,0)+31),0)</f>
        <v>0</v>
      </c>
      <c r="K31" s="212">
        <f>VLOOKUP($D31,'7. PGE_Efficacité'!$A$6:$BT$266,(MATCH('4.6 ACE MAX CAN '!K$4,'7. PGE_Efficacité'!$A$4:$AO$4,0)+31),0)</f>
        <v>0</v>
      </c>
      <c r="L31" s="212">
        <f>VLOOKUP($D31,'7. PGE_Efficacité'!$A$6:$BT$266,(MATCH('4.6 ACE MAX CAN '!L$4,'7. PGE_Efficacité'!$A$4:$AO$4,0)+31),0)</f>
        <v>0</v>
      </c>
      <c r="M31" s="212">
        <f>VLOOKUP($D31,'7. PGE_Efficacité'!$A$6:$BT$266,(MATCH('4.6 ACE MAX CAN '!M$4,'7. PGE_Efficacité'!$A$4:$AO$4,0)+31),0)</f>
        <v>0</v>
      </c>
      <c r="N31" s="212">
        <f>VLOOKUP($D31,'7. PGE_Efficacité'!$A$6:$BT$266,(MATCH('4.6 ACE MAX CAN '!N$4,'7. PGE_Efficacité'!$A$4:$AO$4,0)+31),0)</f>
        <v>0</v>
      </c>
      <c r="O31" s="212">
        <f>VLOOKUP($D31,'7. PGE_Efficacité'!$A$6:$BT$268,47,0)</f>
        <v>0</v>
      </c>
      <c r="P31" s="212">
        <f>VLOOKUP($D31,'7. PGE_Efficacité'!$A$6:$BT$266,(MATCH('4.6 ACE MAX CAN '!P$4,'7. PGE_Efficacité'!$A$4:$AO$4,0)+31),0)</f>
        <v>0</v>
      </c>
      <c r="Q31" s="212">
        <f>VLOOKUP($D31,'7. PGE_Efficacité'!$A$6:$BT$266,(MATCH('4.6 ACE MAX CAN '!Q$4,'7. PGE_Efficacité'!$A$4:$AO$4,0)+31),0)</f>
        <v>0</v>
      </c>
      <c r="R31" s="212">
        <f>VLOOKUP($D31,'7. PGE_Efficacité'!$A$6:$BT$266,(MATCH('4.6 ACE MAX CAN '!R$4,'7. PGE_Efficacité'!$A$4:$AO$4,0)+31),0)</f>
        <v>0</v>
      </c>
      <c r="S31" s="212">
        <f>VLOOKUP($D31,'7. PGE_Efficacité'!$A$6:$BT$266,(MATCH('4.6 ACE MAX CAN '!S$4,'7. PGE_Efficacité'!$A$4:$AO$4,0)+31),0)</f>
        <v>0</v>
      </c>
      <c r="T31" s="212">
        <f>VLOOKUP($D31,'7. PGE_Efficacité'!$A$6:$BT$266,(MATCH('4.6 ACE MAX CAN '!T$4,'7. PGE_Efficacité'!$A$4:$AO$4,0)+31),0)</f>
        <v>0</v>
      </c>
      <c r="U31" s="212">
        <f>VLOOKUP($D31,'7. PGE_Efficacité'!$A$6:$BT$266,(MATCH('4.6 ACE MAX CAN '!U$4,'7. PGE_Efficacité'!$A$4:$AO$4,0)+31),0)</f>
        <v>0</v>
      </c>
      <c r="V31" s="212">
        <f>VLOOKUP($D31,'7. PGE_Efficacité'!$A$6:$BT$266,(MATCH('4.6 ACE MAX CAN '!V$4,'7. PGE_Efficacité'!$A$4:$AO$4,0)+31),0)</f>
        <v>0</v>
      </c>
      <c r="W31" s="212">
        <f>VLOOKUP($D31,'7. PGE_Efficacité'!$A$6:$BT$266,(MATCH('4.6 ACE MAX CAN '!W$4,'7. PGE_Efficacité'!$A$4:$AO$4,0)+31),0)</f>
        <v>0</v>
      </c>
      <c r="X31" s="212">
        <f>VLOOKUP($D31,'7. PGE_Efficacité'!$A$6:$BT$266,(MATCH('4.6 ACE MAX CAN '!X$4,'7. PGE_Efficacité'!$A$4:$AO$4,0)+31),0)</f>
        <v>0</v>
      </c>
      <c r="Y31" s="212">
        <f>VLOOKUP($D31,'7. PGE_Efficacité'!$A$6:$BT$266,(MATCH('4.6 ACE MAX CAN '!Y$4,'7. PGE_Efficacité'!$A$4:$AO$4,0)+31),0)</f>
        <v>0</v>
      </c>
      <c r="Z31" s="212">
        <f>VLOOKUP($D31,'7. PGE_Efficacité'!$A$6:$BT$266,(MATCH('4.6 ACE MAX CAN '!Z$4,'7. PGE_Efficacité'!$A$4:$AO$4,0)+31),0)</f>
        <v>0</v>
      </c>
      <c r="AA31" s="212">
        <f>VLOOKUP($D31,'7. PGE_Efficacité'!$A$6:$BT$266,(MATCH('4.6 ACE MAX CAN '!AA$4,'7. PGE_Efficacité'!$A$4:$AO$4,0)+31),0)</f>
        <v>0</v>
      </c>
      <c r="AB31" s="212">
        <f>VLOOKUP($D31,'7. PGE_Efficacité'!$A$6:$BT$266,(MATCH('4.6 ACE MAX CAN '!AB$4,'7. PGE_Efficacité'!$A$4:$AO$4,0)+31),0)</f>
        <v>0</v>
      </c>
      <c r="AC31" s="212">
        <f>VLOOKUP($D31,'7. PGE_Efficacité'!$A$6:$BT$266,(MATCH('4.6 ACE MAX CAN '!AC$4,'7. PGE_Efficacité'!$A$4:$AO$4,0)+31),0)</f>
        <v>0</v>
      </c>
      <c r="AD31" s="212">
        <f>VLOOKUP($D31,'7. PGE_Efficacité'!$A$6:$BT$266,(MATCH('4.6 ACE MAX CAN '!AD$4,'7. PGE_Efficacité'!$A$4:$AO$4,0)+31),0)</f>
        <v>0</v>
      </c>
      <c r="AE31" s="212">
        <f>VLOOKUP($D31,'7. PGE_Efficacité'!$A$6:$BT$266,(MATCH('4.6 ACE MAX CAN '!AE$4,'7. PGE_Efficacité'!$A$4:$AO$4,0)+31),0)</f>
        <v>0</v>
      </c>
      <c r="AF31" s="212">
        <f>VLOOKUP($D31,'7. PGE_Efficacité'!$A$6:$BT$266,(MATCH('4.6 ACE MAX CAN '!AF$4,'7. PGE_Efficacité'!$A$4:$AO$4,0)+31),0)</f>
        <v>0</v>
      </c>
      <c r="AG31" s="212">
        <f>VLOOKUP($D31,'7. PGE_Efficacité'!$A$6:$BT$266,(MATCH('4.6 ACE MAX CAN '!AG$4,'7. PGE_Efficacité'!$A$4:$AO$4,0)+31),0)</f>
        <v>0</v>
      </c>
      <c r="AH31" s="212">
        <f>VLOOKUP($D31,'7. PGE_Efficacité'!$A$6:$BT$266,(MATCH('4.6 ACE MAX CAN '!AH$4,'7. PGE_Efficacité'!$A$4:$AO$4,0)+31),0)</f>
        <v>0</v>
      </c>
      <c r="AI31" s="212">
        <f>VLOOKUP($D31,'7. PGE_Efficacité'!$A$6:$BT$266,(MATCH('4.6 ACE MAX CAN '!AI$4,'7. PGE_Efficacité'!$A$4:$AO$4,0)+31),0)</f>
        <v>0</v>
      </c>
      <c r="AJ31" s="212">
        <f>VLOOKUP($D31,'7. PGE_Efficacité'!$A$6:$BT$266,(MATCH('4.6 ACE MAX CAN '!AJ$4,'7. PGE_Efficacité'!$A$4:$AO$4,0)+31),0)</f>
        <v>0</v>
      </c>
      <c r="AK31" s="212">
        <f>VLOOKUP($D31,'7. PGE_Efficacité'!$A$6:$BT$266,(MATCH('4.6 ACE MAX CAN '!AK$4,'7. PGE_Efficacité'!$A$4:$AO$4,0)+31),0)</f>
        <v>0</v>
      </c>
      <c r="AL31" s="212">
        <f>VLOOKUP($D31,'7. PGE_Efficacité'!$A$6:$BT$266,(MATCH('4.6 ACE MAX CAN '!AL$4,'7. PGE_Efficacité'!$A$4:$AO$4,0)+31),0)</f>
        <v>0</v>
      </c>
      <c r="AM31" s="212">
        <f>VLOOKUP($D31,'7. PGE_Efficacité'!$A$6:$BT$266,(MATCH('4.6 ACE MAX CAN '!AM$4,'7. PGE_Efficacité'!$A$4:$AO$4,0)+31),0)</f>
        <v>0</v>
      </c>
      <c r="AN31" s="212">
        <f>VLOOKUP($D31,'7. PGE_Efficacité'!$A$6:$BT$266,(MATCH('4.6 ACE MAX CAN '!AN$4,'7. PGE_Efficacité'!$A$4:$AO$4,0)+31),0)</f>
        <v>0</v>
      </c>
    </row>
    <row r="32" spans="1:40" outlineLevel="2" x14ac:dyDescent="0.25">
      <c r="A32" t="s">
        <v>1524</v>
      </c>
      <c r="B32">
        <v>5</v>
      </c>
      <c r="C32" t="s">
        <v>1524</v>
      </c>
      <c r="D32" s="12" t="s">
        <v>4</v>
      </c>
      <c r="E32" s="12" t="s">
        <v>798</v>
      </c>
      <c r="F32" s="12" t="s">
        <v>1436</v>
      </c>
      <c r="G32" s="12" t="s">
        <v>1521</v>
      </c>
      <c r="H32" s="12" t="s">
        <v>1290</v>
      </c>
      <c r="I32" s="148"/>
      <c r="J32" s="149">
        <f>VLOOKUP($E32,'7. PGE_Efficacité'!$A$6:$BT$266,(MATCH('4.6 ACE MAX CAN '!J$4,'7. PGE_Efficacité'!$A$4:$BU$4,0)+31),0)</f>
        <v>0</v>
      </c>
      <c r="K32" s="149">
        <f>VLOOKUP($E32,'7. PGE_Efficacité'!$A$6:$BT$266,(MATCH('4.6 ACE MAX CAN '!K$4,'7. PGE_Efficacité'!$A$4:$BU$4,0)+31),0)</f>
        <v>0</v>
      </c>
      <c r="L32" s="149">
        <f>VLOOKUP($E32,'7. PGE_Efficacité'!$A$6:$BT$266,(MATCH('4.6 ACE MAX CAN '!L$4,'7. PGE_Efficacité'!$A$4:$BU$4,0)+31),0)</f>
        <v>0</v>
      </c>
      <c r="M32" s="149">
        <f>VLOOKUP($E32,'7. PGE_Efficacité'!$A$6:$BT$266,(MATCH('4.6 ACE MAX CAN '!M$4,'7. PGE_Efficacité'!$A$4:$BU$4,0)+31),0)</f>
        <v>0</v>
      </c>
      <c r="N32" s="149">
        <f>VLOOKUP($E32,'7. PGE_Efficacité'!$A$6:$BT$266,(MATCH('4.6 ACE MAX CAN '!N$4,'7. PGE_Efficacité'!$A$4:$BU$4,0)+31),0)</f>
        <v>0</v>
      </c>
      <c r="O32" s="149">
        <f>VLOOKUP($D32,'7. PGE_Efficacité'!$A$6:$BT$268,47,0)</f>
        <v>0</v>
      </c>
      <c r="P32" s="149">
        <f>VLOOKUP($E32,'7. PGE_Efficacité'!$A$6:$BT$266,(MATCH('4.6 ACE MAX CAN '!P$4,'7. PGE_Efficacité'!$A$4:$BU$4,0)+31),0)</f>
        <v>0</v>
      </c>
      <c r="Q32" s="149">
        <f>VLOOKUP($E32,'7. PGE_Efficacité'!$A$6:$BT$266,(MATCH('4.6 ACE MAX CAN '!Q$4,'7. PGE_Efficacité'!$A$4:$BU$4,0)+31),0)</f>
        <v>0</v>
      </c>
      <c r="R32" s="149">
        <f>VLOOKUP($E32,'7. PGE_Efficacité'!$A$6:$BT$266,(MATCH('4.6 ACE MAX CAN '!R$4,'7. PGE_Efficacité'!$A$4:$BU$4,0)+31),0)</f>
        <v>0</v>
      </c>
      <c r="S32" s="149">
        <f>VLOOKUP($E32,'7. PGE_Efficacité'!$A$6:$BT$266,(MATCH('4.6 ACE MAX CAN '!S$4,'7. PGE_Efficacité'!$A$4:$BU$4,0)+31),0)</f>
        <v>0</v>
      </c>
      <c r="T32" s="149">
        <f>VLOOKUP($E32,'7. PGE_Efficacité'!$A$6:$BT$266,(MATCH('4.6 ACE MAX CAN '!T$4,'7. PGE_Efficacité'!$A$4:$BU$4,0)+31),0)</f>
        <v>0</v>
      </c>
      <c r="U32" s="149">
        <f>VLOOKUP($E32,'7. PGE_Efficacité'!$A$6:$BT$266,(MATCH('4.6 ACE MAX CAN '!U$4,'7. PGE_Efficacité'!$A$4:$BU$4,0)+31),0)</f>
        <v>0</v>
      </c>
      <c r="V32" s="149">
        <f>VLOOKUP($E32,'7. PGE_Efficacité'!$A$6:$BT$266,(MATCH('4.6 ACE MAX CAN '!V$4,'7. PGE_Efficacité'!$A$4:$BU$4,0)+31),0)</f>
        <v>0</v>
      </c>
      <c r="W32" s="149">
        <f>VLOOKUP($E32,'7. PGE_Efficacité'!$A$6:$BT$266,(MATCH('4.6 ACE MAX CAN '!W$4,'7. PGE_Efficacité'!$A$4:$BU$4,0)+31),0)</f>
        <v>0</v>
      </c>
      <c r="X32" s="149">
        <f>VLOOKUP($E32,'7. PGE_Efficacité'!$A$6:$BT$266,(MATCH('4.6 ACE MAX CAN '!X$4,'7. PGE_Efficacité'!$A$4:$BU$4,0)+31),0)</f>
        <v>0</v>
      </c>
      <c r="Y32" s="212">
        <f>VLOOKUP($E32,'7. PGE_Efficacité'!$A$6:$BT$266,(MATCH('4.6 ACE MAX CAN '!Y$4,'7. PGE_Efficacité'!$A$4:$BU$4,0)+31),0)</f>
        <v>0</v>
      </c>
      <c r="Z32" s="212">
        <f>VLOOKUP($E32,'7. PGE_Efficacité'!$A$6:$BT$266,(MATCH('4.6 ACE MAX CAN '!Z$4,'7. PGE_Efficacité'!$A$4:$BU$4,0)+31),0)</f>
        <v>0</v>
      </c>
      <c r="AA32" s="212">
        <f>VLOOKUP($E32,'7. PGE_Efficacité'!$A$6:$BT$266,(MATCH('4.6 ACE MAX CAN '!AA$4,'7. PGE_Efficacité'!$A$4:$BU$4,0)+31),0)</f>
        <v>0</v>
      </c>
      <c r="AB32" s="212">
        <f>VLOOKUP($E32,'7. PGE_Efficacité'!$A$6:$BT$266,(MATCH('4.6 ACE MAX CAN '!AB$4,'7. PGE_Efficacité'!$A$4:$BU$4,0)+31),0)</f>
        <v>0</v>
      </c>
      <c r="AC32" s="212">
        <f>VLOOKUP($E32,'7. PGE_Efficacité'!$A$6:$BT$266,(MATCH('4.6 ACE MAX CAN '!AC$4,'7. PGE_Efficacité'!$A$4:$BU$4,0)+31),0)</f>
        <v>0</v>
      </c>
      <c r="AD32" s="212">
        <f>VLOOKUP($E32,'7. PGE_Efficacité'!$A$6:$BT$266,(MATCH('4.6 ACE MAX CAN '!AD$4,'7. PGE_Efficacité'!$A$4:$BU$4,0)+31),0)</f>
        <v>0</v>
      </c>
      <c r="AE32" s="212">
        <f>VLOOKUP($E32,'7. PGE_Efficacité'!$A$6:$BT$266,(MATCH('4.6 ACE MAX CAN '!AE$4,'7. PGE_Efficacité'!$A$4:$BU$4,0)+31),0)</f>
        <v>0</v>
      </c>
      <c r="AF32" s="212">
        <f>VLOOKUP($E32,'7. PGE_Efficacité'!$A$6:$BT$266,(MATCH('4.6 ACE MAX CAN '!AF$4,'7. PGE_Efficacité'!$A$4:$BU$4,0)+31),0)</f>
        <v>0</v>
      </c>
      <c r="AG32" s="212">
        <f>VLOOKUP($E32,'7. PGE_Efficacité'!$A$6:$BT$266,(MATCH('4.6 ACE MAX CAN '!AG$4,'7. PGE_Efficacité'!$A$4:$BU$4,0)+31),0)</f>
        <v>0</v>
      </c>
      <c r="AH32" s="212">
        <f>VLOOKUP($E32,'7. PGE_Efficacité'!$A$6:$BT$266,(MATCH('4.6 ACE MAX CAN '!AH$4,'7. PGE_Efficacité'!$A$4:$BU$4,0)+31),0)</f>
        <v>0</v>
      </c>
      <c r="AI32" s="212">
        <f>VLOOKUP($E32,'7. PGE_Efficacité'!$A$6:$BT$266,(MATCH('4.6 ACE MAX CAN '!AI$4,'7. PGE_Efficacité'!$A$4:$BU$4,0)+31),0)</f>
        <v>0</v>
      </c>
      <c r="AJ32" s="212">
        <f>VLOOKUP($E32,'7. PGE_Efficacité'!$A$6:$BT$266,(MATCH('4.6 ACE MAX CAN '!AJ$4,'7. PGE_Efficacité'!$A$4:$BU$4,0)+31),0)</f>
        <v>0</v>
      </c>
      <c r="AK32" s="212">
        <f>VLOOKUP($E32,'7. PGE_Efficacité'!$A$6:$BT$266,(MATCH('4.6 ACE MAX CAN '!AK$4,'7. PGE_Efficacité'!$A$4:$BU$4,0)+31),0)</f>
        <v>0</v>
      </c>
      <c r="AL32" s="212">
        <f>VLOOKUP($E32,'7. PGE_Efficacité'!$A$6:$BT$266,(MATCH('4.6 ACE MAX CAN '!AL$4,'7. PGE_Efficacité'!$A$4:$BU$4,0)+31),0)</f>
        <v>0</v>
      </c>
      <c r="AM32" s="212">
        <f>VLOOKUP($E32,'7. PGE_Efficacité'!$A$6:$BT$266,(MATCH('4.6 ACE MAX CAN '!AM$4,'7. PGE_Efficacité'!$A$4:$BU$4,0)+31),0)</f>
        <v>0</v>
      </c>
      <c r="AN32" s="212">
        <f>VLOOKUP($E32,'7. PGE_Efficacité'!$A$6:$BT$266,(MATCH('4.6 ACE MAX CAN '!AN$4,'7. PGE_Efficacité'!$A$4:$BU$4,0)+31),0)</f>
        <v>0</v>
      </c>
    </row>
    <row r="33" spans="1:40" outlineLevel="2" x14ac:dyDescent="0.25">
      <c r="A33" t="s">
        <v>1524</v>
      </c>
      <c r="B33">
        <v>5</v>
      </c>
      <c r="C33" t="s">
        <v>1525</v>
      </c>
      <c r="D33" s="12" t="s">
        <v>4</v>
      </c>
      <c r="E33" s="12" t="s">
        <v>809</v>
      </c>
      <c r="F33" s="12" t="s">
        <v>1440</v>
      </c>
      <c r="G33" s="12" t="s">
        <v>1521</v>
      </c>
      <c r="H33" s="12" t="s">
        <v>1290</v>
      </c>
      <c r="I33" s="148"/>
      <c r="J33" s="149">
        <f>VLOOKUP($E33,'7. PGE_Efficacité'!$A$6:$BT$266,(MATCH('4.6 ACE MAX CAN '!J$4,'7. PGE_Efficacité'!$A$4:$BU$4,0)+31),0)</f>
        <v>0</v>
      </c>
      <c r="K33" s="149">
        <f>VLOOKUP($E33,'7. PGE_Efficacité'!$A$6:$BT$266,(MATCH('4.6 ACE MAX CAN '!K$4,'7. PGE_Efficacité'!$A$4:$BU$4,0)+31),0)</f>
        <v>0</v>
      </c>
      <c r="L33" s="149">
        <f>VLOOKUP($E33,'7. PGE_Efficacité'!$A$6:$BT$266,(MATCH('4.6 ACE MAX CAN '!L$4,'7. PGE_Efficacité'!$A$4:$BU$4,0)+31),0)</f>
        <v>0</v>
      </c>
      <c r="M33" s="149">
        <f>VLOOKUP($E33,'7. PGE_Efficacité'!$A$6:$BT$266,(MATCH('4.6 ACE MAX CAN '!M$4,'7. PGE_Efficacité'!$A$4:$BU$4,0)+31),0)</f>
        <v>0</v>
      </c>
      <c r="N33" s="149">
        <f>VLOOKUP($E33,'7. PGE_Efficacité'!$A$6:$BT$266,(MATCH('4.6 ACE MAX CAN '!N$4,'7. PGE_Efficacité'!$A$4:$BU$4,0)+31),0)</f>
        <v>0</v>
      </c>
      <c r="O33" s="149">
        <f>VLOOKUP($D33,'7. PGE_Efficacité'!$A$6:$BT$268,47,0)</f>
        <v>0</v>
      </c>
      <c r="P33" s="149">
        <f>VLOOKUP($E33,'7. PGE_Efficacité'!$A$6:$BT$266,(MATCH('4.6 ACE MAX CAN '!P$4,'7. PGE_Efficacité'!$A$4:$BU$4,0)+31),0)</f>
        <v>0</v>
      </c>
      <c r="Q33" s="149">
        <f>VLOOKUP($E33,'7. PGE_Efficacité'!$A$6:$BT$266,(MATCH('4.6 ACE MAX CAN '!Q$4,'7. PGE_Efficacité'!$A$4:$BU$4,0)+31),0)</f>
        <v>0</v>
      </c>
      <c r="R33" s="149">
        <f>VLOOKUP($E33,'7. PGE_Efficacité'!$A$6:$BT$266,(MATCH('4.6 ACE MAX CAN '!R$4,'7. PGE_Efficacité'!$A$4:$BU$4,0)+31),0)</f>
        <v>0</v>
      </c>
      <c r="S33" s="149">
        <f>VLOOKUP($E33,'7. PGE_Efficacité'!$A$6:$BT$266,(MATCH('4.6 ACE MAX CAN '!S$4,'7. PGE_Efficacité'!$A$4:$BU$4,0)+31),0)</f>
        <v>0</v>
      </c>
      <c r="T33" s="149">
        <f>VLOOKUP($E33,'7. PGE_Efficacité'!$A$6:$BT$266,(MATCH('4.6 ACE MAX CAN '!T$4,'7. PGE_Efficacité'!$A$4:$BU$4,0)+31),0)</f>
        <v>0</v>
      </c>
      <c r="U33" s="149">
        <f>VLOOKUP($E33,'7. PGE_Efficacité'!$A$6:$BT$266,(MATCH('4.6 ACE MAX CAN '!U$4,'7. PGE_Efficacité'!$A$4:$BU$4,0)+31),0)</f>
        <v>0</v>
      </c>
      <c r="V33" s="149">
        <f>VLOOKUP($E33,'7. PGE_Efficacité'!$A$6:$BT$266,(MATCH('4.6 ACE MAX CAN '!V$4,'7. PGE_Efficacité'!$A$4:$BU$4,0)+31),0)</f>
        <v>0</v>
      </c>
      <c r="W33" s="149">
        <f>VLOOKUP($E33,'7. PGE_Efficacité'!$A$6:$BT$266,(MATCH('4.6 ACE MAX CAN '!W$4,'7. PGE_Efficacité'!$A$4:$BU$4,0)+31),0)</f>
        <v>0</v>
      </c>
      <c r="X33" s="149">
        <f>VLOOKUP($E33,'7. PGE_Efficacité'!$A$6:$BT$266,(MATCH('4.6 ACE MAX CAN '!X$4,'7. PGE_Efficacité'!$A$4:$BU$4,0)+31),0)</f>
        <v>0</v>
      </c>
      <c r="Y33" s="212">
        <f>VLOOKUP($E33,'7. PGE_Efficacité'!$A$6:$BT$266,(MATCH('4.6 ACE MAX CAN '!Y$4,'7. PGE_Efficacité'!$A$4:$BU$4,0)+31),0)</f>
        <v>0</v>
      </c>
      <c r="Z33" s="212">
        <f>VLOOKUP($E33,'7. PGE_Efficacité'!$A$6:$BT$266,(MATCH('4.6 ACE MAX CAN '!Z$4,'7. PGE_Efficacité'!$A$4:$BU$4,0)+31),0)</f>
        <v>0</v>
      </c>
      <c r="AA33" s="212">
        <f>VLOOKUP($E33,'7. PGE_Efficacité'!$A$6:$BT$266,(MATCH('4.6 ACE MAX CAN '!AA$4,'7. PGE_Efficacité'!$A$4:$BU$4,0)+31),0)</f>
        <v>0</v>
      </c>
      <c r="AB33" s="212">
        <f>VLOOKUP($E33,'7. PGE_Efficacité'!$A$6:$BT$266,(MATCH('4.6 ACE MAX CAN '!AB$4,'7. PGE_Efficacité'!$A$4:$BU$4,0)+31),0)</f>
        <v>0</v>
      </c>
      <c r="AC33" s="212">
        <f>VLOOKUP($E33,'7. PGE_Efficacité'!$A$6:$BT$266,(MATCH('4.6 ACE MAX CAN '!AC$4,'7. PGE_Efficacité'!$A$4:$BU$4,0)+31),0)</f>
        <v>0</v>
      </c>
      <c r="AD33" s="212">
        <f>VLOOKUP($E33,'7. PGE_Efficacité'!$A$6:$BT$266,(MATCH('4.6 ACE MAX CAN '!AD$4,'7. PGE_Efficacité'!$A$4:$BU$4,0)+31),0)</f>
        <v>0</v>
      </c>
      <c r="AE33" s="212">
        <f>VLOOKUP($E33,'7. PGE_Efficacité'!$A$6:$BT$266,(MATCH('4.6 ACE MAX CAN '!AE$4,'7. PGE_Efficacité'!$A$4:$BU$4,0)+31),0)</f>
        <v>0</v>
      </c>
      <c r="AF33" s="212">
        <f>VLOOKUP($E33,'7. PGE_Efficacité'!$A$6:$BT$266,(MATCH('4.6 ACE MAX CAN '!AF$4,'7. PGE_Efficacité'!$A$4:$BU$4,0)+31),0)</f>
        <v>0</v>
      </c>
      <c r="AG33" s="212">
        <f>VLOOKUP($E33,'7. PGE_Efficacité'!$A$6:$BT$266,(MATCH('4.6 ACE MAX CAN '!AG$4,'7. PGE_Efficacité'!$A$4:$BU$4,0)+31),0)</f>
        <v>0</v>
      </c>
      <c r="AH33" s="212">
        <f>VLOOKUP($E33,'7. PGE_Efficacité'!$A$6:$BT$266,(MATCH('4.6 ACE MAX CAN '!AH$4,'7. PGE_Efficacité'!$A$4:$BU$4,0)+31),0)</f>
        <v>0</v>
      </c>
      <c r="AI33" s="212">
        <f>VLOOKUP($E33,'7. PGE_Efficacité'!$A$6:$BT$266,(MATCH('4.6 ACE MAX CAN '!AI$4,'7. PGE_Efficacité'!$A$4:$BU$4,0)+31),0)</f>
        <v>0</v>
      </c>
      <c r="AJ33" s="212">
        <f>VLOOKUP($E33,'7. PGE_Efficacité'!$A$6:$BT$266,(MATCH('4.6 ACE MAX CAN '!AJ$4,'7. PGE_Efficacité'!$A$4:$BU$4,0)+31),0)</f>
        <v>0</v>
      </c>
      <c r="AK33" s="212">
        <f>VLOOKUP($E33,'7. PGE_Efficacité'!$A$6:$BT$266,(MATCH('4.6 ACE MAX CAN '!AK$4,'7. PGE_Efficacité'!$A$4:$BU$4,0)+31),0)</f>
        <v>0</v>
      </c>
      <c r="AL33" s="212">
        <f>VLOOKUP($E33,'7. PGE_Efficacité'!$A$6:$BT$266,(MATCH('4.6 ACE MAX CAN '!AL$4,'7. PGE_Efficacité'!$A$4:$BU$4,0)+31),0)</f>
        <v>0</v>
      </c>
      <c r="AM33" s="212">
        <f>VLOOKUP($E33,'7. PGE_Efficacité'!$A$6:$BT$266,(MATCH('4.6 ACE MAX CAN '!AM$4,'7. PGE_Efficacité'!$A$4:$BU$4,0)+31),0)</f>
        <v>0</v>
      </c>
      <c r="AN33" s="212">
        <f>VLOOKUP($E33,'7. PGE_Efficacité'!$A$6:$BT$266,(MATCH('4.6 ACE MAX CAN '!AN$4,'7. PGE_Efficacité'!$A$4:$BU$4,0)+31),0)</f>
        <v>0</v>
      </c>
    </row>
    <row r="34" spans="1:40" outlineLevel="2" x14ac:dyDescent="0.25">
      <c r="A34" t="s">
        <v>1524</v>
      </c>
      <c r="B34">
        <v>5</v>
      </c>
      <c r="C34" t="s">
        <v>1526</v>
      </c>
      <c r="D34" s="12" t="s">
        <v>4</v>
      </c>
      <c r="E34" s="12" t="s">
        <v>814</v>
      </c>
      <c r="F34" s="12" t="s">
        <v>1445</v>
      </c>
      <c r="G34" s="12" t="s">
        <v>1521</v>
      </c>
      <c r="H34" s="12" t="s">
        <v>1290</v>
      </c>
      <c r="I34" s="148"/>
      <c r="J34" s="149">
        <f>VLOOKUP($E34,'7. PGE_Efficacité'!$A$6:$BT$266,(MATCH('4.6 ACE MAX CAN '!J$4,'7. PGE_Efficacité'!$A$4:$BU$4,0)+31),0)</f>
        <v>0</v>
      </c>
      <c r="K34" s="149">
        <f>VLOOKUP($E34,'7. PGE_Efficacité'!$A$6:$BT$266,(MATCH('4.6 ACE MAX CAN '!K$4,'7. PGE_Efficacité'!$A$4:$BU$4,0)+31),0)</f>
        <v>0</v>
      </c>
      <c r="L34" s="149">
        <f>VLOOKUP($E34,'7. PGE_Efficacité'!$A$6:$BT$266,(MATCH('4.6 ACE MAX CAN '!L$4,'7. PGE_Efficacité'!$A$4:$BU$4,0)+31),0)</f>
        <v>0</v>
      </c>
      <c r="M34" s="149">
        <f>VLOOKUP($E34,'7. PGE_Efficacité'!$A$6:$BT$266,(MATCH('4.6 ACE MAX CAN '!M$4,'7. PGE_Efficacité'!$A$4:$BU$4,0)+31),0)</f>
        <v>0</v>
      </c>
      <c r="N34" s="149">
        <f>VLOOKUP($E34,'7. PGE_Efficacité'!$A$6:$BT$266,(MATCH('4.6 ACE MAX CAN '!N$4,'7. PGE_Efficacité'!$A$4:$BU$4,0)+31),0)</f>
        <v>0</v>
      </c>
      <c r="O34" s="149">
        <f>VLOOKUP($D34,'7. PGE_Efficacité'!$A$6:$BT$268,47,0)</f>
        <v>0</v>
      </c>
      <c r="P34" s="149">
        <f>VLOOKUP($E34,'7. PGE_Efficacité'!$A$6:$BT$266,(MATCH('4.6 ACE MAX CAN '!P$4,'7. PGE_Efficacité'!$A$4:$BU$4,0)+31),0)</f>
        <v>0</v>
      </c>
      <c r="Q34" s="149">
        <f>VLOOKUP($E34,'7. PGE_Efficacité'!$A$6:$BT$266,(MATCH('4.6 ACE MAX CAN '!Q$4,'7. PGE_Efficacité'!$A$4:$BU$4,0)+31),0)</f>
        <v>0</v>
      </c>
      <c r="R34" s="149">
        <f>VLOOKUP($E34,'7. PGE_Efficacité'!$A$6:$BT$266,(MATCH('4.6 ACE MAX CAN '!R$4,'7. PGE_Efficacité'!$A$4:$BU$4,0)+31),0)</f>
        <v>0</v>
      </c>
      <c r="S34" s="149">
        <f>VLOOKUP($E34,'7. PGE_Efficacité'!$A$6:$BT$266,(MATCH('4.6 ACE MAX CAN '!S$4,'7. PGE_Efficacité'!$A$4:$BU$4,0)+31),0)</f>
        <v>0</v>
      </c>
      <c r="T34" s="149">
        <f>VLOOKUP($E34,'7. PGE_Efficacité'!$A$6:$BT$266,(MATCH('4.6 ACE MAX CAN '!T$4,'7. PGE_Efficacité'!$A$4:$BU$4,0)+31),0)</f>
        <v>0</v>
      </c>
      <c r="U34" s="149">
        <f>VLOOKUP($E34,'7. PGE_Efficacité'!$A$6:$BT$266,(MATCH('4.6 ACE MAX CAN '!U$4,'7. PGE_Efficacité'!$A$4:$BU$4,0)+31),0)</f>
        <v>0</v>
      </c>
      <c r="V34" s="149">
        <f>VLOOKUP($E34,'7. PGE_Efficacité'!$A$6:$BT$266,(MATCH('4.6 ACE MAX CAN '!V$4,'7. PGE_Efficacité'!$A$4:$BU$4,0)+31),0)</f>
        <v>0</v>
      </c>
      <c r="W34" s="149">
        <f>VLOOKUP($E34,'7. PGE_Efficacité'!$A$6:$BT$266,(MATCH('4.6 ACE MAX CAN '!W$4,'7. PGE_Efficacité'!$A$4:$BU$4,0)+31),0)</f>
        <v>0</v>
      </c>
      <c r="X34" s="149">
        <f>VLOOKUP($E34,'7. PGE_Efficacité'!$A$6:$BT$266,(MATCH('4.6 ACE MAX CAN '!X$4,'7. PGE_Efficacité'!$A$4:$BU$4,0)+31),0)</f>
        <v>0</v>
      </c>
      <c r="Y34" s="212">
        <f>VLOOKUP($E34,'7. PGE_Efficacité'!$A$6:$BT$266,(MATCH('4.6 ACE MAX CAN '!Y$4,'7. PGE_Efficacité'!$A$4:$BU$4,0)+31),0)</f>
        <v>0</v>
      </c>
      <c r="Z34" s="212">
        <f>VLOOKUP($E34,'7. PGE_Efficacité'!$A$6:$BT$266,(MATCH('4.6 ACE MAX CAN '!Z$4,'7. PGE_Efficacité'!$A$4:$BU$4,0)+31),0)</f>
        <v>0</v>
      </c>
      <c r="AA34" s="212">
        <f>VLOOKUP($E34,'7. PGE_Efficacité'!$A$6:$BT$266,(MATCH('4.6 ACE MAX CAN '!AA$4,'7. PGE_Efficacité'!$A$4:$BU$4,0)+31),0)</f>
        <v>0</v>
      </c>
      <c r="AB34" s="212">
        <f>VLOOKUP($E34,'7. PGE_Efficacité'!$A$6:$BT$266,(MATCH('4.6 ACE MAX CAN '!AB$4,'7. PGE_Efficacité'!$A$4:$BU$4,0)+31),0)</f>
        <v>0</v>
      </c>
      <c r="AC34" s="212">
        <f>VLOOKUP($E34,'7. PGE_Efficacité'!$A$6:$BT$266,(MATCH('4.6 ACE MAX CAN '!AC$4,'7. PGE_Efficacité'!$A$4:$BU$4,0)+31),0)</f>
        <v>0</v>
      </c>
      <c r="AD34" s="212">
        <f>VLOOKUP($E34,'7. PGE_Efficacité'!$A$6:$BT$266,(MATCH('4.6 ACE MAX CAN '!AD$4,'7. PGE_Efficacité'!$A$4:$BU$4,0)+31),0)</f>
        <v>0</v>
      </c>
      <c r="AE34" s="212">
        <f>VLOOKUP($E34,'7. PGE_Efficacité'!$A$6:$BT$266,(MATCH('4.6 ACE MAX CAN '!AE$4,'7. PGE_Efficacité'!$A$4:$BU$4,0)+31),0)</f>
        <v>0</v>
      </c>
      <c r="AF34" s="212">
        <f>VLOOKUP($E34,'7. PGE_Efficacité'!$A$6:$BT$266,(MATCH('4.6 ACE MAX CAN '!AF$4,'7. PGE_Efficacité'!$A$4:$BU$4,0)+31),0)</f>
        <v>0</v>
      </c>
      <c r="AG34" s="212">
        <f>VLOOKUP($E34,'7. PGE_Efficacité'!$A$6:$BT$266,(MATCH('4.6 ACE MAX CAN '!AG$4,'7. PGE_Efficacité'!$A$4:$BU$4,0)+31),0)</f>
        <v>0</v>
      </c>
      <c r="AH34" s="212">
        <f>VLOOKUP($E34,'7. PGE_Efficacité'!$A$6:$BT$266,(MATCH('4.6 ACE MAX CAN '!AH$4,'7. PGE_Efficacité'!$A$4:$BU$4,0)+31),0)</f>
        <v>0</v>
      </c>
      <c r="AI34" s="212">
        <f>VLOOKUP($E34,'7. PGE_Efficacité'!$A$6:$BT$266,(MATCH('4.6 ACE MAX CAN '!AI$4,'7. PGE_Efficacité'!$A$4:$BU$4,0)+31),0)</f>
        <v>0</v>
      </c>
      <c r="AJ34" s="212">
        <f>VLOOKUP($E34,'7. PGE_Efficacité'!$A$6:$BT$266,(MATCH('4.6 ACE MAX CAN '!AJ$4,'7. PGE_Efficacité'!$A$4:$BU$4,0)+31),0)</f>
        <v>0</v>
      </c>
      <c r="AK34" s="212">
        <f>VLOOKUP($E34,'7. PGE_Efficacité'!$A$6:$BT$266,(MATCH('4.6 ACE MAX CAN '!AK$4,'7. PGE_Efficacité'!$A$4:$BU$4,0)+31),0)</f>
        <v>0</v>
      </c>
      <c r="AL34" s="212">
        <f>VLOOKUP($E34,'7. PGE_Efficacité'!$A$6:$BT$266,(MATCH('4.6 ACE MAX CAN '!AL$4,'7. PGE_Efficacité'!$A$4:$BU$4,0)+31),0)</f>
        <v>0</v>
      </c>
      <c r="AM34" s="212">
        <f>VLOOKUP($E34,'7. PGE_Efficacité'!$A$6:$BT$266,(MATCH('4.6 ACE MAX CAN '!AM$4,'7. PGE_Efficacité'!$A$4:$BU$4,0)+31),0)</f>
        <v>0</v>
      </c>
      <c r="AN34" s="212">
        <f>VLOOKUP($E34,'7. PGE_Efficacité'!$A$6:$BT$266,(MATCH('4.6 ACE MAX CAN '!AN$4,'7. PGE_Efficacité'!$A$4:$BU$4,0)+31),0)</f>
        <v>0</v>
      </c>
    </row>
    <row r="35" spans="1:40" outlineLevel="2" x14ac:dyDescent="0.25">
      <c r="A35" t="s">
        <v>1524</v>
      </c>
      <c r="B35">
        <v>5</v>
      </c>
      <c r="C35" t="s">
        <v>1527</v>
      </c>
      <c r="D35" s="12" t="s">
        <v>4</v>
      </c>
      <c r="E35" s="12" t="s">
        <v>815</v>
      </c>
      <c r="F35" s="12" t="s">
        <v>1446</v>
      </c>
      <c r="G35" s="12" t="s">
        <v>1521</v>
      </c>
      <c r="H35" s="12" t="s">
        <v>1290</v>
      </c>
      <c r="I35" s="148"/>
      <c r="J35" s="149">
        <f>VLOOKUP($E35,'7. PGE_Efficacité'!$A$6:$BT$266,(MATCH('4.6 ACE MAX CAN '!J$4,'7. PGE_Efficacité'!$A$4:$BU$4,0)+31),0)</f>
        <v>0</v>
      </c>
      <c r="K35" s="149">
        <f>VLOOKUP($E35,'7. PGE_Efficacité'!$A$6:$BT$266,(MATCH('4.6 ACE MAX CAN '!K$4,'7. PGE_Efficacité'!$A$4:$BU$4,0)+31),0)</f>
        <v>0</v>
      </c>
      <c r="L35" s="149">
        <f>VLOOKUP($E35,'7. PGE_Efficacité'!$A$6:$BT$266,(MATCH('4.6 ACE MAX CAN '!L$4,'7. PGE_Efficacité'!$A$4:$BU$4,0)+31),0)</f>
        <v>0</v>
      </c>
      <c r="M35" s="149">
        <f>VLOOKUP($E35,'7. PGE_Efficacité'!$A$6:$BT$266,(MATCH('4.6 ACE MAX CAN '!M$4,'7. PGE_Efficacité'!$A$4:$BU$4,0)+31),0)</f>
        <v>0</v>
      </c>
      <c r="N35" s="149">
        <f>VLOOKUP($E35,'7. PGE_Efficacité'!$A$6:$BT$266,(MATCH('4.6 ACE MAX CAN '!N$4,'7. PGE_Efficacité'!$A$4:$BU$4,0)+31),0)</f>
        <v>0</v>
      </c>
      <c r="O35" s="149">
        <f>VLOOKUP($D35,'7. PGE_Efficacité'!$A$6:$BT$268,47,0)</f>
        <v>0</v>
      </c>
      <c r="P35" s="149">
        <f>VLOOKUP($E35,'7. PGE_Efficacité'!$A$6:$BT$266,(MATCH('4.6 ACE MAX CAN '!P$4,'7. PGE_Efficacité'!$A$4:$BU$4,0)+31),0)</f>
        <v>0</v>
      </c>
      <c r="Q35" s="149">
        <f>VLOOKUP($E35,'7. PGE_Efficacité'!$A$6:$BT$266,(MATCH('4.6 ACE MAX CAN '!Q$4,'7. PGE_Efficacité'!$A$4:$BU$4,0)+31),0)</f>
        <v>0</v>
      </c>
      <c r="R35" s="149">
        <f>VLOOKUP($E35,'7. PGE_Efficacité'!$A$6:$BT$266,(MATCH('4.6 ACE MAX CAN '!R$4,'7. PGE_Efficacité'!$A$4:$BU$4,0)+31),0)</f>
        <v>0</v>
      </c>
      <c r="S35" s="149">
        <f>VLOOKUP($E35,'7. PGE_Efficacité'!$A$6:$BT$266,(MATCH('4.6 ACE MAX CAN '!S$4,'7. PGE_Efficacité'!$A$4:$BU$4,0)+31),0)</f>
        <v>0</v>
      </c>
      <c r="T35" s="149">
        <f>VLOOKUP($E35,'7. PGE_Efficacité'!$A$6:$BT$266,(MATCH('4.6 ACE MAX CAN '!T$4,'7. PGE_Efficacité'!$A$4:$BU$4,0)+31),0)</f>
        <v>0</v>
      </c>
      <c r="U35" s="149">
        <f>VLOOKUP($E35,'7. PGE_Efficacité'!$A$6:$BT$266,(MATCH('4.6 ACE MAX CAN '!U$4,'7. PGE_Efficacité'!$A$4:$BU$4,0)+31),0)</f>
        <v>0</v>
      </c>
      <c r="V35" s="149">
        <f>VLOOKUP($E35,'7. PGE_Efficacité'!$A$6:$BT$266,(MATCH('4.6 ACE MAX CAN '!V$4,'7. PGE_Efficacité'!$A$4:$BU$4,0)+31),0)</f>
        <v>0</v>
      </c>
      <c r="W35" s="149">
        <f>VLOOKUP($E35,'7. PGE_Efficacité'!$A$6:$BT$266,(MATCH('4.6 ACE MAX CAN '!W$4,'7. PGE_Efficacité'!$A$4:$BU$4,0)+31),0)</f>
        <v>0</v>
      </c>
      <c r="X35" s="149">
        <f>VLOOKUP($E35,'7. PGE_Efficacité'!$A$6:$BT$266,(MATCH('4.6 ACE MAX CAN '!X$4,'7. PGE_Efficacité'!$A$4:$BU$4,0)+31),0)</f>
        <v>0</v>
      </c>
      <c r="Y35" s="212">
        <f>VLOOKUP($E35,'7. PGE_Efficacité'!$A$6:$BT$266,(MATCH('4.6 ACE MAX CAN '!Y$4,'7. PGE_Efficacité'!$A$4:$BU$4,0)+31),0)</f>
        <v>0</v>
      </c>
      <c r="Z35" s="212">
        <f>VLOOKUP($E35,'7. PGE_Efficacité'!$A$6:$BT$266,(MATCH('4.6 ACE MAX CAN '!Z$4,'7. PGE_Efficacité'!$A$4:$BU$4,0)+31),0)</f>
        <v>0</v>
      </c>
      <c r="AA35" s="212">
        <f>VLOOKUP($E35,'7. PGE_Efficacité'!$A$6:$BT$266,(MATCH('4.6 ACE MAX CAN '!AA$4,'7. PGE_Efficacité'!$A$4:$BU$4,0)+31),0)</f>
        <v>0</v>
      </c>
      <c r="AB35" s="212">
        <f>VLOOKUP($E35,'7. PGE_Efficacité'!$A$6:$BT$266,(MATCH('4.6 ACE MAX CAN '!AB$4,'7. PGE_Efficacité'!$A$4:$BU$4,0)+31),0)</f>
        <v>0</v>
      </c>
      <c r="AC35" s="212">
        <f>VLOOKUP($E35,'7. PGE_Efficacité'!$A$6:$BT$266,(MATCH('4.6 ACE MAX CAN '!AC$4,'7. PGE_Efficacité'!$A$4:$BU$4,0)+31),0)</f>
        <v>0</v>
      </c>
      <c r="AD35" s="212">
        <f>VLOOKUP($E35,'7. PGE_Efficacité'!$A$6:$BT$266,(MATCH('4.6 ACE MAX CAN '!AD$4,'7. PGE_Efficacité'!$A$4:$BU$4,0)+31),0)</f>
        <v>0</v>
      </c>
      <c r="AE35" s="212">
        <f>VLOOKUP($E35,'7. PGE_Efficacité'!$A$6:$BT$266,(MATCH('4.6 ACE MAX CAN '!AE$4,'7. PGE_Efficacité'!$A$4:$BU$4,0)+31),0)</f>
        <v>0</v>
      </c>
      <c r="AF35" s="212">
        <f>VLOOKUP($E35,'7. PGE_Efficacité'!$A$6:$BT$266,(MATCH('4.6 ACE MAX CAN '!AF$4,'7. PGE_Efficacité'!$A$4:$BU$4,0)+31),0)</f>
        <v>0</v>
      </c>
      <c r="AG35" s="212">
        <f>VLOOKUP($E35,'7. PGE_Efficacité'!$A$6:$BT$266,(MATCH('4.6 ACE MAX CAN '!AG$4,'7. PGE_Efficacité'!$A$4:$BU$4,0)+31),0)</f>
        <v>0</v>
      </c>
      <c r="AH35" s="212">
        <f>VLOOKUP($E35,'7. PGE_Efficacité'!$A$6:$BT$266,(MATCH('4.6 ACE MAX CAN '!AH$4,'7. PGE_Efficacité'!$A$4:$BU$4,0)+31),0)</f>
        <v>0</v>
      </c>
      <c r="AI35" s="212">
        <f>VLOOKUP($E35,'7. PGE_Efficacité'!$A$6:$BT$266,(MATCH('4.6 ACE MAX CAN '!AI$4,'7. PGE_Efficacité'!$A$4:$BU$4,0)+31),0)</f>
        <v>0</v>
      </c>
      <c r="AJ35" s="212">
        <f>VLOOKUP($E35,'7. PGE_Efficacité'!$A$6:$BT$266,(MATCH('4.6 ACE MAX CAN '!AJ$4,'7. PGE_Efficacité'!$A$4:$BU$4,0)+31),0)</f>
        <v>0</v>
      </c>
      <c r="AK35" s="212">
        <f>VLOOKUP($E35,'7. PGE_Efficacité'!$A$6:$BT$266,(MATCH('4.6 ACE MAX CAN '!AK$4,'7. PGE_Efficacité'!$A$4:$BU$4,0)+31),0)</f>
        <v>0</v>
      </c>
      <c r="AL35" s="212">
        <f>VLOOKUP($E35,'7. PGE_Efficacité'!$A$6:$BT$266,(MATCH('4.6 ACE MAX CAN '!AL$4,'7. PGE_Efficacité'!$A$4:$BU$4,0)+31),0)</f>
        <v>0</v>
      </c>
      <c r="AM35" s="212">
        <f>VLOOKUP($E35,'7. PGE_Efficacité'!$A$6:$BT$266,(MATCH('4.6 ACE MAX CAN '!AM$4,'7. PGE_Efficacité'!$A$4:$BU$4,0)+31),0)</f>
        <v>0</v>
      </c>
      <c r="AN35" s="212">
        <f>VLOOKUP($E35,'7. PGE_Efficacité'!$A$6:$BT$266,(MATCH('4.6 ACE MAX CAN '!AN$4,'7. PGE_Efficacité'!$A$4:$BU$4,0)+31),0)</f>
        <v>0</v>
      </c>
    </row>
    <row r="36" spans="1:40" outlineLevel="2" x14ac:dyDescent="0.25">
      <c r="A36" t="s">
        <v>1524</v>
      </c>
      <c r="B36">
        <v>5</v>
      </c>
      <c r="C36" t="s">
        <v>410</v>
      </c>
      <c r="D36" s="12" t="s">
        <v>4</v>
      </c>
      <c r="E36" s="12" t="s">
        <v>816</v>
      </c>
      <c r="F36" s="12" t="s">
        <v>1447</v>
      </c>
      <c r="G36" s="12" t="s">
        <v>1521</v>
      </c>
      <c r="H36" s="12" t="s">
        <v>1290</v>
      </c>
      <c r="I36" s="148"/>
      <c r="J36" s="149">
        <f>VLOOKUP($E36,'7. PGE_Efficacité'!$A$6:$BT$266,(MATCH('4.6 ACE MAX CAN '!J$4,'7. PGE_Efficacité'!$A$4:$BU$4,0)+31),0)</f>
        <v>0</v>
      </c>
      <c r="K36" s="149">
        <f>VLOOKUP($E36,'7. PGE_Efficacité'!$A$6:$BT$266,(MATCH('4.6 ACE MAX CAN '!K$4,'7. PGE_Efficacité'!$A$4:$BU$4,0)+31),0)</f>
        <v>0</v>
      </c>
      <c r="L36" s="149">
        <f>VLOOKUP($E36,'7. PGE_Efficacité'!$A$6:$BT$266,(MATCH('4.6 ACE MAX CAN '!L$4,'7. PGE_Efficacité'!$A$4:$BU$4,0)+31),0)</f>
        <v>0</v>
      </c>
      <c r="M36" s="149">
        <f>VLOOKUP($E36,'7. PGE_Efficacité'!$A$6:$BT$266,(MATCH('4.6 ACE MAX CAN '!M$4,'7. PGE_Efficacité'!$A$4:$BU$4,0)+31),0)</f>
        <v>0</v>
      </c>
      <c r="N36" s="149">
        <f>VLOOKUP($E36,'7. PGE_Efficacité'!$A$6:$BT$266,(MATCH('4.6 ACE MAX CAN '!N$4,'7. PGE_Efficacité'!$A$4:$BU$4,0)+31),0)</f>
        <v>0</v>
      </c>
      <c r="O36" s="149">
        <f>VLOOKUP($D36,'7. PGE_Efficacité'!$A$6:$BT$268,47,0)</f>
        <v>0</v>
      </c>
      <c r="P36" s="149">
        <f>VLOOKUP($E36,'7. PGE_Efficacité'!$A$6:$BT$266,(MATCH('4.6 ACE MAX CAN '!P$4,'7. PGE_Efficacité'!$A$4:$BU$4,0)+31),0)</f>
        <v>0</v>
      </c>
      <c r="Q36" s="149">
        <f>VLOOKUP($E36,'7. PGE_Efficacité'!$A$6:$BT$266,(MATCH('4.6 ACE MAX CAN '!Q$4,'7. PGE_Efficacité'!$A$4:$BU$4,0)+31),0)</f>
        <v>0</v>
      </c>
      <c r="R36" s="149">
        <f>VLOOKUP($E36,'7. PGE_Efficacité'!$A$6:$BT$266,(MATCH('4.6 ACE MAX CAN '!R$4,'7. PGE_Efficacité'!$A$4:$BU$4,0)+31),0)</f>
        <v>0</v>
      </c>
      <c r="S36" s="149">
        <f>VLOOKUP($E36,'7. PGE_Efficacité'!$A$6:$BT$266,(MATCH('4.6 ACE MAX CAN '!S$4,'7. PGE_Efficacité'!$A$4:$BU$4,0)+31),0)</f>
        <v>0</v>
      </c>
      <c r="T36" s="149">
        <f>VLOOKUP($E36,'7. PGE_Efficacité'!$A$6:$BT$266,(MATCH('4.6 ACE MAX CAN '!T$4,'7. PGE_Efficacité'!$A$4:$BU$4,0)+31),0)</f>
        <v>0</v>
      </c>
      <c r="U36" s="149">
        <f>VLOOKUP($E36,'7. PGE_Efficacité'!$A$6:$BT$266,(MATCH('4.6 ACE MAX CAN '!U$4,'7. PGE_Efficacité'!$A$4:$BU$4,0)+31),0)</f>
        <v>0</v>
      </c>
      <c r="V36" s="149">
        <f>VLOOKUP($E36,'7. PGE_Efficacité'!$A$6:$BT$266,(MATCH('4.6 ACE MAX CAN '!V$4,'7. PGE_Efficacité'!$A$4:$BU$4,0)+31),0)</f>
        <v>0</v>
      </c>
      <c r="W36" s="149">
        <f>VLOOKUP($E36,'7. PGE_Efficacité'!$A$6:$BT$266,(MATCH('4.6 ACE MAX CAN '!W$4,'7. PGE_Efficacité'!$A$4:$BU$4,0)+31),0)</f>
        <v>0</v>
      </c>
      <c r="X36" s="149">
        <f>VLOOKUP($E36,'7. PGE_Efficacité'!$A$6:$BT$266,(MATCH('4.6 ACE MAX CAN '!X$4,'7. PGE_Efficacité'!$A$4:$BU$4,0)+31),0)</f>
        <v>0</v>
      </c>
      <c r="Y36" s="212">
        <f>VLOOKUP($E36,'7. PGE_Efficacité'!$A$6:$BT$266,(MATCH('4.6 ACE MAX CAN '!Y$4,'7. PGE_Efficacité'!$A$4:$BU$4,0)+31),0)</f>
        <v>0</v>
      </c>
      <c r="Z36" s="212">
        <f>VLOOKUP($E36,'7. PGE_Efficacité'!$A$6:$BT$266,(MATCH('4.6 ACE MAX CAN '!Z$4,'7. PGE_Efficacité'!$A$4:$BU$4,0)+31),0)</f>
        <v>0</v>
      </c>
      <c r="AA36" s="212">
        <f>VLOOKUP($E36,'7. PGE_Efficacité'!$A$6:$BT$266,(MATCH('4.6 ACE MAX CAN '!AA$4,'7. PGE_Efficacité'!$A$4:$BU$4,0)+31),0)</f>
        <v>0</v>
      </c>
      <c r="AB36" s="212">
        <f>VLOOKUP($E36,'7. PGE_Efficacité'!$A$6:$BT$266,(MATCH('4.6 ACE MAX CAN '!AB$4,'7. PGE_Efficacité'!$A$4:$BU$4,0)+31),0)</f>
        <v>0</v>
      </c>
      <c r="AC36" s="212">
        <f>VLOOKUP($E36,'7. PGE_Efficacité'!$A$6:$BT$266,(MATCH('4.6 ACE MAX CAN '!AC$4,'7. PGE_Efficacité'!$A$4:$BU$4,0)+31),0)</f>
        <v>0</v>
      </c>
      <c r="AD36" s="212">
        <f>VLOOKUP($E36,'7. PGE_Efficacité'!$A$6:$BT$266,(MATCH('4.6 ACE MAX CAN '!AD$4,'7. PGE_Efficacité'!$A$4:$BU$4,0)+31),0)</f>
        <v>0</v>
      </c>
      <c r="AE36" s="212">
        <f>VLOOKUP($E36,'7. PGE_Efficacité'!$A$6:$BT$266,(MATCH('4.6 ACE MAX CAN '!AE$4,'7. PGE_Efficacité'!$A$4:$BU$4,0)+31),0)</f>
        <v>0</v>
      </c>
      <c r="AF36" s="212">
        <f>VLOOKUP($E36,'7. PGE_Efficacité'!$A$6:$BT$266,(MATCH('4.6 ACE MAX CAN '!AF$4,'7. PGE_Efficacité'!$A$4:$BU$4,0)+31),0)</f>
        <v>0</v>
      </c>
      <c r="AG36" s="212">
        <f>VLOOKUP($E36,'7. PGE_Efficacité'!$A$6:$BT$266,(MATCH('4.6 ACE MAX CAN '!AG$4,'7. PGE_Efficacité'!$A$4:$BU$4,0)+31),0)</f>
        <v>0</v>
      </c>
      <c r="AH36" s="212">
        <f>VLOOKUP($E36,'7. PGE_Efficacité'!$A$6:$BT$266,(MATCH('4.6 ACE MAX CAN '!AH$4,'7. PGE_Efficacité'!$A$4:$BU$4,0)+31),0)</f>
        <v>0</v>
      </c>
      <c r="AI36" s="212">
        <f>VLOOKUP($E36,'7. PGE_Efficacité'!$A$6:$BT$266,(MATCH('4.6 ACE MAX CAN '!AI$4,'7. PGE_Efficacité'!$A$4:$BU$4,0)+31),0)</f>
        <v>0</v>
      </c>
      <c r="AJ36" s="212">
        <f>VLOOKUP($E36,'7. PGE_Efficacité'!$A$6:$BT$266,(MATCH('4.6 ACE MAX CAN '!AJ$4,'7. PGE_Efficacité'!$A$4:$BU$4,0)+31),0)</f>
        <v>0</v>
      </c>
      <c r="AK36" s="212">
        <f>VLOOKUP($E36,'7. PGE_Efficacité'!$A$6:$BT$266,(MATCH('4.6 ACE MAX CAN '!AK$4,'7. PGE_Efficacité'!$A$4:$BU$4,0)+31),0)</f>
        <v>0</v>
      </c>
      <c r="AL36" s="212">
        <f>VLOOKUP($E36,'7. PGE_Efficacité'!$A$6:$BT$266,(MATCH('4.6 ACE MAX CAN '!AL$4,'7. PGE_Efficacité'!$A$4:$BU$4,0)+31),0)</f>
        <v>0</v>
      </c>
      <c r="AM36" s="212">
        <f>VLOOKUP($E36,'7. PGE_Efficacité'!$A$6:$BT$266,(MATCH('4.6 ACE MAX CAN '!AM$4,'7. PGE_Efficacité'!$A$4:$BU$4,0)+31),0)</f>
        <v>0</v>
      </c>
      <c r="AN36" s="212">
        <f>VLOOKUP($E36,'7. PGE_Efficacité'!$A$6:$BT$266,(MATCH('4.6 ACE MAX CAN '!AN$4,'7. PGE_Efficacité'!$A$4:$BU$4,0)+31),0)</f>
        <v>0</v>
      </c>
    </row>
    <row r="37" spans="1:40" outlineLevel="2" x14ac:dyDescent="0.25">
      <c r="A37" t="s">
        <v>1524</v>
      </c>
      <c r="B37">
        <v>5</v>
      </c>
      <c r="C37" t="s">
        <v>1528</v>
      </c>
      <c r="D37" s="12" t="s">
        <v>4</v>
      </c>
      <c r="E37" s="12" t="s">
        <v>817</v>
      </c>
      <c r="F37" s="12" t="s">
        <v>1448</v>
      </c>
      <c r="G37" s="12" t="s">
        <v>1521</v>
      </c>
      <c r="H37" s="12" t="s">
        <v>1290</v>
      </c>
      <c r="I37" s="148"/>
      <c r="J37" s="149">
        <f>VLOOKUP($E37,'7. PGE_Efficacité'!$A$6:$BT$266,(MATCH('4.6 ACE MAX CAN '!J$4,'7. PGE_Efficacité'!$A$4:$BU$4,0)+31),0)</f>
        <v>0</v>
      </c>
      <c r="K37" s="149">
        <f>VLOOKUP($E37,'7. PGE_Efficacité'!$A$6:$BT$266,(MATCH('4.6 ACE MAX CAN '!K$4,'7. PGE_Efficacité'!$A$4:$BU$4,0)+31),0)</f>
        <v>0</v>
      </c>
      <c r="L37" s="149">
        <f>VLOOKUP($E37,'7. PGE_Efficacité'!$A$6:$BT$266,(MATCH('4.6 ACE MAX CAN '!L$4,'7. PGE_Efficacité'!$A$4:$BU$4,0)+31),0)</f>
        <v>0</v>
      </c>
      <c r="M37" s="149">
        <f>VLOOKUP($E37,'7. PGE_Efficacité'!$A$6:$BT$266,(MATCH('4.6 ACE MAX CAN '!M$4,'7. PGE_Efficacité'!$A$4:$BU$4,0)+31),0)</f>
        <v>0</v>
      </c>
      <c r="N37" s="149">
        <f>VLOOKUP($E37,'7. PGE_Efficacité'!$A$6:$BT$266,(MATCH('4.6 ACE MAX CAN '!N$4,'7. PGE_Efficacité'!$A$4:$BU$4,0)+31),0)</f>
        <v>0</v>
      </c>
      <c r="O37" s="149">
        <f>VLOOKUP($D37,'7. PGE_Efficacité'!$A$6:$BT$268,47,0)</f>
        <v>0</v>
      </c>
      <c r="P37" s="149">
        <f>VLOOKUP($E37,'7. PGE_Efficacité'!$A$6:$BT$266,(MATCH('4.6 ACE MAX CAN '!P$4,'7. PGE_Efficacité'!$A$4:$BU$4,0)+31),0)</f>
        <v>0</v>
      </c>
      <c r="Q37" s="149">
        <f>VLOOKUP($E37,'7. PGE_Efficacité'!$A$6:$BT$266,(MATCH('4.6 ACE MAX CAN '!Q$4,'7. PGE_Efficacité'!$A$4:$BU$4,0)+31),0)</f>
        <v>0</v>
      </c>
      <c r="R37" s="149">
        <f>VLOOKUP($E37,'7. PGE_Efficacité'!$A$6:$BT$266,(MATCH('4.6 ACE MAX CAN '!R$4,'7. PGE_Efficacité'!$A$4:$BU$4,0)+31),0)</f>
        <v>0</v>
      </c>
      <c r="S37" s="149">
        <f>VLOOKUP($E37,'7. PGE_Efficacité'!$A$6:$BT$266,(MATCH('4.6 ACE MAX CAN '!S$4,'7. PGE_Efficacité'!$A$4:$BU$4,0)+31),0)</f>
        <v>0</v>
      </c>
      <c r="T37" s="149">
        <f>VLOOKUP($E37,'7. PGE_Efficacité'!$A$6:$BT$266,(MATCH('4.6 ACE MAX CAN '!T$4,'7. PGE_Efficacité'!$A$4:$BU$4,0)+31),0)</f>
        <v>0</v>
      </c>
      <c r="U37" s="149">
        <f>VLOOKUP($E37,'7. PGE_Efficacité'!$A$6:$BT$266,(MATCH('4.6 ACE MAX CAN '!U$4,'7. PGE_Efficacité'!$A$4:$BU$4,0)+31),0)</f>
        <v>0</v>
      </c>
      <c r="V37" s="149">
        <f>VLOOKUP($E37,'7. PGE_Efficacité'!$A$6:$BT$266,(MATCH('4.6 ACE MAX CAN '!V$4,'7. PGE_Efficacité'!$A$4:$BU$4,0)+31),0)</f>
        <v>0</v>
      </c>
      <c r="W37" s="149">
        <f>VLOOKUP($E37,'7. PGE_Efficacité'!$A$6:$BT$266,(MATCH('4.6 ACE MAX CAN '!W$4,'7. PGE_Efficacité'!$A$4:$BU$4,0)+31),0)</f>
        <v>0</v>
      </c>
      <c r="X37" s="149">
        <f>VLOOKUP($E37,'7. PGE_Efficacité'!$A$6:$BT$266,(MATCH('4.6 ACE MAX CAN '!X$4,'7. PGE_Efficacité'!$A$4:$BU$4,0)+31),0)</f>
        <v>0</v>
      </c>
      <c r="Y37" s="212">
        <f>VLOOKUP($E37,'7. PGE_Efficacité'!$A$6:$BT$266,(MATCH('4.6 ACE MAX CAN '!Y$4,'7. PGE_Efficacité'!$A$4:$BU$4,0)+31),0)</f>
        <v>0</v>
      </c>
      <c r="Z37" s="212">
        <f>VLOOKUP($E37,'7. PGE_Efficacité'!$A$6:$BT$266,(MATCH('4.6 ACE MAX CAN '!Z$4,'7. PGE_Efficacité'!$A$4:$BU$4,0)+31),0)</f>
        <v>0</v>
      </c>
      <c r="AA37" s="212">
        <f>VLOOKUP($E37,'7. PGE_Efficacité'!$A$6:$BT$266,(MATCH('4.6 ACE MAX CAN '!AA$4,'7. PGE_Efficacité'!$A$4:$BU$4,0)+31),0)</f>
        <v>0</v>
      </c>
      <c r="AB37" s="212">
        <f>VLOOKUP($E37,'7. PGE_Efficacité'!$A$6:$BT$266,(MATCH('4.6 ACE MAX CAN '!AB$4,'7. PGE_Efficacité'!$A$4:$BU$4,0)+31),0)</f>
        <v>0</v>
      </c>
      <c r="AC37" s="212">
        <f>VLOOKUP($E37,'7. PGE_Efficacité'!$A$6:$BT$266,(MATCH('4.6 ACE MAX CAN '!AC$4,'7. PGE_Efficacité'!$A$4:$BU$4,0)+31),0)</f>
        <v>0</v>
      </c>
      <c r="AD37" s="212">
        <f>VLOOKUP($E37,'7. PGE_Efficacité'!$A$6:$BT$266,(MATCH('4.6 ACE MAX CAN '!AD$4,'7. PGE_Efficacité'!$A$4:$BU$4,0)+31),0)</f>
        <v>0</v>
      </c>
      <c r="AE37" s="212">
        <f>VLOOKUP($E37,'7. PGE_Efficacité'!$A$6:$BT$266,(MATCH('4.6 ACE MAX CAN '!AE$4,'7. PGE_Efficacité'!$A$4:$BU$4,0)+31),0)</f>
        <v>0</v>
      </c>
      <c r="AF37" s="212">
        <f>VLOOKUP($E37,'7. PGE_Efficacité'!$A$6:$BT$266,(MATCH('4.6 ACE MAX CAN '!AF$4,'7. PGE_Efficacité'!$A$4:$BU$4,0)+31),0)</f>
        <v>0</v>
      </c>
      <c r="AG37" s="212">
        <f>VLOOKUP($E37,'7. PGE_Efficacité'!$A$6:$BT$266,(MATCH('4.6 ACE MAX CAN '!AG$4,'7. PGE_Efficacité'!$A$4:$BU$4,0)+31),0)</f>
        <v>0</v>
      </c>
      <c r="AH37" s="212">
        <f>VLOOKUP($E37,'7. PGE_Efficacité'!$A$6:$BT$266,(MATCH('4.6 ACE MAX CAN '!AH$4,'7. PGE_Efficacité'!$A$4:$BU$4,0)+31),0)</f>
        <v>0</v>
      </c>
      <c r="AI37" s="212">
        <f>VLOOKUP($E37,'7. PGE_Efficacité'!$A$6:$BT$266,(MATCH('4.6 ACE MAX CAN '!AI$4,'7. PGE_Efficacité'!$A$4:$BU$4,0)+31),0)</f>
        <v>0</v>
      </c>
      <c r="AJ37" s="212">
        <f>VLOOKUP($E37,'7. PGE_Efficacité'!$A$6:$BT$266,(MATCH('4.6 ACE MAX CAN '!AJ$4,'7. PGE_Efficacité'!$A$4:$BU$4,0)+31),0)</f>
        <v>0</v>
      </c>
      <c r="AK37" s="212">
        <f>VLOOKUP($E37,'7. PGE_Efficacité'!$A$6:$BT$266,(MATCH('4.6 ACE MAX CAN '!AK$4,'7. PGE_Efficacité'!$A$4:$BU$4,0)+31),0)</f>
        <v>0</v>
      </c>
      <c r="AL37" s="212">
        <f>VLOOKUP($E37,'7. PGE_Efficacité'!$A$6:$BT$266,(MATCH('4.6 ACE MAX CAN '!AL$4,'7. PGE_Efficacité'!$A$4:$BU$4,0)+31),0)</f>
        <v>0</v>
      </c>
      <c r="AM37" s="212">
        <f>VLOOKUP($E37,'7. PGE_Efficacité'!$A$6:$BT$266,(MATCH('4.6 ACE MAX CAN '!AM$4,'7. PGE_Efficacité'!$A$4:$BU$4,0)+31),0)</f>
        <v>0</v>
      </c>
      <c r="AN37" s="212">
        <f>VLOOKUP($E37,'7. PGE_Efficacité'!$A$6:$BT$266,(MATCH('4.6 ACE MAX CAN '!AN$4,'7. PGE_Efficacité'!$A$4:$BU$4,0)+31),0)</f>
        <v>0</v>
      </c>
    </row>
    <row r="38" spans="1:40" outlineLevel="2" x14ac:dyDescent="0.25">
      <c r="A38" t="s">
        <v>1524</v>
      </c>
      <c r="B38">
        <v>5</v>
      </c>
      <c r="C38" t="s">
        <v>1529</v>
      </c>
      <c r="D38" s="12" t="s">
        <v>4</v>
      </c>
      <c r="E38" s="12" t="s">
        <v>818</v>
      </c>
      <c r="F38" s="12" t="s">
        <v>1449</v>
      </c>
      <c r="G38" s="12" t="s">
        <v>1521</v>
      </c>
      <c r="H38" s="12" t="s">
        <v>1290</v>
      </c>
      <c r="I38" s="148"/>
      <c r="J38" s="149">
        <f>VLOOKUP($E38,'7. PGE_Efficacité'!$A$6:$BT$266,(MATCH('4.6 ACE MAX CAN '!J$4,'7. PGE_Efficacité'!$A$4:$BU$4,0)+31),0)</f>
        <v>0</v>
      </c>
      <c r="K38" s="149">
        <f>VLOOKUP($E38,'7. PGE_Efficacité'!$A$6:$BT$266,(MATCH('4.6 ACE MAX CAN '!K$4,'7. PGE_Efficacité'!$A$4:$BU$4,0)+31),0)</f>
        <v>0</v>
      </c>
      <c r="L38" s="149">
        <f>VLOOKUP($E38,'7. PGE_Efficacité'!$A$6:$BT$266,(MATCH('4.6 ACE MAX CAN '!L$4,'7. PGE_Efficacité'!$A$4:$BU$4,0)+31),0)</f>
        <v>0</v>
      </c>
      <c r="M38" s="149">
        <f>VLOOKUP($E38,'7. PGE_Efficacité'!$A$6:$BT$266,(MATCH('4.6 ACE MAX CAN '!M$4,'7. PGE_Efficacité'!$A$4:$BU$4,0)+31),0)</f>
        <v>0</v>
      </c>
      <c r="N38" s="149">
        <f>VLOOKUP($E38,'7. PGE_Efficacité'!$A$6:$BT$266,(MATCH('4.6 ACE MAX CAN '!N$4,'7. PGE_Efficacité'!$A$4:$BU$4,0)+31),0)</f>
        <v>0</v>
      </c>
      <c r="O38" s="149">
        <f>VLOOKUP($D38,'7. PGE_Efficacité'!$A$6:$BT$268,47,0)</f>
        <v>0</v>
      </c>
      <c r="P38" s="149">
        <f>VLOOKUP($E38,'7. PGE_Efficacité'!$A$6:$BT$266,(MATCH('4.6 ACE MAX CAN '!P$4,'7. PGE_Efficacité'!$A$4:$BU$4,0)+31),0)</f>
        <v>0</v>
      </c>
      <c r="Q38" s="149">
        <f>VLOOKUP($E38,'7. PGE_Efficacité'!$A$6:$BT$266,(MATCH('4.6 ACE MAX CAN '!Q$4,'7. PGE_Efficacité'!$A$4:$BU$4,0)+31),0)</f>
        <v>0</v>
      </c>
      <c r="R38" s="149">
        <f>VLOOKUP($E38,'7. PGE_Efficacité'!$A$6:$BT$266,(MATCH('4.6 ACE MAX CAN '!R$4,'7. PGE_Efficacité'!$A$4:$BU$4,0)+31),0)</f>
        <v>0</v>
      </c>
      <c r="S38" s="149">
        <f>VLOOKUP($E38,'7. PGE_Efficacité'!$A$6:$BT$266,(MATCH('4.6 ACE MAX CAN '!S$4,'7. PGE_Efficacité'!$A$4:$BU$4,0)+31),0)</f>
        <v>0</v>
      </c>
      <c r="T38" s="149">
        <f>VLOOKUP($E38,'7. PGE_Efficacité'!$A$6:$BT$266,(MATCH('4.6 ACE MAX CAN '!T$4,'7. PGE_Efficacité'!$A$4:$BU$4,0)+31),0)</f>
        <v>0</v>
      </c>
      <c r="U38" s="149">
        <f>VLOOKUP($E38,'7. PGE_Efficacité'!$A$6:$BT$266,(MATCH('4.6 ACE MAX CAN '!U$4,'7. PGE_Efficacité'!$A$4:$BU$4,0)+31),0)</f>
        <v>0</v>
      </c>
      <c r="V38" s="149">
        <f>VLOOKUP($E38,'7. PGE_Efficacité'!$A$6:$BT$266,(MATCH('4.6 ACE MAX CAN '!V$4,'7. PGE_Efficacité'!$A$4:$BU$4,0)+31),0)</f>
        <v>0</v>
      </c>
      <c r="W38" s="149">
        <f>VLOOKUP($E38,'7. PGE_Efficacité'!$A$6:$BT$266,(MATCH('4.6 ACE MAX CAN '!W$4,'7. PGE_Efficacité'!$A$4:$BU$4,0)+31),0)</f>
        <v>0</v>
      </c>
      <c r="X38" s="149">
        <f>VLOOKUP($E38,'7. PGE_Efficacité'!$A$6:$BT$266,(MATCH('4.6 ACE MAX CAN '!X$4,'7. PGE_Efficacité'!$A$4:$BU$4,0)+31),0)</f>
        <v>0</v>
      </c>
      <c r="Y38" s="212">
        <f>VLOOKUP($E38,'7. PGE_Efficacité'!$A$6:$BT$266,(MATCH('4.6 ACE MAX CAN '!Y$4,'7. PGE_Efficacité'!$A$4:$BU$4,0)+31),0)</f>
        <v>0</v>
      </c>
      <c r="Z38" s="212">
        <f>VLOOKUP($E38,'7. PGE_Efficacité'!$A$6:$BT$266,(MATCH('4.6 ACE MAX CAN '!Z$4,'7. PGE_Efficacité'!$A$4:$BU$4,0)+31),0)</f>
        <v>0</v>
      </c>
      <c r="AA38" s="212">
        <f>VLOOKUP($E38,'7. PGE_Efficacité'!$A$6:$BT$266,(MATCH('4.6 ACE MAX CAN '!AA$4,'7. PGE_Efficacité'!$A$4:$BU$4,0)+31),0)</f>
        <v>0</v>
      </c>
      <c r="AB38" s="212">
        <f>VLOOKUP($E38,'7. PGE_Efficacité'!$A$6:$BT$266,(MATCH('4.6 ACE MAX CAN '!AB$4,'7. PGE_Efficacité'!$A$4:$BU$4,0)+31),0)</f>
        <v>0</v>
      </c>
      <c r="AC38" s="212">
        <f>VLOOKUP($E38,'7. PGE_Efficacité'!$A$6:$BT$266,(MATCH('4.6 ACE MAX CAN '!AC$4,'7. PGE_Efficacité'!$A$4:$BU$4,0)+31),0)</f>
        <v>0</v>
      </c>
      <c r="AD38" s="212">
        <f>VLOOKUP($E38,'7. PGE_Efficacité'!$A$6:$BT$266,(MATCH('4.6 ACE MAX CAN '!AD$4,'7. PGE_Efficacité'!$A$4:$BU$4,0)+31),0)</f>
        <v>0</v>
      </c>
      <c r="AE38" s="212">
        <f>VLOOKUP($E38,'7. PGE_Efficacité'!$A$6:$BT$266,(MATCH('4.6 ACE MAX CAN '!AE$4,'7. PGE_Efficacité'!$A$4:$BU$4,0)+31),0)</f>
        <v>0</v>
      </c>
      <c r="AF38" s="212">
        <f>VLOOKUP($E38,'7. PGE_Efficacité'!$A$6:$BT$266,(MATCH('4.6 ACE MAX CAN '!AF$4,'7. PGE_Efficacité'!$A$4:$BU$4,0)+31),0)</f>
        <v>0</v>
      </c>
      <c r="AG38" s="212">
        <f>VLOOKUP($E38,'7. PGE_Efficacité'!$A$6:$BT$266,(MATCH('4.6 ACE MAX CAN '!AG$4,'7. PGE_Efficacité'!$A$4:$BU$4,0)+31),0)</f>
        <v>0</v>
      </c>
      <c r="AH38" s="212">
        <f>VLOOKUP($E38,'7. PGE_Efficacité'!$A$6:$BT$266,(MATCH('4.6 ACE MAX CAN '!AH$4,'7. PGE_Efficacité'!$A$4:$BU$4,0)+31),0)</f>
        <v>0</v>
      </c>
      <c r="AI38" s="212">
        <f>VLOOKUP($E38,'7. PGE_Efficacité'!$A$6:$BT$266,(MATCH('4.6 ACE MAX CAN '!AI$4,'7. PGE_Efficacité'!$A$4:$BU$4,0)+31),0)</f>
        <v>0</v>
      </c>
      <c r="AJ38" s="212">
        <f>VLOOKUP($E38,'7. PGE_Efficacité'!$A$6:$BT$266,(MATCH('4.6 ACE MAX CAN '!AJ$4,'7. PGE_Efficacité'!$A$4:$BU$4,0)+31),0)</f>
        <v>0</v>
      </c>
      <c r="AK38" s="212">
        <f>VLOOKUP($E38,'7. PGE_Efficacité'!$A$6:$BT$266,(MATCH('4.6 ACE MAX CAN '!AK$4,'7. PGE_Efficacité'!$A$4:$BU$4,0)+31),0)</f>
        <v>0</v>
      </c>
      <c r="AL38" s="212">
        <f>VLOOKUP($E38,'7. PGE_Efficacité'!$A$6:$BT$266,(MATCH('4.6 ACE MAX CAN '!AL$4,'7. PGE_Efficacité'!$A$4:$BU$4,0)+31),0)</f>
        <v>0</v>
      </c>
      <c r="AM38" s="212">
        <f>VLOOKUP($E38,'7. PGE_Efficacité'!$A$6:$BT$266,(MATCH('4.6 ACE MAX CAN '!AM$4,'7. PGE_Efficacité'!$A$4:$BU$4,0)+31),0)</f>
        <v>0</v>
      </c>
      <c r="AN38" s="212">
        <f>VLOOKUP($E38,'7. PGE_Efficacité'!$A$6:$BT$266,(MATCH('4.6 ACE MAX CAN '!AN$4,'7. PGE_Efficacité'!$A$4:$BU$4,0)+31),0)</f>
        <v>0</v>
      </c>
    </row>
    <row r="39" spans="1:40" outlineLevel="2" x14ac:dyDescent="0.25">
      <c r="A39" t="s">
        <v>1524</v>
      </c>
      <c r="B39">
        <v>5</v>
      </c>
      <c r="C39" t="s">
        <v>1530</v>
      </c>
      <c r="D39" s="12" t="s">
        <v>4</v>
      </c>
      <c r="E39" s="12" t="s">
        <v>819</v>
      </c>
      <c r="F39" s="12" t="s">
        <v>1450</v>
      </c>
      <c r="G39" s="12" t="s">
        <v>1521</v>
      </c>
      <c r="H39" s="12" t="s">
        <v>1290</v>
      </c>
      <c r="I39" s="148"/>
      <c r="J39" s="149">
        <f>VLOOKUP($E39,'7. PGE_Efficacité'!$A$6:$BT$266,(MATCH('4.6 ACE MAX CAN '!J$4,'7. PGE_Efficacité'!$A$4:$BU$4,0)+31),0)</f>
        <v>0</v>
      </c>
      <c r="K39" s="149">
        <f>VLOOKUP($E39,'7. PGE_Efficacité'!$A$6:$BT$266,(MATCH('4.6 ACE MAX CAN '!K$4,'7. PGE_Efficacité'!$A$4:$BU$4,0)+31),0)</f>
        <v>0</v>
      </c>
      <c r="L39" s="149">
        <f>VLOOKUP($E39,'7. PGE_Efficacité'!$A$6:$BT$266,(MATCH('4.6 ACE MAX CAN '!L$4,'7. PGE_Efficacité'!$A$4:$BU$4,0)+31),0)</f>
        <v>0</v>
      </c>
      <c r="M39" s="149">
        <f>VLOOKUP($E39,'7. PGE_Efficacité'!$A$6:$BT$266,(MATCH('4.6 ACE MAX CAN '!M$4,'7. PGE_Efficacité'!$A$4:$BU$4,0)+31),0)</f>
        <v>0</v>
      </c>
      <c r="N39" s="149">
        <f>VLOOKUP($E39,'7. PGE_Efficacité'!$A$6:$BT$266,(MATCH('4.6 ACE MAX CAN '!N$4,'7. PGE_Efficacité'!$A$4:$BU$4,0)+31),0)</f>
        <v>0</v>
      </c>
      <c r="O39" s="149">
        <f>VLOOKUP($D39,'7. PGE_Efficacité'!$A$6:$BT$268,47,0)</f>
        <v>0</v>
      </c>
      <c r="P39" s="149">
        <f>VLOOKUP($E39,'7. PGE_Efficacité'!$A$6:$BT$266,(MATCH('4.6 ACE MAX CAN '!P$4,'7. PGE_Efficacité'!$A$4:$BU$4,0)+31),0)</f>
        <v>0</v>
      </c>
      <c r="Q39" s="149">
        <f>VLOOKUP($E39,'7. PGE_Efficacité'!$A$6:$BT$266,(MATCH('4.6 ACE MAX CAN '!Q$4,'7. PGE_Efficacité'!$A$4:$BU$4,0)+31),0)</f>
        <v>0</v>
      </c>
      <c r="R39" s="149">
        <f>VLOOKUP($E39,'7. PGE_Efficacité'!$A$6:$BT$266,(MATCH('4.6 ACE MAX CAN '!R$4,'7. PGE_Efficacité'!$A$4:$BU$4,0)+31),0)</f>
        <v>0</v>
      </c>
      <c r="S39" s="149">
        <f>VLOOKUP($E39,'7. PGE_Efficacité'!$A$6:$BT$266,(MATCH('4.6 ACE MAX CAN '!S$4,'7. PGE_Efficacité'!$A$4:$BU$4,0)+31),0)</f>
        <v>0</v>
      </c>
      <c r="T39" s="149">
        <f>VLOOKUP($E39,'7. PGE_Efficacité'!$A$6:$BT$266,(MATCH('4.6 ACE MAX CAN '!T$4,'7. PGE_Efficacité'!$A$4:$BU$4,0)+31),0)</f>
        <v>0</v>
      </c>
      <c r="U39" s="149">
        <f>VLOOKUP($E39,'7. PGE_Efficacité'!$A$6:$BT$266,(MATCH('4.6 ACE MAX CAN '!U$4,'7. PGE_Efficacité'!$A$4:$BU$4,0)+31),0)</f>
        <v>0</v>
      </c>
      <c r="V39" s="149">
        <f>VLOOKUP($E39,'7. PGE_Efficacité'!$A$6:$BT$266,(MATCH('4.6 ACE MAX CAN '!V$4,'7. PGE_Efficacité'!$A$4:$BU$4,0)+31),0)</f>
        <v>0</v>
      </c>
      <c r="W39" s="149">
        <f>VLOOKUP($E39,'7. PGE_Efficacité'!$A$6:$BT$266,(MATCH('4.6 ACE MAX CAN '!W$4,'7. PGE_Efficacité'!$A$4:$BU$4,0)+31),0)</f>
        <v>0</v>
      </c>
      <c r="X39" s="149">
        <f>VLOOKUP($E39,'7. PGE_Efficacité'!$A$6:$BT$266,(MATCH('4.6 ACE MAX CAN '!X$4,'7. PGE_Efficacité'!$A$4:$BU$4,0)+31),0)</f>
        <v>0</v>
      </c>
      <c r="Y39" s="212">
        <f>VLOOKUP($E39,'7. PGE_Efficacité'!$A$6:$BT$266,(MATCH('4.6 ACE MAX CAN '!Y$4,'7. PGE_Efficacité'!$A$4:$BU$4,0)+31),0)</f>
        <v>0</v>
      </c>
      <c r="Z39" s="212">
        <f>VLOOKUP($E39,'7. PGE_Efficacité'!$A$6:$BT$266,(MATCH('4.6 ACE MAX CAN '!Z$4,'7. PGE_Efficacité'!$A$4:$BU$4,0)+31),0)</f>
        <v>0</v>
      </c>
      <c r="AA39" s="212">
        <f>VLOOKUP($E39,'7. PGE_Efficacité'!$A$6:$BT$266,(MATCH('4.6 ACE MAX CAN '!AA$4,'7. PGE_Efficacité'!$A$4:$BU$4,0)+31),0)</f>
        <v>0</v>
      </c>
      <c r="AB39" s="212">
        <f>VLOOKUP($E39,'7. PGE_Efficacité'!$A$6:$BT$266,(MATCH('4.6 ACE MAX CAN '!AB$4,'7. PGE_Efficacité'!$A$4:$BU$4,0)+31),0)</f>
        <v>0</v>
      </c>
      <c r="AC39" s="212">
        <f>VLOOKUP($E39,'7. PGE_Efficacité'!$A$6:$BT$266,(MATCH('4.6 ACE MAX CAN '!AC$4,'7. PGE_Efficacité'!$A$4:$BU$4,0)+31),0)</f>
        <v>0</v>
      </c>
      <c r="AD39" s="212">
        <f>VLOOKUP($E39,'7. PGE_Efficacité'!$A$6:$BT$266,(MATCH('4.6 ACE MAX CAN '!AD$4,'7. PGE_Efficacité'!$A$4:$BU$4,0)+31),0)</f>
        <v>0</v>
      </c>
      <c r="AE39" s="212">
        <f>VLOOKUP($E39,'7. PGE_Efficacité'!$A$6:$BT$266,(MATCH('4.6 ACE MAX CAN '!AE$4,'7. PGE_Efficacité'!$A$4:$BU$4,0)+31),0)</f>
        <v>0</v>
      </c>
      <c r="AF39" s="212">
        <f>VLOOKUP($E39,'7. PGE_Efficacité'!$A$6:$BT$266,(MATCH('4.6 ACE MAX CAN '!AF$4,'7. PGE_Efficacité'!$A$4:$BU$4,0)+31),0)</f>
        <v>0</v>
      </c>
      <c r="AG39" s="212">
        <f>VLOOKUP($E39,'7. PGE_Efficacité'!$A$6:$BT$266,(MATCH('4.6 ACE MAX CAN '!AG$4,'7. PGE_Efficacité'!$A$4:$BU$4,0)+31),0)</f>
        <v>0</v>
      </c>
      <c r="AH39" s="212">
        <f>VLOOKUP($E39,'7. PGE_Efficacité'!$A$6:$BT$266,(MATCH('4.6 ACE MAX CAN '!AH$4,'7. PGE_Efficacité'!$A$4:$BU$4,0)+31),0)</f>
        <v>0</v>
      </c>
      <c r="AI39" s="212">
        <f>VLOOKUP($E39,'7. PGE_Efficacité'!$A$6:$BT$266,(MATCH('4.6 ACE MAX CAN '!AI$4,'7. PGE_Efficacité'!$A$4:$BU$4,0)+31),0)</f>
        <v>0</v>
      </c>
      <c r="AJ39" s="212">
        <f>VLOOKUP($E39,'7. PGE_Efficacité'!$A$6:$BT$266,(MATCH('4.6 ACE MAX CAN '!AJ$4,'7. PGE_Efficacité'!$A$4:$BU$4,0)+31),0)</f>
        <v>0</v>
      </c>
      <c r="AK39" s="212">
        <f>VLOOKUP($E39,'7. PGE_Efficacité'!$A$6:$BT$266,(MATCH('4.6 ACE MAX CAN '!AK$4,'7. PGE_Efficacité'!$A$4:$BU$4,0)+31),0)</f>
        <v>0</v>
      </c>
      <c r="AL39" s="212">
        <f>VLOOKUP($E39,'7. PGE_Efficacité'!$A$6:$BT$266,(MATCH('4.6 ACE MAX CAN '!AL$4,'7. PGE_Efficacité'!$A$4:$BU$4,0)+31),0)</f>
        <v>0</v>
      </c>
      <c r="AM39" s="212">
        <f>VLOOKUP($E39,'7. PGE_Efficacité'!$A$6:$BT$266,(MATCH('4.6 ACE MAX CAN '!AM$4,'7. PGE_Efficacité'!$A$4:$BU$4,0)+31),0)</f>
        <v>0</v>
      </c>
      <c r="AN39" s="212">
        <f>VLOOKUP($E39,'7. PGE_Efficacité'!$A$6:$BT$266,(MATCH('4.6 ACE MAX CAN '!AN$4,'7. PGE_Efficacité'!$A$4:$BU$4,0)+31),0)</f>
        <v>0</v>
      </c>
    </row>
    <row r="40" spans="1:40" outlineLevel="2" x14ac:dyDescent="0.25">
      <c r="A40" t="s">
        <v>1524</v>
      </c>
      <c r="B40">
        <v>5</v>
      </c>
      <c r="C40" t="s">
        <v>1508</v>
      </c>
      <c r="D40" s="12" t="s">
        <v>4</v>
      </c>
      <c r="E40" s="12" t="s">
        <v>806</v>
      </c>
      <c r="F40" s="12" t="s">
        <v>1437</v>
      </c>
      <c r="G40" s="12" t="s">
        <v>1521</v>
      </c>
      <c r="H40" s="12" t="s">
        <v>414</v>
      </c>
      <c r="I40" s="148"/>
      <c r="J40" s="149">
        <f>VLOOKUP($E40,'7. PGE_Efficacité'!$A$6:$BT$266,(MATCH('4.6 ACE MAX CAN '!J$4,'7. PGE_Efficacité'!$A$4:$BU$4,0)+31),0)</f>
        <v>0</v>
      </c>
      <c r="K40" s="149">
        <f>VLOOKUP($E40,'7. PGE_Efficacité'!$A$6:$BT$266,(MATCH('4.6 ACE MAX CAN '!K$4,'7. PGE_Efficacité'!$A$4:$BU$4,0)+31),0)</f>
        <v>0</v>
      </c>
      <c r="L40" s="149">
        <f>VLOOKUP($E40,'7. PGE_Efficacité'!$A$6:$BT$266,(MATCH('4.6 ACE MAX CAN '!L$4,'7. PGE_Efficacité'!$A$4:$BU$4,0)+31),0)</f>
        <v>0</v>
      </c>
      <c r="M40" s="149">
        <f>VLOOKUP($E40,'7. PGE_Efficacité'!$A$6:$BT$266,(MATCH('4.6 ACE MAX CAN '!M$4,'7. PGE_Efficacité'!$A$4:$BU$4,0)+31),0)</f>
        <v>0</v>
      </c>
      <c r="N40" s="149">
        <f>VLOOKUP($E40,'7. PGE_Efficacité'!$A$6:$BT$266,(MATCH('4.6 ACE MAX CAN '!N$4,'7. PGE_Efficacité'!$A$4:$BU$4,0)+31),0)</f>
        <v>0</v>
      </c>
      <c r="O40" s="149">
        <f>VLOOKUP($D40,'7. PGE_Efficacité'!$A$6:$BT$268,47,0)</f>
        <v>0</v>
      </c>
      <c r="P40" s="149">
        <f>VLOOKUP($E40,'7. PGE_Efficacité'!$A$6:$BT$266,(MATCH('4.6 ACE MAX CAN '!P$4,'7. PGE_Efficacité'!$A$4:$BU$4,0)+31),0)</f>
        <v>0</v>
      </c>
      <c r="Q40" s="149">
        <f>VLOOKUP($E40,'7. PGE_Efficacité'!$A$6:$BT$266,(MATCH('4.6 ACE MAX CAN '!Q$4,'7. PGE_Efficacité'!$A$4:$BU$4,0)+31),0)</f>
        <v>0</v>
      </c>
      <c r="R40" s="149">
        <f>VLOOKUP($E40,'7. PGE_Efficacité'!$A$6:$BT$266,(MATCH('4.6 ACE MAX CAN '!R$4,'7. PGE_Efficacité'!$A$4:$BU$4,0)+31),0)</f>
        <v>0</v>
      </c>
      <c r="S40" s="149">
        <f>VLOOKUP($E40,'7. PGE_Efficacité'!$A$6:$BT$266,(MATCH('4.6 ACE MAX CAN '!S$4,'7. PGE_Efficacité'!$A$4:$BU$4,0)+31),0)</f>
        <v>0</v>
      </c>
      <c r="T40" s="149">
        <f>VLOOKUP($E40,'7. PGE_Efficacité'!$A$6:$BT$266,(MATCH('4.6 ACE MAX CAN '!T$4,'7. PGE_Efficacité'!$A$4:$BU$4,0)+31),0)</f>
        <v>0</v>
      </c>
      <c r="U40" s="149">
        <f>VLOOKUP($E40,'7. PGE_Efficacité'!$A$6:$BT$266,(MATCH('4.6 ACE MAX CAN '!U$4,'7. PGE_Efficacité'!$A$4:$BU$4,0)+31),0)</f>
        <v>0</v>
      </c>
      <c r="V40" s="149">
        <f>VLOOKUP($E40,'7. PGE_Efficacité'!$A$6:$BT$266,(MATCH('4.6 ACE MAX CAN '!V$4,'7. PGE_Efficacité'!$A$4:$BU$4,0)+31),0)</f>
        <v>0</v>
      </c>
      <c r="W40" s="149">
        <f>VLOOKUP($E40,'7. PGE_Efficacité'!$A$6:$BT$266,(MATCH('4.6 ACE MAX CAN '!W$4,'7. PGE_Efficacité'!$A$4:$BU$4,0)+31),0)</f>
        <v>0</v>
      </c>
      <c r="X40" s="149">
        <f>VLOOKUP($E40,'7. PGE_Efficacité'!$A$6:$BT$266,(MATCH('4.6 ACE MAX CAN '!X$4,'7. PGE_Efficacité'!$A$4:$BU$4,0)+31),0)</f>
        <v>0</v>
      </c>
      <c r="Y40" s="212">
        <f>VLOOKUP($E40,'7. PGE_Efficacité'!$A$6:$BT$266,(MATCH('4.6 ACE MAX CAN '!Y$4,'7. PGE_Efficacité'!$A$4:$BU$4,0)+31),0)</f>
        <v>0</v>
      </c>
      <c r="Z40" s="212">
        <f>VLOOKUP($E40,'7. PGE_Efficacité'!$A$6:$BT$266,(MATCH('4.6 ACE MAX CAN '!Z$4,'7. PGE_Efficacité'!$A$4:$BU$4,0)+31),0)</f>
        <v>0</v>
      </c>
      <c r="AA40" s="212">
        <f>VLOOKUP($E40,'7. PGE_Efficacité'!$A$6:$BT$266,(MATCH('4.6 ACE MAX CAN '!AA$4,'7. PGE_Efficacité'!$A$4:$BU$4,0)+31),0)</f>
        <v>0</v>
      </c>
      <c r="AB40" s="212">
        <f>VLOOKUP($E40,'7. PGE_Efficacité'!$A$6:$BT$266,(MATCH('4.6 ACE MAX CAN '!AB$4,'7. PGE_Efficacité'!$A$4:$BU$4,0)+31),0)</f>
        <v>0</v>
      </c>
      <c r="AC40" s="212">
        <f>VLOOKUP($E40,'7. PGE_Efficacité'!$A$6:$BT$266,(MATCH('4.6 ACE MAX CAN '!AC$4,'7. PGE_Efficacité'!$A$4:$BU$4,0)+31),0)</f>
        <v>0</v>
      </c>
      <c r="AD40" s="212">
        <f>VLOOKUP($E40,'7. PGE_Efficacité'!$A$6:$BT$266,(MATCH('4.6 ACE MAX CAN '!AD$4,'7. PGE_Efficacité'!$A$4:$BU$4,0)+31),0)</f>
        <v>0</v>
      </c>
      <c r="AE40" s="212">
        <f>VLOOKUP($E40,'7. PGE_Efficacité'!$A$6:$BT$266,(MATCH('4.6 ACE MAX CAN '!AE$4,'7. PGE_Efficacité'!$A$4:$BU$4,0)+31),0)</f>
        <v>0</v>
      </c>
      <c r="AF40" s="212">
        <f>VLOOKUP($E40,'7. PGE_Efficacité'!$A$6:$BT$266,(MATCH('4.6 ACE MAX CAN '!AF$4,'7. PGE_Efficacité'!$A$4:$BU$4,0)+31),0)</f>
        <v>0</v>
      </c>
      <c r="AG40" s="212">
        <f>VLOOKUP($E40,'7. PGE_Efficacité'!$A$6:$BT$266,(MATCH('4.6 ACE MAX CAN '!AG$4,'7. PGE_Efficacité'!$A$4:$BU$4,0)+31),0)</f>
        <v>0</v>
      </c>
      <c r="AH40" s="212">
        <f>VLOOKUP($E40,'7. PGE_Efficacité'!$A$6:$BT$266,(MATCH('4.6 ACE MAX CAN '!AH$4,'7. PGE_Efficacité'!$A$4:$BU$4,0)+31),0)</f>
        <v>0</v>
      </c>
      <c r="AI40" s="212">
        <f>VLOOKUP($E40,'7. PGE_Efficacité'!$A$6:$BT$266,(MATCH('4.6 ACE MAX CAN '!AI$4,'7. PGE_Efficacité'!$A$4:$BU$4,0)+31),0)</f>
        <v>0</v>
      </c>
      <c r="AJ40" s="212">
        <f>VLOOKUP($E40,'7. PGE_Efficacité'!$A$6:$BT$266,(MATCH('4.6 ACE MAX CAN '!AJ$4,'7. PGE_Efficacité'!$A$4:$BU$4,0)+31),0)</f>
        <v>0</v>
      </c>
      <c r="AK40" s="212">
        <f>VLOOKUP($E40,'7. PGE_Efficacité'!$A$6:$BT$266,(MATCH('4.6 ACE MAX CAN '!AK$4,'7. PGE_Efficacité'!$A$4:$BU$4,0)+31),0)</f>
        <v>0</v>
      </c>
      <c r="AL40" s="212">
        <f>VLOOKUP($E40,'7. PGE_Efficacité'!$A$6:$BT$266,(MATCH('4.6 ACE MAX CAN '!AL$4,'7. PGE_Efficacité'!$A$4:$BU$4,0)+31),0)</f>
        <v>0</v>
      </c>
      <c r="AM40" s="212">
        <f>VLOOKUP($E40,'7. PGE_Efficacité'!$A$6:$BT$266,(MATCH('4.6 ACE MAX CAN '!AM$4,'7. PGE_Efficacité'!$A$4:$BU$4,0)+31),0)</f>
        <v>0</v>
      </c>
      <c r="AN40" s="212">
        <f>VLOOKUP($E40,'7. PGE_Efficacité'!$A$6:$BT$266,(MATCH('4.6 ACE MAX CAN '!AN$4,'7. PGE_Efficacité'!$A$4:$BU$4,0)+31),0)</f>
        <v>0</v>
      </c>
    </row>
    <row r="41" spans="1:40" outlineLevel="2" x14ac:dyDescent="0.25">
      <c r="A41" t="s">
        <v>1524</v>
      </c>
      <c r="B41">
        <v>5</v>
      </c>
      <c r="C41" t="s">
        <v>1509</v>
      </c>
      <c r="D41" s="12" t="s">
        <v>4</v>
      </c>
      <c r="E41" s="12" t="s">
        <v>807</v>
      </c>
      <c r="F41" s="12" t="s">
        <v>1438</v>
      </c>
      <c r="G41" s="12" t="s">
        <v>1521</v>
      </c>
      <c r="H41" s="12" t="s">
        <v>414</v>
      </c>
      <c r="I41" s="148"/>
      <c r="J41" s="149">
        <f>VLOOKUP($E41,'7. PGE_Efficacité'!$A$6:$BT$266,(MATCH('4.6 ACE MAX CAN '!J$4,'7. PGE_Efficacité'!$A$4:$BU$4,0)+31),0)</f>
        <v>0</v>
      </c>
      <c r="K41" s="149">
        <f>VLOOKUP($E41,'7. PGE_Efficacité'!$A$6:$BT$266,(MATCH('4.6 ACE MAX CAN '!K$4,'7. PGE_Efficacité'!$A$4:$BU$4,0)+31),0)</f>
        <v>0</v>
      </c>
      <c r="L41" s="149">
        <f>VLOOKUP($E41,'7. PGE_Efficacité'!$A$6:$BT$266,(MATCH('4.6 ACE MAX CAN '!L$4,'7. PGE_Efficacité'!$A$4:$BU$4,0)+31),0)</f>
        <v>0</v>
      </c>
      <c r="M41" s="149">
        <f>VLOOKUP($E41,'7. PGE_Efficacité'!$A$6:$BT$266,(MATCH('4.6 ACE MAX CAN '!M$4,'7. PGE_Efficacité'!$A$4:$BU$4,0)+31),0)</f>
        <v>0</v>
      </c>
      <c r="N41" s="149">
        <f>VLOOKUP($E41,'7. PGE_Efficacité'!$A$6:$BT$266,(MATCH('4.6 ACE MAX CAN '!N$4,'7. PGE_Efficacité'!$A$4:$BU$4,0)+31),0)</f>
        <v>0</v>
      </c>
      <c r="O41" s="149">
        <f>VLOOKUP($D41,'7. PGE_Efficacité'!$A$6:$BT$268,47,0)</f>
        <v>0</v>
      </c>
      <c r="P41" s="149">
        <f>VLOOKUP($E41,'7. PGE_Efficacité'!$A$6:$BT$266,(MATCH('4.6 ACE MAX CAN '!P$4,'7. PGE_Efficacité'!$A$4:$BU$4,0)+31),0)</f>
        <v>0</v>
      </c>
      <c r="Q41" s="149">
        <f>VLOOKUP($E41,'7. PGE_Efficacité'!$A$6:$BT$266,(MATCH('4.6 ACE MAX CAN '!Q$4,'7. PGE_Efficacité'!$A$4:$BU$4,0)+31),0)</f>
        <v>0</v>
      </c>
      <c r="R41" s="149">
        <f>VLOOKUP($E41,'7. PGE_Efficacité'!$A$6:$BT$266,(MATCH('4.6 ACE MAX CAN '!R$4,'7. PGE_Efficacité'!$A$4:$BU$4,0)+31),0)</f>
        <v>0</v>
      </c>
      <c r="S41" s="149">
        <f>VLOOKUP($E41,'7. PGE_Efficacité'!$A$6:$BT$266,(MATCH('4.6 ACE MAX CAN '!S$4,'7. PGE_Efficacité'!$A$4:$BU$4,0)+31),0)</f>
        <v>0</v>
      </c>
      <c r="T41" s="149">
        <f>VLOOKUP($E41,'7. PGE_Efficacité'!$A$6:$BT$266,(MATCH('4.6 ACE MAX CAN '!T$4,'7. PGE_Efficacité'!$A$4:$BU$4,0)+31),0)</f>
        <v>0</v>
      </c>
      <c r="U41" s="149">
        <f>VLOOKUP($E41,'7. PGE_Efficacité'!$A$6:$BT$266,(MATCH('4.6 ACE MAX CAN '!U$4,'7. PGE_Efficacité'!$A$4:$BU$4,0)+31),0)</f>
        <v>0</v>
      </c>
      <c r="V41" s="149">
        <f>VLOOKUP($E41,'7. PGE_Efficacité'!$A$6:$BT$266,(MATCH('4.6 ACE MAX CAN '!V$4,'7. PGE_Efficacité'!$A$4:$BU$4,0)+31),0)</f>
        <v>0</v>
      </c>
      <c r="W41" s="149">
        <f>VLOOKUP($E41,'7. PGE_Efficacité'!$A$6:$BT$266,(MATCH('4.6 ACE MAX CAN '!W$4,'7. PGE_Efficacité'!$A$4:$BU$4,0)+31),0)</f>
        <v>0</v>
      </c>
      <c r="X41" s="149">
        <f>VLOOKUP($E41,'7. PGE_Efficacité'!$A$6:$BT$266,(MATCH('4.6 ACE MAX CAN '!X$4,'7. PGE_Efficacité'!$A$4:$BU$4,0)+31),0)</f>
        <v>0</v>
      </c>
      <c r="Y41" s="212">
        <f>VLOOKUP($E41,'7. PGE_Efficacité'!$A$6:$BT$266,(MATCH('4.6 ACE MAX CAN '!Y$4,'7. PGE_Efficacité'!$A$4:$BU$4,0)+31),0)</f>
        <v>0</v>
      </c>
      <c r="Z41" s="212">
        <f>VLOOKUP($E41,'7. PGE_Efficacité'!$A$6:$BT$266,(MATCH('4.6 ACE MAX CAN '!Z$4,'7. PGE_Efficacité'!$A$4:$BU$4,0)+31),0)</f>
        <v>0</v>
      </c>
      <c r="AA41" s="212">
        <f>VLOOKUP($E41,'7. PGE_Efficacité'!$A$6:$BT$266,(MATCH('4.6 ACE MAX CAN '!AA$4,'7. PGE_Efficacité'!$A$4:$BU$4,0)+31),0)</f>
        <v>0</v>
      </c>
      <c r="AB41" s="212">
        <f>VLOOKUP($E41,'7. PGE_Efficacité'!$A$6:$BT$266,(MATCH('4.6 ACE MAX CAN '!AB$4,'7. PGE_Efficacité'!$A$4:$BU$4,0)+31),0)</f>
        <v>0</v>
      </c>
      <c r="AC41" s="212">
        <f>VLOOKUP($E41,'7. PGE_Efficacité'!$A$6:$BT$266,(MATCH('4.6 ACE MAX CAN '!AC$4,'7. PGE_Efficacité'!$A$4:$BU$4,0)+31),0)</f>
        <v>0</v>
      </c>
      <c r="AD41" s="212">
        <f>VLOOKUP($E41,'7. PGE_Efficacité'!$A$6:$BT$266,(MATCH('4.6 ACE MAX CAN '!AD$4,'7. PGE_Efficacité'!$A$4:$BU$4,0)+31),0)</f>
        <v>0</v>
      </c>
      <c r="AE41" s="212">
        <f>VLOOKUP($E41,'7. PGE_Efficacité'!$A$6:$BT$266,(MATCH('4.6 ACE MAX CAN '!AE$4,'7. PGE_Efficacité'!$A$4:$BU$4,0)+31),0)</f>
        <v>0</v>
      </c>
      <c r="AF41" s="212">
        <f>VLOOKUP($E41,'7. PGE_Efficacité'!$A$6:$BT$266,(MATCH('4.6 ACE MAX CAN '!AF$4,'7. PGE_Efficacité'!$A$4:$BU$4,0)+31),0)</f>
        <v>0</v>
      </c>
      <c r="AG41" s="212">
        <f>VLOOKUP($E41,'7. PGE_Efficacité'!$A$6:$BT$266,(MATCH('4.6 ACE MAX CAN '!AG$4,'7. PGE_Efficacité'!$A$4:$BU$4,0)+31),0)</f>
        <v>0</v>
      </c>
      <c r="AH41" s="212">
        <f>VLOOKUP($E41,'7. PGE_Efficacité'!$A$6:$BT$266,(MATCH('4.6 ACE MAX CAN '!AH$4,'7. PGE_Efficacité'!$A$4:$BU$4,0)+31),0)</f>
        <v>0</v>
      </c>
      <c r="AI41" s="212">
        <f>VLOOKUP($E41,'7. PGE_Efficacité'!$A$6:$BT$266,(MATCH('4.6 ACE MAX CAN '!AI$4,'7. PGE_Efficacité'!$A$4:$BU$4,0)+31),0)</f>
        <v>0</v>
      </c>
      <c r="AJ41" s="212">
        <f>VLOOKUP($E41,'7. PGE_Efficacité'!$A$6:$BT$266,(MATCH('4.6 ACE MAX CAN '!AJ$4,'7. PGE_Efficacité'!$A$4:$BU$4,0)+31),0)</f>
        <v>0</v>
      </c>
      <c r="AK41" s="212">
        <f>VLOOKUP($E41,'7. PGE_Efficacité'!$A$6:$BT$266,(MATCH('4.6 ACE MAX CAN '!AK$4,'7. PGE_Efficacité'!$A$4:$BU$4,0)+31),0)</f>
        <v>0</v>
      </c>
      <c r="AL41" s="212">
        <f>VLOOKUP($E41,'7. PGE_Efficacité'!$A$6:$BT$266,(MATCH('4.6 ACE MAX CAN '!AL$4,'7. PGE_Efficacité'!$A$4:$BU$4,0)+31),0)</f>
        <v>0</v>
      </c>
      <c r="AM41" s="212">
        <f>VLOOKUP($E41,'7. PGE_Efficacité'!$A$6:$BT$266,(MATCH('4.6 ACE MAX CAN '!AM$4,'7. PGE_Efficacité'!$A$4:$BU$4,0)+31),0)</f>
        <v>0</v>
      </c>
      <c r="AN41" s="212">
        <f>VLOOKUP($E41,'7. PGE_Efficacité'!$A$6:$BT$266,(MATCH('4.6 ACE MAX CAN '!AN$4,'7. PGE_Efficacité'!$A$4:$BU$4,0)+31),0)</f>
        <v>0</v>
      </c>
    </row>
    <row r="42" spans="1:40" outlineLevel="2" x14ac:dyDescent="0.25">
      <c r="A42" t="s">
        <v>1524</v>
      </c>
      <c r="B42">
        <v>5</v>
      </c>
      <c r="C42" t="s">
        <v>1516</v>
      </c>
      <c r="D42" s="12" t="s">
        <v>4</v>
      </c>
      <c r="E42" s="12" t="s">
        <v>808</v>
      </c>
      <c r="F42" s="12" t="s">
        <v>1439</v>
      </c>
      <c r="G42" s="12" t="s">
        <v>1521</v>
      </c>
      <c r="H42" s="12" t="s">
        <v>414</v>
      </c>
      <c r="I42" s="148"/>
      <c r="J42" s="149">
        <f>VLOOKUP($E42,'7. PGE_Efficacité'!$A$6:$BT$266,(MATCH('4.6 ACE MAX CAN '!J$4,'7. PGE_Efficacité'!$A$4:$BU$4,0)+31),0)</f>
        <v>0</v>
      </c>
      <c r="K42" s="149">
        <f>VLOOKUP($E42,'7. PGE_Efficacité'!$A$6:$BT$266,(MATCH('4.6 ACE MAX CAN '!K$4,'7. PGE_Efficacité'!$A$4:$BU$4,0)+31),0)</f>
        <v>0</v>
      </c>
      <c r="L42" s="149">
        <f>VLOOKUP($E42,'7. PGE_Efficacité'!$A$6:$BT$266,(MATCH('4.6 ACE MAX CAN '!L$4,'7. PGE_Efficacité'!$A$4:$BU$4,0)+31),0)</f>
        <v>0</v>
      </c>
      <c r="M42" s="149">
        <f>VLOOKUP($E42,'7. PGE_Efficacité'!$A$6:$BT$266,(MATCH('4.6 ACE MAX CAN '!M$4,'7. PGE_Efficacité'!$A$4:$BU$4,0)+31),0)</f>
        <v>0</v>
      </c>
      <c r="N42" s="149">
        <f>VLOOKUP($E42,'7. PGE_Efficacité'!$A$6:$BT$266,(MATCH('4.6 ACE MAX CAN '!N$4,'7. PGE_Efficacité'!$A$4:$BU$4,0)+31),0)</f>
        <v>0</v>
      </c>
      <c r="O42" s="149">
        <f>VLOOKUP($D42,'7. PGE_Efficacité'!$A$6:$BT$268,47,0)</f>
        <v>0</v>
      </c>
      <c r="P42" s="149">
        <f>VLOOKUP($E42,'7. PGE_Efficacité'!$A$6:$BT$266,(MATCH('4.6 ACE MAX CAN '!P$4,'7. PGE_Efficacité'!$A$4:$BU$4,0)+31),0)</f>
        <v>0</v>
      </c>
      <c r="Q42" s="149">
        <f>VLOOKUP($E42,'7. PGE_Efficacité'!$A$6:$BT$266,(MATCH('4.6 ACE MAX CAN '!Q$4,'7. PGE_Efficacité'!$A$4:$BU$4,0)+31),0)</f>
        <v>0</v>
      </c>
      <c r="R42" s="149">
        <f>VLOOKUP($E42,'7. PGE_Efficacité'!$A$6:$BT$266,(MATCH('4.6 ACE MAX CAN '!R$4,'7. PGE_Efficacité'!$A$4:$BU$4,0)+31),0)</f>
        <v>0</v>
      </c>
      <c r="S42" s="149">
        <f>VLOOKUP($E42,'7. PGE_Efficacité'!$A$6:$BT$266,(MATCH('4.6 ACE MAX CAN '!S$4,'7. PGE_Efficacité'!$A$4:$BU$4,0)+31),0)</f>
        <v>0</v>
      </c>
      <c r="T42" s="149">
        <f>VLOOKUP($E42,'7. PGE_Efficacité'!$A$6:$BT$266,(MATCH('4.6 ACE MAX CAN '!T$4,'7. PGE_Efficacité'!$A$4:$BU$4,0)+31),0)</f>
        <v>0</v>
      </c>
      <c r="U42" s="149">
        <f>VLOOKUP($E42,'7. PGE_Efficacité'!$A$6:$BT$266,(MATCH('4.6 ACE MAX CAN '!U$4,'7. PGE_Efficacité'!$A$4:$BU$4,0)+31),0)</f>
        <v>0</v>
      </c>
      <c r="V42" s="149">
        <f>VLOOKUP($E42,'7. PGE_Efficacité'!$A$6:$BT$266,(MATCH('4.6 ACE MAX CAN '!V$4,'7. PGE_Efficacité'!$A$4:$BU$4,0)+31),0)</f>
        <v>0</v>
      </c>
      <c r="W42" s="149">
        <f>VLOOKUP($E42,'7. PGE_Efficacité'!$A$6:$BT$266,(MATCH('4.6 ACE MAX CAN '!W$4,'7. PGE_Efficacité'!$A$4:$BU$4,0)+31),0)</f>
        <v>0</v>
      </c>
      <c r="X42" s="149">
        <f>VLOOKUP($E42,'7. PGE_Efficacité'!$A$6:$BT$266,(MATCH('4.6 ACE MAX CAN '!X$4,'7. PGE_Efficacité'!$A$4:$BU$4,0)+31),0)</f>
        <v>0</v>
      </c>
      <c r="Y42" s="212">
        <f>VLOOKUP($E42,'7. PGE_Efficacité'!$A$6:$BT$266,(MATCH('4.6 ACE MAX CAN '!Y$4,'7. PGE_Efficacité'!$A$4:$BU$4,0)+31),0)</f>
        <v>0</v>
      </c>
      <c r="Z42" s="212">
        <f>VLOOKUP($E42,'7. PGE_Efficacité'!$A$6:$BT$266,(MATCH('4.6 ACE MAX CAN '!Z$4,'7. PGE_Efficacité'!$A$4:$BU$4,0)+31),0)</f>
        <v>0</v>
      </c>
      <c r="AA42" s="212">
        <f>VLOOKUP($E42,'7. PGE_Efficacité'!$A$6:$BT$266,(MATCH('4.6 ACE MAX CAN '!AA$4,'7. PGE_Efficacité'!$A$4:$BU$4,0)+31),0)</f>
        <v>0</v>
      </c>
      <c r="AB42" s="212">
        <f>VLOOKUP($E42,'7. PGE_Efficacité'!$A$6:$BT$266,(MATCH('4.6 ACE MAX CAN '!AB$4,'7. PGE_Efficacité'!$A$4:$BU$4,0)+31),0)</f>
        <v>0</v>
      </c>
      <c r="AC42" s="212">
        <f>VLOOKUP($E42,'7. PGE_Efficacité'!$A$6:$BT$266,(MATCH('4.6 ACE MAX CAN '!AC$4,'7. PGE_Efficacité'!$A$4:$BU$4,0)+31),0)</f>
        <v>0</v>
      </c>
      <c r="AD42" s="212">
        <f>VLOOKUP($E42,'7. PGE_Efficacité'!$A$6:$BT$266,(MATCH('4.6 ACE MAX CAN '!AD$4,'7. PGE_Efficacité'!$A$4:$BU$4,0)+31),0)</f>
        <v>0</v>
      </c>
      <c r="AE42" s="212">
        <f>VLOOKUP($E42,'7. PGE_Efficacité'!$A$6:$BT$266,(MATCH('4.6 ACE MAX CAN '!AE$4,'7. PGE_Efficacité'!$A$4:$BU$4,0)+31),0)</f>
        <v>0</v>
      </c>
      <c r="AF42" s="212">
        <f>VLOOKUP($E42,'7. PGE_Efficacité'!$A$6:$BT$266,(MATCH('4.6 ACE MAX CAN '!AF$4,'7. PGE_Efficacité'!$A$4:$BU$4,0)+31),0)</f>
        <v>0</v>
      </c>
      <c r="AG42" s="212">
        <f>VLOOKUP($E42,'7. PGE_Efficacité'!$A$6:$BT$266,(MATCH('4.6 ACE MAX CAN '!AG$4,'7. PGE_Efficacité'!$A$4:$BU$4,0)+31),0)</f>
        <v>0</v>
      </c>
      <c r="AH42" s="212">
        <f>VLOOKUP($E42,'7. PGE_Efficacité'!$A$6:$BT$266,(MATCH('4.6 ACE MAX CAN '!AH$4,'7. PGE_Efficacité'!$A$4:$BU$4,0)+31),0)</f>
        <v>0</v>
      </c>
      <c r="AI42" s="212">
        <f>VLOOKUP($E42,'7. PGE_Efficacité'!$A$6:$BT$266,(MATCH('4.6 ACE MAX CAN '!AI$4,'7. PGE_Efficacité'!$A$4:$BU$4,0)+31),0)</f>
        <v>0</v>
      </c>
      <c r="AJ42" s="212">
        <f>VLOOKUP($E42,'7. PGE_Efficacité'!$A$6:$BT$266,(MATCH('4.6 ACE MAX CAN '!AJ$4,'7. PGE_Efficacité'!$A$4:$BU$4,0)+31),0)</f>
        <v>0</v>
      </c>
      <c r="AK42" s="212">
        <f>VLOOKUP($E42,'7. PGE_Efficacité'!$A$6:$BT$266,(MATCH('4.6 ACE MAX CAN '!AK$4,'7. PGE_Efficacité'!$A$4:$BU$4,0)+31),0)</f>
        <v>0</v>
      </c>
      <c r="AL42" s="212">
        <f>VLOOKUP($E42,'7. PGE_Efficacité'!$A$6:$BT$266,(MATCH('4.6 ACE MAX CAN '!AL$4,'7. PGE_Efficacité'!$A$4:$BU$4,0)+31),0)</f>
        <v>0</v>
      </c>
      <c r="AM42" s="212">
        <f>VLOOKUP($E42,'7. PGE_Efficacité'!$A$6:$BT$266,(MATCH('4.6 ACE MAX CAN '!AM$4,'7. PGE_Efficacité'!$A$4:$BU$4,0)+31),0)</f>
        <v>0</v>
      </c>
      <c r="AN42" s="212">
        <f>VLOOKUP($E42,'7. PGE_Efficacité'!$A$6:$BT$266,(MATCH('4.6 ACE MAX CAN '!AN$4,'7. PGE_Efficacité'!$A$4:$BU$4,0)+31),0)</f>
        <v>0</v>
      </c>
    </row>
    <row r="43" spans="1:40" outlineLevel="2" x14ac:dyDescent="0.25">
      <c r="A43" t="s">
        <v>1524</v>
      </c>
      <c r="B43">
        <v>5</v>
      </c>
      <c r="C43" t="s">
        <v>1517</v>
      </c>
      <c r="D43" s="12" t="s">
        <v>4</v>
      </c>
      <c r="E43" s="12" t="s">
        <v>810</v>
      </c>
      <c r="F43" s="12" t="s">
        <v>1441</v>
      </c>
      <c r="G43" s="12" t="s">
        <v>1521</v>
      </c>
      <c r="H43" s="12" t="s">
        <v>414</v>
      </c>
      <c r="I43" s="148"/>
      <c r="J43" s="149">
        <f>VLOOKUP($E43,'7. PGE_Efficacité'!$A$6:$BT$266,(MATCH('4.6 ACE MAX CAN '!J$4,'7. PGE_Efficacité'!$A$4:$BU$4,0)+31),0)</f>
        <v>0</v>
      </c>
      <c r="K43" s="149">
        <f>VLOOKUP($E43,'7. PGE_Efficacité'!$A$6:$BT$266,(MATCH('4.6 ACE MAX CAN '!K$4,'7. PGE_Efficacité'!$A$4:$BU$4,0)+31),0)</f>
        <v>0</v>
      </c>
      <c r="L43" s="149">
        <f>VLOOKUP($E43,'7. PGE_Efficacité'!$A$6:$BT$266,(MATCH('4.6 ACE MAX CAN '!L$4,'7. PGE_Efficacité'!$A$4:$BU$4,0)+31),0)</f>
        <v>0</v>
      </c>
      <c r="M43" s="149">
        <f>VLOOKUP($E43,'7. PGE_Efficacité'!$A$6:$BT$266,(MATCH('4.6 ACE MAX CAN '!M$4,'7. PGE_Efficacité'!$A$4:$BU$4,0)+31),0)</f>
        <v>0</v>
      </c>
      <c r="N43" s="149">
        <f>VLOOKUP($E43,'7. PGE_Efficacité'!$A$6:$BT$266,(MATCH('4.6 ACE MAX CAN '!N$4,'7. PGE_Efficacité'!$A$4:$BU$4,0)+31),0)</f>
        <v>0</v>
      </c>
      <c r="O43" s="149">
        <f>VLOOKUP($D43,'7. PGE_Efficacité'!$A$6:$BT$268,47,0)</f>
        <v>0</v>
      </c>
      <c r="P43" s="149">
        <f>VLOOKUP($E43,'7. PGE_Efficacité'!$A$6:$BT$266,(MATCH('4.6 ACE MAX CAN '!P$4,'7. PGE_Efficacité'!$A$4:$BU$4,0)+31),0)</f>
        <v>0</v>
      </c>
      <c r="Q43" s="149">
        <f>VLOOKUP($E43,'7. PGE_Efficacité'!$A$6:$BT$266,(MATCH('4.6 ACE MAX CAN '!Q$4,'7. PGE_Efficacité'!$A$4:$BU$4,0)+31),0)</f>
        <v>0</v>
      </c>
      <c r="R43" s="149">
        <f>VLOOKUP($E43,'7. PGE_Efficacité'!$A$6:$BT$266,(MATCH('4.6 ACE MAX CAN '!R$4,'7. PGE_Efficacité'!$A$4:$BU$4,0)+31),0)</f>
        <v>0</v>
      </c>
      <c r="S43" s="149">
        <f>VLOOKUP($E43,'7. PGE_Efficacité'!$A$6:$BT$266,(MATCH('4.6 ACE MAX CAN '!S$4,'7. PGE_Efficacité'!$A$4:$BU$4,0)+31),0)</f>
        <v>0</v>
      </c>
      <c r="T43" s="149">
        <f>VLOOKUP($E43,'7. PGE_Efficacité'!$A$6:$BT$266,(MATCH('4.6 ACE MAX CAN '!T$4,'7. PGE_Efficacité'!$A$4:$BU$4,0)+31),0)</f>
        <v>0</v>
      </c>
      <c r="U43" s="149">
        <f>VLOOKUP($E43,'7. PGE_Efficacité'!$A$6:$BT$266,(MATCH('4.6 ACE MAX CAN '!U$4,'7. PGE_Efficacité'!$A$4:$BU$4,0)+31),0)</f>
        <v>0</v>
      </c>
      <c r="V43" s="149">
        <f>VLOOKUP($E43,'7. PGE_Efficacité'!$A$6:$BT$266,(MATCH('4.6 ACE MAX CAN '!V$4,'7. PGE_Efficacité'!$A$4:$BU$4,0)+31),0)</f>
        <v>0</v>
      </c>
      <c r="W43" s="149">
        <f>VLOOKUP($E43,'7. PGE_Efficacité'!$A$6:$BT$266,(MATCH('4.6 ACE MAX CAN '!W$4,'7. PGE_Efficacité'!$A$4:$BU$4,0)+31),0)</f>
        <v>0</v>
      </c>
      <c r="X43" s="149">
        <f>VLOOKUP($E43,'7. PGE_Efficacité'!$A$6:$BT$266,(MATCH('4.6 ACE MAX CAN '!X$4,'7. PGE_Efficacité'!$A$4:$BU$4,0)+31),0)</f>
        <v>0</v>
      </c>
      <c r="Y43" s="212">
        <f>VLOOKUP($E43,'7. PGE_Efficacité'!$A$6:$BT$266,(MATCH('4.6 ACE MAX CAN '!Y$4,'7. PGE_Efficacité'!$A$4:$BU$4,0)+31),0)</f>
        <v>0</v>
      </c>
      <c r="Z43" s="212">
        <f>VLOOKUP($E43,'7. PGE_Efficacité'!$A$6:$BT$266,(MATCH('4.6 ACE MAX CAN '!Z$4,'7. PGE_Efficacité'!$A$4:$BU$4,0)+31),0)</f>
        <v>0</v>
      </c>
      <c r="AA43" s="212">
        <f>VLOOKUP($E43,'7. PGE_Efficacité'!$A$6:$BT$266,(MATCH('4.6 ACE MAX CAN '!AA$4,'7. PGE_Efficacité'!$A$4:$BU$4,0)+31),0)</f>
        <v>0</v>
      </c>
      <c r="AB43" s="212">
        <f>VLOOKUP($E43,'7. PGE_Efficacité'!$A$6:$BT$266,(MATCH('4.6 ACE MAX CAN '!AB$4,'7. PGE_Efficacité'!$A$4:$BU$4,0)+31),0)</f>
        <v>0</v>
      </c>
      <c r="AC43" s="212">
        <f>VLOOKUP($E43,'7. PGE_Efficacité'!$A$6:$BT$266,(MATCH('4.6 ACE MAX CAN '!AC$4,'7. PGE_Efficacité'!$A$4:$BU$4,0)+31),0)</f>
        <v>0</v>
      </c>
      <c r="AD43" s="212">
        <f>VLOOKUP($E43,'7. PGE_Efficacité'!$A$6:$BT$266,(MATCH('4.6 ACE MAX CAN '!AD$4,'7. PGE_Efficacité'!$A$4:$BU$4,0)+31),0)</f>
        <v>0</v>
      </c>
      <c r="AE43" s="212">
        <f>VLOOKUP($E43,'7. PGE_Efficacité'!$A$6:$BT$266,(MATCH('4.6 ACE MAX CAN '!AE$4,'7. PGE_Efficacité'!$A$4:$BU$4,0)+31),0)</f>
        <v>0</v>
      </c>
      <c r="AF43" s="212">
        <f>VLOOKUP($E43,'7. PGE_Efficacité'!$A$6:$BT$266,(MATCH('4.6 ACE MAX CAN '!AF$4,'7. PGE_Efficacité'!$A$4:$BU$4,0)+31),0)</f>
        <v>0</v>
      </c>
      <c r="AG43" s="212">
        <f>VLOOKUP($E43,'7. PGE_Efficacité'!$A$6:$BT$266,(MATCH('4.6 ACE MAX CAN '!AG$4,'7. PGE_Efficacité'!$A$4:$BU$4,0)+31),0)</f>
        <v>0</v>
      </c>
      <c r="AH43" s="212">
        <f>VLOOKUP($E43,'7. PGE_Efficacité'!$A$6:$BT$266,(MATCH('4.6 ACE MAX CAN '!AH$4,'7. PGE_Efficacité'!$A$4:$BU$4,0)+31),0)</f>
        <v>0</v>
      </c>
      <c r="AI43" s="212">
        <f>VLOOKUP($E43,'7. PGE_Efficacité'!$A$6:$BT$266,(MATCH('4.6 ACE MAX CAN '!AI$4,'7. PGE_Efficacité'!$A$4:$BU$4,0)+31),0)</f>
        <v>0</v>
      </c>
      <c r="AJ43" s="212">
        <f>VLOOKUP($E43,'7. PGE_Efficacité'!$A$6:$BT$266,(MATCH('4.6 ACE MAX CAN '!AJ$4,'7. PGE_Efficacité'!$A$4:$BU$4,0)+31),0)</f>
        <v>0</v>
      </c>
      <c r="AK43" s="212">
        <f>VLOOKUP($E43,'7. PGE_Efficacité'!$A$6:$BT$266,(MATCH('4.6 ACE MAX CAN '!AK$4,'7. PGE_Efficacité'!$A$4:$BU$4,0)+31),0)</f>
        <v>0</v>
      </c>
      <c r="AL43" s="212">
        <f>VLOOKUP($E43,'7. PGE_Efficacité'!$A$6:$BT$266,(MATCH('4.6 ACE MAX CAN '!AL$4,'7. PGE_Efficacité'!$A$4:$BU$4,0)+31),0)</f>
        <v>0</v>
      </c>
      <c r="AM43" s="212">
        <f>VLOOKUP($E43,'7. PGE_Efficacité'!$A$6:$BT$266,(MATCH('4.6 ACE MAX CAN '!AM$4,'7. PGE_Efficacité'!$A$4:$BU$4,0)+31),0)</f>
        <v>0</v>
      </c>
      <c r="AN43" s="212">
        <f>VLOOKUP($E43,'7. PGE_Efficacité'!$A$6:$BT$266,(MATCH('4.6 ACE MAX CAN '!AN$4,'7. PGE_Efficacité'!$A$4:$BU$4,0)+31),0)</f>
        <v>0</v>
      </c>
    </row>
    <row r="44" spans="1:40" outlineLevel="2" x14ac:dyDescent="0.25">
      <c r="A44" t="s">
        <v>1524</v>
      </c>
      <c r="B44">
        <v>5</v>
      </c>
      <c r="C44" t="s">
        <v>1510</v>
      </c>
      <c r="D44" s="12" t="s">
        <v>4</v>
      </c>
      <c r="E44" s="12" t="s">
        <v>811</v>
      </c>
      <c r="F44" s="12" t="s">
        <v>1442</v>
      </c>
      <c r="G44" s="12" t="s">
        <v>1521</v>
      </c>
      <c r="H44" s="12" t="s">
        <v>414</v>
      </c>
      <c r="I44" s="148"/>
      <c r="J44" s="149">
        <f>VLOOKUP($E44,'7. PGE_Efficacité'!$A$6:$BT$266,(MATCH('4.6 ACE MAX CAN '!J$4,'7. PGE_Efficacité'!$A$4:$BU$4,0)+31),0)</f>
        <v>0</v>
      </c>
      <c r="K44" s="149">
        <f>VLOOKUP($E44,'7. PGE_Efficacité'!$A$6:$BT$266,(MATCH('4.6 ACE MAX CAN '!K$4,'7. PGE_Efficacité'!$A$4:$BU$4,0)+31),0)</f>
        <v>0</v>
      </c>
      <c r="L44" s="149">
        <f>VLOOKUP($E44,'7. PGE_Efficacité'!$A$6:$BT$266,(MATCH('4.6 ACE MAX CAN '!L$4,'7. PGE_Efficacité'!$A$4:$BU$4,0)+31),0)</f>
        <v>0</v>
      </c>
      <c r="M44" s="149">
        <f>VLOOKUP($E44,'7. PGE_Efficacité'!$A$6:$BT$266,(MATCH('4.6 ACE MAX CAN '!M$4,'7. PGE_Efficacité'!$A$4:$BU$4,0)+31),0)</f>
        <v>0</v>
      </c>
      <c r="N44" s="149">
        <f>VLOOKUP($E44,'7. PGE_Efficacité'!$A$6:$BT$266,(MATCH('4.6 ACE MAX CAN '!N$4,'7. PGE_Efficacité'!$A$4:$BU$4,0)+31),0)</f>
        <v>0</v>
      </c>
      <c r="O44" s="149">
        <f>VLOOKUP($D44,'7. PGE_Efficacité'!$A$6:$BT$268,47,0)</f>
        <v>0</v>
      </c>
      <c r="P44" s="149">
        <f>VLOOKUP($E44,'7. PGE_Efficacité'!$A$6:$BT$266,(MATCH('4.6 ACE MAX CAN '!P$4,'7. PGE_Efficacité'!$A$4:$BU$4,0)+31),0)</f>
        <v>0</v>
      </c>
      <c r="Q44" s="149">
        <f>VLOOKUP($E44,'7. PGE_Efficacité'!$A$6:$BT$266,(MATCH('4.6 ACE MAX CAN '!Q$4,'7. PGE_Efficacité'!$A$4:$BU$4,0)+31),0)</f>
        <v>0</v>
      </c>
      <c r="R44" s="149">
        <f>VLOOKUP($E44,'7. PGE_Efficacité'!$A$6:$BT$266,(MATCH('4.6 ACE MAX CAN '!R$4,'7. PGE_Efficacité'!$A$4:$BU$4,0)+31),0)</f>
        <v>0</v>
      </c>
      <c r="S44" s="149">
        <f>VLOOKUP($E44,'7. PGE_Efficacité'!$A$6:$BT$266,(MATCH('4.6 ACE MAX CAN '!S$4,'7. PGE_Efficacité'!$A$4:$BU$4,0)+31),0)</f>
        <v>0</v>
      </c>
      <c r="T44" s="149">
        <f>VLOOKUP($E44,'7. PGE_Efficacité'!$A$6:$BT$266,(MATCH('4.6 ACE MAX CAN '!T$4,'7. PGE_Efficacité'!$A$4:$BU$4,0)+31),0)</f>
        <v>0</v>
      </c>
      <c r="U44" s="149">
        <f>VLOOKUP($E44,'7. PGE_Efficacité'!$A$6:$BT$266,(MATCH('4.6 ACE MAX CAN '!U$4,'7. PGE_Efficacité'!$A$4:$BU$4,0)+31),0)</f>
        <v>0</v>
      </c>
      <c r="V44" s="149">
        <f>VLOOKUP($E44,'7. PGE_Efficacité'!$A$6:$BT$266,(MATCH('4.6 ACE MAX CAN '!V$4,'7. PGE_Efficacité'!$A$4:$BU$4,0)+31),0)</f>
        <v>0</v>
      </c>
      <c r="W44" s="149">
        <f>VLOOKUP($E44,'7. PGE_Efficacité'!$A$6:$BT$266,(MATCH('4.6 ACE MAX CAN '!W$4,'7. PGE_Efficacité'!$A$4:$BU$4,0)+31),0)</f>
        <v>0</v>
      </c>
      <c r="X44" s="149">
        <f>VLOOKUP($E44,'7. PGE_Efficacité'!$A$6:$BT$266,(MATCH('4.6 ACE MAX CAN '!X$4,'7. PGE_Efficacité'!$A$4:$BU$4,0)+31),0)</f>
        <v>0</v>
      </c>
      <c r="Y44" s="212">
        <f>VLOOKUP($E44,'7. PGE_Efficacité'!$A$6:$BT$266,(MATCH('4.6 ACE MAX CAN '!Y$4,'7. PGE_Efficacité'!$A$4:$BU$4,0)+31),0)</f>
        <v>0</v>
      </c>
      <c r="Z44" s="212">
        <f>VLOOKUP($E44,'7. PGE_Efficacité'!$A$6:$BT$266,(MATCH('4.6 ACE MAX CAN '!Z$4,'7. PGE_Efficacité'!$A$4:$BU$4,0)+31),0)</f>
        <v>0</v>
      </c>
      <c r="AA44" s="212">
        <f>VLOOKUP($E44,'7. PGE_Efficacité'!$A$6:$BT$266,(MATCH('4.6 ACE MAX CAN '!AA$4,'7. PGE_Efficacité'!$A$4:$BU$4,0)+31),0)</f>
        <v>0</v>
      </c>
      <c r="AB44" s="212">
        <f>VLOOKUP($E44,'7. PGE_Efficacité'!$A$6:$BT$266,(MATCH('4.6 ACE MAX CAN '!AB$4,'7. PGE_Efficacité'!$A$4:$BU$4,0)+31),0)</f>
        <v>0</v>
      </c>
      <c r="AC44" s="212">
        <f>VLOOKUP($E44,'7. PGE_Efficacité'!$A$6:$BT$266,(MATCH('4.6 ACE MAX CAN '!AC$4,'7. PGE_Efficacité'!$A$4:$BU$4,0)+31),0)</f>
        <v>0</v>
      </c>
      <c r="AD44" s="212">
        <f>VLOOKUP($E44,'7. PGE_Efficacité'!$A$6:$BT$266,(MATCH('4.6 ACE MAX CAN '!AD$4,'7. PGE_Efficacité'!$A$4:$BU$4,0)+31),0)</f>
        <v>0</v>
      </c>
      <c r="AE44" s="212">
        <f>VLOOKUP($E44,'7. PGE_Efficacité'!$A$6:$BT$266,(MATCH('4.6 ACE MAX CAN '!AE$4,'7. PGE_Efficacité'!$A$4:$BU$4,0)+31),0)</f>
        <v>0</v>
      </c>
      <c r="AF44" s="212">
        <f>VLOOKUP($E44,'7. PGE_Efficacité'!$A$6:$BT$266,(MATCH('4.6 ACE MAX CAN '!AF$4,'7. PGE_Efficacité'!$A$4:$BU$4,0)+31),0)</f>
        <v>0</v>
      </c>
      <c r="AG44" s="212">
        <f>VLOOKUP($E44,'7. PGE_Efficacité'!$A$6:$BT$266,(MATCH('4.6 ACE MAX CAN '!AG$4,'7. PGE_Efficacité'!$A$4:$BU$4,0)+31),0)</f>
        <v>0</v>
      </c>
      <c r="AH44" s="212">
        <f>VLOOKUP($E44,'7. PGE_Efficacité'!$A$6:$BT$266,(MATCH('4.6 ACE MAX CAN '!AH$4,'7. PGE_Efficacité'!$A$4:$BU$4,0)+31),0)</f>
        <v>0</v>
      </c>
      <c r="AI44" s="212">
        <f>VLOOKUP($E44,'7. PGE_Efficacité'!$A$6:$BT$266,(MATCH('4.6 ACE MAX CAN '!AI$4,'7. PGE_Efficacité'!$A$4:$BU$4,0)+31),0)</f>
        <v>0</v>
      </c>
      <c r="AJ44" s="212">
        <f>VLOOKUP($E44,'7. PGE_Efficacité'!$A$6:$BT$266,(MATCH('4.6 ACE MAX CAN '!AJ$4,'7. PGE_Efficacité'!$A$4:$BU$4,0)+31),0)</f>
        <v>0</v>
      </c>
      <c r="AK44" s="212">
        <f>VLOOKUP($E44,'7. PGE_Efficacité'!$A$6:$BT$266,(MATCH('4.6 ACE MAX CAN '!AK$4,'7. PGE_Efficacité'!$A$4:$BU$4,0)+31),0)</f>
        <v>0</v>
      </c>
      <c r="AL44" s="212">
        <f>VLOOKUP($E44,'7. PGE_Efficacité'!$A$6:$BT$266,(MATCH('4.6 ACE MAX CAN '!AL$4,'7. PGE_Efficacité'!$A$4:$BU$4,0)+31),0)</f>
        <v>0</v>
      </c>
      <c r="AM44" s="212">
        <f>VLOOKUP($E44,'7. PGE_Efficacité'!$A$6:$BT$266,(MATCH('4.6 ACE MAX CAN '!AM$4,'7. PGE_Efficacité'!$A$4:$BU$4,0)+31),0)</f>
        <v>0</v>
      </c>
      <c r="AN44" s="212">
        <f>VLOOKUP($E44,'7. PGE_Efficacité'!$A$6:$BT$266,(MATCH('4.6 ACE MAX CAN '!AN$4,'7. PGE_Efficacité'!$A$4:$BU$4,0)+31),0)</f>
        <v>0</v>
      </c>
    </row>
    <row r="45" spans="1:40" ht="26.25" outlineLevel="1" x14ac:dyDescent="0.25">
      <c r="D45" s="360" t="s">
        <v>5</v>
      </c>
      <c r="E45" s="360"/>
      <c r="F45" s="361" t="str">
        <f>VLOOKUP(D45,'1. Mesures'!$A$2:$B$116,2,0)</f>
        <v xml:space="preserve">Assurer le raccordement effectif des points de rejet d’eaux usées domestiques et non domestiques vers le réseau d’égouttage </v>
      </c>
      <c r="G45" s="360"/>
      <c r="H45" s="360"/>
      <c r="I45" s="362">
        <f>MEDIAN(VLOOKUP(D45,'4. Mesures_ACE_Budget'!$A$3:$R$32,17,0),VLOOKUP(D45,'4. Mesures_ACE_Budget'!$A$3:$R$32,18,0))</f>
        <v>0</v>
      </c>
      <c r="J45" s="212">
        <f>VLOOKUP($D45,'7. PGE_Efficacité'!$A$6:$BT$266,(MATCH('4.6 ACE MAX CAN '!J$4,'7. PGE_Efficacité'!$A$4:$AO$4,0)+31),0)</f>
        <v>0</v>
      </c>
      <c r="K45" s="212" t="str">
        <f>VLOOKUP($D45,'7. PGE_Efficacité'!$A$6:$BT$266,(MATCH('4.6 ACE MAX CAN '!K$4,'7. PGE_Efficacité'!$A$4:$AO$4,0)+31),0)</f>
        <v>++</v>
      </c>
      <c r="L45" s="212" t="str">
        <f>VLOOKUP($D45,'7. PGE_Efficacité'!$A$6:$BT$266,(MATCH('4.6 ACE MAX CAN '!L$4,'7. PGE_Efficacité'!$A$4:$AO$4,0)+31),0)</f>
        <v>++</v>
      </c>
      <c r="M45" s="212" t="str">
        <f>VLOOKUP($D45,'7. PGE_Efficacité'!$A$6:$BT$266,(MATCH('4.6 ACE MAX CAN '!M$4,'7. PGE_Efficacité'!$A$4:$AO$4,0)+31),0)</f>
        <v>++</v>
      </c>
      <c r="N45" s="212" t="str">
        <f>VLOOKUP($D45,'7. PGE_Efficacité'!$A$6:$BT$266,(MATCH('4.6 ACE MAX CAN '!N$4,'7. PGE_Efficacité'!$A$4:$AO$4,0)+31),0)</f>
        <v>++</v>
      </c>
      <c r="O45" s="212" t="str">
        <f>VLOOKUP($D45,'7. PGE_Efficacité'!$A$6:$BT$268,47,0)</f>
        <v>++</v>
      </c>
      <c r="P45" s="212">
        <f>VLOOKUP($D45,'7. PGE_Efficacité'!$A$6:$BT$266,(MATCH('4.6 ACE MAX CAN '!P$4,'7. PGE_Efficacité'!$A$4:$AO$4,0)+31),0)</f>
        <v>0</v>
      </c>
      <c r="Q45" s="212" t="str">
        <f>VLOOKUP($D45,'7. PGE_Efficacité'!$A$6:$BT$266,(MATCH('4.6 ACE MAX CAN '!Q$4,'7. PGE_Efficacité'!$A$4:$AO$4,0)+31),0)</f>
        <v>++</v>
      </c>
      <c r="R45" s="212" t="str">
        <f>VLOOKUP($D45,'7. PGE_Efficacité'!$A$6:$BT$266,(MATCH('4.6 ACE MAX CAN '!R$4,'7. PGE_Efficacité'!$A$4:$AO$4,0)+31),0)</f>
        <v>+</v>
      </c>
      <c r="S45" s="212">
        <f>VLOOKUP($D45,'7. PGE_Efficacité'!$A$6:$BT$266,(MATCH('4.6 ACE MAX CAN '!S$4,'7. PGE_Efficacité'!$A$4:$AO$4,0)+31),0)</f>
        <v>0</v>
      </c>
      <c r="T45" s="212">
        <f>VLOOKUP($D45,'7. PGE_Efficacité'!$A$6:$BT$266,(MATCH('4.6 ACE MAX CAN '!T$4,'7. PGE_Efficacité'!$A$4:$AO$4,0)+31),0)</f>
        <v>0</v>
      </c>
      <c r="U45" s="212" t="str">
        <f>VLOOKUP($D45,'7. PGE_Efficacité'!$A$6:$BT$266,(MATCH('4.6 ACE MAX CAN '!U$4,'7. PGE_Efficacité'!$A$4:$AO$4,0)+31),0)</f>
        <v>+</v>
      </c>
      <c r="V45" s="212" t="str">
        <f>VLOOKUP($D45,'7. PGE_Efficacité'!$A$6:$BT$266,(MATCH('4.6 ACE MAX CAN '!V$4,'7. PGE_Efficacité'!$A$4:$AO$4,0)+31),0)</f>
        <v>+</v>
      </c>
      <c r="W45" s="212" t="str">
        <f>VLOOKUP($D45,'7. PGE_Efficacité'!$A$6:$BT$266,(MATCH('4.6 ACE MAX CAN '!W$4,'7. PGE_Efficacité'!$A$4:$AO$4,0)+31),0)</f>
        <v>++</v>
      </c>
      <c r="X45" s="212">
        <f>VLOOKUP($D45,'7. PGE_Efficacité'!$A$6:$BT$266,(MATCH('4.6 ACE MAX CAN '!X$4,'7. PGE_Efficacité'!$A$4:$AO$4,0)+31),0)</f>
        <v>0</v>
      </c>
      <c r="Y45" s="212" t="str">
        <f>VLOOKUP($D45,'7. PGE_Efficacité'!$A$6:$BT$266,(MATCH('4.6 ACE MAX CAN '!Y$4,'7. PGE_Efficacité'!$A$4:$AO$4,0)+31),0)</f>
        <v>++</v>
      </c>
      <c r="Z45" s="212" t="str">
        <f>VLOOKUP($D45,'7. PGE_Efficacité'!$A$6:$BT$266,(MATCH('4.6 ACE MAX CAN '!Z$4,'7. PGE_Efficacité'!$A$4:$AO$4,0)+31),0)</f>
        <v>++</v>
      </c>
      <c r="AA45" s="212">
        <f>VLOOKUP($D45,'7. PGE_Efficacité'!$A$6:$BT$266,(MATCH('4.6 ACE MAX CAN '!AA$4,'7. PGE_Efficacité'!$A$4:$AO$4,0)+31),0)</f>
        <v>0</v>
      </c>
      <c r="AB45" s="212">
        <f>VLOOKUP($D45,'7. PGE_Efficacité'!$A$6:$BT$266,(MATCH('4.6 ACE MAX CAN '!AB$4,'7. PGE_Efficacité'!$A$4:$AO$4,0)+31),0)</f>
        <v>0</v>
      </c>
      <c r="AC45" s="212">
        <f>VLOOKUP($D45,'7. PGE_Efficacité'!$A$6:$BT$266,(MATCH('4.6 ACE MAX CAN '!AC$4,'7. PGE_Efficacité'!$A$4:$AO$4,0)+31),0)</f>
        <v>0</v>
      </c>
      <c r="AD45" s="212">
        <f>VLOOKUP($D45,'7. PGE_Efficacité'!$A$6:$BT$266,(MATCH('4.6 ACE MAX CAN '!AD$4,'7. PGE_Efficacité'!$A$4:$AO$4,0)+31),0)</f>
        <v>0</v>
      </c>
      <c r="AE45" s="212">
        <f>VLOOKUP($D45,'7. PGE_Efficacité'!$A$6:$BT$266,(MATCH('4.6 ACE MAX CAN '!AE$4,'7. PGE_Efficacité'!$A$4:$AO$4,0)+31),0)</f>
        <v>0</v>
      </c>
      <c r="AF45" s="212">
        <f>VLOOKUP($D45,'7. PGE_Efficacité'!$A$6:$BT$266,(MATCH('4.6 ACE MAX CAN '!AF$4,'7. PGE_Efficacité'!$A$4:$AO$4,0)+31),0)</f>
        <v>0</v>
      </c>
      <c r="AG45" s="212">
        <f>VLOOKUP($D45,'7. PGE_Efficacité'!$A$6:$BT$266,(MATCH('4.6 ACE MAX CAN '!AG$4,'7. PGE_Efficacité'!$A$4:$AO$4,0)+31),0)</f>
        <v>0</v>
      </c>
      <c r="AH45" s="212">
        <f>VLOOKUP($D45,'7. PGE_Efficacité'!$A$6:$BT$266,(MATCH('4.6 ACE MAX CAN '!AH$4,'7. PGE_Efficacité'!$A$4:$AO$4,0)+31),0)</f>
        <v>0</v>
      </c>
      <c r="AI45" s="212">
        <f>VLOOKUP($D45,'7. PGE_Efficacité'!$A$6:$BT$266,(MATCH('4.6 ACE MAX CAN '!AI$4,'7. PGE_Efficacité'!$A$4:$AO$4,0)+31),0)</f>
        <v>0</v>
      </c>
      <c r="AJ45" s="212">
        <f>VLOOKUP($D45,'7. PGE_Efficacité'!$A$6:$BT$266,(MATCH('4.6 ACE MAX CAN '!AJ$4,'7. PGE_Efficacité'!$A$4:$AO$4,0)+31),0)</f>
        <v>0</v>
      </c>
      <c r="AK45" s="212" t="str">
        <f>VLOOKUP($D45,'7. PGE_Efficacité'!$A$6:$BT$266,(MATCH('4.6 ACE MAX CAN '!AK$4,'7. PGE_Efficacité'!$A$4:$AO$4,0)+31),0)</f>
        <v>++</v>
      </c>
      <c r="AL45" s="212">
        <f>VLOOKUP($D45,'7. PGE_Efficacité'!$A$6:$BT$266,(MATCH('4.6 ACE MAX CAN '!AL$4,'7. PGE_Efficacité'!$A$4:$AO$4,0)+31),0)</f>
        <v>0</v>
      </c>
      <c r="AM45" s="212" t="str">
        <f>VLOOKUP($D45,'7. PGE_Efficacité'!$A$6:$BT$266,(MATCH('4.6 ACE MAX CAN '!AM$4,'7. PGE_Efficacité'!$A$4:$AO$4,0)+31),0)</f>
        <v>++</v>
      </c>
      <c r="AN45" s="212" t="str">
        <f>VLOOKUP($D45,'7. PGE_Efficacité'!$A$6:$BT$266,(MATCH('4.6 ACE MAX CAN '!AN$4,'7. PGE_Efficacité'!$A$4:$AO$4,0)+31),0)</f>
        <v>++</v>
      </c>
    </row>
    <row r="46" spans="1:40" outlineLevel="2" x14ac:dyDescent="0.25">
      <c r="A46" t="s">
        <v>1524</v>
      </c>
      <c r="B46">
        <v>6</v>
      </c>
      <c r="C46" t="s">
        <v>1524</v>
      </c>
      <c r="D46" s="12" t="s">
        <v>5</v>
      </c>
      <c r="E46" s="12" t="s">
        <v>821</v>
      </c>
      <c r="F46" s="12" t="s">
        <v>1451</v>
      </c>
      <c r="G46" s="12" t="s">
        <v>1522</v>
      </c>
      <c r="H46" s="12" t="s">
        <v>1290</v>
      </c>
      <c r="I46" s="148"/>
      <c r="J46" s="149">
        <f>VLOOKUP($E46,'7. PGE_Efficacité'!$A$6:$BT$266,(MATCH('4.6 ACE MAX CAN '!J$4,'7. PGE_Efficacité'!$A$4:$BU$4,0)+31),0)</f>
        <v>0</v>
      </c>
      <c r="K46" s="149">
        <f>VLOOKUP($E46,'7. PGE_Efficacité'!$A$6:$BT$266,(MATCH('4.6 ACE MAX CAN '!K$4,'7. PGE_Efficacité'!$A$4:$BU$4,0)+31),0)</f>
        <v>0</v>
      </c>
      <c r="L46" s="149">
        <f>VLOOKUP($E46,'7. PGE_Efficacité'!$A$6:$BT$266,(MATCH('4.6 ACE MAX CAN '!L$4,'7. PGE_Efficacité'!$A$4:$BU$4,0)+31),0)</f>
        <v>0</v>
      </c>
      <c r="M46" s="149">
        <f>VLOOKUP($E46,'7. PGE_Efficacité'!$A$6:$BT$266,(MATCH('4.6 ACE MAX CAN '!M$4,'7. PGE_Efficacité'!$A$4:$BU$4,0)+31),0)</f>
        <v>0</v>
      </c>
      <c r="N46" s="149">
        <f>VLOOKUP($E46,'7. PGE_Efficacité'!$A$6:$BT$266,(MATCH('4.6 ACE MAX CAN '!N$4,'7. PGE_Efficacité'!$A$4:$BU$4,0)+31),0)</f>
        <v>0</v>
      </c>
      <c r="O46" s="149" t="str">
        <f>VLOOKUP($D46,'7. PGE_Efficacité'!$A$6:$BT$268,47,0)</f>
        <v>++</v>
      </c>
      <c r="P46" s="149">
        <f>VLOOKUP($E46,'7. PGE_Efficacité'!$A$6:$BT$266,(MATCH('4.6 ACE MAX CAN '!P$4,'7. PGE_Efficacité'!$A$4:$BU$4,0)+31),0)</f>
        <v>0</v>
      </c>
      <c r="Q46" s="149">
        <f>VLOOKUP($E46,'7. PGE_Efficacité'!$A$6:$BT$266,(MATCH('4.6 ACE MAX CAN '!Q$4,'7. PGE_Efficacité'!$A$4:$BU$4,0)+31),0)</f>
        <v>0</v>
      </c>
      <c r="R46" s="149">
        <f>VLOOKUP($E46,'7. PGE_Efficacité'!$A$6:$BT$266,(MATCH('4.6 ACE MAX CAN '!R$4,'7. PGE_Efficacité'!$A$4:$BU$4,0)+31),0)</f>
        <v>0</v>
      </c>
      <c r="S46" s="149">
        <f>VLOOKUP($E46,'7. PGE_Efficacité'!$A$6:$BT$266,(MATCH('4.6 ACE MAX CAN '!S$4,'7. PGE_Efficacité'!$A$4:$BU$4,0)+31),0)</f>
        <v>0</v>
      </c>
      <c r="T46" s="149">
        <f>VLOOKUP($E46,'7. PGE_Efficacité'!$A$6:$BT$266,(MATCH('4.6 ACE MAX CAN '!T$4,'7. PGE_Efficacité'!$A$4:$BU$4,0)+31),0)</f>
        <v>0</v>
      </c>
      <c r="U46" s="149">
        <f>VLOOKUP($E46,'7. PGE_Efficacité'!$A$6:$BT$266,(MATCH('4.6 ACE MAX CAN '!U$4,'7. PGE_Efficacité'!$A$4:$BU$4,0)+31),0)</f>
        <v>0</v>
      </c>
      <c r="V46" s="149">
        <f>VLOOKUP($E46,'7. PGE_Efficacité'!$A$6:$BT$266,(MATCH('4.6 ACE MAX CAN '!V$4,'7. PGE_Efficacité'!$A$4:$BU$4,0)+31),0)</f>
        <v>0</v>
      </c>
      <c r="W46" s="149">
        <f>VLOOKUP($E46,'7. PGE_Efficacité'!$A$6:$BT$266,(MATCH('4.6 ACE MAX CAN '!W$4,'7. PGE_Efficacité'!$A$4:$BU$4,0)+31),0)</f>
        <v>0</v>
      </c>
      <c r="X46" s="149">
        <f>VLOOKUP($E46,'7. PGE_Efficacité'!$A$6:$BT$266,(MATCH('4.6 ACE MAX CAN '!X$4,'7. PGE_Efficacité'!$A$4:$BU$4,0)+31),0)</f>
        <v>0</v>
      </c>
      <c r="Y46" s="212">
        <f>VLOOKUP($E46,'7. PGE_Efficacité'!$A$6:$BT$266,(MATCH('4.6 ACE MAX CAN '!Y$4,'7. PGE_Efficacité'!$A$4:$BU$4,0)+31),0)</f>
        <v>0</v>
      </c>
      <c r="Z46" s="212">
        <f>VLOOKUP($E46,'7. PGE_Efficacité'!$A$6:$BT$266,(MATCH('4.6 ACE MAX CAN '!Z$4,'7. PGE_Efficacité'!$A$4:$BU$4,0)+31),0)</f>
        <v>0</v>
      </c>
      <c r="AA46" s="212">
        <f>VLOOKUP($E46,'7. PGE_Efficacité'!$A$6:$BT$266,(MATCH('4.6 ACE MAX CAN '!AA$4,'7. PGE_Efficacité'!$A$4:$BU$4,0)+31),0)</f>
        <v>0</v>
      </c>
      <c r="AB46" s="212">
        <f>VLOOKUP($E46,'7. PGE_Efficacité'!$A$6:$BT$266,(MATCH('4.6 ACE MAX CAN '!AB$4,'7. PGE_Efficacité'!$A$4:$BU$4,0)+31),0)</f>
        <v>0</v>
      </c>
      <c r="AC46" s="212">
        <f>VLOOKUP($E46,'7. PGE_Efficacité'!$A$6:$BT$266,(MATCH('4.6 ACE MAX CAN '!AC$4,'7. PGE_Efficacité'!$A$4:$BU$4,0)+31),0)</f>
        <v>0</v>
      </c>
      <c r="AD46" s="212">
        <f>VLOOKUP($E46,'7. PGE_Efficacité'!$A$6:$BT$266,(MATCH('4.6 ACE MAX CAN '!AD$4,'7. PGE_Efficacité'!$A$4:$BU$4,0)+31),0)</f>
        <v>0</v>
      </c>
      <c r="AE46" s="212">
        <f>VLOOKUP($E46,'7. PGE_Efficacité'!$A$6:$BT$266,(MATCH('4.6 ACE MAX CAN '!AE$4,'7. PGE_Efficacité'!$A$4:$BU$4,0)+31),0)</f>
        <v>0</v>
      </c>
      <c r="AF46" s="212">
        <f>VLOOKUP($E46,'7. PGE_Efficacité'!$A$6:$BT$266,(MATCH('4.6 ACE MAX CAN '!AF$4,'7. PGE_Efficacité'!$A$4:$BU$4,0)+31),0)</f>
        <v>0</v>
      </c>
      <c r="AG46" s="212">
        <f>VLOOKUP($E46,'7. PGE_Efficacité'!$A$6:$BT$266,(MATCH('4.6 ACE MAX CAN '!AG$4,'7. PGE_Efficacité'!$A$4:$BU$4,0)+31),0)</f>
        <v>0</v>
      </c>
      <c r="AH46" s="212">
        <f>VLOOKUP($E46,'7. PGE_Efficacité'!$A$6:$BT$266,(MATCH('4.6 ACE MAX CAN '!AH$4,'7. PGE_Efficacité'!$A$4:$BU$4,0)+31),0)</f>
        <v>0</v>
      </c>
      <c r="AI46" s="212">
        <f>VLOOKUP($E46,'7. PGE_Efficacité'!$A$6:$BT$266,(MATCH('4.6 ACE MAX CAN '!AI$4,'7. PGE_Efficacité'!$A$4:$BU$4,0)+31),0)</f>
        <v>0</v>
      </c>
      <c r="AJ46" s="212">
        <f>VLOOKUP($E46,'7. PGE_Efficacité'!$A$6:$BT$266,(MATCH('4.6 ACE MAX CAN '!AJ$4,'7. PGE_Efficacité'!$A$4:$BU$4,0)+31),0)</f>
        <v>0</v>
      </c>
      <c r="AK46" s="212">
        <f>VLOOKUP($E46,'7. PGE_Efficacité'!$A$6:$BT$266,(MATCH('4.6 ACE MAX CAN '!AK$4,'7. PGE_Efficacité'!$A$4:$BU$4,0)+31),0)</f>
        <v>0</v>
      </c>
      <c r="AL46" s="212">
        <f>VLOOKUP($E46,'7. PGE_Efficacité'!$A$6:$BT$266,(MATCH('4.6 ACE MAX CAN '!AL$4,'7. PGE_Efficacité'!$A$4:$BU$4,0)+31),0)</f>
        <v>0</v>
      </c>
      <c r="AM46" s="212">
        <f>VLOOKUP($E46,'7. PGE_Efficacité'!$A$6:$BT$266,(MATCH('4.6 ACE MAX CAN '!AM$4,'7. PGE_Efficacité'!$A$4:$BU$4,0)+31),0)</f>
        <v>0</v>
      </c>
      <c r="AN46" s="212">
        <f>VLOOKUP($E46,'7. PGE_Efficacité'!$A$6:$BT$266,(MATCH('4.6 ACE MAX CAN '!AN$4,'7. PGE_Efficacité'!$A$4:$BU$4,0)+31),0)</f>
        <v>0</v>
      </c>
    </row>
    <row r="47" spans="1:40" outlineLevel="2" x14ac:dyDescent="0.25">
      <c r="A47" t="s">
        <v>1524</v>
      </c>
      <c r="B47">
        <v>6</v>
      </c>
      <c r="C47" t="s">
        <v>1525</v>
      </c>
      <c r="D47" s="12" t="s">
        <v>5</v>
      </c>
      <c r="E47" s="12" t="s">
        <v>822</v>
      </c>
      <c r="F47" s="12" t="s">
        <v>1452</v>
      </c>
      <c r="G47" s="12" t="s">
        <v>1522</v>
      </c>
      <c r="H47" s="12" t="s">
        <v>414</v>
      </c>
      <c r="I47" s="148"/>
      <c r="J47" s="149">
        <f>VLOOKUP($E47,'7. PGE_Efficacité'!$A$6:$BT$266,(MATCH('4.6 ACE MAX CAN '!J$4,'7. PGE_Efficacité'!$A$4:$BU$4,0)+31),0)</f>
        <v>0</v>
      </c>
      <c r="K47" s="149">
        <f>VLOOKUP($E47,'7. PGE_Efficacité'!$A$6:$BT$266,(MATCH('4.6 ACE MAX CAN '!K$4,'7. PGE_Efficacité'!$A$4:$BU$4,0)+31),0)</f>
        <v>0</v>
      </c>
      <c r="L47" s="149">
        <f>VLOOKUP($E47,'7. PGE_Efficacité'!$A$6:$BT$266,(MATCH('4.6 ACE MAX CAN '!L$4,'7. PGE_Efficacité'!$A$4:$BU$4,0)+31),0)</f>
        <v>0</v>
      </c>
      <c r="M47" s="149">
        <f>VLOOKUP($E47,'7. PGE_Efficacité'!$A$6:$BT$266,(MATCH('4.6 ACE MAX CAN '!M$4,'7. PGE_Efficacité'!$A$4:$BU$4,0)+31),0)</f>
        <v>0</v>
      </c>
      <c r="N47" s="149">
        <f>VLOOKUP($E47,'7. PGE_Efficacité'!$A$6:$BT$266,(MATCH('4.6 ACE MAX CAN '!N$4,'7. PGE_Efficacité'!$A$4:$BU$4,0)+31),0)</f>
        <v>0</v>
      </c>
      <c r="O47" s="149" t="str">
        <f>VLOOKUP($D47,'7. PGE_Efficacité'!$A$6:$BT$268,47,0)</f>
        <v>++</v>
      </c>
      <c r="P47" s="149">
        <f>VLOOKUP($E47,'7. PGE_Efficacité'!$A$6:$BT$266,(MATCH('4.6 ACE MAX CAN '!P$4,'7. PGE_Efficacité'!$A$4:$BU$4,0)+31),0)</f>
        <v>0</v>
      </c>
      <c r="Q47" s="149">
        <f>VLOOKUP($E47,'7. PGE_Efficacité'!$A$6:$BT$266,(MATCH('4.6 ACE MAX CAN '!Q$4,'7. PGE_Efficacité'!$A$4:$BU$4,0)+31),0)</f>
        <v>0</v>
      </c>
      <c r="R47" s="149">
        <f>VLOOKUP($E47,'7. PGE_Efficacité'!$A$6:$BT$266,(MATCH('4.6 ACE MAX CAN '!R$4,'7. PGE_Efficacité'!$A$4:$BU$4,0)+31),0)</f>
        <v>0</v>
      </c>
      <c r="S47" s="149">
        <f>VLOOKUP($E47,'7. PGE_Efficacité'!$A$6:$BT$266,(MATCH('4.6 ACE MAX CAN '!S$4,'7. PGE_Efficacité'!$A$4:$BU$4,0)+31),0)</f>
        <v>0</v>
      </c>
      <c r="T47" s="149">
        <f>VLOOKUP($E47,'7. PGE_Efficacité'!$A$6:$BT$266,(MATCH('4.6 ACE MAX CAN '!T$4,'7. PGE_Efficacité'!$A$4:$BU$4,0)+31),0)</f>
        <v>0</v>
      </c>
      <c r="U47" s="149">
        <f>VLOOKUP($E47,'7. PGE_Efficacité'!$A$6:$BT$266,(MATCH('4.6 ACE MAX CAN '!U$4,'7. PGE_Efficacité'!$A$4:$BU$4,0)+31),0)</f>
        <v>0</v>
      </c>
      <c r="V47" s="149">
        <f>VLOOKUP($E47,'7. PGE_Efficacité'!$A$6:$BT$266,(MATCH('4.6 ACE MAX CAN '!V$4,'7. PGE_Efficacité'!$A$4:$BU$4,0)+31),0)</f>
        <v>0</v>
      </c>
      <c r="W47" s="149">
        <f>VLOOKUP($E47,'7. PGE_Efficacité'!$A$6:$BT$266,(MATCH('4.6 ACE MAX CAN '!W$4,'7. PGE_Efficacité'!$A$4:$BU$4,0)+31),0)</f>
        <v>0</v>
      </c>
      <c r="X47" s="149">
        <f>VLOOKUP($E47,'7. PGE_Efficacité'!$A$6:$BT$266,(MATCH('4.6 ACE MAX CAN '!X$4,'7. PGE_Efficacité'!$A$4:$BU$4,0)+31),0)</f>
        <v>0</v>
      </c>
      <c r="Y47" s="212">
        <f>VLOOKUP($E47,'7. PGE_Efficacité'!$A$6:$BT$266,(MATCH('4.6 ACE MAX CAN '!Y$4,'7. PGE_Efficacité'!$A$4:$BU$4,0)+31),0)</f>
        <v>0</v>
      </c>
      <c r="Z47" s="212">
        <f>VLOOKUP($E47,'7. PGE_Efficacité'!$A$6:$BT$266,(MATCH('4.6 ACE MAX CAN '!Z$4,'7. PGE_Efficacité'!$A$4:$BU$4,0)+31),0)</f>
        <v>0</v>
      </c>
      <c r="AA47" s="212">
        <f>VLOOKUP($E47,'7. PGE_Efficacité'!$A$6:$BT$266,(MATCH('4.6 ACE MAX CAN '!AA$4,'7. PGE_Efficacité'!$A$4:$BU$4,0)+31),0)</f>
        <v>0</v>
      </c>
      <c r="AB47" s="212">
        <f>VLOOKUP($E47,'7. PGE_Efficacité'!$A$6:$BT$266,(MATCH('4.6 ACE MAX CAN '!AB$4,'7. PGE_Efficacité'!$A$4:$BU$4,0)+31),0)</f>
        <v>0</v>
      </c>
      <c r="AC47" s="212">
        <f>VLOOKUP($E47,'7. PGE_Efficacité'!$A$6:$BT$266,(MATCH('4.6 ACE MAX CAN '!AC$4,'7. PGE_Efficacité'!$A$4:$BU$4,0)+31),0)</f>
        <v>0</v>
      </c>
      <c r="AD47" s="212">
        <f>VLOOKUP($E47,'7. PGE_Efficacité'!$A$6:$BT$266,(MATCH('4.6 ACE MAX CAN '!AD$4,'7. PGE_Efficacité'!$A$4:$BU$4,0)+31),0)</f>
        <v>0</v>
      </c>
      <c r="AE47" s="212">
        <f>VLOOKUP($E47,'7. PGE_Efficacité'!$A$6:$BT$266,(MATCH('4.6 ACE MAX CAN '!AE$4,'7. PGE_Efficacité'!$A$4:$BU$4,0)+31),0)</f>
        <v>0</v>
      </c>
      <c r="AF47" s="212">
        <f>VLOOKUP($E47,'7. PGE_Efficacité'!$A$6:$BT$266,(MATCH('4.6 ACE MAX CAN '!AF$4,'7. PGE_Efficacité'!$A$4:$BU$4,0)+31),0)</f>
        <v>0</v>
      </c>
      <c r="AG47" s="212">
        <f>VLOOKUP($E47,'7. PGE_Efficacité'!$A$6:$BT$266,(MATCH('4.6 ACE MAX CAN '!AG$4,'7. PGE_Efficacité'!$A$4:$BU$4,0)+31),0)</f>
        <v>0</v>
      </c>
      <c r="AH47" s="212">
        <f>VLOOKUP($E47,'7. PGE_Efficacité'!$A$6:$BT$266,(MATCH('4.6 ACE MAX CAN '!AH$4,'7. PGE_Efficacité'!$A$4:$BU$4,0)+31),0)</f>
        <v>0</v>
      </c>
      <c r="AI47" s="212">
        <f>VLOOKUP($E47,'7. PGE_Efficacité'!$A$6:$BT$266,(MATCH('4.6 ACE MAX CAN '!AI$4,'7. PGE_Efficacité'!$A$4:$BU$4,0)+31),0)</f>
        <v>0</v>
      </c>
      <c r="AJ47" s="212">
        <f>VLOOKUP($E47,'7. PGE_Efficacité'!$A$6:$BT$266,(MATCH('4.6 ACE MAX CAN '!AJ$4,'7. PGE_Efficacité'!$A$4:$BU$4,0)+31),0)</f>
        <v>0</v>
      </c>
      <c r="AK47" s="212">
        <f>VLOOKUP($E47,'7. PGE_Efficacité'!$A$6:$BT$266,(MATCH('4.6 ACE MAX CAN '!AK$4,'7. PGE_Efficacité'!$A$4:$BU$4,0)+31),0)</f>
        <v>0</v>
      </c>
      <c r="AL47" s="212">
        <f>VLOOKUP($E47,'7. PGE_Efficacité'!$A$6:$BT$266,(MATCH('4.6 ACE MAX CAN '!AL$4,'7. PGE_Efficacité'!$A$4:$BU$4,0)+31),0)</f>
        <v>0</v>
      </c>
      <c r="AM47" s="212">
        <f>VLOOKUP($E47,'7. PGE_Efficacité'!$A$6:$BT$266,(MATCH('4.6 ACE MAX CAN '!AM$4,'7. PGE_Efficacité'!$A$4:$BU$4,0)+31),0)</f>
        <v>0</v>
      </c>
      <c r="AN47" s="212">
        <f>VLOOKUP($E47,'7. PGE_Efficacité'!$A$6:$BT$266,(MATCH('4.6 ACE MAX CAN '!AN$4,'7. PGE_Efficacité'!$A$4:$BU$4,0)+31),0)</f>
        <v>0</v>
      </c>
    </row>
    <row r="48" spans="1:40" outlineLevel="2" x14ac:dyDescent="0.25">
      <c r="A48" t="s">
        <v>1524</v>
      </c>
      <c r="B48">
        <v>6</v>
      </c>
      <c r="C48" t="s">
        <v>1526</v>
      </c>
      <c r="D48" s="12" t="s">
        <v>5</v>
      </c>
      <c r="E48" s="12" t="s">
        <v>823</v>
      </c>
      <c r="F48" s="12" t="s">
        <v>1453</v>
      </c>
      <c r="G48" s="12" t="s">
        <v>1522</v>
      </c>
      <c r="H48" s="12" t="s">
        <v>1290</v>
      </c>
      <c r="I48" s="148"/>
      <c r="J48" s="149">
        <f>VLOOKUP($E48,'7. PGE_Efficacité'!$A$6:$BT$266,(MATCH('4.6 ACE MAX CAN '!J$4,'7. PGE_Efficacité'!$A$4:$BU$4,0)+31),0)</f>
        <v>0</v>
      </c>
      <c r="K48" s="149">
        <f>VLOOKUP($E48,'7. PGE_Efficacité'!$A$6:$BT$266,(MATCH('4.6 ACE MAX CAN '!K$4,'7. PGE_Efficacité'!$A$4:$BU$4,0)+31),0)</f>
        <v>0</v>
      </c>
      <c r="L48" s="149">
        <f>VLOOKUP($E48,'7. PGE_Efficacité'!$A$6:$BT$266,(MATCH('4.6 ACE MAX CAN '!L$4,'7. PGE_Efficacité'!$A$4:$BU$4,0)+31),0)</f>
        <v>0</v>
      </c>
      <c r="M48" s="149">
        <f>VLOOKUP($E48,'7. PGE_Efficacité'!$A$6:$BT$266,(MATCH('4.6 ACE MAX CAN '!M$4,'7. PGE_Efficacité'!$A$4:$BU$4,0)+31),0)</f>
        <v>0</v>
      </c>
      <c r="N48" s="149">
        <f>VLOOKUP($E48,'7. PGE_Efficacité'!$A$6:$BT$266,(MATCH('4.6 ACE MAX CAN '!N$4,'7. PGE_Efficacité'!$A$4:$BU$4,0)+31),0)</f>
        <v>0</v>
      </c>
      <c r="O48" s="149" t="str">
        <f>VLOOKUP($D48,'7. PGE_Efficacité'!$A$6:$BT$268,47,0)</f>
        <v>++</v>
      </c>
      <c r="P48" s="149">
        <f>VLOOKUP($E48,'7. PGE_Efficacité'!$A$6:$BT$266,(MATCH('4.6 ACE MAX CAN '!P$4,'7. PGE_Efficacité'!$A$4:$BU$4,0)+31),0)</f>
        <v>0</v>
      </c>
      <c r="Q48" s="149">
        <f>VLOOKUP($E48,'7. PGE_Efficacité'!$A$6:$BT$266,(MATCH('4.6 ACE MAX CAN '!Q$4,'7. PGE_Efficacité'!$A$4:$BU$4,0)+31),0)</f>
        <v>0</v>
      </c>
      <c r="R48" s="149">
        <f>VLOOKUP($E48,'7. PGE_Efficacité'!$A$6:$BT$266,(MATCH('4.6 ACE MAX CAN '!R$4,'7. PGE_Efficacité'!$A$4:$BU$4,0)+31),0)</f>
        <v>0</v>
      </c>
      <c r="S48" s="149">
        <f>VLOOKUP($E48,'7. PGE_Efficacité'!$A$6:$BT$266,(MATCH('4.6 ACE MAX CAN '!S$4,'7. PGE_Efficacité'!$A$4:$BU$4,0)+31),0)</f>
        <v>0</v>
      </c>
      <c r="T48" s="149">
        <f>VLOOKUP($E48,'7. PGE_Efficacité'!$A$6:$BT$266,(MATCH('4.6 ACE MAX CAN '!T$4,'7. PGE_Efficacité'!$A$4:$BU$4,0)+31),0)</f>
        <v>0</v>
      </c>
      <c r="U48" s="149">
        <f>VLOOKUP($E48,'7. PGE_Efficacité'!$A$6:$BT$266,(MATCH('4.6 ACE MAX CAN '!U$4,'7. PGE_Efficacité'!$A$4:$BU$4,0)+31),0)</f>
        <v>0</v>
      </c>
      <c r="V48" s="149">
        <f>VLOOKUP($E48,'7. PGE_Efficacité'!$A$6:$BT$266,(MATCH('4.6 ACE MAX CAN '!V$4,'7. PGE_Efficacité'!$A$4:$BU$4,0)+31),0)</f>
        <v>0</v>
      </c>
      <c r="W48" s="149">
        <f>VLOOKUP($E48,'7. PGE_Efficacité'!$A$6:$BT$266,(MATCH('4.6 ACE MAX CAN '!W$4,'7. PGE_Efficacité'!$A$4:$BU$4,0)+31),0)</f>
        <v>0</v>
      </c>
      <c r="X48" s="149">
        <f>VLOOKUP($E48,'7. PGE_Efficacité'!$A$6:$BT$266,(MATCH('4.6 ACE MAX CAN '!X$4,'7. PGE_Efficacité'!$A$4:$BU$4,0)+31),0)</f>
        <v>0</v>
      </c>
      <c r="Y48" s="212">
        <f>VLOOKUP($E48,'7. PGE_Efficacité'!$A$6:$BT$266,(MATCH('4.6 ACE MAX CAN '!Y$4,'7. PGE_Efficacité'!$A$4:$BU$4,0)+31),0)</f>
        <v>0</v>
      </c>
      <c r="Z48" s="212">
        <f>VLOOKUP($E48,'7. PGE_Efficacité'!$A$6:$BT$266,(MATCH('4.6 ACE MAX CAN '!Z$4,'7. PGE_Efficacité'!$A$4:$BU$4,0)+31),0)</f>
        <v>0</v>
      </c>
      <c r="AA48" s="212">
        <f>VLOOKUP($E48,'7. PGE_Efficacité'!$A$6:$BT$266,(MATCH('4.6 ACE MAX CAN '!AA$4,'7. PGE_Efficacité'!$A$4:$BU$4,0)+31),0)</f>
        <v>0</v>
      </c>
      <c r="AB48" s="212">
        <f>VLOOKUP($E48,'7. PGE_Efficacité'!$A$6:$BT$266,(MATCH('4.6 ACE MAX CAN '!AB$4,'7. PGE_Efficacité'!$A$4:$BU$4,0)+31),0)</f>
        <v>0</v>
      </c>
      <c r="AC48" s="212">
        <f>VLOOKUP($E48,'7. PGE_Efficacité'!$A$6:$BT$266,(MATCH('4.6 ACE MAX CAN '!AC$4,'7. PGE_Efficacité'!$A$4:$BU$4,0)+31),0)</f>
        <v>0</v>
      </c>
      <c r="AD48" s="212">
        <f>VLOOKUP($E48,'7. PGE_Efficacité'!$A$6:$BT$266,(MATCH('4.6 ACE MAX CAN '!AD$4,'7. PGE_Efficacité'!$A$4:$BU$4,0)+31),0)</f>
        <v>0</v>
      </c>
      <c r="AE48" s="212">
        <f>VLOOKUP($E48,'7. PGE_Efficacité'!$A$6:$BT$266,(MATCH('4.6 ACE MAX CAN '!AE$4,'7. PGE_Efficacité'!$A$4:$BU$4,0)+31),0)</f>
        <v>0</v>
      </c>
      <c r="AF48" s="212">
        <f>VLOOKUP($E48,'7. PGE_Efficacité'!$A$6:$BT$266,(MATCH('4.6 ACE MAX CAN '!AF$4,'7. PGE_Efficacité'!$A$4:$BU$4,0)+31),0)</f>
        <v>0</v>
      </c>
      <c r="AG48" s="212">
        <f>VLOOKUP($E48,'7. PGE_Efficacité'!$A$6:$BT$266,(MATCH('4.6 ACE MAX CAN '!AG$4,'7. PGE_Efficacité'!$A$4:$BU$4,0)+31),0)</f>
        <v>0</v>
      </c>
      <c r="AH48" s="212">
        <f>VLOOKUP($E48,'7. PGE_Efficacité'!$A$6:$BT$266,(MATCH('4.6 ACE MAX CAN '!AH$4,'7. PGE_Efficacité'!$A$4:$BU$4,0)+31),0)</f>
        <v>0</v>
      </c>
      <c r="AI48" s="212">
        <f>VLOOKUP($E48,'7. PGE_Efficacité'!$A$6:$BT$266,(MATCH('4.6 ACE MAX CAN '!AI$4,'7. PGE_Efficacité'!$A$4:$BU$4,0)+31),0)</f>
        <v>0</v>
      </c>
      <c r="AJ48" s="212">
        <f>VLOOKUP($E48,'7. PGE_Efficacité'!$A$6:$BT$266,(MATCH('4.6 ACE MAX CAN '!AJ$4,'7. PGE_Efficacité'!$A$4:$BU$4,0)+31),0)</f>
        <v>0</v>
      </c>
      <c r="AK48" s="212">
        <f>VLOOKUP($E48,'7. PGE_Efficacité'!$A$6:$BT$266,(MATCH('4.6 ACE MAX CAN '!AK$4,'7. PGE_Efficacité'!$A$4:$BU$4,0)+31),0)</f>
        <v>0</v>
      </c>
      <c r="AL48" s="212">
        <f>VLOOKUP($E48,'7. PGE_Efficacité'!$A$6:$BT$266,(MATCH('4.6 ACE MAX CAN '!AL$4,'7. PGE_Efficacité'!$A$4:$BU$4,0)+31),0)</f>
        <v>0</v>
      </c>
      <c r="AM48" s="212">
        <f>VLOOKUP($E48,'7. PGE_Efficacité'!$A$6:$BT$266,(MATCH('4.6 ACE MAX CAN '!AM$4,'7. PGE_Efficacité'!$A$4:$BU$4,0)+31),0)</f>
        <v>0</v>
      </c>
      <c r="AN48" s="212">
        <f>VLOOKUP($E48,'7. PGE_Efficacité'!$A$6:$BT$266,(MATCH('4.6 ACE MAX CAN '!AN$4,'7. PGE_Efficacité'!$A$4:$BU$4,0)+31),0)</f>
        <v>0</v>
      </c>
    </row>
    <row r="49" spans="1:40" outlineLevel="2" x14ac:dyDescent="0.25">
      <c r="A49" t="s">
        <v>1524</v>
      </c>
      <c r="B49">
        <v>6</v>
      </c>
      <c r="C49" t="s">
        <v>1527</v>
      </c>
      <c r="D49" s="12" t="s">
        <v>5</v>
      </c>
      <c r="E49" s="12" t="s">
        <v>824</v>
      </c>
      <c r="F49" s="12" t="s">
        <v>1454</v>
      </c>
      <c r="G49" s="12" t="s">
        <v>1522</v>
      </c>
      <c r="H49" s="12" t="s">
        <v>1290</v>
      </c>
      <c r="I49" s="148"/>
      <c r="J49" s="149">
        <f>VLOOKUP($E49,'7. PGE_Efficacité'!$A$6:$BT$266,(MATCH('4.6 ACE MAX CAN '!J$4,'7. PGE_Efficacité'!$A$4:$BU$4,0)+31),0)</f>
        <v>0</v>
      </c>
      <c r="K49" s="149">
        <f>VLOOKUP($E49,'7. PGE_Efficacité'!$A$6:$BT$266,(MATCH('4.6 ACE MAX CAN '!K$4,'7. PGE_Efficacité'!$A$4:$BU$4,0)+31),0)</f>
        <v>0</v>
      </c>
      <c r="L49" s="149">
        <f>VLOOKUP($E49,'7. PGE_Efficacité'!$A$6:$BT$266,(MATCH('4.6 ACE MAX CAN '!L$4,'7. PGE_Efficacité'!$A$4:$BU$4,0)+31),0)</f>
        <v>0</v>
      </c>
      <c r="M49" s="149">
        <f>VLOOKUP($E49,'7. PGE_Efficacité'!$A$6:$BT$266,(MATCH('4.6 ACE MAX CAN '!M$4,'7. PGE_Efficacité'!$A$4:$BU$4,0)+31),0)</f>
        <v>0</v>
      </c>
      <c r="N49" s="149">
        <f>VLOOKUP($E49,'7. PGE_Efficacité'!$A$6:$BT$266,(MATCH('4.6 ACE MAX CAN '!N$4,'7. PGE_Efficacité'!$A$4:$BU$4,0)+31),0)</f>
        <v>0</v>
      </c>
      <c r="O49" s="149" t="str">
        <f>VLOOKUP($D49,'7. PGE_Efficacité'!$A$6:$BT$268,47,0)</f>
        <v>++</v>
      </c>
      <c r="P49" s="149">
        <f>VLOOKUP($E49,'7. PGE_Efficacité'!$A$6:$BT$266,(MATCH('4.6 ACE MAX CAN '!P$4,'7. PGE_Efficacité'!$A$4:$BU$4,0)+31),0)</f>
        <v>0</v>
      </c>
      <c r="Q49" s="149">
        <f>VLOOKUP($E49,'7. PGE_Efficacité'!$A$6:$BT$266,(MATCH('4.6 ACE MAX CAN '!Q$4,'7. PGE_Efficacité'!$A$4:$BU$4,0)+31),0)</f>
        <v>0</v>
      </c>
      <c r="R49" s="149">
        <f>VLOOKUP($E49,'7. PGE_Efficacité'!$A$6:$BT$266,(MATCH('4.6 ACE MAX CAN '!R$4,'7. PGE_Efficacité'!$A$4:$BU$4,0)+31),0)</f>
        <v>0</v>
      </c>
      <c r="S49" s="149">
        <f>VLOOKUP($E49,'7. PGE_Efficacité'!$A$6:$BT$266,(MATCH('4.6 ACE MAX CAN '!S$4,'7. PGE_Efficacité'!$A$4:$BU$4,0)+31),0)</f>
        <v>0</v>
      </c>
      <c r="T49" s="149">
        <f>VLOOKUP($E49,'7. PGE_Efficacité'!$A$6:$BT$266,(MATCH('4.6 ACE MAX CAN '!T$4,'7. PGE_Efficacité'!$A$4:$BU$4,0)+31),0)</f>
        <v>0</v>
      </c>
      <c r="U49" s="149">
        <f>VLOOKUP($E49,'7. PGE_Efficacité'!$A$6:$BT$266,(MATCH('4.6 ACE MAX CAN '!U$4,'7. PGE_Efficacité'!$A$4:$BU$4,0)+31),0)</f>
        <v>0</v>
      </c>
      <c r="V49" s="149">
        <f>VLOOKUP($E49,'7. PGE_Efficacité'!$A$6:$BT$266,(MATCH('4.6 ACE MAX CAN '!V$4,'7. PGE_Efficacité'!$A$4:$BU$4,0)+31),0)</f>
        <v>0</v>
      </c>
      <c r="W49" s="149">
        <f>VLOOKUP($E49,'7. PGE_Efficacité'!$A$6:$BT$266,(MATCH('4.6 ACE MAX CAN '!W$4,'7. PGE_Efficacité'!$A$4:$BU$4,0)+31),0)</f>
        <v>0</v>
      </c>
      <c r="X49" s="149">
        <f>VLOOKUP($E49,'7. PGE_Efficacité'!$A$6:$BT$266,(MATCH('4.6 ACE MAX CAN '!X$4,'7. PGE_Efficacité'!$A$4:$BU$4,0)+31),0)</f>
        <v>0</v>
      </c>
      <c r="Y49" s="212">
        <f>VLOOKUP($E49,'7. PGE_Efficacité'!$A$6:$BT$266,(MATCH('4.6 ACE MAX CAN '!Y$4,'7. PGE_Efficacité'!$A$4:$BU$4,0)+31),0)</f>
        <v>0</v>
      </c>
      <c r="Z49" s="212">
        <f>VLOOKUP($E49,'7. PGE_Efficacité'!$A$6:$BT$266,(MATCH('4.6 ACE MAX CAN '!Z$4,'7. PGE_Efficacité'!$A$4:$BU$4,0)+31),0)</f>
        <v>0</v>
      </c>
      <c r="AA49" s="212">
        <f>VLOOKUP($E49,'7. PGE_Efficacité'!$A$6:$BT$266,(MATCH('4.6 ACE MAX CAN '!AA$4,'7. PGE_Efficacité'!$A$4:$BU$4,0)+31),0)</f>
        <v>0</v>
      </c>
      <c r="AB49" s="212">
        <f>VLOOKUP($E49,'7. PGE_Efficacité'!$A$6:$BT$266,(MATCH('4.6 ACE MAX CAN '!AB$4,'7. PGE_Efficacité'!$A$4:$BU$4,0)+31),0)</f>
        <v>0</v>
      </c>
      <c r="AC49" s="212">
        <f>VLOOKUP($E49,'7. PGE_Efficacité'!$A$6:$BT$266,(MATCH('4.6 ACE MAX CAN '!AC$4,'7. PGE_Efficacité'!$A$4:$BU$4,0)+31),0)</f>
        <v>0</v>
      </c>
      <c r="AD49" s="212">
        <f>VLOOKUP($E49,'7. PGE_Efficacité'!$A$6:$BT$266,(MATCH('4.6 ACE MAX CAN '!AD$4,'7. PGE_Efficacité'!$A$4:$BU$4,0)+31),0)</f>
        <v>0</v>
      </c>
      <c r="AE49" s="212">
        <f>VLOOKUP($E49,'7. PGE_Efficacité'!$A$6:$BT$266,(MATCH('4.6 ACE MAX CAN '!AE$4,'7. PGE_Efficacité'!$A$4:$BU$4,0)+31),0)</f>
        <v>0</v>
      </c>
      <c r="AF49" s="212">
        <f>VLOOKUP($E49,'7. PGE_Efficacité'!$A$6:$BT$266,(MATCH('4.6 ACE MAX CAN '!AF$4,'7. PGE_Efficacité'!$A$4:$BU$4,0)+31),0)</f>
        <v>0</v>
      </c>
      <c r="AG49" s="212">
        <f>VLOOKUP($E49,'7. PGE_Efficacité'!$A$6:$BT$266,(MATCH('4.6 ACE MAX CAN '!AG$4,'7. PGE_Efficacité'!$A$4:$BU$4,0)+31),0)</f>
        <v>0</v>
      </c>
      <c r="AH49" s="212">
        <f>VLOOKUP($E49,'7. PGE_Efficacité'!$A$6:$BT$266,(MATCH('4.6 ACE MAX CAN '!AH$4,'7. PGE_Efficacité'!$A$4:$BU$4,0)+31),0)</f>
        <v>0</v>
      </c>
      <c r="AI49" s="212">
        <f>VLOOKUP($E49,'7. PGE_Efficacité'!$A$6:$BT$266,(MATCH('4.6 ACE MAX CAN '!AI$4,'7. PGE_Efficacité'!$A$4:$BU$4,0)+31),0)</f>
        <v>0</v>
      </c>
      <c r="AJ49" s="212">
        <f>VLOOKUP($E49,'7. PGE_Efficacité'!$A$6:$BT$266,(MATCH('4.6 ACE MAX CAN '!AJ$4,'7. PGE_Efficacité'!$A$4:$BU$4,0)+31),0)</f>
        <v>0</v>
      </c>
      <c r="AK49" s="212">
        <f>VLOOKUP($E49,'7. PGE_Efficacité'!$A$6:$BT$266,(MATCH('4.6 ACE MAX CAN '!AK$4,'7. PGE_Efficacité'!$A$4:$BU$4,0)+31),0)</f>
        <v>0</v>
      </c>
      <c r="AL49" s="212">
        <f>VLOOKUP($E49,'7. PGE_Efficacité'!$A$6:$BT$266,(MATCH('4.6 ACE MAX CAN '!AL$4,'7. PGE_Efficacité'!$A$4:$BU$4,0)+31),0)</f>
        <v>0</v>
      </c>
      <c r="AM49" s="212">
        <f>VLOOKUP($E49,'7. PGE_Efficacité'!$A$6:$BT$266,(MATCH('4.6 ACE MAX CAN '!AM$4,'7. PGE_Efficacité'!$A$4:$BU$4,0)+31),0)</f>
        <v>0</v>
      </c>
      <c r="AN49" s="212">
        <f>VLOOKUP($E49,'7. PGE_Efficacité'!$A$6:$BT$266,(MATCH('4.6 ACE MAX CAN '!AN$4,'7. PGE_Efficacité'!$A$4:$BU$4,0)+31),0)</f>
        <v>0</v>
      </c>
    </row>
    <row r="50" spans="1:40" outlineLevel="2" x14ac:dyDescent="0.25">
      <c r="A50" t="s">
        <v>1524</v>
      </c>
      <c r="B50">
        <v>6</v>
      </c>
      <c r="C50" t="s">
        <v>410</v>
      </c>
      <c r="D50" s="12" t="s">
        <v>5</v>
      </c>
      <c r="E50" s="12" t="s">
        <v>825</v>
      </c>
      <c r="F50" s="12" t="s">
        <v>1455</v>
      </c>
      <c r="G50" s="12" t="s">
        <v>1522</v>
      </c>
      <c r="H50" s="12" t="s">
        <v>1287</v>
      </c>
      <c r="I50" s="148"/>
      <c r="J50" s="149">
        <f>VLOOKUP($E50,'7. PGE_Efficacité'!$A$6:$BT$266,(MATCH('4.6 ACE MAX CAN '!J$4,'7. PGE_Efficacité'!$A$4:$BU$4,0)+31),0)</f>
        <v>0</v>
      </c>
      <c r="K50" s="149">
        <f>VLOOKUP($E50,'7. PGE_Efficacité'!$A$6:$BT$266,(MATCH('4.6 ACE MAX CAN '!K$4,'7. PGE_Efficacité'!$A$4:$BU$4,0)+31),0)</f>
        <v>0</v>
      </c>
      <c r="L50" s="149">
        <f>VLOOKUP($E50,'7. PGE_Efficacité'!$A$6:$BT$266,(MATCH('4.6 ACE MAX CAN '!L$4,'7. PGE_Efficacité'!$A$4:$BU$4,0)+31),0)</f>
        <v>0</v>
      </c>
      <c r="M50" s="149">
        <f>VLOOKUP($E50,'7. PGE_Efficacité'!$A$6:$BT$266,(MATCH('4.6 ACE MAX CAN '!M$4,'7. PGE_Efficacité'!$A$4:$BU$4,0)+31),0)</f>
        <v>0</v>
      </c>
      <c r="N50" s="149">
        <f>VLOOKUP($E50,'7. PGE_Efficacité'!$A$6:$BT$266,(MATCH('4.6 ACE MAX CAN '!N$4,'7. PGE_Efficacité'!$A$4:$BU$4,0)+31),0)</f>
        <v>0</v>
      </c>
      <c r="O50" s="149" t="str">
        <f>VLOOKUP($D50,'7. PGE_Efficacité'!$A$6:$BT$268,47,0)</f>
        <v>++</v>
      </c>
      <c r="P50" s="149">
        <f>VLOOKUP($E50,'7. PGE_Efficacité'!$A$6:$BT$266,(MATCH('4.6 ACE MAX CAN '!P$4,'7. PGE_Efficacité'!$A$4:$BU$4,0)+31),0)</f>
        <v>0</v>
      </c>
      <c r="Q50" s="149">
        <f>VLOOKUP($E50,'7. PGE_Efficacité'!$A$6:$BT$266,(MATCH('4.6 ACE MAX CAN '!Q$4,'7. PGE_Efficacité'!$A$4:$BU$4,0)+31),0)</f>
        <v>0</v>
      </c>
      <c r="R50" s="149">
        <f>VLOOKUP($E50,'7. PGE_Efficacité'!$A$6:$BT$266,(MATCH('4.6 ACE MAX CAN '!R$4,'7. PGE_Efficacité'!$A$4:$BU$4,0)+31),0)</f>
        <v>0</v>
      </c>
      <c r="S50" s="149">
        <f>VLOOKUP($E50,'7. PGE_Efficacité'!$A$6:$BT$266,(MATCH('4.6 ACE MAX CAN '!S$4,'7. PGE_Efficacité'!$A$4:$BU$4,0)+31),0)</f>
        <v>0</v>
      </c>
      <c r="T50" s="149">
        <f>VLOOKUP($E50,'7. PGE_Efficacité'!$A$6:$BT$266,(MATCH('4.6 ACE MAX CAN '!T$4,'7. PGE_Efficacité'!$A$4:$BU$4,0)+31),0)</f>
        <v>0</v>
      </c>
      <c r="U50" s="149">
        <f>VLOOKUP($E50,'7. PGE_Efficacité'!$A$6:$BT$266,(MATCH('4.6 ACE MAX CAN '!U$4,'7. PGE_Efficacité'!$A$4:$BU$4,0)+31),0)</f>
        <v>0</v>
      </c>
      <c r="V50" s="149">
        <f>VLOOKUP($E50,'7. PGE_Efficacité'!$A$6:$BT$266,(MATCH('4.6 ACE MAX CAN '!V$4,'7. PGE_Efficacité'!$A$4:$BU$4,0)+31),0)</f>
        <v>0</v>
      </c>
      <c r="W50" s="149">
        <f>VLOOKUP($E50,'7. PGE_Efficacité'!$A$6:$BT$266,(MATCH('4.6 ACE MAX CAN '!W$4,'7. PGE_Efficacité'!$A$4:$BU$4,0)+31),0)</f>
        <v>0</v>
      </c>
      <c r="X50" s="149">
        <f>VLOOKUP($E50,'7. PGE_Efficacité'!$A$6:$BT$266,(MATCH('4.6 ACE MAX CAN '!X$4,'7. PGE_Efficacité'!$A$4:$BU$4,0)+31),0)</f>
        <v>0</v>
      </c>
      <c r="Y50" s="212">
        <f>VLOOKUP($E50,'7. PGE_Efficacité'!$A$6:$BT$266,(MATCH('4.6 ACE MAX CAN '!Y$4,'7. PGE_Efficacité'!$A$4:$BU$4,0)+31),0)</f>
        <v>0</v>
      </c>
      <c r="Z50" s="212">
        <f>VLOOKUP($E50,'7. PGE_Efficacité'!$A$6:$BT$266,(MATCH('4.6 ACE MAX CAN '!Z$4,'7. PGE_Efficacité'!$A$4:$BU$4,0)+31),0)</f>
        <v>0</v>
      </c>
      <c r="AA50" s="212">
        <f>VLOOKUP($E50,'7. PGE_Efficacité'!$A$6:$BT$266,(MATCH('4.6 ACE MAX CAN '!AA$4,'7. PGE_Efficacité'!$A$4:$BU$4,0)+31),0)</f>
        <v>0</v>
      </c>
      <c r="AB50" s="212">
        <f>VLOOKUP($E50,'7. PGE_Efficacité'!$A$6:$BT$266,(MATCH('4.6 ACE MAX CAN '!AB$4,'7. PGE_Efficacité'!$A$4:$BU$4,0)+31),0)</f>
        <v>0</v>
      </c>
      <c r="AC50" s="212">
        <f>VLOOKUP($E50,'7. PGE_Efficacité'!$A$6:$BT$266,(MATCH('4.6 ACE MAX CAN '!AC$4,'7. PGE_Efficacité'!$A$4:$BU$4,0)+31),0)</f>
        <v>0</v>
      </c>
      <c r="AD50" s="212">
        <f>VLOOKUP($E50,'7. PGE_Efficacité'!$A$6:$BT$266,(MATCH('4.6 ACE MAX CAN '!AD$4,'7. PGE_Efficacité'!$A$4:$BU$4,0)+31),0)</f>
        <v>0</v>
      </c>
      <c r="AE50" s="212">
        <f>VLOOKUP($E50,'7. PGE_Efficacité'!$A$6:$BT$266,(MATCH('4.6 ACE MAX CAN '!AE$4,'7. PGE_Efficacité'!$A$4:$BU$4,0)+31),0)</f>
        <v>0</v>
      </c>
      <c r="AF50" s="212">
        <f>VLOOKUP($E50,'7. PGE_Efficacité'!$A$6:$BT$266,(MATCH('4.6 ACE MAX CAN '!AF$4,'7. PGE_Efficacité'!$A$4:$BU$4,0)+31),0)</f>
        <v>0</v>
      </c>
      <c r="AG50" s="212">
        <f>VLOOKUP($E50,'7. PGE_Efficacité'!$A$6:$BT$266,(MATCH('4.6 ACE MAX CAN '!AG$4,'7. PGE_Efficacité'!$A$4:$BU$4,0)+31),0)</f>
        <v>0</v>
      </c>
      <c r="AH50" s="212">
        <f>VLOOKUP($E50,'7. PGE_Efficacité'!$A$6:$BT$266,(MATCH('4.6 ACE MAX CAN '!AH$4,'7. PGE_Efficacité'!$A$4:$BU$4,0)+31),0)</f>
        <v>0</v>
      </c>
      <c r="AI50" s="212">
        <f>VLOOKUP($E50,'7. PGE_Efficacité'!$A$6:$BT$266,(MATCH('4.6 ACE MAX CAN '!AI$4,'7. PGE_Efficacité'!$A$4:$BU$4,0)+31),0)</f>
        <v>0</v>
      </c>
      <c r="AJ50" s="212">
        <f>VLOOKUP($E50,'7. PGE_Efficacité'!$A$6:$BT$266,(MATCH('4.6 ACE MAX CAN '!AJ$4,'7. PGE_Efficacité'!$A$4:$BU$4,0)+31),0)</f>
        <v>0</v>
      </c>
      <c r="AK50" s="212">
        <f>VLOOKUP($E50,'7. PGE_Efficacité'!$A$6:$BT$266,(MATCH('4.6 ACE MAX CAN '!AK$4,'7. PGE_Efficacité'!$A$4:$BU$4,0)+31),0)</f>
        <v>0</v>
      </c>
      <c r="AL50" s="212">
        <f>VLOOKUP($E50,'7. PGE_Efficacité'!$A$6:$BT$266,(MATCH('4.6 ACE MAX CAN '!AL$4,'7. PGE_Efficacité'!$A$4:$BU$4,0)+31),0)</f>
        <v>0</v>
      </c>
      <c r="AM50" s="212">
        <f>VLOOKUP($E50,'7. PGE_Efficacité'!$A$6:$BT$266,(MATCH('4.6 ACE MAX CAN '!AM$4,'7. PGE_Efficacité'!$A$4:$BU$4,0)+31),0)</f>
        <v>0</v>
      </c>
      <c r="AN50" s="212">
        <f>VLOOKUP($E50,'7. PGE_Efficacité'!$A$6:$BT$266,(MATCH('4.6 ACE MAX CAN '!AN$4,'7. PGE_Efficacité'!$A$4:$BU$4,0)+31),0)</f>
        <v>0</v>
      </c>
    </row>
    <row r="51" spans="1:40" outlineLevel="2" x14ac:dyDescent="0.25">
      <c r="A51" t="s">
        <v>1524</v>
      </c>
      <c r="B51">
        <v>6</v>
      </c>
      <c r="C51" t="s">
        <v>1528</v>
      </c>
      <c r="D51" s="12" t="s">
        <v>5</v>
      </c>
      <c r="E51" s="12" t="s">
        <v>826</v>
      </c>
      <c r="F51" s="12" t="s">
        <v>1456</v>
      </c>
      <c r="G51" s="12" t="s">
        <v>1522</v>
      </c>
      <c r="H51" s="12" t="s">
        <v>1290</v>
      </c>
      <c r="I51" s="148"/>
      <c r="J51" s="149">
        <f>VLOOKUP($E51,'7. PGE_Efficacité'!$A$6:$BT$266,(MATCH('4.6 ACE MAX CAN '!J$4,'7. PGE_Efficacité'!$A$4:$BU$4,0)+31),0)</f>
        <v>0</v>
      </c>
      <c r="K51" s="149">
        <f>VLOOKUP($E51,'7. PGE_Efficacité'!$A$6:$BT$266,(MATCH('4.6 ACE MAX CAN '!K$4,'7. PGE_Efficacité'!$A$4:$BU$4,0)+31),0)</f>
        <v>0</v>
      </c>
      <c r="L51" s="149">
        <f>VLOOKUP($E51,'7. PGE_Efficacité'!$A$6:$BT$266,(MATCH('4.6 ACE MAX CAN '!L$4,'7. PGE_Efficacité'!$A$4:$BU$4,0)+31),0)</f>
        <v>0</v>
      </c>
      <c r="M51" s="149">
        <f>VLOOKUP($E51,'7. PGE_Efficacité'!$A$6:$BT$266,(MATCH('4.6 ACE MAX CAN '!M$4,'7. PGE_Efficacité'!$A$4:$BU$4,0)+31),0)</f>
        <v>0</v>
      </c>
      <c r="N51" s="149">
        <f>VLOOKUP($E51,'7. PGE_Efficacité'!$A$6:$BT$266,(MATCH('4.6 ACE MAX CAN '!N$4,'7. PGE_Efficacité'!$A$4:$BU$4,0)+31),0)</f>
        <v>0</v>
      </c>
      <c r="O51" s="149" t="str">
        <f>VLOOKUP($D51,'7. PGE_Efficacité'!$A$6:$BT$268,47,0)</f>
        <v>++</v>
      </c>
      <c r="P51" s="149">
        <f>VLOOKUP($E51,'7. PGE_Efficacité'!$A$6:$BT$266,(MATCH('4.6 ACE MAX CAN '!P$4,'7. PGE_Efficacité'!$A$4:$BU$4,0)+31),0)</f>
        <v>0</v>
      </c>
      <c r="Q51" s="149">
        <f>VLOOKUP($E51,'7. PGE_Efficacité'!$A$6:$BT$266,(MATCH('4.6 ACE MAX CAN '!Q$4,'7. PGE_Efficacité'!$A$4:$BU$4,0)+31),0)</f>
        <v>0</v>
      </c>
      <c r="R51" s="149">
        <f>VLOOKUP($E51,'7. PGE_Efficacité'!$A$6:$BT$266,(MATCH('4.6 ACE MAX CAN '!R$4,'7. PGE_Efficacité'!$A$4:$BU$4,0)+31),0)</f>
        <v>0</v>
      </c>
      <c r="S51" s="149">
        <f>VLOOKUP($E51,'7. PGE_Efficacité'!$A$6:$BT$266,(MATCH('4.6 ACE MAX CAN '!S$4,'7. PGE_Efficacité'!$A$4:$BU$4,0)+31),0)</f>
        <v>0</v>
      </c>
      <c r="T51" s="149">
        <f>VLOOKUP($E51,'7. PGE_Efficacité'!$A$6:$BT$266,(MATCH('4.6 ACE MAX CAN '!T$4,'7. PGE_Efficacité'!$A$4:$BU$4,0)+31),0)</f>
        <v>0</v>
      </c>
      <c r="U51" s="149">
        <f>VLOOKUP($E51,'7. PGE_Efficacité'!$A$6:$BT$266,(MATCH('4.6 ACE MAX CAN '!U$4,'7. PGE_Efficacité'!$A$4:$BU$4,0)+31),0)</f>
        <v>0</v>
      </c>
      <c r="V51" s="149">
        <f>VLOOKUP($E51,'7. PGE_Efficacité'!$A$6:$BT$266,(MATCH('4.6 ACE MAX CAN '!V$4,'7. PGE_Efficacité'!$A$4:$BU$4,0)+31),0)</f>
        <v>0</v>
      </c>
      <c r="W51" s="149">
        <f>VLOOKUP($E51,'7. PGE_Efficacité'!$A$6:$BT$266,(MATCH('4.6 ACE MAX CAN '!W$4,'7. PGE_Efficacité'!$A$4:$BU$4,0)+31),0)</f>
        <v>0</v>
      </c>
      <c r="X51" s="149">
        <f>VLOOKUP($E51,'7. PGE_Efficacité'!$A$6:$BT$266,(MATCH('4.6 ACE MAX CAN '!X$4,'7. PGE_Efficacité'!$A$4:$BU$4,0)+31),0)</f>
        <v>0</v>
      </c>
      <c r="Y51" s="212">
        <f>VLOOKUP($E51,'7. PGE_Efficacité'!$A$6:$BT$266,(MATCH('4.6 ACE MAX CAN '!Y$4,'7. PGE_Efficacité'!$A$4:$BU$4,0)+31),0)</f>
        <v>0</v>
      </c>
      <c r="Z51" s="212">
        <f>VLOOKUP($E51,'7. PGE_Efficacité'!$A$6:$BT$266,(MATCH('4.6 ACE MAX CAN '!Z$4,'7. PGE_Efficacité'!$A$4:$BU$4,0)+31),0)</f>
        <v>0</v>
      </c>
      <c r="AA51" s="212">
        <f>VLOOKUP($E51,'7. PGE_Efficacité'!$A$6:$BT$266,(MATCH('4.6 ACE MAX CAN '!AA$4,'7. PGE_Efficacité'!$A$4:$BU$4,0)+31),0)</f>
        <v>0</v>
      </c>
      <c r="AB51" s="212">
        <f>VLOOKUP($E51,'7. PGE_Efficacité'!$A$6:$BT$266,(MATCH('4.6 ACE MAX CAN '!AB$4,'7. PGE_Efficacité'!$A$4:$BU$4,0)+31),0)</f>
        <v>0</v>
      </c>
      <c r="AC51" s="212">
        <f>VLOOKUP($E51,'7. PGE_Efficacité'!$A$6:$BT$266,(MATCH('4.6 ACE MAX CAN '!AC$4,'7. PGE_Efficacité'!$A$4:$BU$4,0)+31),0)</f>
        <v>0</v>
      </c>
      <c r="AD51" s="212">
        <f>VLOOKUP($E51,'7. PGE_Efficacité'!$A$6:$BT$266,(MATCH('4.6 ACE MAX CAN '!AD$4,'7. PGE_Efficacité'!$A$4:$BU$4,0)+31),0)</f>
        <v>0</v>
      </c>
      <c r="AE51" s="212">
        <f>VLOOKUP($E51,'7. PGE_Efficacité'!$A$6:$BT$266,(MATCH('4.6 ACE MAX CAN '!AE$4,'7. PGE_Efficacité'!$A$4:$BU$4,0)+31),0)</f>
        <v>0</v>
      </c>
      <c r="AF51" s="212">
        <f>VLOOKUP($E51,'7. PGE_Efficacité'!$A$6:$BT$266,(MATCH('4.6 ACE MAX CAN '!AF$4,'7. PGE_Efficacité'!$A$4:$BU$4,0)+31),0)</f>
        <v>0</v>
      </c>
      <c r="AG51" s="212">
        <f>VLOOKUP($E51,'7. PGE_Efficacité'!$A$6:$BT$266,(MATCH('4.6 ACE MAX CAN '!AG$4,'7. PGE_Efficacité'!$A$4:$BU$4,0)+31),0)</f>
        <v>0</v>
      </c>
      <c r="AH51" s="212">
        <f>VLOOKUP($E51,'7. PGE_Efficacité'!$A$6:$BT$266,(MATCH('4.6 ACE MAX CAN '!AH$4,'7. PGE_Efficacité'!$A$4:$BU$4,0)+31),0)</f>
        <v>0</v>
      </c>
      <c r="AI51" s="212">
        <f>VLOOKUP($E51,'7. PGE_Efficacité'!$A$6:$BT$266,(MATCH('4.6 ACE MAX CAN '!AI$4,'7. PGE_Efficacité'!$A$4:$BU$4,0)+31),0)</f>
        <v>0</v>
      </c>
      <c r="AJ51" s="212">
        <f>VLOOKUP($E51,'7. PGE_Efficacité'!$A$6:$BT$266,(MATCH('4.6 ACE MAX CAN '!AJ$4,'7. PGE_Efficacité'!$A$4:$BU$4,0)+31),0)</f>
        <v>0</v>
      </c>
      <c r="AK51" s="212">
        <f>VLOOKUP($E51,'7. PGE_Efficacité'!$A$6:$BT$266,(MATCH('4.6 ACE MAX CAN '!AK$4,'7. PGE_Efficacité'!$A$4:$BU$4,0)+31),0)</f>
        <v>0</v>
      </c>
      <c r="AL51" s="212">
        <f>VLOOKUP($E51,'7. PGE_Efficacité'!$A$6:$BT$266,(MATCH('4.6 ACE MAX CAN '!AL$4,'7. PGE_Efficacité'!$A$4:$BU$4,0)+31),0)</f>
        <v>0</v>
      </c>
      <c r="AM51" s="212">
        <f>VLOOKUP($E51,'7. PGE_Efficacité'!$A$6:$BT$266,(MATCH('4.6 ACE MAX CAN '!AM$4,'7. PGE_Efficacité'!$A$4:$BU$4,0)+31),0)</f>
        <v>0</v>
      </c>
      <c r="AN51" s="212">
        <f>VLOOKUP($E51,'7. PGE_Efficacité'!$A$6:$BT$266,(MATCH('4.6 ACE MAX CAN '!AN$4,'7. PGE_Efficacité'!$A$4:$BU$4,0)+31),0)</f>
        <v>0</v>
      </c>
    </row>
    <row r="52" spans="1:40" outlineLevel="2" x14ac:dyDescent="0.25">
      <c r="A52" t="s">
        <v>1524</v>
      </c>
      <c r="B52">
        <v>6</v>
      </c>
      <c r="C52" t="s">
        <v>1529</v>
      </c>
      <c r="D52" s="12" t="s">
        <v>5</v>
      </c>
      <c r="E52" s="12" t="s">
        <v>827</v>
      </c>
      <c r="F52" s="12" t="s">
        <v>1457</v>
      </c>
      <c r="G52" s="12" t="s">
        <v>1522</v>
      </c>
      <c r="H52" s="12" t="s">
        <v>1290</v>
      </c>
      <c r="I52" s="148"/>
      <c r="J52" s="149">
        <f>VLOOKUP($E52,'7. PGE_Efficacité'!$A$6:$BT$266,(MATCH('4.6 ACE MAX CAN '!J$4,'7. PGE_Efficacité'!$A$4:$BU$4,0)+31),0)</f>
        <v>0</v>
      </c>
      <c r="K52" s="149">
        <f>VLOOKUP($E52,'7. PGE_Efficacité'!$A$6:$BT$266,(MATCH('4.6 ACE MAX CAN '!K$4,'7. PGE_Efficacité'!$A$4:$BU$4,0)+31),0)</f>
        <v>0</v>
      </c>
      <c r="L52" s="149">
        <f>VLOOKUP($E52,'7. PGE_Efficacité'!$A$6:$BT$266,(MATCH('4.6 ACE MAX CAN '!L$4,'7. PGE_Efficacité'!$A$4:$BU$4,0)+31),0)</f>
        <v>0</v>
      </c>
      <c r="M52" s="149">
        <f>VLOOKUP($E52,'7. PGE_Efficacité'!$A$6:$BT$266,(MATCH('4.6 ACE MAX CAN '!M$4,'7. PGE_Efficacité'!$A$4:$BU$4,0)+31),0)</f>
        <v>0</v>
      </c>
      <c r="N52" s="149">
        <f>VLOOKUP($E52,'7. PGE_Efficacité'!$A$6:$BT$266,(MATCH('4.6 ACE MAX CAN '!N$4,'7. PGE_Efficacité'!$A$4:$BU$4,0)+31),0)</f>
        <v>0</v>
      </c>
      <c r="O52" s="149" t="str">
        <f>VLOOKUP($D52,'7. PGE_Efficacité'!$A$6:$BT$268,47,0)</f>
        <v>++</v>
      </c>
      <c r="P52" s="149">
        <f>VLOOKUP($E52,'7. PGE_Efficacité'!$A$6:$BT$266,(MATCH('4.6 ACE MAX CAN '!P$4,'7. PGE_Efficacité'!$A$4:$BU$4,0)+31),0)</f>
        <v>0</v>
      </c>
      <c r="Q52" s="149">
        <f>VLOOKUP($E52,'7. PGE_Efficacité'!$A$6:$BT$266,(MATCH('4.6 ACE MAX CAN '!Q$4,'7. PGE_Efficacité'!$A$4:$BU$4,0)+31),0)</f>
        <v>0</v>
      </c>
      <c r="R52" s="149">
        <f>VLOOKUP($E52,'7. PGE_Efficacité'!$A$6:$BT$266,(MATCH('4.6 ACE MAX CAN '!R$4,'7. PGE_Efficacité'!$A$4:$BU$4,0)+31),0)</f>
        <v>0</v>
      </c>
      <c r="S52" s="149">
        <f>VLOOKUP($E52,'7. PGE_Efficacité'!$A$6:$BT$266,(MATCH('4.6 ACE MAX CAN '!S$4,'7. PGE_Efficacité'!$A$4:$BU$4,0)+31),0)</f>
        <v>0</v>
      </c>
      <c r="T52" s="149">
        <f>VLOOKUP($E52,'7. PGE_Efficacité'!$A$6:$BT$266,(MATCH('4.6 ACE MAX CAN '!T$4,'7. PGE_Efficacité'!$A$4:$BU$4,0)+31),0)</f>
        <v>0</v>
      </c>
      <c r="U52" s="149">
        <f>VLOOKUP($E52,'7. PGE_Efficacité'!$A$6:$BT$266,(MATCH('4.6 ACE MAX CAN '!U$4,'7. PGE_Efficacité'!$A$4:$BU$4,0)+31),0)</f>
        <v>0</v>
      </c>
      <c r="V52" s="149">
        <f>VLOOKUP($E52,'7. PGE_Efficacité'!$A$6:$BT$266,(MATCH('4.6 ACE MAX CAN '!V$4,'7. PGE_Efficacité'!$A$4:$BU$4,0)+31),0)</f>
        <v>0</v>
      </c>
      <c r="W52" s="149">
        <f>VLOOKUP($E52,'7. PGE_Efficacité'!$A$6:$BT$266,(MATCH('4.6 ACE MAX CAN '!W$4,'7. PGE_Efficacité'!$A$4:$BU$4,0)+31),0)</f>
        <v>0</v>
      </c>
      <c r="X52" s="149">
        <f>VLOOKUP($E52,'7. PGE_Efficacité'!$A$6:$BT$266,(MATCH('4.6 ACE MAX CAN '!X$4,'7. PGE_Efficacité'!$A$4:$BU$4,0)+31),0)</f>
        <v>0</v>
      </c>
      <c r="Y52" s="212">
        <f>VLOOKUP($E52,'7. PGE_Efficacité'!$A$6:$BT$266,(MATCH('4.6 ACE MAX CAN '!Y$4,'7. PGE_Efficacité'!$A$4:$BU$4,0)+31),0)</f>
        <v>0</v>
      </c>
      <c r="Z52" s="212">
        <f>VLOOKUP($E52,'7. PGE_Efficacité'!$A$6:$BT$266,(MATCH('4.6 ACE MAX CAN '!Z$4,'7. PGE_Efficacité'!$A$4:$BU$4,0)+31),0)</f>
        <v>0</v>
      </c>
      <c r="AA52" s="212">
        <f>VLOOKUP($E52,'7. PGE_Efficacité'!$A$6:$BT$266,(MATCH('4.6 ACE MAX CAN '!AA$4,'7. PGE_Efficacité'!$A$4:$BU$4,0)+31),0)</f>
        <v>0</v>
      </c>
      <c r="AB52" s="212">
        <f>VLOOKUP($E52,'7. PGE_Efficacité'!$A$6:$BT$266,(MATCH('4.6 ACE MAX CAN '!AB$4,'7. PGE_Efficacité'!$A$4:$BU$4,0)+31),0)</f>
        <v>0</v>
      </c>
      <c r="AC52" s="212">
        <f>VLOOKUP($E52,'7. PGE_Efficacité'!$A$6:$BT$266,(MATCH('4.6 ACE MAX CAN '!AC$4,'7. PGE_Efficacité'!$A$4:$BU$4,0)+31),0)</f>
        <v>0</v>
      </c>
      <c r="AD52" s="212">
        <f>VLOOKUP($E52,'7. PGE_Efficacité'!$A$6:$BT$266,(MATCH('4.6 ACE MAX CAN '!AD$4,'7. PGE_Efficacité'!$A$4:$BU$4,0)+31),0)</f>
        <v>0</v>
      </c>
      <c r="AE52" s="212">
        <f>VLOOKUP($E52,'7. PGE_Efficacité'!$A$6:$BT$266,(MATCH('4.6 ACE MAX CAN '!AE$4,'7. PGE_Efficacité'!$A$4:$BU$4,0)+31),0)</f>
        <v>0</v>
      </c>
      <c r="AF52" s="212">
        <f>VLOOKUP($E52,'7. PGE_Efficacité'!$A$6:$BT$266,(MATCH('4.6 ACE MAX CAN '!AF$4,'7. PGE_Efficacité'!$A$4:$BU$4,0)+31),0)</f>
        <v>0</v>
      </c>
      <c r="AG52" s="212">
        <f>VLOOKUP($E52,'7. PGE_Efficacité'!$A$6:$BT$266,(MATCH('4.6 ACE MAX CAN '!AG$4,'7. PGE_Efficacité'!$A$4:$BU$4,0)+31),0)</f>
        <v>0</v>
      </c>
      <c r="AH52" s="212">
        <f>VLOOKUP($E52,'7. PGE_Efficacité'!$A$6:$BT$266,(MATCH('4.6 ACE MAX CAN '!AH$4,'7. PGE_Efficacité'!$A$4:$BU$4,0)+31),0)</f>
        <v>0</v>
      </c>
      <c r="AI52" s="212">
        <f>VLOOKUP($E52,'7. PGE_Efficacité'!$A$6:$BT$266,(MATCH('4.6 ACE MAX CAN '!AI$4,'7. PGE_Efficacité'!$A$4:$BU$4,0)+31),0)</f>
        <v>0</v>
      </c>
      <c r="AJ52" s="212">
        <f>VLOOKUP($E52,'7. PGE_Efficacité'!$A$6:$BT$266,(MATCH('4.6 ACE MAX CAN '!AJ$4,'7. PGE_Efficacité'!$A$4:$BU$4,0)+31),0)</f>
        <v>0</v>
      </c>
      <c r="AK52" s="212">
        <f>VLOOKUP($E52,'7. PGE_Efficacité'!$A$6:$BT$266,(MATCH('4.6 ACE MAX CAN '!AK$4,'7. PGE_Efficacité'!$A$4:$BU$4,0)+31),0)</f>
        <v>0</v>
      </c>
      <c r="AL52" s="212">
        <f>VLOOKUP($E52,'7. PGE_Efficacité'!$A$6:$BT$266,(MATCH('4.6 ACE MAX CAN '!AL$4,'7. PGE_Efficacité'!$A$4:$BU$4,0)+31),0)</f>
        <v>0</v>
      </c>
      <c r="AM52" s="212">
        <f>VLOOKUP($E52,'7. PGE_Efficacité'!$A$6:$BT$266,(MATCH('4.6 ACE MAX CAN '!AM$4,'7. PGE_Efficacité'!$A$4:$BU$4,0)+31),0)</f>
        <v>0</v>
      </c>
      <c r="AN52" s="212">
        <f>VLOOKUP($E52,'7. PGE_Efficacité'!$A$6:$BT$266,(MATCH('4.6 ACE MAX CAN '!AN$4,'7. PGE_Efficacité'!$A$4:$BU$4,0)+31),0)</f>
        <v>0</v>
      </c>
    </row>
    <row r="53" spans="1:40" outlineLevel="1" x14ac:dyDescent="0.25">
      <c r="D53" s="360" t="s">
        <v>6</v>
      </c>
      <c r="E53" s="360"/>
      <c r="F53" s="361" t="str">
        <f>VLOOKUP(D53,'1. Mesures'!$A$2:$B$116,2,0)</f>
        <v>Gérer les rejets d'eaux usées non raccordables aux stations d'épuration collectives</v>
      </c>
      <c r="G53" s="360"/>
      <c r="H53" s="360"/>
      <c r="I53" s="362">
        <f>MEDIAN(VLOOKUP(D53,'4. Mesures_ACE_Budget'!$A$3:$R$32,17,0),VLOOKUP(D53,'4. Mesures_ACE_Budget'!$A$3:$R$32,18,0))</f>
        <v>0</v>
      </c>
      <c r="J53" s="212">
        <f>VLOOKUP($D53,'7. PGE_Efficacité'!$A$6:$BT$266,(MATCH('4.6 ACE MAX CAN '!J$4,'7. PGE_Efficacité'!$A$4:$AO$4,0)+31),0)</f>
        <v>0</v>
      </c>
      <c r="K53" s="212" t="str">
        <f>VLOOKUP($D53,'7. PGE_Efficacité'!$A$6:$BT$266,(MATCH('4.6 ACE MAX CAN '!K$4,'7. PGE_Efficacité'!$A$4:$AO$4,0)+31),0)</f>
        <v>+</v>
      </c>
      <c r="L53" s="212" t="str">
        <f>VLOOKUP($D53,'7. PGE_Efficacité'!$A$6:$BT$266,(MATCH('4.6 ACE MAX CAN '!L$4,'7. PGE_Efficacité'!$A$4:$AO$4,0)+31),0)</f>
        <v>+</v>
      </c>
      <c r="M53" s="212" t="str">
        <f>VLOOKUP($D53,'7. PGE_Efficacité'!$A$6:$BT$266,(MATCH('4.6 ACE MAX CAN '!M$4,'7. PGE_Efficacité'!$A$4:$AO$4,0)+31),0)</f>
        <v>+</v>
      </c>
      <c r="N53" s="212" t="str">
        <f>VLOOKUP($D53,'7. PGE_Efficacité'!$A$6:$BT$266,(MATCH('4.6 ACE MAX CAN '!N$4,'7. PGE_Efficacité'!$A$4:$AO$4,0)+31),0)</f>
        <v>+</v>
      </c>
      <c r="O53" s="212" t="str">
        <f>VLOOKUP($D53,'7. PGE_Efficacité'!$A$6:$BT$268,47,0)</f>
        <v>+</v>
      </c>
      <c r="P53" s="212">
        <f>VLOOKUP($D53,'7. PGE_Efficacité'!$A$6:$BT$266,(MATCH('4.6 ACE MAX CAN '!P$4,'7. PGE_Efficacité'!$A$4:$AO$4,0)+31),0)</f>
        <v>0</v>
      </c>
      <c r="Q53" s="212" t="str">
        <f>VLOOKUP($D53,'7. PGE_Efficacité'!$A$6:$BT$266,(MATCH('4.6 ACE MAX CAN '!Q$4,'7. PGE_Efficacité'!$A$4:$AO$4,0)+31),0)</f>
        <v>+</v>
      </c>
      <c r="R53" s="212" t="str">
        <f>VLOOKUP($D53,'7. PGE_Efficacité'!$A$6:$BT$266,(MATCH('4.6 ACE MAX CAN '!R$4,'7. PGE_Efficacité'!$A$4:$AO$4,0)+31),0)</f>
        <v>+</v>
      </c>
      <c r="S53" s="212">
        <f>VLOOKUP($D53,'7. PGE_Efficacité'!$A$6:$BT$266,(MATCH('4.6 ACE MAX CAN '!S$4,'7. PGE_Efficacité'!$A$4:$AO$4,0)+31),0)</f>
        <v>0</v>
      </c>
      <c r="T53" s="212">
        <f>VLOOKUP($D53,'7. PGE_Efficacité'!$A$6:$BT$266,(MATCH('4.6 ACE MAX CAN '!T$4,'7. PGE_Efficacité'!$A$4:$AO$4,0)+31),0)</f>
        <v>0</v>
      </c>
      <c r="U53" s="212" t="str">
        <f>VLOOKUP($D53,'7. PGE_Efficacité'!$A$6:$BT$266,(MATCH('4.6 ACE MAX CAN '!U$4,'7. PGE_Efficacité'!$A$4:$AO$4,0)+31),0)</f>
        <v>+</v>
      </c>
      <c r="V53" s="212" t="str">
        <f>VLOOKUP($D53,'7. PGE_Efficacité'!$A$6:$BT$266,(MATCH('4.6 ACE MAX CAN '!V$4,'7. PGE_Efficacité'!$A$4:$AO$4,0)+31),0)</f>
        <v>+</v>
      </c>
      <c r="W53" s="212" t="str">
        <f>VLOOKUP($D53,'7. PGE_Efficacité'!$A$6:$BT$266,(MATCH('4.6 ACE MAX CAN '!W$4,'7. PGE_Efficacité'!$A$4:$AO$4,0)+31),0)</f>
        <v>+</v>
      </c>
      <c r="X53" s="212">
        <f>VLOOKUP($D53,'7. PGE_Efficacité'!$A$6:$BT$266,(MATCH('4.6 ACE MAX CAN '!X$4,'7. PGE_Efficacité'!$A$4:$AO$4,0)+31),0)</f>
        <v>0</v>
      </c>
      <c r="Y53" s="212" t="str">
        <f>VLOOKUP($D53,'7. PGE_Efficacité'!$A$6:$BT$266,(MATCH('4.6 ACE MAX CAN '!Y$4,'7. PGE_Efficacité'!$A$4:$AO$4,0)+31),0)</f>
        <v>+</v>
      </c>
      <c r="Z53" s="212" t="str">
        <f>VLOOKUP($D53,'7. PGE_Efficacité'!$A$6:$BT$266,(MATCH('4.6 ACE MAX CAN '!Z$4,'7. PGE_Efficacité'!$A$4:$AO$4,0)+31),0)</f>
        <v>+</v>
      </c>
      <c r="AA53" s="212">
        <f>VLOOKUP($D53,'7. PGE_Efficacité'!$A$6:$BT$266,(MATCH('4.6 ACE MAX CAN '!AA$4,'7. PGE_Efficacité'!$A$4:$AO$4,0)+31),0)</f>
        <v>0</v>
      </c>
      <c r="AB53" s="212">
        <f>VLOOKUP($D53,'7. PGE_Efficacité'!$A$6:$BT$266,(MATCH('4.6 ACE MAX CAN '!AB$4,'7. PGE_Efficacité'!$A$4:$AO$4,0)+31),0)</f>
        <v>0</v>
      </c>
      <c r="AC53" s="212">
        <f>VLOOKUP($D53,'7. PGE_Efficacité'!$A$6:$BT$266,(MATCH('4.6 ACE MAX CAN '!AC$4,'7. PGE_Efficacité'!$A$4:$AO$4,0)+31),0)</f>
        <v>0</v>
      </c>
      <c r="AD53" s="212">
        <f>VLOOKUP($D53,'7. PGE_Efficacité'!$A$6:$BT$266,(MATCH('4.6 ACE MAX CAN '!AD$4,'7. PGE_Efficacité'!$A$4:$AO$4,0)+31),0)</f>
        <v>0</v>
      </c>
      <c r="AE53" s="212">
        <f>VLOOKUP($D53,'7. PGE_Efficacité'!$A$6:$BT$266,(MATCH('4.6 ACE MAX CAN '!AE$4,'7. PGE_Efficacité'!$A$4:$AO$4,0)+31),0)</f>
        <v>0</v>
      </c>
      <c r="AF53" s="212">
        <f>VLOOKUP($D53,'7. PGE_Efficacité'!$A$6:$BT$266,(MATCH('4.6 ACE MAX CAN '!AF$4,'7. PGE_Efficacité'!$A$4:$AO$4,0)+31),0)</f>
        <v>0</v>
      </c>
      <c r="AG53" s="212">
        <f>VLOOKUP($D53,'7. PGE_Efficacité'!$A$6:$BT$266,(MATCH('4.6 ACE MAX CAN '!AG$4,'7. PGE_Efficacité'!$A$4:$AO$4,0)+31),0)</f>
        <v>0</v>
      </c>
      <c r="AH53" s="212">
        <f>VLOOKUP($D53,'7. PGE_Efficacité'!$A$6:$BT$266,(MATCH('4.6 ACE MAX CAN '!AH$4,'7. PGE_Efficacité'!$A$4:$AO$4,0)+31),0)</f>
        <v>0</v>
      </c>
      <c r="AI53" s="212">
        <f>VLOOKUP($D53,'7. PGE_Efficacité'!$A$6:$BT$266,(MATCH('4.6 ACE MAX CAN '!AI$4,'7. PGE_Efficacité'!$A$4:$AO$4,0)+31),0)</f>
        <v>0</v>
      </c>
      <c r="AJ53" s="212">
        <f>VLOOKUP($D53,'7. PGE_Efficacité'!$A$6:$BT$266,(MATCH('4.6 ACE MAX CAN '!AJ$4,'7. PGE_Efficacité'!$A$4:$AO$4,0)+31),0)</f>
        <v>0</v>
      </c>
      <c r="AK53" s="212" t="str">
        <f>VLOOKUP($D53,'7. PGE_Efficacité'!$A$6:$BT$266,(MATCH('4.6 ACE MAX CAN '!AK$4,'7. PGE_Efficacité'!$A$4:$AO$4,0)+31),0)</f>
        <v>+</v>
      </c>
      <c r="AL53" s="212">
        <f>VLOOKUP($D53,'7. PGE_Efficacité'!$A$6:$BT$266,(MATCH('4.6 ACE MAX CAN '!AL$4,'7. PGE_Efficacité'!$A$4:$AO$4,0)+31),0)</f>
        <v>0</v>
      </c>
      <c r="AM53" s="212" t="str">
        <f>VLOOKUP($D53,'7. PGE_Efficacité'!$A$6:$BT$266,(MATCH('4.6 ACE MAX CAN '!AM$4,'7. PGE_Efficacité'!$A$4:$AO$4,0)+31),0)</f>
        <v>+</v>
      </c>
      <c r="AN53" s="212" t="str">
        <f>VLOOKUP($D53,'7. PGE_Efficacité'!$A$6:$BT$266,(MATCH('4.6 ACE MAX CAN '!AN$4,'7. PGE_Efficacité'!$A$4:$AO$4,0)+31),0)</f>
        <v>+</v>
      </c>
    </row>
    <row r="54" spans="1:40" outlineLevel="2" x14ac:dyDescent="0.25">
      <c r="A54" t="s">
        <v>1524</v>
      </c>
      <c r="B54">
        <v>7</v>
      </c>
      <c r="C54" t="s">
        <v>1524</v>
      </c>
      <c r="D54" s="12" t="s">
        <v>6</v>
      </c>
      <c r="E54" s="12" t="s">
        <v>828</v>
      </c>
      <c r="F54" s="12" t="s">
        <v>1458</v>
      </c>
      <c r="G54" s="12" t="s">
        <v>1522</v>
      </c>
      <c r="H54" s="12" t="s">
        <v>1290</v>
      </c>
      <c r="I54" s="148"/>
      <c r="J54" s="149">
        <f>VLOOKUP($E54,'7. PGE_Efficacité'!$A$6:$BT$266,(MATCH('4.6 ACE MAX CAN '!J$4,'7. PGE_Efficacité'!$A$4:$BU$4,0)+31),0)</f>
        <v>0</v>
      </c>
      <c r="K54" s="149">
        <f>VLOOKUP($E54,'7. PGE_Efficacité'!$A$6:$BT$266,(MATCH('4.6 ACE MAX CAN '!K$4,'7. PGE_Efficacité'!$A$4:$BU$4,0)+31),0)</f>
        <v>0</v>
      </c>
      <c r="L54" s="149">
        <f>VLOOKUP($E54,'7. PGE_Efficacité'!$A$6:$BT$266,(MATCH('4.6 ACE MAX CAN '!L$4,'7. PGE_Efficacité'!$A$4:$BU$4,0)+31),0)</f>
        <v>0</v>
      </c>
      <c r="M54" s="149">
        <f>VLOOKUP($E54,'7. PGE_Efficacité'!$A$6:$BT$266,(MATCH('4.6 ACE MAX CAN '!M$4,'7. PGE_Efficacité'!$A$4:$BU$4,0)+31),0)</f>
        <v>0</v>
      </c>
      <c r="N54" s="149">
        <f>VLOOKUP($E54,'7. PGE_Efficacité'!$A$6:$BT$266,(MATCH('4.6 ACE MAX CAN '!N$4,'7. PGE_Efficacité'!$A$4:$BU$4,0)+31),0)</f>
        <v>0</v>
      </c>
      <c r="O54" s="149" t="str">
        <f>VLOOKUP($D54,'7. PGE_Efficacité'!$A$6:$BT$268,47,0)</f>
        <v>+</v>
      </c>
      <c r="P54" s="149">
        <f>VLOOKUP($E54,'7. PGE_Efficacité'!$A$6:$BT$266,(MATCH('4.6 ACE MAX CAN '!P$4,'7. PGE_Efficacité'!$A$4:$BU$4,0)+31),0)</f>
        <v>0</v>
      </c>
      <c r="Q54" s="149">
        <f>VLOOKUP($E54,'7. PGE_Efficacité'!$A$6:$BT$266,(MATCH('4.6 ACE MAX CAN '!Q$4,'7. PGE_Efficacité'!$A$4:$BU$4,0)+31),0)</f>
        <v>0</v>
      </c>
      <c r="R54" s="149">
        <f>VLOOKUP($E54,'7. PGE_Efficacité'!$A$6:$BT$266,(MATCH('4.6 ACE MAX CAN '!R$4,'7. PGE_Efficacité'!$A$4:$BU$4,0)+31),0)</f>
        <v>0</v>
      </c>
      <c r="S54" s="149">
        <f>VLOOKUP($E54,'7. PGE_Efficacité'!$A$6:$BT$266,(MATCH('4.6 ACE MAX CAN '!S$4,'7. PGE_Efficacité'!$A$4:$BU$4,0)+31),0)</f>
        <v>0</v>
      </c>
      <c r="T54" s="149">
        <f>VLOOKUP($E54,'7. PGE_Efficacité'!$A$6:$BT$266,(MATCH('4.6 ACE MAX CAN '!T$4,'7. PGE_Efficacité'!$A$4:$BU$4,0)+31),0)</f>
        <v>0</v>
      </c>
      <c r="U54" s="149">
        <f>VLOOKUP($E54,'7. PGE_Efficacité'!$A$6:$BT$266,(MATCH('4.6 ACE MAX CAN '!U$4,'7. PGE_Efficacité'!$A$4:$BU$4,0)+31),0)</f>
        <v>0</v>
      </c>
      <c r="V54" s="149">
        <f>VLOOKUP($E54,'7. PGE_Efficacité'!$A$6:$BT$266,(MATCH('4.6 ACE MAX CAN '!V$4,'7. PGE_Efficacité'!$A$4:$BU$4,0)+31),0)</f>
        <v>0</v>
      </c>
      <c r="W54" s="149">
        <f>VLOOKUP($E54,'7. PGE_Efficacité'!$A$6:$BT$266,(MATCH('4.6 ACE MAX CAN '!W$4,'7. PGE_Efficacité'!$A$4:$BU$4,0)+31),0)</f>
        <v>0</v>
      </c>
      <c r="X54" s="149">
        <f>VLOOKUP($E54,'7. PGE_Efficacité'!$A$6:$BT$266,(MATCH('4.6 ACE MAX CAN '!X$4,'7. PGE_Efficacité'!$A$4:$BU$4,0)+31),0)</f>
        <v>0</v>
      </c>
      <c r="Y54" s="212">
        <f>VLOOKUP($E54,'7. PGE_Efficacité'!$A$6:$BT$266,(MATCH('4.6 ACE MAX CAN '!Y$4,'7. PGE_Efficacité'!$A$4:$BU$4,0)+31),0)</f>
        <v>0</v>
      </c>
      <c r="Z54" s="212">
        <f>VLOOKUP($E54,'7. PGE_Efficacité'!$A$6:$BT$266,(MATCH('4.6 ACE MAX CAN '!Z$4,'7. PGE_Efficacité'!$A$4:$BU$4,0)+31),0)</f>
        <v>0</v>
      </c>
      <c r="AA54" s="212">
        <f>VLOOKUP($E54,'7. PGE_Efficacité'!$A$6:$BT$266,(MATCH('4.6 ACE MAX CAN '!AA$4,'7. PGE_Efficacité'!$A$4:$BU$4,0)+31),0)</f>
        <v>0</v>
      </c>
      <c r="AB54" s="212">
        <f>VLOOKUP($E54,'7. PGE_Efficacité'!$A$6:$BT$266,(MATCH('4.6 ACE MAX CAN '!AB$4,'7. PGE_Efficacité'!$A$4:$BU$4,0)+31),0)</f>
        <v>0</v>
      </c>
      <c r="AC54" s="212">
        <f>VLOOKUP($E54,'7. PGE_Efficacité'!$A$6:$BT$266,(MATCH('4.6 ACE MAX CAN '!AC$4,'7. PGE_Efficacité'!$A$4:$BU$4,0)+31),0)</f>
        <v>0</v>
      </c>
      <c r="AD54" s="212">
        <f>VLOOKUP($E54,'7. PGE_Efficacité'!$A$6:$BT$266,(MATCH('4.6 ACE MAX CAN '!AD$4,'7. PGE_Efficacité'!$A$4:$BU$4,0)+31),0)</f>
        <v>0</v>
      </c>
      <c r="AE54" s="212">
        <f>VLOOKUP($E54,'7. PGE_Efficacité'!$A$6:$BT$266,(MATCH('4.6 ACE MAX CAN '!AE$4,'7. PGE_Efficacité'!$A$4:$BU$4,0)+31),0)</f>
        <v>0</v>
      </c>
      <c r="AF54" s="212">
        <f>VLOOKUP($E54,'7. PGE_Efficacité'!$A$6:$BT$266,(MATCH('4.6 ACE MAX CAN '!AF$4,'7. PGE_Efficacité'!$A$4:$BU$4,0)+31),0)</f>
        <v>0</v>
      </c>
      <c r="AG54" s="212">
        <f>VLOOKUP($E54,'7. PGE_Efficacité'!$A$6:$BT$266,(MATCH('4.6 ACE MAX CAN '!AG$4,'7. PGE_Efficacité'!$A$4:$BU$4,0)+31),0)</f>
        <v>0</v>
      </c>
      <c r="AH54" s="212">
        <f>VLOOKUP($E54,'7. PGE_Efficacité'!$A$6:$BT$266,(MATCH('4.6 ACE MAX CAN '!AH$4,'7. PGE_Efficacité'!$A$4:$BU$4,0)+31),0)</f>
        <v>0</v>
      </c>
      <c r="AI54" s="212">
        <f>VLOOKUP($E54,'7. PGE_Efficacité'!$A$6:$BT$266,(MATCH('4.6 ACE MAX CAN '!AI$4,'7. PGE_Efficacité'!$A$4:$BU$4,0)+31),0)</f>
        <v>0</v>
      </c>
      <c r="AJ54" s="212">
        <f>VLOOKUP($E54,'7. PGE_Efficacité'!$A$6:$BT$266,(MATCH('4.6 ACE MAX CAN '!AJ$4,'7. PGE_Efficacité'!$A$4:$BU$4,0)+31),0)</f>
        <v>0</v>
      </c>
      <c r="AK54" s="212">
        <f>VLOOKUP($E54,'7. PGE_Efficacité'!$A$6:$BT$266,(MATCH('4.6 ACE MAX CAN '!AK$4,'7. PGE_Efficacité'!$A$4:$BU$4,0)+31),0)</f>
        <v>0</v>
      </c>
      <c r="AL54" s="212">
        <f>VLOOKUP($E54,'7. PGE_Efficacité'!$A$6:$BT$266,(MATCH('4.6 ACE MAX CAN '!AL$4,'7. PGE_Efficacité'!$A$4:$BU$4,0)+31),0)</f>
        <v>0</v>
      </c>
      <c r="AM54" s="212">
        <f>VLOOKUP($E54,'7. PGE_Efficacité'!$A$6:$BT$266,(MATCH('4.6 ACE MAX CAN '!AM$4,'7. PGE_Efficacité'!$A$4:$BU$4,0)+31),0)</f>
        <v>0</v>
      </c>
      <c r="AN54" s="212">
        <f>VLOOKUP($E54,'7. PGE_Efficacité'!$A$6:$BT$266,(MATCH('4.6 ACE MAX CAN '!AN$4,'7. PGE_Efficacité'!$A$4:$BU$4,0)+31),0)</f>
        <v>0</v>
      </c>
    </row>
    <row r="55" spans="1:40" outlineLevel="2" x14ac:dyDescent="0.25">
      <c r="A55" t="s">
        <v>1524</v>
      </c>
      <c r="B55">
        <v>7</v>
      </c>
      <c r="C55" t="s">
        <v>1525</v>
      </c>
      <c r="D55" s="12" t="s">
        <v>6</v>
      </c>
      <c r="E55" s="12" t="s">
        <v>829</v>
      </c>
      <c r="F55" s="12" t="s">
        <v>1459</v>
      </c>
      <c r="G55" s="12" t="s">
        <v>1522</v>
      </c>
      <c r="H55" s="12" t="s">
        <v>1290</v>
      </c>
      <c r="I55" s="148"/>
      <c r="J55" s="149">
        <f>VLOOKUP($E55,'7. PGE_Efficacité'!$A$6:$BT$266,(MATCH('4.6 ACE MAX CAN '!J$4,'7. PGE_Efficacité'!$A$4:$BU$4,0)+31),0)</f>
        <v>0</v>
      </c>
      <c r="K55" s="149">
        <f>VLOOKUP($E55,'7. PGE_Efficacité'!$A$6:$BT$266,(MATCH('4.6 ACE MAX CAN '!K$4,'7. PGE_Efficacité'!$A$4:$BU$4,0)+31),0)</f>
        <v>0</v>
      </c>
      <c r="L55" s="149">
        <f>VLOOKUP($E55,'7. PGE_Efficacité'!$A$6:$BT$266,(MATCH('4.6 ACE MAX CAN '!L$4,'7. PGE_Efficacité'!$A$4:$BU$4,0)+31),0)</f>
        <v>0</v>
      </c>
      <c r="M55" s="149">
        <f>VLOOKUP($E55,'7. PGE_Efficacité'!$A$6:$BT$266,(MATCH('4.6 ACE MAX CAN '!M$4,'7. PGE_Efficacité'!$A$4:$BU$4,0)+31),0)</f>
        <v>0</v>
      </c>
      <c r="N55" s="149">
        <f>VLOOKUP($E55,'7. PGE_Efficacité'!$A$6:$BT$266,(MATCH('4.6 ACE MAX CAN '!N$4,'7. PGE_Efficacité'!$A$4:$BU$4,0)+31),0)</f>
        <v>0</v>
      </c>
      <c r="O55" s="149" t="str">
        <f>VLOOKUP($D55,'7. PGE_Efficacité'!$A$6:$BT$268,47,0)</f>
        <v>+</v>
      </c>
      <c r="P55" s="149">
        <f>VLOOKUP($E55,'7. PGE_Efficacité'!$A$6:$BT$266,(MATCH('4.6 ACE MAX CAN '!P$4,'7. PGE_Efficacité'!$A$4:$BU$4,0)+31),0)</f>
        <v>0</v>
      </c>
      <c r="Q55" s="149">
        <f>VLOOKUP($E55,'7. PGE_Efficacité'!$A$6:$BT$266,(MATCH('4.6 ACE MAX CAN '!Q$4,'7. PGE_Efficacité'!$A$4:$BU$4,0)+31),0)</f>
        <v>0</v>
      </c>
      <c r="R55" s="149">
        <f>VLOOKUP($E55,'7. PGE_Efficacité'!$A$6:$BT$266,(MATCH('4.6 ACE MAX CAN '!R$4,'7. PGE_Efficacité'!$A$4:$BU$4,0)+31),0)</f>
        <v>0</v>
      </c>
      <c r="S55" s="149">
        <f>VLOOKUP($E55,'7. PGE_Efficacité'!$A$6:$BT$266,(MATCH('4.6 ACE MAX CAN '!S$4,'7. PGE_Efficacité'!$A$4:$BU$4,0)+31),0)</f>
        <v>0</v>
      </c>
      <c r="T55" s="149">
        <f>VLOOKUP($E55,'7. PGE_Efficacité'!$A$6:$BT$266,(MATCH('4.6 ACE MAX CAN '!T$4,'7. PGE_Efficacité'!$A$4:$BU$4,0)+31),0)</f>
        <v>0</v>
      </c>
      <c r="U55" s="149">
        <f>VLOOKUP($E55,'7. PGE_Efficacité'!$A$6:$BT$266,(MATCH('4.6 ACE MAX CAN '!U$4,'7. PGE_Efficacité'!$A$4:$BU$4,0)+31),0)</f>
        <v>0</v>
      </c>
      <c r="V55" s="149">
        <f>VLOOKUP($E55,'7. PGE_Efficacité'!$A$6:$BT$266,(MATCH('4.6 ACE MAX CAN '!V$4,'7. PGE_Efficacité'!$A$4:$BU$4,0)+31),0)</f>
        <v>0</v>
      </c>
      <c r="W55" s="149">
        <f>VLOOKUP($E55,'7. PGE_Efficacité'!$A$6:$BT$266,(MATCH('4.6 ACE MAX CAN '!W$4,'7. PGE_Efficacité'!$A$4:$BU$4,0)+31),0)</f>
        <v>0</v>
      </c>
      <c r="X55" s="149">
        <f>VLOOKUP($E55,'7. PGE_Efficacité'!$A$6:$BT$266,(MATCH('4.6 ACE MAX CAN '!X$4,'7. PGE_Efficacité'!$A$4:$BU$4,0)+31),0)</f>
        <v>0</v>
      </c>
      <c r="Y55" s="212">
        <f>VLOOKUP($E55,'7. PGE_Efficacité'!$A$6:$BT$266,(MATCH('4.6 ACE MAX CAN '!Y$4,'7. PGE_Efficacité'!$A$4:$BU$4,0)+31),0)</f>
        <v>0</v>
      </c>
      <c r="Z55" s="212">
        <f>VLOOKUP($E55,'7. PGE_Efficacité'!$A$6:$BT$266,(MATCH('4.6 ACE MAX CAN '!Z$4,'7. PGE_Efficacité'!$A$4:$BU$4,0)+31),0)</f>
        <v>0</v>
      </c>
      <c r="AA55" s="212">
        <f>VLOOKUP($E55,'7. PGE_Efficacité'!$A$6:$BT$266,(MATCH('4.6 ACE MAX CAN '!AA$4,'7. PGE_Efficacité'!$A$4:$BU$4,0)+31),0)</f>
        <v>0</v>
      </c>
      <c r="AB55" s="212">
        <f>VLOOKUP($E55,'7. PGE_Efficacité'!$A$6:$BT$266,(MATCH('4.6 ACE MAX CAN '!AB$4,'7. PGE_Efficacité'!$A$4:$BU$4,0)+31),0)</f>
        <v>0</v>
      </c>
      <c r="AC55" s="212">
        <f>VLOOKUP($E55,'7. PGE_Efficacité'!$A$6:$BT$266,(MATCH('4.6 ACE MAX CAN '!AC$4,'7. PGE_Efficacité'!$A$4:$BU$4,0)+31),0)</f>
        <v>0</v>
      </c>
      <c r="AD55" s="212">
        <f>VLOOKUP($E55,'7. PGE_Efficacité'!$A$6:$BT$266,(MATCH('4.6 ACE MAX CAN '!AD$4,'7. PGE_Efficacité'!$A$4:$BU$4,0)+31),0)</f>
        <v>0</v>
      </c>
      <c r="AE55" s="212">
        <f>VLOOKUP($E55,'7. PGE_Efficacité'!$A$6:$BT$266,(MATCH('4.6 ACE MAX CAN '!AE$4,'7. PGE_Efficacité'!$A$4:$BU$4,0)+31),0)</f>
        <v>0</v>
      </c>
      <c r="AF55" s="212">
        <f>VLOOKUP($E55,'7. PGE_Efficacité'!$A$6:$BT$266,(MATCH('4.6 ACE MAX CAN '!AF$4,'7. PGE_Efficacité'!$A$4:$BU$4,0)+31),0)</f>
        <v>0</v>
      </c>
      <c r="AG55" s="212">
        <f>VLOOKUP($E55,'7. PGE_Efficacité'!$A$6:$BT$266,(MATCH('4.6 ACE MAX CAN '!AG$4,'7. PGE_Efficacité'!$A$4:$BU$4,0)+31),0)</f>
        <v>0</v>
      </c>
      <c r="AH55" s="212">
        <f>VLOOKUP($E55,'7. PGE_Efficacité'!$A$6:$BT$266,(MATCH('4.6 ACE MAX CAN '!AH$4,'7. PGE_Efficacité'!$A$4:$BU$4,0)+31),0)</f>
        <v>0</v>
      </c>
      <c r="AI55" s="212">
        <f>VLOOKUP($E55,'7. PGE_Efficacité'!$A$6:$BT$266,(MATCH('4.6 ACE MAX CAN '!AI$4,'7. PGE_Efficacité'!$A$4:$BU$4,0)+31),0)</f>
        <v>0</v>
      </c>
      <c r="AJ55" s="212">
        <f>VLOOKUP($E55,'7. PGE_Efficacité'!$A$6:$BT$266,(MATCH('4.6 ACE MAX CAN '!AJ$4,'7. PGE_Efficacité'!$A$4:$BU$4,0)+31),0)</f>
        <v>0</v>
      </c>
      <c r="AK55" s="212">
        <f>VLOOKUP($E55,'7. PGE_Efficacité'!$A$6:$BT$266,(MATCH('4.6 ACE MAX CAN '!AK$4,'7. PGE_Efficacité'!$A$4:$BU$4,0)+31),0)</f>
        <v>0</v>
      </c>
      <c r="AL55" s="212">
        <f>VLOOKUP($E55,'7. PGE_Efficacité'!$A$6:$BT$266,(MATCH('4.6 ACE MAX CAN '!AL$4,'7. PGE_Efficacité'!$A$4:$BU$4,0)+31),0)</f>
        <v>0</v>
      </c>
      <c r="AM55" s="212">
        <f>VLOOKUP($E55,'7. PGE_Efficacité'!$A$6:$BT$266,(MATCH('4.6 ACE MAX CAN '!AM$4,'7. PGE_Efficacité'!$A$4:$BU$4,0)+31),0)</f>
        <v>0</v>
      </c>
      <c r="AN55" s="212">
        <f>VLOOKUP($E55,'7. PGE_Efficacité'!$A$6:$BT$266,(MATCH('4.6 ACE MAX CAN '!AN$4,'7. PGE_Efficacité'!$A$4:$BU$4,0)+31),0)</f>
        <v>0</v>
      </c>
    </row>
    <row r="56" spans="1:40" outlineLevel="2" x14ac:dyDescent="0.25">
      <c r="A56" t="s">
        <v>1524</v>
      </c>
      <c r="B56">
        <v>7</v>
      </c>
      <c r="C56" t="s">
        <v>1526</v>
      </c>
      <c r="D56" s="12" t="s">
        <v>6</v>
      </c>
      <c r="E56" s="12" t="s">
        <v>830</v>
      </c>
      <c r="F56" s="12" t="s">
        <v>1460</v>
      </c>
      <c r="G56" s="12" t="s">
        <v>1522</v>
      </c>
      <c r="H56" s="12" t="s">
        <v>1290</v>
      </c>
      <c r="I56" s="148"/>
      <c r="J56" s="149">
        <f>VLOOKUP($E56,'7. PGE_Efficacité'!$A$6:$BT$266,(MATCH('4.6 ACE MAX CAN '!J$4,'7. PGE_Efficacité'!$A$4:$BU$4,0)+31),0)</f>
        <v>0</v>
      </c>
      <c r="K56" s="149">
        <f>VLOOKUP($E56,'7. PGE_Efficacité'!$A$6:$BT$266,(MATCH('4.6 ACE MAX CAN '!K$4,'7. PGE_Efficacité'!$A$4:$BU$4,0)+31),0)</f>
        <v>0</v>
      </c>
      <c r="L56" s="149">
        <f>VLOOKUP($E56,'7. PGE_Efficacité'!$A$6:$BT$266,(MATCH('4.6 ACE MAX CAN '!L$4,'7. PGE_Efficacité'!$A$4:$BU$4,0)+31),0)</f>
        <v>0</v>
      </c>
      <c r="M56" s="149">
        <f>VLOOKUP($E56,'7. PGE_Efficacité'!$A$6:$BT$266,(MATCH('4.6 ACE MAX CAN '!M$4,'7. PGE_Efficacité'!$A$4:$BU$4,0)+31),0)</f>
        <v>0</v>
      </c>
      <c r="N56" s="149">
        <f>VLOOKUP($E56,'7. PGE_Efficacité'!$A$6:$BT$266,(MATCH('4.6 ACE MAX CAN '!N$4,'7. PGE_Efficacité'!$A$4:$BU$4,0)+31),0)</f>
        <v>0</v>
      </c>
      <c r="O56" s="149" t="str">
        <f>VLOOKUP($D56,'7. PGE_Efficacité'!$A$6:$BT$268,47,0)</f>
        <v>+</v>
      </c>
      <c r="P56" s="149">
        <f>VLOOKUP($E56,'7. PGE_Efficacité'!$A$6:$BT$266,(MATCH('4.6 ACE MAX CAN '!P$4,'7. PGE_Efficacité'!$A$4:$BU$4,0)+31),0)</f>
        <v>0</v>
      </c>
      <c r="Q56" s="149">
        <f>VLOOKUP($E56,'7. PGE_Efficacité'!$A$6:$BT$266,(MATCH('4.6 ACE MAX CAN '!Q$4,'7. PGE_Efficacité'!$A$4:$BU$4,0)+31),0)</f>
        <v>0</v>
      </c>
      <c r="R56" s="149">
        <f>VLOOKUP($E56,'7. PGE_Efficacité'!$A$6:$BT$266,(MATCH('4.6 ACE MAX CAN '!R$4,'7. PGE_Efficacité'!$A$4:$BU$4,0)+31),0)</f>
        <v>0</v>
      </c>
      <c r="S56" s="149">
        <f>VLOOKUP($E56,'7. PGE_Efficacité'!$A$6:$BT$266,(MATCH('4.6 ACE MAX CAN '!S$4,'7. PGE_Efficacité'!$A$4:$BU$4,0)+31),0)</f>
        <v>0</v>
      </c>
      <c r="T56" s="149">
        <f>VLOOKUP($E56,'7. PGE_Efficacité'!$A$6:$BT$266,(MATCH('4.6 ACE MAX CAN '!T$4,'7. PGE_Efficacité'!$A$4:$BU$4,0)+31),0)</f>
        <v>0</v>
      </c>
      <c r="U56" s="149">
        <f>VLOOKUP($E56,'7. PGE_Efficacité'!$A$6:$BT$266,(MATCH('4.6 ACE MAX CAN '!U$4,'7. PGE_Efficacité'!$A$4:$BU$4,0)+31),0)</f>
        <v>0</v>
      </c>
      <c r="V56" s="149">
        <f>VLOOKUP($E56,'7. PGE_Efficacité'!$A$6:$BT$266,(MATCH('4.6 ACE MAX CAN '!V$4,'7. PGE_Efficacité'!$A$4:$BU$4,0)+31),0)</f>
        <v>0</v>
      </c>
      <c r="W56" s="149">
        <f>VLOOKUP($E56,'7. PGE_Efficacité'!$A$6:$BT$266,(MATCH('4.6 ACE MAX CAN '!W$4,'7. PGE_Efficacité'!$A$4:$BU$4,0)+31),0)</f>
        <v>0</v>
      </c>
      <c r="X56" s="149">
        <f>VLOOKUP($E56,'7. PGE_Efficacité'!$A$6:$BT$266,(MATCH('4.6 ACE MAX CAN '!X$4,'7. PGE_Efficacité'!$A$4:$BU$4,0)+31),0)</f>
        <v>0</v>
      </c>
      <c r="Y56" s="212">
        <f>VLOOKUP($E56,'7. PGE_Efficacité'!$A$6:$BT$266,(MATCH('4.6 ACE MAX CAN '!Y$4,'7. PGE_Efficacité'!$A$4:$BU$4,0)+31),0)</f>
        <v>0</v>
      </c>
      <c r="Z56" s="212">
        <f>VLOOKUP($E56,'7. PGE_Efficacité'!$A$6:$BT$266,(MATCH('4.6 ACE MAX CAN '!Z$4,'7. PGE_Efficacité'!$A$4:$BU$4,0)+31),0)</f>
        <v>0</v>
      </c>
      <c r="AA56" s="212">
        <f>VLOOKUP($E56,'7. PGE_Efficacité'!$A$6:$BT$266,(MATCH('4.6 ACE MAX CAN '!AA$4,'7. PGE_Efficacité'!$A$4:$BU$4,0)+31),0)</f>
        <v>0</v>
      </c>
      <c r="AB56" s="212">
        <f>VLOOKUP($E56,'7. PGE_Efficacité'!$A$6:$BT$266,(MATCH('4.6 ACE MAX CAN '!AB$4,'7. PGE_Efficacité'!$A$4:$BU$4,0)+31),0)</f>
        <v>0</v>
      </c>
      <c r="AC56" s="212">
        <f>VLOOKUP($E56,'7. PGE_Efficacité'!$A$6:$BT$266,(MATCH('4.6 ACE MAX CAN '!AC$4,'7. PGE_Efficacité'!$A$4:$BU$4,0)+31),0)</f>
        <v>0</v>
      </c>
      <c r="AD56" s="212">
        <f>VLOOKUP($E56,'7. PGE_Efficacité'!$A$6:$BT$266,(MATCH('4.6 ACE MAX CAN '!AD$4,'7. PGE_Efficacité'!$A$4:$BU$4,0)+31),0)</f>
        <v>0</v>
      </c>
      <c r="AE56" s="212">
        <f>VLOOKUP($E56,'7. PGE_Efficacité'!$A$6:$BT$266,(MATCH('4.6 ACE MAX CAN '!AE$4,'7. PGE_Efficacité'!$A$4:$BU$4,0)+31),0)</f>
        <v>0</v>
      </c>
      <c r="AF56" s="212">
        <f>VLOOKUP($E56,'7. PGE_Efficacité'!$A$6:$BT$266,(MATCH('4.6 ACE MAX CAN '!AF$4,'7. PGE_Efficacité'!$A$4:$BU$4,0)+31),0)</f>
        <v>0</v>
      </c>
      <c r="AG56" s="212">
        <f>VLOOKUP($E56,'7. PGE_Efficacité'!$A$6:$BT$266,(MATCH('4.6 ACE MAX CAN '!AG$4,'7. PGE_Efficacité'!$A$4:$BU$4,0)+31),0)</f>
        <v>0</v>
      </c>
      <c r="AH56" s="212">
        <f>VLOOKUP($E56,'7. PGE_Efficacité'!$A$6:$BT$266,(MATCH('4.6 ACE MAX CAN '!AH$4,'7. PGE_Efficacité'!$A$4:$BU$4,0)+31),0)</f>
        <v>0</v>
      </c>
      <c r="AI56" s="212">
        <f>VLOOKUP($E56,'7. PGE_Efficacité'!$A$6:$BT$266,(MATCH('4.6 ACE MAX CAN '!AI$4,'7. PGE_Efficacité'!$A$4:$BU$4,0)+31),0)</f>
        <v>0</v>
      </c>
      <c r="AJ56" s="212">
        <f>VLOOKUP($E56,'7. PGE_Efficacité'!$A$6:$BT$266,(MATCH('4.6 ACE MAX CAN '!AJ$4,'7. PGE_Efficacité'!$A$4:$BU$4,0)+31),0)</f>
        <v>0</v>
      </c>
      <c r="AK56" s="212">
        <f>VLOOKUP($E56,'7. PGE_Efficacité'!$A$6:$BT$266,(MATCH('4.6 ACE MAX CAN '!AK$4,'7. PGE_Efficacité'!$A$4:$BU$4,0)+31),0)</f>
        <v>0</v>
      </c>
      <c r="AL56" s="212">
        <f>VLOOKUP($E56,'7. PGE_Efficacité'!$A$6:$BT$266,(MATCH('4.6 ACE MAX CAN '!AL$4,'7. PGE_Efficacité'!$A$4:$BU$4,0)+31),0)</f>
        <v>0</v>
      </c>
      <c r="AM56" s="212">
        <f>VLOOKUP($E56,'7. PGE_Efficacité'!$A$6:$BT$266,(MATCH('4.6 ACE MAX CAN '!AM$4,'7. PGE_Efficacité'!$A$4:$BU$4,0)+31),0)</f>
        <v>0</v>
      </c>
      <c r="AN56" s="212">
        <f>VLOOKUP($E56,'7. PGE_Efficacité'!$A$6:$BT$266,(MATCH('4.6 ACE MAX CAN '!AN$4,'7. PGE_Efficacité'!$A$4:$BU$4,0)+31),0)</f>
        <v>0</v>
      </c>
    </row>
    <row r="57" spans="1:40" outlineLevel="2" x14ac:dyDescent="0.25">
      <c r="A57" t="s">
        <v>1524</v>
      </c>
      <c r="B57">
        <v>7</v>
      </c>
      <c r="C57" t="s">
        <v>1527</v>
      </c>
      <c r="D57" s="12" t="s">
        <v>6</v>
      </c>
      <c r="E57" s="12" t="s">
        <v>831</v>
      </c>
      <c r="F57" s="12" t="s">
        <v>1461</v>
      </c>
      <c r="G57" s="12" t="s">
        <v>1522</v>
      </c>
      <c r="H57" s="12" t="s">
        <v>1290</v>
      </c>
      <c r="I57" s="148"/>
      <c r="J57" s="149">
        <f>VLOOKUP($E57,'7. PGE_Efficacité'!$A$6:$BT$266,(MATCH('4.6 ACE MAX CAN '!J$4,'7. PGE_Efficacité'!$A$4:$BU$4,0)+31),0)</f>
        <v>0</v>
      </c>
      <c r="K57" s="149">
        <f>VLOOKUP($E57,'7. PGE_Efficacité'!$A$6:$BT$266,(MATCH('4.6 ACE MAX CAN '!K$4,'7. PGE_Efficacité'!$A$4:$BU$4,0)+31),0)</f>
        <v>0</v>
      </c>
      <c r="L57" s="149">
        <f>VLOOKUP($E57,'7. PGE_Efficacité'!$A$6:$BT$266,(MATCH('4.6 ACE MAX CAN '!L$4,'7. PGE_Efficacité'!$A$4:$BU$4,0)+31),0)</f>
        <v>0</v>
      </c>
      <c r="M57" s="149">
        <f>VLOOKUP($E57,'7. PGE_Efficacité'!$A$6:$BT$266,(MATCH('4.6 ACE MAX CAN '!M$4,'7. PGE_Efficacité'!$A$4:$BU$4,0)+31),0)</f>
        <v>0</v>
      </c>
      <c r="N57" s="149">
        <f>VLOOKUP($E57,'7. PGE_Efficacité'!$A$6:$BT$266,(MATCH('4.6 ACE MAX CAN '!N$4,'7. PGE_Efficacité'!$A$4:$BU$4,0)+31),0)</f>
        <v>0</v>
      </c>
      <c r="O57" s="149" t="str">
        <f>VLOOKUP($D57,'7. PGE_Efficacité'!$A$6:$BT$268,47,0)</f>
        <v>+</v>
      </c>
      <c r="P57" s="149">
        <f>VLOOKUP($E57,'7. PGE_Efficacité'!$A$6:$BT$266,(MATCH('4.6 ACE MAX CAN '!P$4,'7. PGE_Efficacité'!$A$4:$BU$4,0)+31),0)</f>
        <v>0</v>
      </c>
      <c r="Q57" s="149">
        <f>VLOOKUP($E57,'7. PGE_Efficacité'!$A$6:$BT$266,(MATCH('4.6 ACE MAX CAN '!Q$4,'7. PGE_Efficacité'!$A$4:$BU$4,0)+31),0)</f>
        <v>0</v>
      </c>
      <c r="R57" s="149">
        <f>VLOOKUP($E57,'7. PGE_Efficacité'!$A$6:$BT$266,(MATCH('4.6 ACE MAX CAN '!R$4,'7. PGE_Efficacité'!$A$4:$BU$4,0)+31),0)</f>
        <v>0</v>
      </c>
      <c r="S57" s="149">
        <f>VLOOKUP($E57,'7. PGE_Efficacité'!$A$6:$BT$266,(MATCH('4.6 ACE MAX CAN '!S$4,'7. PGE_Efficacité'!$A$4:$BU$4,0)+31),0)</f>
        <v>0</v>
      </c>
      <c r="T57" s="149">
        <f>VLOOKUP($E57,'7. PGE_Efficacité'!$A$6:$BT$266,(MATCH('4.6 ACE MAX CAN '!T$4,'7. PGE_Efficacité'!$A$4:$BU$4,0)+31),0)</f>
        <v>0</v>
      </c>
      <c r="U57" s="149">
        <f>VLOOKUP($E57,'7. PGE_Efficacité'!$A$6:$BT$266,(MATCH('4.6 ACE MAX CAN '!U$4,'7. PGE_Efficacité'!$A$4:$BU$4,0)+31),0)</f>
        <v>0</v>
      </c>
      <c r="V57" s="149">
        <f>VLOOKUP($E57,'7. PGE_Efficacité'!$A$6:$BT$266,(MATCH('4.6 ACE MAX CAN '!V$4,'7. PGE_Efficacité'!$A$4:$BU$4,0)+31),0)</f>
        <v>0</v>
      </c>
      <c r="W57" s="149">
        <f>VLOOKUP($E57,'7. PGE_Efficacité'!$A$6:$BT$266,(MATCH('4.6 ACE MAX CAN '!W$4,'7. PGE_Efficacité'!$A$4:$BU$4,0)+31),0)</f>
        <v>0</v>
      </c>
      <c r="X57" s="149">
        <f>VLOOKUP($E57,'7. PGE_Efficacité'!$A$6:$BT$266,(MATCH('4.6 ACE MAX CAN '!X$4,'7. PGE_Efficacité'!$A$4:$BU$4,0)+31),0)</f>
        <v>0</v>
      </c>
      <c r="Y57" s="212">
        <f>VLOOKUP($E57,'7. PGE_Efficacité'!$A$6:$BT$266,(MATCH('4.6 ACE MAX CAN '!Y$4,'7. PGE_Efficacité'!$A$4:$BU$4,0)+31),0)</f>
        <v>0</v>
      </c>
      <c r="Z57" s="212">
        <f>VLOOKUP($E57,'7. PGE_Efficacité'!$A$6:$BT$266,(MATCH('4.6 ACE MAX CAN '!Z$4,'7. PGE_Efficacité'!$A$4:$BU$4,0)+31),0)</f>
        <v>0</v>
      </c>
      <c r="AA57" s="212">
        <f>VLOOKUP($E57,'7. PGE_Efficacité'!$A$6:$BT$266,(MATCH('4.6 ACE MAX CAN '!AA$4,'7. PGE_Efficacité'!$A$4:$BU$4,0)+31),0)</f>
        <v>0</v>
      </c>
      <c r="AB57" s="212">
        <f>VLOOKUP($E57,'7. PGE_Efficacité'!$A$6:$BT$266,(MATCH('4.6 ACE MAX CAN '!AB$4,'7. PGE_Efficacité'!$A$4:$BU$4,0)+31),0)</f>
        <v>0</v>
      </c>
      <c r="AC57" s="212">
        <f>VLOOKUP($E57,'7. PGE_Efficacité'!$A$6:$BT$266,(MATCH('4.6 ACE MAX CAN '!AC$4,'7. PGE_Efficacité'!$A$4:$BU$4,0)+31),0)</f>
        <v>0</v>
      </c>
      <c r="AD57" s="212">
        <f>VLOOKUP($E57,'7. PGE_Efficacité'!$A$6:$BT$266,(MATCH('4.6 ACE MAX CAN '!AD$4,'7. PGE_Efficacité'!$A$4:$BU$4,0)+31),0)</f>
        <v>0</v>
      </c>
      <c r="AE57" s="212">
        <f>VLOOKUP($E57,'7. PGE_Efficacité'!$A$6:$BT$266,(MATCH('4.6 ACE MAX CAN '!AE$4,'7. PGE_Efficacité'!$A$4:$BU$4,0)+31),0)</f>
        <v>0</v>
      </c>
      <c r="AF57" s="212">
        <f>VLOOKUP($E57,'7. PGE_Efficacité'!$A$6:$BT$266,(MATCH('4.6 ACE MAX CAN '!AF$4,'7. PGE_Efficacité'!$A$4:$BU$4,0)+31),0)</f>
        <v>0</v>
      </c>
      <c r="AG57" s="212">
        <f>VLOOKUP($E57,'7. PGE_Efficacité'!$A$6:$BT$266,(MATCH('4.6 ACE MAX CAN '!AG$4,'7. PGE_Efficacité'!$A$4:$BU$4,0)+31),0)</f>
        <v>0</v>
      </c>
      <c r="AH57" s="212">
        <f>VLOOKUP($E57,'7. PGE_Efficacité'!$A$6:$BT$266,(MATCH('4.6 ACE MAX CAN '!AH$4,'7. PGE_Efficacité'!$A$4:$BU$4,0)+31),0)</f>
        <v>0</v>
      </c>
      <c r="AI57" s="212">
        <f>VLOOKUP($E57,'7. PGE_Efficacité'!$A$6:$BT$266,(MATCH('4.6 ACE MAX CAN '!AI$4,'7. PGE_Efficacité'!$A$4:$BU$4,0)+31),0)</f>
        <v>0</v>
      </c>
      <c r="AJ57" s="212">
        <f>VLOOKUP($E57,'7. PGE_Efficacité'!$A$6:$BT$266,(MATCH('4.6 ACE MAX CAN '!AJ$4,'7. PGE_Efficacité'!$A$4:$BU$4,0)+31),0)</f>
        <v>0</v>
      </c>
      <c r="AK57" s="212">
        <f>VLOOKUP($E57,'7. PGE_Efficacité'!$A$6:$BT$266,(MATCH('4.6 ACE MAX CAN '!AK$4,'7. PGE_Efficacité'!$A$4:$BU$4,0)+31),0)</f>
        <v>0</v>
      </c>
      <c r="AL57" s="212">
        <f>VLOOKUP($E57,'7. PGE_Efficacité'!$A$6:$BT$266,(MATCH('4.6 ACE MAX CAN '!AL$4,'7. PGE_Efficacité'!$A$4:$BU$4,0)+31),0)</f>
        <v>0</v>
      </c>
      <c r="AM57" s="212">
        <f>VLOOKUP($E57,'7. PGE_Efficacité'!$A$6:$BT$266,(MATCH('4.6 ACE MAX CAN '!AM$4,'7. PGE_Efficacité'!$A$4:$BU$4,0)+31),0)</f>
        <v>0</v>
      </c>
      <c r="AN57" s="212">
        <f>VLOOKUP($E57,'7. PGE_Efficacité'!$A$6:$BT$266,(MATCH('4.6 ACE MAX CAN '!AN$4,'7. PGE_Efficacité'!$A$4:$BU$4,0)+31),0)</f>
        <v>0</v>
      </c>
    </row>
    <row r="58" spans="1:40" outlineLevel="2" x14ac:dyDescent="0.25">
      <c r="A58" t="s">
        <v>1524</v>
      </c>
      <c r="B58">
        <v>7</v>
      </c>
      <c r="C58" t="s">
        <v>410</v>
      </c>
      <c r="D58" s="12" t="s">
        <v>6</v>
      </c>
      <c r="E58" s="12" t="s">
        <v>832</v>
      </c>
      <c r="F58" s="12" t="s">
        <v>1462</v>
      </c>
      <c r="G58" s="12" t="s">
        <v>1522</v>
      </c>
      <c r="H58" s="12" t="s">
        <v>414</v>
      </c>
      <c r="I58" s="148"/>
      <c r="J58" s="149">
        <f>VLOOKUP($E58,'7. PGE_Efficacité'!$A$6:$BT$266,(MATCH('4.6 ACE MAX CAN '!J$4,'7. PGE_Efficacité'!$A$4:$BU$4,0)+31),0)</f>
        <v>0</v>
      </c>
      <c r="K58" s="149">
        <f>VLOOKUP($E58,'7. PGE_Efficacité'!$A$6:$BT$266,(MATCH('4.6 ACE MAX CAN '!K$4,'7. PGE_Efficacité'!$A$4:$BU$4,0)+31),0)</f>
        <v>0</v>
      </c>
      <c r="L58" s="149">
        <f>VLOOKUP($E58,'7. PGE_Efficacité'!$A$6:$BT$266,(MATCH('4.6 ACE MAX CAN '!L$4,'7. PGE_Efficacité'!$A$4:$BU$4,0)+31),0)</f>
        <v>0</v>
      </c>
      <c r="M58" s="149">
        <f>VLOOKUP($E58,'7. PGE_Efficacité'!$A$6:$BT$266,(MATCH('4.6 ACE MAX CAN '!M$4,'7. PGE_Efficacité'!$A$4:$BU$4,0)+31),0)</f>
        <v>0</v>
      </c>
      <c r="N58" s="149">
        <f>VLOOKUP($E58,'7. PGE_Efficacité'!$A$6:$BT$266,(MATCH('4.6 ACE MAX CAN '!N$4,'7. PGE_Efficacité'!$A$4:$BU$4,0)+31),0)</f>
        <v>0</v>
      </c>
      <c r="O58" s="149" t="str">
        <f>VLOOKUP($D58,'7. PGE_Efficacité'!$A$6:$BT$268,47,0)</f>
        <v>+</v>
      </c>
      <c r="P58" s="149">
        <f>VLOOKUP($E58,'7. PGE_Efficacité'!$A$6:$BT$266,(MATCH('4.6 ACE MAX CAN '!P$4,'7. PGE_Efficacité'!$A$4:$BU$4,0)+31),0)</f>
        <v>0</v>
      </c>
      <c r="Q58" s="149">
        <f>VLOOKUP($E58,'7. PGE_Efficacité'!$A$6:$BT$266,(MATCH('4.6 ACE MAX CAN '!Q$4,'7. PGE_Efficacité'!$A$4:$BU$4,0)+31),0)</f>
        <v>0</v>
      </c>
      <c r="R58" s="149">
        <f>VLOOKUP($E58,'7. PGE_Efficacité'!$A$6:$BT$266,(MATCH('4.6 ACE MAX CAN '!R$4,'7. PGE_Efficacité'!$A$4:$BU$4,0)+31),0)</f>
        <v>0</v>
      </c>
      <c r="S58" s="149">
        <f>VLOOKUP($E58,'7. PGE_Efficacité'!$A$6:$BT$266,(MATCH('4.6 ACE MAX CAN '!S$4,'7. PGE_Efficacité'!$A$4:$BU$4,0)+31),0)</f>
        <v>0</v>
      </c>
      <c r="T58" s="149">
        <f>VLOOKUP($E58,'7. PGE_Efficacité'!$A$6:$BT$266,(MATCH('4.6 ACE MAX CAN '!T$4,'7. PGE_Efficacité'!$A$4:$BU$4,0)+31),0)</f>
        <v>0</v>
      </c>
      <c r="U58" s="149">
        <f>VLOOKUP($E58,'7. PGE_Efficacité'!$A$6:$BT$266,(MATCH('4.6 ACE MAX CAN '!U$4,'7. PGE_Efficacité'!$A$4:$BU$4,0)+31),0)</f>
        <v>0</v>
      </c>
      <c r="V58" s="149">
        <f>VLOOKUP($E58,'7. PGE_Efficacité'!$A$6:$BT$266,(MATCH('4.6 ACE MAX CAN '!V$4,'7. PGE_Efficacité'!$A$4:$BU$4,0)+31),0)</f>
        <v>0</v>
      </c>
      <c r="W58" s="149">
        <f>VLOOKUP($E58,'7. PGE_Efficacité'!$A$6:$BT$266,(MATCH('4.6 ACE MAX CAN '!W$4,'7. PGE_Efficacité'!$A$4:$BU$4,0)+31),0)</f>
        <v>0</v>
      </c>
      <c r="X58" s="149">
        <f>VLOOKUP($E58,'7. PGE_Efficacité'!$A$6:$BT$266,(MATCH('4.6 ACE MAX CAN '!X$4,'7. PGE_Efficacité'!$A$4:$BU$4,0)+31),0)</f>
        <v>0</v>
      </c>
      <c r="Y58" s="212">
        <f>VLOOKUP($E58,'7. PGE_Efficacité'!$A$6:$BT$266,(MATCH('4.6 ACE MAX CAN '!Y$4,'7. PGE_Efficacité'!$A$4:$BU$4,0)+31),0)</f>
        <v>0</v>
      </c>
      <c r="Z58" s="212">
        <f>VLOOKUP($E58,'7. PGE_Efficacité'!$A$6:$BT$266,(MATCH('4.6 ACE MAX CAN '!Z$4,'7. PGE_Efficacité'!$A$4:$BU$4,0)+31),0)</f>
        <v>0</v>
      </c>
      <c r="AA58" s="212">
        <f>VLOOKUP($E58,'7. PGE_Efficacité'!$A$6:$BT$266,(MATCH('4.6 ACE MAX CAN '!AA$4,'7. PGE_Efficacité'!$A$4:$BU$4,0)+31),0)</f>
        <v>0</v>
      </c>
      <c r="AB58" s="212">
        <f>VLOOKUP($E58,'7. PGE_Efficacité'!$A$6:$BT$266,(MATCH('4.6 ACE MAX CAN '!AB$4,'7. PGE_Efficacité'!$A$4:$BU$4,0)+31),0)</f>
        <v>0</v>
      </c>
      <c r="AC58" s="212">
        <f>VLOOKUP($E58,'7. PGE_Efficacité'!$A$6:$BT$266,(MATCH('4.6 ACE MAX CAN '!AC$4,'7. PGE_Efficacité'!$A$4:$BU$4,0)+31),0)</f>
        <v>0</v>
      </c>
      <c r="AD58" s="212">
        <f>VLOOKUP($E58,'7. PGE_Efficacité'!$A$6:$BT$266,(MATCH('4.6 ACE MAX CAN '!AD$4,'7. PGE_Efficacité'!$A$4:$BU$4,0)+31),0)</f>
        <v>0</v>
      </c>
      <c r="AE58" s="212">
        <f>VLOOKUP($E58,'7. PGE_Efficacité'!$A$6:$BT$266,(MATCH('4.6 ACE MAX CAN '!AE$4,'7. PGE_Efficacité'!$A$4:$BU$4,0)+31),0)</f>
        <v>0</v>
      </c>
      <c r="AF58" s="212">
        <f>VLOOKUP($E58,'7. PGE_Efficacité'!$A$6:$BT$266,(MATCH('4.6 ACE MAX CAN '!AF$4,'7. PGE_Efficacité'!$A$4:$BU$4,0)+31),0)</f>
        <v>0</v>
      </c>
      <c r="AG58" s="212">
        <f>VLOOKUP($E58,'7. PGE_Efficacité'!$A$6:$BT$266,(MATCH('4.6 ACE MAX CAN '!AG$4,'7. PGE_Efficacité'!$A$4:$BU$4,0)+31),0)</f>
        <v>0</v>
      </c>
      <c r="AH58" s="212">
        <f>VLOOKUP($E58,'7. PGE_Efficacité'!$A$6:$BT$266,(MATCH('4.6 ACE MAX CAN '!AH$4,'7. PGE_Efficacité'!$A$4:$BU$4,0)+31),0)</f>
        <v>0</v>
      </c>
      <c r="AI58" s="212">
        <f>VLOOKUP($E58,'7. PGE_Efficacité'!$A$6:$BT$266,(MATCH('4.6 ACE MAX CAN '!AI$4,'7. PGE_Efficacité'!$A$4:$BU$4,0)+31),0)</f>
        <v>0</v>
      </c>
      <c r="AJ58" s="212">
        <f>VLOOKUP($E58,'7. PGE_Efficacité'!$A$6:$BT$266,(MATCH('4.6 ACE MAX CAN '!AJ$4,'7. PGE_Efficacité'!$A$4:$BU$4,0)+31),0)</f>
        <v>0</v>
      </c>
      <c r="AK58" s="212">
        <f>VLOOKUP($E58,'7. PGE_Efficacité'!$A$6:$BT$266,(MATCH('4.6 ACE MAX CAN '!AK$4,'7. PGE_Efficacité'!$A$4:$BU$4,0)+31),0)</f>
        <v>0</v>
      </c>
      <c r="AL58" s="212">
        <f>VLOOKUP($E58,'7. PGE_Efficacité'!$A$6:$BT$266,(MATCH('4.6 ACE MAX CAN '!AL$4,'7. PGE_Efficacité'!$A$4:$BU$4,0)+31),0)</f>
        <v>0</v>
      </c>
      <c r="AM58" s="212">
        <f>VLOOKUP($E58,'7. PGE_Efficacité'!$A$6:$BT$266,(MATCH('4.6 ACE MAX CAN '!AM$4,'7. PGE_Efficacité'!$A$4:$BU$4,0)+31),0)</f>
        <v>0</v>
      </c>
      <c r="AN58" s="212">
        <f>VLOOKUP($E58,'7. PGE_Efficacité'!$A$6:$BT$266,(MATCH('4.6 ACE MAX CAN '!AN$4,'7. PGE_Efficacité'!$A$4:$BU$4,0)+31),0)</f>
        <v>0</v>
      </c>
    </row>
    <row r="59" spans="1:40" outlineLevel="2" x14ac:dyDescent="0.25">
      <c r="A59" t="s">
        <v>1524</v>
      </c>
      <c r="B59">
        <v>7</v>
      </c>
      <c r="C59" t="s">
        <v>1528</v>
      </c>
      <c r="D59" s="12" t="s">
        <v>6</v>
      </c>
      <c r="E59" s="12" t="s">
        <v>833</v>
      </c>
      <c r="F59" s="12" t="s">
        <v>1463</v>
      </c>
      <c r="G59" s="12" t="s">
        <v>1522</v>
      </c>
      <c r="H59" s="12" t="s">
        <v>1290</v>
      </c>
      <c r="I59" s="148"/>
      <c r="J59" s="149">
        <f>VLOOKUP($E59,'7. PGE_Efficacité'!$A$6:$BT$266,(MATCH('4.6 ACE MAX CAN '!J$4,'7. PGE_Efficacité'!$A$4:$BU$4,0)+31),0)</f>
        <v>0</v>
      </c>
      <c r="K59" s="149">
        <f>VLOOKUP($E59,'7. PGE_Efficacité'!$A$6:$BT$266,(MATCH('4.6 ACE MAX CAN '!K$4,'7. PGE_Efficacité'!$A$4:$BU$4,0)+31),0)</f>
        <v>0</v>
      </c>
      <c r="L59" s="149">
        <f>VLOOKUP($E59,'7. PGE_Efficacité'!$A$6:$BT$266,(MATCH('4.6 ACE MAX CAN '!L$4,'7. PGE_Efficacité'!$A$4:$BU$4,0)+31),0)</f>
        <v>0</v>
      </c>
      <c r="M59" s="149">
        <f>VLOOKUP($E59,'7. PGE_Efficacité'!$A$6:$BT$266,(MATCH('4.6 ACE MAX CAN '!M$4,'7. PGE_Efficacité'!$A$4:$BU$4,0)+31),0)</f>
        <v>0</v>
      </c>
      <c r="N59" s="149">
        <f>VLOOKUP($E59,'7. PGE_Efficacité'!$A$6:$BT$266,(MATCH('4.6 ACE MAX CAN '!N$4,'7. PGE_Efficacité'!$A$4:$BU$4,0)+31),0)</f>
        <v>0</v>
      </c>
      <c r="O59" s="149" t="str">
        <f>VLOOKUP($D59,'7. PGE_Efficacité'!$A$6:$BT$268,47,0)</f>
        <v>+</v>
      </c>
      <c r="P59" s="149">
        <f>VLOOKUP($E59,'7. PGE_Efficacité'!$A$6:$BT$266,(MATCH('4.6 ACE MAX CAN '!P$4,'7. PGE_Efficacité'!$A$4:$BU$4,0)+31),0)</f>
        <v>0</v>
      </c>
      <c r="Q59" s="149">
        <f>VLOOKUP($E59,'7. PGE_Efficacité'!$A$6:$BT$266,(MATCH('4.6 ACE MAX CAN '!Q$4,'7. PGE_Efficacité'!$A$4:$BU$4,0)+31),0)</f>
        <v>0</v>
      </c>
      <c r="R59" s="149">
        <f>VLOOKUP($E59,'7. PGE_Efficacité'!$A$6:$BT$266,(MATCH('4.6 ACE MAX CAN '!R$4,'7. PGE_Efficacité'!$A$4:$BU$4,0)+31),0)</f>
        <v>0</v>
      </c>
      <c r="S59" s="149">
        <f>VLOOKUP($E59,'7. PGE_Efficacité'!$A$6:$BT$266,(MATCH('4.6 ACE MAX CAN '!S$4,'7. PGE_Efficacité'!$A$4:$BU$4,0)+31),0)</f>
        <v>0</v>
      </c>
      <c r="T59" s="149">
        <f>VLOOKUP($E59,'7. PGE_Efficacité'!$A$6:$BT$266,(MATCH('4.6 ACE MAX CAN '!T$4,'7. PGE_Efficacité'!$A$4:$BU$4,0)+31),0)</f>
        <v>0</v>
      </c>
      <c r="U59" s="149">
        <f>VLOOKUP($E59,'7. PGE_Efficacité'!$A$6:$BT$266,(MATCH('4.6 ACE MAX CAN '!U$4,'7. PGE_Efficacité'!$A$4:$BU$4,0)+31),0)</f>
        <v>0</v>
      </c>
      <c r="V59" s="149">
        <f>VLOOKUP($E59,'7. PGE_Efficacité'!$A$6:$BT$266,(MATCH('4.6 ACE MAX CAN '!V$4,'7. PGE_Efficacité'!$A$4:$BU$4,0)+31),0)</f>
        <v>0</v>
      </c>
      <c r="W59" s="149">
        <f>VLOOKUP($E59,'7. PGE_Efficacité'!$A$6:$BT$266,(MATCH('4.6 ACE MAX CAN '!W$4,'7. PGE_Efficacité'!$A$4:$BU$4,0)+31),0)</f>
        <v>0</v>
      </c>
      <c r="X59" s="149">
        <f>VLOOKUP($E59,'7. PGE_Efficacité'!$A$6:$BT$266,(MATCH('4.6 ACE MAX CAN '!X$4,'7. PGE_Efficacité'!$A$4:$BU$4,0)+31),0)</f>
        <v>0</v>
      </c>
      <c r="Y59" s="212">
        <f>VLOOKUP($E59,'7. PGE_Efficacité'!$A$6:$BT$266,(MATCH('4.6 ACE MAX CAN '!Y$4,'7. PGE_Efficacité'!$A$4:$BU$4,0)+31),0)</f>
        <v>0</v>
      </c>
      <c r="Z59" s="212">
        <f>VLOOKUP($E59,'7. PGE_Efficacité'!$A$6:$BT$266,(MATCH('4.6 ACE MAX CAN '!Z$4,'7. PGE_Efficacité'!$A$4:$BU$4,0)+31),0)</f>
        <v>0</v>
      </c>
      <c r="AA59" s="212">
        <f>VLOOKUP($E59,'7. PGE_Efficacité'!$A$6:$BT$266,(MATCH('4.6 ACE MAX CAN '!AA$4,'7. PGE_Efficacité'!$A$4:$BU$4,0)+31),0)</f>
        <v>0</v>
      </c>
      <c r="AB59" s="212">
        <f>VLOOKUP($E59,'7. PGE_Efficacité'!$A$6:$BT$266,(MATCH('4.6 ACE MAX CAN '!AB$4,'7. PGE_Efficacité'!$A$4:$BU$4,0)+31),0)</f>
        <v>0</v>
      </c>
      <c r="AC59" s="212">
        <f>VLOOKUP($E59,'7. PGE_Efficacité'!$A$6:$BT$266,(MATCH('4.6 ACE MAX CAN '!AC$4,'7. PGE_Efficacité'!$A$4:$BU$4,0)+31),0)</f>
        <v>0</v>
      </c>
      <c r="AD59" s="212">
        <f>VLOOKUP($E59,'7. PGE_Efficacité'!$A$6:$BT$266,(MATCH('4.6 ACE MAX CAN '!AD$4,'7. PGE_Efficacité'!$A$4:$BU$4,0)+31),0)</f>
        <v>0</v>
      </c>
      <c r="AE59" s="212">
        <f>VLOOKUP($E59,'7. PGE_Efficacité'!$A$6:$BT$266,(MATCH('4.6 ACE MAX CAN '!AE$4,'7. PGE_Efficacité'!$A$4:$BU$4,0)+31),0)</f>
        <v>0</v>
      </c>
      <c r="AF59" s="212">
        <f>VLOOKUP($E59,'7. PGE_Efficacité'!$A$6:$BT$266,(MATCH('4.6 ACE MAX CAN '!AF$4,'7. PGE_Efficacité'!$A$4:$BU$4,0)+31),0)</f>
        <v>0</v>
      </c>
      <c r="AG59" s="212">
        <f>VLOOKUP($E59,'7. PGE_Efficacité'!$A$6:$BT$266,(MATCH('4.6 ACE MAX CAN '!AG$4,'7. PGE_Efficacité'!$A$4:$BU$4,0)+31),0)</f>
        <v>0</v>
      </c>
      <c r="AH59" s="212">
        <f>VLOOKUP($E59,'7. PGE_Efficacité'!$A$6:$BT$266,(MATCH('4.6 ACE MAX CAN '!AH$4,'7. PGE_Efficacité'!$A$4:$BU$4,0)+31),0)</f>
        <v>0</v>
      </c>
      <c r="AI59" s="212">
        <f>VLOOKUP($E59,'7. PGE_Efficacité'!$A$6:$BT$266,(MATCH('4.6 ACE MAX CAN '!AI$4,'7. PGE_Efficacité'!$A$4:$BU$4,0)+31),0)</f>
        <v>0</v>
      </c>
      <c r="AJ59" s="212">
        <f>VLOOKUP($E59,'7. PGE_Efficacité'!$A$6:$BT$266,(MATCH('4.6 ACE MAX CAN '!AJ$4,'7. PGE_Efficacité'!$A$4:$BU$4,0)+31),0)</f>
        <v>0</v>
      </c>
      <c r="AK59" s="212">
        <f>VLOOKUP($E59,'7. PGE_Efficacité'!$A$6:$BT$266,(MATCH('4.6 ACE MAX CAN '!AK$4,'7. PGE_Efficacité'!$A$4:$BU$4,0)+31),0)</f>
        <v>0</v>
      </c>
      <c r="AL59" s="212">
        <f>VLOOKUP($E59,'7. PGE_Efficacité'!$A$6:$BT$266,(MATCH('4.6 ACE MAX CAN '!AL$4,'7. PGE_Efficacité'!$A$4:$BU$4,0)+31),0)</f>
        <v>0</v>
      </c>
      <c r="AM59" s="212">
        <f>VLOOKUP($E59,'7. PGE_Efficacité'!$A$6:$BT$266,(MATCH('4.6 ACE MAX CAN '!AM$4,'7. PGE_Efficacité'!$A$4:$BU$4,0)+31),0)</f>
        <v>0</v>
      </c>
      <c r="AN59" s="212">
        <f>VLOOKUP($E59,'7. PGE_Efficacité'!$A$6:$BT$266,(MATCH('4.6 ACE MAX CAN '!AN$4,'7. PGE_Efficacité'!$A$4:$BU$4,0)+31),0)</f>
        <v>0</v>
      </c>
    </row>
    <row r="60" spans="1:40" ht="26.25" outlineLevel="1" x14ac:dyDescent="0.25">
      <c r="D60" s="360" t="s">
        <v>7</v>
      </c>
      <c r="E60" s="360"/>
      <c r="F60" s="361" t="str">
        <f>VLOOKUP(D60,'1. Mesures'!$A$2:$B$116,2,0)</f>
        <v>Réaliser l'état de l'art des déversoirs d'orages actuels et optimaliser leur conception pour réduire le transfert de polluants vers les masses d’eau de surface</v>
      </c>
      <c r="G60" s="360"/>
      <c r="H60" s="360"/>
      <c r="I60" s="362">
        <f>MEDIAN(VLOOKUP(D60,'4. Mesures_ACE_Budget'!$A$3:$R$32,17,0),VLOOKUP(D60,'4. Mesures_ACE_Budget'!$A$3:$R$32,18,0))</f>
        <v>226800000</v>
      </c>
      <c r="J60" s="213">
        <f>VLOOKUP($D60,'7. PGE_Efficacité'!$A$6:$BT$266,(MATCH('4.6 ACE MAX CAN '!J$4,'7. PGE_Efficacité'!$A$4:$AO$4,0)+31),0)</f>
        <v>0</v>
      </c>
      <c r="K60" s="213" t="str">
        <f>VLOOKUP($D60,'7. PGE_Efficacité'!$A$6:$BT$266,(MATCH('4.6 ACE MAX CAN '!K$4,'7. PGE_Efficacité'!$A$4:$AO$4,0)+31),0)</f>
        <v>++</v>
      </c>
      <c r="L60" s="213" t="str">
        <f>VLOOKUP($D60,'7. PGE_Efficacité'!$A$6:$BT$266,(MATCH('4.6 ACE MAX CAN '!L$4,'7. PGE_Efficacité'!$A$4:$AO$4,0)+31),0)</f>
        <v>++</v>
      </c>
      <c r="M60" s="213" t="str">
        <f>VLOOKUP($D60,'7. PGE_Efficacité'!$A$6:$BT$266,(MATCH('4.6 ACE MAX CAN '!M$4,'7. PGE_Efficacité'!$A$4:$AO$4,0)+31),0)</f>
        <v>++</v>
      </c>
      <c r="N60" s="213" t="str">
        <f>VLOOKUP($D60,'7. PGE_Efficacité'!$A$6:$BT$266,(MATCH('4.6 ACE MAX CAN '!N$4,'7. PGE_Efficacité'!$A$4:$AO$4,0)+31),0)</f>
        <v>++</v>
      </c>
      <c r="O60" s="213" t="str">
        <f>VLOOKUP($D60,'7. PGE_Efficacité'!$A$6:$BT$268,47,0)</f>
        <v>++</v>
      </c>
      <c r="P60" s="213">
        <f>VLOOKUP($D60,'7. PGE_Efficacité'!$A$6:$BT$266,(MATCH('4.6 ACE MAX CAN '!P$4,'7. PGE_Efficacité'!$A$4:$AO$4,0)+31),0)</f>
        <v>0</v>
      </c>
      <c r="Q60" s="213" t="str">
        <f>VLOOKUP($D60,'7. PGE_Efficacité'!$A$6:$BT$266,(MATCH('4.6 ACE MAX CAN '!Q$4,'7. PGE_Efficacité'!$A$4:$AO$4,0)+31),0)</f>
        <v>++</v>
      </c>
      <c r="R60" s="213" t="str">
        <f>VLOOKUP($D60,'7. PGE_Efficacité'!$A$6:$BT$266,(MATCH('4.6 ACE MAX CAN '!R$4,'7. PGE_Efficacité'!$A$4:$AO$4,0)+31),0)</f>
        <v>+</v>
      </c>
      <c r="S60" s="213">
        <f>VLOOKUP($D60,'7. PGE_Efficacité'!$A$6:$BT$266,(MATCH('4.6 ACE MAX CAN '!S$4,'7. PGE_Efficacité'!$A$4:$AO$4,0)+31),0)</f>
        <v>0</v>
      </c>
      <c r="T60" s="213" t="str">
        <f>VLOOKUP($D60,'7. PGE_Efficacité'!$A$6:$BT$266,(MATCH('4.6 ACE MAX CAN '!T$4,'7. PGE_Efficacité'!$A$4:$AO$4,0)+31),0)</f>
        <v>+</v>
      </c>
      <c r="U60" s="213" t="str">
        <f>VLOOKUP($D60,'7. PGE_Efficacité'!$A$6:$BT$266,(MATCH('4.6 ACE MAX CAN '!U$4,'7. PGE_Efficacité'!$A$4:$AO$4,0)+31),0)</f>
        <v>+</v>
      </c>
      <c r="V60" s="213" t="str">
        <f>VLOOKUP($D60,'7. PGE_Efficacité'!$A$6:$BT$266,(MATCH('4.6 ACE MAX CAN '!V$4,'7. PGE_Efficacité'!$A$4:$AO$4,0)+31),0)</f>
        <v>+</v>
      </c>
      <c r="W60" s="213" t="str">
        <f>VLOOKUP($D60,'7. PGE_Efficacité'!$A$6:$BT$266,(MATCH('4.6 ACE MAX CAN '!W$4,'7. PGE_Efficacité'!$A$4:$AO$4,0)+31),0)</f>
        <v>++</v>
      </c>
      <c r="X60" s="213">
        <f>VLOOKUP($D60,'7. PGE_Efficacité'!$A$6:$BT$266,(MATCH('4.6 ACE MAX CAN '!X$4,'7. PGE_Efficacité'!$A$4:$AO$4,0)+31),0)</f>
        <v>0</v>
      </c>
      <c r="Y60" s="213" t="str">
        <f>VLOOKUP($D60,'7. PGE_Efficacité'!$A$6:$BT$266,(MATCH('4.6 ACE MAX CAN '!Y$4,'7. PGE_Efficacité'!$A$4:$AO$4,0)+31),0)</f>
        <v>++</v>
      </c>
      <c r="Z60" s="213" t="str">
        <f>VLOOKUP($D60,'7. PGE_Efficacité'!$A$6:$BT$266,(MATCH('4.6 ACE MAX CAN '!Z$4,'7. PGE_Efficacité'!$A$4:$AO$4,0)+31),0)</f>
        <v>++</v>
      </c>
      <c r="AA60" s="213">
        <f>VLOOKUP($D60,'7. PGE_Efficacité'!$A$6:$BT$266,(MATCH('4.6 ACE MAX CAN '!AA$4,'7. PGE_Efficacité'!$A$4:$AO$4,0)+31),0)</f>
        <v>0</v>
      </c>
      <c r="AB60" s="213">
        <f>VLOOKUP($D60,'7. PGE_Efficacité'!$A$6:$BT$266,(MATCH('4.6 ACE MAX CAN '!AB$4,'7. PGE_Efficacité'!$A$4:$AO$4,0)+31),0)</f>
        <v>0</v>
      </c>
      <c r="AC60" s="213">
        <f>VLOOKUP($D60,'7. PGE_Efficacité'!$A$6:$BT$266,(MATCH('4.6 ACE MAX CAN '!AC$4,'7. PGE_Efficacité'!$A$4:$AO$4,0)+31),0)</f>
        <v>0</v>
      </c>
      <c r="AD60" s="213">
        <f>VLOOKUP($D60,'7. PGE_Efficacité'!$A$6:$BT$266,(MATCH('4.6 ACE MAX CAN '!AD$4,'7. PGE_Efficacité'!$A$4:$AO$4,0)+31),0)</f>
        <v>0</v>
      </c>
      <c r="AE60" s="213">
        <f>VLOOKUP($D60,'7. PGE_Efficacité'!$A$6:$BT$266,(MATCH('4.6 ACE MAX CAN '!AE$4,'7. PGE_Efficacité'!$A$4:$AO$4,0)+31),0)</f>
        <v>0</v>
      </c>
      <c r="AF60" s="213">
        <f>VLOOKUP($D60,'7. PGE_Efficacité'!$A$6:$BT$266,(MATCH('4.6 ACE MAX CAN '!AF$4,'7. PGE_Efficacité'!$A$4:$AO$4,0)+31),0)</f>
        <v>0</v>
      </c>
      <c r="AG60" s="213">
        <f>VLOOKUP($D60,'7. PGE_Efficacité'!$A$6:$BT$266,(MATCH('4.6 ACE MAX CAN '!AG$4,'7. PGE_Efficacité'!$A$4:$AO$4,0)+31),0)</f>
        <v>0</v>
      </c>
      <c r="AH60" s="213">
        <f>VLOOKUP($D60,'7. PGE_Efficacité'!$A$6:$BT$266,(MATCH('4.6 ACE MAX CAN '!AH$4,'7. PGE_Efficacité'!$A$4:$AO$4,0)+31),0)</f>
        <v>0</v>
      </c>
      <c r="AI60" s="213">
        <f>VLOOKUP($D60,'7. PGE_Efficacité'!$A$6:$BT$266,(MATCH('4.6 ACE MAX CAN '!AI$4,'7. PGE_Efficacité'!$A$4:$AO$4,0)+31),0)</f>
        <v>0</v>
      </c>
      <c r="AJ60" s="213">
        <f>VLOOKUP($D60,'7. PGE_Efficacité'!$A$6:$BT$266,(MATCH('4.6 ACE MAX CAN '!AJ$4,'7. PGE_Efficacité'!$A$4:$AO$4,0)+31),0)</f>
        <v>0</v>
      </c>
      <c r="AK60" s="213" t="str">
        <f>VLOOKUP($D60,'7. PGE_Efficacité'!$A$6:$BT$266,(MATCH('4.6 ACE MAX CAN '!AK$4,'7. PGE_Efficacité'!$A$4:$AO$4,0)+31),0)</f>
        <v>++</v>
      </c>
      <c r="AL60" s="213">
        <f>VLOOKUP($D60,'7. PGE_Efficacité'!$A$6:$BT$266,(MATCH('4.6 ACE MAX CAN '!AL$4,'7. PGE_Efficacité'!$A$4:$AO$4,0)+31),0)</f>
        <v>0</v>
      </c>
      <c r="AM60" s="213" t="str">
        <f>VLOOKUP($D60,'7. PGE_Efficacité'!$A$6:$BT$266,(MATCH('4.6 ACE MAX CAN '!AM$4,'7. PGE_Efficacité'!$A$4:$AO$4,0)+31),0)</f>
        <v>++</v>
      </c>
      <c r="AN60" s="213" t="str">
        <f>VLOOKUP($D60,'7. PGE_Efficacité'!$A$6:$BT$266,(MATCH('4.6 ACE MAX CAN '!AN$4,'7. PGE_Efficacité'!$A$4:$AO$4,0)+31),0)</f>
        <v>++</v>
      </c>
    </row>
    <row r="61" spans="1:40" outlineLevel="2" x14ac:dyDescent="0.25">
      <c r="A61" t="s">
        <v>1524</v>
      </c>
      <c r="B61">
        <v>8</v>
      </c>
      <c r="C61" t="s">
        <v>1524</v>
      </c>
      <c r="D61" s="12" t="s">
        <v>7</v>
      </c>
      <c r="E61" s="12" t="s">
        <v>834</v>
      </c>
      <c r="F61" s="12" t="s">
        <v>1464</v>
      </c>
      <c r="G61" s="12" t="s">
        <v>1522</v>
      </c>
      <c r="H61" s="12" t="s">
        <v>1290</v>
      </c>
      <c r="I61" s="148"/>
      <c r="J61" s="149">
        <f>VLOOKUP($E61,'7. PGE_Efficacité'!$A$6:$BT$266,(MATCH('4.6 ACE MAX CAN '!J$4,'7. PGE_Efficacité'!$A$4:$BU$4,0)+31),0)</f>
        <v>0</v>
      </c>
      <c r="K61" s="149">
        <f>VLOOKUP($E61,'7. PGE_Efficacité'!$A$6:$BT$266,(MATCH('4.6 ACE MAX CAN '!K$4,'7. PGE_Efficacité'!$A$4:$BU$4,0)+31),0)</f>
        <v>0</v>
      </c>
      <c r="L61" s="149">
        <f>VLOOKUP($E61,'7. PGE_Efficacité'!$A$6:$BT$266,(MATCH('4.6 ACE MAX CAN '!L$4,'7. PGE_Efficacité'!$A$4:$BU$4,0)+31),0)</f>
        <v>0</v>
      </c>
      <c r="M61" s="149">
        <f>VLOOKUP($E61,'7. PGE_Efficacité'!$A$6:$BT$266,(MATCH('4.6 ACE MAX CAN '!M$4,'7. PGE_Efficacité'!$A$4:$BU$4,0)+31),0)</f>
        <v>0</v>
      </c>
      <c r="N61" s="149">
        <f>VLOOKUP($E61,'7. PGE_Efficacité'!$A$6:$BT$266,(MATCH('4.6 ACE MAX CAN '!N$4,'7. PGE_Efficacité'!$A$4:$BU$4,0)+31),0)</f>
        <v>0</v>
      </c>
      <c r="O61" s="149" t="str">
        <f>VLOOKUP($D61,'7. PGE_Efficacité'!$A$6:$BT$268,47,0)</f>
        <v>++</v>
      </c>
      <c r="P61" s="149">
        <f>VLOOKUP($E61,'7. PGE_Efficacité'!$A$6:$BT$266,(MATCH('4.6 ACE MAX CAN '!P$4,'7. PGE_Efficacité'!$A$4:$BU$4,0)+31),0)</f>
        <v>0</v>
      </c>
      <c r="Q61" s="149">
        <f>VLOOKUP($E61,'7. PGE_Efficacité'!$A$6:$BT$266,(MATCH('4.6 ACE MAX CAN '!Q$4,'7. PGE_Efficacité'!$A$4:$BU$4,0)+31),0)</f>
        <v>0</v>
      </c>
      <c r="R61" s="149">
        <f>VLOOKUP($E61,'7. PGE_Efficacité'!$A$6:$BT$266,(MATCH('4.6 ACE MAX CAN '!R$4,'7. PGE_Efficacité'!$A$4:$BU$4,0)+31),0)</f>
        <v>0</v>
      </c>
      <c r="S61" s="149">
        <f>VLOOKUP($E61,'7. PGE_Efficacité'!$A$6:$BT$266,(MATCH('4.6 ACE MAX CAN '!S$4,'7. PGE_Efficacité'!$A$4:$BU$4,0)+31),0)</f>
        <v>0</v>
      </c>
      <c r="T61" s="149">
        <f>VLOOKUP($E61,'7. PGE_Efficacité'!$A$6:$BT$266,(MATCH('4.6 ACE MAX CAN '!T$4,'7. PGE_Efficacité'!$A$4:$BU$4,0)+31),0)</f>
        <v>0</v>
      </c>
      <c r="U61" s="149">
        <f>VLOOKUP($E61,'7. PGE_Efficacité'!$A$6:$BT$266,(MATCH('4.6 ACE MAX CAN '!U$4,'7. PGE_Efficacité'!$A$4:$BU$4,0)+31),0)</f>
        <v>0</v>
      </c>
      <c r="V61" s="149">
        <f>VLOOKUP($E61,'7. PGE_Efficacité'!$A$6:$BT$266,(MATCH('4.6 ACE MAX CAN '!V$4,'7. PGE_Efficacité'!$A$4:$BU$4,0)+31),0)</f>
        <v>0</v>
      </c>
      <c r="W61" s="149">
        <f>VLOOKUP($E61,'7. PGE_Efficacité'!$A$6:$BT$266,(MATCH('4.6 ACE MAX CAN '!W$4,'7. PGE_Efficacité'!$A$4:$BU$4,0)+31),0)</f>
        <v>0</v>
      </c>
      <c r="X61" s="149">
        <f>VLOOKUP($E61,'7. PGE_Efficacité'!$A$6:$BT$266,(MATCH('4.6 ACE MAX CAN '!X$4,'7. PGE_Efficacité'!$A$4:$BU$4,0)+31),0)</f>
        <v>0</v>
      </c>
      <c r="Y61" s="212">
        <f>VLOOKUP($E61,'7. PGE_Efficacité'!$A$6:$BT$266,(MATCH('4.6 ACE MAX CAN '!Y$4,'7. PGE_Efficacité'!$A$4:$BU$4,0)+31),0)</f>
        <v>0</v>
      </c>
      <c r="Z61" s="212">
        <f>VLOOKUP($E61,'7. PGE_Efficacité'!$A$6:$BT$266,(MATCH('4.6 ACE MAX CAN '!Z$4,'7. PGE_Efficacité'!$A$4:$BU$4,0)+31),0)</f>
        <v>0</v>
      </c>
      <c r="AA61" s="212">
        <f>VLOOKUP($E61,'7. PGE_Efficacité'!$A$6:$BT$266,(MATCH('4.6 ACE MAX CAN '!AA$4,'7. PGE_Efficacité'!$A$4:$BU$4,0)+31),0)</f>
        <v>0</v>
      </c>
      <c r="AB61" s="212">
        <f>VLOOKUP($E61,'7. PGE_Efficacité'!$A$6:$BT$266,(MATCH('4.6 ACE MAX CAN '!AB$4,'7. PGE_Efficacité'!$A$4:$BU$4,0)+31),0)</f>
        <v>0</v>
      </c>
      <c r="AC61" s="212">
        <f>VLOOKUP($E61,'7. PGE_Efficacité'!$A$6:$BT$266,(MATCH('4.6 ACE MAX CAN '!AC$4,'7. PGE_Efficacité'!$A$4:$BU$4,0)+31),0)</f>
        <v>0</v>
      </c>
      <c r="AD61" s="212">
        <f>VLOOKUP($E61,'7. PGE_Efficacité'!$A$6:$BT$266,(MATCH('4.6 ACE MAX CAN '!AD$4,'7. PGE_Efficacité'!$A$4:$BU$4,0)+31),0)</f>
        <v>0</v>
      </c>
      <c r="AE61" s="212">
        <f>VLOOKUP($E61,'7. PGE_Efficacité'!$A$6:$BT$266,(MATCH('4.6 ACE MAX CAN '!AE$4,'7. PGE_Efficacité'!$A$4:$BU$4,0)+31),0)</f>
        <v>0</v>
      </c>
      <c r="AF61" s="212">
        <f>VLOOKUP($E61,'7. PGE_Efficacité'!$A$6:$BT$266,(MATCH('4.6 ACE MAX CAN '!AF$4,'7. PGE_Efficacité'!$A$4:$BU$4,0)+31),0)</f>
        <v>0</v>
      </c>
      <c r="AG61" s="212">
        <f>VLOOKUP($E61,'7. PGE_Efficacité'!$A$6:$BT$266,(MATCH('4.6 ACE MAX CAN '!AG$4,'7. PGE_Efficacité'!$A$4:$BU$4,0)+31),0)</f>
        <v>0</v>
      </c>
      <c r="AH61" s="212">
        <f>VLOOKUP($E61,'7. PGE_Efficacité'!$A$6:$BT$266,(MATCH('4.6 ACE MAX CAN '!AH$4,'7. PGE_Efficacité'!$A$4:$BU$4,0)+31),0)</f>
        <v>0</v>
      </c>
      <c r="AI61" s="212">
        <f>VLOOKUP($E61,'7. PGE_Efficacité'!$A$6:$BT$266,(MATCH('4.6 ACE MAX CAN '!AI$4,'7. PGE_Efficacité'!$A$4:$BU$4,0)+31),0)</f>
        <v>0</v>
      </c>
      <c r="AJ61" s="212">
        <f>VLOOKUP($E61,'7. PGE_Efficacité'!$A$6:$BT$266,(MATCH('4.6 ACE MAX CAN '!AJ$4,'7. PGE_Efficacité'!$A$4:$BU$4,0)+31),0)</f>
        <v>0</v>
      </c>
      <c r="AK61" s="212">
        <f>VLOOKUP($E61,'7. PGE_Efficacité'!$A$6:$BT$266,(MATCH('4.6 ACE MAX CAN '!AK$4,'7. PGE_Efficacité'!$A$4:$BU$4,0)+31),0)</f>
        <v>0</v>
      </c>
      <c r="AL61" s="212">
        <f>VLOOKUP($E61,'7. PGE_Efficacité'!$A$6:$BT$266,(MATCH('4.6 ACE MAX CAN '!AL$4,'7. PGE_Efficacité'!$A$4:$BU$4,0)+31),0)</f>
        <v>0</v>
      </c>
      <c r="AM61" s="212">
        <f>VLOOKUP($E61,'7. PGE_Efficacité'!$A$6:$BT$266,(MATCH('4.6 ACE MAX CAN '!AM$4,'7. PGE_Efficacité'!$A$4:$BU$4,0)+31),0)</f>
        <v>0</v>
      </c>
      <c r="AN61" s="212">
        <f>VLOOKUP($E61,'7. PGE_Efficacité'!$A$6:$BT$266,(MATCH('4.6 ACE MAX CAN '!AN$4,'7. PGE_Efficacité'!$A$4:$BU$4,0)+31),0)</f>
        <v>0</v>
      </c>
    </row>
    <row r="62" spans="1:40" outlineLevel="2" x14ac:dyDescent="0.25">
      <c r="A62" t="s">
        <v>1524</v>
      </c>
      <c r="B62">
        <v>8</v>
      </c>
      <c r="C62" t="s">
        <v>1525</v>
      </c>
      <c r="D62" s="12" t="s">
        <v>7</v>
      </c>
      <c r="E62" s="12" t="s">
        <v>835</v>
      </c>
      <c r="F62" s="12" t="s">
        <v>1465</v>
      </c>
      <c r="G62" s="12" t="s">
        <v>1522</v>
      </c>
      <c r="H62" s="12" t="s">
        <v>1290</v>
      </c>
      <c r="I62" s="148"/>
      <c r="J62" s="149">
        <f>VLOOKUP($E62,'7. PGE_Efficacité'!$A$6:$BT$266,(MATCH('4.6 ACE MAX CAN '!J$4,'7. PGE_Efficacité'!$A$4:$BU$4,0)+31),0)</f>
        <v>0</v>
      </c>
      <c r="K62" s="149">
        <f>VLOOKUP($E62,'7. PGE_Efficacité'!$A$6:$BT$266,(MATCH('4.6 ACE MAX CAN '!K$4,'7. PGE_Efficacité'!$A$4:$BU$4,0)+31),0)</f>
        <v>0</v>
      </c>
      <c r="L62" s="149">
        <f>VLOOKUP($E62,'7. PGE_Efficacité'!$A$6:$BT$266,(MATCH('4.6 ACE MAX CAN '!L$4,'7. PGE_Efficacité'!$A$4:$BU$4,0)+31),0)</f>
        <v>0</v>
      </c>
      <c r="M62" s="149">
        <f>VLOOKUP($E62,'7. PGE_Efficacité'!$A$6:$BT$266,(MATCH('4.6 ACE MAX CAN '!M$4,'7. PGE_Efficacité'!$A$4:$BU$4,0)+31),0)</f>
        <v>0</v>
      </c>
      <c r="N62" s="149">
        <f>VLOOKUP($E62,'7. PGE_Efficacité'!$A$6:$BT$266,(MATCH('4.6 ACE MAX CAN '!N$4,'7. PGE_Efficacité'!$A$4:$BU$4,0)+31),0)</f>
        <v>0</v>
      </c>
      <c r="O62" s="149" t="str">
        <f>VLOOKUP($D62,'7. PGE_Efficacité'!$A$6:$BT$268,47,0)</f>
        <v>++</v>
      </c>
      <c r="P62" s="149">
        <f>VLOOKUP($E62,'7. PGE_Efficacité'!$A$6:$BT$266,(MATCH('4.6 ACE MAX CAN '!P$4,'7. PGE_Efficacité'!$A$4:$BU$4,0)+31),0)</f>
        <v>0</v>
      </c>
      <c r="Q62" s="149">
        <f>VLOOKUP($E62,'7. PGE_Efficacité'!$A$6:$BT$266,(MATCH('4.6 ACE MAX CAN '!Q$4,'7. PGE_Efficacité'!$A$4:$BU$4,0)+31),0)</f>
        <v>0</v>
      </c>
      <c r="R62" s="149">
        <f>VLOOKUP($E62,'7. PGE_Efficacité'!$A$6:$BT$266,(MATCH('4.6 ACE MAX CAN '!R$4,'7. PGE_Efficacité'!$A$4:$BU$4,0)+31),0)</f>
        <v>0</v>
      </c>
      <c r="S62" s="149">
        <f>VLOOKUP($E62,'7. PGE_Efficacité'!$A$6:$BT$266,(MATCH('4.6 ACE MAX CAN '!S$4,'7. PGE_Efficacité'!$A$4:$BU$4,0)+31),0)</f>
        <v>0</v>
      </c>
      <c r="T62" s="149">
        <f>VLOOKUP($E62,'7. PGE_Efficacité'!$A$6:$BT$266,(MATCH('4.6 ACE MAX CAN '!T$4,'7. PGE_Efficacité'!$A$4:$BU$4,0)+31),0)</f>
        <v>0</v>
      </c>
      <c r="U62" s="149">
        <f>VLOOKUP($E62,'7. PGE_Efficacité'!$A$6:$BT$266,(MATCH('4.6 ACE MAX CAN '!U$4,'7. PGE_Efficacité'!$A$4:$BU$4,0)+31),0)</f>
        <v>0</v>
      </c>
      <c r="V62" s="149">
        <f>VLOOKUP($E62,'7. PGE_Efficacité'!$A$6:$BT$266,(MATCH('4.6 ACE MAX CAN '!V$4,'7. PGE_Efficacité'!$A$4:$BU$4,0)+31),0)</f>
        <v>0</v>
      </c>
      <c r="W62" s="149">
        <f>VLOOKUP($E62,'7. PGE_Efficacité'!$A$6:$BT$266,(MATCH('4.6 ACE MAX CAN '!W$4,'7. PGE_Efficacité'!$A$4:$BU$4,0)+31),0)</f>
        <v>0</v>
      </c>
      <c r="X62" s="149">
        <f>VLOOKUP($E62,'7. PGE_Efficacité'!$A$6:$BT$266,(MATCH('4.6 ACE MAX CAN '!X$4,'7. PGE_Efficacité'!$A$4:$BU$4,0)+31),0)</f>
        <v>0</v>
      </c>
      <c r="Y62" s="212">
        <f>VLOOKUP($E62,'7. PGE_Efficacité'!$A$6:$BT$266,(MATCH('4.6 ACE MAX CAN '!Y$4,'7. PGE_Efficacité'!$A$4:$BU$4,0)+31),0)</f>
        <v>0</v>
      </c>
      <c r="Z62" s="212">
        <f>VLOOKUP($E62,'7. PGE_Efficacité'!$A$6:$BT$266,(MATCH('4.6 ACE MAX CAN '!Z$4,'7. PGE_Efficacité'!$A$4:$BU$4,0)+31),0)</f>
        <v>0</v>
      </c>
      <c r="AA62" s="212">
        <f>VLOOKUP($E62,'7. PGE_Efficacité'!$A$6:$BT$266,(MATCH('4.6 ACE MAX CAN '!AA$4,'7. PGE_Efficacité'!$A$4:$BU$4,0)+31),0)</f>
        <v>0</v>
      </c>
      <c r="AB62" s="212">
        <f>VLOOKUP($E62,'7. PGE_Efficacité'!$A$6:$BT$266,(MATCH('4.6 ACE MAX CAN '!AB$4,'7. PGE_Efficacité'!$A$4:$BU$4,0)+31),0)</f>
        <v>0</v>
      </c>
      <c r="AC62" s="212">
        <f>VLOOKUP($E62,'7. PGE_Efficacité'!$A$6:$BT$266,(MATCH('4.6 ACE MAX CAN '!AC$4,'7. PGE_Efficacité'!$A$4:$BU$4,0)+31),0)</f>
        <v>0</v>
      </c>
      <c r="AD62" s="212">
        <f>VLOOKUP($E62,'7. PGE_Efficacité'!$A$6:$BT$266,(MATCH('4.6 ACE MAX CAN '!AD$4,'7. PGE_Efficacité'!$A$4:$BU$4,0)+31),0)</f>
        <v>0</v>
      </c>
      <c r="AE62" s="212">
        <f>VLOOKUP($E62,'7. PGE_Efficacité'!$A$6:$BT$266,(MATCH('4.6 ACE MAX CAN '!AE$4,'7. PGE_Efficacité'!$A$4:$BU$4,0)+31),0)</f>
        <v>0</v>
      </c>
      <c r="AF62" s="212">
        <f>VLOOKUP($E62,'7. PGE_Efficacité'!$A$6:$BT$266,(MATCH('4.6 ACE MAX CAN '!AF$4,'7. PGE_Efficacité'!$A$4:$BU$4,0)+31),0)</f>
        <v>0</v>
      </c>
      <c r="AG62" s="212">
        <f>VLOOKUP($E62,'7. PGE_Efficacité'!$A$6:$BT$266,(MATCH('4.6 ACE MAX CAN '!AG$4,'7. PGE_Efficacité'!$A$4:$BU$4,0)+31),0)</f>
        <v>0</v>
      </c>
      <c r="AH62" s="212">
        <f>VLOOKUP($E62,'7. PGE_Efficacité'!$A$6:$BT$266,(MATCH('4.6 ACE MAX CAN '!AH$4,'7. PGE_Efficacité'!$A$4:$BU$4,0)+31),0)</f>
        <v>0</v>
      </c>
      <c r="AI62" s="212">
        <f>VLOOKUP($E62,'7. PGE_Efficacité'!$A$6:$BT$266,(MATCH('4.6 ACE MAX CAN '!AI$4,'7. PGE_Efficacité'!$A$4:$BU$4,0)+31),0)</f>
        <v>0</v>
      </c>
      <c r="AJ62" s="212">
        <f>VLOOKUP($E62,'7. PGE_Efficacité'!$A$6:$BT$266,(MATCH('4.6 ACE MAX CAN '!AJ$4,'7. PGE_Efficacité'!$A$4:$BU$4,0)+31),0)</f>
        <v>0</v>
      </c>
      <c r="AK62" s="212">
        <f>VLOOKUP($E62,'7. PGE_Efficacité'!$A$6:$BT$266,(MATCH('4.6 ACE MAX CAN '!AK$4,'7. PGE_Efficacité'!$A$4:$BU$4,0)+31),0)</f>
        <v>0</v>
      </c>
      <c r="AL62" s="212">
        <f>VLOOKUP($E62,'7. PGE_Efficacité'!$A$6:$BT$266,(MATCH('4.6 ACE MAX CAN '!AL$4,'7. PGE_Efficacité'!$A$4:$BU$4,0)+31),0)</f>
        <v>0</v>
      </c>
      <c r="AM62" s="212">
        <f>VLOOKUP($E62,'7. PGE_Efficacité'!$A$6:$BT$266,(MATCH('4.6 ACE MAX CAN '!AM$4,'7. PGE_Efficacité'!$A$4:$BU$4,0)+31),0)</f>
        <v>0</v>
      </c>
      <c r="AN62" s="212">
        <f>VLOOKUP($E62,'7. PGE_Efficacité'!$A$6:$BT$266,(MATCH('4.6 ACE MAX CAN '!AN$4,'7. PGE_Efficacité'!$A$4:$BU$4,0)+31),0)</f>
        <v>0</v>
      </c>
    </row>
    <row r="63" spans="1:40" outlineLevel="2" x14ac:dyDescent="0.25">
      <c r="A63" t="s">
        <v>1524</v>
      </c>
      <c r="B63">
        <v>8</v>
      </c>
      <c r="C63" t="s">
        <v>1526</v>
      </c>
      <c r="D63" s="12" t="s">
        <v>7</v>
      </c>
      <c r="E63" s="12" t="s">
        <v>836</v>
      </c>
      <c r="F63" s="12" t="s">
        <v>1466</v>
      </c>
      <c r="G63" s="12" t="s">
        <v>1522</v>
      </c>
      <c r="H63" s="12" t="s">
        <v>1290</v>
      </c>
      <c r="I63" s="148"/>
      <c r="J63" s="149">
        <f>VLOOKUP($E63,'7. PGE_Efficacité'!$A$6:$BT$266,(MATCH('4.6 ACE MAX CAN '!J$4,'7. PGE_Efficacité'!$A$4:$BU$4,0)+31),0)</f>
        <v>0</v>
      </c>
      <c r="K63" s="149">
        <f>VLOOKUP($E63,'7. PGE_Efficacité'!$A$6:$BT$266,(MATCH('4.6 ACE MAX CAN '!K$4,'7. PGE_Efficacité'!$A$4:$BU$4,0)+31),0)</f>
        <v>0</v>
      </c>
      <c r="L63" s="149">
        <f>VLOOKUP($E63,'7. PGE_Efficacité'!$A$6:$BT$266,(MATCH('4.6 ACE MAX CAN '!L$4,'7. PGE_Efficacité'!$A$4:$BU$4,0)+31),0)</f>
        <v>0</v>
      </c>
      <c r="M63" s="149">
        <f>VLOOKUP($E63,'7. PGE_Efficacité'!$A$6:$BT$266,(MATCH('4.6 ACE MAX CAN '!M$4,'7. PGE_Efficacité'!$A$4:$BU$4,0)+31),0)</f>
        <v>0</v>
      </c>
      <c r="N63" s="149">
        <f>VLOOKUP($E63,'7. PGE_Efficacité'!$A$6:$BT$266,(MATCH('4.6 ACE MAX CAN '!N$4,'7. PGE_Efficacité'!$A$4:$BU$4,0)+31),0)</f>
        <v>0</v>
      </c>
      <c r="O63" s="149" t="str">
        <f>VLOOKUP($D63,'7. PGE_Efficacité'!$A$6:$BT$268,47,0)</f>
        <v>++</v>
      </c>
      <c r="P63" s="149">
        <f>VLOOKUP($E63,'7. PGE_Efficacité'!$A$6:$BT$266,(MATCH('4.6 ACE MAX CAN '!P$4,'7. PGE_Efficacité'!$A$4:$BU$4,0)+31),0)</f>
        <v>0</v>
      </c>
      <c r="Q63" s="149">
        <f>VLOOKUP($E63,'7. PGE_Efficacité'!$A$6:$BT$266,(MATCH('4.6 ACE MAX CAN '!Q$4,'7. PGE_Efficacité'!$A$4:$BU$4,0)+31),0)</f>
        <v>0</v>
      </c>
      <c r="R63" s="149">
        <f>VLOOKUP($E63,'7. PGE_Efficacité'!$A$6:$BT$266,(MATCH('4.6 ACE MAX CAN '!R$4,'7. PGE_Efficacité'!$A$4:$BU$4,0)+31),0)</f>
        <v>0</v>
      </c>
      <c r="S63" s="149">
        <f>VLOOKUP($E63,'7. PGE_Efficacité'!$A$6:$BT$266,(MATCH('4.6 ACE MAX CAN '!S$4,'7. PGE_Efficacité'!$A$4:$BU$4,0)+31),0)</f>
        <v>0</v>
      </c>
      <c r="T63" s="149">
        <f>VLOOKUP($E63,'7. PGE_Efficacité'!$A$6:$BT$266,(MATCH('4.6 ACE MAX CAN '!T$4,'7. PGE_Efficacité'!$A$4:$BU$4,0)+31),0)</f>
        <v>0</v>
      </c>
      <c r="U63" s="149">
        <f>VLOOKUP($E63,'7. PGE_Efficacité'!$A$6:$BT$266,(MATCH('4.6 ACE MAX CAN '!U$4,'7. PGE_Efficacité'!$A$4:$BU$4,0)+31),0)</f>
        <v>0</v>
      </c>
      <c r="V63" s="149">
        <f>VLOOKUP($E63,'7. PGE_Efficacité'!$A$6:$BT$266,(MATCH('4.6 ACE MAX CAN '!V$4,'7. PGE_Efficacité'!$A$4:$BU$4,0)+31),0)</f>
        <v>0</v>
      </c>
      <c r="W63" s="149">
        <f>VLOOKUP($E63,'7. PGE_Efficacité'!$A$6:$BT$266,(MATCH('4.6 ACE MAX CAN '!W$4,'7. PGE_Efficacité'!$A$4:$BU$4,0)+31),0)</f>
        <v>0</v>
      </c>
      <c r="X63" s="149">
        <f>VLOOKUP($E63,'7. PGE_Efficacité'!$A$6:$BT$266,(MATCH('4.6 ACE MAX CAN '!X$4,'7. PGE_Efficacité'!$A$4:$BU$4,0)+31),0)</f>
        <v>0</v>
      </c>
      <c r="Y63" s="212">
        <f>VLOOKUP($E63,'7. PGE_Efficacité'!$A$6:$BT$266,(MATCH('4.6 ACE MAX CAN '!Y$4,'7. PGE_Efficacité'!$A$4:$BU$4,0)+31),0)</f>
        <v>0</v>
      </c>
      <c r="Z63" s="212">
        <f>VLOOKUP($E63,'7. PGE_Efficacité'!$A$6:$BT$266,(MATCH('4.6 ACE MAX CAN '!Z$4,'7. PGE_Efficacité'!$A$4:$BU$4,0)+31),0)</f>
        <v>0</v>
      </c>
      <c r="AA63" s="212">
        <f>VLOOKUP($E63,'7. PGE_Efficacité'!$A$6:$BT$266,(MATCH('4.6 ACE MAX CAN '!AA$4,'7. PGE_Efficacité'!$A$4:$BU$4,0)+31),0)</f>
        <v>0</v>
      </c>
      <c r="AB63" s="212">
        <f>VLOOKUP($E63,'7. PGE_Efficacité'!$A$6:$BT$266,(MATCH('4.6 ACE MAX CAN '!AB$4,'7. PGE_Efficacité'!$A$4:$BU$4,0)+31),0)</f>
        <v>0</v>
      </c>
      <c r="AC63" s="212">
        <f>VLOOKUP($E63,'7. PGE_Efficacité'!$A$6:$BT$266,(MATCH('4.6 ACE MAX CAN '!AC$4,'7. PGE_Efficacité'!$A$4:$BU$4,0)+31),0)</f>
        <v>0</v>
      </c>
      <c r="AD63" s="212">
        <f>VLOOKUP($E63,'7. PGE_Efficacité'!$A$6:$BT$266,(MATCH('4.6 ACE MAX CAN '!AD$4,'7. PGE_Efficacité'!$A$4:$BU$4,0)+31),0)</f>
        <v>0</v>
      </c>
      <c r="AE63" s="212">
        <f>VLOOKUP($E63,'7. PGE_Efficacité'!$A$6:$BT$266,(MATCH('4.6 ACE MAX CAN '!AE$4,'7. PGE_Efficacité'!$A$4:$BU$4,0)+31),0)</f>
        <v>0</v>
      </c>
      <c r="AF63" s="212">
        <f>VLOOKUP($E63,'7. PGE_Efficacité'!$A$6:$BT$266,(MATCH('4.6 ACE MAX CAN '!AF$4,'7. PGE_Efficacité'!$A$4:$BU$4,0)+31),0)</f>
        <v>0</v>
      </c>
      <c r="AG63" s="212">
        <f>VLOOKUP($E63,'7. PGE_Efficacité'!$A$6:$BT$266,(MATCH('4.6 ACE MAX CAN '!AG$4,'7. PGE_Efficacité'!$A$4:$BU$4,0)+31),0)</f>
        <v>0</v>
      </c>
      <c r="AH63" s="212">
        <f>VLOOKUP($E63,'7. PGE_Efficacité'!$A$6:$BT$266,(MATCH('4.6 ACE MAX CAN '!AH$4,'7. PGE_Efficacité'!$A$4:$BU$4,0)+31),0)</f>
        <v>0</v>
      </c>
      <c r="AI63" s="212">
        <f>VLOOKUP($E63,'7. PGE_Efficacité'!$A$6:$BT$266,(MATCH('4.6 ACE MAX CAN '!AI$4,'7. PGE_Efficacité'!$A$4:$BU$4,0)+31),0)</f>
        <v>0</v>
      </c>
      <c r="AJ63" s="212">
        <f>VLOOKUP($E63,'7. PGE_Efficacité'!$A$6:$BT$266,(MATCH('4.6 ACE MAX CAN '!AJ$4,'7. PGE_Efficacité'!$A$4:$BU$4,0)+31),0)</f>
        <v>0</v>
      </c>
      <c r="AK63" s="212">
        <f>VLOOKUP($E63,'7. PGE_Efficacité'!$A$6:$BT$266,(MATCH('4.6 ACE MAX CAN '!AK$4,'7. PGE_Efficacité'!$A$4:$BU$4,0)+31),0)</f>
        <v>0</v>
      </c>
      <c r="AL63" s="212">
        <f>VLOOKUP($E63,'7. PGE_Efficacité'!$A$6:$BT$266,(MATCH('4.6 ACE MAX CAN '!AL$4,'7. PGE_Efficacité'!$A$4:$BU$4,0)+31),0)</f>
        <v>0</v>
      </c>
      <c r="AM63" s="212">
        <f>VLOOKUP($E63,'7. PGE_Efficacité'!$A$6:$BT$266,(MATCH('4.6 ACE MAX CAN '!AM$4,'7. PGE_Efficacité'!$A$4:$BU$4,0)+31),0)</f>
        <v>0</v>
      </c>
      <c r="AN63" s="212">
        <f>VLOOKUP($E63,'7. PGE_Efficacité'!$A$6:$BT$266,(MATCH('4.6 ACE MAX CAN '!AN$4,'7. PGE_Efficacité'!$A$4:$BU$4,0)+31),0)</f>
        <v>0</v>
      </c>
    </row>
    <row r="64" spans="1:40" outlineLevel="2" x14ac:dyDescent="0.25">
      <c r="A64" t="s">
        <v>1524</v>
      </c>
      <c r="B64">
        <v>8</v>
      </c>
      <c r="C64" t="s">
        <v>1527</v>
      </c>
      <c r="D64" s="12" t="s">
        <v>7</v>
      </c>
      <c r="E64" s="12" t="s">
        <v>837</v>
      </c>
      <c r="F64" s="12" t="s">
        <v>1467</v>
      </c>
      <c r="G64" s="12" t="s">
        <v>1522</v>
      </c>
      <c r="H64" s="12" t="s">
        <v>1290</v>
      </c>
      <c r="I64" s="148"/>
      <c r="J64" s="149">
        <f>VLOOKUP($E64,'7. PGE_Efficacité'!$A$6:$BT$266,(MATCH('4.6 ACE MAX CAN '!J$4,'7. PGE_Efficacité'!$A$4:$BU$4,0)+31),0)</f>
        <v>0</v>
      </c>
      <c r="K64" s="149">
        <f>VLOOKUP($E64,'7. PGE_Efficacité'!$A$6:$BT$266,(MATCH('4.6 ACE MAX CAN '!K$4,'7. PGE_Efficacité'!$A$4:$BU$4,0)+31),0)</f>
        <v>0</v>
      </c>
      <c r="L64" s="149">
        <f>VLOOKUP($E64,'7. PGE_Efficacité'!$A$6:$BT$266,(MATCH('4.6 ACE MAX CAN '!L$4,'7. PGE_Efficacité'!$A$4:$BU$4,0)+31),0)</f>
        <v>0</v>
      </c>
      <c r="M64" s="149">
        <f>VLOOKUP($E64,'7. PGE_Efficacité'!$A$6:$BT$266,(MATCH('4.6 ACE MAX CAN '!M$4,'7. PGE_Efficacité'!$A$4:$BU$4,0)+31),0)</f>
        <v>0</v>
      </c>
      <c r="N64" s="149">
        <f>VLOOKUP($E64,'7. PGE_Efficacité'!$A$6:$BT$266,(MATCH('4.6 ACE MAX CAN '!N$4,'7. PGE_Efficacité'!$A$4:$BU$4,0)+31),0)</f>
        <v>0</v>
      </c>
      <c r="O64" s="149" t="str">
        <f>VLOOKUP($D64,'7. PGE_Efficacité'!$A$6:$BT$268,47,0)</f>
        <v>++</v>
      </c>
      <c r="P64" s="149">
        <f>VLOOKUP($E64,'7. PGE_Efficacité'!$A$6:$BT$266,(MATCH('4.6 ACE MAX CAN '!P$4,'7. PGE_Efficacité'!$A$4:$BU$4,0)+31),0)</f>
        <v>0</v>
      </c>
      <c r="Q64" s="149">
        <f>VLOOKUP($E64,'7. PGE_Efficacité'!$A$6:$BT$266,(MATCH('4.6 ACE MAX CAN '!Q$4,'7. PGE_Efficacité'!$A$4:$BU$4,0)+31),0)</f>
        <v>0</v>
      </c>
      <c r="R64" s="149">
        <f>VLOOKUP($E64,'7. PGE_Efficacité'!$A$6:$BT$266,(MATCH('4.6 ACE MAX CAN '!R$4,'7. PGE_Efficacité'!$A$4:$BU$4,0)+31),0)</f>
        <v>0</v>
      </c>
      <c r="S64" s="149">
        <f>VLOOKUP($E64,'7. PGE_Efficacité'!$A$6:$BT$266,(MATCH('4.6 ACE MAX CAN '!S$4,'7. PGE_Efficacité'!$A$4:$BU$4,0)+31),0)</f>
        <v>0</v>
      </c>
      <c r="T64" s="149">
        <f>VLOOKUP($E64,'7. PGE_Efficacité'!$A$6:$BT$266,(MATCH('4.6 ACE MAX CAN '!T$4,'7. PGE_Efficacité'!$A$4:$BU$4,0)+31),0)</f>
        <v>0</v>
      </c>
      <c r="U64" s="149">
        <f>VLOOKUP($E64,'7. PGE_Efficacité'!$A$6:$BT$266,(MATCH('4.6 ACE MAX CAN '!U$4,'7. PGE_Efficacité'!$A$4:$BU$4,0)+31),0)</f>
        <v>0</v>
      </c>
      <c r="V64" s="149">
        <f>VLOOKUP($E64,'7. PGE_Efficacité'!$A$6:$BT$266,(MATCH('4.6 ACE MAX CAN '!V$4,'7. PGE_Efficacité'!$A$4:$BU$4,0)+31),0)</f>
        <v>0</v>
      </c>
      <c r="W64" s="149">
        <f>VLOOKUP($E64,'7. PGE_Efficacité'!$A$6:$BT$266,(MATCH('4.6 ACE MAX CAN '!W$4,'7. PGE_Efficacité'!$A$4:$BU$4,0)+31),0)</f>
        <v>0</v>
      </c>
      <c r="X64" s="149">
        <f>VLOOKUP($E64,'7. PGE_Efficacité'!$A$6:$BT$266,(MATCH('4.6 ACE MAX CAN '!X$4,'7. PGE_Efficacité'!$A$4:$BU$4,0)+31),0)</f>
        <v>0</v>
      </c>
      <c r="Y64" s="212">
        <f>VLOOKUP($E64,'7. PGE_Efficacité'!$A$6:$BT$266,(MATCH('4.6 ACE MAX CAN '!Y$4,'7. PGE_Efficacité'!$A$4:$BU$4,0)+31),0)</f>
        <v>0</v>
      </c>
      <c r="Z64" s="212">
        <f>VLOOKUP($E64,'7. PGE_Efficacité'!$A$6:$BT$266,(MATCH('4.6 ACE MAX CAN '!Z$4,'7. PGE_Efficacité'!$A$4:$BU$4,0)+31),0)</f>
        <v>0</v>
      </c>
      <c r="AA64" s="212">
        <f>VLOOKUP($E64,'7. PGE_Efficacité'!$A$6:$BT$266,(MATCH('4.6 ACE MAX CAN '!AA$4,'7. PGE_Efficacité'!$A$4:$BU$4,0)+31),0)</f>
        <v>0</v>
      </c>
      <c r="AB64" s="212">
        <f>VLOOKUP($E64,'7. PGE_Efficacité'!$A$6:$BT$266,(MATCH('4.6 ACE MAX CAN '!AB$4,'7. PGE_Efficacité'!$A$4:$BU$4,0)+31),0)</f>
        <v>0</v>
      </c>
      <c r="AC64" s="212">
        <f>VLOOKUP($E64,'7. PGE_Efficacité'!$A$6:$BT$266,(MATCH('4.6 ACE MAX CAN '!AC$4,'7. PGE_Efficacité'!$A$4:$BU$4,0)+31),0)</f>
        <v>0</v>
      </c>
      <c r="AD64" s="212">
        <f>VLOOKUP($E64,'7. PGE_Efficacité'!$A$6:$BT$266,(MATCH('4.6 ACE MAX CAN '!AD$4,'7. PGE_Efficacité'!$A$4:$BU$4,0)+31),0)</f>
        <v>0</v>
      </c>
      <c r="AE64" s="212">
        <f>VLOOKUP($E64,'7. PGE_Efficacité'!$A$6:$BT$266,(MATCH('4.6 ACE MAX CAN '!AE$4,'7. PGE_Efficacité'!$A$4:$BU$4,0)+31),0)</f>
        <v>0</v>
      </c>
      <c r="AF64" s="212">
        <f>VLOOKUP($E64,'7. PGE_Efficacité'!$A$6:$BT$266,(MATCH('4.6 ACE MAX CAN '!AF$4,'7. PGE_Efficacité'!$A$4:$BU$4,0)+31),0)</f>
        <v>0</v>
      </c>
      <c r="AG64" s="212">
        <f>VLOOKUP($E64,'7. PGE_Efficacité'!$A$6:$BT$266,(MATCH('4.6 ACE MAX CAN '!AG$4,'7. PGE_Efficacité'!$A$4:$BU$4,0)+31),0)</f>
        <v>0</v>
      </c>
      <c r="AH64" s="212">
        <f>VLOOKUP($E64,'7. PGE_Efficacité'!$A$6:$BT$266,(MATCH('4.6 ACE MAX CAN '!AH$4,'7. PGE_Efficacité'!$A$4:$BU$4,0)+31),0)</f>
        <v>0</v>
      </c>
      <c r="AI64" s="212">
        <f>VLOOKUP($E64,'7. PGE_Efficacité'!$A$6:$BT$266,(MATCH('4.6 ACE MAX CAN '!AI$4,'7. PGE_Efficacité'!$A$4:$BU$4,0)+31),0)</f>
        <v>0</v>
      </c>
      <c r="AJ64" s="212">
        <f>VLOOKUP($E64,'7. PGE_Efficacité'!$A$6:$BT$266,(MATCH('4.6 ACE MAX CAN '!AJ$4,'7. PGE_Efficacité'!$A$4:$BU$4,0)+31),0)</f>
        <v>0</v>
      </c>
      <c r="AK64" s="212">
        <f>VLOOKUP($E64,'7. PGE_Efficacité'!$A$6:$BT$266,(MATCH('4.6 ACE MAX CAN '!AK$4,'7. PGE_Efficacité'!$A$4:$BU$4,0)+31),0)</f>
        <v>0</v>
      </c>
      <c r="AL64" s="212">
        <f>VLOOKUP($E64,'7. PGE_Efficacité'!$A$6:$BT$266,(MATCH('4.6 ACE MAX CAN '!AL$4,'7. PGE_Efficacité'!$A$4:$BU$4,0)+31),0)</f>
        <v>0</v>
      </c>
      <c r="AM64" s="212">
        <f>VLOOKUP($E64,'7. PGE_Efficacité'!$A$6:$BT$266,(MATCH('4.6 ACE MAX CAN '!AM$4,'7. PGE_Efficacité'!$A$4:$BU$4,0)+31),0)</f>
        <v>0</v>
      </c>
      <c r="AN64" s="212">
        <f>VLOOKUP($E64,'7. PGE_Efficacité'!$A$6:$BT$266,(MATCH('4.6 ACE MAX CAN '!AN$4,'7. PGE_Efficacité'!$A$4:$BU$4,0)+31),0)</f>
        <v>0</v>
      </c>
    </row>
    <row r="65" spans="1:40" outlineLevel="2" x14ac:dyDescent="0.25">
      <c r="A65" t="s">
        <v>1524</v>
      </c>
      <c r="B65">
        <v>8</v>
      </c>
      <c r="C65" t="s">
        <v>1532</v>
      </c>
      <c r="D65" s="12" t="s">
        <v>7</v>
      </c>
      <c r="E65" s="12" t="s">
        <v>842</v>
      </c>
      <c r="F65" s="12" t="s">
        <v>1472</v>
      </c>
      <c r="G65" s="12" t="s">
        <v>1522</v>
      </c>
      <c r="H65" s="12" t="s">
        <v>1287</v>
      </c>
      <c r="I65" s="148"/>
      <c r="J65" s="149">
        <f>VLOOKUP($E65,'7. PGE_Efficacité'!$A$6:$BT$266,(MATCH('4.6 ACE MAX CAN '!J$4,'7. PGE_Efficacité'!$A$4:$BU$4,0)+31),0)</f>
        <v>0</v>
      </c>
      <c r="K65" s="149">
        <f>VLOOKUP($E65,'7. PGE_Efficacité'!$A$6:$BT$266,(MATCH('4.6 ACE MAX CAN '!K$4,'7. PGE_Efficacité'!$A$4:$BU$4,0)+31),0)</f>
        <v>0</v>
      </c>
      <c r="L65" s="149">
        <f>VLOOKUP($E65,'7. PGE_Efficacité'!$A$6:$BT$266,(MATCH('4.6 ACE MAX CAN '!L$4,'7. PGE_Efficacité'!$A$4:$BU$4,0)+31),0)</f>
        <v>0</v>
      </c>
      <c r="M65" s="149">
        <f>VLOOKUP($E65,'7. PGE_Efficacité'!$A$6:$BT$266,(MATCH('4.6 ACE MAX CAN '!M$4,'7. PGE_Efficacité'!$A$4:$BU$4,0)+31),0)</f>
        <v>0</v>
      </c>
      <c r="N65" s="149">
        <f>VLOOKUP($E65,'7. PGE_Efficacité'!$A$6:$BT$266,(MATCH('4.6 ACE MAX CAN '!N$4,'7. PGE_Efficacité'!$A$4:$BU$4,0)+31),0)</f>
        <v>0</v>
      </c>
      <c r="O65" s="149" t="str">
        <f>VLOOKUP($D65,'7. PGE_Efficacité'!$A$6:$BT$268,47,0)</f>
        <v>++</v>
      </c>
      <c r="P65" s="149">
        <f>VLOOKUP($E65,'7. PGE_Efficacité'!$A$6:$BT$266,(MATCH('4.6 ACE MAX CAN '!P$4,'7. PGE_Efficacité'!$A$4:$BU$4,0)+31),0)</f>
        <v>0</v>
      </c>
      <c r="Q65" s="149">
        <f>VLOOKUP($E65,'7. PGE_Efficacité'!$A$6:$BT$266,(MATCH('4.6 ACE MAX CAN '!Q$4,'7. PGE_Efficacité'!$A$4:$BU$4,0)+31),0)</f>
        <v>0</v>
      </c>
      <c r="R65" s="149">
        <f>VLOOKUP($E65,'7. PGE_Efficacité'!$A$6:$BT$266,(MATCH('4.6 ACE MAX CAN '!R$4,'7. PGE_Efficacité'!$A$4:$BU$4,0)+31),0)</f>
        <v>0</v>
      </c>
      <c r="S65" s="149">
        <f>VLOOKUP($E65,'7. PGE_Efficacité'!$A$6:$BT$266,(MATCH('4.6 ACE MAX CAN '!S$4,'7. PGE_Efficacité'!$A$4:$BU$4,0)+31),0)</f>
        <v>0</v>
      </c>
      <c r="T65" s="149">
        <f>VLOOKUP($E65,'7. PGE_Efficacité'!$A$6:$BT$266,(MATCH('4.6 ACE MAX CAN '!T$4,'7. PGE_Efficacité'!$A$4:$BU$4,0)+31),0)</f>
        <v>0</v>
      </c>
      <c r="U65" s="149">
        <f>VLOOKUP($E65,'7. PGE_Efficacité'!$A$6:$BT$266,(MATCH('4.6 ACE MAX CAN '!U$4,'7. PGE_Efficacité'!$A$4:$BU$4,0)+31),0)</f>
        <v>0</v>
      </c>
      <c r="V65" s="149">
        <f>VLOOKUP($E65,'7. PGE_Efficacité'!$A$6:$BT$266,(MATCH('4.6 ACE MAX CAN '!V$4,'7. PGE_Efficacité'!$A$4:$BU$4,0)+31),0)</f>
        <v>0</v>
      </c>
      <c r="W65" s="149">
        <f>VLOOKUP($E65,'7. PGE_Efficacité'!$A$6:$BT$266,(MATCH('4.6 ACE MAX CAN '!W$4,'7. PGE_Efficacité'!$A$4:$BU$4,0)+31),0)</f>
        <v>0</v>
      </c>
      <c r="X65" s="149">
        <f>VLOOKUP($E65,'7. PGE_Efficacité'!$A$6:$BT$266,(MATCH('4.6 ACE MAX CAN '!X$4,'7. PGE_Efficacité'!$A$4:$BU$4,0)+31),0)</f>
        <v>0</v>
      </c>
      <c r="Y65" s="212">
        <f>VLOOKUP($E65,'7. PGE_Efficacité'!$A$6:$BT$266,(MATCH('4.6 ACE MAX CAN '!Y$4,'7. PGE_Efficacité'!$A$4:$BU$4,0)+31),0)</f>
        <v>0</v>
      </c>
      <c r="Z65" s="212">
        <f>VLOOKUP($E65,'7. PGE_Efficacité'!$A$6:$BT$266,(MATCH('4.6 ACE MAX CAN '!Z$4,'7. PGE_Efficacité'!$A$4:$BU$4,0)+31),0)</f>
        <v>0</v>
      </c>
      <c r="AA65" s="212">
        <f>VLOOKUP($E65,'7. PGE_Efficacité'!$A$6:$BT$266,(MATCH('4.6 ACE MAX CAN '!AA$4,'7. PGE_Efficacité'!$A$4:$BU$4,0)+31),0)</f>
        <v>0</v>
      </c>
      <c r="AB65" s="212">
        <f>VLOOKUP($E65,'7. PGE_Efficacité'!$A$6:$BT$266,(MATCH('4.6 ACE MAX CAN '!AB$4,'7. PGE_Efficacité'!$A$4:$BU$4,0)+31),0)</f>
        <v>0</v>
      </c>
      <c r="AC65" s="212">
        <f>VLOOKUP($E65,'7. PGE_Efficacité'!$A$6:$BT$266,(MATCH('4.6 ACE MAX CAN '!AC$4,'7. PGE_Efficacité'!$A$4:$BU$4,0)+31),0)</f>
        <v>0</v>
      </c>
      <c r="AD65" s="212">
        <f>VLOOKUP($E65,'7. PGE_Efficacité'!$A$6:$BT$266,(MATCH('4.6 ACE MAX CAN '!AD$4,'7. PGE_Efficacité'!$A$4:$BU$4,0)+31),0)</f>
        <v>0</v>
      </c>
      <c r="AE65" s="212">
        <f>VLOOKUP($E65,'7. PGE_Efficacité'!$A$6:$BT$266,(MATCH('4.6 ACE MAX CAN '!AE$4,'7. PGE_Efficacité'!$A$4:$BU$4,0)+31),0)</f>
        <v>0</v>
      </c>
      <c r="AF65" s="212">
        <f>VLOOKUP($E65,'7. PGE_Efficacité'!$A$6:$BT$266,(MATCH('4.6 ACE MAX CAN '!AF$4,'7. PGE_Efficacité'!$A$4:$BU$4,0)+31),0)</f>
        <v>0</v>
      </c>
      <c r="AG65" s="212">
        <f>VLOOKUP($E65,'7. PGE_Efficacité'!$A$6:$BT$266,(MATCH('4.6 ACE MAX CAN '!AG$4,'7. PGE_Efficacité'!$A$4:$BU$4,0)+31),0)</f>
        <v>0</v>
      </c>
      <c r="AH65" s="212">
        <f>VLOOKUP($E65,'7. PGE_Efficacité'!$A$6:$BT$266,(MATCH('4.6 ACE MAX CAN '!AH$4,'7. PGE_Efficacité'!$A$4:$BU$4,0)+31),0)</f>
        <v>0</v>
      </c>
      <c r="AI65" s="212">
        <f>VLOOKUP($E65,'7. PGE_Efficacité'!$A$6:$BT$266,(MATCH('4.6 ACE MAX CAN '!AI$4,'7. PGE_Efficacité'!$A$4:$BU$4,0)+31),0)</f>
        <v>0</v>
      </c>
      <c r="AJ65" s="212">
        <f>VLOOKUP($E65,'7. PGE_Efficacité'!$A$6:$BT$266,(MATCH('4.6 ACE MAX CAN '!AJ$4,'7. PGE_Efficacité'!$A$4:$BU$4,0)+31),0)</f>
        <v>0</v>
      </c>
      <c r="AK65" s="212">
        <f>VLOOKUP($E65,'7. PGE_Efficacité'!$A$6:$BT$266,(MATCH('4.6 ACE MAX CAN '!AK$4,'7. PGE_Efficacité'!$A$4:$BU$4,0)+31),0)</f>
        <v>0</v>
      </c>
      <c r="AL65" s="212">
        <f>VLOOKUP($E65,'7. PGE_Efficacité'!$A$6:$BT$266,(MATCH('4.6 ACE MAX CAN '!AL$4,'7. PGE_Efficacité'!$A$4:$BU$4,0)+31),0)</f>
        <v>0</v>
      </c>
      <c r="AM65" s="212">
        <f>VLOOKUP($E65,'7. PGE_Efficacité'!$A$6:$BT$266,(MATCH('4.6 ACE MAX CAN '!AM$4,'7. PGE_Efficacité'!$A$4:$BU$4,0)+31),0)</f>
        <v>0</v>
      </c>
      <c r="AN65" s="212">
        <f>VLOOKUP($E65,'7. PGE_Efficacité'!$A$6:$BT$266,(MATCH('4.6 ACE MAX CAN '!AN$4,'7. PGE_Efficacité'!$A$4:$BU$4,0)+31),0)</f>
        <v>0</v>
      </c>
    </row>
    <row r="66" spans="1:40" ht="26.25" outlineLevel="1" x14ac:dyDescent="0.25">
      <c r="D66" s="360" t="s">
        <v>8</v>
      </c>
      <c r="E66" s="360"/>
      <c r="F66" s="361" t="str">
        <f>VLOOKUP(D66,'1. Mesures'!$A$2:$B$116,2,0)</f>
        <v>Mettre en place un système de régulation des débits circulant dans le réseau d’assainissement pour réduire la fréquence des déversements au niveau des déversoirs d’orage et assurer un meilleur traitement des eaux usées</v>
      </c>
      <c r="G66" s="360"/>
      <c r="H66" s="360"/>
      <c r="I66" s="362">
        <f>MEDIAN(VLOOKUP(D66,'4. Mesures_ACE_Budget'!$A$3:$R$32,17,0),VLOOKUP(D66,'4. Mesures_ACE_Budget'!$A$3:$R$32,18,0))</f>
        <v>0</v>
      </c>
      <c r="J66" s="212">
        <f>VLOOKUP($D66,'7. PGE_Efficacité'!$A$6:$BT$266,(MATCH('4.6 ACE MAX CAN '!J$4,'7. PGE_Efficacité'!$A$4:$AO$4,0)+31),0)</f>
        <v>0</v>
      </c>
      <c r="K66" s="212" t="str">
        <f>VLOOKUP($D66,'7. PGE_Efficacité'!$A$6:$BT$266,(MATCH('4.6 ACE MAX CAN '!K$4,'7. PGE_Efficacité'!$A$4:$AO$4,0)+31),0)</f>
        <v>++</v>
      </c>
      <c r="L66" s="212" t="str">
        <f>VLOOKUP($D66,'7. PGE_Efficacité'!$A$6:$BT$266,(MATCH('4.6 ACE MAX CAN '!L$4,'7. PGE_Efficacité'!$A$4:$AO$4,0)+31),0)</f>
        <v>++</v>
      </c>
      <c r="M66" s="212" t="str">
        <f>VLOOKUP($D66,'7. PGE_Efficacité'!$A$6:$BT$266,(MATCH('4.6 ACE MAX CAN '!M$4,'7. PGE_Efficacité'!$A$4:$AO$4,0)+31),0)</f>
        <v>++</v>
      </c>
      <c r="N66" s="212" t="str">
        <f>VLOOKUP($D66,'7. PGE_Efficacité'!$A$6:$BT$266,(MATCH('4.6 ACE MAX CAN '!N$4,'7. PGE_Efficacité'!$A$4:$AO$4,0)+31),0)</f>
        <v>++</v>
      </c>
      <c r="O66" s="212" t="str">
        <f>VLOOKUP($D66,'7. PGE_Efficacité'!$A$6:$BT$268,47,0)</f>
        <v>++</v>
      </c>
      <c r="P66" s="212">
        <f>VLOOKUP($D66,'7. PGE_Efficacité'!$A$6:$BT$266,(MATCH('4.6 ACE MAX CAN '!P$4,'7. PGE_Efficacité'!$A$4:$AO$4,0)+31),0)</f>
        <v>0</v>
      </c>
      <c r="Q66" s="212" t="str">
        <f>VLOOKUP($D66,'7. PGE_Efficacité'!$A$6:$BT$266,(MATCH('4.6 ACE MAX CAN '!Q$4,'7. PGE_Efficacité'!$A$4:$AO$4,0)+31),0)</f>
        <v>++</v>
      </c>
      <c r="R66" s="212" t="str">
        <f>VLOOKUP($D66,'7. PGE_Efficacité'!$A$6:$BT$266,(MATCH('4.6 ACE MAX CAN '!R$4,'7. PGE_Efficacité'!$A$4:$AO$4,0)+31),0)</f>
        <v>+</v>
      </c>
      <c r="S66" s="212">
        <f>VLOOKUP($D66,'7. PGE_Efficacité'!$A$6:$BT$266,(MATCH('4.6 ACE MAX CAN '!S$4,'7. PGE_Efficacité'!$A$4:$AO$4,0)+31),0)</f>
        <v>0</v>
      </c>
      <c r="T66" s="212" t="str">
        <f>VLOOKUP($D66,'7. PGE_Efficacité'!$A$6:$BT$266,(MATCH('4.6 ACE MAX CAN '!T$4,'7. PGE_Efficacité'!$A$4:$AO$4,0)+31),0)</f>
        <v>+</v>
      </c>
      <c r="U66" s="212" t="str">
        <f>VLOOKUP($D66,'7. PGE_Efficacité'!$A$6:$BT$266,(MATCH('4.6 ACE MAX CAN '!U$4,'7. PGE_Efficacité'!$A$4:$AO$4,0)+31),0)</f>
        <v>+</v>
      </c>
      <c r="V66" s="212" t="str">
        <f>VLOOKUP($D66,'7. PGE_Efficacité'!$A$6:$BT$266,(MATCH('4.6 ACE MAX CAN '!V$4,'7. PGE_Efficacité'!$A$4:$AO$4,0)+31),0)</f>
        <v>+</v>
      </c>
      <c r="W66" s="212" t="str">
        <f>VLOOKUP($D66,'7. PGE_Efficacité'!$A$6:$BT$266,(MATCH('4.6 ACE MAX CAN '!W$4,'7. PGE_Efficacité'!$A$4:$AO$4,0)+31),0)</f>
        <v>++</v>
      </c>
      <c r="X66" s="212">
        <f>VLOOKUP($D66,'7. PGE_Efficacité'!$A$6:$BT$266,(MATCH('4.6 ACE MAX CAN '!X$4,'7. PGE_Efficacité'!$A$4:$AO$4,0)+31),0)</f>
        <v>0</v>
      </c>
      <c r="Y66" s="212" t="str">
        <f>VLOOKUP($D66,'7. PGE_Efficacité'!$A$6:$BT$266,(MATCH('4.6 ACE MAX CAN '!Y$4,'7. PGE_Efficacité'!$A$4:$AO$4,0)+31),0)</f>
        <v>++</v>
      </c>
      <c r="Z66" s="212" t="str">
        <f>VLOOKUP($D66,'7. PGE_Efficacité'!$A$6:$BT$266,(MATCH('4.6 ACE MAX CAN '!Z$4,'7. PGE_Efficacité'!$A$4:$AO$4,0)+31),0)</f>
        <v>++</v>
      </c>
      <c r="AA66" s="212">
        <f>VLOOKUP($D66,'7. PGE_Efficacité'!$A$6:$BT$266,(MATCH('4.6 ACE MAX CAN '!AA$4,'7. PGE_Efficacité'!$A$4:$AO$4,0)+31),0)</f>
        <v>0</v>
      </c>
      <c r="AB66" s="212">
        <f>VLOOKUP($D66,'7. PGE_Efficacité'!$A$6:$BT$266,(MATCH('4.6 ACE MAX CAN '!AB$4,'7. PGE_Efficacité'!$A$4:$AO$4,0)+31),0)</f>
        <v>0</v>
      </c>
      <c r="AC66" s="212">
        <f>VLOOKUP($D66,'7. PGE_Efficacité'!$A$6:$BT$266,(MATCH('4.6 ACE MAX CAN '!AC$4,'7. PGE_Efficacité'!$A$4:$AO$4,0)+31),0)</f>
        <v>0</v>
      </c>
      <c r="AD66" s="212">
        <f>VLOOKUP($D66,'7. PGE_Efficacité'!$A$6:$BT$266,(MATCH('4.6 ACE MAX CAN '!AD$4,'7. PGE_Efficacité'!$A$4:$AO$4,0)+31),0)</f>
        <v>0</v>
      </c>
      <c r="AE66" s="212">
        <f>VLOOKUP($D66,'7. PGE_Efficacité'!$A$6:$BT$266,(MATCH('4.6 ACE MAX CAN '!AE$4,'7. PGE_Efficacité'!$A$4:$AO$4,0)+31),0)</f>
        <v>0</v>
      </c>
      <c r="AF66" s="212">
        <f>VLOOKUP($D66,'7. PGE_Efficacité'!$A$6:$BT$266,(MATCH('4.6 ACE MAX CAN '!AF$4,'7. PGE_Efficacité'!$A$4:$AO$4,0)+31),0)</f>
        <v>0</v>
      </c>
      <c r="AG66" s="212">
        <f>VLOOKUP($D66,'7. PGE_Efficacité'!$A$6:$BT$266,(MATCH('4.6 ACE MAX CAN '!AG$4,'7. PGE_Efficacité'!$A$4:$AO$4,0)+31),0)</f>
        <v>0</v>
      </c>
      <c r="AH66" s="212">
        <f>VLOOKUP($D66,'7. PGE_Efficacité'!$A$6:$BT$266,(MATCH('4.6 ACE MAX CAN '!AH$4,'7. PGE_Efficacité'!$A$4:$AO$4,0)+31),0)</f>
        <v>0</v>
      </c>
      <c r="AI66" s="212">
        <f>VLOOKUP($D66,'7. PGE_Efficacité'!$A$6:$BT$266,(MATCH('4.6 ACE MAX CAN '!AI$4,'7. PGE_Efficacité'!$A$4:$AO$4,0)+31),0)</f>
        <v>0</v>
      </c>
      <c r="AJ66" s="212">
        <f>VLOOKUP($D66,'7. PGE_Efficacité'!$A$6:$BT$266,(MATCH('4.6 ACE MAX CAN '!AJ$4,'7. PGE_Efficacité'!$A$4:$AO$4,0)+31),0)</f>
        <v>0</v>
      </c>
      <c r="AK66" s="212" t="str">
        <f>VLOOKUP($D66,'7. PGE_Efficacité'!$A$6:$BT$266,(MATCH('4.6 ACE MAX CAN '!AK$4,'7. PGE_Efficacité'!$A$4:$AO$4,0)+31),0)</f>
        <v>++</v>
      </c>
      <c r="AL66" s="212">
        <f>VLOOKUP($D66,'7. PGE_Efficacité'!$A$6:$BT$266,(MATCH('4.6 ACE MAX CAN '!AL$4,'7. PGE_Efficacité'!$A$4:$AO$4,0)+31),0)</f>
        <v>0</v>
      </c>
      <c r="AM66" s="212" t="str">
        <f>VLOOKUP($D66,'7. PGE_Efficacité'!$A$6:$BT$266,(MATCH('4.6 ACE MAX CAN '!AM$4,'7. PGE_Efficacité'!$A$4:$AO$4,0)+31),0)</f>
        <v>++</v>
      </c>
      <c r="AN66" s="212" t="str">
        <f>VLOOKUP($D66,'7. PGE_Efficacité'!$A$6:$BT$266,(MATCH('4.6 ACE MAX CAN '!AN$4,'7. PGE_Efficacité'!$A$4:$AO$4,0)+31),0)</f>
        <v>++</v>
      </c>
    </row>
    <row r="67" spans="1:40" outlineLevel="2" x14ac:dyDescent="0.25">
      <c r="A67" t="s">
        <v>1524</v>
      </c>
      <c r="B67">
        <v>9</v>
      </c>
      <c r="C67" t="s">
        <v>1524</v>
      </c>
      <c r="D67" s="12" t="s">
        <v>8</v>
      </c>
      <c r="E67" s="12" t="s">
        <v>843</v>
      </c>
      <c r="F67" s="12" t="s">
        <v>1473</v>
      </c>
      <c r="G67" s="12" t="s">
        <v>1522</v>
      </c>
      <c r="H67" s="12" t="s">
        <v>1290</v>
      </c>
      <c r="I67" s="148"/>
      <c r="J67" s="149">
        <f>VLOOKUP($E67,'7. PGE_Efficacité'!$A$6:$BT$266,(MATCH('4.6 ACE MAX CAN '!J$4,'7. PGE_Efficacité'!$A$4:$BU$4,0)+31),0)</f>
        <v>0</v>
      </c>
      <c r="K67" s="149">
        <f>VLOOKUP($E67,'7. PGE_Efficacité'!$A$6:$BT$266,(MATCH('4.6 ACE MAX CAN '!K$4,'7. PGE_Efficacité'!$A$4:$BU$4,0)+31),0)</f>
        <v>0</v>
      </c>
      <c r="L67" s="149">
        <f>VLOOKUP($E67,'7. PGE_Efficacité'!$A$6:$BT$266,(MATCH('4.6 ACE MAX CAN '!L$4,'7. PGE_Efficacité'!$A$4:$BU$4,0)+31),0)</f>
        <v>0</v>
      </c>
      <c r="M67" s="149">
        <f>VLOOKUP($E67,'7. PGE_Efficacité'!$A$6:$BT$266,(MATCH('4.6 ACE MAX CAN '!M$4,'7. PGE_Efficacité'!$A$4:$BU$4,0)+31),0)</f>
        <v>0</v>
      </c>
      <c r="N67" s="149">
        <f>VLOOKUP($E67,'7. PGE_Efficacité'!$A$6:$BT$266,(MATCH('4.6 ACE MAX CAN '!N$4,'7. PGE_Efficacité'!$A$4:$BU$4,0)+31),0)</f>
        <v>0</v>
      </c>
      <c r="O67" s="149" t="str">
        <f>VLOOKUP($D67,'7. PGE_Efficacité'!$A$6:$BT$268,47,0)</f>
        <v>++</v>
      </c>
      <c r="P67" s="149">
        <f>VLOOKUP($E67,'7. PGE_Efficacité'!$A$6:$BT$266,(MATCH('4.6 ACE MAX CAN '!P$4,'7. PGE_Efficacité'!$A$4:$BU$4,0)+31),0)</f>
        <v>0</v>
      </c>
      <c r="Q67" s="149">
        <f>VLOOKUP($E67,'7. PGE_Efficacité'!$A$6:$BT$266,(MATCH('4.6 ACE MAX CAN '!Q$4,'7. PGE_Efficacité'!$A$4:$BU$4,0)+31),0)</f>
        <v>0</v>
      </c>
      <c r="R67" s="149">
        <f>VLOOKUP($E67,'7. PGE_Efficacité'!$A$6:$BT$266,(MATCH('4.6 ACE MAX CAN '!R$4,'7. PGE_Efficacité'!$A$4:$BU$4,0)+31),0)</f>
        <v>0</v>
      </c>
      <c r="S67" s="149">
        <f>VLOOKUP($E67,'7. PGE_Efficacité'!$A$6:$BT$266,(MATCH('4.6 ACE MAX CAN '!S$4,'7. PGE_Efficacité'!$A$4:$BU$4,0)+31),0)</f>
        <v>0</v>
      </c>
      <c r="T67" s="149">
        <f>VLOOKUP($E67,'7. PGE_Efficacité'!$A$6:$BT$266,(MATCH('4.6 ACE MAX CAN '!T$4,'7. PGE_Efficacité'!$A$4:$BU$4,0)+31),0)</f>
        <v>0</v>
      </c>
      <c r="U67" s="149">
        <f>VLOOKUP($E67,'7. PGE_Efficacité'!$A$6:$BT$266,(MATCH('4.6 ACE MAX CAN '!U$4,'7. PGE_Efficacité'!$A$4:$BU$4,0)+31),0)</f>
        <v>0</v>
      </c>
      <c r="V67" s="149">
        <f>VLOOKUP($E67,'7. PGE_Efficacité'!$A$6:$BT$266,(MATCH('4.6 ACE MAX CAN '!V$4,'7. PGE_Efficacité'!$A$4:$BU$4,0)+31),0)</f>
        <v>0</v>
      </c>
      <c r="W67" s="149">
        <f>VLOOKUP($E67,'7. PGE_Efficacité'!$A$6:$BT$266,(MATCH('4.6 ACE MAX CAN '!W$4,'7. PGE_Efficacité'!$A$4:$BU$4,0)+31),0)</f>
        <v>0</v>
      </c>
      <c r="X67" s="149">
        <f>VLOOKUP($E67,'7. PGE_Efficacité'!$A$6:$BT$266,(MATCH('4.6 ACE MAX CAN '!X$4,'7. PGE_Efficacité'!$A$4:$BU$4,0)+31),0)</f>
        <v>0</v>
      </c>
      <c r="Y67" s="212">
        <f>VLOOKUP($E67,'7. PGE_Efficacité'!$A$6:$BT$266,(MATCH('4.6 ACE MAX CAN '!Y$4,'7. PGE_Efficacité'!$A$4:$BU$4,0)+31),0)</f>
        <v>0</v>
      </c>
      <c r="Z67" s="212">
        <f>VLOOKUP($E67,'7. PGE_Efficacité'!$A$6:$BT$266,(MATCH('4.6 ACE MAX CAN '!Z$4,'7. PGE_Efficacité'!$A$4:$BU$4,0)+31),0)</f>
        <v>0</v>
      </c>
      <c r="AA67" s="212">
        <f>VLOOKUP($E67,'7. PGE_Efficacité'!$A$6:$BT$266,(MATCH('4.6 ACE MAX CAN '!AA$4,'7. PGE_Efficacité'!$A$4:$BU$4,0)+31),0)</f>
        <v>0</v>
      </c>
      <c r="AB67" s="212">
        <f>VLOOKUP($E67,'7. PGE_Efficacité'!$A$6:$BT$266,(MATCH('4.6 ACE MAX CAN '!AB$4,'7. PGE_Efficacité'!$A$4:$BU$4,0)+31),0)</f>
        <v>0</v>
      </c>
      <c r="AC67" s="212">
        <f>VLOOKUP($E67,'7. PGE_Efficacité'!$A$6:$BT$266,(MATCH('4.6 ACE MAX CAN '!AC$4,'7. PGE_Efficacité'!$A$4:$BU$4,0)+31),0)</f>
        <v>0</v>
      </c>
      <c r="AD67" s="212">
        <f>VLOOKUP($E67,'7. PGE_Efficacité'!$A$6:$BT$266,(MATCH('4.6 ACE MAX CAN '!AD$4,'7. PGE_Efficacité'!$A$4:$BU$4,0)+31),0)</f>
        <v>0</v>
      </c>
      <c r="AE67" s="212">
        <f>VLOOKUP($E67,'7. PGE_Efficacité'!$A$6:$BT$266,(MATCH('4.6 ACE MAX CAN '!AE$4,'7. PGE_Efficacité'!$A$4:$BU$4,0)+31),0)</f>
        <v>0</v>
      </c>
      <c r="AF67" s="212">
        <f>VLOOKUP($E67,'7. PGE_Efficacité'!$A$6:$BT$266,(MATCH('4.6 ACE MAX CAN '!AF$4,'7. PGE_Efficacité'!$A$4:$BU$4,0)+31),0)</f>
        <v>0</v>
      </c>
      <c r="AG67" s="212">
        <f>VLOOKUP($E67,'7. PGE_Efficacité'!$A$6:$BT$266,(MATCH('4.6 ACE MAX CAN '!AG$4,'7. PGE_Efficacité'!$A$4:$BU$4,0)+31),0)</f>
        <v>0</v>
      </c>
      <c r="AH67" s="212">
        <f>VLOOKUP($E67,'7. PGE_Efficacité'!$A$6:$BT$266,(MATCH('4.6 ACE MAX CAN '!AH$4,'7. PGE_Efficacité'!$A$4:$BU$4,0)+31),0)</f>
        <v>0</v>
      </c>
      <c r="AI67" s="212">
        <f>VLOOKUP($E67,'7. PGE_Efficacité'!$A$6:$BT$266,(MATCH('4.6 ACE MAX CAN '!AI$4,'7. PGE_Efficacité'!$A$4:$BU$4,0)+31),0)</f>
        <v>0</v>
      </c>
      <c r="AJ67" s="212">
        <f>VLOOKUP($E67,'7. PGE_Efficacité'!$A$6:$BT$266,(MATCH('4.6 ACE MAX CAN '!AJ$4,'7. PGE_Efficacité'!$A$4:$BU$4,0)+31),0)</f>
        <v>0</v>
      </c>
      <c r="AK67" s="212">
        <f>VLOOKUP($E67,'7. PGE_Efficacité'!$A$6:$BT$266,(MATCH('4.6 ACE MAX CAN '!AK$4,'7. PGE_Efficacité'!$A$4:$BU$4,0)+31),0)</f>
        <v>0</v>
      </c>
      <c r="AL67" s="212">
        <f>VLOOKUP($E67,'7. PGE_Efficacité'!$A$6:$BT$266,(MATCH('4.6 ACE MAX CAN '!AL$4,'7. PGE_Efficacité'!$A$4:$BU$4,0)+31),0)</f>
        <v>0</v>
      </c>
      <c r="AM67" s="212">
        <f>VLOOKUP($E67,'7. PGE_Efficacité'!$A$6:$BT$266,(MATCH('4.6 ACE MAX CAN '!AM$4,'7. PGE_Efficacité'!$A$4:$BU$4,0)+31),0)</f>
        <v>0</v>
      </c>
      <c r="AN67" s="212">
        <f>VLOOKUP($E67,'7. PGE_Efficacité'!$A$6:$BT$266,(MATCH('4.6 ACE MAX CAN '!AN$4,'7. PGE_Efficacité'!$A$4:$BU$4,0)+31),0)</f>
        <v>0</v>
      </c>
    </row>
    <row r="68" spans="1:40" outlineLevel="2" x14ac:dyDescent="0.25">
      <c r="A68" t="s">
        <v>1524</v>
      </c>
      <c r="B68">
        <v>9</v>
      </c>
      <c r="C68" t="s">
        <v>1532</v>
      </c>
      <c r="D68" s="12" t="s">
        <v>8</v>
      </c>
      <c r="E68" s="12" t="s">
        <v>851</v>
      </c>
      <c r="F68" s="12" t="s">
        <v>1481</v>
      </c>
      <c r="G68" s="12" t="s">
        <v>1522</v>
      </c>
      <c r="H68" s="12" t="s">
        <v>1290</v>
      </c>
      <c r="I68" s="148"/>
      <c r="J68" s="149">
        <f>VLOOKUP($E68,'7. PGE_Efficacité'!$A$6:$BT$266,(MATCH('4.6 ACE MAX CAN '!J$4,'7. PGE_Efficacité'!$A$4:$BU$4,0)+31),0)</f>
        <v>0</v>
      </c>
      <c r="K68" s="149">
        <f>VLOOKUP($E68,'7. PGE_Efficacité'!$A$6:$BT$266,(MATCH('4.6 ACE MAX CAN '!K$4,'7. PGE_Efficacité'!$A$4:$BU$4,0)+31),0)</f>
        <v>0</v>
      </c>
      <c r="L68" s="149">
        <f>VLOOKUP($E68,'7. PGE_Efficacité'!$A$6:$BT$266,(MATCH('4.6 ACE MAX CAN '!L$4,'7. PGE_Efficacité'!$A$4:$BU$4,0)+31),0)</f>
        <v>0</v>
      </c>
      <c r="M68" s="149">
        <f>VLOOKUP($E68,'7. PGE_Efficacité'!$A$6:$BT$266,(MATCH('4.6 ACE MAX CAN '!M$4,'7. PGE_Efficacité'!$A$4:$BU$4,0)+31),0)</f>
        <v>0</v>
      </c>
      <c r="N68" s="149">
        <f>VLOOKUP($E68,'7. PGE_Efficacité'!$A$6:$BT$266,(MATCH('4.6 ACE MAX CAN '!N$4,'7. PGE_Efficacité'!$A$4:$BU$4,0)+31),0)</f>
        <v>0</v>
      </c>
      <c r="O68" s="149" t="str">
        <f>VLOOKUP($D68,'7. PGE_Efficacité'!$A$6:$BT$268,47,0)</f>
        <v>++</v>
      </c>
      <c r="P68" s="149">
        <f>VLOOKUP($E68,'7. PGE_Efficacité'!$A$6:$BT$266,(MATCH('4.6 ACE MAX CAN '!P$4,'7. PGE_Efficacité'!$A$4:$BU$4,0)+31),0)</f>
        <v>0</v>
      </c>
      <c r="Q68" s="149">
        <f>VLOOKUP($E68,'7. PGE_Efficacité'!$A$6:$BT$266,(MATCH('4.6 ACE MAX CAN '!Q$4,'7. PGE_Efficacité'!$A$4:$BU$4,0)+31),0)</f>
        <v>0</v>
      </c>
      <c r="R68" s="149">
        <f>VLOOKUP($E68,'7. PGE_Efficacité'!$A$6:$BT$266,(MATCH('4.6 ACE MAX CAN '!R$4,'7. PGE_Efficacité'!$A$4:$BU$4,0)+31),0)</f>
        <v>0</v>
      </c>
      <c r="S68" s="149">
        <f>VLOOKUP($E68,'7. PGE_Efficacité'!$A$6:$BT$266,(MATCH('4.6 ACE MAX CAN '!S$4,'7. PGE_Efficacité'!$A$4:$BU$4,0)+31),0)</f>
        <v>0</v>
      </c>
      <c r="T68" s="149">
        <f>VLOOKUP($E68,'7. PGE_Efficacité'!$A$6:$BT$266,(MATCH('4.6 ACE MAX CAN '!T$4,'7. PGE_Efficacité'!$A$4:$BU$4,0)+31),0)</f>
        <v>0</v>
      </c>
      <c r="U68" s="149">
        <f>VLOOKUP($E68,'7. PGE_Efficacité'!$A$6:$BT$266,(MATCH('4.6 ACE MAX CAN '!U$4,'7. PGE_Efficacité'!$A$4:$BU$4,0)+31),0)</f>
        <v>0</v>
      </c>
      <c r="V68" s="149">
        <f>VLOOKUP($E68,'7. PGE_Efficacité'!$A$6:$BT$266,(MATCH('4.6 ACE MAX CAN '!V$4,'7. PGE_Efficacité'!$A$4:$BU$4,0)+31),0)</f>
        <v>0</v>
      </c>
      <c r="W68" s="149">
        <f>VLOOKUP($E68,'7. PGE_Efficacité'!$A$6:$BT$266,(MATCH('4.6 ACE MAX CAN '!W$4,'7. PGE_Efficacité'!$A$4:$BU$4,0)+31),0)</f>
        <v>0</v>
      </c>
      <c r="X68" s="149">
        <f>VLOOKUP($E68,'7. PGE_Efficacité'!$A$6:$BT$266,(MATCH('4.6 ACE MAX CAN '!X$4,'7. PGE_Efficacité'!$A$4:$BU$4,0)+31),0)</f>
        <v>0</v>
      </c>
      <c r="Y68" s="212">
        <f>VLOOKUP($E68,'7. PGE_Efficacité'!$A$6:$BT$266,(MATCH('4.6 ACE MAX CAN '!Y$4,'7. PGE_Efficacité'!$A$4:$BU$4,0)+31),0)</f>
        <v>0</v>
      </c>
      <c r="Z68" s="212">
        <f>VLOOKUP($E68,'7. PGE_Efficacité'!$A$6:$BT$266,(MATCH('4.6 ACE MAX CAN '!Z$4,'7. PGE_Efficacité'!$A$4:$BU$4,0)+31),0)</f>
        <v>0</v>
      </c>
      <c r="AA68" s="212">
        <f>VLOOKUP($E68,'7. PGE_Efficacité'!$A$6:$BT$266,(MATCH('4.6 ACE MAX CAN '!AA$4,'7. PGE_Efficacité'!$A$4:$BU$4,0)+31),0)</f>
        <v>0</v>
      </c>
      <c r="AB68" s="212">
        <f>VLOOKUP($E68,'7. PGE_Efficacité'!$A$6:$BT$266,(MATCH('4.6 ACE MAX CAN '!AB$4,'7. PGE_Efficacité'!$A$4:$BU$4,0)+31),0)</f>
        <v>0</v>
      </c>
      <c r="AC68" s="212">
        <f>VLOOKUP($E68,'7. PGE_Efficacité'!$A$6:$BT$266,(MATCH('4.6 ACE MAX CAN '!AC$4,'7. PGE_Efficacité'!$A$4:$BU$4,0)+31),0)</f>
        <v>0</v>
      </c>
      <c r="AD68" s="212">
        <f>VLOOKUP($E68,'7. PGE_Efficacité'!$A$6:$BT$266,(MATCH('4.6 ACE MAX CAN '!AD$4,'7. PGE_Efficacité'!$A$4:$BU$4,0)+31),0)</f>
        <v>0</v>
      </c>
      <c r="AE68" s="212">
        <f>VLOOKUP($E68,'7. PGE_Efficacité'!$A$6:$BT$266,(MATCH('4.6 ACE MAX CAN '!AE$4,'7. PGE_Efficacité'!$A$4:$BU$4,0)+31),0)</f>
        <v>0</v>
      </c>
      <c r="AF68" s="212">
        <f>VLOOKUP($E68,'7. PGE_Efficacité'!$A$6:$BT$266,(MATCH('4.6 ACE MAX CAN '!AF$4,'7. PGE_Efficacité'!$A$4:$BU$4,0)+31),0)</f>
        <v>0</v>
      </c>
      <c r="AG68" s="212">
        <f>VLOOKUP($E68,'7. PGE_Efficacité'!$A$6:$BT$266,(MATCH('4.6 ACE MAX CAN '!AG$4,'7. PGE_Efficacité'!$A$4:$BU$4,0)+31),0)</f>
        <v>0</v>
      </c>
      <c r="AH68" s="212">
        <f>VLOOKUP($E68,'7. PGE_Efficacité'!$A$6:$BT$266,(MATCH('4.6 ACE MAX CAN '!AH$4,'7. PGE_Efficacité'!$A$4:$BU$4,0)+31),0)</f>
        <v>0</v>
      </c>
      <c r="AI68" s="212">
        <f>VLOOKUP($E68,'7. PGE_Efficacité'!$A$6:$BT$266,(MATCH('4.6 ACE MAX CAN '!AI$4,'7. PGE_Efficacité'!$A$4:$BU$4,0)+31),0)</f>
        <v>0</v>
      </c>
      <c r="AJ68" s="212">
        <f>VLOOKUP($E68,'7. PGE_Efficacité'!$A$6:$BT$266,(MATCH('4.6 ACE MAX CAN '!AJ$4,'7. PGE_Efficacité'!$A$4:$BU$4,0)+31),0)</f>
        <v>0</v>
      </c>
      <c r="AK68" s="212">
        <f>VLOOKUP($E68,'7. PGE_Efficacité'!$A$6:$BT$266,(MATCH('4.6 ACE MAX CAN '!AK$4,'7. PGE_Efficacité'!$A$4:$BU$4,0)+31),0)</f>
        <v>0</v>
      </c>
      <c r="AL68" s="212">
        <f>VLOOKUP($E68,'7. PGE_Efficacité'!$A$6:$BT$266,(MATCH('4.6 ACE MAX CAN '!AL$4,'7. PGE_Efficacité'!$A$4:$BU$4,0)+31),0)</f>
        <v>0</v>
      </c>
      <c r="AM68" s="212">
        <f>VLOOKUP($E68,'7. PGE_Efficacité'!$A$6:$BT$266,(MATCH('4.6 ACE MAX CAN '!AM$4,'7. PGE_Efficacité'!$A$4:$BU$4,0)+31),0)</f>
        <v>0</v>
      </c>
      <c r="AN68" s="212">
        <f>VLOOKUP($E68,'7. PGE_Efficacité'!$A$6:$BT$266,(MATCH('4.6 ACE MAX CAN '!AN$4,'7. PGE_Efficacité'!$A$4:$BU$4,0)+31),0)</f>
        <v>0</v>
      </c>
    </row>
    <row r="69" spans="1:40" outlineLevel="1" x14ac:dyDescent="0.25">
      <c r="D69" s="360" t="s">
        <v>9</v>
      </c>
      <c r="E69" s="360"/>
      <c r="F69" s="361" t="str">
        <f>VLOOKUP(D69,'1. Mesures'!$A$2:$B$116,2,0)</f>
        <v>Réaliser les chainons manquants entre le réseau public d'égouttage et les collecteurs (égouts "orphelins")</v>
      </c>
      <c r="G69" s="360"/>
      <c r="H69" s="360"/>
      <c r="I69" s="362">
        <f>MEDIAN(VLOOKUP(D69,'4. Mesures_ACE_Budget'!$A$3:$R$32,17,0),VLOOKUP(D69,'4. Mesures_ACE_Budget'!$A$3:$R$32,18,0))</f>
        <v>0</v>
      </c>
      <c r="J69" s="212">
        <f>VLOOKUP($D69,'7. PGE_Efficacité'!$A$6:$BT$266,(MATCH('4.6 ACE MAX CAN '!J$4,'7. PGE_Efficacité'!$A$4:$AO$4,0)+31),0)</f>
        <v>0</v>
      </c>
      <c r="K69" s="212">
        <f>VLOOKUP($D69,'7. PGE_Efficacité'!$A$6:$BT$266,(MATCH('4.6 ACE MAX CAN '!K$4,'7. PGE_Efficacité'!$A$4:$AO$4,0)+31),0)</f>
        <v>0</v>
      </c>
      <c r="L69" s="212">
        <f>VLOOKUP($D69,'7. PGE_Efficacité'!$A$6:$BT$266,(MATCH('4.6 ACE MAX CAN '!L$4,'7. PGE_Efficacité'!$A$4:$AO$4,0)+31),0)</f>
        <v>0</v>
      </c>
      <c r="M69" s="212">
        <f>VLOOKUP($D69,'7. PGE_Efficacité'!$A$6:$BT$266,(MATCH('4.6 ACE MAX CAN '!M$4,'7. PGE_Efficacité'!$A$4:$AO$4,0)+31),0)</f>
        <v>0</v>
      </c>
      <c r="N69" s="212">
        <f>VLOOKUP($D69,'7. PGE_Efficacité'!$A$6:$BT$266,(MATCH('4.6 ACE MAX CAN '!N$4,'7. PGE_Efficacité'!$A$4:$AO$4,0)+31),0)</f>
        <v>0</v>
      </c>
      <c r="O69" s="212">
        <f>VLOOKUP($D69,'7. PGE_Efficacité'!$A$6:$BT$268,47,0)</f>
        <v>0</v>
      </c>
      <c r="P69" s="212">
        <f>VLOOKUP($D69,'7. PGE_Efficacité'!$A$6:$BT$266,(MATCH('4.6 ACE MAX CAN '!P$4,'7. PGE_Efficacité'!$A$4:$AO$4,0)+31),0)</f>
        <v>0</v>
      </c>
      <c r="Q69" s="212">
        <f>VLOOKUP($D69,'7. PGE_Efficacité'!$A$6:$BT$266,(MATCH('4.6 ACE MAX CAN '!Q$4,'7. PGE_Efficacité'!$A$4:$AO$4,0)+31),0)</f>
        <v>0</v>
      </c>
      <c r="R69" s="212">
        <f>VLOOKUP($D69,'7. PGE_Efficacité'!$A$6:$BT$266,(MATCH('4.6 ACE MAX CAN '!R$4,'7. PGE_Efficacité'!$A$4:$AO$4,0)+31),0)</f>
        <v>0</v>
      </c>
      <c r="S69" s="212">
        <f>VLOOKUP($D69,'7. PGE_Efficacité'!$A$6:$BT$266,(MATCH('4.6 ACE MAX CAN '!S$4,'7. PGE_Efficacité'!$A$4:$AO$4,0)+31),0)</f>
        <v>0</v>
      </c>
      <c r="T69" s="212">
        <f>VLOOKUP($D69,'7. PGE_Efficacité'!$A$6:$BT$266,(MATCH('4.6 ACE MAX CAN '!T$4,'7. PGE_Efficacité'!$A$4:$AO$4,0)+31),0)</f>
        <v>0</v>
      </c>
      <c r="U69" s="212">
        <f>VLOOKUP($D69,'7. PGE_Efficacité'!$A$6:$BT$266,(MATCH('4.6 ACE MAX CAN '!U$4,'7. PGE_Efficacité'!$A$4:$AO$4,0)+31),0)</f>
        <v>0</v>
      </c>
      <c r="V69" s="212">
        <f>VLOOKUP($D69,'7. PGE_Efficacité'!$A$6:$BT$266,(MATCH('4.6 ACE MAX CAN '!V$4,'7. PGE_Efficacité'!$A$4:$AO$4,0)+31),0)</f>
        <v>0</v>
      </c>
      <c r="W69" s="212">
        <f>VLOOKUP($D69,'7. PGE_Efficacité'!$A$6:$BT$266,(MATCH('4.6 ACE MAX CAN '!W$4,'7. PGE_Efficacité'!$A$4:$AO$4,0)+31),0)</f>
        <v>0</v>
      </c>
      <c r="X69" s="212">
        <f>VLOOKUP($D69,'7. PGE_Efficacité'!$A$6:$BT$266,(MATCH('4.6 ACE MAX CAN '!X$4,'7. PGE_Efficacité'!$A$4:$AO$4,0)+31),0)</f>
        <v>0</v>
      </c>
      <c r="Y69" s="212">
        <f>VLOOKUP($D69,'7. PGE_Efficacité'!$A$6:$BT$266,(MATCH('4.6 ACE MAX CAN '!Y$4,'7. PGE_Efficacité'!$A$4:$AO$4,0)+31),0)</f>
        <v>0</v>
      </c>
      <c r="Z69" s="212">
        <f>VLOOKUP($D69,'7. PGE_Efficacité'!$A$6:$BT$266,(MATCH('4.6 ACE MAX CAN '!Z$4,'7. PGE_Efficacité'!$A$4:$AO$4,0)+31),0)</f>
        <v>0</v>
      </c>
      <c r="AA69" s="212">
        <f>VLOOKUP($D69,'7. PGE_Efficacité'!$A$6:$BT$266,(MATCH('4.6 ACE MAX CAN '!AA$4,'7. PGE_Efficacité'!$A$4:$AO$4,0)+31),0)</f>
        <v>0</v>
      </c>
      <c r="AB69" s="212">
        <f>VLOOKUP($D69,'7. PGE_Efficacité'!$A$6:$BT$266,(MATCH('4.6 ACE MAX CAN '!AB$4,'7. PGE_Efficacité'!$A$4:$AO$4,0)+31),0)</f>
        <v>0</v>
      </c>
      <c r="AC69" s="212">
        <f>VLOOKUP($D69,'7. PGE_Efficacité'!$A$6:$BT$266,(MATCH('4.6 ACE MAX CAN '!AC$4,'7. PGE_Efficacité'!$A$4:$AO$4,0)+31),0)</f>
        <v>0</v>
      </c>
      <c r="AD69" s="212">
        <f>VLOOKUP($D69,'7. PGE_Efficacité'!$A$6:$BT$266,(MATCH('4.6 ACE MAX CAN '!AD$4,'7. PGE_Efficacité'!$A$4:$AO$4,0)+31),0)</f>
        <v>0</v>
      </c>
      <c r="AE69" s="212">
        <f>VLOOKUP($D69,'7. PGE_Efficacité'!$A$6:$BT$266,(MATCH('4.6 ACE MAX CAN '!AE$4,'7. PGE_Efficacité'!$A$4:$AO$4,0)+31),0)</f>
        <v>0</v>
      </c>
      <c r="AF69" s="212">
        <f>VLOOKUP($D69,'7. PGE_Efficacité'!$A$6:$BT$266,(MATCH('4.6 ACE MAX CAN '!AF$4,'7. PGE_Efficacité'!$A$4:$AO$4,0)+31),0)</f>
        <v>0</v>
      </c>
      <c r="AG69" s="212">
        <f>VLOOKUP($D69,'7. PGE_Efficacité'!$A$6:$BT$266,(MATCH('4.6 ACE MAX CAN '!AG$4,'7. PGE_Efficacité'!$A$4:$AO$4,0)+31),0)</f>
        <v>0</v>
      </c>
      <c r="AH69" s="212">
        <f>VLOOKUP($D69,'7. PGE_Efficacité'!$A$6:$BT$266,(MATCH('4.6 ACE MAX CAN '!AH$4,'7. PGE_Efficacité'!$A$4:$AO$4,0)+31),0)</f>
        <v>0</v>
      </c>
      <c r="AI69" s="212">
        <f>VLOOKUP($D69,'7. PGE_Efficacité'!$A$6:$BT$266,(MATCH('4.6 ACE MAX CAN '!AI$4,'7. PGE_Efficacité'!$A$4:$AO$4,0)+31),0)</f>
        <v>0</v>
      </c>
      <c r="AJ69" s="212">
        <f>VLOOKUP($D69,'7. PGE_Efficacité'!$A$6:$BT$266,(MATCH('4.6 ACE MAX CAN '!AJ$4,'7. PGE_Efficacité'!$A$4:$AO$4,0)+31),0)</f>
        <v>0</v>
      </c>
      <c r="AK69" s="212">
        <f>VLOOKUP($D69,'7. PGE_Efficacité'!$A$6:$BT$266,(MATCH('4.6 ACE MAX CAN '!AK$4,'7. PGE_Efficacité'!$A$4:$AO$4,0)+31),0)</f>
        <v>0</v>
      </c>
      <c r="AL69" s="212">
        <f>VLOOKUP($D69,'7. PGE_Efficacité'!$A$6:$BT$266,(MATCH('4.6 ACE MAX CAN '!AL$4,'7. PGE_Efficacité'!$A$4:$AO$4,0)+31),0)</f>
        <v>0</v>
      </c>
      <c r="AM69" s="212">
        <f>VLOOKUP($D69,'7. PGE_Efficacité'!$A$6:$BT$266,(MATCH('4.6 ACE MAX CAN '!AM$4,'7. PGE_Efficacité'!$A$4:$AO$4,0)+31),0)</f>
        <v>0</v>
      </c>
      <c r="AN69" s="212">
        <f>VLOOKUP($D69,'7. PGE_Efficacité'!$A$6:$BT$266,(MATCH('4.6 ACE MAX CAN '!AN$4,'7. PGE_Efficacité'!$A$4:$AO$4,0)+31),0)</f>
        <v>0</v>
      </c>
    </row>
    <row r="70" spans="1:40" outlineLevel="2" x14ac:dyDescent="0.25">
      <c r="A70" t="s">
        <v>1524</v>
      </c>
      <c r="B70">
        <v>10</v>
      </c>
      <c r="C70" t="s">
        <v>1525</v>
      </c>
      <c r="D70" s="12" t="s">
        <v>9</v>
      </c>
      <c r="E70" s="12" t="s">
        <v>651</v>
      </c>
      <c r="F70" s="12" t="s">
        <v>1311</v>
      </c>
      <c r="G70" s="12" t="s">
        <v>1522</v>
      </c>
      <c r="H70" s="12" t="s">
        <v>1287</v>
      </c>
      <c r="I70" s="148"/>
      <c r="J70" s="149">
        <f>VLOOKUP($E70,'7. PGE_Efficacité'!$A$6:$BT$266,(MATCH('4.6 ACE MAX CAN '!J$4,'7. PGE_Efficacité'!$A$4:$BU$4,0)+31),0)</f>
        <v>0</v>
      </c>
      <c r="K70" s="149">
        <f>VLOOKUP($E70,'7. PGE_Efficacité'!$A$6:$BT$266,(MATCH('4.6 ACE MAX CAN '!K$4,'7. PGE_Efficacité'!$A$4:$BU$4,0)+31),0)</f>
        <v>0</v>
      </c>
      <c r="L70" s="149">
        <f>VLOOKUP($E70,'7. PGE_Efficacité'!$A$6:$BT$266,(MATCH('4.6 ACE MAX CAN '!L$4,'7. PGE_Efficacité'!$A$4:$BU$4,0)+31),0)</f>
        <v>0</v>
      </c>
      <c r="M70" s="149">
        <f>VLOOKUP($E70,'7. PGE_Efficacité'!$A$6:$BT$266,(MATCH('4.6 ACE MAX CAN '!M$4,'7. PGE_Efficacité'!$A$4:$BU$4,0)+31),0)</f>
        <v>0</v>
      </c>
      <c r="N70" s="149">
        <f>VLOOKUP($E70,'7. PGE_Efficacité'!$A$6:$BT$266,(MATCH('4.6 ACE MAX CAN '!N$4,'7. PGE_Efficacité'!$A$4:$BU$4,0)+31),0)</f>
        <v>0</v>
      </c>
      <c r="O70" s="149">
        <f>VLOOKUP($D70,'7. PGE_Efficacité'!$A$6:$BT$268,47,0)</f>
        <v>0</v>
      </c>
      <c r="P70" s="149">
        <f>VLOOKUP($E70,'7. PGE_Efficacité'!$A$6:$BT$266,(MATCH('4.6 ACE MAX CAN '!P$4,'7. PGE_Efficacité'!$A$4:$BU$4,0)+31),0)</f>
        <v>0</v>
      </c>
      <c r="Q70" s="149">
        <f>VLOOKUP($E70,'7. PGE_Efficacité'!$A$6:$BT$266,(MATCH('4.6 ACE MAX CAN '!Q$4,'7. PGE_Efficacité'!$A$4:$BU$4,0)+31),0)</f>
        <v>0</v>
      </c>
      <c r="R70" s="149">
        <f>VLOOKUP($E70,'7. PGE_Efficacité'!$A$6:$BT$266,(MATCH('4.6 ACE MAX CAN '!R$4,'7. PGE_Efficacité'!$A$4:$BU$4,0)+31),0)</f>
        <v>0</v>
      </c>
      <c r="S70" s="149">
        <f>VLOOKUP($E70,'7. PGE_Efficacité'!$A$6:$BT$266,(MATCH('4.6 ACE MAX CAN '!S$4,'7. PGE_Efficacité'!$A$4:$BU$4,0)+31),0)</f>
        <v>0</v>
      </c>
      <c r="T70" s="149">
        <f>VLOOKUP($E70,'7. PGE_Efficacité'!$A$6:$BT$266,(MATCH('4.6 ACE MAX CAN '!T$4,'7. PGE_Efficacité'!$A$4:$BU$4,0)+31),0)</f>
        <v>0</v>
      </c>
      <c r="U70" s="149">
        <f>VLOOKUP($E70,'7. PGE_Efficacité'!$A$6:$BT$266,(MATCH('4.6 ACE MAX CAN '!U$4,'7. PGE_Efficacité'!$A$4:$BU$4,0)+31),0)</f>
        <v>0</v>
      </c>
      <c r="V70" s="149">
        <f>VLOOKUP($E70,'7. PGE_Efficacité'!$A$6:$BT$266,(MATCH('4.6 ACE MAX CAN '!V$4,'7. PGE_Efficacité'!$A$4:$BU$4,0)+31),0)</f>
        <v>0</v>
      </c>
      <c r="W70" s="149">
        <f>VLOOKUP($E70,'7. PGE_Efficacité'!$A$6:$BT$266,(MATCH('4.6 ACE MAX CAN '!W$4,'7. PGE_Efficacité'!$A$4:$BU$4,0)+31),0)</f>
        <v>0</v>
      </c>
      <c r="X70" s="149">
        <f>VLOOKUP($E70,'7. PGE_Efficacité'!$A$6:$BT$266,(MATCH('4.6 ACE MAX CAN '!X$4,'7. PGE_Efficacité'!$A$4:$BU$4,0)+31),0)</f>
        <v>0</v>
      </c>
      <c r="Y70" s="212">
        <f>VLOOKUP($E70,'7. PGE_Efficacité'!$A$6:$BT$266,(MATCH('4.6 ACE MAX CAN '!Y$4,'7. PGE_Efficacité'!$A$4:$BU$4,0)+31),0)</f>
        <v>0</v>
      </c>
      <c r="Z70" s="212">
        <f>VLOOKUP($E70,'7. PGE_Efficacité'!$A$6:$BT$266,(MATCH('4.6 ACE MAX CAN '!Z$4,'7. PGE_Efficacité'!$A$4:$BU$4,0)+31),0)</f>
        <v>0</v>
      </c>
      <c r="AA70" s="212">
        <f>VLOOKUP($E70,'7. PGE_Efficacité'!$A$6:$BT$266,(MATCH('4.6 ACE MAX CAN '!AA$4,'7. PGE_Efficacité'!$A$4:$BU$4,0)+31),0)</f>
        <v>0</v>
      </c>
      <c r="AB70" s="212">
        <f>VLOOKUP($E70,'7. PGE_Efficacité'!$A$6:$BT$266,(MATCH('4.6 ACE MAX CAN '!AB$4,'7. PGE_Efficacité'!$A$4:$BU$4,0)+31),0)</f>
        <v>0</v>
      </c>
      <c r="AC70" s="212">
        <f>VLOOKUP($E70,'7. PGE_Efficacité'!$A$6:$BT$266,(MATCH('4.6 ACE MAX CAN '!AC$4,'7. PGE_Efficacité'!$A$4:$BU$4,0)+31),0)</f>
        <v>0</v>
      </c>
      <c r="AD70" s="212">
        <f>VLOOKUP($E70,'7. PGE_Efficacité'!$A$6:$BT$266,(MATCH('4.6 ACE MAX CAN '!AD$4,'7. PGE_Efficacité'!$A$4:$BU$4,0)+31),0)</f>
        <v>0</v>
      </c>
      <c r="AE70" s="212">
        <f>VLOOKUP($E70,'7. PGE_Efficacité'!$A$6:$BT$266,(MATCH('4.6 ACE MAX CAN '!AE$4,'7. PGE_Efficacité'!$A$4:$BU$4,0)+31),0)</f>
        <v>0</v>
      </c>
      <c r="AF70" s="212">
        <f>VLOOKUP($E70,'7. PGE_Efficacité'!$A$6:$BT$266,(MATCH('4.6 ACE MAX CAN '!AF$4,'7. PGE_Efficacité'!$A$4:$BU$4,0)+31),0)</f>
        <v>0</v>
      </c>
      <c r="AG70" s="212">
        <f>VLOOKUP($E70,'7. PGE_Efficacité'!$A$6:$BT$266,(MATCH('4.6 ACE MAX CAN '!AG$4,'7. PGE_Efficacité'!$A$4:$BU$4,0)+31),0)</f>
        <v>0</v>
      </c>
      <c r="AH70" s="212">
        <f>VLOOKUP($E70,'7. PGE_Efficacité'!$A$6:$BT$266,(MATCH('4.6 ACE MAX CAN '!AH$4,'7. PGE_Efficacité'!$A$4:$BU$4,0)+31),0)</f>
        <v>0</v>
      </c>
      <c r="AI70" s="212">
        <f>VLOOKUP($E70,'7. PGE_Efficacité'!$A$6:$BT$266,(MATCH('4.6 ACE MAX CAN '!AI$4,'7. PGE_Efficacité'!$A$4:$BU$4,0)+31),0)</f>
        <v>0</v>
      </c>
      <c r="AJ70" s="212">
        <f>VLOOKUP($E70,'7. PGE_Efficacité'!$A$6:$BT$266,(MATCH('4.6 ACE MAX CAN '!AJ$4,'7. PGE_Efficacité'!$A$4:$BU$4,0)+31),0)</f>
        <v>0</v>
      </c>
      <c r="AK70" s="212">
        <f>VLOOKUP($E70,'7. PGE_Efficacité'!$A$6:$BT$266,(MATCH('4.6 ACE MAX CAN '!AK$4,'7. PGE_Efficacité'!$A$4:$BU$4,0)+31),0)</f>
        <v>0</v>
      </c>
      <c r="AL70" s="212">
        <f>VLOOKUP($E70,'7. PGE_Efficacité'!$A$6:$BT$266,(MATCH('4.6 ACE MAX CAN '!AL$4,'7. PGE_Efficacité'!$A$4:$BU$4,0)+31),0)</f>
        <v>0</v>
      </c>
      <c r="AM70" s="212">
        <f>VLOOKUP($E70,'7. PGE_Efficacité'!$A$6:$BT$266,(MATCH('4.6 ACE MAX CAN '!AM$4,'7. PGE_Efficacité'!$A$4:$BU$4,0)+31),0)</f>
        <v>0</v>
      </c>
      <c r="AN70" s="212">
        <f>VLOOKUP($E70,'7. PGE_Efficacité'!$A$6:$BT$266,(MATCH('4.6 ACE MAX CAN '!AN$4,'7. PGE_Efficacité'!$A$4:$BU$4,0)+31),0)</f>
        <v>0</v>
      </c>
    </row>
    <row r="71" spans="1:40" outlineLevel="2" x14ac:dyDescent="0.25">
      <c r="A71" t="s">
        <v>1524</v>
      </c>
      <c r="B71">
        <v>10</v>
      </c>
      <c r="C71" t="s">
        <v>1526</v>
      </c>
      <c r="D71" s="12" t="s">
        <v>9</v>
      </c>
      <c r="E71" s="12" t="s">
        <v>652</v>
      </c>
      <c r="F71" s="12" t="s">
        <v>1312</v>
      </c>
      <c r="G71" s="12" t="s">
        <v>1522</v>
      </c>
      <c r="H71" s="12" t="s">
        <v>1287</v>
      </c>
      <c r="I71" s="148"/>
      <c r="J71" s="149">
        <f>VLOOKUP($E71,'7. PGE_Efficacité'!$A$6:$BT$266,(MATCH('4.6 ACE MAX CAN '!J$4,'7. PGE_Efficacité'!$A$4:$BU$4,0)+31),0)</f>
        <v>0</v>
      </c>
      <c r="K71" s="149">
        <f>VLOOKUP($E71,'7. PGE_Efficacité'!$A$6:$BT$266,(MATCH('4.6 ACE MAX CAN '!K$4,'7. PGE_Efficacité'!$A$4:$BU$4,0)+31),0)</f>
        <v>0</v>
      </c>
      <c r="L71" s="149">
        <f>VLOOKUP($E71,'7. PGE_Efficacité'!$A$6:$BT$266,(MATCH('4.6 ACE MAX CAN '!L$4,'7. PGE_Efficacité'!$A$4:$BU$4,0)+31),0)</f>
        <v>0</v>
      </c>
      <c r="M71" s="149">
        <f>VLOOKUP($E71,'7. PGE_Efficacité'!$A$6:$BT$266,(MATCH('4.6 ACE MAX CAN '!M$4,'7. PGE_Efficacité'!$A$4:$BU$4,0)+31),0)</f>
        <v>0</v>
      </c>
      <c r="N71" s="149">
        <f>VLOOKUP($E71,'7. PGE_Efficacité'!$A$6:$BT$266,(MATCH('4.6 ACE MAX CAN '!N$4,'7. PGE_Efficacité'!$A$4:$BU$4,0)+31),0)</f>
        <v>0</v>
      </c>
      <c r="O71" s="149">
        <f>VLOOKUP($D71,'7. PGE_Efficacité'!$A$6:$BT$268,47,0)</f>
        <v>0</v>
      </c>
      <c r="P71" s="149">
        <f>VLOOKUP($E71,'7. PGE_Efficacité'!$A$6:$BT$266,(MATCH('4.6 ACE MAX CAN '!P$4,'7. PGE_Efficacité'!$A$4:$BU$4,0)+31),0)</f>
        <v>0</v>
      </c>
      <c r="Q71" s="149">
        <f>VLOOKUP($E71,'7. PGE_Efficacité'!$A$6:$BT$266,(MATCH('4.6 ACE MAX CAN '!Q$4,'7. PGE_Efficacité'!$A$4:$BU$4,0)+31),0)</f>
        <v>0</v>
      </c>
      <c r="R71" s="149">
        <f>VLOOKUP($E71,'7. PGE_Efficacité'!$A$6:$BT$266,(MATCH('4.6 ACE MAX CAN '!R$4,'7. PGE_Efficacité'!$A$4:$BU$4,0)+31),0)</f>
        <v>0</v>
      </c>
      <c r="S71" s="149">
        <f>VLOOKUP($E71,'7. PGE_Efficacité'!$A$6:$BT$266,(MATCH('4.6 ACE MAX CAN '!S$4,'7. PGE_Efficacité'!$A$4:$BU$4,0)+31),0)</f>
        <v>0</v>
      </c>
      <c r="T71" s="149">
        <f>VLOOKUP($E71,'7. PGE_Efficacité'!$A$6:$BT$266,(MATCH('4.6 ACE MAX CAN '!T$4,'7. PGE_Efficacité'!$A$4:$BU$4,0)+31),0)</f>
        <v>0</v>
      </c>
      <c r="U71" s="149">
        <f>VLOOKUP($E71,'7. PGE_Efficacité'!$A$6:$BT$266,(MATCH('4.6 ACE MAX CAN '!U$4,'7. PGE_Efficacité'!$A$4:$BU$4,0)+31),0)</f>
        <v>0</v>
      </c>
      <c r="V71" s="149">
        <f>VLOOKUP($E71,'7. PGE_Efficacité'!$A$6:$BT$266,(MATCH('4.6 ACE MAX CAN '!V$4,'7. PGE_Efficacité'!$A$4:$BU$4,0)+31),0)</f>
        <v>0</v>
      </c>
      <c r="W71" s="149">
        <f>VLOOKUP($E71,'7. PGE_Efficacité'!$A$6:$BT$266,(MATCH('4.6 ACE MAX CAN '!W$4,'7. PGE_Efficacité'!$A$4:$BU$4,0)+31),0)</f>
        <v>0</v>
      </c>
      <c r="X71" s="149">
        <f>VLOOKUP($E71,'7. PGE_Efficacité'!$A$6:$BT$266,(MATCH('4.6 ACE MAX CAN '!X$4,'7. PGE_Efficacité'!$A$4:$BU$4,0)+31),0)</f>
        <v>0</v>
      </c>
      <c r="Y71" s="212">
        <f>VLOOKUP($E71,'7. PGE_Efficacité'!$A$6:$BT$266,(MATCH('4.6 ACE MAX CAN '!Y$4,'7. PGE_Efficacité'!$A$4:$BU$4,0)+31),0)</f>
        <v>0</v>
      </c>
      <c r="Z71" s="212">
        <f>VLOOKUP($E71,'7. PGE_Efficacité'!$A$6:$BT$266,(MATCH('4.6 ACE MAX CAN '!Z$4,'7. PGE_Efficacité'!$A$4:$BU$4,0)+31),0)</f>
        <v>0</v>
      </c>
      <c r="AA71" s="212">
        <f>VLOOKUP($E71,'7. PGE_Efficacité'!$A$6:$BT$266,(MATCH('4.6 ACE MAX CAN '!AA$4,'7. PGE_Efficacité'!$A$4:$BU$4,0)+31),0)</f>
        <v>0</v>
      </c>
      <c r="AB71" s="212">
        <f>VLOOKUP($E71,'7. PGE_Efficacité'!$A$6:$BT$266,(MATCH('4.6 ACE MAX CAN '!AB$4,'7. PGE_Efficacité'!$A$4:$BU$4,0)+31),0)</f>
        <v>0</v>
      </c>
      <c r="AC71" s="212">
        <f>VLOOKUP($E71,'7. PGE_Efficacité'!$A$6:$BT$266,(MATCH('4.6 ACE MAX CAN '!AC$4,'7. PGE_Efficacité'!$A$4:$BU$4,0)+31),0)</f>
        <v>0</v>
      </c>
      <c r="AD71" s="212">
        <f>VLOOKUP($E71,'7. PGE_Efficacité'!$A$6:$BT$266,(MATCH('4.6 ACE MAX CAN '!AD$4,'7. PGE_Efficacité'!$A$4:$BU$4,0)+31),0)</f>
        <v>0</v>
      </c>
      <c r="AE71" s="212">
        <f>VLOOKUP($E71,'7. PGE_Efficacité'!$A$6:$BT$266,(MATCH('4.6 ACE MAX CAN '!AE$4,'7. PGE_Efficacité'!$A$4:$BU$4,0)+31),0)</f>
        <v>0</v>
      </c>
      <c r="AF71" s="212">
        <f>VLOOKUP($E71,'7. PGE_Efficacité'!$A$6:$BT$266,(MATCH('4.6 ACE MAX CAN '!AF$4,'7. PGE_Efficacité'!$A$4:$BU$4,0)+31),0)</f>
        <v>0</v>
      </c>
      <c r="AG71" s="212">
        <f>VLOOKUP($E71,'7. PGE_Efficacité'!$A$6:$BT$266,(MATCH('4.6 ACE MAX CAN '!AG$4,'7. PGE_Efficacité'!$A$4:$BU$4,0)+31),0)</f>
        <v>0</v>
      </c>
      <c r="AH71" s="212">
        <f>VLOOKUP($E71,'7. PGE_Efficacité'!$A$6:$BT$266,(MATCH('4.6 ACE MAX CAN '!AH$4,'7. PGE_Efficacité'!$A$4:$BU$4,0)+31),0)</f>
        <v>0</v>
      </c>
      <c r="AI71" s="212">
        <f>VLOOKUP($E71,'7. PGE_Efficacité'!$A$6:$BT$266,(MATCH('4.6 ACE MAX CAN '!AI$4,'7. PGE_Efficacité'!$A$4:$BU$4,0)+31),0)</f>
        <v>0</v>
      </c>
      <c r="AJ71" s="212">
        <f>VLOOKUP($E71,'7. PGE_Efficacité'!$A$6:$BT$266,(MATCH('4.6 ACE MAX CAN '!AJ$4,'7. PGE_Efficacité'!$A$4:$BU$4,0)+31),0)</f>
        <v>0</v>
      </c>
      <c r="AK71" s="212">
        <f>VLOOKUP($E71,'7. PGE_Efficacité'!$A$6:$BT$266,(MATCH('4.6 ACE MAX CAN '!AK$4,'7. PGE_Efficacité'!$A$4:$BU$4,0)+31),0)</f>
        <v>0</v>
      </c>
      <c r="AL71" s="212">
        <f>VLOOKUP($E71,'7. PGE_Efficacité'!$A$6:$BT$266,(MATCH('4.6 ACE MAX CAN '!AL$4,'7. PGE_Efficacité'!$A$4:$BU$4,0)+31),0)</f>
        <v>0</v>
      </c>
      <c r="AM71" s="212">
        <f>VLOOKUP($E71,'7. PGE_Efficacité'!$A$6:$BT$266,(MATCH('4.6 ACE MAX CAN '!AM$4,'7. PGE_Efficacité'!$A$4:$BU$4,0)+31),0)</f>
        <v>0</v>
      </c>
      <c r="AN71" s="212">
        <f>VLOOKUP($E71,'7. PGE_Efficacité'!$A$6:$BT$266,(MATCH('4.6 ACE MAX CAN '!AN$4,'7. PGE_Efficacité'!$A$4:$BU$4,0)+31),0)</f>
        <v>0</v>
      </c>
    </row>
    <row r="72" spans="1:40" outlineLevel="2" x14ac:dyDescent="0.25">
      <c r="A72" t="s">
        <v>1524</v>
      </c>
      <c r="B72">
        <v>10</v>
      </c>
      <c r="C72" t="s">
        <v>1527</v>
      </c>
      <c r="D72" s="12" t="s">
        <v>9</v>
      </c>
      <c r="E72" s="12" t="s">
        <v>653</v>
      </c>
      <c r="F72" s="12" t="s">
        <v>1313</v>
      </c>
      <c r="G72" s="12" t="s">
        <v>1522</v>
      </c>
      <c r="H72" s="12" t="s">
        <v>1290</v>
      </c>
      <c r="I72" s="148"/>
      <c r="J72" s="149">
        <f>VLOOKUP($E72,'7. PGE_Efficacité'!$A$6:$BT$266,(MATCH('4.6 ACE MAX CAN '!J$4,'7. PGE_Efficacité'!$A$4:$BU$4,0)+31),0)</f>
        <v>0</v>
      </c>
      <c r="K72" s="149">
        <f>VLOOKUP($E72,'7. PGE_Efficacité'!$A$6:$BT$266,(MATCH('4.6 ACE MAX CAN '!K$4,'7. PGE_Efficacité'!$A$4:$BU$4,0)+31),0)</f>
        <v>0</v>
      </c>
      <c r="L72" s="149">
        <f>VLOOKUP($E72,'7. PGE_Efficacité'!$A$6:$BT$266,(MATCH('4.6 ACE MAX CAN '!L$4,'7. PGE_Efficacité'!$A$4:$BU$4,0)+31),0)</f>
        <v>0</v>
      </c>
      <c r="M72" s="149">
        <f>VLOOKUP($E72,'7. PGE_Efficacité'!$A$6:$BT$266,(MATCH('4.6 ACE MAX CAN '!M$4,'7. PGE_Efficacité'!$A$4:$BU$4,0)+31),0)</f>
        <v>0</v>
      </c>
      <c r="N72" s="149">
        <f>VLOOKUP($E72,'7. PGE_Efficacité'!$A$6:$BT$266,(MATCH('4.6 ACE MAX CAN '!N$4,'7. PGE_Efficacité'!$A$4:$BU$4,0)+31),0)</f>
        <v>0</v>
      </c>
      <c r="O72" s="149">
        <f>VLOOKUP($D72,'7. PGE_Efficacité'!$A$6:$BT$268,47,0)</f>
        <v>0</v>
      </c>
      <c r="P72" s="149">
        <f>VLOOKUP($E72,'7. PGE_Efficacité'!$A$6:$BT$266,(MATCH('4.6 ACE MAX CAN '!P$4,'7. PGE_Efficacité'!$A$4:$BU$4,0)+31),0)</f>
        <v>0</v>
      </c>
      <c r="Q72" s="149">
        <f>VLOOKUP($E72,'7. PGE_Efficacité'!$A$6:$BT$266,(MATCH('4.6 ACE MAX CAN '!Q$4,'7. PGE_Efficacité'!$A$4:$BU$4,0)+31),0)</f>
        <v>0</v>
      </c>
      <c r="R72" s="149">
        <f>VLOOKUP($E72,'7. PGE_Efficacité'!$A$6:$BT$266,(MATCH('4.6 ACE MAX CAN '!R$4,'7. PGE_Efficacité'!$A$4:$BU$4,0)+31),0)</f>
        <v>0</v>
      </c>
      <c r="S72" s="149">
        <f>VLOOKUP($E72,'7. PGE_Efficacité'!$A$6:$BT$266,(MATCH('4.6 ACE MAX CAN '!S$4,'7. PGE_Efficacité'!$A$4:$BU$4,0)+31),0)</f>
        <v>0</v>
      </c>
      <c r="T72" s="149">
        <f>VLOOKUP($E72,'7. PGE_Efficacité'!$A$6:$BT$266,(MATCH('4.6 ACE MAX CAN '!T$4,'7. PGE_Efficacité'!$A$4:$BU$4,0)+31),0)</f>
        <v>0</v>
      </c>
      <c r="U72" s="149">
        <f>VLOOKUP($E72,'7. PGE_Efficacité'!$A$6:$BT$266,(MATCH('4.6 ACE MAX CAN '!U$4,'7. PGE_Efficacité'!$A$4:$BU$4,0)+31),0)</f>
        <v>0</v>
      </c>
      <c r="V72" s="149">
        <f>VLOOKUP($E72,'7. PGE_Efficacité'!$A$6:$BT$266,(MATCH('4.6 ACE MAX CAN '!V$4,'7. PGE_Efficacité'!$A$4:$BU$4,0)+31),0)</f>
        <v>0</v>
      </c>
      <c r="W72" s="149">
        <f>VLOOKUP($E72,'7. PGE_Efficacité'!$A$6:$BT$266,(MATCH('4.6 ACE MAX CAN '!W$4,'7. PGE_Efficacité'!$A$4:$BU$4,0)+31),0)</f>
        <v>0</v>
      </c>
      <c r="X72" s="149">
        <f>VLOOKUP($E72,'7. PGE_Efficacité'!$A$6:$BT$266,(MATCH('4.6 ACE MAX CAN '!X$4,'7. PGE_Efficacité'!$A$4:$BU$4,0)+31),0)</f>
        <v>0</v>
      </c>
      <c r="Y72" s="212">
        <f>VLOOKUP($E72,'7. PGE_Efficacité'!$A$6:$BT$266,(MATCH('4.6 ACE MAX CAN '!Y$4,'7. PGE_Efficacité'!$A$4:$BU$4,0)+31),0)</f>
        <v>0</v>
      </c>
      <c r="Z72" s="212">
        <f>VLOOKUP($E72,'7. PGE_Efficacité'!$A$6:$BT$266,(MATCH('4.6 ACE MAX CAN '!Z$4,'7. PGE_Efficacité'!$A$4:$BU$4,0)+31),0)</f>
        <v>0</v>
      </c>
      <c r="AA72" s="212">
        <f>VLOOKUP($E72,'7. PGE_Efficacité'!$A$6:$BT$266,(MATCH('4.6 ACE MAX CAN '!AA$4,'7. PGE_Efficacité'!$A$4:$BU$4,0)+31),0)</f>
        <v>0</v>
      </c>
      <c r="AB72" s="212">
        <f>VLOOKUP($E72,'7. PGE_Efficacité'!$A$6:$BT$266,(MATCH('4.6 ACE MAX CAN '!AB$4,'7. PGE_Efficacité'!$A$4:$BU$4,0)+31),0)</f>
        <v>0</v>
      </c>
      <c r="AC72" s="212">
        <f>VLOOKUP($E72,'7. PGE_Efficacité'!$A$6:$BT$266,(MATCH('4.6 ACE MAX CAN '!AC$4,'7. PGE_Efficacité'!$A$4:$BU$4,0)+31),0)</f>
        <v>0</v>
      </c>
      <c r="AD72" s="212">
        <f>VLOOKUP($E72,'7. PGE_Efficacité'!$A$6:$BT$266,(MATCH('4.6 ACE MAX CAN '!AD$4,'7. PGE_Efficacité'!$A$4:$BU$4,0)+31),0)</f>
        <v>0</v>
      </c>
      <c r="AE72" s="212">
        <f>VLOOKUP($E72,'7. PGE_Efficacité'!$A$6:$BT$266,(MATCH('4.6 ACE MAX CAN '!AE$4,'7. PGE_Efficacité'!$A$4:$BU$4,0)+31),0)</f>
        <v>0</v>
      </c>
      <c r="AF72" s="212">
        <f>VLOOKUP($E72,'7. PGE_Efficacité'!$A$6:$BT$266,(MATCH('4.6 ACE MAX CAN '!AF$4,'7. PGE_Efficacité'!$A$4:$BU$4,0)+31),0)</f>
        <v>0</v>
      </c>
      <c r="AG72" s="212">
        <f>VLOOKUP($E72,'7. PGE_Efficacité'!$A$6:$BT$266,(MATCH('4.6 ACE MAX CAN '!AG$4,'7. PGE_Efficacité'!$A$4:$BU$4,0)+31),0)</f>
        <v>0</v>
      </c>
      <c r="AH72" s="212">
        <f>VLOOKUP($E72,'7. PGE_Efficacité'!$A$6:$BT$266,(MATCH('4.6 ACE MAX CAN '!AH$4,'7. PGE_Efficacité'!$A$4:$BU$4,0)+31),0)</f>
        <v>0</v>
      </c>
      <c r="AI72" s="212">
        <f>VLOOKUP($E72,'7. PGE_Efficacité'!$A$6:$BT$266,(MATCH('4.6 ACE MAX CAN '!AI$4,'7. PGE_Efficacité'!$A$4:$BU$4,0)+31),0)</f>
        <v>0</v>
      </c>
      <c r="AJ72" s="212">
        <f>VLOOKUP($E72,'7. PGE_Efficacité'!$A$6:$BT$266,(MATCH('4.6 ACE MAX CAN '!AJ$4,'7. PGE_Efficacité'!$A$4:$BU$4,0)+31),0)</f>
        <v>0</v>
      </c>
      <c r="AK72" s="212">
        <f>VLOOKUP($E72,'7. PGE_Efficacité'!$A$6:$BT$266,(MATCH('4.6 ACE MAX CAN '!AK$4,'7. PGE_Efficacité'!$A$4:$BU$4,0)+31),0)</f>
        <v>0</v>
      </c>
      <c r="AL72" s="212">
        <f>VLOOKUP($E72,'7. PGE_Efficacité'!$A$6:$BT$266,(MATCH('4.6 ACE MAX CAN '!AL$4,'7. PGE_Efficacité'!$A$4:$BU$4,0)+31),0)</f>
        <v>0</v>
      </c>
      <c r="AM72" s="212">
        <f>VLOOKUP($E72,'7. PGE_Efficacité'!$A$6:$BT$266,(MATCH('4.6 ACE MAX CAN '!AM$4,'7. PGE_Efficacité'!$A$4:$BU$4,0)+31),0)</f>
        <v>0</v>
      </c>
      <c r="AN72" s="212">
        <f>VLOOKUP($E72,'7. PGE_Efficacité'!$A$6:$BT$266,(MATCH('4.6 ACE MAX CAN '!AN$4,'7. PGE_Efficacité'!$A$4:$BU$4,0)+31),0)</f>
        <v>0</v>
      </c>
    </row>
    <row r="73" spans="1:40" outlineLevel="1" x14ac:dyDescent="0.25">
      <c r="D73" s="360" t="s">
        <v>10</v>
      </c>
      <c r="E73" s="360"/>
      <c r="F73" s="361" t="str">
        <f>VLOOKUP(D73,'1. Mesures'!$A$2:$B$116,2,0)</f>
        <v>Assurer la gestion des déchets macroscopiques dans les masses d'eau, en particulier après les épisodes de déversement</v>
      </c>
      <c r="G73" s="360"/>
      <c r="H73" s="360"/>
      <c r="I73" s="362">
        <f>MEDIAN(VLOOKUP(D73,'4. Mesures_ACE_Budget'!$A$3:$R$32,17,0),VLOOKUP(D73,'4. Mesures_ACE_Budget'!$A$3:$R$32,18,0))</f>
        <v>0</v>
      </c>
      <c r="J73" s="212">
        <f>VLOOKUP($D73,'7. PGE_Efficacité'!$A$6:$BT$266,(MATCH('4.6 ACE MAX CAN '!J$4,'7. PGE_Efficacité'!$A$4:$AO$4,0)+31),0)</f>
        <v>0</v>
      </c>
      <c r="K73" s="212">
        <f>VLOOKUP($D73,'7. PGE_Efficacité'!$A$6:$BT$266,(MATCH('4.6 ACE MAX CAN '!K$4,'7. PGE_Efficacité'!$A$4:$AO$4,0)+31),0)</f>
        <v>0</v>
      </c>
      <c r="L73" s="212">
        <f>VLOOKUP($D73,'7. PGE_Efficacité'!$A$6:$BT$266,(MATCH('4.6 ACE MAX CAN '!L$4,'7. PGE_Efficacité'!$A$4:$AO$4,0)+31),0)</f>
        <v>0</v>
      </c>
      <c r="M73" s="212">
        <f>VLOOKUP($D73,'7. PGE_Efficacité'!$A$6:$BT$266,(MATCH('4.6 ACE MAX CAN '!M$4,'7. PGE_Efficacité'!$A$4:$AO$4,0)+31),0)</f>
        <v>0</v>
      </c>
      <c r="N73" s="212">
        <f>VLOOKUP($D73,'7. PGE_Efficacité'!$A$6:$BT$266,(MATCH('4.6 ACE MAX CAN '!N$4,'7. PGE_Efficacité'!$A$4:$AO$4,0)+31),0)</f>
        <v>0</v>
      </c>
      <c r="O73" s="212">
        <f>VLOOKUP($D73,'7. PGE_Efficacité'!$A$6:$BT$268,47,0)</f>
        <v>0</v>
      </c>
      <c r="P73" s="212">
        <f>VLOOKUP($D73,'7. PGE_Efficacité'!$A$6:$BT$266,(MATCH('4.6 ACE MAX CAN '!P$4,'7. PGE_Efficacité'!$A$4:$AO$4,0)+31),0)</f>
        <v>0</v>
      </c>
      <c r="Q73" s="212">
        <f>VLOOKUP($D73,'7. PGE_Efficacité'!$A$6:$BT$266,(MATCH('4.6 ACE MAX CAN '!Q$4,'7. PGE_Efficacité'!$A$4:$AO$4,0)+31),0)</f>
        <v>0</v>
      </c>
      <c r="R73" s="212">
        <f>VLOOKUP($D73,'7. PGE_Efficacité'!$A$6:$BT$266,(MATCH('4.6 ACE MAX CAN '!R$4,'7. PGE_Efficacité'!$A$4:$AO$4,0)+31),0)</f>
        <v>0</v>
      </c>
      <c r="S73" s="212">
        <f>VLOOKUP($D73,'7. PGE_Efficacité'!$A$6:$BT$266,(MATCH('4.6 ACE MAX CAN '!S$4,'7. PGE_Efficacité'!$A$4:$AO$4,0)+31),0)</f>
        <v>0</v>
      </c>
      <c r="T73" s="212">
        <f>VLOOKUP($D73,'7. PGE_Efficacité'!$A$6:$BT$266,(MATCH('4.6 ACE MAX CAN '!T$4,'7. PGE_Efficacité'!$A$4:$AO$4,0)+31),0)</f>
        <v>0</v>
      </c>
      <c r="U73" s="212">
        <f>VLOOKUP($D73,'7. PGE_Efficacité'!$A$6:$BT$266,(MATCH('4.6 ACE MAX CAN '!U$4,'7. PGE_Efficacité'!$A$4:$AO$4,0)+31),0)</f>
        <v>0</v>
      </c>
      <c r="V73" s="212">
        <f>VLOOKUP($D73,'7. PGE_Efficacité'!$A$6:$BT$266,(MATCH('4.6 ACE MAX CAN '!V$4,'7. PGE_Efficacité'!$A$4:$AO$4,0)+31),0)</f>
        <v>0</v>
      </c>
      <c r="W73" s="212">
        <f>VLOOKUP($D73,'7. PGE_Efficacité'!$A$6:$BT$266,(MATCH('4.6 ACE MAX CAN '!W$4,'7. PGE_Efficacité'!$A$4:$AO$4,0)+31),0)</f>
        <v>0</v>
      </c>
      <c r="X73" s="212">
        <f>VLOOKUP($D73,'7. PGE_Efficacité'!$A$6:$BT$266,(MATCH('4.6 ACE MAX CAN '!X$4,'7. PGE_Efficacité'!$A$4:$AO$4,0)+31),0)</f>
        <v>0</v>
      </c>
      <c r="Y73" s="212" t="str">
        <f>VLOOKUP($D73,'7. PGE_Efficacité'!$A$6:$BT$266,(MATCH('4.6 ACE MAX CAN '!Y$4,'7. PGE_Efficacité'!$A$4:$AO$4,0)+31),0)</f>
        <v>+</v>
      </c>
      <c r="Z73" s="212">
        <f>VLOOKUP($D73,'7. PGE_Efficacité'!$A$6:$BT$266,(MATCH('4.6 ACE MAX CAN '!Z$4,'7. PGE_Efficacité'!$A$4:$AO$4,0)+31),0)</f>
        <v>0</v>
      </c>
      <c r="AA73" s="212">
        <f>VLOOKUP($D73,'7. PGE_Efficacité'!$A$6:$BT$266,(MATCH('4.6 ACE MAX CAN '!AA$4,'7. PGE_Efficacité'!$A$4:$AO$4,0)+31),0)</f>
        <v>0</v>
      </c>
      <c r="AB73" s="212">
        <f>VLOOKUP($D73,'7. PGE_Efficacité'!$A$6:$BT$266,(MATCH('4.6 ACE MAX CAN '!AB$4,'7. PGE_Efficacité'!$A$4:$AO$4,0)+31),0)</f>
        <v>0</v>
      </c>
      <c r="AC73" s="212">
        <f>VLOOKUP($D73,'7. PGE_Efficacité'!$A$6:$BT$266,(MATCH('4.6 ACE MAX CAN '!AC$4,'7. PGE_Efficacité'!$A$4:$AO$4,0)+31),0)</f>
        <v>0</v>
      </c>
      <c r="AD73" s="212">
        <f>VLOOKUP($D73,'7. PGE_Efficacité'!$A$6:$BT$266,(MATCH('4.6 ACE MAX CAN '!AD$4,'7. PGE_Efficacité'!$A$4:$AO$4,0)+31),0)</f>
        <v>0</v>
      </c>
      <c r="AE73" s="212">
        <f>VLOOKUP($D73,'7. PGE_Efficacité'!$A$6:$BT$266,(MATCH('4.6 ACE MAX CAN '!AE$4,'7. PGE_Efficacité'!$A$4:$AO$4,0)+31),0)</f>
        <v>0</v>
      </c>
      <c r="AF73" s="212">
        <f>VLOOKUP($D73,'7. PGE_Efficacité'!$A$6:$BT$266,(MATCH('4.6 ACE MAX CAN '!AF$4,'7. PGE_Efficacité'!$A$4:$AO$4,0)+31),0)</f>
        <v>0</v>
      </c>
      <c r="AG73" s="212">
        <f>VLOOKUP($D73,'7. PGE_Efficacité'!$A$6:$BT$266,(MATCH('4.6 ACE MAX CAN '!AG$4,'7. PGE_Efficacité'!$A$4:$AO$4,0)+31),0)</f>
        <v>0</v>
      </c>
      <c r="AH73" s="212">
        <f>VLOOKUP($D73,'7. PGE_Efficacité'!$A$6:$BT$266,(MATCH('4.6 ACE MAX CAN '!AH$4,'7. PGE_Efficacité'!$A$4:$AO$4,0)+31),0)</f>
        <v>0</v>
      </c>
      <c r="AI73" s="212">
        <f>VLOOKUP($D73,'7. PGE_Efficacité'!$A$6:$BT$266,(MATCH('4.6 ACE MAX CAN '!AI$4,'7. PGE_Efficacité'!$A$4:$AO$4,0)+31),0)</f>
        <v>0</v>
      </c>
      <c r="AJ73" s="212">
        <f>VLOOKUP($D73,'7. PGE_Efficacité'!$A$6:$BT$266,(MATCH('4.6 ACE MAX CAN '!AJ$4,'7. PGE_Efficacité'!$A$4:$AO$4,0)+31),0)</f>
        <v>0</v>
      </c>
      <c r="AK73" s="212">
        <f>VLOOKUP($D73,'7. PGE_Efficacité'!$A$6:$BT$266,(MATCH('4.6 ACE MAX CAN '!AK$4,'7. PGE_Efficacité'!$A$4:$AO$4,0)+31),0)</f>
        <v>0</v>
      </c>
      <c r="AL73" s="212">
        <f>VLOOKUP($D73,'7. PGE_Efficacité'!$A$6:$BT$266,(MATCH('4.6 ACE MAX CAN '!AL$4,'7. PGE_Efficacité'!$A$4:$AO$4,0)+31),0)</f>
        <v>0</v>
      </c>
      <c r="AM73" s="212" t="str">
        <f>VLOOKUP($D73,'7. PGE_Efficacité'!$A$6:$BT$266,(MATCH('4.6 ACE MAX CAN '!AM$4,'7. PGE_Efficacité'!$A$4:$AO$4,0)+31),0)</f>
        <v>+</v>
      </c>
      <c r="AN73" s="212" t="str">
        <f>VLOOKUP($D73,'7. PGE_Efficacité'!$A$6:$BT$266,(MATCH('4.6 ACE MAX CAN '!AN$4,'7. PGE_Efficacité'!$A$4:$AO$4,0)+31),0)</f>
        <v>+</v>
      </c>
    </row>
    <row r="74" spans="1:40" outlineLevel="2" x14ac:dyDescent="0.25">
      <c r="A74" t="s">
        <v>1524</v>
      </c>
      <c r="B74">
        <v>11</v>
      </c>
      <c r="C74" t="s">
        <v>1524</v>
      </c>
      <c r="D74" s="12" t="s">
        <v>10</v>
      </c>
      <c r="E74" s="12" t="s">
        <v>654</v>
      </c>
      <c r="F74" s="12" t="s">
        <v>1314</v>
      </c>
      <c r="G74" s="12" t="s">
        <v>1520</v>
      </c>
      <c r="H74" s="12" t="s">
        <v>414</v>
      </c>
      <c r="I74" s="148"/>
      <c r="J74" s="149">
        <f>VLOOKUP($E74,'7. PGE_Efficacité'!$A$6:$BT$266,(MATCH('4.6 ACE MAX CAN '!J$4,'7. PGE_Efficacité'!$A$4:$BU$4,0)+31),0)</f>
        <v>0</v>
      </c>
      <c r="K74" s="149">
        <f>VLOOKUP($E74,'7. PGE_Efficacité'!$A$6:$BT$266,(MATCH('4.6 ACE MAX CAN '!K$4,'7. PGE_Efficacité'!$A$4:$BU$4,0)+31),0)</f>
        <v>0</v>
      </c>
      <c r="L74" s="149">
        <f>VLOOKUP($E74,'7. PGE_Efficacité'!$A$6:$BT$266,(MATCH('4.6 ACE MAX CAN '!L$4,'7. PGE_Efficacité'!$A$4:$BU$4,0)+31),0)</f>
        <v>0</v>
      </c>
      <c r="M74" s="149">
        <f>VLOOKUP($E74,'7. PGE_Efficacité'!$A$6:$BT$266,(MATCH('4.6 ACE MAX CAN '!M$4,'7. PGE_Efficacité'!$A$4:$BU$4,0)+31),0)</f>
        <v>0</v>
      </c>
      <c r="N74" s="149">
        <f>VLOOKUP($E74,'7. PGE_Efficacité'!$A$6:$BT$266,(MATCH('4.6 ACE MAX CAN '!N$4,'7. PGE_Efficacité'!$A$4:$BU$4,0)+31),0)</f>
        <v>0</v>
      </c>
      <c r="O74" s="149">
        <f>VLOOKUP($D74,'7. PGE_Efficacité'!$A$6:$BT$268,47,0)</f>
        <v>0</v>
      </c>
      <c r="P74" s="149">
        <f>VLOOKUP($E74,'7. PGE_Efficacité'!$A$6:$BT$266,(MATCH('4.6 ACE MAX CAN '!P$4,'7. PGE_Efficacité'!$A$4:$BU$4,0)+31),0)</f>
        <v>0</v>
      </c>
      <c r="Q74" s="149">
        <f>VLOOKUP($E74,'7. PGE_Efficacité'!$A$6:$BT$266,(MATCH('4.6 ACE MAX CAN '!Q$4,'7. PGE_Efficacité'!$A$4:$BU$4,0)+31),0)</f>
        <v>0</v>
      </c>
      <c r="R74" s="149">
        <f>VLOOKUP($E74,'7. PGE_Efficacité'!$A$6:$BT$266,(MATCH('4.6 ACE MAX CAN '!R$4,'7. PGE_Efficacité'!$A$4:$BU$4,0)+31),0)</f>
        <v>0</v>
      </c>
      <c r="S74" s="149">
        <f>VLOOKUP($E74,'7. PGE_Efficacité'!$A$6:$BT$266,(MATCH('4.6 ACE MAX CAN '!S$4,'7. PGE_Efficacité'!$A$4:$BU$4,0)+31),0)</f>
        <v>0</v>
      </c>
      <c r="T74" s="149">
        <f>VLOOKUP($E74,'7. PGE_Efficacité'!$A$6:$BT$266,(MATCH('4.6 ACE MAX CAN '!T$4,'7. PGE_Efficacité'!$A$4:$BU$4,0)+31),0)</f>
        <v>0</v>
      </c>
      <c r="U74" s="149">
        <f>VLOOKUP($E74,'7. PGE_Efficacité'!$A$6:$BT$266,(MATCH('4.6 ACE MAX CAN '!U$4,'7. PGE_Efficacité'!$A$4:$BU$4,0)+31),0)</f>
        <v>0</v>
      </c>
      <c r="V74" s="149">
        <f>VLOOKUP($E74,'7. PGE_Efficacité'!$A$6:$BT$266,(MATCH('4.6 ACE MAX CAN '!V$4,'7. PGE_Efficacité'!$A$4:$BU$4,0)+31),0)</f>
        <v>0</v>
      </c>
      <c r="W74" s="149">
        <f>VLOOKUP($E74,'7. PGE_Efficacité'!$A$6:$BT$266,(MATCH('4.6 ACE MAX CAN '!W$4,'7. PGE_Efficacité'!$A$4:$BU$4,0)+31),0)</f>
        <v>0</v>
      </c>
      <c r="X74" s="149">
        <f>VLOOKUP($E74,'7. PGE_Efficacité'!$A$6:$BT$266,(MATCH('4.6 ACE MAX CAN '!X$4,'7. PGE_Efficacité'!$A$4:$BU$4,0)+31),0)</f>
        <v>0</v>
      </c>
      <c r="Y74" s="212">
        <f>VLOOKUP($E74,'7. PGE_Efficacité'!$A$6:$BT$266,(MATCH('4.6 ACE MAX CAN '!Y$4,'7. PGE_Efficacité'!$A$4:$BU$4,0)+31),0)</f>
        <v>0</v>
      </c>
      <c r="Z74" s="212">
        <f>VLOOKUP($E74,'7. PGE_Efficacité'!$A$6:$BT$266,(MATCH('4.6 ACE MAX CAN '!Z$4,'7. PGE_Efficacité'!$A$4:$BU$4,0)+31),0)</f>
        <v>0</v>
      </c>
      <c r="AA74" s="212">
        <f>VLOOKUP($E74,'7. PGE_Efficacité'!$A$6:$BT$266,(MATCH('4.6 ACE MAX CAN '!AA$4,'7. PGE_Efficacité'!$A$4:$BU$4,0)+31),0)</f>
        <v>0</v>
      </c>
      <c r="AB74" s="212">
        <f>VLOOKUP($E74,'7. PGE_Efficacité'!$A$6:$BT$266,(MATCH('4.6 ACE MAX CAN '!AB$4,'7. PGE_Efficacité'!$A$4:$BU$4,0)+31),0)</f>
        <v>0</v>
      </c>
      <c r="AC74" s="212">
        <f>VLOOKUP($E74,'7. PGE_Efficacité'!$A$6:$BT$266,(MATCH('4.6 ACE MAX CAN '!AC$4,'7. PGE_Efficacité'!$A$4:$BU$4,0)+31),0)</f>
        <v>0</v>
      </c>
      <c r="AD74" s="212">
        <f>VLOOKUP($E74,'7. PGE_Efficacité'!$A$6:$BT$266,(MATCH('4.6 ACE MAX CAN '!AD$4,'7. PGE_Efficacité'!$A$4:$BU$4,0)+31),0)</f>
        <v>0</v>
      </c>
      <c r="AE74" s="212">
        <f>VLOOKUP($E74,'7. PGE_Efficacité'!$A$6:$BT$266,(MATCH('4.6 ACE MAX CAN '!AE$4,'7. PGE_Efficacité'!$A$4:$BU$4,0)+31),0)</f>
        <v>0</v>
      </c>
      <c r="AF74" s="212">
        <f>VLOOKUP($E74,'7. PGE_Efficacité'!$A$6:$BT$266,(MATCH('4.6 ACE MAX CAN '!AF$4,'7. PGE_Efficacité'!$A$4:$BU$4,0)+31),0)</f>
        <v>0</v>
      </c>
      <c r="AG74" s="212">
        <f>VLOOKUP($E74,'7. PGE_Efficacité'!$A$6:$BT$266,(MATCH('4.6 ACE MAX CAN '!AG$4,'7. PGE_Efficacité'!$A$4:$BU$4,0)+31),0)</f>
        <v>0</v>
      </c>
      <c r="AH74" s="212">
        <f>VLOOKUP($E74,'7. PGE_Efficacité'!$A$6:$BT$266,(MATCH('4.6 ACE MAX CAN '!AH$4,'7. PGE_Efficacité'!$A$4:$BU$4,0)+31),0)</f>
        <v>0</v>
      </c>
      <c r="AI74" s="212">
        <f>VLOOKUP($E74,'7. PGE_Efficacité'!$A$6:$BT$266,(MATCH('4.6 ACE MAX CAN '!AI$4,'7. PGE_Efficacité'!$A$4:$BU$4,0)+31),0)</f>
        <v>0</v>
      </c>
      <c r="AJ74" s="212">
        <f>VLOOKUP($E74,'7. PGE_Efficacité'!$A$6:$BT$266,(MATCH('4.6 ACE MAX CAN '!AJ$4,'7. PGE_Efficacité'!$A$4:$BU$4,0)+31),0)</f>
        <v>0</v>
      </c>
      <c r="AK74" s="212">
        <f>VLOOKUP($E74,'7. PGE_Efficacité'!$A$6:$BT$266,(MATCH('4.6 ACE MAX CAN '!AK$4,'7. PGE_Efficacité'!$A$4:$BU$4,0)+31),0)</f>
        <v>0</v>
      </c>
      <c r="AL74" s="212">
        <f>VLOOKUP($E74,'7. PGE_Efficacité'!$A$6:$BT$266,(MATCH('4.6 ACE MAX CAN '!AL$4,'7. PGE_Efficacité'!$A$4:$BU$4,0)+31),0)</f>
        <v>0</v>
      </c>
      <c r="AM74" s="212">
        <f>VLOOKUP($E74,'7. PGE_Efficacité'!$A$6:$BT$266,(MATCH('4.6 ACE MAX CAN '!AM$4,'7. PGE_Efficacité'!$A$4:$BU$4,0)+31),0)</f>
        <v>0</v>
      </c>
      <c r="AN74" s="212">
        <f>VLOOKUP($E74,'7. PGE_Efficacité'!$A$6:$BT$266,(MATCH('4.6 ACE MAX CAN '!AN$4,'7. PGE_Efficacité'!$A$4:$BU$4,0)+31),0)</f>
        <v>0</v>
      </c>
    </row>
    <row r="75" spans="1:40" outlineLevel="2" x14ac:dyDescent="0.25">
      <c r="A75" t="s">
        <v>1524</v>
      </c>
      <c r="B75">
        <v>11</v>
      </c>
      <c r="C75" t="s">
        <v>1525</v>
      </c>
      <c r="D75" s="12" t="s">
        <v>10</v>
      </c>
      <c r="E75" s="12" t="s">
        <v>657</v>
      </c>
      <c r="F75" s="12" t="s">
        <v>1317</v>
      </c>
      <c r="G75" s="12" t="s">
        <v>1520</v>
      </c>
      <c r="H75" s="12" t="s">
        <v>414</v>
      </c>
      <c r="I75" s="148"/>
      <c r="J75" s="149">
        <f>VLOOKUP($E75,'7. PGE_Efficacité'!$A$6:$BT$266,(MATCH('4.6 ACE MAX CAN '!J$4,'7. PGE_Efficacité'!$A$4:$BU$4,0)+31),0)</f>
        <v>0</v>
      </c>
      <c r="K75" s="149">
        <f>VLOOKUP($E75,'7. PGE_Efficacité'!$A$6:$BT$266,(MATCH('4.6 ACE MAX CAN '!K$4,'7. PGE_Efficacité'!$A$4:$BU$4,0)+31),0)</f>
        <v>0</v>
      </c>
      <c r="L75" s="149">
        <f>VLOOKUP($E75,'7. PGE_Efficacité'!$A$6:$BT$266,(MATCH('4.6 ACE MAX CAN '!L$4,'7. PGE_Efficacité'!$A$4:$BU$4,0)+31),0)</f>
        <v>0</v>
      </c>
      <c r="M75" s="149">
        <f>VLOOKUP($E75,'7. PGE_Efficacité'!$A$6:$BT$266,(MATCH('4.6 ACE MAX CAN '!M$4,'7. PGE_Efficacité'!$A$4:$BU$4,0)+31),0)</f>
        <v>0</v>
      </c>
      <c r="N75" s="149">
        <f>VLOOKUP($E75,'7. PGE_Efficacité'!$A$6:$BT$266,(MATCH('4.6 ACE MAX CAN '!N$4,'7. PGE_Efficacité'!$A$4:$BU$4,0)+31),0)</f>
        <v>0</v>
      </c>
      <c r="O75" s="149">
        <f>VLOOKUP($D75,'7. PGE_Efficacité'!$A$6:$BT$268,47,0)</f>
        <v>0</v>
      </c>
      <c r="P75" s="149">
        <f>VLOOKUP($E75,'7. PGE_Efficacité'!$A$6:$BT$266,(MATCH('4.6 ACE MAX CAN '!P$4,'7. PGE_Efficacité'!$A$4:$BU$4,0)+31),0)</f>
        <v>0</v>
      </c>
      <c r="Q75" s="149">
        <f>VLOOKUP($E75,'7. PGE_Efficacité'!$A$6:$BT$266,(MATCH('4.6 ACE MAX CAN '!Q$4,'7. PGE_Efficacité'!$A$4:$BU$4,0)+31),0)</f>
        <v>0</v>
      </c>
      <c r="R75" s="149">
        <f>VLOOKUP($E75,'7. PGE_Efficacité'!$A$6:$BT$266,(MATCH('4.6 ACE MAX CAN '!R$4,'7. PGE_Efficacité'!$A$4:$BU$4,0)+31),0)</f>
        <v>0</v>
      </c>
      <c r="S75" s="149">
        <f>VLOOKUP($E75,'7. PGE_Efficacité'!$A$6:$BT$266,(MATCH('4.6 ACE MAX CAN '!S$4,'7. PGE_Efficacité'!$A$4:$BU$4,0)+31),0)</f>
        <v>0</v>
      </c>
      <c r="T75" s="149">
        <f>VLOOKUP($E75,'7. PGE_Efficacité'!$A$6:$BT$266,(MATCH('4.6 ACE MAX CAN '!T$4,'7. PGE_Efficacité'!$A$4:$BU$4,0)+31),0)</f>
        <v>0</v>
      </c>
      <c r="U75" s="149">
        <f>VLOOKUP($E75,'7. PGE_Efficacité'!$A$6:$BT$266,(MATCH('4.6 ACE MAX CAN '!U$4,'7. PGE_Efficacité'!$A$4:$BU$4,0)+31),0)</f>
        <v>0</v>
      </c>
      <c r="V75" s="149">
        <f>VLOOKUP($E75,'7. PGE_Efficacité'!$A$6:$BT$266,(MATCH('4.6 ACE MAX CAN '!V$4,'7. PGE_Efficacité'!$A$4:$BU$4,0)+31),0)</f>
        <v>0</v>
      </c>
      <c r="W75" s="149">
        <f>VLOOKUP($E75,'7. PGE_Efficacité'!$A$6:$BT$266,(MATCH('4.6 ACE MAX CAN '!W$4,'7. PGE_Efficacité'!$A$4:$BU$4,0)+31),0)</f>
        <v>0</v>
      </c>
      <c r="X75" s="149">
        <f>VLOOKUP($E75,'7. PGE_Efficacité'!$A$6:$BT$266,(MATCH('4.6 ACE MAX CAN '!X$4,'7. PGE_Efficacité'!$A$4:$BU$4,0)+31),0)</f>
        <v>0</v>
      </c>
      <c r="Y75" s="212">
        <f>VLOOKUP($E75,'7. PGE_Efficacité'!$A$6:$BT$266,(MATCH('4.6 ACE MAX CAN '!Y$4,'7. PGE_Efficacité'!$A$4:$BU$4,0)+31),0)</f>
        <v>0</v>
      </c>
      <c r="Z75" s="212">
        <f>VLOOKUP($E75,'7. PGE_Efficacité'!$A$6:$BT$266,(MATCH('4.6 ACE MAX CAN '!Z$4,'7. PGE_Efficacité'!$A$4:$BU$4,0)+31),0)</f>
        <v>0</v>
      </c>
      <c r="AA75" s="212">
        <f>VLOOKUP($E75,'7. PGE_Efficacité'!$A$6:$BT$266,(MATCH('4.6 ACE MAX CAN '!AA$4,'7. PGE_Efficacité'!$A$4:$BU$4,0)+31),0)</f>
        <v>0</v>
      </c>
      <c r="AB75" s="212">
        <f>VLOOKUP($E75,'7. PGE_Efficacité'!$A$6:$BT$266,(MATCH('4.6 ACE MAX CAN '!AB$4,'7. PGE_Efficacité'!$A$4:$BU$4,0)+31),0)</f>
        <v>0</v>
      </c>
      <c r="AC75" s="212">
        <f>VLOOKUP($E75,'7. PGE_Efficacité'!$A$6:$BT$266,(MATCH('4.6 ACE MAX CAN '!AC$4,'7. PGE_Efficacité'!$A$4:$BU$4,0)+31),0)</f>
        <v>0</v>
      </c>
      <c r="AD75" s="212">
        <f>VLOOKUP($E75,'7. PGE_Efficacité'!$A$6:$BT$266,(MATCH('4.6 ACE MAX CAN '!AD$4,'7. PGE_Efficacité'!$A$4:$BU$4,0)+31),0)</f>
        <v>0</v>
      </c>
      <c r="AE75" s="212">
        <f>VLOOKUP($E75,'7. PGE_Efficacité'!$A$6:$BT$266,(MATCH('4.6 ACE MAX CAN '!AE$4,'7. PGE_Efficacité'!$A$4:$BU$4,0)+31),0)</f>
        <v>0</v>
      </c>
      <c r="AF75" s="212">
        <f>VLOOKUP($E75,'7. PGE_Efficacité'!$A$6:$BT$266,(MATCH('4.6 ACE MAX CAN '!AF$4,'7. PGE_Efficacité'!$A$4:$BU$4,0)+31),0)</f>
        <v>0</v>
      </c>
      <c r="AG75" s="212">
        <f>VLOOKUP($E75,'7. PGE_Efficacité'!$A$6:$BT$266,(MATCH('4.6 ACE MAX CAN '!AG$4,'7. PGE_Efficacité'!$A$4:$BU$4,0)+31),0)</f>
        <v>0</v>
      </c>
      <c r="AH75" s="212">
        <f>VLOOKUP($E75,'7. PGE_Efficacité'!$A$6:$BT$266,(MATCH('4.6 ACE MAX CAN '!AH$4,'7. PGE_Efficacité'!$A$4:$BU$4,0)+31),0)</f>
        <v>0</v>
      </c>
      <c r="AI75" s="212">
        <f>VLOOKUP($E75,'7. PGE_Efficacité'!$A$6:$BT$266,(MATCH('4.6 ACE MAX CAN '!AI$4,'7. PGE_Efficacité'!$A$4:$BU$4,0)+31),0)</f>
        <v>0</v>
      </c>
      <c r="AJ75" s="212">
        <f>VLOOKUP($E75,'7. PGE_Efficacité'!$A$6:$BT$266,(MATCH('4.6 ACE MAX CAN '!AJ$4,'7. PGE_Efficacité'!$A$4:$BU$4,0)+31),0)</f>
        <v>0</v>
      </c>
      <c r="AK75" s="212">
        <f>VLOOKUP($E75,'7. PGE_Efficacité'!$A$6:$BT$266,(MATCH('4.6 ACE MAX CAN '!AK$4,'7. PGE_Efficacité'!$A$4:$BU$4,0)+31),0)</f>
        <v>0</v>
      </c>
      <c r="AL75" s="212">
        <f>VLOOKUP($E75,'7. PGE_Efficacité'!$A$6:$BT$266,(MATCH('4.6 ACE MAX CAN '!AL$4,'7. PGE_Efficacité'!$A$4:$BU$4,0)+31),0)</f>
        <v>0</v>
      </c>
      <c r="AM75" s="212">
        <f>VLOOKUP($E75,'7. PGE_Efficacité'!$A$6:$BT$266,(MATCH('4.6 ACE MAX CAN '!AM$4,'7. PGE_Efficacité'!$A$4:$BU$4,0)+31),0)</f>
        <v>0</v>
      </c>
      <c r="AN75" s="212">
        <f>VLOOKUP($E75,'7. PGE_Efficacité'!$A$6:$BT$266,(MATCH('4.6 ACE MAX CAN '!AN$4,'7. PGE_Efficacité'!$A$4:$BU$4,0)+31),0)</f>
        <v>0</v>
      </c>
    </row>
    <row r="76" spans="1:40" outlineLevel="2" x14ac:dyDescent="0.25">
      <c r="A76" t="s">
        <v>1524</v>
      </c>
      <c r="B76">
        <v>11</v>
      </c>
      <c r="C76" t="s">
        <v>1526</v>
      </c>
      <c r="D76" s="12" t="s">
        <v>10</v>
      </c>
      <c r="E76" s="12" t="s">
        <v>658</v>
      </c>
      <c r="F76" s="12" t="s">
        <v>1318</v>
      </c>
      <c r="G76" s="12" t="s">
        <v>1520</v>
      </c>
      <c r="H76" s="12" t="s">
        <v>414</v>
      </c>
      <c r="I76" s="148"/>
      <c r="J76" s="149">
        <f>VLOOKUP($E76,'7. PGE_Efficacité'!$A$6:$BT$266,(MATCH('4.6 ACE MAX CAN '!J$4,'7. PGE_Efficacité'!$A$4:$BU$4,0)+31),0)</f>
        <v>0</v>
      </c>
      <c r="K76" s="149">
        <f>VLOOKUP($E76,'7. PGE_Efficacité'!$A$6:$BT$266,(MATCH('4.6 ACE MAX CAN '!K$4,'7. PGE_Efficacité'!$A$4:$BU$4,0)+31),0)</f>
        <v>0</v>
      </c>
      <c r="L76" s="149">
        <f>VLOOKUP($E76,'7. PGE_Efficacité'!$A$6:$BT$266,(MATCH('4.6 ACE MAX CAN '!L$4,'7. PGE_Efficacité'!$A$4:$BU$4,0)+31),0)</f>
        <v>0</v>
      </c>
      <c r="M76" s="149">
        <f>VLOOKUP($E76,'7. PGE_Efficacité'!$A$6:$BT$266,(MATCH('4.6 ACE MAX CAN '!M$4,'7. PGE_Efficacité'!$A$4:$BU$4,0)+31),0)</f>
        <v>0</v>
      </c>
      <c r="N76" s="149">
        <f>VLOOKUP($E76,'7. PGE_Efficacité'!$A$6:$BT$266,(MATCH('4.6 ACE MAX CAN '!N$4,'7. PGE_Efficacité'!$A$4:$BU$4,0)+31),0)</f>
        <v>0</v>
      </c>
      <c r="O76" s="149">
        <f>VLOOKUP($D76,'7. PGE_Efficacité'!$A$6:$BT$268,47,0)</f>
        <v>0</v>
      </c>
      <c r="P76" s="149">
        <f>VLOOKUP($E76,'7. PGE_Efficacité'!$A$6:$BT$266,(MATCH('4.6 ACE MAX CAN '!P$4,'7. PGE_Efficacité'!$A$4:$BU$4,0)+31),0)</f>
        <v>0</v>
      </c>
      <c r="Q76" s="149">
        <f>VLOOKUP($E76,'7. PGE_Efficacité'!$A$6:$BT$266,(MATCH('4.6 ACE MAX CAN '!Q$4,'7. PGE_Efficacité'!$A$4:$BU$4,0)+31),0)</f>
        <v>0</v>
      </c>
      <c r="R76" s="149">
        <f>VLOOKUP($E76,'7. PGE_Efficacité'!$A$6:$BT$266,(MATCH('4.6 ACE MAX CAN '!R$4,'7. PGE_Efficacité'!$A$4:$BU$4,0)+31),0)</f>
        <v>0</v>
      </c>
      <c r="S76" s="149">
        <f>VLOOKUP($E76,'7. PGE_Efficacité'!$A$6:$BT$266,(MATCH('4.6 ACE MAX CAN '!S$4,'7. PGE_Efficacité'!$A$4:$BU$4,0)+31),0)</f>
        <v>0</v>
      </c>
      <c r="T76" s="149">
        <f>VLOOKUP($E76,'7. PGE_Efficacité'!$A$6:$BT$266,(MATCH('4.6 ACE MAX CAN '!T$4,'7. PGE_Efficacité'!$A$4:$BU$4,0)+31),0)</f>
        <v>0</v>
      </c>
      <c r="U76" s="149">
        <f>VLOOKUP($E76,'7. PGE_Efficacité'!$A$6:$BT$266,(MATCH('4.6 ACE MAX CAN '!U$4,'7. PGE_Efficacité'!$A$4:$BU$4,0)+31),0)</f>
        <v>0</v>
      </c>
      <c r="V76" s="149">
        <f>VLOOKUP($E76,'7. PGE_Efficacité'!$A$6:$BT$266,(MATCH('4.6 ACE MAX CAN '!V$4,'7. PGE_Efficacité'!$A$4:$BU$4,0)+31),0)</f>
        <v>0</v>
      </c>
      <c r="W76" s="149">
        <f>VLOOKUP($E76,'7. PGE_Efficacité'!$A$6:$BT$266,(MATCH('4.6 ACE MAX CAN '!W$4,'7. PGE_Efficacité'!$A$4:$BU$4,0)+31),0)</f>
        <v>0</v>
      </c>
      <c r="X76" s="149">
        <f>VLOOKUP($E76,'7. PGE_Efficacité'!$A$6:$BT$266,(MATCH('4.6 ACE MAX CAN '!X$4,'7. PGE_Efficacité'!$A$4:$BU$4,0)+31),0)</f>
        <v>0</v>
      </c>
      <c r="Y76" s="212">
        <f>VLOOKUP($E76,'7. PGE_Efficacité'!$A$6:$BT$266,(MATCH('4.6 ACE MAX CAN '!Y$4,'7. PGE_Efficacité'!$A$4:$BU$4,0)+31),0)</f>
        <v>0</v>
      </c>
      <c r="Z76" s="212">
        <f>VLOOKUP($E76,'7. PGE_Efficacité'!$A$6:$BT$266,(MATCH('4.6 ACE MAX CAN '!Z$4,'7. PGE_Efficacité'!$A$4:$BU$4,0)+31),0)</f>
        <v>0</v>
      </c>
      <c r="AA76" s="212">
        <f>VLOOKUP($E76,'7. PGE_Efficacité'!$A$6:$BT$266,(MATCH('4.6 ACE MAX CAN '!AA$4,'7. PGE_Efficacité'!$A$4:$BU$4,0)+31),0)</f>
        <v>0</v>
      </c>
      <c r="AB76" s="212">
        <f>VLOOKUP($E76,'7. PGE_Efficacité'!$A$6:$BT$266,(MATCH('4.6 ACE MAX CAN '!AB$4,'7. PGE_Efficacité'!$A$4:$BU$4,0)+31),0)</f>
        <v>0</v>
      </c>
      <c r="AC76" s="212">
        <f>VLOOKUP($E76,'7. PGE_Efficacité'!$A$6:$BT$266,(MATCH('4.6 ACE MAX CAN '!AC$4,'7. PGE_Efficacité'!$A$4:$BU$4,0)+31),0)</f>
        <v>0</v>
      </c>
      <c r="AD76" s="212">
        <f>VLOOKUP($E76,'7. PGE_Efficacité'!$A$6:$BT$266,(MATCH('4.6 ACE MAX CAN '!AD$4,'7. PGE_Efficacité'!$A$4:$BU$4,0)+31),0)</f>
        <v>0</v>
      </c>
      <c r="AE76" s="212">
        <f>VLOOKUP($E76,'7. PGE_Efficacité'!$A$6:$BT$266,(MATCH('4.6 ACE MAX CAN '!AE$4,'7. PGE_Efficacité'!$A$4:$BU$4,0)+31),0)</f>
        <v>0</v>
      </c>
      <c r="AF76" s="212">
        <f>VLOOKUP($E76,'7. PGE_Efficacité'!$A$6:$BT$266,(MATCH('4.6 ACE MAX CAN '!AF$4,'7. PGE_Efficacité'!$A$4:$BU$4,0)+31),0)</f>
        <v>0</v>
      </c>
      <c r="AG76" s="212">
        <f>VLOOKUP($E76,'7. PGE_Efficacité'!$A$6:$BT$266,(MATCH('4.6 ACE MAX CAN '!AG$4,'7. PGE_Efficacité'!$A$4:$BU$4,0)+31),0)</f>
        <v>0</v>
      </c>
      <c r="AH76" s="212">
        <f>VLOOKUP($E76,'7. PGE_Efficacité'!$A$6:$BT$266,(MATCH('4.6 ACE MAX CAN '!AH$4,'7. PGE_Efficacité'!$A$4:$BU$4,0)+31),0)</f>
        <v>0</v>
      </c>
      <c r="AI76" s="212">
        <f>VLOOKUP($E76,'7. PGE_Efficacité'!$A$6:$BT$266,(MATCH('4.6 ACE MAX CAN '!AI$4,'7. PGE_Efficacité'!$A$4:$BU$4,0)+31),0)</f>
        <v>0</v>
      </c>
      <c r="AJ76" s="212">
        <f>VLOOKUP($E76,'7. PGE_Efficacité'!$A$6:$BT$266,(MATCH('4.6 ACE MAX CAN '!AJ$4,'7. PGE_Efficacité'!$A$4:$BU$4,0)+31),0)</f>
        <v>0</v>
      </c>
      <c r="AK76" s="212">
        <f>VLOOKUP($E76,'7. PGE_Efficacité'!$A$6:$BT$266,(MATCH('4.6 ACE MAX CAN '!AK$4,'7. PGE_Efficacité'!$A$4:$BU$4,0)+31),0)</f>
        <v>0</v>
      </c>
      <c r="AL76" s="212">
        <f>VLOOKUP($E76,'7. PGE_Efficacité'!$A$6:$BT$266,(MATCH('4.6 ACE MAX CAN '!AL$4,'7. PGE_Efficacité'!$A$4:$BU$4,0)+31),0)</f>
        <v>0</v>
      </c>
      <c r="AM76" s="212">
        <f>VLOOKUP($E76,'7. PGE_Efficacité'!$A$6:$BT$266,(MATCH('4.6 ACE MAX CAN '!AM$4,'7. PGE_Efficacité'!$A$4:$BU$4,0)+31),0)</f>
        <v>0</v>
      </c>
      <c r="AN76" s="212">
        <f>VLOOKUP($E76,'7. PGE_Efficacité'!$A$6:$BT$266,(MATCH('4.6 ACE MAX CAN '!AN$4,'7. PGE_Efficacité'!$A$4:$BU$4,0)+31),0)</f>
        <v>0</v>
      </c>
    </row>
    <row r="77" spans="1:40" outlineLevel="2" x14ac:dyDescent="0.25">
      <c r="A77" t="s">
        <v>1524</v>
      </c>
      <c r="B77">
        <v>11</v>
      </c>
      <c r="C77" t="s">
        <v>1527</v>
      </c>
      <c r="D77" s="12" t="s">
        <v>10</v>
      </c>
      <c r="E77" s="12" t="s">
        <v>659</v>
      </c>
      <c r="F77" s="12" t="s">
        <v>1319</v>
      </c>
      <c r="G77" s="12" t="s">
        <v>1520</v>
      </c>
      <c r="H77" s="12" t="s">
        <v>414</v>
      </c>
      <c r="I77" s="148"/>
      <c r="J77" s="149">
        <f>VLOOKUP($E77,'7. PGE_Efficacité'!$A$6:$BT$266,(MATCH('4.6 ACE MAX CAN '!J$4,'7. PGE_Efficacité'!$A$4:$BU$4,0)+31),0)</f>
        <v>0</v>
      </c>
      <c r="K77" s="149">
        <f>VLOOKUP($E77,'7. PGE_Efficacité'!$A$6:$BT$266,(MATCH('4.6 ACE MAX CAN '!K$4,'7. PGE_Efficacité'!$A$4:$BU$4,0)+31),0)</f>
        <v>0</v>
      </c>
      <c r="L77" s="149">
        <f>VLOOKUP($E77,'7. PGE_Efficacité'!$A$6:$BT$266,(MATCH('4.6 ACE MAX CAN '!L$4,'7. PGE_Efficacité'!$A$4:$BU$4,0)+31),0)</f>
        <v>0</v>
      </c>
      <c r="M77" s="149">
        <f>VLOOKUP($E77,'7. PGE_Efficacité'!$A$6:$BT$266,(MATCH('4.6 ACE MAX CAN '!M$4,'7. PGE_Efficacité'!$A$4:$BU$4,0)+31),0)</f>
        <v>0</v>
      </c>
      <c r="N77" s="149">
        <f>VLOOKUP($E77,'7. PGE_Efficacité'!$A$6:$BT$266,(MATCH('4.6 ACE MAX CAN '!N$4,'7. PGE_Efficacité'!$A$4:$BU$4,0)+31),0)</f>
        <v>0</v>
      </c>
      <c r="O77" s="149">
        <f>VLOOKUP($D77,'7. PGE_Efficacité'!$A$6:$BT$268,47,0)</f>
        <v>0</v>
      </c>
      <c r="P77" s="149">
        <f>VLOOKUP($E77,'7. PGE_Efficacité'!$A$6:$BT$266,(MATCH('4.6 ACE MAX CAN '!P$4,'7. PGE_Efficacité'!$A$4:$BU$4,0)+31),0)</f>
        <v>0</v>
      </c>
      <c r="Q77" s="149">
        <f>VLOOKUP($E77,'7. PGE_Efficacité'!$A$6:$BT$266,(MATCH('4.6 ACE MAX CAN '!Q$4,'7. PGE_Efficacité'!$A$4:$BU$4,0)+31),0)</f>
        <v>0</v>
      </c>
      <c r="R77" s="149">
        <f>VLOOKUP($E77,'7. PGE_Efficacité'!$A$6:$BT$266,(MATCH('4.6 ACE MAX CAN '!R$4,'7. PGE_Efficacité'!$A$4:$BU$4,0)+31),0)</f>
        <v>0</v>
      </c>
      <c r="S77" s="149">
        <f>VLOOKUP($E77,'7. PGE_Efficacité'!$A$6:$BT$266,(MATCH('4.6 ACE MAX CAN '!S$4,'7. PGE_Efficacité'!$A$4:$BU$4,0)+31),0)</f>
        <v>0</v>
      </c>
      <c r="T77" s="149">
        <f>VLOOKUP($E77,'7. PGE_Efficacité'!$A$6:$BT$266,(MATCH('4.6 ACE MAX CAN '!T$4,'7. PGE_Efficacité'!$A$4:$BU$4,0)+31),0)</f>
        <v>0</v>
      </c>
      <c r="U77" s="149">
        <f>VLOOKUP($E77,'7. PGE_Efficacité'!$A$6:$BT$266,(MATCH('4.6 ACE MAX CAN '!U$4,'7. PGE_Efficacité'!$A$4:$BU$4,0)+31),0)</f>
        <v>0</v>
      </c>
      <c r="V77" s="149">
        <f>VLOOKUP($E77,'7. PGE_Efficacité'!$A$6:$BT$266,(MATCH('4.6 ACE MAX CAN '!V$4,'7. PGE_Efficacité'!$A$4:$BU$4,0)+31),0)</f>
        <v>0</v>
      </c>
      <c r="W77" s="149">
        <f>VLOOKUP($E77,'7. PGE_Efficacité'!$A$6:$BT$266,(MATCH('4.6 ACE MAX CAN '!W$4,'7. PGE_Efficacité'!$A$4:$BU$4,0)+31),0)</f>
        <v>0</v>
      </c>
      <c r="X77" s="149">
        <f>VLOOKUP($E77,'7. PGE_Efficacité'!$A$6:$BT$266,(MATCH('4.6 ACE MAX CAN '!X$4,'7. PGE_Efficacité'!$A$4:$BU$4,0)+31),0)</f>
        <v>0</v>
      </c>
      <c r="Y77" s="212">
        <f>VLOOKUP($E77,'7. PGE_Efficacité'!$A$6:$BT$266,(MATCH('4.6 ACE MAX CAN '!Y$4,'7. PGE_Efficacité'!$A$4:$BU$4,0)+31),0)</f>
        <v>0</v>
      </c>
      <c r="Z77" s="212">
        <f>VLOOKUP($E77,'7. PGE_Efficacité'!$A$6:$BT$266,(MATCH('4.6 ACE MAX CAN '!Z$4,'7. PGE_Efficacité'!$A$4:$BU$4,0)+31),0)</f>
        <v>0</v>
      </c>
      <c r="AA77" s="212">
        <f>VLOOKUP($E77,'7. PGE_Efficacité'!$A$6:$BT$266,(MATCH('4.6 ACE MAX CAN '!AA$4,'7. PGE_Efficacité'!$A$4:$BU$4,0)+31),0)</f>
        <v>0</v>
      </c>
      <c r="AB77" s="212">
        <f>VLOOKUP($E77,'7. PGE_Efficacité'!$A$6:$BT$266,(MATCH('4.6 ACE MAX CAN '!AB$4,'7. PGE_Efficacité'!$A$4:$BU$4,0)+31),0)</f>
        <v>0</v>
      </c>
      <c r="AC77" s="212">
        <f>VLOOKUP($E77,'7. PGE_Efficacité'!$A$6:$BT$266,(MATCH('4.6 ACE MAX CAN '!AC$4,'7. PGE_Efficacité'!$A$4:$BU$4,0)+31),0)</f>
        <v>0</v>
      </c>
      <c r="AD77" s="212">
        <f>VLOOKUP($E77,'7. PGE_Efficacité'!$A$6:$BT$266,(MATCH('4.6 ACE MAX CAN '!AD$4,'7. PGE_Efficacité'!$A$4:$BU$4,0)+31),0)</f>
        <v>0</v>
      </c>
      <c r="AE77" s="212">
        <f>VLOOKUP($E77,'7. PGE_Efficacité'!$A$6:$BT$266,(MATCH('4.6 ACE MAX CAN '!AE$4,'7. PGE_Efficacité'!$A$4:$BU$4,0)+31),0)</f>
        <v>0</v>
      </c>
      <c r="AF77" s="212">
        <f>VLOOKUP($E77,'7. PGE_Efficacité'!$A$6:$BT$266,(MATCH('4.6 ACE MAX CAN '!AF$4,'7. PGE_Efficacité'!$A$4:$BU$4,0)+31),0)</f>
        <v>0</v>
      </c>
      <c r="AG77" s="212">
        <f>VLOOKUP($E77,'7. PGE_Efficacité'!$A$6:$BT$266,(MATCH('4.6 ACE MAX CAN '!AG$4,'7. PGE_Efficacité'!$A$4:$BU$4,0)+31),0)</f>
        <v>0</v>
      </c>
      <c r="AH77" s="212">
        <f>VLOOKUP($E77,'7. PGE_Efficacité'!$A$6:$BT$266,(MATCH('4.6 ACE MAX CAN '!AH$4,'7. PGE_Efficacité'!$A$4:$BU$4,0)+31),0)</f>
        <v>0</v>
      </c>
      <c r="AI77" s="212">
        <f>VLOOKUP($E77,'7. PGE_Efficacité'!$A$6:$BT$266,(MATCH('4.6 ACE MAX CAN '!AI$4,'7. PGE_Efficacité'!$A$4:$BU$4,0)+31),0)</f>
        <v>0</v>
      </c>
      <c r="AJ77" s="212">
        <f>VLOOKUP($E77,'7. PGE_Efficacité'!$A$6:$BT$266,(MATCH('4.6 ACE MAX CAN '!AJ$4,'7. PGE_Efficacité'!$A$4:$BU$4,0)+31),0)</f>
        <v>0</v>
      </c>
      <c r="AK77" s="212">
        <f>VLOOKUP($E77,'7. PGE_Efficacité'!$A$6:$BT$266,(MATCH('4.6 ACE MAX CAN '!AK$4,'7. PGE_Efficacité'!$A$4:$BU$4,0)+31),0)</f>
        <v>0</v>
      </c>
      <c r="AL77" s="212">
        <f>VLOOKUP($E77,'7. PGE_Efficacité'!$A$6:$BT$266,(MATCH('4.6 ACE MAX CAN '!AL$4,'7. PGE_Efficacité'!$A$4:$BU$4,0)+31),0)</f>
        <v>0</v>
      </c>
      <c r="AM77" s="212">
        <f>VLOOKUP($E77,'7. PGE_Efficacité'!$A$6:$BT$266,(MATCH('4.6 ACE MAX CAN '!AM$4,'7. PGE_Efficacité'!$A$4:$BU$4,0)+31),0)</f>
        <v>0</v>
      </c>
      <c r="AN77" s="212">
        <f>VLOOKUP($E77,'7. PGE_Efficacité'!$A$6:$BT$266,(MATCH('4.6 ACE MAX CAN '!AN$4,'7. PGE_Efficacité'!$A$4:$BU$4,0)+31),0)</f>
        <v>0</v>
      </c>
    </row>
    <row r="78" spans="1:40" outlineLevel="2" x14ac:dyDescent="0.25">
      <c r="A78" t="s">
        <v>1524</v>
      </c>
      <c r="B78">
        <v>11</v>
      </c>
      <c r="C78" t="s">
        <v>410</v>
      </c>
      <c r="D78" s="12" t="s">
        <v>10</v>
      </c>
      <c r="E78" s="12" t="s">
        <v>660</v>
      </c>
      <c r="F78" s="12" t="s">
        <v>1320</v>
      </c>
      <c r="G78" s="12" t="s">
        <v>1520</v>
      </c>
      <c r="H78" s="12" t="s">
        <v>414</v>
      </c>
      <c r="I78" s="148"/>
      <c r="J78" s="149">
        <f>VLOOKUP($E78,'7. PGE_Efficacité'!$A$6:$BT$266,(MATCH('4.6 ACE MAX CAN '!J$4,'7. PGE_Efficacité'!$A$4:$BU$4,0)+31),0)</f>
        <v>0</v>
      </c>
      <c r="K78" s="149">
        <f>VLOOKUP($E78,'7. PGE_Efficacité'!$A$6:$BT$266,(MATCH('4.6 ACE MAX CAN '!K$4,'7. PGE_Efficacité'!$A$4:$BU$4,0)+31),0)</f>
        <v>0</v>
      </c>
      <c r="L78" s="149">
        <f>VLOOKUP($E78,'7. PGE_Efficacité'!$A$6:$BT$266,(MATCH('4.6 ACE MAX CAN '!L$4,'7. PGE_Efficacité'!$A$4:$BU$4,0)+31),0)</f>
        <v>0</v>
      </c>
      <c r="M78" s="149">
        <f>VLOOKUP($E78,'7. PGE_Efficacité'!$A$6:$BT$266,(MATCH('4.6 ACE MAX CAN '!M$4,'7. PGE_Efficacité'!$A$4:$BU$4,0)+31),0)</f>
        <v>0</v>
      </c>
      <c r="N78" s="149">
        <f>VLOOKUP($E78,'7. PGE_Efficacité'!$A$6:$BT$266,(MATCH('4.6 ACE MAX CAN '!N$4,'7. PGE_Efficacité'!$A$4:$BU$4,0)+31),0)</f>
        <v>0</v>
      </c>
      <c r="O78" s="149">
        <f>VLOOKUP($D78,'7. PGE_Efficacité'!$A$6:$BT$268,47,0)</f>
        <v>0</v>
      </c>
      <c r="P78" s="149">
        <f>VLOOKUP($E78,'7. PGE_Efficacité'!$A$6:$BT$266,(MATCH('4.6 ACE MAX CAN '!P$4,'7. PGE_Efficacité'!$A$4:$BU$4,0)+31),0)</f>
        <v>0</v>
      </c>
      <c r="Q78" s="149">
        <f>VLOOKUP($E78,'7. PGE_Efficacité'!$A$6:$BT$266,(MATCH('4.6 ACE MAX CAN '!Q$4,'7. PGE_Efficacité'!$A$4:$BU$4,0)+31),0)</f>
        <v>0</v>
      </c>
      <c r="R78" s="149">
        <f>VLOOKUP($E78,'7. PGE_Efficacité'!$A$6:$BT$266,(MATCH('4.6 ACE MAX CAN '!R$4,'7. PGE_Efficacité'!$A$4:$BU$4,0)+31),0)</f>
        <v>0</v>
      </c>
      <c r="S78" s="149">
        <f>VLOOKUP($E78,'7. PGE_Efficacité'!$A$6:$BT$266,(MATCH('4.6 ACE MAX CAN '!S$4,'7. PGE_Efficacité'!$A$4:$BU$4,0)+31),0)</f>
        <v>0</v>
      </c>
      <c r="T78" s="149">
        <f>VLOOKUP($E78,'7. PGE_Efficacité'!$A$6:$BT$266,(MATCH('4.6 ACE MAX CAN '!T$4,'7. PGE_Efficacité'!$A$4:$BU$4,0)+31),0)</f>
        <v>0</v>
      </c>
      <c r="U78" s="149">
        <f>VLOOKUP($E78,'7. PGE_Efficacité'!$A$6:$BT$266,(MATCH('4.6 ACE MAX CAN '!U$4,'7. PGE_Efficacité'!$A$4:$BU$4,0)+31),0)</f>
        <v>0</v>
      </c>
      <c r="V78" s="149">
        <f>VLOOKUP($E78,'7. PGE_Efficacité'!$A$6:$BT$266,(MATCH('4.6 ACE MAX CAN '!V$4,'7. PGE_Efficacité'!$A$4:$BU$4,0)+31),0)</f>
        <v>0</v>
      </c>
      <c r="W78" s="149">
        <f>VLOOKUP($E78,'7. PGE_Efficacité'!$A$6:$BT$266,(MATCH('4.6 ACE MAX CAN '!W$4,'7. PGE_Efficacité'!$A$4:$BU$4,0)+31),0)</f>
        <v>0</v>
      </c>
      <c r="X78" s="149">
        <f>VLOOKUP($E78,'7. PGE_Efficacité'!$A$6:$BT$266,(MATCH('4.6 ACE MAX CAN '!X$4,'7. PGE_Efficacité'!$A$4:$BU$4,0)+31),0)</f>
        <v>0</v>
      </c>
      <c r="Y78" s="212">
        <f>VLOOKUP($E78,'7. PGE_Efficacité'!$A$6:$BT$266,(MATCH('4.6 ACE MAX CAN '!Y$4,'7. PGE_Efficacité'!$A$4:$BU$4,0)+31),0)</f>
        <v>0</v>
      </c>
      <c r="Z78" s="212">
        <f>VLOOKUP($E78,'7. PGE_Efficacité'!$A$6:$BT$266,(MATCH('4.6 ACE MAX CAN '!Z$4,'7. PGE_Efficacité'!$A$4:$BU$4,0)+31),0)</f>
        <v>0</v>
      </c>
      <c r="AA78" s="212">
        <f>VLOOKUP($E78,'7. PGE_Efficacité'!$A$6:$BT$266,(MATCH('4.6 ACE MAX CAN '!AA$4,'7. PGE_Efficacité'!$A$4:$BU$4,0)+31),0)</f>
        <v>0</v>
      </c>
      <c r="AB78" s="212">
        <f>VLOOKUP($E78,'7. PGE_Efficacité'!$A$6:$BT$266,(MATCH('4.6 ACE MAX CAN '!AB$4,'7. PGE_Efficacité'!$A$4:$BU$4,0)+31),0)</f>
        <v>0</v>
      </c>
      <c r="AC78" s="212">
        <f>VLOOKUP($E78,'7. PGE_Efficacité'!$A$6:$BT$266,(MATCH('4.6 ACE MAX CAN '!AC$4,'7. PGE_Efficacité'!$A$4:$BU$4,0)+31),0)</f>
        <v>0</v>
      </c>
      <c r="AD78" s="212">
        <f>VLOOKUP($E78,'7. PGE_Efficacité'!$A$6:$BT$266,(MATCH('4.6 ACE MAX CAN '!AD$4,'7. PGE_Efficacité'!$A$4:$BU$4,0)+31),0)</f>
        <v>0</v>
      </c>
      <c r="AE78" s="212">
        <f>VLOOKUP($E78,'7. PGE_Efficacité'!$A$6:$BT$266,(MATCH('4.6 ACE MAX CAN '!AE$4,'7. PGE_Efficacité'!$A$4:$BU$4,0)+31),0)</f>
        <v>0</v>
      </c>
      <c r="AF78" s="212">
        <f>VLOOKUP($E78,'7. PGE_Efficacité'!$A$6:$BT$266,(MATCH('4.6 ACE MAX CAN '!AF$4,'7. PGE_Efficacité'!$A$4:$BU$4,0)+31),0)</f>
        <v>0</v>
      </c>
      <c r="AG78" s="212">
        <f>VLOOKUP($E78,'7. PGE_Efficacité'!$A$6:$BT$266,(MATCH('4.6 ACE MAX CAN '!AG$4,'7. PGE_Efficacité'!$A$4:$BU$4,0)+31),0)</f>
        <v>0</v>
      </c>
      <c r="AH78" s="212">
        <f>VLOOKUP($E78,'7. PGE_Efficacité'!$A$6:$BT$266,(MATCH('4.6 ACE MAX CAN '!AH$4,'7. PGE_Efficacité'!$A$4:$BU$4,0)+31),0)</f>
        <v>0</v>
      </c>
      <c r="AI78" s="212">
        <f>VLOOKUP($E78,'7. PGE_Efficacité'!$A$6:$BT$266,(MATCH('4.6 ACE MAX CAN '!AI$4,'7. PGE_Efficacité'!$A$4:$BU$4,0)+31),0)</f>
        <v>0</v>
      </c>
      <c r="AJ78" s="212">
        <f>VLOOKUP($E78,'7. PGE_Efficacité'!$A$6:$BT$266,(MATCH('4.6 ACE MAX CAN '!AJ$4,'7. PGE_Efficacité'!$A$4:$BU$4,0)+31),0)</f>
        <v>0</v>
      </c>
      <c r="AK78" s="212">
        <f>VLOOKUP($E78,'7. PGE_Efficacité'!$A$6:$BT$266,(MATCH('4.6 ACE MAX CAN '!AK$4,'7. PGE_Efficacité'!$A$4:$BU$4,0)+31),0)</f>
        <v>0</v>
      </c>
      <c r="AL78" s="212">
        <f>VLOOKUP($E78,'7. PGE_Efficacité'!$A$6:$BT$266,(MATCH('4.6 ACE MAX CAN '!AL$4,'7. PGE_Efficacité'!$A$4:$BU$4,0)+31),0)</f>
        <v>0</v>
      </c>
      <c r="AM78" s="212">
        <f>VLOOKUP($E78,'7. PGE_Efficacité'!$A$6:$BT$266,(MATCH('4.6 ACE MAX CAN '!AM$4,'7. PGE_Efficacité'!$A$4:$BU$4,0)+31),0)</f>
        <v>0</v>
      </c>
      <c r="AN78" s="212">
        <f>VLOOKUP($E78,'7. PGE_Efficacité'!$A$6:$BT$266,(MATCH('4.6 ACE MAX CAN '!AN$4,'7. PGE_Efficacité'!$A$4:$BU$4,0)+31),0)</f>
        <v>0</v>
      </c>
    </row>
    <row r="79" spans="1:40" outlineLevel="2" x14ac:dyDescent="0.25">
      <c r="A79" t="s">
        <v>1524</v>
      </c>
      <c r="B79">
        <v>11</v>
      </c>
      <c r="C79" t="s">
        <v>1528</v>
      </c>
      <c r="D79" s="12" t="s">
        <v>10</v>
      </c>
      <c r="E79" s="12" t="s">
        <v>661</v>
      </c>
      <c r="F79" s="12" t="s">
        <v>1321</v>
      </c>
      <c r="G79" s="12" t="s">
        <v>1520</v>
      </c>
      <c r="H79" s="12" t="s">
        <v>414</v>
      </c>
      <c r="I79" s="148"/>
      <c r="J79" s="149">
        <f>VLOOKUP($E79,'7. PGE_Efficacité'!$A$6:$BT$266,(MATCH('4.6 ACE MAX CAN '!J$4,'7. PGE_Efficacité'!$A$4:$BU$4,0)+31),0)</f>
        <v>0</v>
      </c>
      <c r="K79" s="149">
        <f>VLOOKUP($E79,'7. PGE_Efficacité'!$A$6:$BT$266,(MATCH('4.6 ACE MAX CAN '!K$4,'7. PGE_Efficacité'!$A$4:$BU$4,0)+31),0)</f>
        <v>0</v>
      </c>
      <c r="L79" s="149">
        <f>VLOOKUP($E79,'7. PGE_Efficacité'!$A$6:$BT$266,(MATCH('4.6 ACE MAX CAN '!L$4,'7. PGE_Efficacité'!$A$4:$BU$4,0)+31),0)</f>
        <v>0</v>
      </c>
      <c r="M79" s="149">
        <f>VLOOKUP($E79,'7. PGE_Efficacité'!$A$6:$BT$266,(MATCH('4.6 ACE MAX CAN '!M$4,'7. PGE_Efficacité'!$A$4:$BU$4,0)+31),0)</f>
        <v>0</v>
      </c>
      <c r="N79" s="149">
        <f>VLOOKUP($E79,'7. PGE_Efficacité'!$A$6:$BT$266,(MATCH('4.6 ACE MAX CAN '!N$4,'7. PGE_Efficacité'!$A$4:$BU$4,0)+31),0)</f>
        <v>0</v>
      </c>
      <c r="O79" s="149">
        <f>VLOOKUP($D79,'7. PGE_Efficacité'!$A$6:$BT$268,47,0)</f>
        <v>0</v>
      </c>
      <c r="P79" s="149">
        <f>VLOOKUP($E79,'7. PGE_Efficacité'!$A$6:$BT$266,(MATCH('4.6 ACE MAX CAN '!P$4,'7. PGE_Efficacité'!$A$4:$BU$4,0)+31),0)</f>
        <v>0</v>
      </c>
      <c r="Q79" s="149">
        <f>VLOOKUP($E79,'7. PGE_Efficacité'!$A$6:$BT$266,(MATCH('4.6 ACE MAX CAN '!Q$4,'7. PGE_Efficacité'!$A$4:$BU$4,0)+31),0)</f>
        <v>0</v>
      </c>
      <c r="R79" s="149">
        <f>VLOOKUP($E79,'7. PGE_Efficacité'!$A$6:$BT$266,(MATCH('4.6 ACE MAX CAN '!R$4,'7. PGE_Efficacité'!$A$4:$BU$4,0)+31),0)</f>
        <v>0</v>
      </c>
      <c r="S79" s="149">
        <f>VLOOKUP($E79,'7. PGE_Efficacité'!$A$6:$BT$266,(MATCH('4.6 ACE MAX CAN '!S$4,'7. PGE_Efficacité'!$A$4:$BU$4,0)+31),0)</f>
        <v>0</v>
      </c>
      <c r="T79" s="149">
        <f>VLOOKUP($E79,'7. PGE_Efficacité'!$A$6:$BT$266,(MATCH('4.6 ACE MAX CAN '!T$4,'7. PGE_Efficacité'!$A$4:$BU$4,0)+31),0)</f>
        <v>0</v>
      </c>
      <c r="U79" s="149">
        <f>VLOOKUP($E79,'7. PGE_Efficacité'!$A$6:$BT$266,(MATCH('4.6 ACE MAX CAN '!U$4,'7. PGE_Efficacité'!$A$4:$BU$4,0)+31),0)</f>
        <v>0</v>
      </c>
      <c r="V79" s="149">
        <f>VLOOKUP($E79,'7. PGE_Efficacité'!$A$6:$BT$266,(MATCH('4.6 ACE MAX CAN '!V$4,'7. PGE_Efficacité'!$A$4:$BU$4,0)+31),0)</f>
        <v>0</v>
      </c>
      <c r="W79" s="149">
        <f>VLOOKUP($E79,'7. PGE_Efficacité'!$A$6:$BT$266,(MATCH('4.6 ACE MAX CAN '!W$4,'7. PGE_Efficacité'!$A$4:$BU$4,0)+31),0)</f>
        <v>0</v>
      </c>
      <c r="X79" s="149">
        <f>VLOOKUP($E79,'7. PGE_Efficacité'!$A$6:$BT$266,(MATCH('4.6 ACE MAX CAN '!X$4,'7. PGE_Efficacité'!$A$4:$BU$4,0)+31),0)</f>
        <v>0</v>
      </c>
      <c r="Y79" s="212">
        <f>VLOOKUP($E79,'7. PGE_Efficacité'!$A$6:$BT$266,(MATCH('4.6 ACE MAX CAN '!Y$4,'7. PGE_Efficacité'!$A$4:$BU$4,0)+31),0)</f>
        <v>0</v>
      </c>
      <c r="Z79" s="212">
        <f>VLOOKUP($E79,'7. PGE_Efficacité'!$A$6:$BT$266,(MATCH('4.6 ACE MAX CAN '!Z$4,'7. PGE_Efficacité'!$A$4:$BU$4,0)+31),0)</f>
        <v>0</v>
      </c>
      <c r="AA79" s="212">
        <f>VLOOKUP($E79,'7. PGE_Efficacité'!$A$6:$BT$266,(MATCH('4.6 ACE MAX CAN '!AA$4,'7. PGE_Efficacité'!$A$4:$BU$4,0)+31),0)</f>
        <v>0</v>
      </c>
      <c r="AB79" s="212">
        <f>VLOOKUP($E79,'7. PGE_Efficacité'!$A$6:$BT$266,(MATCH('4.6 ACE MAX CAN '!AB$4,'7. PGE_Efficacité'!$A$4:$BU$4,0)+31),0)</f>
        <v>0</v>
      </c>
      <c r="AC79" s="212">
        <f>VLOOKUP($E79,'7. PGE_Efficacité'!$A$6:$BT$266,(MATCH('4.6 ACE MAX CAN '!AC$4,'7. PGE_Efficacité'!$A$4:$BU$4,0)+31),0)</f>
        <v>0</v>
      </c>
      <c r="AD79" s="212">
        <f>VLOOKUP($E79,'7. PGE_Efficacité'!$A$6:$BT$266,(MATCH('4.6 ACE MAX CAN '!AD$4,'7. PGE_Efficacité'!$A$4:$BU$4,0)+31),0)</f>
        <v>0</v>
      </c>
      <c r="AE79" s="212">
        <f>VLOOKUP($E79,'7. PGE_Efficacité'!$A$6:$BT$266,(MATCH('4.6 ACE MAX CAN '!AE$4,'7. PGE_Efficacité'!$A$4:$BU$4,0)+31),0)</f>
        <v>0</v>
      </c>
      <c r="AF79" s="212">
        <f>VLOOKUP($E79,'7. PGE_Efficacité'!$A$6:$BT$266,(MATCH('4.6 ACE MAX CAN '!AF$4,'7. PGE_Efficacité'!$A$4:$BU$4,0)+31),0)</f>
        <v>0</v>
      </c>
      <c r="AG79" s="212">
        <f>VLOOKUP($E79,'7. PGE_Efficacité'!$A$6:$BT$266,(MATCH('4.6 ACE MAX CAN '!AG$4,'7. PGE_Efficacité'!$A$4:$BU$4,0)+31),0)</f>
        <v>0</v>
      </c>
      <c r="AH79" s="212">
        <f>VLOOKUP($E79,'7. PGE_Efficacité'!$A$6:$BT$266,(MATCH('4.6 ACE MAX CAN '!AH$4,'7. PGE_Efficacité'!$A$4:$BU$4,0)+31),0)</f>
        <v>0</v>
      </c>
      <c r="AI79" s="212">
        <f>VLOOKUP($E79,'7. PGE_Efficacité'!$A$6:$BT$266,(MATCH('4.6 ACE MAX CAN '!AI$4,'7. PGE_Efficacité'!$A$4:$BU$4,0)+31),0)</f>
        <v>0</v>
      </c>
      <c r="AJ79" s="212">
        <f>VLOOKUP($E79,'7. PGE_Efficacité'!$A$6:$BT$266,(MATCH('4.6 ACE MAX CAN '!AJ$4,'7. PGE_Efficacité'!$A$4:$BU$4,0)+31),0)</f>
        <v>0</v>
      </c>
      <c r="AK79" s="212">
        <f>VLOOKUP($E79,'7. PGE_Efficacité'!$A$6:$BT$266,(MATCH('4.6 ACE MAX CAN '!AK$4,'7. PGE_Efficacité'!$A$4:$BU$4,0)+31),0)</f>
        <v>0</v>
      </c>
      <c r="AL79" s="212">
        <f>VLOOKUP($E79,'7. PGE_Efficacité'!$A$6:$BT$266,(MATCH('4.6 ACE MAX CAN '!AL$4,'7. PGE_Efficacité'!$A$4:$BU$4,0)+31),0)</f>
        <v>0</v>
      </c>
      <c r="AM79" s="212">
        <f>VLOOKUP($E79,'7. PGE_Efficacité'!$A$6:$BT$266,(MATCH('4.6 ACE MAX CAN '!AM$4,'7. PGE_Efficacité'!$A$4:$BU$4,0)+31),0)</f>
        <v>0</v>
      </c>
      <c r="AN79" s="212">
        <f>VLOOKUP($E79,'7. PGE_Efficacité'!$A$6:$BT$266,(MATCH('4.6 ACE MAX CAN '!AN$4,'7. PGE_Efficacité'!$A$4:$BU$4,0)+31),0)</f>
        <v>0</v>
      </c>
    </row>
    <row r="80" spans="1:40" outlineLevel="2" x14ac:dyDescent="0.25">
      <c r="A80" t="s">
        <v>1524</v>
      </c>
      <c r="B80">
        <v>11</v>
      </c>
      <c r="C80" t="s">
        <v>1529</v>
      </c>
      <c r="D80" s="12" t="s">
        <v>10</v>
      </c>
      <c r="E80" s="12" t="s">
        <v>662</v>
      </c>
      <c r="F80" s="12" t="s">
        <v>1322</v>
      </c>
      <c r="G80" s="12" t="s">
        <v>1520</v>
      </c>
      <c r="H80" s="12" t="s">
        <v>414</v>
      </c>
      <c r="I80" s="148"/>
      <c r="J80" s="149">
        <f>VLOOKUP($E80,'7. PGE_Efficacité'!$A$6:$BT$266,(MATCH('4.6 ACE MAX CAN '!J$4,'7. PGE_Efficacité'!$A$4:$BU$4,0)+31),0)</f>
        <v>0</v>
      </c>
      <c r="K80" s="149">
        <f>VLOOKUP($E80,'7. PGE_Efficacité'!$A$6:$BT$266,(MATCH('4.6 ACE MAX CAN '!K$4,'7. PGE_Efficacité'!$A$4:$BU$4,0)+31),0)</f>
        <v>0</v>
      </c>
      <c r="L80" s="149">
        <f>VLOOKUP($E80,'7. PGE_Efficacité'!$A$6:$BT$266,(MATCH('4.6 ACE MAX CAN '!L$4,'7. PGE_Efficacité'!$A$4:$BU$4,0)+31),0)</f>
        <v>0</v>
      </c>
      <c r="M80" s="149">
        <f>VLOOKUP($E80,'7. PGE_Efficacité'!$A$6:$BT$266,(MATCH('4.6 ACE MAX CAN '!M$4,'7. PGE_Efficacité'!$A$4:$BU$4,0)+31),0)</f>
        <v>0</v>
      </c>
      <c r="N80" s="149">
        <f>VLOOKUP($E80,'7. PGE_Efficacité'!$A$6:$BT$266,(MATCH('4.6 ACE MAX CAN '!N$4,'7. PGE_Efficacité'!$A$4:$BU$4,0)+31),0)</f>
        <v>0</v>
      </c>
      <c r="O80" s="149">
        <f>VLOOKUP($D80,'7. PGE_Efficacité'!$A$6:$BT$268,47,0)</f>
        <v>0</v>
      </c>
      <c r="P80" s="149">
        <f>VLOOKUP($E80,'7. PGE_Efficacité'!$A$6:$BT$266,(MATCH('4.6 ACE MAX CAN '!P$4,'7. PGE_Efficacité'!$A$4:$BU$4,0)+31),0)</f>
        <v>0</v>
      </c>
      <c r="Q80" s="149">
        <f>VLOOKUP($E80,'7. PGE_Efficacité'!$A$6:$BT$266,(MATCH('4.6 ACE MAX CAN '!Q$4,'7. PGE_Efficacité'!$A$4:$BU$4,0)+31),0)</f>
        <v>0</v>
      </c>
      <c r="R80" s="149">
        <f>VLOOKUP($E80,'7. PGE_Efficacité'!$A$6:$BT$266,(MATCH('4.6 ACE MAX CAN '!R$4,'7. PGE_Efficacité'!$A$4:$BU$4,0)+31),0)</f>
        <v>0</v>
      </c>
      <c r="S80" s="149">
        <f>VLOOKUP($E80,'7. PGE_Efficacité'!$A$6:$BT$266,(MATCH('4.6 ACE MAX CAN '!S$4,'7. PGE_Efficacité'!$A$4:$BU$4,0)+31),0)</f>
        <v>0</v>
      </c>
      <c r="T80" s="149">
        <f>VLOOKUP($E80,'7. PGE_Efficacité'!$A$6:$BT$266,(MATCH('4.6 ACE MAX CAN '!T$4,'7. PGE_Efficacité'!$A$4:$BU$4,0)+31),0)</f>
        <v>0</v>
      </c>
      <c r="U80" s="149">
        <f>VLOOKUP($E80,'7. PGE_Efficacité'!$A$6:$BT$266,(MATCH('4.6 ACE MAX CAN '!U$4,'7. PGE_Efficacité'!$A$4:$BU$4,0)+31),0)</f>
        <v>0</v>
      </c>
      <c r="V80" s="149">
        <f>VLOOKUP($E80,'7. PGE_Efficacité'!$A$6:$BT$266,(MATCH('4.6 ACE MAX CAN '!V$4,'7. PGE_Efficacité'!$A$4:$BU$4,0)+31),0)</f>
        <v>0</v>
      </c>
      <c r="W80" s="149">
        <f>VLOOKUP($E80,'7. PGE_Efficacité'!$A$6:$BT$266,(MATCH('4.6 ACE MAX CAN '!W$4,'7. PGE_Efficacité'!$A$4:$BU$4,0)+31),0)</f>
        <v>0</v>
      </c>
      <c r="X80" s="149">
        <f>VLOOKUP($E80,'7. PGE_Efficacité'!$A$6:$BT$266,(MATCH('4.6 ACE MAX CAN '!X$4,'7. PGE_Efficacité'!$A$4:$BU$4,0)+31),0)</f>
        <v>0</v>
      </c>
      <c r="Y80" s="212">
        <f>VLOOKUP($E80,'7. PGE_Efficacité'!$A$6:$BT$266,(MATCH('4.6 ACE MAX CAN '!Y$4,'7. PGE_Efficacité'!$A$4:$BU$4,0)+31),0)</f>
        <v>0</v>
      </c>
      <c r="Z80" s="212">
        <f>VLOOKUP($E80,'7. PGE_Efficacité'!$A$6:$BT$266,(MATCH('4.6 ACE MAX CAN '!Z$4,'7. PGE_Efficacité'!$A$4:$BU$4,0)+31),0)</f>
        <v>0</v>
      </c>
      <c r="AA80" s="212">
        <f>VLOOKUP($E80,'7. PGE_Efficacité'!$A$6:$BT$266,(MATCH('4.6 ACE MAX CAN '!AA$4,'7. PGE_Efficacité'!$A$4:$BU$4,0)+31),0)</f>
        <v>0</v>
      </c>
      <c r="AB80" s="212">
        <f>VLOOKUP($E80,'7. PGE_Efficacité'!$A$6:$BT$266,(MATCH('4.6 ACE MAX CAN '!AB$4,'7. PGE_Efficacité'!$A$4:$BU$4,0)+31),0)</f>
        <v>0</v>
      </c>
      <c r="AC80" s="212">
        <f>VLOOKUP($E80,'7. PGE_Efficacité'!$A$6:$BT$266,(MATCH('4.6 ACE MAX CAN '!AC$4,'7. PGE_Efficacité'!$A$4:$BU$4,0)+31),0)</f>
        <v>0</v>
      </c>
      <c r="AD80" s="212">
        <f>VLOOKUP($E80,'7. PGE_Efficacité'!$A$6:$BT$266,(MATCH('4.6 ACE MAX CAN '!AD$4,'7. PGE_Efficacité'!$A$4:$BU$4,0)+31),0)</f>
        <v>0</v>
      </c>
      <c r="AE80" s="212">
        <f>VLOOKUP($E80,'7. PGE_Efficacité'!$A$6:$BT$266,(MATCH('4.6 ACE MAX CAN '!AE$4,'7. PGE_Efficacité'!$A$4:$BU$4,0)+31),0)</f>
        <v>0</v>
      </c>
      <c r="AF80" s="212">
        <f>VLOOKUP($E80,'7. PGE_Efficacité'!$A$6:$BT$266,(MATCH('4.6 ACE MAX CAN '!AF$4,'7. PGE_Efficacité'!$A$4:$BU$4,0)+31),0)</f>
        <v>0</v>
      </c>
      <c r="AG80" s="212">
        <f>VLOOKUP($E80,'7. PGE_Efficacité'!$A$6:$BT$266,(MATCH('4.6 ACE MAX CAN '!AG$4,'7. PGE_Efficacité'!$A$4:$BU$4,0)+31),0)</f>
        <v>0</v>
      </c>
      <c r="AH80" s="212">
        <f>VLOOKUP($E80,'7. PGE_Efficacité'!$A$6:$BT$266,(MATCH('4.6 ACE MAX CAN '!AH$4,'7. PGE_Efficacité'!$A$4:$BU$4,0)+31),0)</f>
        <v>0</v>
      </c>
      <c r="AI80" s="212">
        <f>VLOOKUP($E80,'7. PGE_Efficacité'!$A$6:$BT$266,(MATCH('4.6 ACE MAX CAN '!AI$4,'7. PGE_Efficacité'!$A$4:$BU$4,0)+31),0)</f>
        <v>0</v>
      </c>
      <c r="AJ80" s="212">
        <f>VLOOKUP($E80,'7. PGE_Efficacité'!$A$6:$BT$266,(MATCH('4.6 ACE MAX CAN '!AJ$4,'7. PGE_Efficacité'!$A$4:$BU$4,0)+31),0)</f>
        <v>0</v>
      </c>
      <c r="AK80" s="212">
        <f>VLOOKUP($E80,'7. PGE_Efficacité'!$A$6:$BT$266,(MATCH('4.6 ACE MAX CAN '!AK$4,'7. PGE_Efficacité'!$A$4:$BU$4,0)+31),0)</f>
        <v>0</v>
      </c>
      <c r="AL80" s="212">
        <f>VLOOKUP($E80,'7. PGE_Efficacité'!$A$6:$BT$266,(MATCH('4.6 ACE MAX CAN '!AL$4,'7. PGE_Efficacité'!$A$4:$BU$4,0)+31),0)</f>
        <v>0</v>
      </c>
      <c r="AM80" s="212">
        <f>VLOOKUP($E80,'7. PGE_Efficacité'!$A$6:$BT$266,(MATCH('4.6 ACE MAX CAN '!AM$4,'7. PGE_Efficacité'!$A$4:$BU$4,0)+31),0)</f>
        <v>0</v>
      </c>
      <c r="AN80" s="212">
        <f>VLOOKUP($E80,'7. PGE_Efficacité'!$A$6:$BT$266,(MATCH('4.6 ACE MAX CAN '!AN$4,'7. PGE_Efficacité'!$A$4:$BU$4,0)+31),0)</f>
        <v>0</v>
      </c>
    </row>
    <row r="81" spans="1:40" outlineLevel="2" x14ac:dyDescent="0.25">
      <c r="A81" t="s">
        <v>1524</v>
      </c>
      <c r="B81">
        <v>11</v>
      </c>
      <c r="C81" t="s">
        <v>1530</v>
      </c>
      <c r="D81" s="12" t="s">
        <v>10</v>
      </c>
      <c r="E81" s="12" t="s">
        <v>663</v>
      </c>
      <c r="F81" s="12" t="s">
        <v>1323</v>
      </c>
      <c r="G81" s="12" t="s">
        <v>1520</v>
      </c>
      <c r="H81" s="12" t="s">
        <v>1287</v>
      </c>
      <c r="I81" s="148"/>
      <c r="J81" s="149">
        <f>VLOOKUP($E81,'7. PGE_Efficacité'!$A$6:$BT$266,(MATCH('4.6 ACE MAX CAN '!J$4,'7. PGE_Efficacité'!$A$4:$BU$4,0)+31),0)</f>
        <v>0</v>
      </c>
      <c r="K81" s="149">
        <f>VLOOKUP($E81,'7. PGE_Efficacité'!$A$6:$BT$266,(MATCH('4.6 ACE MAX CAN '!K$4,'7. PGE_Efficacité'!$A$4:$BU$4,0)+31),0)</f>
        <v>0</v>
      </c>
      <c r="L81" s="149">
        <f>VLOOKUP($E81,'7. PGE_Efficacité'!$A$6:$BT$266,(MATCH('4.6 ACE MAX CAN '!L$4,'7. PGE_Efficacité'!$A$4:$BU$4,0)+31),0)</f>
        <v>0</v>
      </c>
      <c r="M81" s="149">
        <f>VLOOKUP($E81,'7. PGE_Efficacité'!$A$6:$BT$266,(MATCH('4.6 ACE MAX CAN '!M$4,'7. PGE_Efficacité'!$A$4:$BU$4,0)+31),0)</f>
        <v>0</v>
      </c>
      <c r="N81" s="149">
        <f>VLOOKUP($E81,'7. PGE_Efficacité'!$A$6:$BT$266,(MATCH('4.6 ACE MAX CAN '!N$4,'7. PGE_Efficacité'!$A$4:$BU$4,0)+31),0)</f>
        <v>0</v>
      </c>
      <c r="O81" s="149">
        <f>VLOOKUP($D81,'7. PGE_Efficacité'!$A$6:$BT$268,47,0)</f>
        <v>0</v>
      </c>
      <c r="P81" s="149">
        <f>VLOOKUP($E81,'7. PGE_Efficacité'!$A$6:$BT$266,(MATCH('4.6 ACE MAX CAN '!P$4,'7. PGE_Efficacité'!$A$4:$BU$4,0)+31),0)</f>
        <v>0</v>
      </c>
      <c r="Q81" s="149">
        <f>VLOOKUP($E81,'7. PGE_Efficacité'!$A$6:$BT$266,(MATCH('4.6 ACE MAX CAN '!Q$4,'7. PGE_Efficacité'!$A$4:$BU$4,0)+31),0)</f>
        <v>0</v>
      </c>
      <c r="R81" s="149">
        <f>VLOOKUP($E81,'7. PGE_Efficacité'!$A$6:$BT$266,(MATCH('4.6 ACE MAX CAN '!R$4,'7. PGE_Efficacité'!$A$4:$BU$4,0)+31),0)</f>
        <v>0</v>
      </c>
      <c r="S81" s="149">
        <f>VLOOKUP($E81,'7. PGE_Efficacité'!$A$6:$BT$266,(MATCH('4.6 ACE MAX CAN '!S$4,'7. PGE_Efficacité'!$A$4:$BU$4,0)+31),0)</f>
        <v>0</v>
      </c>
      <c r="T81" s="149">
        <f>VLOOKUP($E81,'7. PGE_Efficacité'!$A$6:$BT$266,(MATCH('4.6 ACE MAX CAN '!T$4,'7. PGE_Efficacité'!$A$4:$BU$4,0)+31),0)</f>
        <v>0</v>
      </c>
      <c r="U81" s="149">
        <f>VLOOKUP($E81,'7. PGE_Efficacité'!$A$6:$BT$266,(MATCH('4.6 ACE MAX CAN '!U$4,'7. PGE_Efficacité'!$A$4:$BU$4,0)+31),0)</f>
        <v>0</v>
      </c>
      <c r="V81" s="149">
        <f>VLOOKUP($E81,'7. PGE_Efficacité'!$A$6:$BT$266,(MATCH('4.6 ACE MAX CAN '!V$4,'7. PGE_Efficacité'!$A$4:$BU$4,0)+31),0)</f>
        <v>0</v>
      </c>
      <c r="W81" s="149">
        <f>VLOOKUP($E81,'7. PGE_Efficacité'!$A$6:$BT$266,(MATCH('4.6 ACE MAX CAN '!W$4,'7. PGE_Efficacité'!$A$4:$BU$4,0)+31),0)</f>
        <v>0</v>
      </c>
      <c r="X81" s="149">
        <f>VLOOKUP($E81,'7. PGE_Efficacité'!$A$6:$BT$266,(MATCH('4.6 ACE MAX CAN '!X$4,'7. PGE_Efficacité'!$A$4:$BU$4,0)+31),0)</f>
        <v>0</v>
      </c>
      <c r="Y81" s="212">
        <f>VLOOKUP($E81,'7. PGE_Efficacité'!$A$6:$BT$266,(MATCH('4.6 ACE MAX CAN '!Y$4,'7. PGE_Efficacité'!$A$4:$BU$4,0)+31),0)</f>
        <v>0</v>
      </c>
      <c r="Z81" s="212">
        <f>VLOOKUP($E81,'7. PGE_Efficacité'!$A$6:$BT$266,(MATCH('4.6 ACE MAX CAN '!Z$4,'7. PGE_Efficacité'!$A$4:$BU$4,0)+31),0)</f>
        <v>0</v>
      </c>
      <c r="AA81" s="212">
        <f>VLOOKUP($E81,'7. PGE_Efficacité'!$A$6:$BT$266,(MATCH('4.6 ACE MAX CAN '!AA$4,'7. PGE_Efficacité'!$A$4:$BU$4,0)+31),0)</f>
        <v>0</v>
      </c>
      <c r="AB81" s="212">
        <f>VLOOKUP($E81,'7. PGE_Efficacité'!$A$6:$BT$266,(MATCH('4.6 ACE MAX CAN '!AB$4,'7. PGE_Efficacité'!$A$4:$BU$4,0)+31),0)</f>
        <v>0</v>
      </c>
      <c r="AC81" s="212">
        <f>VLOOKUP($E81,'7. PGE_Efficacité'!$A$6:$BT$266,(MATCH('4.6 ACE MAX CAN '!AC$4,'7. PGE_Efficacité'!$A$4:$BU$4,0)+31),0)</f>
        <v>0</v>
      </c>
      <c r="AD81" s="212">
        <f>VLOOKUP($E81,'7. PGE_Efficacité'!$A$6:$BT$266,(MATCH('4.6 ACE MAX CAN '!AD$4,'7. PGE_Efficacité'!$A$4:$BU$4,0)+31),0)</f>
        <v>0</v>
      </c>
      <c r="AE81" s="212">
        <f>VLOOKUP($E81,'7. PGE_Efficacité'!$A$6:$BT$266,(MATCH('4.6 ACE MAX CAN '!AE$4,'7. PGE_Efficacité'!$A$4:$BU$4,0)+31),0)</f>
        <v>0</v>
      </c>
      <c r="AF81" s="212">
        <f>VLOOKUP($E81,'7. PGE_Efficacité'!$A$6:$BT$266,(MATCH('4.6 ACE MAX CAN '!AF$4,'7. PGE_Efficacité'!$A$4:$BU$4,0)+31),0)</f>
        <v>0</v>
      </c>
      <c r="AG81" s="212">
        <f>VLOOKUP($E81,'7. PGE_Efficacité'!$A$6:$BT$266,(MATCH('4.6 ACE MAX CAN '!AG$4,'7. PGE_Efficacité'!$A$4:$BU$4,0)+31),0)</f>
        <v>0</v>
      </c>
      <c r="AH81" s="212">
        <f>VLOOKUP($E81,'7. PGE_Efficacité'!$A$6:$BT$266,(MATCH('4.6 ACE MAX CAN '!AH$4,'7. PGE_Efficacité'!$A$4:$BU$4,0)+31),0)</f>
        <v>0</v>
      </c>
      <c r="AI81" s="212">
        <f>VLOOKUP($E81,'7. PGE_Efficacité'!$A$6:$BT$266,(MATCH('4.6 ACE MAX CAN '!AI$4,'7. PGE_Efficacité'!$A$4:$BU$4,0)+31),0)</f>
        <v>0</v>
      </c>
      <c r="AJ81" s="212">
        <f>VLOOKUP($E81,'7. PGE_Efficacité'!$A$6:$BT$266,(MATCH('4.6 ACE MAX CAN '!AJ$4,'7. PGE_Efficacité'!$A$4:$BU$4,0)+31),0)</f>
        <v>0</v>
      </c>
      <c r="AK81" s="212">
        <f>VLOOKUP($E81,'7. PGE_Efficacité'!$A$6:$BT$266,(MATCH('4.6 ACE MAX CAN '!AK$4,'7. PGE_Efficacité'!$A$4:$BU$4,0)+31),0)</f>
        <v>0</v>
      </c>
      <c r="AL81" s="212">
        <f>VLOOKUP($E81,'7. PGE_Efficacité'!$A$6:$BT$266,(MATCH('4.6 ACE MAX CAN '!AL$4,'7. PGE_Efficacité'!$A$4:$BU$4,0)+31),0)</f>
        <v>0</v>
      </c>
      <c r="AM81" s="212">
        <f>VLOOKUP($E81,'7. PGE_Efficacité'!$A$6:$BT$266,(MATCH('4.6 ACE MAX CAN '!AM$4,'7. PGE_Efficacité'!$A$4:$BU$4,0)+31),0)</f>
        <v>0</v>
      </c>
      <c r="AN81" s="212">
        <f>VLOOKUP($E81,'7. PGE_Efficacité'!$A$6:$BT$266,(MATCH('4.6 ACE MAX CAN '!AN$4,'7. PGE_Efficacité'!$A$4:$BU$4,0)+31),0)</f>
        <v>0</v>
      </c>
    </row>
    <row r="82" spans="1:40" outlineLevel="2" x14ac:dyDescent="0.25">
      <c r="A82" t="s">
        <v>1524</v>
      </c>
      <c r="B82">
        <v>11</v>
      </c>
      <c r="C82" t="s">
        <v>1531</v>
      </c>
      <c r="D82" s="12" t="s">
        <v>10</v>
      </c>
      <c r="E82" s="12" t="s">
        <v>664</v>
      </c>
      <c r="F82" s="12" t="s">
        <v>1324</v>
      </c>
      <c r="G82" s="12" t="s">
        <v>1520</v>
      </c>
      <c r="H82" s="12" t="s">
        <v>1287</v>
      </c>
      <c r="I82" s="148"/>
      <c r="J82" s="149">
        <f>VLOOKUP($E82,'7. PGE_Efficacité'!$A$6:$BT$266,(MATCH('4.6 ACE MAX CAN '!J$4,'7. PGE_Efficacité'!$A$4:$BU$4,0)+31),0)</f>
        <v>0</v>
      </c>
      <c r="K82" s="149">
        <f>VLOOKUP($E82,'7. PGE_Efficacité'!$A$6:$BT$266,(MATCH('4.6 ACE MAX CAN '!K$4,'7. PGE_Efficacité'!$A$4:$BU$4,0)+31),0)</f>
        <v>0</v>
      </c>
      <c r="L82" s="149">
        <f>VLOOKUP($E82,'7. PGE_Efficacité'!$A$6:$BT$266,(MATCH('4.6 ACE MAX CAN '!L$4,'7. PGE_Efficacité'!$A$4:$BU$4,0)+31),0)</f>
        <v>0</v>
      </c>
      <c r="M82" s="149">
        <f>VLOOKUP($E82,'7. PGE_Efficacité'!$A$6:$BT$266,(MATCH('4.6 ACE MAX CAN '!M$4,'7. PGE_Efficacité'!$A$4:$BU$4,0)+31),0)</f>
        <v>0</v>
      </c>
      <c r="N82" s="149">
        <f>VLOOKUP($E82,'7. PGE_Efficacité'!$A$6:$BT$266,(MATCH('4.6 ACE MAX CAN '!N$4,'7. PGE_Efficacité'!$A$4:$BU$4,0)+31),0)</f>
        <v>0</v>
      </c>
      <c r="O82" s="149">
        <f>VLOOKUP($D82,'7. PGE_Efficacité'!$A$6:$BT$268,47,0)</f>
        <v>0</v>
      </c>
      <c r="P82" s="149">
        <f>VLOOKUP($E82,'7. PGE_Efficacité'!$A$6:$BT$266,(MATCH('4.6 ACE MAX CAN '!P$4,'7. PGE_Efficacité'!$A$4:$BU$4,0)+31),0)</f>
        <v>0</v>
      </c>
      <c r="Q82" s="149">
        <f>VLOOKUP($E82,'7. PGE_Efficacité'!$A$6:$BT$266,(MATCH('4.6 ACE MAX CAN '!Q$4,'7. PGE_Efficacité'!$A$4:$BU$4,0)+31),0)</f>
        <v>0</v>
      </c>
      <c r="R82" s="149">
        <f>VLOOKUP($E82,'7. PGE_Efficacité'!$A$6:$BT$266,(MATCH('4.6 ACE MAX CAN '!R$4,'7. PGE_Efficacité'!$A$4:$BU$4,0)+31),0)</f>
        <v>0</v>
      </c>
      <c r="S82" s="149">
        <f>VLOOKUP($E82,'7. PGE_Efficacité'!$A$6:$BT$266,(MATCH('4.6 ACE MAX CAN '!S$4,'7. PGE_Efficacité'!$A$4:$BU$4,0)+31),0)</f>
        <v>0</v>
      </c>
      <c r="T82" s="149">
        <f>VLOOKUP($E82,'7. PGE_Efficacité'!$A$6:$BT$266,(MATCH('4.6 ACE MAX CAN '!T$4,'7. PGE_Efficacité'!$A$4:$BU$4,0)+31),0)</f>
        <v>0</v>
      </c>
      <c r="U82" s="149">
        <f>VLOOKUP($E82,'7. PGE_Efficacité'!$A$6:$BT$266,(MATCH('4.6 ACE MAX CAN '!U$4,'7. PGE_Efficacité'!$A$4:$BU$4,0)+31),0)</f>
        <v>0</v>
      </c>
      <c r="V82" s="149">
        <f>VLOOKUP($E82,'7. PGE_Efficacité'!$A$6:$BT$266,(MATCH('4.6 ACE MAX CAN '!V$4,'7. PGE_Efficacité'!$A$4:$BU$4,0)+31),0)</f>
        <v>0</v>
      </c>
      <c r="W82" s="149">
        <f>VLOOKUP($E82,'7. PGE_Efficacité'!$A$6:$BT$266,(MATCH('4.6 ACE MAX CAN '!W$4,'7. PGE_Efficacité'!$A$4:$BU$4,0)+31),0)</f>
        <v>0</v>
      </c>
      <c r="X82" s="149">
        <f>VLOOKUP($E82,'7. PGE_Efficacité'!$A$6:$BT$266,(MATCH('4.6 ACE MAX CAN '!X$4,'7. PGE_Efficacité'!$A$4:$BU$4,0)+31),0)</f>
        <v>0</v>
      </c>
      <c r="Y82" s="212">
        <f>VLOOKUP($E82,'7. PGE_Efficacité'!$A$6:$BT$266,(MATCH('4.6 ACE MAX CAN '!Y$4,'7. PGE_Efficacité'!$A$4:$BU$4,0)+31),0)</f>
        <v>0</v>
      </c>
      <c r="Z82" s="212">
        <f>VLOOKUP($E82,'7. PGE_Efficacité'!$A$6:$BT$266,(MATCH('4.6 ACE MAX CAN '!Z$4,'7. PGE_Efficacité'!$A$4:$BU$4,0)+31),0)</f>
        <v>0</v>
      </c>
      <c r="AA82" s="212">
        <f>VLOOKUP($E82,'7. PGE_Efficacité'!$A$6:$BT$266,(MATCH('4.6 ACE MAX CAN '!AA$4,'7. PGE_Efficacité'!$A$4:$BU$4,0)+31),0)</f>
        <v>0</v>
      </c>
      <c r="AB82" s="212">
        <f>VLOOKUP($E82,'7. PGE_Efficacité'!$A$6:$BT$266,(MATCH('4.6 ACE MAX CAN '!AB$4,'7. PGE_Efficacité'!$A$4:$BU$4,0)+31),0)</f>
        <v>0</v>
      </c>
      <c r="AC82" s="212">
        <f>VLOOKUP($E82,'7. PGE_Efficacité'!$A$6:$BT$266,(MATCH('4.6 ACE MAX CAN '!AC$4,'7. PGE_Efficacité'!$A$4:$BU$4,0)+31),0)</f>
        <v>0</v>
      </c>
      <c r="AD82" s="212">
        <f>VLOOKUP($E82,'7. PGE_Efficacité'!$A$6:$BT$266,(MATCH('4.6 ACE MAX CAN '!AD$4,'7. PGE_Efficacité'!$A$4:$BU$4,0)+31),0)</f>
        <v>0</v>
      </c>
      <c r="AE82" s="212">
        <f>VLOOKUP($E82,'7. PGE_Efficacité'!$A$6:$BT$266,(MATCH('4.6 ACE MAX CAN '!AE$4,'7. PGE_Efficacité'!$A$4:$BU$4,0)+31),0)</f>
        <v>0</v>
      </c>
      <c r="AF82" s="212">
        <f>VLOOKUP($E82,'7. PGE_Efficacité'!$A$6:$BT$266,(MATCH('4.6 ACE MAX CAN '!AF$4,'7. PGE_Efficacité'!$A$4:$BU$4,0)+31),0)</f>
        <v>0</v>
      </c>
      <c r="AG82" s="212">
        <f>VLOOKUP($E82,'7. PGE_Efficacité'!$A$6:$BT$266,(MATCH('4.6 ACE MAX CAN '!AG$4,'7. PGE_Efficacité'!$A$4:$BU$4,0)+31),0)</f>
        <v>0</v>
      </c>
      <c r="AH82" s="212">
        <f>VLOOKUP($E82,'7. PGE_Efficacité'!$A$6:$BT$266,(MATCH('4.6 ACE MAX CAN '!AH$4,'7. PGE_Efficacité'!$A$4:$BU$4,0)+31),0)</f>
        <v>0</v>
      </c>
      <c r="AI82" s="212">
        <f>VLOOKUP($E82,'7. PGE_Efficacité'!$A$6:$BT$266,(MATCH('4.6 ACE MAX CAN '!AI$4,'7. PGE_Efficacité'!$A$4:$BU$4,0)+31),0)</f>
        <v>0</v>
      </c>
      <c r="AJ82" s="212">
        <f>VLOOKUP($E82,'7. PGE_Efficacité'!$A$6:$BT$266,(MATCH('4.6 ACE MAX CAN '!AJ$4,'7. PGE_Efficacité'!$A$4:$BU$4,0)+31),0)</f>
        <v>0</v>
      </c>
      <c r="AK82" s="212">
        <f>VLOOKUP($E82,'7. PGE_Efficacité'!$A$6:$BT$266,(MATCH('4.6 ACE MAX CAN '!AK$4,'7. PGE_Efficacité'!$A$4:$BU$4,0)+31),0)</f>
        <v>0</v>
      </c>
      <c r="AL82" s="212">
        <f>VLOOKUP($E82,'7. PGE_Efficacité'!$A$6:$BT$266,(MATCH('4.6 ACE MAX CAN '!AL$4,'7. PGE_Efficacité'!$A$4:$BU$4,0)+31),0)</f>
        <v>0</v>
      </c>
      <c r="AM82" s="212">
        <f>VLOOKUP($E82,'7. PGE_Efficacité'!$A$6:$BT$266,(MATCH('4.6 ACE MAX CAN '!AM$4,'7. PGE_Efficacité'!$A$4:$BU$4,0)+31),0)</f>
        <v>0</v>
      </c>
      <c r="AN82" s="212">
        <f>VLOOKUP($E82,'7. PGE_Efficacité'!$A$6:$BT$266,(MATCH('4.6 ACE MAX CAN '!AN$4,'7. PGE_Efficacité'!$A$4:$BU$4,0)+31),0)</f>
        <v>0</v>
      </c>
    </row>
    <row r="83" spans="1:40" outlineLevel="2" x14ac:dyDescent="0.25">
      <c r="A83" t="s">
        <v>1524</v>
      </c>
      <c r="B83">
        <v>11</v>
      </c>
      <c r="C83" t="s">
        <v>1534</v>
      </c>
      <c r="D83" s="12" t="s">
        <v>10</v>
      </c>
      <c r="E83" s="12" t="s">
        <v>667</v>
      </c>
      <c r="F83" s="12" t="s">
        <v>1327</v>
      </c>
      <c r="G83" s="12" t="s">
        <v>1520</v>
      </c>
      <c r="H83" s="12" t="s">
        <v>1290</v>
      </c>
      <c r="I83" s="148"/>
      <c r="J83" s="149">
        <f>VLOOKUP($E83,'7. PGE_Efficacité'!$A$6:$BT$266,(MATCH('4.6 ACE MAX CAN '!J$4,'7. PGE_Efficacité'!$A$4:$BU$4,0)+31),0)</f>
        <v>0</v>
      </c>
      <c r="K83" s="149">
        <f>VLOOKUP($E83,'7. PGE_Efficacité'!$A$6:$BT$266,(MATCH('4.6 ACE MAX CAN '!K$4,'7. PGE_Efficacité'!$A$4:$BU$4,0)+31),0)</f>
        <v>0</v>
      </c>
      <c r="L83" s="149">
        <f>VLOOKUP($E83,'7. PGE_Efficacité'!$A$6:$BT$266,(MATCH('4.6 ACE MAX CAN '!L$4,'7. PGE_Efficacité'!$A$4:$BU$4,0)+31),0)</f>
        <v>0</v>
      </c>
      <c r="M83" s="149">
        <f>VLOOKUP($E83,'7. PGE_Efficacité'!$A$6:$BT$266,(MATCH('4.6 ACE MAX CAN '!M$4,'7. PGE_Efficacité'!$A$4:$BU$4,0)+31),0)</f>
        <v>0</v>
      </c>
      <c r="N83" s="149">
        <f>VLOOKUP($E83,'7. PGE_Efficacité'!$A$6:$BT$266,(MATCH('4.6 ACE MAX CAN '!N$4,'7. PGE_Efficacité'!$A$4:$BU$4,0)+31),0)</f>
        <v>0</v>
      </c>
      <c r="O83" s="149">
        <f>VLOOKUP($D83,'7. PGE_Efficacité'!$A$6:$BT$268,47,0)</f>
        <v>0</v>
      </c>
      <c r="P83" s="149">
        <f>VLOOKUP($E83,'7. PGE_Efficacité'!$A$6:$BT$266,(MATCH('4.6 ACE MAX CAN '!P$4,'7. PGE_Efficacité'!$A$4:$BU$4,0)+31),0)</f>
        <v>0</v>
      </c>
      <c r="Q83" s="149">
        <f>VLOOKUP($E83,'7. PGE_Efficacité'!$A$6:$BT$266,(MATCH('4.6 ACE MAX CAN '!Q$4,'7. PGE_Efficacité'!$A$4:$BU$4,0)+31),0)</f>
        <v>0</v>
      </c>
      <c r="R83" s="149">
        <f>VLOOKUP($E83,'7. PGE_Efficacité'!$A$6:$BT$266,(MATCH('4.6 ACE MAX CAN '!R$4,'7. PGE_Efficacité'!$A$4:$BU$4,0)+31),0)</f>
        <v>0</v>
      </c>
      <c r="S83" s="149">
        <f>VLOOKUP($E83,'7. PGE_Efficacité'!$A$6:$BT$266,(MATCH('4.6 ACE MAX CAN '!S$4,'7. PGE_Efficacité'!$A$4:$BU$4,0)+31),0)</f>
        <v>0</v>
      </c>
      <c r="T83" s="149">
        <f>VLOOKUP($E83,'7. PGE_Efficacité'!$A$6:$BT$266,(MATCH('4.6 ACE MAX CAN '!T$4,'7. PGE_Efficacité'!$A$4:$BU$4,0)+31),0)</f>
        <v>0</v>
      </c>
      <c r="U83" s="149">
        <f>VLOOKUP($E83,'7. PGE_Efficacité'!$A$6:$BT$266,(MATCH('4.6 ACE MAX CAN '!U$4,'7. PGE_Efficacité'!$A$4:$BU$4,0)+31),0)</f>
        <v>0</v>
      </c>
      <c r="V83" s="149">
        <f>VLOOKUP($E83,'7. PGE_Efficacité'!$A$6:$BT$266,(MATCH('4.6 ACE MAX CAN '!V$4,'7. PGE_Efficacité'!$A$4:$BU$4,0)+31),0)</f>
        <v>0</v>
      </c>
      <c r="W83" s="149">
        <f>VLOOKUP($E83,'7. PGE_Efficacité'!$A$6:$BT$266,(MATCH('4.6 ACE MAX CAN '!W$4,'7. PGE_Efficacité'!$A$4:$BU$4,0)+31),0)</f>
        <v>0</v>
      </c>
      <c r="X83" s="149">
        <f>VLOOKUP($E83,'7. PGE_Efficacité'!$A$6:$BT$266,(MATCH('4.6 ACE MAX CAN '!X$4,'7. PGE_Efficacité'!$A$4:$BU$4,0)+31),0)</f>
        <v>0</v>
      </c>
      <c r="Y83" s="212">
        <f>VLOOKUP($E83,'7. PGE_Efficacité'!$A$6:$BT$266,(MATCH('4.6 ACE MAX CAN '!Y$4,'7. PGE_Efficacité'!$A$4:$BU$4,0)+31),0)</f>
        <v>0</v>
      </c>
      <c r="Z83" s="212">
        <f>VLOOKUP($E83,'7. PGE_Efficacité'!$A$6:$BT$266,(MATCH('4.6 ACE MAX CAN '!Z$4,'7. PGE_Efficacité'!$A$4:$BU$4,0)+31),0)</f>
        <v>0</v>
      </c>
      <c r="AA83" s="212">
        <f>VLOOKUP($E83,'7. PGE_Efficacité'!$A$6:$BT$266,(MATCH('4.6 ACE MAX CAN '!AA$4,'7. PGE_Efficacité'!$A$4:$BU$4,0)+31),0)</f>
        <v>0</v>
      </c>
      <c r="AB83" s="212">
        <f>VLOOKUP($E83,'7. PGE_Efficacité'!$A$6:$BT$266,(MATCH('4.6 ACE MAX CAN '!AB$4,'7. PGE_Efficacité'!$A$4:$BU$4,0)+31),0)</f>
        <v>0</v>
      </c>
      <c r="AC83" s="212">
        <f>VLOOKUP($E83,'7. PGE_Efficacité'!$A$6:$BT$266,(MATCH('4.6 ACE MAX CAN '!AC$4,'7. PGE_Efficacité'!$A$4:$BU$4,0)+31),0)</f>
        <v>0</v>
      </c>
      <c r="AD83" s="212">
        <f>VLOOKUP($E83,'7. PGE_Efficacité'!$A$6:$BT$266,(MATCH('4.6 ACE MAX CAN '!AD$4,'7. PGE_Efficacité'!$A$4:$BU$4,0)+31),0)</f>
        <v>0</v>
      </c>
      <c r="AE83" s="212">
        <f>VLOOKUP($E83,'7. PGE_Efficacité'!$A$6:$BT$266,(MATCH('4.6 ACE MAX CAN '!AE$4,'7. PGE_Efficacité'!$A$4:$BU$4,0)+31),0)</f>
        <v>0</v>
      </c>
      <c r="AF83" s="212">
        <f>VLOOKUP($E83,'7. PGE_Efficacité'!$A$6:$BT$266,(MATCH('4.6 ACE MAX CAN '!AF$4,'7. PGE_Efficacité'!$A$4:$BU$4,0)+31),0)</f>
        <v>0</v>
      </c>
      <c r="AG83" s="212">
        <f>VLOOKUP($E83,'7. PGE_Efficacité'!$A$6:$BT$266,(MATCH('4.6 ACE MAX CAN '!AG$4,'7. PGE_Efficacité'!$A$4:$BU$4,0)+31),0)</f>
        <v>0</v>
      </c>
      <c r="AH83" s="212">
        <f>VLOOKUP($E83,'7. PGE_Efficacité'!$A$6:$BT$266,(MATCH('4.6 ACE MAX CAN '!AH$4,'7. PGE_Efficacité'!$A$4:$BU$4,0)+31),0)</f>
        <v>0</v>
      </c>
      <c r="AI83" s="212">
        <f>VLOOKUP($E83,'7. PGE_Efficacité'!$A$6:$BT$266,(MATCH('4.6 ACE MAX CAN '!AI$4,'7. PGE_Efficacité'!$A$4:$BU$4,0)+31),0)</f>
        <v>0</v>
      </c>
      <c r="AJ83" s="212">
        <f>VLOOKUP($E83,'7. PGE_Efficacité'!$A$6:$BT$266,(MATCH('4.6 ACE MAX CAN '!AJ$4,'7. PGE_Efficacité'!$A$4:$BU$4,0)+31),0)</f>
        <v>0</v>
      </c>
      <c r="AK83" s="212">
        <f>VLOOKUP($E83,'7. PGE_Efficacité'!$A$6:$BT$266,(MATCH('4.6 ACE MAX CAN '!AK$4,'7. PGE_Efficacité'!$A$4:$BU$4,0)+31),0)</f>
        <v>0</v>
      </c>
      <c r="AL83" s="212">
        <f>VLOOKUP($E83,'7. PGE_Efficacité'!$A$6:$BT$266,(MATCH('4.6 ACE MAX CAN '!AL$4,'7. PGE_Efficacité'!$A$4:$BU$4,0)+31),0)</f>
        <v>0</v>
      </c>
      <c r="AM83" s="212">
        <f>VLOOKUP($E83,'7. PGE_Efficacité'!$A$6:$BT$266,(MATCH('4.6 ACE MAX CAN '!AM$4,'7. PGE_Efficacité'!$A$4:$BU$4,0)+31),0)</f>
        <v>0</v>
      </c>
      <c r="AN83" s="212">
        <f>VLOOKUP($E83,'7. PGE_Efficacité'!$A$6:$BT$266,(MATCH('4.6 ACE MAX CAN '!AN$4,'7. PGE_Efficacité'!$A$4:$BU$4,0)+31),0)</f>
        <v>0</v>
      </c>
    </row>
    <row r="84" spans="1:40" outlineLevel="1" x14ac:dyDescent="0.25">
      <c r="D84" s="360" t="s">
        <v>13</v>
      </c>
      <c r="E84" s="360"/>
      <c r="F84" s="361" t="str">
        <f>VLOOKUP(D84,'1. Mesures'!$A$2:$B$116,2,0)</f>
        <v>Assurer un contrôle réglementaire sur le respect des normes de rejet en eaux de surface et en égout</v>
      </c>
      <c r="G84" s="360"/>
      <c r="H84" s="360"/>
      <c r="I84" s="362">
        <f>MEDIAN(VLOOKUP(D84,'4. Mesures_ACE_Budget'!$A$3:$R$32,17,0),VLOOKUP(D84,'4. Mesures_ACE_Budget'!$A$3:$R$32,18,0))</f>
        <v>0</v>
      </c>
      <c r="J84" s="212">
        <f>VLOOKUP($D84,'7. PGE_Efficacité'!$A$6:$BT$266,(MATCH('4.6 ACE MAX CAN '!J$4,'7. PGE_Efficacité'!$A$4:$AO$4,0)+31),0)</f>
        <v>0</v>
      </c>
      <c r="K84" s="212" t="str">
        <f>VLOOKUP($D84,'7. PGE_Efficacité'!$A$6:$BT$266,(MATCH('4.6 ACE MAX CAN '!K$4,'7. PGE_Efficacité'!$A$4:$AO$4,0)+31),0)</f>
        <v>+</v>
      </c>
      <c r="L84" s="212" t="str">
        <f>VLOOKUP($D84,'7. PGE_Efficacité'!$A$6:$BT$266,(MATCH('4.6 ACE MAX CAN '!L$4,'7. PGE_Efficacité'!$A$4:$AO$4,0)+31),0)</f>
        <v>+</v>
      </c>
      <c r="M84" s="212" t="str">
        <f>VLOOKUP($D84,'7. PGE_Efficacité'!$A$6:$BT$266,(MATCH('4.6 ACE MAX CAN '!M$4,'7. PGE_Efficacité'!$A$4:$AO$4,0)+31),0)</f>
        <v>+</v>
      </c>
      <c r="N84" s="212" t="str">
        <f>VLOOKUP($D84,'7. PGE_Efficacité'!$A$6:$BT$266,(MATCH('4.6 ACE MAX CAN '!N$4,'7. PGE_Efficacité'!$A$4:$AO$4,0)+31),0)</f>
        <v>+</v>
      </c>
      <c r="O84" s="212" t="str">
        <f>VLOOKUP($D84,'7. PGE_Efficacité'!$A$6:$BT$268,47,0)</f>
        <v>+</v>
      </c>
      <c r="P84" s="212">
        <f>VLOOKUP($D84,'7. PGE_Efficacité'!$A$6:$BT$266,(MATCH('4.6 ACE MAX CAN '!P$4,'7. PGE_Efficacité'!$A$4:$AO$4,0)+31),0)</f>
        <v>0</v>
      </c>
      <c r="Q84" s="212" t="str">
        <f>VLOOKUP($D84,'7. PGE_Efficacité'!$A$6:$BT$266,(MATCH('4.6 ACE MAX CAN '!Q$4,'7. PGE_Efficacité'!$A$4:$AO$4,0)+31),0)</f>
        <v>++</v>
      </c>
      <c r="R84" s="212" t="str">
        <f>VLOOKUP($D84,'7. PGE_Efficacité'!$A$6:$BT$266,(MATCH('4.6 ACE MAX CAN '!R$4,'7. PGE_Efficacité'!$A$4:$AO$4,0)+31),0)</f>
        <v>+</v>
      </c>
      <c r="S84" s="212">
        <f>VLOOKUP($D84,'7. PGE_Efficacité'!$A$6:$BT$266,(MATCH('4.6 ACE MAX CAN '!S$4,'7. PGE_Efficacité'!$A$4:$AO$4,0)+31),0)</f>
        <v>0</v>
      </c>
      <c r="T84" s="212" t="str">
        <f>VLOOKUP($D84,'7. PGE_Efficacité'!$A$6:$BT$266,(MATCH('4.6 ACE MAX CAN '!T$4,'7. PGE_Efficacité'!$A$4:$AO$4,0)+31),0)</f>
        <v>+</v>
      </c>
      <c r="U84" s="212">
        <f>VLOOKUP($D84,'7. PGE_Efficacité'!$A$6:$BT$266,(MATCH('4.6 ACE MAX CAN '!U$4,'7. PGE_Efficacité'!$A$4:$AO$4,0)+31),0)</f>
        <v>0</v>
      </c>
      <c r="V84" s="212" t="str">
        <f>VLOOKUP($D84,'7. PGE_Efficacité'!$A$6:$BT$266,(MATCH('4.6 ACE MAX CAN '!V$4,'7. PGE_Efficacité'!$A$4:$AO$4,0)+31),0)</f>
        <v>+</v>
      </c>
      <c r="W84" s="212" t="str">
        <f>VLOOKUP($D84,'7. PGE_Efficacité'!$A$6:$BT$266,(MATCH('4.6 ACE MAX CAN '!W$4,'7. PGE_Efficacité'!$A$4:$AO$4,0)+31),0)</f>
        <v>+</v>
      </c>
      <c r="X84" s="212">
        <f>VLOOKUP($D84,'7. PGE_Efficacité'!$A$6:$BT$266,(MATCH('4.6 ACE MAX CAN '!X$4,'7. PGE_Efficacité'!$A$4:$AO$4,0)+31),0)</f>
        <v>0</v>
      </c>
      <c r="Y84" s="212" t="str">
        <f>VLOOKUP($D84,'7. PGE_Efficacité'!$A$6:$BT$266,(MATCH('4.6 ACE MAX CAN '!Y$4,'7. PGE_Efficacité'!$A$4:$AO$4,0)+31),0)</f>
        <v>+</v>
      </c>
      <c r="Z84" s="212" t="str">
        <f>VLOOKUP($D84,'7. PGE_Efficacité'!$A$6:$BT$266,(MATCH('4.6 ACE MAX CAN '!Z$4,'7. PGE_Efficacité'!$A$4:$AO$4,0)+31),0)</f>
        <v>+</v>
      </c>
      <c r="AA84" s="212">
        <f>VLOOKUP($D84,'7. PGE_Efficacité'!$A$6:$BT$266,(MATCH('4.6 ACE MAX CAN '!AA$4,'7. PGE_Efficacité'!$A$4:$AO$4,0)+31),0)</f>
        <v>0</v>
      </c>
      <c r="AB84" s="212">
        <f>VLOOKUP($D84,'7. PGE_Efficacité'!$A$6:$BT$266,(MATCH('4.6 ACE MAX CAN '!AB$4,'7. PGE_Efficacité'!$A$4:$AO$4,0)+31),0)</f>
        <v>0</v>
      </c>
      <c r="AC84" s="212">
        <f>VLOOKUP($D84,'7. PGE_Efficacité'!$A$6:$BT$266,(MATCH('4.6 ACE MAX CAN '!AC$4,'7. PGE_Efficacité'!$A$4:$AO$4,0)+31),0)</f>
        <v>0</v>
      </c>
      <c r="AD84" s="212">
        <f>VLOOKUP($D84,'7. PGE_Efficacité'!$A$6:$BT$266,(MATCH('4.6 ACE MAX CAN '!AD$4,'7. PGE_Efficacité'!$A$4:$AO$4,0)+31),0)</f>
        <v>0</v>
      </c>
      <c r="AE84" s="212">
        <f>VLOOKUP($D84,'7. PGE_Efficacité'!$A$6:$BT$266,(MATCH('4.6 ACE MAX CAN '!AE$4,'7. PGE_Efficacité'!$A$4:$AO$4,0)+31),0)</f>
        <v>0</v>
      </c>
      <c r="AF84" s="212">
        <f>VLOOKUP($D84,'7. PGE_Efficacité'!$A$6:$BT$266,(MATCH('4.6 ACE MAX CAN '!AF$4,'7. PGE_Efficacité'!$A$4:$AO$4,0)+31),0)</f>
        <v>0</v>
      </c>
      <c r="AG84" s="212">
        <f>VLOOKUP($D84,'7. PGE_Efficacité'!$A$6:$BT$266,(MATCH('4.6 ACE MAX CAN '!AG$4,'7. PGE_Efficacité'!$A$4:$AO$4,0)+31),0)</f>
        <v>0</v>
      </c>
      <c r="AH84" s="212">
        <f>VLOOKUP($D84,'7. PGE_Efficacité'!$A$6:$BT$266,(MATCH('4.6 ACE MAX CAN '!AH$4,'7. PGE_Efficacité'!$A$4:$AO$4,0)+31),0)</f>
        <v>0</v>
      </c>
      <c r="AI84" s="212">
        <f>VLOOKUP($D84,'7. PGE_Efficacité'!$A$6:$BT$266,(MATCH('4.6 ACE MAX CAN '!AI$4,'7. PGE_Efficacité'!$A$4:$AO$4,0)+31),0)</f>
        <v>0</v>
      </c>
      <c r="AJ84" s="212">
        <f>VLOOKUP($D84,'7. PGE_Efficacité'!$A$6:$BT$266,(MATCH('4.6 ACE MAX CAN '!AJ$4,'7. PGE_Efficacité'!$A$4:$AO$4,0)+31),0)</f>
        <v>0</v>
      </c>
      <c r="AK84" s="212" t="str">
        <f>VLOOKUP($D84,'7. PGE_Efficacité'!$A$6:$BT$266,(MATCH('4.6 ACE MAX CAN '!AK$4,'7. PGE_Efficacité'!$A$4:$AO$4,0)+31),0)</f>
        <v>+</v>
      </c>
      <c r="AL84" s="212">
        <f>VLOOKUP($D84,'7. PGE_Efficacité'!$A$6:$BT$266,(MATCH('4.6 ACE MAX CAN '!AL$4,'7. PGE_Efficacité'!$A$4:$AO$4,0)+31),0)</f>
        <v>0</v>
      </c>
      <c r="AM84" s="212" t="str">
        <f>VLOOKUP($D84,'7. PGE_Efficacité'!$A$6:$BT$266,(MATCH('4.6 ACE MAX CAN '!AM$4,'7. PGE_Efficacité'!$A$4:$AO$4,0)+31),0)</f>
        <v>+</v>
      </c>
      <c r="AN84" s="212" t="str">
        <f>VLOOKUP($D84,'7. PGE_Efficacité'!$A$6:$BT$266,(MATCH('4.6 ACE MAX CAN '!AN$4,'7. PGE_Efficacité'!$A$4:$AO$4,0)+31),0)</f>
        <v>+</v>
      </c>
    </row>
    <row r="85" spans="1:40" outlineLevel="2" x14ac:dyDescent="0.25">
      <c r="A85" t="s">
        <v>1524</v>
      </c>
      <c r="B85">
        <v>14</v>
      </c>
      <c r="C85" t="s">
        <v>1524</v>
      </c>
      <c r="D85" s="12" t="s">
        <v>13</v>
      </c>
      <c r="E85" s="12" t="s">
        <v>675</v>
      </c>
      <c r="F85" s="12" t="s">
        <v>1335</v>
      </c>
      <c r="G85" s="12" t="s">
        <v>1521</v>
      </c>
      <c r="H85" s="12" t="s">
        <v>1290</v>
      </c>
      <c r="I85" s="148"/>
      <c r="J85" s="149">
        <f>VLOOKUP($E85,'7. PGE_Efficacité'!$A$6:$BT$266,(MATCH('4.6 ACE MAX CAN '!J$4,'7. PGE_Efficacité'!$A$4:$BU$4,0)+31),0)</f>
        <v>0</v>
      </c>
      <c r="K85" s="149">
        <f>VLOOKUP($E85,'7. PGE_Efficacité'!$A$6:$BT$266,(MATCH('4.6 ACE MAX CAN '!K$4,'7. PGE_Efficacité'!$A$4:$BU$4,0)+31),0)</f>
        <v>0</v>
      </c>
      <c r="L85" s="149">
        <f>VLOOKUP($E85,'7. PGE_Efficacité'!$A$6:$BT$266,(MATCH('4.6 ACE MAX CAN '!L$4,'7. PGE_Efficacité'!$A$4:$BU$4,0)+31),0)</f>
        <v>0</v>
      </c>
      <c r="M85" s="149">
        <f>VLOOKUP($E85,'7. PGE_Efficacité'!$A$6:$BT$266,(MATCH('4.6 ACE MAX CAN '!M$4,'7. PGE_Efficacité'!$A$4:$BU$4,0)+31),0)</f>
        <v>0</v>
      </c>
      <c r="N85" s="149">
        <f>VLOOKUP($E85,'7. PGE_Efficacité'!$A$6:$BT$266,(MATCH('4.6 ACE MAX CAN '!N$4,'7. PGE_Efficacité'!$A$4:$BU$4,0)+31),0)</f>
        <v>0</v>
      </c>
      <c r="O85" s="149" t="str">
        <f>VLOOKUP($D85,'7. PGE_Efficacité'!$A$6:$BT$268,47,0)</f>
        <v>+</v>
      </c>
      <c r="P85" s="149">
        <f>VLOOKUP($E85,'7. PGE_Efficacité'!$A$6:$BT$266,(MATCH('4.6 ACE MAX CAN '!P$4,'7. PGE_Efficacité'!$A$4:$BU$4,0)+31),0)</f>
        <v>0</v>
      </c>
      <c r="Q85" s="149">
        <f>VLOOKUP($E85,'7. PGE_Efficacité'!$A$6:$BT$266,(MATCH('4.6 ACE MAX CAN '!Q$4,'7. PGE_Efficacité'!$A$4:$BU$4,0)+31),0)</f>
        <v>0</v>
      </c>
      <c r="R85" s="149">
        <f>VLOOKUP($E85,'7. PGE_Efficacité'!$A$6:$BT$266,(MATCH('4.6 ACE MAX CAN '!R$4,'7. PGE_Efficacité'!$A$4:$BU$4,0)+31),0)</f>
        <v>0</v>
      </c>
      <c r="S85" s="149">
        <f>VLOOKUP($E85,'7. PGE_Efficacité'!$A$6:$BT$266,(MATCH('4.6 ACE MAX CAN '!S$4,'7. PGE_Efficacité'!$A$4:$BU$4,0)+31),0)</f>
        <v>0</v>
      </c>
      <c r="T85" s="149">
        <f>VLOOKUP($E85,'7. PGE_Efficacité'!$A$6:$BT$266,(MATCH('4.6 ACE MAX CAN '!T$4,'7. PGE_Efficacité'!$A$4:$BU$4,0)+31),0)</f>
        <v>0</v>
      </c>
      <c r="U85" s="149">
        <f>VLOOKUP($E85,'7. PGE_Efficacité'!$A$6:$BT$266,(MATCH('4.6 ACE MAX CAN '!U$4,'7. PGE_Efficacité'!$A$4:$BU$4,0)+31),0)</f>
        <v>0</v>
      </c>
      <c r="V85" s="149">
        <f>VLOOKUP($E85,'7. PGE_Efficacité'!$A$6:$BT$266,(MATCH('4.6 ACE MAX CAN '!V$4,'7. PGE_Efficacité'!$A$4:$BU$4,0)+31),0)</f>
        <v>0</v>
      </c>
      <c r="W85" s="149">
        <f>VLOOKUP($E85,'7. PGE_Efficacité'!$A$6:$BT$266,(MATCH('4.6 ACE MAX CAN '!W$4,'7. PGE_Efficacité'!$A$4:$BU$4,0)+31),0)</f>
        <v>0</v>
      </c>
      <c r="X85" s="149">
        <f>VLOOKUP($E85,'7. PGE_Efficacité'!$A$6:$BT$266,(MATCH('4.6 ACE MAX CAN '!X$4,'7. PGE_Efficacité'!$A$4:$BU$4,0)+31),0)</f>
        <v>0</v>
      </c>
      <c r="Y85" s="212">
        <f>VLOOKUP($E85,'7. PGE_Efficacité'!$A$6:$BT$266,(MATCH('4.6 ACE MAX CAN '!Y$4,'7. PGE_Efficacité'!$A$4:$BU$4,0)+31),0)</f>
        <v>0</v>
      </c>
      <c r="Z85" s="212">
        <f>VLOOKUP($E85,'7. PGE_Efficacité'!$A$6:$BT$266,(MATCH('4.6 ACE MAX CAN '!Z$4,'7. PGE_Efficacité'!$A$4:$BU$4,0)+31),0)</f>
        <v>0</v>
      </c>
      <c r="AA85" s="212">
        <f>VLOOKUP($E85,'7. PGE_Efficacité'!$A$6:$BT$266,(MATCH('4.6 ACE MAX CAN '!AA$4,'7. PGE_Efficacité'!$A$4:$BU$4,0)+31),0)</f>
        <v>0</v>
      </c>
      <c r="AB85" s="212">
        <f>VLOOKUP($E85,'7. PGE_Efficacité'!$A$6:$BT$266,(MATCH('4.6 ACE MAX CAN '!AB$4,'7. PGE_Efficacité'!$A$4:$BU$4,0)+31),0)</f>
        <v>0</v>
      </c>
      <c r="AC85" s="212">
        <f>VLOOKUP($E85,'7. PGE_Efficacité'!$A$6:$BT$266,(MATCH('4.6 ACE MAX CAN '!AC$4,'7. PGE_Efficacité'!$A$4:$BU$4,0)+31),0)</f>
        <v>0</v>
      </c>
      <c r="AD85" s="212">
        <f>VLOOKUP($E85,'7. PGE_Efficacité'!$A$6:$BT$266,(MATCH('4.6 ACE MAX CAN '!AD$4,'7. PGE_Efficacité'!$A$4:$BU$4,0)+31),0)</f>
        <v>0</v>
      </c>
      <c r="AE85" s="212">
        <f>VLOOKUP($E85,'7. PGE_Efficacité'!$A$6:$BT$266,(MATCH('4.6 ACE MAX CAN '!AE$4,'7. PGE_Efficacité'!$A$4:$BU$4,0)+31),0)</f>
        <v>0</v>
      </c>
      <c r="AF85" s="212">
        <f>VLOOKUP($E85,'7. PGE_Efficacité'!$A$6:$BT$266,(MATCH('4.6 ACE MAX CAN '!AF$4,'7. PGE_Efficacité'!$A$4:$BU$4,0)+31),0)</f>
        <v>0</v>
      </c>
      <c r="AG85" s="212">
        <f>VLOOKUP($E85,'7. PGE_Efficacité'!$A$6:$BT$266,(MATCH('4.6 ACE MAX CAN '!AG$4,'7. PGE_Efficacité'!$A$4:$BU$4,0)+31),0)</f>
        <v>0</v>
      </c>
      <c r="AH85" s="212">
        <f>VLOOKUP($E85,'7. PGE_Efficacité'!$A$6:$BT$266,(MATCH('4.6 ACE MAX CAN '!AH$4,'7. PGE_Efficacité'!$A$4:$BU$4,0)+31),0)</f>
        <v>0</v>
      </c>
      <c r="AI85" s="212">
        <f>VLOOKUP($E85,'7. PGE_Efficacité'!$A$6:$BT$266,(MATCH('4.6 ACE MAX CAN '!AI$4,'7. PGE_Efficacité'!$A$4:$BU$4,0)+31),0)</f>
        <v>0</v>
      </c>
      <c r="AJ85" s="212">
        <f>VLOOKUP($E85,'7. PGE_Efficacité'!$A$6:$BT$266,(MATCH('4.6 ACE MAX CAN '!AJ$4,'7. PGE_Efficacité'!$A$4:$BU$4,0)+31),0)</f>
        <v>0</v>
      </c>
      <c r="AK85" s="212">
        <f>VLOOKUP($E85,'7. PGE_Efficacité'!$A$6:$BT$266,(MATCH('4.6 ACE MAX CAN '!AK$4,'7. PGE_Efficacité'!$A$4:$BU$4,0)+31),0)</f>
        <v>0</v>
      </c>
      <c r="AL85" s="212">
        <f>VLOOKUP($E85,'7. PGE_Efficacité'!$A$6:$BT$266,(MATCH('4.6 ACE MAX CAN '!AL$4,'7. PGE_Efficacité'!$A$4:$BU$4,0)+31),0)</f>
        <v>0</v>
      </c>
      <c r="AM85" s="212">
        <f>VLOOKUP($E85,'7. PGE_Efficacité'!$A$6:$BT$266,(MATCH('4.6 ACE MAX CAN '!AM$4,'7. PGE_Efficacité'!$A$4:$BU$4,0)+31),0)</f>
        <v>0</v>
      </c>
      <c r="AN85" s="212">
        <f>VLOOKUP($E85,'7. PGE_Efficacité'!$A$6:$BT$266,(MATCH('4.6 ACE MAX CAN '!AN$4,'7. PGE_Efficacité'!$A$4:$BU$4,0)+31),0)</f>
        <v>0</v>
      </c>
    </row>
    <row r="86" spans="1:40" outlineLevel="2" x14ac:dyDescent="0.25">
      <c r="A86" t="s">
        <v>1524</v>
      </c>
      <c r="B86">
        <v>14</v>
      </c>
      <c r="C86" t="s">
        <v>1525</v>
      </c>
      <c r="D86" s="12" t="s">
        <v>13</v>
      </c>
      <c r="E86" s="12" t="s">
        <v>676</v>
      </c>
      <c r="F86" s="12" t="s">
        <v>1336</v>
      </c>
      <c r="G86" s="12" t="s">
        <v>1521</v>
      </c>
      <c r="H86" s="12" t="s">
        <v>1290</v>
      </c>
      <c r="I86" s="148"/>
      <c r="J86" s="149">
        <f>VLOOKUP($E86,'7. PGE_Efficacité'!$A$6:$BT$266,(MATCH('4.6 ACE MAX CAN '!J$4,'7. PGE_Efficacité'!$A$4:$BU$4,0)+31),0)</f>
        <v>0</v>
      </c>
      <c r="K86" s="149">
        <f>VLOOKUP($E86,'7. PGE_Efficacité'!$A$6:$BT$266,(MATCH('4.6 ACE MAX CAN '!K$4,'7. PGE_Efficacité'!$A$4:$BU$4,0)+31),0)</f>
        <v>0</v>
      </c>
      <c r="L86" s="149">
        <f>VLOOKUP($E86,'7. PGE_Efficacité'!$A$6:$BT$266,(MATCH('4.6 ACE MAX CAN '!L$4,'7. PGE_Efficacité'!$A$4:$BU$4,0)+31),0)</f>
        <v>0</v>
      </c>
      <c r="M86" s="149">
        <f>VLOOKUP($E86,'7. PGE_Efficacité'!$A$6:$BT$266,(MATCH('4.6 ACE MAX CAN '!M$4,'7. PGE_Efficacité'!$A$4:$BU$4,0)+31),0)</f>
        <v>0</v>
      </c>
      <c r="N86" s="149">
        <f>VLOOKUP($E86,'7. PGE_Efficacité'!$A$6:$BT$266,(MATCH('4.6 ACE MAX CAN '!N$4,'7. PGE_Efficacité'!$A$4:$BU$4,0)+31),0)</f>
        <v>0</v>
      </c>
      <c r="O86" s="149" t="str">
        <f>VLOOKUP($D86,'7. PGE_Efficacité'!$A$6:$BT$268,47,0)</f>
        <v>+</v>
      </c>
      <c r="P86" s="149">
        <f>VLOOKUP($E86,'7. PGE_Efficacité'!$A$6:$BT$266,(MATCH('4.6 ACE MAX CAN '!P$4,'7. PGE_Efficacité'!$A$4:$BU$4,0)+31),0)</f>
        <v>0</v>
      </c>
      <c r="Q86" s="149">
        <f>VLOOKUP($E86,'7. PGE_Efficacité'!$A$6:$BT$266,(MATCH('4.6 ACE MAX CAN '!Q$4,'7. PGE_Efficacité'!$A$4:$BU$4,0)+31),0)</f>
        <v>0</v>
      </c>
      <c r="R86" s="149">
        <f>VLOOKUP($E86,'7. PGE_Efficacité'!$A$6:$BT$266,(MATCH('4.6 ACE MAX CAN '!R$4,'7. PGE_Efficacité'!$A$4:$BU$4,0)+31),0)</f>
        <v>0</v>
      </c>
      <c r="S86" s="149">
        <f>VLOOKUP($E86,'7. PGE_Efficacité'!$A$6:$BT$266,(MATCH('4.6 ACE MAX CAN '!S$4,'7. PGE_Efficacité'!$A$4:$BU$4,0)+31),0)</f>
        <v>0</v>
      </c>
      <c r="T86" s="149">
        <f>VLOOKUP($E86,'7. PGE_Efficacité'!$A$6:$BT$266,(MATCH('4.6 ACE MAX CAN '!T$4,'7. PGE_Efficacité'!$A$4:$BU$4,0)+31),0)</f>
        <v>0</v>
      </c>
      <c r="U86" s="149">
        <f>VLOOKUP($E86,'7. PGE_Efficacité'!$A$6:$BT$266,(MATCH('4.6 ACE MAX CAN '!U$4,'7. PGE_Efficacité'!$A$4:$BU$4,0)+31),0)</f>
        <v>0</v>
      </c>
      <c r="V86" s="149">
        <f>VLOOKUP($E86,'7. PGE_Efficacité'!$A$6:$BT$266,(MATCH('4.6 ACE MAX CAN '!V$4,'7. PGE_Efficacité'!$A$4:$BU$4,0)+31),0)</f>
        <v>0</v>
      </c>
      <c r="W86" s="149">
        <f>VLOOKUP($E86,'7. PGE_Efficacité'!$A$6:$BT$266,(MATCH('4.6 ACE MAX CAN '!W$4,'7. PGE_Efficacité'!$A$4:$BU$4,0)+31),0)</f>
        <v>0</v>
      </c>
      <c r="X86" s="149">
        <f>VLOOKUP($E86,'7. PGE_Efficacité'!$A$6:$BT$266,(MATCH('4.6 ACE MAX CAN '!X$4,'7. PGE_Efficacité'!$A$4:$BU$4,0)+31),0)</f>
        <v>0</v>
      </c>
      <c r="Y86" s="212">
        <f>VLOOKUP($E86,'7. PGE_Efficacité'!$A$6:$BT$266,(MATCH('4.6 ACE MAX CAN '!Y$4,'7. PGE_Efficacité'!$A$4:$BU$4,0)+31),0)</f>
        <v>0</v>
      </c>
      <c r="Z86" s="212">
        <f>VLOOKUP($E86,'7. PGE_Efficacité'!$A$6:$BT$266,(MATCH('4.6 ACE MAX CAN '!Z$4,'7. PGE_Efficacité'!$A$4:$BU$4,0)+31),0)</f>
        <v>0</v>
      </c>
      <c r="AA86" s="212">
        <f>VLOOKUP($E86,'7. PGE_Efficacité'!$A$6:$BT$266,(MATCH('4.6 ACE MAX CAN '!AA$4,'7. PGE_Efficacité'!$A$4:$BU$4,0)+31),0)</f>
        <v>0</v>
      </c>
      <c r="AB86" s="212">
        <f>VLOOKUP($E86,'7. PGE_Efficacité'!$A$6:$BT$266,(MATCH('4.6 ACE MAX CAN '!AB$4,'7. PGE_Efficacité'!$A$4:$BU$4,0)+31),0)</f>
        <v>0</v>
      </c>
      <c r="AC86" s="212">
        <f>VLOOKUP($E86,'7. PGE_Efficacité'!$A$6:$BT$266,(MATCH('4.6 ACE MAX CAN '!AC$4,'7. PGE_Efficacité'!$A$4:$BU$4,0)+31),0)</f>
        <v>0</v>
      </c>
      <c r="AD86" s="212">
        <f>VLOOKUP($E86,'7. PGE_Efficacité'!$A$6:$BT$266,(MATCH('4.6 ACE MAX CAN '!AD$4,'7. PGE_Efficacité'!$A$4:$BU$4,0)+31),0)</f>
        <v>0</v>
      </c>
      <c r="AE86" s="212">
        <f>VLOOKUP($E86,'7. PGE_Efficacité'!$A$6:$BT$266,(MATCH('4.6 ACE MAX CAN '!AE$4,'7. PGE_Efficacité'!$A$4:$BU$4,0)+31),0)</f>
        <v>0</v>
      </c>
      <c r="AF86" s="212">
        <f>VLOOKUP($E86,'7. PGE_Efficacité'!$A$6:$BT$266,(MATCH('4.6 ACE MAX CAN '!AF$4,'7. PGE_Efficacité'!$A$4:$BU$4,0)+31),0)</f>
        <v>0</v>
      </c>
      <c r="AG86" s="212">
        <f>VLOOKUP($E86,'7. PGE_Efficacité'!$A$6:$BT$266,(MATCH('4.6 ACE MAX CAN '!AG$4,'7. PGE_Efficacité'!$A$4:$BU$4,0)+31),0)</f>
        <v>0</v>
      </c>
      <c r="AH86" s="212">
        <f>VLOOKUP($E86,'7. PGE_Efficacité'!$A$6:$BT$266,(MATCH('4.6 ACE MAX CAN '!AH$4,'7. PGE_Efficacité'!$A$4:$BU$4,0)+31),0)</f>
        <v>0</v>
      </c>
      <c r="AI86" s="212">
        <f>VLOOKUP($E86,'7. PGE_Efficacité'!$A$6:$BT$266,(MATCH('4.6 ACE MAX CAN '!AI$4,'7. PGE_Efficacité'!$A$4:$BU$4,0)+31),0)</f>
        <v>0</v>
      </c>
      <c r="AJ86" s="212">
        <f>VLOOKUP($E86,'7. PGE_Efficacité'!$A$6:$BT$266,(MATCH('4.6 ACE MAX CAN '!AJ$4,'7. PGE_Efficacité'!$A$4:$BU$4,0)+31),0)</f>
        <v>0</v>
      </c>
      <c r="AK86" s="212">
        <f>VLOOKUP($E86,'7. PGE_Efficacité'!$A$6:$BT$266,(MATCH('4.6 ACE MAX CAN '!AK$4,'7. PGE_Efficacité'!$A$4:$BU$4,0)+31),0)</f>
        <v>0</v>
      </c>
      <c r="AL86" s="212">
        <f>VLOOKUP($E86,'7. PGE_Efficacité'!$A$6:$BT$266,(MATCH('4.6 ACE MAX CAN '!AL$4,'7. PGE_Efficacité'!$A$4:$BU$4,0)+31),0)</f>
        <v>0</v>
      </c>
      <c r="AM86" s="212">
        <f>VLOOKUP($E86,'7. PGE_Efficacité'!$A$6:$BT$266,(MATCH('4.6 ACE MAX CAN '!AM$4,'7. PGE_Efficacité'!$A$4:$BU$4,0)+31),0)</f>
        <v>0</v>
      </c>
      <c r="AN86" s="212">
        <f>VLOOKUP($E86,'7. PGE_Efficacité'!$A$6:$BT$266,(MATCH('4.6 ACE MAX CAN '!AN$4,'7. PGE_Efficacité'!$A$4:$BU$4,0)+31),0)</f>
        <v>0</v>
      </c>
    </row>
    <row r="87" spans="1:40" outlineLevel="2" x14ac:dyDescent="0.25">
      <c r="A87" t="s">
        <v>1524</v>
      </c>
      <c r="B87">
        <v>14</v>
      </c>
      <c r="C87" t="s">
        <v>1526</v>
      </c>
      <c r="D87" s="12" t="s">
        <v>13</v>
      </c>
      <c r="E87" s="12" t="s">
        <v>677</v>
      </c>
      <c r="F87" s="12" t="s">
        <v>1337</v>
      </c>
      <c r="G87" s="12" t="s">
        <v>1521</v>
      </c>
      <c r="H87" s="12" t="s">
        <v>1290</v>
      </c>
      <c r="I87" s="148"/>
      <c r="J87" s="149">
        <f>VLOOKUP($E87,'7. PGE_Efficacité'!$A$6:$BT$266,(MATCH('4.6 ACE MAX CAN '!J$4,'7. PGE_Efficacité'!$A$4:$BU$4,0)+31),0)</f>
        <v>0</v>
      </c>
      <c r="K87" s="149">
        <f>VLOOKUP($E87,'7. PGE_Efficacité'!$A$6:$BT$266,(MATCH('4.6 ACE MAX CAN '!K$4,'7. PGE_Efficacité'!$A$4:$BU$4,0)+31),0)</f>
        <v>0</v>
      </c>
      <c r="L87" s="149">
        <f>VLOOKUP($E87,'7. PGE_Efficacité'!$A$6:$BT$266,(MATCH('4.6 ACE MAX CAN '!L$4,'7. PGE_Efficacité'!$A$4:$BU$4,0)+31),0)</f>
        <v>0</v>
      </c>
      <c r="M87" s="149">
        <f>VLOOKUP($E87,'7. PGE_Efficacité'!$A$6:$BT$266,(MATCH('4.6 ACE MAX CAN '!M$4,'7. PGE_Efficacité'!$A$4:$BU$4,0)+31),0)</f>
        <v>0</v>
      </c>
      <c r="N87" s="149">
        <f>VLOOKUP($E87,'7. PGE_Efficacité'!$A$6:$BT$266,(MATCH('4.6 ACE MAX CAN '!N$4,'7. PGE_Efficacité'!$A$4:$BU$4,0)+31),0)</f>
        <v>0</v>
      </c>
      <c r="O87" s="149" t="str">
        <f>VLOOKUP($D87,'7. PGE_Efficacité'!$A$6:$BT$268,47,0)</f>
        <v>+</v>
      </c>
      <c r="P87" s="149">
        <f>VLOOKUP($E87,'7. PGE_Efficacité'!$A$6:$BT$266,(MATCH('4.6 ACE MAX CAN '!P$4,'7. PGE_Efficacité'!$A$4:$BU$4,0)+31),0)</f>
        <v>0</v>
      </c>
      <c r="Q87" s="149">
        <f>VLOOKUP($E87,'7. PGE_Efficacité'!$A$6:$BT$266,(MATCH('4.6 ACE MAX CAN '!Q$4,'7. PGE_Efficacité'!$A$4:$BU$4,0)+31),0)</f>
        <v>0</v>
      </c>
      <c r="R87" s="149">
        <f>VLOOKUP($E87,'7. PGE_Efficacité'!$A$6:$BT$266,(MATCH('4.6 ACE MAX CAN '!R$4,'7. PGE_Efficacité'!$A$4:$BU$4,0)+31),0)</f>
        <v>0</v>
      </c>
      <c r="S87" s="149">
        <f>VLOOKUP($E87,'7. PGE_Efficacité'!$A$6:$BT$266,(MATCH('4.6 ACE MAX CAN '!S$4,'7. PGE_Efficacité'!$A$4:$BU$4,0)+31),0)</f>
        <v>0</v>
      </c>
      <c r="T87" s="149">
        <f>VLOOKUP($E87,'7. PGE_Efficacité'!$A$6:$BT$266,(MATCH('4.6 ACE MAX CAN '!T$4,'7. PGE_Efficacité'!$A$4:$BU$4,0)+31),0)</f>
        <v>0</v>
      </c>
      <c r="U87" s="149">
        <f>VLOOKUP($E87,'7. PGE_Efficacité'!$A$6:$BT$266,(MATCH('4.6 ACE MAX CAN '!U$4,'7. PGE_Efficacité'!$A$4:$BU$4,0)+31),0)</f>
        <v>0</v>
      </c>
      <c r="V87" s="149">
        <f>VLOOKUP($E87,'7. PGE_Efficacité'!$A$6:$BT$266,(MATCH('4.6 ACE MAX CAN '!V$4,'7. PGE_Efficacité'!$A$4:$BU$4,0)+31),0)</f>
        <v>0</v>
      </c>
      <c r="W87" s="149">
        <f>VLOOKUP($E87,'7. PGE_Efficacité'!$A$6:$BT$266,(MATCH('4.6 ACE MAX CAN '!W$4,'7. PGE_Efficacité'!$A$4:$BU$4,0)+31),0)</f>
        <v>0</v>
      </c>
      <c r="X87" s="149">
        <f>VLOOKUP($E87,'7. PGE_Efficacité'!$A$6:$BT$266,(MATCH('4.6 ACE MAX CAN '!X$4,'7. PGE_Efficacité'!$A$4:$BU$4,0)+31),0)</f>
        <v>0</v>
      </c>
      <c r="Y87" s="212">
        <f>VLOOKUP($E87,'7. PGE_Efficacité'!$A$6:$BT$266,(MATCH('4.6 ACE MAX CAN '!Y$4,'7. PGE_Efficacité'!$A$4:$BU$4,0)+31),0)</f>
        <v>0</v>
      </c>
      <c r="Z87" s="212">
        <f>VLOOKUP($E87,'7. PGE_Efficacité'!$A$6:$BT$266,(MATCH('4.6 ACE MAX CAN '!Z$4,'7. PGE_Efficacité'!$A$4:$BU$4,0)+31),0)</f>
        <v>0</v>
      </c>
      <c r="AA87" s="212">
        <f>VLOOKUP($E87,'7. PGE_Efficacité'!$A$6:$BT$266,(MATCH('4.6 ACE MAX CAN '!AA$4,'7. PGE_Efficacité'!$A$4:$BU$4,0)+31),0)</f>
        <v>0</v>
      </c>
      <c r="AB87" s="212">
        <f>VLOOKUP($E87,'7. PGE_Efficacité'!$A$6:$BT$266,(MATCH('4.6 ACE MAX CAN '!AB$4,'7. PGE_Efficacité'!$A$4:$BU$4,0)+31),0)</f>
        <v>0</v>
      </c>
      <c r="AC87" s="212">
        <f>VLOOKUP($E87,'7. PGE_Efficacité'!$A$6:$BT$266,(MATCH('4.6 ACE MAX CAN '!AC$4,'7. PGE_Efficacité'!$A$4:$BU$4,0)+31),0)</f>
        <v>0</v>
      </c>
      <c r="AD87" s="212">
        <f>VLOOKUP($E87,'7. PGE_Efficacité'!$A$6:$BT$266,(MATCH('4.6 ACE MAX CAN '!AD$4,'7. PGE_Efficacité'!$A$4:$BU$4,0)+31),0)</f>
        <v>0</v>
      </c>
      <c r="AE87" s="212">
        <f>VLOOKUP($E87,'7. PGE_Efficacité'!$A$6:$BT$266,(MATCH('4.6 ACE MAX CAN '!AE$4,'7. PGE_Efficacité'!$A$4:$BU$4,0)+31),0)</f>
        <v>0</v>
      </c>
      <c r="AF87" s="212">
        <f>VLOOKUP($E87,'7. PGE_Efficacité'!$A$6:$BT$266,(MATCH('4.6 ACE MAX CAN '!AF$4,'7. PGE_Efficacité'!$A$4:$BU$4,0)+31),0)</f>
        <v>0</v>
      </c>
      <c r="AG87" s="212">
        <f>VLOOKUP($E87,'7. PGE_Efficacité'!$A$6:$BT$266,(MATCH('4.6 ACE MAX CAN '!AG$4,'7. PGE_Efficacité'!$A$4:$BU$4,0)+31),0)</f>
        <v>0</v>
      </c>
      <c r="AH87" s="212">
        <f>VLOOKUP($E87,'7. PGE_Efficacité'!$A$6:$BT$266,(MATCH('4.6 ACE MAX CAN '!AH$4,'7. PGE_Efficacité'!$A$4:$BU$4,0)+31),0)</f>
        <v>0</v>
      </c>
      <c r="AI87" s="212">
        <f>VLOOKUP($E87,'7. PGE_Efficacité'!$A$6:$BT$266,(MATCH('4.6 ACE MAX CAN '!AI$4,'7. PGE_Efficacité'!$A$4:$BU$4,0)+31),0)</f>
        <v>0</v>
      </c>
      <c r="AJ87" s="212">
        <f>VLOOKUP($E87,'7. PGE_Efficacité'!$A$6:$BT$266,(MATCH('4.6 ACE MAX CAN '!AJ$4,'7. PGE_Efficacité'!$A$4:$BU$4,0)+31),0)</f>
        <v>0</v>
      </c>
      <c r="AK87" s="212">
        <f>VLOOKUP($E87,'7. PGE_Efficacité'!$A$6:$BT$266,(MATCH('4.6 ACE MAX CAN '!AK$4,'7. PGE_Efficacité'!$A$4:$BU$4,0)+31),0)</f>
        <v>0</v>
      </c>
      <c r="AL87" s="212">
        <f>VLOOKUP($E87,'7. PGE_Efficacité'!$A$6:$BT$266,(MATCH('4.6 ACE MAX CAN '!AL$4,'7. PGE_Efficacité'!$A$4:$BU$4,0)+31),0)</f>
        <v>0</v>
      </c>
      <c r="AM87" s="212">
        <f>VLOOKUP($E87,'7. PGE_Efficacité'!$A$6:$BT$266,(MATCH('4.6 ACE MAX CAN '!AM$4,'7. PGE_Efficacité'!$A$4:$BU$4,0)+31),0)</f>
        <v>0</v>
      </c>
      <c r="AN87" s="212">
        <f>VLOOKUP($E87,'7. PGE_Efficacité'!$A$6:$BT$266,(MATCH('4.6 ACE MAX CAN '!AN$4,'7. PGE_Efficacité'!$A$4:$BU$4,0)+31),0)</f>
        <v>0</v>
      </c>
    </row>
    <row r="88" spans="1:40" outlineLevel="2" x14ac:dyDescent="0.25">
      <c r="A88" t="s">
        <v>1524</v>
      </c>
      <c r="B88">
        <v>14</v>
      </c>
      <c r="C88" t="s">
        <v>1532</v>
      </c>
      <c r="D88" s="12" t="s">
        <v>13</v>
      </c>
      <c r="E88" s="12" t="s">
        <v>678</v>
      </c>
      <c r="F88" s="12" t="s">
        <v>1338</v>
      </c>
      <c r="G88" s="12" t="s">
        <v>1521</v>
      </c>
      <c r="H88" s="12" t="s">
        <v>1290</v>
      </c>
      <c r="I88" s="148"/>
      <c r="J88" s="149">
        <f>VLOOKUP($E88,'7. PGE_Efficacité'!$A$6:$BT$266,(MATCH('4.6 ACE MAX CAN '!J$4,'7. PGE_Efficacité'!$A$4:$BU$4,0)+31),0)</f>
        <v>0</v>
      </c>
      <c r="K88" s="149">
        <f>VLOOKUP($E88,'7. PGE_Efficacité'!$A$6:$BT$266,(MATCH('4.6 ACE MAX CAN '!K$4,'7. PGE_Efficacité'!$A$4:$BU$4,0)+31),0)</f>
        <v>0</v>
      </c>
      <c r="L88" s="149">
        <f>VLOOKUP($E88,'7. PGE_Efficacité'!$A$6:$BT$266,(MATCH('4.6 ACE MAX CAN '!L$4,'7. PGE_Efficacité'!$A$4:$BU$4,0)+31),0)</f>
        <v>0</v>
      </c>
      <c r="M88" s="149">
        <f>VLOOKUP($E88,'7. PGE_Efficacité'!$A$6:$BT$266,(MATCH('4.6 ACE MAX CAN '!M$4,'7. PGE_Efficacité'!$A$4:$BU$4,0)+31),0)</f>
        <v>0</v>
      </c>
      <c r="N88" s="149">
        <f>VLOOKUP($E88,'7. PGE_Efficacité'!$A$6:$BT$266,(MATCH('4.6 ACE MAX CAN '!N$4,'7. PGE_Efficacité'!$A$4:$BU$4,0)+31),0)</f>
        <v>0</v>
      </c>
      <c r="O88" s="149" t="str">
        <f>VLOOKUP($D88,'7. PGE_Efficacité'!$A$6:$BT$268,47,0)</f>
        <v>+</v>
      </c>
      <c r="P88" s="149">
        <f>VLOOKUP($E88,'7. PGE_Efficacité'!$A$6:$BT$266,(MATCH('4.6 ACE MAX CAN '!P$4,'7. PGE_Efficacité'!$A$4:$BU$4,0)+31),0)</f>
        <v>0</v>
      </c>
      <c r="Q88" s="149">
        <f>VLOOKUP($E88,'7. PGE_Efficacité'!$A$6:$BT$266,(MATCH('4.6 ACE MAX CAN '!Q$4,'7. PGE_Efficacité'!$A$4:$BU$4,0)+31),0)</f>
        <v>0</v>
      </c>
      <c r="R88" s="149">
        <f>VLOOKUP($E88,'7. PGE_Efficacité'!$A$6:$BT$266,(MATCH('4.6 ACE MAX CAN '!R$4,'7. PGE_Efficacité'!$A$4:$BU$4,0)+31),0)</f>
        <v>0</v>
      </c>
      <c r="S88" s="149">
        <f>VLOOKUP($E88,'7. PGE_Efficacité'!$A$6:$BT$266,(MATCH('4.6 ACE MAX CAN '!S$4,'7. PGE_Efficacité'!$A$4:$BU$4,0)+31),0)</f>
        <v>0</v>
      </c>
      <c r="T88" s="149">
        <f>VLOOKUP($E88,'7. PGE_Efficacité'!$A$6:$BT$266,(MATCH('4.6 ACE MAX CAN '!T$4,'7. PGE_Efficacité'!$A$4:$BU$4,0)+31),0)</f>
        <v>0</v>
      </c>
      <c r="U88" s="149">
        <f>VLOOKUP($E88,'7. PGE_Efficacité'!$A$6:$BT$266,(MATCH('4.6 ACE MAX CAN '!U$4,'7. PGE_Efficacité'!$A$4:$BU$4,0)+31),0)</f>
        <v>0</v>
      </c>
      <c r="V88" s="149">
        <f>VLOOKUP($E88,'7. PGE_Efficacité'!$A$6:$BT$266,(MATCH('4.6 ACE MAX CAN '!V$4,'7. PGE_Efficacité'!$A$4:$BU$4,0)+31),0)</f>
        <v>0</v>
      </c>
      <c r="W88" s="149">
        <f>VLOOKUP($E88,'7. PGE_Efficacité'!$A$6:$BT$266,(MATCH('4.6 ACE MAX CAN '!W$4,'7. PGE_Efficacité'!$A$4:$BU$4,0)+31),0)</f>
        <v>0</v>
      </c>
      <c r="X88" s="149">
        <f>VLOOKUP($E88,'7. PGE_Efficacité'!$A$6:$BT$266,(MATCH('4.6 ACE MAX CAN '!X$4,'7. PGE_Efficacité'!$A$4:$BU$4,0)+31),0)</f>
        <v>0</v>
      </c>
      <c r="Y88" s="212">
        <f>VLOOKUP($E88,'7. PGE_Efficacité'!$A$6:$BT$266,(MATCH('4.6 ACE MAX CAN '!Y$4,'7. PGE_Efficacité'!$A$4:$BU$4,0)+31),0)</f>
        <v>0</v>
      </c>
      <c r="Z88" s="212">
        <f>VLOOKUP($E88,'7. PGE_Efficacité'!$A$6:$BT$266,(MATCH('4.6 ACE MAX CAN '!Z$4,'7. PGE_Efficacité'!$A$4:$BU$4,0)+31),0)</f>
        <v>0</v>
      </c>
      <c r="AA88" s="212">
        <f>VLOOKUP($E88,'7. PGE_Efficacité'!$A$6:$BT$266,(MATCH('4.6 ACE MAX CAN '!AA$4,'7. PGE_Efficacité'!$A$4:$BU$4,0)+31),0)</f>
        <v>0</v>
      </c>
      <c r="AB88" s="212">
        <f>VLOOKUP($E88,'7. PGE_Efficacité'!$A$6:$BT$266,(MATCH('4.6 ACE MAX CAN '!AB$4,'7. PGE_Efficacité'!$A$4:$BU$4,0)+31),0)</f>
        <v>0</v>
      </c>
      <c r="AC88" s="212">
        <f>VLOOKUP($E88,'7. PGE_Efficacité'!$A$6:$BT$266,(MATCH('4.6 ACE MAX CAN '!AC$4,'7. PGE_Efficacité'!$A$4:$BU$4,0)+31),0)</f>
        <v>0</v>
      </c>
      <c r="AD88" s="212">
        <f>VLOOKUP($E88,'7. PGE_Efficacité'!$A$6:$BT$266,(MATCH('4.6 ACE MAX CAN '!AD$4,'7. PGE_Efficacité'!$A$4:$BU$4,0)+31),0)</f>
        <v>0</v>
      </c>
      <c r="AE88" s="212">
        <f>VLOOKUP($E88,'7. PGE_Efficacité'!$A$6:$BT$266,(MATCH('4.6 ACE MAX CAN '!AE$4,'7. PGE_Efficacité'!$A$4:$BU$4,0)+31),0)</f>
        <v>0</v>
      </c>
      <c r="AF88" s="212">
        <f>VLOOKUP($E88,'7. PGE_Efficacité'!$A$6:$BT$266,(MATCH('4.6 ACE MAX CAN '!AF$4,'7. PGE_Efficacité'!$A$4:$BU$4,0)+31),0)</f>
        <v>0</v>
      </c>
      <c r="AG88" s="212">
        <f>VLOOKUP($E88,'7. PGE_Efficacité'!$A$6:$BT$266,(MATCH('4.6 ACE MAX CAN '!AG$4,'7. PGE_Efficacité'!$A$4:$BU$4,0)+31),0)</f>
        <v>0</v>
      </c>
      <c r="AH88" s="212">
        <f>VLOOKUP($E88,'7. PGE_Efficacité'!$A$6:$BT$266,(MATCH('4.6 ACE MAX CAN '!AH$4,'7. PGE_Efficacité'!$A$4:$BU$4,0)+31),0)</f>
        <v>0</v>
      </c>
      <c r="AI88" s="212">
        <f>VLOOKUP($E88,'7. PGE_Efficacité'!$A$6:$BT$266,(MATCH('4.6 ACE MAX CAN '!AI$4,'7. PGE_Efficacité'!$A$4:$BU$4,0)+31),0)</f>
        <v>0</v>
      </c>
      <c r="AJ88" s="212">
        <f>VLOOKUP($E88,'7. PGE_Efficacité'!$A$6:$BT$266,(MATCH('4.6 ACE MAX CAN '!AJ$4,'7. PGE_Efficacité'!$A$4:$BU$4,0)+31),0)</f>
        <v>0</v>
      </c>
      <c r="AK88" s="212">
        <f>VLOOKUP($E88,'7. PGE_Efficacité'!$A$6:$BT$266,(MATCH('4.6 ACE MAX CAN '!AK$4,'7. PGE_Efficacité'!$A$4:$BU$4,0)+31),0)</f>
        <v>0</v>
      </c>
      <c r="AL88" s="212">
        <f>VLOOKUP($E88,'7. PGE_Efficacité'!$A$6:$BT$266,(MATCH('4.6 ACE MAX CAN '!AL$4,'7. PGE_Efficacité'!$A$4:$BU$4,0)+31),0)</f>
        <v>0</v>
      </c>
      <c r="AM88" s="212">
        <f>VLOOKUP($E88,'7. PGE_Efficacité'!$A$6:$BT$266,(MATCH('4.6 ACE MAX CAN '!AM$4,'7. PGE_Efficacité'!$A$4:$BU$4,0)+31),0)</f>
        <v>0</v>
      </c>
      <c r="AN88" s="212">
        <f>VLOOKUP($E88,'7. PGE_Efficacité'!$A$6:$BT$266,(MATCH('4.6 ACE MAX CAN '!AN$4,'7. PGE_Efficacité'!$A$4:$BU$4,0)+31),0)</f>
        <v>0</v>
      </c>
    </row>
    <row r="89" spans="1:40" outlineLevel="1" x14ac:dyDescent="0.25">
      <c r="D89" s="360" t="s">
        <v>15</v>
      </c>
      <c r="E89" s="360"/>
      <c r="F89" s="361" t="str">
        <f>VLOOKUP(D89,'1. Mesures'!$A$2:$B$116,2,0)</f>
        <v>Réaliser le curage sur les derniers tronçons du réseau hydrographique pour enlever la pollution «historique »</v>
      </c>
      <c r="G89" s="360"/>
      <c r="H89" s="360"/>
      <c r="I89" s="362">
        <f>MEDIAN(VLOOKUP(D89,'4. Mesures_ACE_Budget'!$A$3:$R$32,17,0),VLOOKUP(D89,'4. Mesures_ACE_Budget'!$A$3:$R$32,18,0))</f>
        <v>0</v>
      </c>
      <c r="J89" s="212">
        <f>VLOOKUP($D89,'7. PGE_Efficacité'!$A$6:$BT$266,(MATCH('4.6 ACE MAX CAN '!J$4,'7. PGE_Efficacité'!$A$4:$AO$4,0)+31),0)</f>
        <v>0</v>
      </c>
      <c r="K89" s="212">
        <f>VLOOKUP($D89,'7. PGE_Efficacité'!$A$6:$BT$266,(MATCH('4.6 ACE MAX CAN '!K$4,'7. PGE_Efficacité'!$A$4:$AO$4,0)+31),0)</f>
        <v>0</v>
      </c>
      <c r="L89" s="212">
        <f>VLOOKUP($D89,'7. PGE_Efficacité'!$A$6:$BT$266,(MATCH('4.6 ACE MAX CAN '!L$4,'7. PGE_Efficacité'!$A$4:$AO$4,0)+31),0)</f>
        <v>0</v>
      </c>
      <c r="M89" s="212">
        <f>VLOOKUP($D89,'7. PGE_Efficacité'!$A$6:$BT$266,(MATCH('4.6 ACE MAX CAN '!M$4,'7. PGE_Efficacité'!$A$4:$AO$4,0)+31),0)</f>
        <v>0</v>
      </c>
      <c r="N89" s="212">
        <f>VLOOKUP($D89,'7. PGE_Efficacité'!$A$6:$BT$266,(MATCH('4.6 ACE MAX CAN '!N$4,'7. PGE_Efficacité'!$A$4:$AO$4,0)+31),0)</f>
        <v>0</v>
      </c>
      <c r="O89" s="212">
        <f>VLOOKUP($D89,'7. PGE_Efficacité'!$A$6:$BT$268,47,0)</f>
        <v>0</v>
      </c>
      <c r="P89" s="212">
        <f>VLOOKUP($D89,'7. PGE_Efficacité'!$A$6:$BT$266,(MATCH('4.6 ACE MAX CAN '!P$4,'7. PGE_Efficacité'!$A$4:$AO$4,0)+31),0)</f>
        <v>0</v>
      </c>
      <c r="Q89" s="212">
        <f>VLOOKUP($D89,'7. PGE_Efficacité'!$A$6:$BT$266,(MATCH('4.6 ACE MAX CAN '!Q$4,'7. PGE_Efficacité'!$A$4:$AO$4,0)+31),0)</f>
        <v>0</v>
      </c>
      <c r="R89" s="212">
        <f>VLOOKUP($D89,'7. PGE_Efficacité'!$A$6:$BT$266,(MATCH('4.6 ACE MAX CAN '!R$4,'7. PGE_Efficacité'!$A$4:$AO$4,0)+31),0)</f>
        <v>0</v>
      </c>
      <c r="S89" s="212">
        <f>VLOOKUP($D89,'7. PGE_Efficacité'!$A$6:$BT$266,(MATCH('4.6 ACE MAX CAN '!S$4,'7. PGE_Efficacité'!$A$4:$AO$4,0)+31),0)</f>
        <v>0</v>
      </c>
      <c r="T89" s="212">
        <f>VLOOKUP($D89,'7. PGE_Efficacité'!$A$6:$BT$266,(MATCH('4.6 ACE MAX CAN '!T$4,'7. PGE_Efficacité'!$A$4:$AO$4,0)+31),0)</f>
        <v>0</v>
      </c>
      <c r="U89" s="212">
        <f>VLOOKUP($D89,'7. PGE_Efficacité'!$A$6:$BT$266,(MATCH('4.6 ACE MAX CAN '!U$4,'7. PGE_Efficacité'!$A$4:$AO$4,0)+31),0)</f>
        <v>0</v>
      </c>
      <c r="V89" s="212">
        <f>VLOOKUP($D89,'7. PGE_Efficacité'!$A$6:$BT$266,(MATCH('4.6 ACE MAX CAN '!V$4,'7. PGE_Efficacité'!$A$4:$AO$4,0)+31),0)</f>
        <v>0</v>
      </c>
      <c r="W89" s="212">
        <f>VLOOKUP($D89,'7. PGE_Efficacité'!$A$6:$BT$266,(MATCH('4.6 ACE MAX CAN '!W$4,'7. PGE_Efficacité'!$A$4:$AO$4,0)+31),0)</f>
        <v>0</v>
      </c>
      <c r="X89" s="212">
        <f>VLOOKUP($D89,'7. PGE_Efficacité'!$A$6:$BT$266,(MATCH('4.6 ACE MAX CAN '!X$4,'7. PGE_Efficacité'!$A$4:$AO$4,0)+31),0)</f>
        <v>0</v>
      </c>
      <c r="Y89" s="212">
        <f>VLOOKUP($D89,'7. PGE_Efficacité'!$A$6:$BT$266,(MATCH('4.6 ACE MAX CAN '!Y$4,'7. PGE_Efficacité'!$A$4:$AO$4,0)+31),0)</f>
        <v>0</v>
      </c>
      <c r="Z89" s="212">
        <f>VLOOKUP($D89,'7. PGE_Efficacité'!$A$6:$BT$266,(MATCH('4.6 ACE MAX CAN '!Z$4,'7. PGE_Efficacité'!$A$4:$AO$4,0)+31),0)</f>
        <v>0</v>
      </c>
      <c r="AA89" s="212">
        <f>VLOOKUP($D89,'7. PGE_Efficacité'!$A$6:$BT$266,(MATCH('4.6 ACE MAX CAN '!AA$4,'7. PGE_Efficacité'!$A$4:$AO$4,0)+31),0)</f>
        <v>0</v>
      </c>
      <c r="AB89" s="212">
        <f>VLOOKUP($D89,'7. PGE_Efficacité'!$A$6:$BT$266,(MATCH('4.6 ACE MAX CAN '!AB$4,'7. PGE_Efficacité'!$A$4:$AO$4,0)+31),0)</f>
        <v>0</v>
      </c>
      <c r="AC89" s="212">
        <f>VLOOKUP($D89,'7. PGE_Efficacité'!$A$6:$BT$266,(MATCH('4.6 ACE MAX CAN '!AC$4,'7. PGE_Efficacité'!$A$4:$AO$4,0)+31),0)</f>
        <v>0</v>
      </c>
      <c r="AD89" s="212">
        <f>VLOOKUP($D89,'7. PGE_Efficacité'!$A$6:$BT$266,(MATCH('4.6 ACE MAX CAN '!AD$4,'7. PGE_Efficacité'!$A$4:$AO$4,0)+31),0)</f>
        <v>0</v>
      </c>
      <c r="AE89" s="212">
        <f>VLOOKUP($D89,'7. PGE_Efficacité'!$A$6:$BT$266,(MATCH('4.6 ACE MAX CAN '!AE$4,'7. PGE_Efficacité'!$A$4:$AO$4,0)+31),0)</f>
        <v>0</v>
      </c>
      <c r="AF89" s="212">
        <f>VLOOKUP($D89,'7. PGE_Efficacité'!$A$6:$BT$266,(MATCH('4.6 ACE MAX CAN '!AF$4,'7. PGE_Efficacité'!$A$4:$AO$4,0)+31),0)</f>
        <v>0</v>
      </c>
      <c r="AG89" s="212">
        <f>VLOOKUP($D89,'7. PGE_Efficacité'!$A$6:$BT$266,(MATCH('4.6 ACE MAX CAN '!AG$4,'7. PGE_Efficacité'!$A$4:$AO$4,0)+31),0)</f>
        <v>0</v>
      </c>
      <c r="AH89" s="212">
        <f>VLOOKUP($D89,'7. PGE_Efficacité'!$A$6:$BT$266,(MATCH('4.6 ACE MAX CAN '!AH$4,'7. PGE_Efficacité'!$A$4:$AO$4,0)+31),0)</f>
        <v>0</v>
      </c>
      <c r="AI89" s="212">
        <f>VLOOKUP($D89,'7. PGE_Efficacité'!$A$6:$BT$266,(MATCH('4.6 ACE MAX CAN '!AI$4,'7. PGE_Efficacité'!$A$4:$AO$4,0)+31),0)</f>
        <v>0</v>
      </c>
      <c r="AJ89" s="212">
        <f>VLOOKUP($D89,'7. PGE_Efficacité'!$A$6:$BT$266,(MATCH('4.6 ACE MAX CAN '!AJ$4,'7. PGE_Efficacité'!$A$4:$AO$4,0)+31),0)</f>
        <v>0</v>
      </c>
      <c r="AK89" s="212">
        <f>VLOOKUP($D89,'7. PGE_Efficacité'!$A$6:$BT$266,(MATCH('4.6 ACE MAX CAN '!AK$4,'7. PGE_Efficacité'!$A$4:$AO$4,0)+31),0)</f>
        <v>0</v>
      </c>
      <c r="AL89" s="212">
        <f>VLOOKUP($D89,'7. PGE_Efficacité'!$A$6:$BT$266,(MATCH('4.6 ACE MAX CAN '!AL$4,'7. PGE_Efficacité'!$A$4:$AO$4,0)+31),0)</f>
        <v>0</v>
      </c>
      <c r="AM89" s="212">
        <f>VLOOKUP($D89,'7. PGE_Efficacité'!$A$6:$BT$266,(MATCH('4.6 ACE MAX CAN '!AM$4,'7. PGE_Efficacité'!$A$4:$AO$4,0)+31),0)</f>
        <v>0</v>
      </c>
      <c r="AN89" s="212">
        <f>VLOOKUP($D89,'7. PGE_Efficacité'!$A$6:$BT$266,(MATCH('4.6 ACE MAX CAN '!AN$4,'7. PGE_Efficacité'!$A$4:$AO$4,0)+31),0)</f>
        <v>0</v>
      </c>
    </row>
    <row r="90" spans="1:40" outlineLevel="2" x14ac:dyDescent="0.25">
      <c r="A90" t="s">
        <v>1524</v>
      </c>
      <c r="B90">
        <v>16</v>
      </c>
      <c r="C90" t="s">
        <v>1527</v>
      </c>
      <c r="D90" s="12" t="s">
        <v>15</v>
      </c>
      <c r="E90" s="12" t="s">
        <v>682</v>
      </c>
      <c r="F90" s="12" t="s">
        <v>1342</v>
      </c>
      <c r="G90" s="12" t="s">
        <v>1520</v>
      </c>
      <c r="H90" s="12" t="s">
        <v>1290</v>
      </c>
      <c r="I90" s="148"/>
      <c r="J90" s="149">
        <f>VLOOKUP($E90,'7. PGE_Efficacité'!$A$6:$BT$266,(MATCH('4.6 ACE MAX CAN '!J$4,'7. PGE_Efficacité'!$A$4:$BU$4,0)+31),0)</f>
        <v>0</v>
      </c>
      <c r="K90" s="149">
        <f>VLOOKUP($E90,'7. PGE_Efficacité'!$A$6:$BT$266,(MATCH('4.6 ACE MAX CAN '!K$4,'7. PGE_Efficacité'!$A$4:$BU$4,0)+31),0)</f>
        <v>0</v>
      </c>
      <c r="L90" s="149">
        <f>VLOOKUP($E90,'7. PGE_Efficacité'!$A$6:$BT$266,(MATCH('4.6 ACE MAX CAN '!L$4,'7. PGE_Efficacité'!$A$4:$BU$4,0)+31),0)</f>
        <v>0</v>
      </c>
      <c r="M90" s="149">
        <f>VLOOKUP($E90,'7. PGE_Efficacité'!$A$6:$BT$266,(MATCH('4.6 ACE MAX CAN '!M$4,'7. PGE_Efficacité'!$A$4:$BU$4,0)+31),0)</f>
        <v>0</v>
      </c>
      <c r="N90" s="149">
        <f>VLOOKUP($E90,'7. PGE_Efficacité'!$A$6:$BT$266,(MATCH('4.6 ACE MAX CAN '!N$4,'7. PGE_Efficacité'!$A$4:$BU$4,0)+31),0)</f>
        <v>0</v>
      </c>
      <c r="O90" s="149">
        <f>VLOOKUP($D90,'7. PGE_Efficacité'!$A$6:$BT$268,47,0)</f>
        <v>0</v>
      </c>
      <c r="P90" s="149">
        <f>VLOOKUP($E90,'7. PGE_Efficacité'!$A$6:$BT$266,(MATCH('4.6 ACE MAX CAN '!P$4,'7. PGE_Efficacité'!$A$4:$BU$4,0)+31),0)</f>
        <v>0</v>
      </c>
      <c r="Q90" s="149">
        <f>VLOOKUP($E90,'7. PGE_Efficacité'!$A$6:$BT$266,(MATCH('4.6 ACE MAX CAN '!Q$4,'7. PGE_Efficacité'!$A$4:$BU$4,0)+31),0)</f>
        <v>0</v>
      </c>
      <c r="R90" s="149">
        <f>VLOOKUP($E90,'7. PGE_Efficacité'!$A$6:$BT$266,(MATCH('4.6 ACE MAX CAN '!R$4,'7. PGE_Efficacité'!$A$4:$BU$4,0)+31),0)</f>
        <v>0</v>
      </c>
      <c r="S90" s="149">
        <f>VLOOKUP($E90,'7. PGE_Efficacité'!$A$6:$BT$266,(MATCH('4.6 ACE MAX CAN '!S$4,'7. PGE_Efficacité'!$A$4:$BU$4,0)+31),0)</f>
        <v>0</v>
      </c>
      <c r="T90" s="149">
        <f>VLOOKUP($E90,'7. PGE_Efficacité'!$A$6:$BT$266,(MATCH('4.6 ACE MAX CAN '!T$4,'7. PGE_Efficacité'!$A$4:$BU$4,0)+31),0)</f>
        <v>0</v>
      </c>
      <c r="U90" s="149">
        <f>VLOOKUP($E90,'7. PGE_Efficacité'!$A$6:$BT$266,(MATCH('4.6 ACE MAX CAN '!U$4,'7. PGE_Efficacité'!$A$4:$BU$4,0)+31),0)</f>
        <v>0</v>
      </c>
      <c r="V90" s="149">
        <f>VLOOKUP($E90,'7. PGE_Efficacité'!$A$6:$BT$266,(MATCH('4.6 ACE MAX CAN '!V$4,'7. PGE_Efficacité'!$A$4:$BU$4,0)+31),0)</f>
        <v>0</v>
      </c>
      <c r="W90" s="149">
        <f>VLOOKUP($E90,'7. PGE_Efficacité'!$A$6:$BT$266,(MATCH('4.6 ACE MAX CAN '!W$4,'7. PGE_Efficacité'!$A$4:$BU$4,0)+31),0)</f>
        <v>0</v>
      </c>
      <c r="X90" s="149">
        <f>VLOOKUP($E90,'7. PGE_Efficacité'!$A$6:$BT$266,(MATCH('4.6 ACE MAX CAN '!X$4,'7. PGE_Efficacité'!$A$4:$BU$4,0)+31),0)</f>
        <v>0</v>
      </c>
      <c r="Y90" s="212">
        <f>VLOOKUP($E90,'7. PGE_Efficacité'!$A$6:$BT$266,(MATCH('4.6 ACE MAX CAN '!Y$4,'7. PGE_Efficacité'!$A$4:$BU$4,0)+31),0)</f>
        <v>0</v>
      </c>
      <c r="Z90" s="212">
        <f>VLOOKUP($E90,'7. PGE_Efficacité'!$A$6:$BT$266,(MATCH('4.6 ACE MAX CAN '!Z$4,'7. PGE_Efficacité'!$A$4:$BU$4,0)+31),0)</f>
        <v>0</v>
      </c>
      <c r="AA90" s="212">
        <f>VLOOKUP($E90,'7. PGE_Efficacité'!$A$6:$BT$266,(MATCH('4.6 ACE MAX CAN '!AA$4,'7. PGE_Efficacité'!$A$4:$BU$4,0)+31),0)</f>
        <v>0</v>
      </c>
      <c r="AB90" s="212">
        <f>VLOOKUP($E90,'7. PGE_Efficacité'!$A$6:$BT$266,(MATCH('4.6 ACE MAX CAN '!AB$4,'7. PGE_Efficacité'!$A$4:$BU$4,0)+31),0)</f>
        <v>0</v>
      </c>
      <c r="AC90" s="212">
        <f>VLOOKUP($E90,'7. PGE_Efficacité'!$A$6:$BT$266,(MATCH('4.6 ACE MAX CAN '!AC$4,'7. PGE_Efficacité'!$A$4:$BU$4,0)+31),0)</f>
        <v>0</v>
      </c>
      <c r="AD90" s="212">
        <f>VLOOKUP($E90,'7. PGE_Efficacité'!$A$6:$BT$266,(MATCH('4.6 ACE MAX CAN '!AD$4,'7. PGE_Efficacité'!$A$4:$BU$4,0)+31),0)</f>
        <v>0</v>
      </c>
      <c r="AE90" s="212">
        <f>VLOOKUP($E90,'7. PGE_Efficacité'!$A$6:$BT$266,(MATCH('4.6 ACE MAX CAN '!AE$4,'7. PGE_Efficacité'!$A$4:$BU$4,0)+31),0)</f>
        <v>0</v>
      </c>
      <c r="AF90" s="212">
        <f>VLOOKUP($E90,'7. PGE_Efficacité'!$A$6:$BT$266,(MATCH('4.6 ACE MAX CAN '!AF$4,'7. PGE_Efficacité'!$A$4:$BU$4,0)+31),0)</f>
        <v>0</v>
      </c>
      <c r="AG90" s="212">
        <f>VLOOKUP($E90,'7. PGE_Efficacité'!$A$6:$BT$266,(MATCH('4.6 ACE MAX CAN '!AG$4,'7. PGE_Efficacité'!$A$4:$BU$4,0)+31),0)</f>
        <v>0</v>
      </c>
      <c r="AH90" s="212">
        <f>VLOOKUP($E90,'7. PGE_Efficacité'!$A$6:$BT$266,(MATCH('4.6 ACE MAX CAN '!AH$4,'7. PGE_Efficacité'!$A$4:$BU$4,0)+31),0)</f>
        <v>0</v>
      </c>
      <c r="AI90" s="212">
        <f>VLOOKUP($E90,'7. PGE_Efficacité'!$A$6:$BT$266,(MATCH('4.6 ACE MAX CAN '!AI$4,'7. PGE_Efficacité'!$A$4:$BU$4,0)+31),0)</f>
        <v>0</v>
      </c>
      <c r="AJ90" s="212">
        <f>VLOOKUP($E90,'7. PGE_Efficacité'!$A$6:$BT$266,(MATCH('4.6 ACE MAX CAN '!AJ$4,'7. PGE_Efficacité'!$A$4:$BU$4,0)+31),0)</f>
        <v>0</v>
      </c>
      <c r="AK90" s="212">
        <f>VLOOKUP($E90,'7. PGE_Efficacité'!$A$6:$BT$266,(MATCH('4.6 ACE MAX CAN '!AK$4,'7. PGE_Efficacité'!$A$4:$BU$4,0)+31),0)</f>
        <v>0</v>
      </c>
      <c r="AL90" s="212">
        <f>VLOOKUP($E90,'7. PGE_Efficacité'!$A$6:$BT$266,(MATCH('4.6 ACE MAX CAN '!AL$4,'7. PGE_Efficacité'!$A$4:$BU$4,0)+31),0)</f>
        <v>0</v>
      </c>
      <c r="AM90" s="212">
        <f>VLOOKUP($E90,'7. PGE_Efficacité'!$A$6:$BT$266,(MATCH('4.6 ACE MAX CAN '!AM$4,'7. PGE_Efficacité'!$A$4:$BU$4,0)+31),0)</f>
        <v>0</v>
      </c>
      <c r="AN90" s="212">
        <f>VLOOKUP($E90,'7. PGE_Efficacité'!$A$6:$BT$266,(MATCH('4.6 ACE MAX CAN '!AN$4,'7. PGE_Efficacité'!$A$4:$BU$4,0)+31),0)</f>
        <v>0</v>
      </c>
    </row>
    <row r="91" spans="1:40" outlineLevel="1" x14ac:dyDescent="0.25">
      <c r="D91" s="360" t="s">
        <v>16</v>
      </c>
      <c r="E91" s="360"/>
      <c r="F91" s="361" t="str">
        <f>VLOOKUP(D91,'1. Mesures'!$A$2:$B$116,2,0)</f>
        <v>Diminuer les sources de matières en suspension vers le canal par l’optimisation de la dérivation d’Aa</v>
      </c>
      <c r="G91" s="360"/>
      <c r="H91" s="360"/>
      <c r="I91" s="362">
        <f>MEDIAN(VLOOKUP(D91,'4. Mesures_ACE_Budget'!$A$3:$R$32,17,0),VLOOKUP(D91,'4. Mesures_ACE_Budget'!$A$3:$R$32,18,0))</f>
        <v>0</v>
      </c>
      <c r="J91" s="212">
        <f>VLOOKUP($D91,'7. PGE_Efficacité'!$A$6:$BT$266,(MATCH('4.6 ACE MAX CAN '!J$4,'7. PGE_Efficacité'!$A$4:$AO$4,0)+31),0)</f>
        <v>0</v>
      </c>
      <c r="K91" s="212" t="str">
        <f>VLOOKUP($D91,'7. PGE_Efficacité'!$A$6:$BT$266,(MATCH('4.6 ACE MAX CAN '!K$4,'7. PGE_Efficacité'!$A$4:$AO$4,0)+31),0)</f>
        <v>++</v>
      </c>
      <c r="L91" s="212" t="str">
        <f>VLOOKUP($D91,'7. PGE_Efficacité'!$A$6:$BT$266,(MATCH('4.6 ACE MAX CAN '!L$4,'7. PGE_Efficacité'!$A$4:$AO$4,0)+31),0)</f>
        <v>++</v>
      </c>
      <c r="M91" s="212" t="str">
        <f>VLOOKUP($D91,'7. PGE_Efficacité'!$A$6:$BT$266,(MATCH('4.6 ACE MAX CAN '!M$4,'7. PGE_Efficacité'!$A$4:$AO$4,0)+31),0)</f>
        <v>++</v>
      </c>
      <c r="N91" s="212" t="str">
        <f>VLOOKUP($D91,'7. PGE_Efficacité'!$A$6:$BT$266,(MATCH('4.6 ACE MAX CAN '!N$4,'7. PGE_Efficacité'!$A$4:$AO$4,0)+31),0)</f>
        <v>++</v>
      </c>
      <c r="O91" s="212" t="str">
        <f>VLOOKUP($D91,'7. PGE_Efficacité'!$A$6:$BT$268,47,0)</f>
        <v>++</v>
      </c>
      <c r="P91" s="212">
        <f>VLOOKUP($D91,'7. PGE_Efficacité'!$A$6:$BT$266,(MATCH('4.6 ACE MAX CAN '!P$4,'7. PGE_Efficacité'!$A$4:$AO$4,0)+31),0)</f>
        <v>0</v>
      </c>
      <c r="Q91" s="212" t="str">
        <f>VLOOKUP($D91,'7. PGE_Efficacité'!$A$6:$BT$266,(MATCH('4.6 ACE MAX CAN '!Q$4,'7. PGE_Efficacité'!$A$4:$AO$4,0)+31),0)</f>
        <v>++</v>
      </c>
      <c r="R91" s="212" t="str">
        <f>VLOOKUP($D91,'7. PGE_Efficacité'!$A$6:$BT$266,(MATCH('4.6 ACE MAX CAN '!R$4,'7. PGE_Efficacité'!$A$4:$AO$4,0)+31),0)</f>
        <v>++</v>
      </c>
      <c r="S91" s="212">
        <f>VLOOKUP($D91,'7. PGE_Efficacité'!$A$6:$BT$266,(MATCH('4.6 ACE MAX CAN '!S$4,'7. PGE_Efficacité'!$A$4:$AO$4,0)+31),0)</f>
        <v>0</v>
      </c>
      <c r="T91" s="212" t="str">
        <f>VLOOKUP($D91,'7. PGE_Efficacité'!$A$6:$BT$266,(MATCH('4.6 ACE MAX CAN '!T$4,'7. PGE_Efficacité'!$A$4:$AO$4,0)+31),0)</f>
        <v>++</v>
      </c>
      <c r="U91" s="212" t="str">
        <f>VLOOKUP($D91,'7. PGE_Efficacité'!$A$6:$BT$266,(MATCH('4.6 ACE MAX CAN '!U$4,'7. PGE_Efficacité'!$A$4:$AO$4,0)+31),0)</f>
        <v>+</v>
      </c>
      <c r="V91" s="212" t="str">
        <f>VLOOKUP($D91,'7. PGE_Efficacité'!$A$6:$BT$266,(MATCH('4.6 ACE MAX CAN '!V$4,'7. PGE_Efficacité'!$A$4:$AO$4,0)+31),0)</f>
        <v>++</v>
      </c>
      <c r="W91" s="212" t="str">
        <f>VLOOKUP($D91,'7. PGE_Efficacité'!$A$6:$BT$266,(MATCH('4.6 ACE MAX CAN '!W$4,'7. PGE_Efficacité'!$A$4:$AO$4,0)+31),0)</f>
        <v>++</v>
      </c>
      <c r="X91" s="212">
        <f>VLOOKUP($D91,'7. PGE_Efficacité'!$A$6:$BT$266,(MATCH('4.6 ACE MAX CAN '!X$4,'7. PGE_Efficacité'!$A$4:$AO$4,0)+31),0)</f>
        <v>0</v>
      </c>
      <c r="Y91" s="212" t="str">
        <f>VLOOKUP($D91,'7. PGE_Efficacité'!$A$6:$BT$266,(MATCH('4.6 ACE MAX CAN '!Y$4,'7. PGE_Efficacité'!$A$4:$AO$4,0)+31),0)</f>
        <v>++</v>
      </c>
      <c r="Z91" s="212" t="str">
        <f>VLOOKUP($D91,'7. PGE_Efficacité'!$A$6:$BT$266,(MATCH('4.6 ACE MAX CAN '!Z$4,'7. PGE_Efficacité'!$A$4:$AO$4,0)+31),0)</f>
        <v>+</v>
      </c>
      <c r="AA91" s="212">
        <f>VLOOKUP($D91,'7. PGE_Efficacité'!$A$6:$BT$266,(MATCH('4.6 ACE MAX CAN '!AA$4,'7. PGE_Efficacité'!$A$4:$AO$4,0)+31),0)</f>
        <v>0</v>
      </c>
      <c r="AB91" s="212">
        <f>VLOOKUP($D91,'7. PGE_Efficacité'!$A$6:$BT$266,(MATCH('4.6 ACE MAX CAN '!AB$4,'7. PGE_Efficacité'!$A$4:$AO$4,0)+31),0)</f>
        <v>0</v>
      </c>
      <c r="AC91" s="212">
        <f>VLOOKUP($D91,'7. PGE_Efficacité'!$A$6:$BT$266,(MATCH('4.6 ACE MAX CAN '!AC$4,'7. PGE_Efficacité'!$A$4:$AO$4,0)+31),0)</f>
        <v>0</v>
      </c>
      <c r="AD91" s="212">
        <f>VLOOKUP($D91,'7. PGE_Efficacité'!$A$6:$BT$266,(MATCH('4.6 ACE MAX CAN '!AD$4,'7. PGE_Efficacité'!$A$4:$AO$4,0)+31),0)</f>
        <v>0</v>
      </c>
      <c r="AE91" s="212">
        <f>VLOOKUP($D91,'7. PGE_Efficacité'!$A$6:$BT$266,(MATCH('4.6 ACE MAX CAN '!AE$4,'7. PGE_Efficacité'!$A$4:$AO$4,0)+31),0)</f>
        <v>0</v>
      </c>
      <c r="AF91" s="212">
        <f>VLOOKUP($D91,'7. PGE_Efficacité'!$A$6:$BT$266,(MATCH('4.6 ACE MAX CAN '!AF$4,'7. PGE_Efficacité'!$A$4:$AO$4,0)+31),0)</f>
        <v>0</v>
      </c>
      <c r="AG91" s="212">
        <f>VLOOKUP($D91,'7. PGE_Efficacité'!$A$6:$BT$266,(MATCH('4.6 ACE MAX CAN '!AG$4,'7. PGE_Efficacité'!$A$4:$AO$4,0)+31),0)</f>
        <v>0</v>
      </c>
      <c r="AH91" s="212">
        <f>VLOOKUP($D91,'7. PGE_Efficacité'!$A$6:$BT$266,(MATCH('4.6 ACE MAX CAN '!AH$4,'7. PGE_Efficacité'!$A$4:$AO$4,0)+31),0)</f>
        <v>0</v>
      </c>
      <c r="AI91" s="212">
        <f>VLOOKUP($D91,'7. PGE_Efficacité'!$A$6:$BT$266,(MATCH('4.6 ACE MAX CAN '!AI$4,'7. PGE_Efficacité'!$A$4:$AO$4,0)+31),0)</f>
        <v>0</v>
      </c>
      <c r="AJ91" s="212">
        <f>VLOOKUP($D91,'7. PGE_Efficacité'!$A$6:$BT$266,(MATCH('4.6 ACE MAX CAN '!AJ$4,'7. PGE_Efficacité'!$A$4:$AO$4,0)+31),0)</f>
        <v>0</v>
      </c>
      <c r="AK91" s="212" t="str">
        <f>VLOOKUP($D91,'7. PGE_Efficacité'!$A$6:$BT$266,(MATCH('4.6 ACE MAX CAN '!AK$4,'7. PGE_Efficacité'!$A$4:$AO$4,0)+31),0)</f>
        <v>+</v>
      </c>
      <c r="AL91" s="212">
        <f>VLOOKUP($D91,'7. PGE_Efficacité'!$A$6:$BT$266,(MATCH('4.6 ACE MAX CAN '!AL$4,'7. PGE_Efficacité'!$A$4:$AO$4,0)+31),0)</f>
        <v>0</v>
      </c>
      <c r="AM91" s="212" t="str">
        <f>VLOOKUP($D91,'7. PGE_Efficacité'!$A$6:$BT$266,(MATCH('4.6 ACE MAX CAN '!AM$4,'7. PGE_Efficacité'!$A$4:$AO$4,0)+31),0)</f>
        <v>+</v>
      </c>
      <c r="AN91" s="212" t="str">
        <f>VLOOKUP($D91,'7. PGE_Efficacité'!$A$6:$BT$266,(MATCH('4.6 ACE MAX CAN '!AN$4,'7. PGE_Efficacité'!$A$4:$AO$4,0)+31),0)</f>
        <v>+</v>
      </c>
    </row>
    <row r="92" spans="1:40" outlineLevel="2" x14ac:dyDescent="0.25">
      <c r="A92" t="s">
        <v>1524</v>
      </c>
      <c r="B92">
        <v>17</v>
      </c>
      <c r="C92" t="s">
        <v>1524</v>
      </c>
      <c r="D92" s="12" t="s">
        <v>16</v>
      </c>
      <c r="E92" s="12" t="s">
        <v>683</v>
      </c>
      <c r="F92" s="12" t="s">
        <v>1343</v>
      </c>
      <c r="G92" s="12" t="s">
        <v>1521</v>
      </c>
      <c r="H92" s="12" t="s">
        <v>414</v>
      </c>
      <c r="I92" s="148"/>
      <c r="J92" s="149">
        <f>VLOOKUP($E92,'7. PGE_Efficacité'!$A$6:$BT$266,(MATCH('4.6 ACE MAX CAN '!J$4,'7. PGE_Efficacité'!$A$4:$BU$4,0)+31),0)</f>
        <v>0</v>
      </c>
      <c r="K92" s="149">
        <f>VLOOKUP($E92,'7. PGE_Efficacité'!$A$6:$BT$266,(MATCH('4.6 ACE MAX CAN '!K$4,'7. PGE_Efficacité'!$A$4:$BU$4,0)+31),0)</f>
        <v>0</v>
      </c>
      <c r="L92" s="149">
        <f>VLOOKUP($E92,'7. PGE_Efficacité'!$A$6:$BT$266,(MATCH('4.6 ACE MAX CAN '!L$4,'7. PGE_Efficacité'!$A$4:$BU$4,0)+31),0)</f>
        <v>0</v>
      </c>
      <c r="M92" s="149">
        <f>VLOOKUP($E92,'7. PGE_Efficacité'!$A$6:$BT$266,(MATCH('4.6 ACE MAX CAN '!M$4,'7. PGE_Efficacité'!$A$4:$BU$4,0)+31),0)</f>
        <v>0</v>
      </c>
      <c r="N92" s="149">
        <f>VLOOKUP($E92,'7. PGE_Efficacité'!$A$6:$BT$266,(MATCH('4.6 ACE MAX CAN '!N$4,'7. PGE_Efficacité'!$A$4:$BU$4,0)+31),0)</f>
        <v>0</v>
      </c>
      <c r="O92" s="149" t="str">
        <f>VLOOKUP($D92,'7. PGE_Efficacité'!$A$6:$BT$268,47,0)</f>
        <v>++</v>
      </c>
      <c r="P92" s="149">
        <f>VLOOKUP($E92,'7. PGE_Efficacité'!$A$6:$BT$266,(MATCH('4.6 ACE MAX CAN '!P$4,'7. PGE_Efficacité'!$A$4:$BU$4,0)+31),0)</f>
        <v>0</v>
      </c>
      <c r="Q92" s="149">
        <f>VLOOKUP($E92,'7. PGE_Efficacité'!$A$6:$BT$266,(MATCH('4.6 ACE MAX CAN '!Q$4,'7. PGE_Efficacité'!$A$4:$BU$4,0)+31),0)</f>
        <v>0</v>
      </c>
      <c r="R92" s="149">
        <f>VLOOKUP($E92,'7. PGE_Efficacité'!$A$6:$BT$266,(MATCH('4.6 ACE MAX CAN '!R$4,'7. PGE_Efficacité'!$A$4:$BU$4,0)+31),0)</f>
        <v>0</v>
      </c>
      <c r="S92" s="149">
        <f>VLOOKUP($E92,'7. PGE_Efficacité'!$A$6:$BT$266,(MATCH('4.6 ACE MAX CAN '!S$4,'7. PGE_Efficacité'!$A$4:$BU$4,0)+31),0)</f>
        <v>0</v>
      </c>
      <c r="T92" s="149">
        <f>VLOOKUP($E92,'7. PGE_Efficacité'!$A$6:$BT$266,(MATCH('4.6 ACE MAX CAN '!T$4,'7. PGE_Efficacité'!$A$4:$BU$4,0)+31),0)</f>
        <v>0</v>
      </c>
      <c r="U92" s="149">
        <f>VLOOKUP($E92,'7. PGE_Efficacité'!$A$6:$BT$266,(MATCH('4.6 ACE MAX CAN '!U$4,'7. PGE_Efficacité'!$A$4:$BU$4,0)+31),0)</f>
        <v>0</v>
      </c>
      <c r="V92" s="149">
        <f>VLOOKUP($E92,'7. PGE_Efficacité'!$A$6:$BT$266,(MATCH('4.6 ACE MAX CAN '!V$4,'7. PGE_Efficacité'!$A$4:$BU$4,0)+31),0)</f>
        <v>0</v>
      </c>
      <c r="W92" s="149">
        <f>VLOOKUP($E92,'7. PGE_Efficacité'!$A$6:$BT$266,(MATCH('4.6 ACE MAX CAN '!W$4,'7. PGE_Efficacité'!$A$4:$BU$4,0)+31),0)</f>
        <v>0</v>
      </c>
      <c r="X92" s="149">
        <f>VLOOKUP($E92,'7. PGE_Efficacité'!$A$6:$BT$266,(MATCH('4.6 ACE MAX CAN '!X$4,'7. PGE_Efficacité'!$A$4:$BU$4,0)+31),0)</f>
        <v>0</v>
      </c>
      <c r="Y92" s="149">
        <f>VLOOKUP($E92,'7. PGE_Efficacité'!$A$6:$BT$266,(MATCH('4.6 ACE MAX CAN '!Y$4,'7. PGE_Efficacité'!$A$4:$BU$4,0)+31),0)</f>
        <v>0</v>
      </c>
      <c r="Z92" s="149">
        <f>VLOOKUP($E92,'7. PGE_Efficacité'!$A$6:$BT$266,(MATCH('4.6 ACE MAX CAN '!Z$4,'7. PGE_Efficacité'!$A$4:$BU$4,0)+31),0)</f>
        <v>0</v>
      </c>
      <c r="AA92" s="149">
        <f>VLOOKUP($E92,'7. PGE_Efficacité'!$A$6:$BT$266,(MATCH('4.6 ACE MAX CAN '!AA$4,'7. PGE_Efficacité'!$A$4:$BU$4,0)+31),0)</f>
        <v>0</v>
      </c>
      <c r="AB92" s="149">
        <f>VLOOKUP($E92,'7. PGE_Efficacité'!$A$6:$BT$266,(MATCH('4.6 ACE MAX CAN '!AB$4,'7. PGE_Efficacité'!$A$4:$BU$4,0)+31),0)</f>
        <v>0</v>
      </c>
      <c r="AC92" s="149">
        <f>VLOOKUP($E92,'7. PGE_Efficacité'!$A$6:$BT$266,(MATCH('4.6 ACE MAX CAN '!AC$4,'7. PGE_Efficacité'!$A$4:$BU$4,0)+31),0)</f>
        <v>0</v>
      </c>
      <c r="AD92" s="149">
        <f>VLOOKUP($E92,'7. PGE_Efficacité'!$A$6:$BT$266,(MATCH('4.6 ACE MAX CAN '!AD$4,'7. PGE_Efficacité'!$A$4:$BU$4,0)+31),0)</f>
        <v>0</v>
      </c>
      <c r="AE92" s="149">
        <f>VLOOKUP($E92,'7. PGE_Efficacité'!$A$6:$BT$266,(MATCH('4.6 ACE MAX CAN '!AE$4,'7. PGE_Efficacité'!$A$4:$BU$4,0)+31),0)</f>
        <v>0</v>
      </c>
      <c r="AF92" s="149">
        <f>VLOOKUP($E92,'7. PGE_Efficacité'!$A$6:$BT$266,(MATCH('4.6 ACE MAX CAN '!AF$4,'7. PGE_Efficacité'!$A$4:$BU$4,0)+31),0)</f>
        <v>0</v>
      </c>
      <c r="AG92" s="149">
        <f>VLOOKUP($E92,'7. PGE_Efficacité'!$A$6:$BT$266,(MATCH('4.6 ACE MAX CAN '!AG$4,'7. PGE_Efficacité'!$A$4:$BU$4,0)+31),0)</f>
        <v>0</v>
      </c>
      <c r="AH92" s="149">
        <f>VLOOKUP($E92,'7. PGE_Efficacité'!$A$6:$BT$266,(MATCH('4.6 ACE MAX CAN '!AH$4,'7. PGE_Efficacité'!$A$4:$BU$4,0)+31),0)</f>
        <v>0</v>
      </c>
      <c r="AI92" s="149">
        <f>VLOOKUP($E92,'7. PGE_Efficacité'!$A$6:$BT$266,(MATCH('4.6 ACE MAX CAN '!AI$4,'7. PGE_Efficacité'!$A$4:$BU$4,0)+31),0)</f>
        <v>0</v>
      </c>
      <c r="AJ92" s="149">
        <f>VLOOKUP($E92,'7. PGE_Efficacité'!$A$6:$BT$266,(MATCH('4.6 ACE MAX CAN '!AJ$4,'7. PGE_Efficacité'!$A$4:$BU$4,0)+31),0)</f>
        <v>0</v>
      </c>
      <c r="AK92" s="149">
        <f>VLOOKUP($E92,'7. PGE_Efficacité'!$A$6:$BT$266,(MATCH('4.6 ACE MAX CAN '!AK$4,'7. PGE_Efficacité'!$A$4:$BU$4,0)+31),0)</f>
        <v>0</v>
      </c>
      <c r="AL92" s="149">
        <f>VLOOKUP($E92,'7. PGE_Efficacité'!$A$6:$BT$266,(MATCH('4.6 ACE MAX CAN '!AL$4,'7. PGE_Efficacité'!$A$4:$BU$4,0)+31),0)</f>
        <v>0</v>
      </c>
      <c r="AM92" s="149">
        <f>VLOOKUP($E92,'7. PGE_Efficacité'!$A$6:$BT$266,(MATCH('4.6 ACE MAX CAN '!AM$4,'7. PGE_Efficacité'!$A$4:$BU$4,0)+31),0)</f>
        <v>0</v>
      </c>
      <c r="AN92" s="149">
        <f>VLOOKUP($E92,'7. PGE_Efficacité'!$A$6:$BT$266,(MATCH('4.6 ACE MAX CAN '!AN$4,'7. PGE_Efficacité'!$A$4:$BU$4,0)+31),0)</f>
        <v>0</v>
      </c>
    </row>
    <row r="93" spans="1:40" outlineLevel="2" x14ac:dyDescent="0.25">
      <c r="A93" t="s">
        <v>1524</v>
      </c>
      <c r="B93">
        <v>17</v>
      </c>
      <c r="C93" t="s">
        <v>1525</v>
      </c>
      <c r="D93" s="12" t="s">
        <v>16</v>
      </c>
      <c r="E93" s="12" t="s">
        <v>684</v>
      </c>
      <c r="F93" s="12" t="s">
        <v>1344</v>
      </c>
      <c r="G93" s="12" t="s">
        <v>1521</v>
      </c>
      <c r="H93" s="12" t="s">
        <v>414</v>
      </c>
      <c r="I93" s="148"/>
      <c r="J93" s="149">
        <f>VLOOKUP($E93,'7. PGE_Efficacité'!$A$6:$BT$266,(MATCH('4.6 ACE MAX CAN '!J$4,'7. PGE_Efficacité'!$A$4:$BU$4,0)+31),0)</f>
        <v>0</v>
      </c>
      <c r="K93" s="149">
        <f>VLOOKUP($E93,'7. PGE_Efficacité'!$A$6:$BT$266,(MATCH('4.6 ACE MAX CAN '!K$4,'7. PGE_Efficacité'!$A$4:$BU$4,0)+31),0)</f>
        <v>0</v>
      </c>
      <c r="L93" s="149">
        <f>VLOOKUP($E93,'7. PGE_Efficacité'!$A$6:$BT$266,(MATCH('4.6 ACE MAX CAN '!L$4,'7. PGE_Efficacité'!$A$4:$BU$4,0)+31),0)</f>
        <v>0</v>
      </c>
      <c r="M93" s="149">
        <f>VLOOKUP($E93,'7. PGE_Efficacité'!$A$6:$BT$266,(MATCH('4.6 ACE MAX CAN '!M$4,'7. PGE_Efficacité'!$A$4:$BU$4,0)+31),0)</f>
        <v>0</v>
      </c>
      <c r="N93" s="149">
        <f>VLOOKUP($E93,'7. PGE_Efficacité'!$A$6:$BT$266,(MATCH('4.6 ACE MAX CAN '!N$4,'7. PGE_Efficacité'!$A$4:$BU$4,0)+31),0)</f>
        <v>0</v>
      </c>
      <c r="O93" s="149" t="str">
        <f>VLOOKUP($D93,'7. PGE_Efficacité'!$A$6:$BT$268,47,0)</f>
        <v>++</v>
      </c>
      <c r="P93" s="149">
        <f>VLOOKUP($E93,'7. PGE_Efficacité'!$A$6:$BT$266,(MATCH('4.6 ACE MAX CAN '!P$4,'7. PGE_Efficacité'!$A$4:$BU$4,0)+31),0)</f>
        <v>0</v>
      </c>
      <c r="Q93" s="149">
        <f>VLOOKUP($E93,'7. PGE_Efficacité'!$A$6:$BT$266,(MATCH('4.6 ACE MAX CAN '!Q$4,'7. PGE_Efficacité'!$A$4:$BU$4,0)+31),0)</f>
        <v>0</v>
      </c>
      <c r="R93" s="149">
        <f>VLOOKUP($E93,'7. PGE_Efficacité'!$A$6:$BT$266,(MATCH('4.6 ACE MAX CAN '!R$4,'7. PGE_Efficacité'!$A$4:$BU$4,0)+31),0)</f>
        <v>0</v>
      </c>
      <c r="S93" s="149">
        <f>VLOOKUP($E93,'7. PGE_Efficacité'!$A$6:$BT$266,(MATCH('4.6 ACE MAX CAN '!S$4,'7. PGE_Efficacité'!$A$4:$BU$4,0)+31),0)</f>
        <v>0</v>
      </c>
      <c r="T93" s="149">
        <f>VLOOKUP($E93,'7. PGE_Efficacité'!$A$6:$BT$266,(MATCH('4.6 ACE MAX CAN '!T$4,'7. PGE_Efficacité'!$A$4:$BU$4,0)+31),0)</f>
        <v>0</v>
      </c>
      <c r="U93" s="149">
        <f>VLOOKUP($E93,'7. PGE_Efficacité'!$A$6:$BT$266,(MATCH('4.6 ACE MAX CAN '!U$4,'7. PGE_Efficacité'!$A$4:$BU$4,0)+31),0)</f>
        <v>0</v>
      </c>
      <c r="V93" s="149">
        <f>VLOOKUP($E93,'7. PGE_Efficacité'!$A$6:$BT$266,(MATCH('4.6 ACE MAX CAN '!V$4,'7. PGE_Efficacité'!$A$4:$BU$4,0)+31),0)</f>
        <v>0</v>
      </c>
      <c r="W93" s="149">
        <f>VLOOKUP($E93,'7. PGE_Efficacité'!$A$6:$BT$266,(MATCH('4.6 ACE MAX CAN '!W$4,'7. PGE_Efficacité'!$A$4:$BU$4,0)+31),0)</f>
        <v>0</v>
      </c>
      <c r="X93" s="149">
        <f>VLOOKUP($E93,'7. PGE_Efficacité'!$A$6:$BT$266,(MATCH('4.6 ACE MAX CAN '!X$4,'7. PGE_Efficacité'!$A$4:$BU$4,0)+31),0)</f>
        <v>0</v>
      </c>
      <c r="Y93" s="149">
        <f>VLOOKUP($E93,'7. PGE_Efficacité'!$A$6:$BT$266,(MATCH('4.6 ACE MAX CAN '!Y$4,'7. PGE_Efficacité'!$A$4:$BU$4,0)+31),0)</f>
        <v>0</v>
      </c>
      <c r="Z93" s="149">
        <f>VLOOKUP($E93,'7. PGE_Efficacité'!$A$6:$BT$266,(MATCH('4.6 ACE MAX CAN '!Z$4,'7. PGE_Efficacité'!$A$4:$BU$4,0)+31),0)</f>
        <v>0</v>
      </c>
      <c r="AA93" s="149">
        <f>VLOOKUP($E93,'7. PGE_Efficacité'!$A$6:$BT$266,(MATCH('4.6 ACE MAX CAN '!AA$4,'7. PGE_Efficacité'!$A$4:$BU$4,0)+31),0)</f>
        <v>0</v>
      </c>
      <c r="AB93" s="149">
        <f>VLOOKUP($E93,'7. PGE_Efficacité'!$A$6:$BT$266,(MATCH('4.6 ACE MAX CAN '!AB$4,'7. PGE_Efficacité'!$A$4:$BU$4,0)+31),0)</f>
        <v>0</v>
      </c>
      <c r="AC93" s="149">
        <f>VLOOKUP($E93,'7. PGE_Efficacité'!$A$6:$BT$266,(MATCH('4.6 ACE MAX CAN '!AC$4,'7. PGE_Efficacité'!$A$4:$BU$4,0)+31),0)</f>
        <v>0</v>
      </c>
      <c r="AD93" s="149">
        <f>VLOOKUP($E93,'7. PGE_Efficacité'!$A$6:$BT$266,(MATCH('4.6 ACE MAX CAN '!AD$4,'7. PGE_Efficacité'!$A$4:$BU$4,0)+31),0)</f>
        <v>0</v>
      </c>
      <c r="AE93" s="149">
        <f>VLOOKUP($E93,'7. PGE_Efficacité'!$A$6:$BT$266,(MATCH('4.6 ACE MAX CAN '!AE$4,'7. PGE_Efficacité'!$A$4:$BU$4,0)+31),0)</f>
        <v>0</v>
      </c>
      <c r="AF93" s="149">
        <f>VLOOKUP($E93,'7. PGE_Efficacité'!$A$6:$BT$266,(MATCH('4.6 ACE MAX CAN '!AF$4,'7. PGE_Efficacité'!$A$4:$BU$4,0)+31),0)</f>
        <v>0</v>
      </c>
      <c r="AG93" s="149">
        <f>VLOOKUP($E93,'7. PGE_Efficacité'!$A$6:$BT$266,(MATCH('4.6 ACE MAX CAN '!AG$4,'7. PGE_Efficacité'!$A$4:$BU$4,0)+31),0)</f>
        <v>0</v>
      </c>
      <c r="AH93" s="149">
        <f>VLOOKUP($E93,'7. PGE_Efficacité'!$A$6:$BT$266,(MATCH('4.6 ACE MAX CAN '!AH$4,'7. PGE_Efficacité'!$A$4:$BU$4,0)+31),0)</f>
        <v>0</v>
      </c>
      <c r="AI93" s="149">
        <f>VLOOKUP($E93,'7. PGE_Efficacité'!$A$6:$BT$266,(MATCH('4.6 ACE MAX CAN '!AI$4,'7. PGE_Efficacité'!$A$4:$BU$4,0)+31),0)</f>
        <v>0</v>
      </c>
      <c r="AJ93" s="149">
        <f>VLOOKUP($E93,'7. PGE_Efficacité'!$A$6:$BT$266,(MATCH('4.6 ACE MAX CAN '!AJ$4,'7. PGE_Efficacité'!$A$4:$BU$4,0)+31),0)</f>
        <v>0</v>
      </c>
      <c r="AK93" s="149">
        <f>VLOOKUP($E93,'7. PGE_Efficacité'!$A$6:$BT$266,(MATCH('4.6 ACE MAX CAN '!AK$4,'7. PGE_Efficacité'!$A$4:$BU$4,0)+31),0)</f>
        <v>0</v>
      </c>
      <c r="AL93" s="149">
        <f>VLOOKUP($E93,'7. PGE_Efficacité'!$A$6:$BT$266,(MATCH('4.6 ACE MAX CAN '!AL$4,'7. PGE_Efficacité'!$A$4:$BU$4,0)+31),0)</f>
        <v>0</v>
      </c>
      <c r="AM93" s="149">
        <f>VLOOKUP($E93,'7. PGE_Efficacité'!$A$6:$BT$266,(MATCH('4.6 ACE MAX CAN '!AM$4,'7. PGE_Efficacité'!$A$4:$BU$4,0)+31),0)</f>
        <v>0</v>
      </c>
      <c r="AN93" s="149">
        <f>VLOOKUP($E93,'7. PGE_Efficacité'!$A$6:$BT$266,(MATCH('4.6 ACE MAX CAN '!AN$4,'7. PGE_Efficacité'!$A$4:$BU$4,0)+31),0)</f>
        <v>0</v>
      </c>
    </row>
    <row r="94" spans="1:40" outlineLevel="2" x14ac:dyDescent="0.25">
      <c r="A94" t="s">
        <v>1524</v>
      </c>
      <c r="B94">
        <v>17</v>
      </c>
      <c r="C94" t="s">
        <v>1526</v>
      </c>
      <c r="D94" s="12" t="s">
        <v>16</v>
      </c>
      <c r="E94" s="12" t="s">
        <v>685</v>
      </c>
      <c r="F94" s="12" t="s">
        <v>1345</v>
      </c>
      <c r="G94" s="12" t="s">
        <v>1521</v>
      </c>
      <c r="H94" s="12" t="s">
        <v>414</v>
      </c>
      <c r="I94" s="148"/>
      <c r="J94" s="149">
        <f>VLOOKUP($E94,'7. PGE_Efficacité'!$A$6:$BT$266,(MATCH('4.6 ACE MAX CAN '!J$4,'7. PGE_Efficacité'!$A$4:$BU$4,0)+31),0)</f>
        <v>0</v>
      </c>
      <c r="K94" s="149">
        <f>VLOOKUP($E94,'7. PGE_Efficacité'!$A$6:$BT$266,(MATCH('4.6 ACE MAX CAN '!K$4,'7. PGE_Efficacité'!$A$4:$BU$4,0)+31),0)</f>
        <v>0</v>
      </c>
      <c r="L94" s="149">
        <f>VLOOKUP($E94,'7. PGE_Efficacité'!$A$6:$BT$266,(MATCH('4.6 ACE MAX CAN '!L$4,'7. PGE_Efficacité'!$A$4:$BU$4,0)+31),0)</f>
        <v>0</v>
      </c>
      <c r="M94" s="149">
        <f>VLOOKUP($E94,'7. PGE_Efficacité'!$A$6:$BT$266,(MATCH('4.6 ACE MAX CAN '!M$4,'7. PGE_Efficacité'!$A$4:$BU$4,0)+31),0)</f>
        <v>0</v>
      </c>
      <c r="N94" s="149">
        <f>VLOOKUP($E94,'7. PGE_Efficacité'!$A$6:$BT$266,(MATCH('4.6 ACE MAX CAN '!N$4,'7. PGE_Efficacité'!$A$4:$BU$4,0)+31),0)</f>
        <v>0</v>
      </c>
      <c r="O94" s="149" t="str">
        <f>VLOOKUP($D94,'7. PGE_Efficacité'!$A$6:$BT$268,47,0)</f>
        <v>++</v>
      </c>
      <c r="P94" s="149">
        <f>VLOOKUP($E94,'7. PGE_Efficacité'!$A$6:$BT$266,(MATCH('4.6 ACE MAX CAN '!P$4,'7. PGE_Efficacité'!$A$4:$BU$4,0)+31),0)</f>
        <v>0</v>
      </c>
      <c r="Q94" s="149">
        <f>VLOOKUP($E94,'7. PGE_Efficacité'!$A$6:$BT$266,(MATCH('4.6 ACE MAX CAN '!Q$4,'7. PGE_Efficacité'!$A$4:$BU$4,0)+31),0)</f>
        <v>0</v>
      </c>
      <c r="R94" s="149">
        <f>VLOOKUP($E94,'7. PGE_Efficacité'!$A$6:$BT$266,(MATCH('4.6 ACE MAX CAN '!R$4,'7. PGE_Efficacité'!$A$4:$BU$4,0)+31),0)</f>
        <v>0</v>
      </c>
      <c r="S94" s="149">
        <f>VLOOKUP($E94,'7. PGE_Efficacité'!$A$6:$BT$266,(MATCH('4.6 ACE MAX CAN '!S$4,'7. PGE_Efficacité'!$A$4:$BU$4,0)+31),0)</f>
        <v>0</v>
      </c>
      <c r="T94" s="149">
        <f>VLOOKUP($E94,'7. PGE_Efficacité'!$A$6:$BT$266,(MATCH('4.6 ACE MAX CAN '!T$4,'7. PGE_Efficacité'!$A$4:$BU$4,0)+31),0)</f>
        <v>0</v>
      </c>
      <c r="U94" s="149">
        <f>VLOOKUP($E94,'7. PGE_Efficacité'!$A$6:$BT$266,(MATCH('4.6 ACE MAX CAN '!U$4,'7. PGE_Efficacité'!$A$4:$BU$4,0)+31),0)</f>
        <v>0</v>
      </c>
      <c r="V94" s="149">
        <f>VLOOKUP($E94,'7. PGE_Efficacité'!$A$6:$BT$266,(MATCH('4.6 ACE MAX CAN '!V$4,'7. PGE_Efficacité'!$A$4:$BU$4,0)+31),0)</f>
        <v>0</v>
      </c>
      <c r="W94" s="149">
        <f>VLOOKUP($E94,'7. PGE_Efficacité'!$A$6:$BT$266,(MATCH('4.6 ACE MAX CAN '!W$4,'7. PGE_Efficacité'!$A$4:$BU$4,0)+31),0)</f>
        <v>0</v>
      </c>
      <c r="X94" s="149">
        <f>VLOOKUP($E94,'7. PGE_Efficacité'!$A$6:$BT$266,(MATCH('4.6 ACE MAX CAN '!X$4,'7. PGE_Efficacité'!$A$4:$BU$4,0)+31),0)</f>
        <v>0</v>
      </c>
      <c r="Y94" s="149">
        <f>VLOOKUP($E94,'7. PGE_Efficacité'!$A$6:$BT$266,(MATCH('4.6 ACE MAX CAN '!Y$4,'7. PGE_Efficacité'!$A$4:$BU$4,0)+31),0)</f>
        <v>0</v>
      </c>
      <c r="Z94" s="149">
        <f>VLOOKUP($E94,'7. PGE_Efficacité'!$A$6:$BT$266,(MATCH('4.6 ACE MAX CAN '!Z$4,'7. PGE_Efficacité'!$A$4:$BU$4,0)+31),0)</f>
        <v>0</v>
      </c>
      <c r="AA94" s="149">
        <f>VLOOKUP($E94,'7. PGE_Efficacité'!$A$6:$BT$266,(MATCH('4.6 ACE MAX CAN '!AA$4,'7. PGE_Efficacité'!$A$4:$BU$4,0)+31),0)</f>
        <v>0</v>
      </c>
      <c r="AB94" s="149">
        <f>VLOOKUP($E94,'7. PGE_Efficacité'!$A$6:$BT$266,(MATCH('4.6 ACE MAX CAN '!AB$4,'7. PGE_Efficacité'!$A$4:$BU$4,0)+31),0)</f>
        <v>0</v>
      </c>
      <c r="AC94" s="149">
        <f>VLOOKUP($E94,'7. PGE_Efficacité'!$A$6:$BT$266,(MATCH('4.6 ACE MAX CAN '!AC$4,'7. PGE_Efficacité'!$A$4:$BU$4,0)+31),0)</f>
        <v>0</v>
      </c>
      <c r="AD94" s="149">
        <f>VLOOKUP($E94,'7. PGE_Efficacité'!$A$6:$BT$266,(MATCH('4.6 ACE MAX CAN '!AD$4,'7. PGE_Efficacité'!$A$4:$BU$4,0)+31),0)</f>
        <v>0</v>
      </c>
      <c r="AE94" s="149">
        <f>VLOOKUP($E94,'7. PGE_Efficacité'!$A$6:$BT$266,(MATCH('4.6 ACE MAX CAN '!AE$4,'7. PGE_Efficacité'!$A$4:$BU$4,0)+31),0)</f>
        <v>0</v>
      </c>
      <c r="AF94" s="149">
        <f>VLOOKUP($E94,'7. PGE_Efficacité'!$A$6:$BT$266,(MATCH('4.6 ACE MAX CAN '!AF$4,'7. PGE_Efficacité'!$A$4:$BU$4,0)+31),0)</f>
        <v>0</v>
      </c>
      <c r="AG94" s="149">
        <f>VLOOKUP($E94,'7. PGE_Efficacité'!$A$6:$BT$266,(MATCH('4.6 ACE MAX CAN '!AG$4,'7. PGE_Efficacité'!$A$4:$BU$4,0)+31),0)</f>
        <v>0</v>
      </c>
      <c r="AH94" s="149">
        <f>VLOOKUP($E94,'7. PGE_Efficacité'!$A$6:$BT$266,(MATCH('4.6 ACE MAX CAN '!AH$4,'7. PGE_Efficacité'!$A$4:$BU$4,0)+31),0)</f>
        <v>0</v>
      </c>
      <c r="AI94" s="149">
        <f>VLOOKUP($E94,'7. PGE_Efficacité'!$A$6:$BT$266,(MATCH('4.6 ACE MAX CAN '!AI$4,'7. PGE_Efficacité'!$A$4:$BU$4,0)+31),0)</f>
        <v>0</v>
      </c>
      <c r="AJ94" s="149">
        <f>VLOOKUP($E94,'7. PGE_Efficacité'!$A$6:$BT$266,(MATCH('4.6 ACE MAX CAN '!AJ$4,'7. PGE_Efficacité'!$A$4:$BU$4,0)+31),0)</f>
        <v>0</v>
      </c>
      <c r="AK94" s="149">
        <f>VLOOKUP($E94,'7. PGE_Efficacité'!$A$6:$BT$266,(MATCH('4.6 ACE MAX CAN '!AK$4,'7. PGE_Efficacité'!$A$4:$BU$4,0)+31),0)</f>
        <v>0</v>
      </c>
      <c r="AL94" s="149">
        <f>VLOOKUP($E94,'7. PGE_Efficacité'!$A$6:$BT$266,(MATCH('4.6 ACE MAX CAN '!AL$4,'7. PGE_Efficacité'!$A$4:$BU$4,0)+31),0)</f>
        <v>0</v>
      </c>
      <c r="AM94" s="149">
        <f>VLOOKUP($E94,'7. PGE_Efficacité'!$A$6:$BT$266,(MATCH('4.6 ACE MAX CAN '!AM$4,'7. PGE_Efficacité'!$A$4:$BU$4,0)+31),0)</f>
        <v>0</v>
      </c>
      <c r="AN94" s="149">
        <f>VLOOKUP($E94,'7. PGE_Efficacité'!$A$6:$BT$266,(MATCH('4.6 ACE MAX CAN '!AN$4,'7. PGE_Efficacité'!$A$4:$BU$4,0)+31),0)</f>
        <v>0</v>
      </c>
    </row>
    <row r="95" spans="1:40" outlineLevel="2" x14ac:dyDescent="0.25">
      <c r="A95" t="s">
        <v>1524</v>
      </c>
      <c r="B95">
        <v>17</v>
      </c>
      <c r="C95" t="s">
        <v>1527</v>
      </c>
      <c r="D95" s="12" t="s">
        <v>16</v>
      </c>
      <c r="E95" s="12" t="s">
        <v>686</v>
      </c>
      <c r="F95" s="12" t="s">
        <v>1346</v>
      </c>
      <c r="G95" s="12" t="s">
        <v>1521</v>
      </c>
      <c r="H95" s="12" t="s">
        <v>414</v>
      </c>
      <c r="I95" s="148"/>
      <c r="J95" s="149">
        <f>VLOOKUP($E95,'7. PGE_Efficacité'!$A$6:$BT$266,(MATCH('4.6 ACE MAX CAN '!J$4,'7. PGE_Efficacité'!$A$4:$BU$4,0)+31),0)</f>
        <v>0</v>
      </c>
      <c r="K95" s="149">
        <f>VLOOKUP($E95,'7. PGE_Efficacité'!$A$6:$BT$266,(MATCH('4.6 ACE MAX CAN '!K$4,'7. PGE_Efficacité'!$A$4:$BU$4,0)+31),0)</f>
        <v>0</v>
      </c>
      <c r="L95" s="149">
        <f>VLOOKUP($E95,'7. PGE_Efficacité'!$A$6:$BT$266,(MATCH('4.6 ACE MAX CAN '!L$4,'7. PGE_Efficacité'!$A$4:$BU$4,0)+31),0)</f>
        <v>0</v>
      </c>
      <c r="M95" s="149">
        <f>VLOOKUP($E95,'7. PGE_Efficacité'!$A$6:$BT$266,(MATCH('4.6 ACE MAX CAN '!M$4,'7. PGE_Efficacité'!$A$4:$BU$4,0)+31),0)</f>
        <v>0</v>
      </c>
      <c r="N95" s="149">
        <f>VLOOKUP($E95,'7. PGE_Efficacité'!$A$6:$BT$266,(MATCH('4.6 ACE MAX CAN '!N$4,'7. PGE_Efficacité'!$A$4:$BU$4,0)+31),0)</f>
        <v>0</v>
      </c>
      <c r="O95" s="149" t="str">
        <f>VLOOKUP($D95,'7. PGE_Efficacité'!$A$6:$BT$268,47,0)</f>
        <v>++</v>
      </c>
      <c r="P95" s="149">
        <f>VLOOKUP($E95,'7. PGE_Efficacité'!$A$6:$BT$266,(MATCH('4.6 ACE MAX CAN '!P$4,'7. PGE_Efficacité'!$A$4:$BU$4,0)+31),0)</f>
        <v>0</v>
      </c>
      <c r="Q95" s="149">
        <f>VLOOKUP($E95,'7. PGE_Efficacité'!$A$6:$BT$266,(MATCH('4.6 ACE MAX CAN '!Q$4,'7. PGE_Efficacité'!$A$4:$BU$4,0)+31),0)</f>
        <v>0</v>
      </c>
      <c r="R95" s="149">
        <f>VLOOKUP($E95,'7. PGE_Efficacité'!$A$6:$BT$266,(MATCH('4.6 ACE MAX CAN '!R$4,'7. PGE_Efficacité'!$A$4:$BU$4,0)+31),0)</f>
        <v>0</v>
      </c>
      <c r="S95" s="149">
        <f>VLOOKUP($E95,'7. PGE_Efficacité'!$A$6:$BT$266,(MATCH('4.6 ACE MAX CAN '!S$4,'7. PGE_Efficacité'!$A$4:$BU$4,0)+31),0)</f>
        <v>0</v>
      </c>
      <c r="T95" s="149">
        <f>VLOOKUP($E95,'7. PGE_Efficacité'!$A$6:$BT$266,(MATCH('4.6 ACE MAX CAN '!T$4,'7. PGE_Efficacité'!$A$4:$BU$4,0)+31),0)</f>
        <v>0</v>
      </c>
      <c r="U95" s="149">
        <f>VLOOKUP($E95,'7. PGE_Efficacité'!$A$6:$BT$266,(MATCH('4.6 ACE MAX CAN '!U$4,'7. PGE_Efficacité'!$A$4:$BU$4,0)+31),0)</f>
        <v>0</v>
      </c>
      <c r="V95" s="149">
        <f>VLOOKUP($E95,'7. PGE_Efficacité'!$A$6:$BT$266,(MATCH('4.6 ACE MAX CAN '!V$4,'7. PGE_Efficacité'!$A$4:$BU$4,0)+31),0)</f>
        <v>0</v>
      </c>
      <c r="W95" s="149">
        <f>VLOOKUP($E95,'7. PGE_Efficacité'!$A$6:$BT$266,(MATCH('4.6 ACE MAX CAN '!W$4,'7. PGE_Efficacité'!$A$4:$BU$4,0)+31),0)</f>
        <v>0</v>
      </c>
      <c r="X95" s="149">
        <f>VLOOKUP($E95,'7. PGE_Efficacité'!$A$6:$BT$266,(MATCH('4.6 ACE MAX CAN '!X$4,'7. PGE_Efficacité'!$A$4:$BU$4,0)+31),0)</f>
        <v>0</v>
      </c>
      <c r="Y95" s="149">
        <f>VLOOKUP($E95,'7. PGE_Efficacité'!$A$6:$BT$266,(MATCH('4.6 ACE MAX CAN '!Y$4,'7. PGE_Efficacité'!$A$4:$BU$4,0)+31),0)</f>
        <v>0</v>
      </c>
      <c r="Z95" s="149">
        <f>VLOOKUP($E95,'7. PGE_Efficacité'!$A$6:$BT$266,(MATCH('4.6 ACE MAX CAN '!Z$4,'7. PGE_Efficacité'!$A$4:$BU$4,0)+31),0)</f>
        <v>0</v>
      </c>
      <c r="AA95" s="149">
        <f>VLOOKUP($E95,'7. PGE_Efficacité'!$A$6:$BT$266,(MATCH('4.6 ACE MAX CAN '!AA$4,'7. PGE_Efficacité'!$A$4:$BU$4,0)+31),0)</f>
        <v>0</v>
      </c>
      <c r="AB95" s="149">
        <f>VLOOKUP($E95,'7. PGE_Efficacité'!$A$6:$BT$266,(MATCH('4.6 ACE MAX CAN '!AB$4,'7. PGE_Efficacité'!$A$4:$BU$4,0)+31),0)</f>
        <v>0</v>
      </c>
      <c r="AC95" s="149">
        <f>VLOOKUP($E95,'7. PGE_Efficacité'!$A$6:$BT$266,(MATCH('4.6 ACE MAX CAN '!AC$4,'7. PGE_Efficacité'!$A$4:$BU$4,0)+31),0)</f>
        <v>0</v>
      </c>
      <c r="AD95" s="149">
        <f>VLOOKUP($E95,'7. PGE_Efficacité'!$A$6:$BT$266,(MATCH('4.6 ACE MAX CAN '!AD$4,'7. PGE_Efficacité'!$A$4:$BU$4,0)+31),0)</f>
        <v>0</v>
      </c>
      <c r="AE95" s="149">
        <f>VLOOKUP($E95,'7. PGE_Efficacité'!$A$6:$BT$266,(MATCH('4.6 ACE MAX CAN '!AE$4,'7. PGE_Efficacité'!$A$4:$BU$4,0)+31),0)</f>
        <v>0</v>
      </c>
      <c r="AF95" s="149">
        <f>VLOOKUP($E95,'7. PGE_Efficacité'!$A$6:$BT$266,(MATCH('4.6 ACE MAX CAN '!AF$4,'7. PGE_Efficacité'!$A$4:$BU$4,0)+31),0)</f>
        <v>0</v>
      </c>
      <c r="AG95" s="149">
        <f>VLOOKUP($E95,'7. PGE_Efficacité'!$A$6:$BT$266,(MATCH('4.6 ACE MAX CAN '!AG$4,'7. PGE_Efficacité'!$A$4:$BU$4,0)+31),0)</f>
        <v>0</v>
      </c>
      <c r="AH95" s="149">
        <f>VLOOKUP($E95,'7. PGE_Efficacité'!$A$6:$BT$266,(MATCH('4.6 ACE MAX CAN '!AH$4,'7. PGE_Efficacité'!$A$4:$BU$4,0)+31),0)</f>
        <v>0</v>
      </c>
      <c r="AI95" s="149">
        <f>VLOOKUP($E95,'7. PGE_Efficacité'!$A$6:$BT$266,(MATCH('4.6 ACE MAX CAN '!AI$4,'7. PGE_Efficacité'!$A$4:$BU$4,0)+31),0)</f>
        <v>0</v>
      </c>
      <c r="AJ95" s="149">
        <f>VLOOKUP($E95,'7. PGE_Efficacité'!$A$6:$BT$266,(MATCH('4.6 ACE MAX CAN '!AJ$4,'7. PGE_Efficacité'!$A$4:$BU$4,0)+31),0)</f>
        <v>0</v>
      </c>
      <c r="AK95" s="149">
        <f>VLOOKUP($E95,'7. PGE_Efficacité'!$A$6:$BT$266,(MATCH('4.6 ACE MAX CAN '!AK$4,'7. PGE_Efficacité'!$A$4:$BU$4,0)+31),0)</f>
        <v>0</v>
      </c>
      <c r="AL95" s="149">
        <f>VLOOKUP($E95,'7. PGE_Efficacité'!$A$6:$BT$266,(MATCH('4.6 ACE MAX CAN '!AL$4,'7. PGE_Efficacité'!$A$4:$BU$4,0)+31),0)</f>
        <v>0</v>
      </c>
      <c r="AM95" s="149">
        <f>VLOOKUP($E95,'7. PGE_Efficacité'!$A$6:$BT$266,(MATCH('4.6 ACE MAX CAN '!AM$4,'7. PGE_Efficacité'!$A$4:$BU$4,0)+31),0)</f>
        <v>0</v>
      </c>
      <c r="AN95" s="149">
        <f>VLOOKUP($E95,'7. PGE_Efficacité'!$A$6:$BT$266,(MATCH('4.6 ACE MAX CAN '!AN$4,'7. PGE_Efficacité'!$A$4:$BU$4,0)+31),0)</f>
        <v>0</v>
      </c>
    </row>
    <row r="96" spans="1:40" outlineLevel="2" x14ac:dyDescent="0.25">
      <c r="A96" t="s">
        <v>1524</v>
      </c>
      <c r="B96">
        <v>17</v>
      </c>
      <c r="C96" t="s">
        <v>1528</v>
      </c>
      <c r="D96" s="12" t="s">
        <v>16</v>
      </c>
      <c r="E96" s="12" t="s">
        <v>688</v>
      </c>
      <c r="F96" s="12" t="s">
        <v>1348</v>
      </c>
      <c r="G96" s="12" t="s">
        <v>1521</v>
      </c>
      <c r="H96" s="12" t="s">
        <v>1287</v>
      </c>
      <c r="I96" s="148"/>
      <c r="J96" s="149">
        <f>VLOOKUP($E96,'7. PGE_Efficacité'!$A$6:$BT$266,(MATCH('4.6 ACE MAX CAN '!J$4,'7. PGE_Efficacité'!$A$4:$BU$4,0)+31),0)</f>
        <v>0</v>
      </c>
      <c r="K96" s="149">
        <f>VLOOKUP($E96,'7. PGE_Efficacité'!$A$6:$BT$266,(MATCH('4.6 ACE MAX CAN '!K$4,'7. PGE_Efficacité'!$A$4:$BU$4,0)+31),0)</f>
        <v>0</v>
      </c>
      <c r="L96" s="149">
        <f>VLOOKUP($E96,'7. PGE_Efficacité'!$A$6:$BT$266,(MATCH('4.6 ACE MAX CAN '!L$4,'7. PGE_Efficacité'!$A$4:$BU$4,0)+31),0)</f>
        <v>0</v>
      </c>
      <c r="M96" s="149">
        <f>VLOOKUP($E96,'7. PGE_Efficacité'!$A$6:$BT$266,(MATCH('4.6 ACE MAX CAN '!M$4,'7. PGE_Efficacité'!$A$4:$BU$4,0)+31),0)</f>
        <v>0</v>
      </c>
      <c r="N96" s="149">
        <f>VLOOKUP($E96,'7. PGE_Efficacité'!$A$6:$BT$266,(MATCH('4.6 ACE MAX CAN '!N$4,'7. PGE_Efficacité'!$A$4:$BU$4,0)+31),0)</f>
        <v>0</v>
      </c>
      <c r="O96" s="149" t="str">
        <f>VLOOKUP($D96,'7. PGE_Efficacité'!$A$6:$BT$268,47,0)</f>
        <v>++</v>
      </c>
      <c r="P96" s="149">
        <f>VLOOKUP($E96,'7. PGE_Efficacité'!$A$6:$BT$266,(MATCH('4.6 ACE MAX CAN '!P$4,'7. PGE_Efficacité'!$A$4:$BU$4,0)+31),0)</f>
        <v>0</v>
      </c>
      <c r="Q96" s="149">
        <f>VLOOKUP($E96,'7. PGE_Efficacité'!$A$6:$BT$266,(MATCH('4.6 ACE MAX CAN '!Q$4,'7. PGE_Efficacité'!$A$4:$BU$4,0)+31),0)</f>
        <v>0</v>
      </c>
      <c r="R96" s="149">
        <f>VLOOKUP($E96,'7. PGE_Efficacité'!$A$6:$BT$266,(MATCH('4.6 ACE MAX CAN '!R$4,'7. PGE_Efficacité'!$A$4:$BU$4,0)+31),0)</f>
        <v>0</v>
      </c>
      <c r="S96" s="149">
        <f>VLOOKUP($E96,'7. PGE_Efficacité'!$A$6:$BT$266,(MATCH('4.6 ACE MAX CAN '!S$4,'7. PGE_Efficacité'!$A$4:$BU$4,0)+31),0)</f>
        <v>0</v>
      </c>
      <c r="T96" s="149">
        <f>VLOOKUP($E96,'7. PGE_Efficacité'!$A$6:$BT$266,(MATCH('4.6 ACE MAX CAN '!T$4,'7. PGE_Efficacité'!$A$4:$BU$4,0)+31),0)</f>
        <v>0</v>
      </c>
      <c r="U96" s="149">
        <f>VLOOKUP($E96,'7. PGE_Efficacité'!$A$6:$BT$266,(MATCH('4.6 ACE MAX CAN '!U$4,'7. PGE_Efficacité'!$A$4:$BU$4,0)+31),0)</f>
        <v>0</v>
      </c>
      <c r="V96" s="149">
        <f>VLOOKUP($E96,'7. PGE_Efficacité'!$A$6:$BT$266,(MATCH('4.6 ACE MAX CAN '!V$4,'7. PGE_Efficacité'!$A$4:$BU$4,0)+31),0)</f>
        <v>0</v>
      </c>
      <c r="W96" s="149">
        <f>VLOOKUP($E96,'7. PGE_Efficacité'!$A$6:$BT$266,(MATCH('4.6 ACE MAX CAN '!W$4,'7. PGE_Efficacité'!$A$4:$BU$4,0)+31),0)</f>
        <v>0</v>
      </c>
      <c r="X96" s="149">
        <f>VLOOKUP($E96,'7. PGE_Efficacité'!$A$6:$BT$266,(MATCH('4.6 ACE MAX CAN '!X$4,'7. PGE_Efficacité'!$A$4:$BU$4,0)+31),0)</f>
        <v>0</v>
      </c>
      <c r="Y96" s="149">
        <f>VLOOKUP($E96,'7. PGE_Efficacité'!$A$6:$BT$266,(MATCH('4.6 ACE MAX CAN '!Y$4,'7. PGE_Efficacité'!$A$4:$BU$4,0)+31),0)</f>
        <v>0</v>
      </c>
      <c r="Z96" s="149">
        <f>VLOOKUP($E96,'7. PGE_Efficacité'!$A$6:$BT$266,(MATCH('4.6 ACE MAX CAN '!Z$4,'7. PGE_Efficacité'!$A$4:$BU$4,0)+31),0)</f>
        <v>0</v>
      </c>
      <c r="AA96" s="149">
        <f>VLOOKUP($E96,'7. PGE_Efficacité'!$A$6:$BT$266,(MATCH('4.6 ACE MAX CAN '!AA$4,'7. PGE_Efficacité'!$A$4:$BU$4,0)+31),0)</f>
        <v>0</v>
      </c>
      <c r="AB96" s="149">
        <f>VLOOKUP($E96,'7. PGE_Efficacité'!$A$6:$BT$266,(MATCH('4.6 ACE MAX CAN '!AB$4,'7. PGE_Efficacité'!$A$4:$BU$4,0)+31),0)</f>
        <v>0</v>
      </c>
      <c r="AC96" s="149">
        <f>VLOOKUP($E96,'7. PGE_Efficacité'!$A$6:$BT$266,(MATCH('4.6 ACE MAX CAN '!AC$4,'7. PGE_Efficacité'!$A$4:$BU$4,0)+31),0)</f>
        <v>0</v>
      </c>
      <c r="AD96" s="149">
        <f>VLOOKUP($E96,'7. PGE_Efficacité'!$A$6:$BT$266,(MATCH('4.6 ACE MAX CAN '!AD$4,'7. PGE_Efficacité'!$A$4:$BU$4,0)+31),0)</f>
        <v>0</v>
      </c>
      <c r="AE96" s="149">
        <f>VLOOKUP($E96,'7. PGE_Efficacité'!$A$6:$BT$266,(MATCH('4.6 ACE MAX CAN '!AE$4,'7. PGE_Efficacité'!$A$4:$BU$4,0)+31),0)</f>
        <v>0</v>
      </c>
      <c r="AF96" s="149">
        <f>VLOOKUP($E96,'7. PGE_Efficacité'!$A$6:$BT$266,(MATCH('4.6 ACE MAX CAN '!AF$4,'7. PGE_Efficacité'!$A$4:$BU$4,0)+31),0)</f>
        <v>0</v>
      </c>
      <c r="AG96" s="149">
        <f>VLOOKUP($E96,'7. PGE_Efficacité'!$A$6:$BT$266,(MATCH('4.6 ACE MAX CAN '!AG$4,'7. PGE_Efficacité'!$A$4:$BU$4,0)+31),0)</f>
        <v>0</v>
      </c>
      <c r="AH96" s="149">
        <f>VLOOKUP($E96,'7. PGE_Efficacité'!$A$6:$BT$266,(MATCH('4.6 ACE MAX CAN '!AH$4,'7. PGE_Efficacité'!$A$4:$BU$4,0)+31),0)</f>
        <v>0</v>
      </c>
      <c r="AI96" s="149">
        <f>VLOOKUP($E96,'7. PGE_Efficacité'!$A$6:$BT$266,(MATCH('4.6 ACE MAX CAN '!AI$4,'7. PGE_Efficacité'!$A$4:$BU$4,0)+31),0)</f>
        <v>0</v>
      </c>
      <c r="AJ96" s="149">
        <f>VLOOKUP($E96,'7. PGE_Efficacité'!$A$6:$BT$266,(MATCH('4.6 ACE MAX CAN '!AJ$4,'7. PGE_Efficacité'!$A$4:$BU$4,0)+31),0)</f>
        <v>0</v>
      </c>
      <c r="AK96" s="149">
        <f>VLOOKUP($E96,'7. PGE_Efficacité'!$A$6:$BT$266,(MATCH('4.6 ACE MAX CAN '!AK$4,'7. PGE_Efficacité'!$A$4:$BU$4,0)+31),0)</f>
        <v>0</v>
      </c>
      <c r="AL96" s="149">
        <f>VLOOKUP($E96,'7. PGE_Efficacité'!$A$6:$BT$266,(MATCH('4.6 ACE MAX CAN '!AL$4,'7. PGE_Efficacité'!$A$4:$BU$4,0)+31),0)</f>
        <v>0</v>
      </c>
      <c r="AM96" s="149">
        <f>VLOOKUP($E96,'7. PGE_Efficacité'!$A$6:$BT$266,(MATCH('4.6 ACE MAX CAN '!AM$4,'7. PGE_Efficacité'!$A$4:$BU$4,0)+31),0)</f>
        <v>0</v>
      </c>
      <c r="AN96" s="149">
        <f>VLOOKUP($E96,'7. PGE_Efficacité'!$A$6:$BT$266,(MATCH('4.6 ACE MAX CAN '!AN$4,'7. PGE_Efficacité'!$A$4:$BU$4,0)+31),0)</f>
        <v>0</v>
      </c>
    </row>
    <row r="97" spans="1:40" ht="26.25" outlineLevel="1" x14ac:dyDescent="0.25">
      <c r="D97" s="360" t="s">
        <v>18</v>
      </c>
      <c r="E97" s="360"/>
      <c r="F97" s="361" t="str">
        <f>VLOOKUP(D97,'1. Mesures'!$A$2:$B$116,2,0)</f>
        <v xml:space="preserve">Lutter contre les décharges de matériaux autour et dans le Canal et assurer le dragage et l'élimination des sédiments pollués </v>
      </c>
      <c r="G97" s="360"/>
      <c r="H97" s="360"/>
      <c r="I97" s="362">
        <f>MEDIAN(VLOOKUP(D97,'4. Mesures_ACE_Budget'!$A$3:$R$32,17,0),VLOOKUP(D97,'4. Mesures_ACE_Budget'!$A$3:$R$32,18,0))</f>
        <v>41075000</v>
      </c>
      <c r="J97" s="213">
        <f>VLOOKUP($D97,'7. PGE_Efficacité'!$A$6:$BT$266,(MATCH('4.6 ACE MAX CAN '!J$4,'7. PGE_Efficacité'!$A$4:$AO$4,0)+31),0)</f>
        <v>0</v>
      </c>
      <c r="K97" s="213" t="str">
        <f>VLOOKUP($D97,'7. PGE_Efficacité'!$A$6:$BT$266,(MATCH('4.6 ACE MAX CAN '!K$4,'7. PGE_Efficacité'!$A$4:$AO$4,0)+31),0)</f>
        <v>++</v>
      </c>
      <c r="L97" s="213" t="str">
        <f>VLOOKUP($D97,'7. PGE_Efficacité'!$A$6:$BT$266,(MATCH('4.6 ACE MAX CAN '!L$4,'7. PGE_Efficacité'!$A$4:$AO$4,0)+31),0)</f>
        <v>++</v>
      </c>
      <c r="M97" s="213" t="str">
        <f>VLOOKUP($D97,'7. PGE_Efficacité'!$A$6:$BT$266,(MATCH('4.6 ACE MAX CAN '!M$4,'7. PGE_Efficacité'!$A$4:$AO$4,0)+31),0)</f>
        <v>++</v>
      </c>
      <c r="N97" s="213" t="str">
        <f>VLOOKUP($D97,'7. PGE_Efficacité'!$A$6:$BT$266,(MATCH('4.6 ACE MAX CAN '!N$4,'7. PGE_Efficacité'!$A$4:$AO$4,0)+31),0)</f>
        <v>++</v>
      </c>
      <c r="O97" s="213" t="str">
        <f>VLOOKUP($D97,'7. PGE_Efficacité'!$A$6:$BT$268,47,0)</f>
        <v>++</v>
      </c>
      <c r="P97" s="213">
        <f>VLOOKUP($D97,'7. PGE_Efficacité'!$A$6:$BT$266,(MATCH('4.6 ACE MAX CAN '!P$4,'7. PGE_Efficacité'!$A$4:$AO$4,0)+31),0)</f>
        <v>0</v>
      </c>
      <c r="Q97" s="213" t="str">
        <f>VLOOKUP($D97,'7. PGE_Efficacité'!$A$6:$BT$266,(MATCH('4.6 ACE MAX CAN '!Q$4,'7. PGE_Efficacité'!$A$4:$AO$4,0)+31),0)</f>
        <v>++</v>
      </c>
      <c r="R97" s="213" t="str">
        <f>VLOOKUP($D97,'7. PGE_Efficacité'!$A$6:$BT$266,(MATCH('4.6 ACE MAX CAN '!R$4,'7. PGE_Efficacité'!$A$4:$AO$4,0)+31),0)</f>
        <v>++</v>
      </c>
      <c r="S97" s="213">
        <f>VLOOKUP($D97,'7. PGE_Efficacité'!$A$6:$BT$266,(MATCH('4.6 ACE MAX CAN '!S$4,'7. PGE_Efficacité'!$A$4:$AO$4,0)+31),0)</f>
        <v>0</v>
      </c>
      <c r="T97" s="213" t="str">
        <f>VLOOKUP($D97,'7. PGE_Efficacité'!$A$6:$BT$266,(MATCH('4.6 ACE MAX CAN '!T$4,'7. PGE_Efficacité'!$A$4:$AO$4,0)+31),0)</f>
        <v>++</v>
      </c>
      <c r="U97" s="213" t="str">
        <f>VLOOKUP($D97,'7. PGE_Efficacité'!$A$6:$BT$266,(MATCH('4.6 ACE MAX CAN '!U$4,'7. PGE_Efficacité'!$A$4:$AO$4,0)+31),0)</f>
        <v>++</v>
      </c>
      <c r="V97" s="213" t="str">
        <f>VLOOKUP($D97,'7. PGE_Efficacité'!$A$6:$BT$266,(MATCH('4.6 ACE MAX CAN '!V$4,'7. PGE_Efficacité'!$A$4:$AO$4,0)+31),0)</f>
        <v>++</v>
      </c>
      <c r="W97" s="213" t="str">
        <f>VLOOKUP($D97,'7. PGE_Efficacité'!$A$6:$BT$266,(MATCH('4.6 ACE MAX CAN '!W$4,'7. PGE_Efficacité'!$A$4:$AO$4,0)+31),0)</f>
        <v>++</v>
      </c>
      <c r="X97" s="213">
        <f>VLOOKUP($D97,'7. PGE_Efficacité'!$A$6:$BT$266,(MATCH('4.6 ACE MAX CAN '!X$4,'7. PGE_Efficacité'!$A$4:$AO$4,0)+31),0)</f>
        <v>0</v>
      </c>
      <c r="Y97" s="213" t="str">
        <f>VLOOKUP($D97,'7. PGE_Efficacité'!$A$6:$BT$266,(MATCH('4.6 ACE MAX CAN '!Y$4,'7. PGE_Efficacité'!$A$4:$AO$4,0)+31),0)</f>
        <v>++</v>
      </c>
      <c r="Z97" s="213" t="str">
        <f>VLOOKUP($D97,'7. PGE_Efficacité'!$A$6:$BT$266,(MATCH('4.6 ACE MAX CAN '!Z$4,'7. PGE_Efficacité'!$A$4:$AO$4,0)+31),0)</f>
        <v>++</v>
      </c>
      <c r="AA97" s="213">
        <f>VLOOKUP($D97,'7. PGE_Efficacité'!$A$6:$BT$266,(MATCH('4.6 ACE MAX CAN '!AA$4,'7. PGE_Efficacité'!$A$4:$AO$4,0)+31),0)</f>
        <v>0</v>
      </c>
      <c r="AB97" s="213">
        <f>VLOOKUP($D97,'7. PGE_Efficacité'!$A$6:$BT$266,(MATCH('4.6 ACE MAX CAN '!AB$4,'7. PGE_Efficacité'!$A$4:$AO$4,0)+31),0)</f>
        <v>0</v>
      </c>
      <c r="AC97" s="213">
        <f>VLOOKUP($D97,'7. PGE_Efficacité'!$A$6:$BT$266,(MATCH('4.6 ACE MAX CAN '!AC$4,'7. PGE_Efficacité'!$A$4:$AO$4,0)+31),0)</f>
        <v>0</v>
      </c>
      <c r="AD97" s="213">
        <f>VLOOKUP($D97,'7. PGE_Efficacité'!$A$6:$BT$266,(MATCH('4.6 ACE MAX CAN '!AD$4,'7. PGE_Efficacité'!$A$4:$AO$4,0)+31),0)</f>
        <v>0</v>
      </c>
      <c r="AE97" s="213">
        <f>VLOOKUP($D97,'7. PGE_Efficacité'!$A$6:$BT$266,(MATCH('4.6 ACE MAX CAN '!AE$4,'7. PGE_Efficacité'!$A$4:$AO$4,0)+31),0)</f>
        <v>0</v>
      </c>
      <c r="AF97" s="213">
        <f>VLOOKUP($D97,'7. PGE_Efficacité'!$A$6:$BT$266,(MATCH('4.6 ACE MAX CAN '!AF$4,'7. PGE_Efficacité'!$A$4:$AO$4,0)+31),0)</f>
        <v>0</v>
      </c>
      <c r="AG97" s="213">
        <f>VLOOKUP($D97,'7. PGE_Efficacité'!$A$6:$BT$266,(MATCH('4.6 ACE MAX CAN '!AG$4,'7. PGE_Efficacité'!$A$4:$AO$4,0)+31),0)</f>
        <v>0</v>
      </c>
      <c r="AH97" s="213">
        <f>VLOOKUP($D97,'7. PGE_Efficacité'!$A$6:$BT$266,(MATCH('4.6 ACE MAX CAN '!AH$4,'7. PGE_Efficacité'!$A$4:$AO$4,0)+31),0)</f>
        <v>0</v>
      </c>
      <c r="AI97" s="213">
        <f>VLOOKUP($D97,'7. PGE_Efficacité'!$A$6:$BT$266,(MATCH('4.6 ACE MAX CAN '!AI$4,'7. PGE_Efficacité'!$A$4:$AO$4,0)+31),0)</f>
        <v>0</v>
      </c>
      <c r="AJ97" s="213">
        <f>VLOOKUP($D97,'7. PGE_Efficacité'!$A$6:$BT$266,(MATCH('4.6 ACE MAX CAN '!AJ$4,'7. PGE_Efficacité'!$A$4:$AO$4,0)+31),0)</f>
        <v>0</v>
      </c>
      <c r="AK97" s="213" t="str">
        <f>VLOOKUP($D97,'7. PGE_Efficacité'!$A$6:$BT$266,(MATCH('4.6 ACE MAX CAN '!AK$4,'7. PGE_Efficacité'!$A$4:$AO$4,0)+31),0)</f>
        <v>+</v>
      </c>
      <c r="AL97" s="213">
        <f>VLOOKUP($D97,'7. PGE_Efficacité'!$A$6:$BT$266,(MATCH('4.6 ACE MAX CAN '!AL$4,'7. PGE_Efficacité'!$A$4:$AO$4,0)+31),0)</f>
        <v>0</v>
      </c>
      <c r="AM97" s="213" t="str">
        <f>VLOOKUP($D97,'7. PGE_Efficacité'!$A$6:$BT$266,(MATCH('4.6 ACE MAX CAN '!AM$4,'7. PGE_Efficacité'!$A$4:$AO$4,0)+31),0)</f>
        <v>+</v>
      </c>
      <c r="AN97" s="213" t="str">
        <f>VLOOKUP($D97,'7. PGE_Efficacité'!$A$6:$BT$266,(MATCH('4.6 ACE MAX CAN '!AN$4,'7. PGE_Efficacité'!$A$4:$AO$4,0)+31),0)</f>
        <v>+</v>
      </c>
    </row>
    <row r="98" spans="1:40" outlineLevel="2" x14ac:dyDescent="0.25">
      <c r="A98" t="s">
        <v>1524</v>
      </c>
      <c r="B98">
        <v>18</v>
      </c>
      <c r="C98" t="s">
        <v>1524</v>
      </c>
      <c r="D98" s="12" t="s">
        <v>18</v>
      </c>
      <c r="E98" s="12" t="s">
        <v>689</v>
      </c>
      <c r="F98" s="12" t="s">
        <v>1349</v>
      </c>
      <c r="G98" s="12" t="s">
        <v>1520</v>
      </c>
      <c r="H98" s="12" t="s">
        <v>414</v>
      </c>
      <c r="I98" s="148"/>
      <c r="J98" s="149">
        <f>VLOOKUP($E98,'7. PGE_Efficacité'!$A$6:$BT$266,(MATCH('4.6 ACE MAX CAN '!J$4,'7. PGE_Efficacité'!$A$4:$BU$4,0)+31),0)</f>
        <v>0</v>
      </c>
      <c r="K98" s="149">
        <f>VLOOKUP($E98,'7. PGE_Efficacité'!$A$6:$BT$266,(MATCH('4.6 ACE MAX CAN '!K$4,'7. PGE_Efficacité'!$A$4:$BU$4,0)+31),0)</f>
        <v>0</v>
      </c>
      <c r="L98" s="149">
        <f>VLOOKUP($E98,'7. PGE_Efficacité'!$A$6:$BT$266,(MATCH('4.6 ACE MAX CAN '!L$4,'7. PGE_Efficacité'!$A$4:$BU$4,0)+31),0)</f>
        <v>0</v>
      </c>
      <c r="M98" s="149">
        <f>VLOOKUP($E98,'7. PGE_Efficacité'!$A$6:$BT$266,(MATCH('4.6 ACE MAX CAN '!M$4,'7. PGE_Efficacité'!$A$4:$BU$4,0)+31),0)</f>
        <v>0</v>
      </c>
      <c r="N98" s="149">
        <f>VLOOKUP($E98,'7. PGE_Efficacité'!$A$6:$BT$266,(MATCH('4.6 ACE MAX CAN '!N$4,'7. PGE_Efficacité'!$A$4:$BU$4,0)+31),0)</f>
        <v>0</v>
      </c>
      <c r="O98" s="149" t="str">
        <f>VLOOKUP($D98,'7. PGE_Efficacité'!$A$6:$BT$268,47,0)</f>
        <v>++</v>
      </c>
      <c r="P98" s="149">
        <f>VLOOKUP($E98,'7. PGE_Efficacité'!$A$6:$BT$266,(MATCH('4.6 ACE MAX CAN '!P$4,'7. PGE_Efficacité'!$A$4:$BU$4,0)+31),0)</f>
        <v>0</v>
      </c>
      <c r="Q98" s="149">
        <f>VLOOKUP($E98,'7. PGE_Efficacité'!$A$6:$BT$266,(MATCH('4.6 ACE MAX CAN '!Q$4,'7. PGE_Efficacité'!$A$4:$BU$4,0)+31),0)</f>
        <v>0</v>
      </c>
      <c r="R98" s="149">
        <f>VLOOKUP($E98,'7. PGE_Efficacité'!$A$6:$BT$266,(MATCH('4.6 ACE MAX CAN '!R$4,'7. PGE_Efficacité'!$A$4:$BU$4,0)+31),0)</f>
        <v>0</v>
      </c>
      <c r="S98" s="149">
        <f>VLOOKUP($E98,'7. PGE_Efficacité'!$A$6:$BT$266,(MATCH('4.6 ACE MAX CAN '!S$4,'7. PGE_Efficacité'!$A$4:$BU$4,0)+31),0)</f>
        <v>0</v>
      </c>
      <c r="T98" s="149">
        <f>VLOOKUP($E98,'7. PGE_Efficacité'!$A$6:$BT$266,(MATCH('4.6 ACE MAX CAN '!T$4,'7. PGE_Efficacité'!$A$4:$BU$4,0)+31),0)</f>
        <v>0</v>
      </c>
      <c r="U98" s="149">
        <f>VLOOKUP($E98,'7. PGE_Efficacité'!$A$6:$BT$266,(MATCH('4.6 ACE MAX CAN '!U$4,'7. PGE_Efficacité'!$A$4:$BU$4,0)+31),0)</f>
        <v>0</v>
      </c>
      <c r="V98" s="149">
        <f>VLOOKUP($E98,'7. PGE_Efficacité'!$A$6:$BT$266,(MATCH('4.6 ACE MAX CAN '!V$4,'7. PGE_Efficacité'!$A$4:$BU$4,0)+31),0)</f>
        <v>0</v>
      </c>
      <c r="W98" s="149">
        <f>VLOOKUP($E98,'7. PGE_Efficacité'!$A$6:$BT$266,(MATCH('4.6 ACE MAX CAN '!W$4,'7. PGE_Efficacité'!$A$4:$BU$4,0)+31),0)</f>
        <v>0</v>
      </c>
      <c r="X98" s="149">
        <f>VLOOKUP($E98,'7. PGE_Efficacité'!$A$6:$BT$266,(MATCH('4.6 ACE MAX CAN '!X$4,'7. PGE_Efficacité'!$A$4:$BU$4,0)+31),0)</f>
        <v>0</v>
      </c>
      <c r="Y98" s="149">
        <f>VLOOKUP($E98,'7. PGE_Efficacité'!$A$6:$BT$266,(MATCH('4.6 ACE MAX CAN '!Y$4,'7. PGE_Efficacité'!$A$4:$BU$4,0)+31),0)</f>
        <v>0</v>
      </c>
      <c r="Z98" s="149">
        <f>VLOOKUP($E98,'7. PGE_Efficacité'!$A$6:$BT$266,(MATCH('4.6 ACE MAX CAN '!Z$4,'7. PGE_Efficacité'!$A$4:$BU$4,0)+31),0)</f>
        <v>0</v>
      </c>
      <c r="AA98" s="149">
        <f>VLOOKUP($E98,'7. PGE_Efficacité'!$A$6:$BT$266,(MATCH('4.6 ACE MAX CAN '!AA$4,'7. PGE_Efficacité'!$A$4:$BU$4,0)+31),0)</f>
        <v>0</v>
      </c>
      <c r="AB98" s="149">
        <f>VLOOKUP($E98,'7. PGE_Efficacité'!$A$6:$BT$266,(MATCH('4.6 ACE MAX CAN '!AB$4,'7. PGE_Efficacité'!$A$4:$BU$4,0)+31),0)</f>
        <v>0</v>
      </c>
      <c r="AC98" s="149">
        <f>VLOOKUP($E98,'7. PGE_Efficacité'!$A$6:$BT$266,(MATCH('4.6 ACE MAX CAN '!AC$4,'7. PGE_Efficacité'!$A$4:$BU$4,0)+31),0)</f>
        <v>0</v>
      </c>
      <c r="AD98" s="149">
        <f>VLOOKUP($E98,'7. PGE_Efficacité'!$A$6:$BT$266,(MATCH('4.6 ACE MAX CAN '!AD$4,'7. PGE_Efficacité'!$A$4:$BU$4,0)+31),0)</f>
        <v>0</v>
      </c>
      <c r="AE98" s="149">
        <f>VLOOKUP($E98,'7. PGE_Efficacité'!$A$6:$BT$266,(MATCH('4.6 ACE MAX CAN '!AE$4,'7. PGE_Efficacité'!$A$4:$BU$4,0)+31),0)</f>
        <v>0</v>
      </c>
      <c r="AF98" s="149">
        <f>VLOOKUP($E98,'7. PGE_Efficacité'!$A$6:$BT$266,(MATCH('4.6 ACE MAX CAN '!AF$4,'7. PGE_Efficacité'!$A$4:$BU$4,0)+31),0)</f>
        <v>0</v>
      </c>
      <c r="AG98" s="149">
        <f>VLOOKUP($E98,'7. PGE_Efficacité'!$A$6:$BT$266,(MATCH('4.6 ACE MAX CAN '!AG$4,'7. PGE_Efficacité'!$A$4:$BU$4,0)+31),0)</f>
        <v>0</v>
      </c>
      <c r="AH98" s="149">
        <f>VLOOKUP($E98,'7. PGE_Efficacité'!$A$6:$BT$266,(MATCH('4.6 ACE MAX CAN '!AH$4,'7. PGE_Efficacité'!$A$4:$BU$4,0)+31),0)</f>
        <v>0</v>
      </c>
      <c r="AI98" s="149">
        <f>VLOOKUP($E98,'7. PGE_Efficacité'!$A$6:$BT$266,(MATCH('4.6 ACE MAX CAN '!AI$4,'7. PGE_Efficacité'!$A$4:$BU$4,0)+31),0)</f>
        <v>0</v>
      </c>
      <c r="AJ98" s="149">
        <f>VLOOKUP($E98,'7. PGE_Efficacité'!$A$6:$BT$266,(MATCH('4.6 ACE MAX CAN '!AJ$4,'7. PGE_Efficacité'!$A$4:$BU$4,0)+31),0)</f>
        <v>0</v>
      </c>
      <c r="AK98" s="149">
        <f>VLOOKUP($E98,'7. PGE_Efficacité'!$A$6:$BT$266,(MATCH('4.6 ACE MAX CAN '!AK$4,'7. PGE_Efficacité'!$A$4:$BU$4,0)+31),0)</f>
        <v>0</v>
      </c>
      <c r="AL98" s="149">
        <f>VLOOKUP($E98,'7. PGE_Efficacité'!$A$6:$BT$266,(MATCH('4.6 ACE MAX CAN '!AL$4,'7. PGE_Efficacité'!$A$4:$BU$4,0)+31),0)</f>
        <v>0</v>
      </c>
      <c r="AM98" s="149">
        <f>VLOOKUP($E98,'7. PGE_Efficacité'!$A$6:$BT$266,(MATCH('4.6 ACE MAX CAN '!AM$4,'7. PGE_Efficacité'!$A$4:$BU$4,0)+31),0)</f>
        <v>0</v>
      </c>
      <c r="AN98" s="149">
        <f>VLOOKUP($E98,'7. PGE_Efficacité'!$A$6:$BT$266,(MATCH('4.6 ACE MAX CAN '!AN$4,'7. PGE_Efficacité'!$A$4:$BU$4,0)+31),0)</f>
        <v>0</v>
      </c>
    </row>
    <row r="99" spans="1:40" outlineLevel="2" x14ac:dyDescent="0.25">
      <c r="A99" t="s">
        <v>1524</v>
      </c>
      <c r="B99">
        <v>18</v>
      </c>
      <c r="C99" t="s">
        <v>1525</v>
      </c>
      <c r="D99" s="12" t="s">
        <v>18</v>
      </c>
      <c r="E99" s="12" t="s">
        <v>691</v>
      </c>
      <c r="F99" s="12" t="s">
        <v>1351</v>
      </c>
      <c r="G99" s="12" t="s">
        <v>1520</v>
      </c>
      <c r="H99" s="12" t="s">
        <v>414</v>
      </c>
      <c r="I99" s="148"/>
      <c r="J99" s="149">
        <f>VLOOKUP($E99,'7. PGE_Efficacité'!$A$6:$BT$266,(MATCH('4.6 ACE MAX CAN '!J$4,'7. PGE_Efficacité'!$A$4:$BU$4,0)+31),0)</f>
        <v>0</v>
      </c>
      <c r="K99" s="149">
        <f>VLOOKUP($E99,'7. PGE_Efficacité'!$A$6:$BT$266,(MATCH('4.6 ACE MAX CAN '!K$4,'7. PGE_Efficacité'!$A$4:$BU$4,0)+31),0)</f>
        <v>0</v>
      </c>
      <c r="L99" s="149">
        <f>VLOOKUP($E99,'7. PGE_Efficacité'!$A$6:$BT$266,(MATCH('4.6 ACE MAX CAN '!L$4,'7. PGE_Efficacité'!$A$4:$BU$4,0)+31),0)</f>
        <v>0</v>
      </c>
      <c r="M99" s="149">
        <f>VLOOKUP($E99,'7. PGE_Efficacité'!$A$6:$BT$266,(MATCH('4.6 ACE MAX CAN '!M$4,'7. PGE_Efficacité'!$A$4:$BU$4,0)+31),0)</f>
        <v>0</v>
      </c>
      <c r="N99" s="149">
        <f>VLOOKUP($E99,'7. PGE_Efficacité'!$A$6:$BT$266,(MATCH('4.6 ACE MAX CAN '!N$4,'7. PGE_Efficacité'!$A$4:$BU$4,0)+31),0)</f>
        <v>0</v>
      </c>
      <c r="O99" s="149" t="str">
        <f>VLOOKUP($D99,'7. PGE_Efficacité'!$A$6:$BT$268,47,0)</f>
        <v>++</v>
      </c>
      <c r="P99" s="149">
        <f>VLOOKUP($E99,'7. PGE_Efficacité'!$A$6:$BT$266,(MATCH('4.6 ACE MAX CAN '!P$4,'7. PGE_Efficacité'!$A$4:$BU$4,0)+31),0)</f>
        <v>0</v>
      </c>
      <c r="Q99" s="149">
        <f>VLOOKUP($E99,'7. PGE_Efficacité'!$A$6:$BT$266,(MATCH('4.6 ACE MAX CAN '!Q$4,'7. PGE_Efficacité'!$A$4:$BU$4,0)+31),0)</f>
        <v>0</v>
      </c>
      <c r="R99" s="149">
        <f>VLOOKUP($E99,'7. PGE_Efficacité'!$A$6:$BT$266,(MATCH('4.6 ACE MAX CAN '!R$4,'7. PGE_Efficacité'!$A$4:$BU$4,0)+31),0)</f>
        <v>0</v>
      </c>
      <c r="S99" s="149">
        <f>VLOOKUP($E99,'7. PGE_Efficacité'!$A$6:$BT$266,(MATCH('4.6 ACE MAX CAN '!S$4,'7. PGE_Efficacité'!$A$4:$BU$4,0)+31),0)</f>
        <v>0</v>
      </c>
      <c r="T99" s="149">
        <f>VLOOKUP($E99,'7. PGE_Efficacité'!$A$6:$BT$266,(MATCH('4.6 ACE MAX CAN '!T$4,'7. PGE_Efficacité'!$A$4:$BU$4,0)+31),0)</f>
        <v>0</v>
      </c>
      <c r="U99" s="149">
        <f>VLOOKUP($E99,'7. PGE_Efficacité'!$A$6:$BT$266,(MATCH('4.6 ACE MAX CAN '!U$4,'7. PGE_Efficacité'!$A$4:$BU$4,0)+31),0)</f>
        <v>0</v>
      </c>
      <c r="V99" s="149">
        <f>VLOOKUP($E99,'7. PGE_Efficacité'!$A$6:$BT$266,(MATCH('4.6 ACE MAX CAN '!V$4,'7. PGE_Efficacité'!$A$4:$BU$4,0)+31),0)</f>
        <v>0</v>
      </c>
      <c r="W99" s="149">
        <f>VLOOKUP($E99,'7. PGE_Efficacité'!$A$6:$BT$266,(MATCH('4.6 ACE MAX CAN '!W$4,'7. PGE_Efficacité'!$A$4:$BU$4,0)+31),0)</f>
        <v>0</v>
      </c>
      <c r="X99" s="149">
        <f>VLOOKUP($E99,'7. PGE_Efficacité'!$A$6:$BT$266,(MATCH('4.6 ACE MAX CAN '!X$4,'7. PGE_Efficacité'!$A$4:$BU$4,0)+31),0)</f>
        <v>0</v>
      </c>
      <c r="Y99" s="149">
        <f>VLOOKUP($E99,'7. PGE_Efficacité'!$A$6:$BT$266,(MATCH('4.6 ACE MAX CAN '!Y$4,'7. PGE_Efficacité'!$A$4:$BU$4,0)+31),0)</f>
        <v>0</v>
      </c>
      <c r="Z99" s="149">
        <f>VLOOKUP($E99,'7. PGE_Efficacité'!$A$6:$BT$266,(MATCH('4.6 ACE MAX CAN '!Z$4,'7. PGE_Efficacité'!$A$4:$BU$4,0)+31),0)</f>
        <v>0</v>
      </c>
      <c r="AA99" s="149">
        <f>VLOOKUP($E99,'7. PGE_Efficacité'!$A$6:$BT$266,(MATCH('4.6 ACE MAX CAN '!AA$4,'7. PGE_Efficacité'!$A$4:$BU$4,0)+31),0)</f>
        <v>0</v>
      </c>
      <c r="AB99" s="149">
        <f>VLOOKUP($E99,'7. PGE_Efficacité'!$A$6:$BT$266,(MATCH('4.6 ACE MAX CAN '!AB$4,'7. PGE_Efficacité'!$A$4:$BU$4,0)+31),0)</f>
        <v>0</v>
      </c>
      <c r="AC99" s="149">
        <f>VLOOKUP($E99,'7. PGE_Efficacité'!$A$6:$BT$266,(MATCH('4.6 ACE MAX CAN '!AC$4,'7. PGE_Efficacité'!$A$4:$BU$4,0)+31),0)</f>
        <v>0</v>
      </c>
      <c r="AD99" s="149">
        <f>VLOOKUP($E99,'7. PGE_Efficacité'!$A$6:$BT$266,(MATCH('4.6 ACE MAX CAN '!AD$4,'7. PGE_Efficacité'!$A$4:$BU$4,0)+31),0)</f>
        <v>0</v>
      </c>
      <c r="AE99" s="149">
        <f>VLOOKUP($E99,'7. PGE_Efficacité'!$A$6:$BT$266,(MATCH('4.6 ACE MAX CAN '!AE$4,'7. PGE_Efficacité'!$A$4:$BU$4,0)+31),0)</f>
        <v>0</v>
      </c>
      <c r="AF99" s="149">
        <f>VLOOKUP($E99,'7. PGE_Efficacité'!$A$6:$BT$266,(MATCH('4.6 ACE MAX CAN '!AF$4,'7. PGE_Efficacité'!$A$4:$BU$4,0)+31),0)</f>
        <v>0</v>
      </c>
      <c r="AG99" s="149">
        <f>VLOOKUP($E99,'7. PGE_Efficacité'!$A$6:$BT$266,(MATCH('4.6 ACE MAX CAN '!AG$4,'7. PGE_Efficacité'!$A$4:$BU$4,0)+31),0)</f>
        <v>0</v>
      </c>
      <c r="AH99" s="149">
        <f>VLOOKUP($E99,'7. PGE_Efficacité'!$A$6:$BT$266,(MATCH('4.6 ACE MAX CAN '!AH$4,'7. PGE_Efficacité'!$A$4:$BU$4,0)+31),0)</f>
        <v>0</v>
      </c>
      <c r="AI99" s="149">
        <f>VLOOKUP($E99,'7. PGE_Efficacité'!$A$6:$BT$266,(MATCH('4.6 ACE MAX CAN '!AI$4,'7. PGE_Efficacité'!$A$4:$BU$4,0)+31),0)</f>
        <v>0</v>
      </c>
      <c r="AJ99" s="149">
        <f>VLOOKUP($E99,'7. PGE_Efficacité'!$A$6:$BT$266,(MATCH('4.6 ACE MAX CAN '!AJ$4,'7. PGE_Efficacité'!$A$4:$BU$4,0)+31),0)</f>
        <v>0</v>
      </c>
      <c r="AK99" s="149">
        <f>VLOOKUP($E99,'7. PGE_Efficacité'!$A$6:$BT$266,(MATCH('4.6 ACE MAX CAN '!AK$4,'7. PGE_Efficacité'!$A$4:$BU$4,0)+31),0)</f>
        <v>0</v>
      </c>
      <c r="AL99" s="149">
        <f>VLOOKUP($E99,'7. PGE_Efficacité'!$A$6:$BT$266,(MATCH('4.6 ACE MAX CAN '!AL$4,'7. PGE_Efficacité'!$A$4:$BU$4,0)+31),0)</f>
        <v>0</v>
      </c>
      <c r="AM99" s="149">
        <f>VLOOKUP($E99,'7. PGE_Efficacité'!$A$6:$BT$266,(MATCH('4.6 ACE MAX CAN '!AM$4,'7. PGE_Efficacité'!$A$4:$BU$4,0)+31),0)</f>
        <v>0</v>
      </c>
      <c r="AN99" s="149">
        <f>VLOOKUP($E99,'7. PGE_Efficacité'!$A$6:$BT$266,(MATCH('4.6 ACE MAX CAN '!AN$4,'7. PGE_Efficacité'!$A$4:$BU$4,0)+31),0)</f>
        <v>0</v>
      </c>
    </row>
    <row r="100" spans="1:40" outlineLevel="2" x14ac:dyDescent="0.25">
      <c r="A100" t="s">
        <v>1524</v>
      </c>
      <c r="B100">
        <v>18</v>
      </c>
      <c r="C100" t="s">
        <v>1526</v>
      </c>
      <c r="D100" s="12" t="s">
        <v>18</v>
      </c>
      <c r="E100" s="12" t="s">
        <v>692</v>
      </c>
      <c r="F100" s="12" t="s">
        <v>1352</v>
      </c>
      <c r="G100" s="12" t="s">
        <v>1520</v>
      </c>
      <c r="H100" s="12" t="s">
        <v>414</v>
      </c>
      <c r="I100" s="148"/>
      <c r="J100" s="149">
        <f>VLOOKUP($E100,'7. PGE_Efficacité'!$A$6:$BT$266,(MATCH('4.6 ACE MAX CAN '!J$4,'7. PGE_Efficacité'!$A$4:$BU$4,0)+31),0)</f>
        <v>0</v>
      </c>
      <c r="K100" s="149">
        <f>VLOOKUP($E100,'7. PGE_Efficacité'!$A$6:$BT$266,(MATCH('4.6 ACE MAX CAN '!K$4,'7. PGE_Efficacité'!$A$4:$BU$4,0)+31),0)</f>
        <v>0</v>
      </c>
      <c r="L100" s="149">
        <f>VLOOKUP($E100,'7. PGE_Efficacité'!$A$6:$BT$266,(MATCH('4.6 ACE MAX CAN '!L$4,'7. PGE_Efficacité'!$A$4:$BU$4,0)+31),0)</f>
        <v>0</v>
      </c>
      <c r="M100" s="149">
        <f>VLOOKUP($E100,'7. PGE_Efficacité'!$A$6:$BT$266,(MATCH('4.6 ACE MAX CAN '!M$4,'7. PGE_Efficacité'!$A$4:$BU$4,0)+31),0)</f>
        <v>0</v>
      </c>
      <c r="N100" s="149">
        <f>VLOOKUP($E100,'7. PGE_Efficacité'!$A$6:$BT$266,(MATCH('4.6 ACE MAX CAN '!N$4,'7. PGE_Efficacité'!$A$4:$BU$4,0)+31),0)</f>
        <v>0</v>
      </c>
      <c r="O100" s="149" t="str">
        <f>VLOOKUP($D100,'7. PGE_Efficacité'!$A$6:$BT$268,47,0)</f>
        <v>++</v>
      </c>
      <c r="P100" s="149">
        <f>VLOOKUP($E100,'7. PGE_Efficacité'!$A$6:$BT$266,(MATCH('4.6 ACE MAX CAN '!P$4,'7. PGE_Efficacité'!$A$4:$BU$4,0)+31),0)</f>
        <v>0</v>
      </c>
      <c r="Q100" s="149">
        <f>VLOOKUP($E100,'7. PGE_Efficacité'!$A$6:$BT$266,(MATCH('4.6 ACE MAX CAN '!Q$4,'7. PGE_Efficacité'!$A$4:$BU$4,0)+31),0)</f>
        <v>0</v>
      </c>
      <c r="R100" s="149">
        <f>VLOOKUP($E100,'7. PGE_Efficacité'!$A$6:$BT$266,(MATCH('4.6 ACE MAX CAN '!R$4,'7. PGE_Efficacité'!$A$4:$BU$4,0)+31),0)</f>
        <v>0</v>
      </c>
      <c r="S100" s="149">
        <f>VLOOKUP($E100,'7. PGE_Efficacité'!$A$6:$BT$266,(MATCH('4.6 ACE MAX CAN '!S$4,'7. PGE_Efficacité'!$A$4:$BU$4,0)+31),0)</f>
        <v>0</v>
      </c>
      <c r="T100" s="149">
        <f>VLOOKUP($E100,'7. PGE_Efficacité'!$A$6:$BT$266,(MATCH('4.6 ACE MAX CAN '!T$4,'7. PGE_Efficacité'!$A$4:$BU$4,0)+31),0)</f>
        <v>0</v>
      </c>
      <c r="U100" s="149">
        <f>VLOOKUP($E100,'7. PGE_Efficacité'!$A$6:$BT$266,(MATCH('4.6 ACE MAX CAN '!U$4,'7. PGE_Efficacité'!$A$4:$BU$4,0)+31),0)</f>
        <v>0</v>
      </c>
      <c r="V100" s="149">
        <f>VLOOKUP($E100,'7. PGE_Efficacité'!$A$6:$BT$266,(MATCH('4.6 ACE MAX CAN '!V$4,'7. PGE_Efficacité'!$A$4:$BU$4,0)+31),0)</f>
        <v>0</v>
      </c>
      <c r="W100" s="149">
        <f>VLOOKUP($E100,'7. PGE_Efficacité'!$A$6:$BT$266,(MATCH('4.6 ACE MAX CAN '!W$4,'7. PGE_Efficacité'!$A$4:$BU$4,0)+31),0)</f>
        <v>0</v>
      </c>
      <c r="X100" s="149">
        <f>VLOOKUP($E100,'7. PGE_Efficacité'!$A$6:$BT$266,(MATCH('4.6 ACE MAX CAN '!X$4,'7. PGE_Efficacité'!$A$4:$BU$4,0)+31),0)</f>
        <v>0</v>
      </c>
      <c r="Y100" s="149">
        <f>VLOOKUP($E100,'7. PGE_Efficacité'!$A$6:$BT$266,(MATCH('4.6 ACE MAX CAN '!Y$4,'7. PGE_Efficacité'!$A$4:$BU$4,0)+31),0)</f>
        <v>0</v>
      </c>
      <c r="Z100" s="149">
        <f>VLOOKUP($E100,'7. PGE_Efficacité'!$A$6:$BT$266,(MATCH('4.6 ACE MAX CAN '!Z$4,'7. PGE_Efficacité'!$A$4:$BU$4,0)+31),0)</f>
        <v>0</v>
      </c>
      <c r="AA100" s="149">
        <f>VLOOKUP($E100,'7. PGE_Efficacité'!$A$6:$BT$266,(MATCH('4.6 ACE MAX CAN '!AA$4,'7. PGE_Efficacité'!$A$4:$BU$4,0)+31),0)</f>
        <v>0</v>
      </c>
      <c r="AB100" s="149">
        <f>VLOOKUP($E100,'7. PGE_Efficacité'!$A$6:$BT$266,(MATCH('4.6 ACE MAX CAN '!AB$4,'7. PGE_Efficacité'!$A$4:$BU$4,0)+31),0)</f>
        <v>0</v>
      </c>
      <c r="AC100" s="149">
        <f>VLOOKUP($E100,'7. PGE_Efficacité'!$A$6:$BT$266,(MATCH('4.6 ACE MAX CAN '!AC$4,'7. PGE_Efficacité'!$A$4:$BU$4,0)+31),0)</f>
        <v>0</v>
      </c>
      <c r="AD100" s="149">
        <f>VLOOKUP($E100,'7. PGE_Efficacité'!$A$6:$BT$266,(MATCH('4.6 ACE MAX CAN '!AD$4,'7. PGE_Efficacité'!$A$4:$BU$4,0)+31),0)</f>
        <v>0</v>
      </c>
      <c r="AE100" s="149">
        <f>VLOOKUP($E100,'7. PGE_Efficacité'!$A$6:$BT$266,(MATCH('4.6 ACE MAX CAN '!AE$4,'7. PGE_Efficacité'!$A$4:$BU$4,0)+31),0)</f>
        <v>0</v>
      </c>
      <c r="AF100" s="149">
        <f>VLOOKUP($E100,'7. PGE_Efficacité'!$A$6:$BT$266,(MATCH('4.6 ACE MAX CAN '!AF$4,'7. PGE_Efficacité'!$A$4:$BU$4,0)+31),0)</f>
        <v>0</v>
      </c>
      <c r="AG100" s="149">
        <f>VLOOKUP($E100,'7. PGE_Efficacité'!$A$6:$BT$266,(MATCH('4.6 ACE MAX CAN '!AG$4,'7. PGE_Efficacité'!$A$4:$BU$4,0)+31),0)</f>
        <v>0</v>
      </c>
      <c r="AH100" s="149">
        <f>VLOOKUP($E100,'7. PGE_Efficacité'!$A$6:$BT$266,(MATCH('4.6 ACE MAX CAN '!AH$4,'7. PGE_Efficacité'!$A$4:$BU$4,0)+31),0)</f>
        <v>0</v>
      </c>
      <c r="AI100" s="149">
        <f>VLOOKUP($E100,'7. PGE_Efficacité'!$A$6:$BT$266,(MATCH('4.6 ACE MAX CAN '!AI$4,'7. PGE_Efficacité'!$A$4:$BU$4,0)+31),0)</f>
        <v>0</v>
      </c>
      <c r="AJ100" s="149">
        <f>VLOOKUP($E100,'7. PGE_Efficacité'!$A$6:$BT$266,(MATCH('4.6 ACE MAX CAN '!AJ$4,'7. PGE_Efficacité'!$A$4:$BU$4,0)+31),0)</f>
        <v>0</v>
      </c>
      <c r="AK100" s="149">
        <f>VLOOKUP($E100,'7. PGE_Efficacité'!$A$6:$BT$266,(MATCH('4.6 ACE MAX CAN '!AK$4,'7. PGE_Efficacité'!$A$4:$BU$4,0)+31),0)</f>
        <v>0</v>
      </c>
      <c r="AL100" s="149">
        <f>VLOOKUP($E100,'7. PGE_Efficacité'!$A$6:$BT$266,(MATCH('4.6 ACE MAX CAN '!AL$4,'7. PGE_Efficacité'!$A$4:$BU$4,0)+31),0)</f>
        <v>0</v>
      </c>
      <c r="AM100" s="149">
        <f>VLOOKUP($E100,'7. PGE_Efficacité'!$A$6:$BT$266,(MATCH('4.6 ACE MAX CAN '!AM$4,'7. PGE_Efficacité'!$A$4:$BU$4,0)+31),0)</f>
        <v>0</v>
      </c>
      <c r="AN100" s="149">
        <f>VLOOKUP($E100,'7. PGE_Efficacité'!$A$6:$BT$266,(MATCH('4.6 ACE MAX CAN '!AN$4,'7. PGE_Efficacité'!$A$4:$BU$4,0)+31),0)</f>
        <v>0</v>
      </c>
    </row>
    <row r="101" spans="1:40" outlineLevel="2" x14ac:dyDescent="0.25">
      <c r="A101" t="s">
        <v>1524</v>
      </c>
      <c r="B101">
        <v>18</v>
      </c>
      <c r="C101" t="s">
        <v>1527</v>
      </c>
      <c r="D101" s="12" t="s">
        <v>18</v>
      </c>
      <c r="E101" s="12" t="s">
        <v>693</v>
      </c>
      <c r="F101" s="12" t="s">
        <v>1353</v>
      </c>
      <c r="G101" s="12" t="s">
        <v>1520</v>
      </c>
      <c r="H101" s="12" t="s">
        <v>414</v>
      </c>
      <c r="I101" s="148"/>
      <c r="J101" s="149">
        <f>VLOOKUP($E101,'7. PGE_Efficacité'!$A$6:$BT$266,(MATCH('4.6 ACE MAX CAN '!J$4,'7. PGE_Efficacité'!$A$4:$BU$4,0)+31),0)</f>
        <v>0</v>
      </c>
      <c r="K101" s="149">
        <f>VLOOKUP($E101,'7. PGE_Efficacité'!$A$6:$BT$266,(MATCH('4.6 ACE MAX CAN '!K$4,'7. PGE_Efficacité'!$A$4:$BU$4,0)+31),0)</f>
        <v>0</v>
      </c>
      <c r="L101" s="149">
        <f>VLOOKUP($E101,'7. PGE_Efficacité'!$A$6:$BT$266,(MATCH('4.6 ACE MAX CAN '!L$4,'7. PGE_Efficacité'!$A$4:$BU$4,0)+31),0)</f>
        <v>0</v>
      </c>
      <c r="M101" s="149">
        <f>VLOOKUP($E101,'7. PGE_Efficacité'!$A$6:$BT$266,(MATCH('4.6 ACE MAX CAN '!M$4,'7. PGE_Efficacité'!$A$4:$BU$4,0)+31),0)</f>
        <v>0</v>
      </c>
      <c r="N101" s="149">
        <f>VLOOKUP($E101,'7. PGE_Efficacité'!$A$6:$BT$266,(MATCH('4.6 ACE MAX CAN '!N$4,'7. PGE_Efficacité'!$A$4:$BU$4,0)+31),0)</f>
        <v>0</v>
      </c>
      <c r="O101" s="149" t="str">
        <f>VLOOKUP($D101,'7. PGE_Efficacité'!$A$6:$BT$268,47,0)</f>
        <v>++</v>
      </c>
      <c r="P101" s="149">
        <f>VLOOKUP($E101,'7. PGE_Efficacité'!$A$6:$BT$266,(MATCH('4.6 ACE MAX CAN '!P$4,'7. PGE_Efficacité'!$A$4:$BU$4,0)+31),0)</f>
        <v>0</v>
      </c>
      <c r="Q101" s="149">
        <f>VLOOKUP($E101,'7. PGE_Efficacité'!$A$6:$BT$266,(MATCH('4.6 ACE MAX CAN '!Q$4,'7. PGE_Efficacité'!$A$4:$BU$4,0)+31),0)</f>
        <v>0</v>
      </c>
      <c r="R101" s="149">
        <f>VLOOKUP($E101,'7. PGE_Efficacité'!$A$6:$BT$266,(MATCH('4.6 ACE MAX CAN '!R$4,'7. PGE_Efficacité'!$A$4:$BU$4,0)+31),0)</f>
        <v>0</v>
      </c>
      <c r="S101" s="149">
        <f>VLOOKUP($E101,'7. PGE_Efficacité'!$A$6:$BT$266,(MATCH('4.6 ACE MAX CAN '!S$4,'7. PGE_Efficacité'!$A$4:$BU$4,0)+31),0)</f>
        <v>0</v>
      </c>
      <c r="T101" s="149">
        <f>VLOOKUP($E101,'7. PGE_Efficacité'!$A$6:$BT$266,(MATCH('4.6 ACE MAX CAN '!T$4,'7. PGE_Efficacité'!$A$4:$BU$4,0)+31),0)</f>
        <v>0</v>
      </c>
      <c r="U101" s="149">
        <f>VLOOKUP($E101,'7. PGE_Efficacité'!$A$6:$BT$266,(MATCH('4.6 ACE MAX CAN '!U$4,'7. PGE_Efficacité'!$A$4:$BU$4,0)+31),0)</f>
        <v>0</v>
      </c>
      <c r="V101" s="149">
        <f>VLOOKUP($E101,'7. PGE_Efficacité'!$A$6:$BT$266,(MATCH('4.6 ACE MAX CAN '!V$4,'7. PGE_Efficacité'!$A$4:$BU$4,0)+31),0)</f>
        <v>0</v>
      </c>
      <c r="W101" s="149">
        <f>VLOOKUP($E101,'7. PGE_Efficacité'!$A$6:$BT$266,(MATCH('4.6 ACE MAX CAN '!W$4,'7. PGE_Efficacité'!$A$4:$BU$4,0)+31),0)</f>
        <v>0</v>
      </c>
      <c r="X101" s="149">
        <f>VLOOKUP($E101,'7. PGE_Efficacité'!$A$6:$BT$266,(MATCH('4.6 ACE MAX CAN '!X$4,'7. PGE_Efficacité'!$A$4:$BU$4,0)+31),0)</f>
        <v>0</v>
      </c>
      <c r="Y101" s="149">
        <f>VLOOKUP($E101,'7. PGE_Efficacité'!$A$6:$BT$266,(MATCH('4.6 ACE MAX CAN '!Y$4,'7. PGE_Efficacité'!$A$4:$BU$4,0)+31),0)</f>
        <v>0</v>
      </c>
      <c r="Z101" s="149">
        <f>VLOOKUP($E101,'7. PGE_Efficacité'!$A$6:$BT$266,(MATCH('4.6 ACE MAX CAN '!Z$4,'7. PGE_Efficacité'!$A$4:$BU$4,0)+31),0)</f>
        <v>0</v>
      </c>
      <c r="AA101" s="149">
        <f>VLOOKUP($E101,'7. PGE_Efficacité'!$A$6:$BT$266,(MATCH('4.6 ACE MAX CAN '!AA$4,'7. PGE_Efficacité'!$A$4:$BU$4,0)+31),0)</f>
        <v>0</v>
      </c>
      <c r="AB101" s="149">
        <f>VLOOKUP($E101,'7. PGE_Efficacité'!$A$6:$BT$266,(MATCH('4.6 ACE MAX CAN '!AB$4,'7. PGE_Efficacité'!$A$4:$BU$4,0)+31),0)</f>
        <v>0</v>
      </c>
      <c r="AC101" s="149">
        <f>VLOOKUP($E101,'7. PGE_Efficacité'!$A$6:$BT$266,(MATCH('4.6 ACE MAX CAN '!AC$4,'7. PGE_Efficacité'!$A$4:$BU$4,0)+31),0)</f>
        <v>0</v>
      </c>
      <c r="AD101" s="149">
        <f>VLOOKUP($E101,'7. PGE_Efficacité'!$A$6:$BT$266,(MATCH('4.6 ACE MAX CAN '!AD$4,'7. PGE_Efficacité'!$A$4:$BU$4,0)+31),0)</f>
        <v>0</v>
      </c>
      <c r="AE101" s="149">
        <f>VLOOKUP($E101,'7. PGE_Efficacité'!$A$6:$BT$266,(MATCH('4.6 ACE MAX CAN '!AE$4,'7. PGE_Efficacité'!$A$4:$BU$4,0)+31),0)</f>
        <v>0</v>
      </c>
      <c r="AF101" s="149">
        <f>VLOOKUP($E101,'7. PGE_Efficacité'!$A$6:$BT$266,(MATCH('4.6 ACE MAX CAN '!AF$4,'7. PGE_Efficacité'!$A$4:$BU$4,0)+31),0)</f>
        <v>0</v>
      </c>
      <c r="AG101" s="149">
        <f>VLOOKUP($E101,'7. PGE_Efficacité'!$A$6:$BT$266,(MATCH('4.6 ACE MAX CAN '!AG$4,'7. PGE_Efficacité'!$A$4:$BU$4,0)+31),0)</f>
        <v>0</v>
      </c>
      <c r="AH101" s="149">
        <f>VLOOKUP($E101,'7. PGE_Efficacité'!$A$6:$BT$266,(MATCH('4.6 ACE MAX CAN '!AH$4,'7. PGE_Efficacité'!$A$4:$BU$4,0)+31),0)</f>
        <v>0</v>
      </c>
      <c r="AI101" s="149">
        <f>VLOOKUP($E101,'7. PGE_Efficacité'!$A$6:$BT$266,(MATCH('4.6 ACE MAX CAN '!AI$4,'7. PGE_Efficacité'!$A$4:$BU$4,0)+31),0)</f>
        <v>0</v>
      </c>
      <c r="AJ101" s="149">
        <f>VLOOKUP($E101,'7. PGE_Efficacité'!$A$6:$BT$266,(MATCH('4.6 ACE MAX CAN '!AJ$4,'7. PGE_Efficacité'!$A$4:$BU$4,0)+31),0)</f>
        <v>0</v>
      </c>
      <c r="AK101" s="149">
        <f>VLOOKUP($E101,'7. PGE_Efficacité'!$A$6:$BT$266,(MATCH('4.6 ACE MAX CAN '!AK$4,'7. PGE_Efficacité'!$A$4:$BU$4,0)+31),0)</f>
        <v>0</v>
      </c>
      <c r="AL101" s="149">
        <f>VLOOKUP($E101,'7. PGE_Efficacité'!$A$6:$BT$266,(MATCH('4.6 ACE MAX CAN '!AL$4,'7. PGE_Efficacité'!$A$4:$BU$4,0)+31),0)</f>
        <v>0</v>
      </c>
      <c r="AM101" s="149">
        <f>VLOOKUP($E101,'7. PGE_Efficacité'!$A$6:$BT$266,(MATCH('4.6 ACE MAX CAN '!AM$4,'7. PGE_Efficacité'!$A$4:$BU$4,0)+31),0)</f>
        <v>0</v>
      </c>
      <c r="AN101" s="149">
        <f>VLOOKUP($E101,'7. PGE_Efficacité'!$A$6:$BT$266,(MATCH('4.6 ACE MAX CAN '!AN$4,'7. PGE_Efficacité'!$A$4:$BU$4,0)+31),0)</f>
        <v>0</v>
      </c>
    </row>
    <row r="102" spans="1:40" outlineLevel="2" x14ac:dyDescent="0.25">
      <c r="A102" t="s">
        <v>1524</v>
      </c>
      <c r="B102">
        <v>18</v>
      </c>
      <c r="C102" t="s">
        <v>410</v>
      </c>
      <c r="D102" s="12" t="s">
        <v>18</v>
      </c>
      <c r="E102" s="12" t="s">
        <v>694</v>
      </c>
      <c r="F102" s="12" t="s">
        <v>1354</v>
      </c>
      <c r="G102" s="12" t="s">
        <v>1520</v>
      </c>
      <c r="H102" s="12" t="s">
        <v>414</v>
      </c>
      <c r="I102" s="148"/>
      <c r="J102" s="149">
        <f>VLOOKUP($E102,'7. PGE_Efficacité'!$A$6:$BT$266,(MATCH('4.6 ACE MAX CAN '!J$4,'7. PGE_Efficacité'!$A$4:$BU$4,0)+31),0)</f>
        <v>0</v>
      </c>
      <c r="K102" s="149">
        <f>VLOOKUP($E102,'7. PGE_Efficacité'!$A$6:$BT$266,(MATCH('4.6 ACE MAX CAN '!K$4,'7. PGE_Efficacité'!$A$4:$BU$4,0)+31),0)</f>
        <v>0</v>
      </c>
      <c r="L102" s="149">
        <f>VLOOKUP($E102,'7. PGE_Efficacité'!$A$6:$BT$266,(MATCH('4.6 ACE MAX CAN '!L$4,'7. PGE_Efficacité'!$A$4:$BU$4,0)+31),0)</f>
        <v>0</v>
      </c>
      <c r="M102" s="149">
        <f>VLOOKUP($E102,'7. PGE_Efficacité'!$A$6:$BT$266,(MATCH('4.6 ACE MAX CAN '!M$4,'7. PGE_Efficacité'!$A$4:$BU$4,0)+31),0)</f>
        <v>0</v>
      </c>
      <c r="N102" s="149">
        <f>VLOOKUP($E102,'7. PGE_Efficacité'!$A$6:$BT$266,(MATCH('4.6 ACE MAX CAN '!N$4,'7. PGE_Efficacité'!$A$4:$BU$4,0)+31),0)</f>
        <v>0</v>
      </c>
      <c r="O102" s="149" t="str">
        <f>VLOOKUP($D102,'7. PGE_Efficacité'!$A$6:$BT$268,47,0)</f>
        <v>++</v>
      </c>
      <c r="P102" s="149">
        <f>VLOOKUP($E102,'7. PGE_Efficacité'!$A$6:$BT$266,(MATCH('4.6 ACE MAX CAN '!P$4,'7. PGE_Efficacité'!$A$4:$BU$4,0)+31),0)</f>
        <v>0</v>
      </c>
      <c r="Q102" s="149">
        <f>VLOOKUP($E102,'7. PGE_Efficacité'!$A$6:$BT$266,(MATCH('4.6 ACE MAX CAN '!Q$4,'7. PGE_Efficacité'!$A$4:$BU$4,0)+31),0)</f>
        <v>0</v>
      </c>
      <c r="R102" s="149">
        <f>VLOOKUP($E102,'7. PGE_Efficacité'!$A$6:$BT$266,(MATCH('4.6 ACE MAX CAN '!R$4,'7. PGE_Efficacité'!$A$4:$BU$4,0)+31),0)</f>
        <v>0</v>
      </c>
      <c r="S102" s="149">
        <f>VLOOKUP($E102,'7. PGE_Efficacité'!$A$6:$BT$266,(MATCH('4.6 ACE MAX CAN '!S$4,'7. PGE_Efficacité'!$A$4:$BU$4,0)+31),0)</f>
        <v>0</v>
      </c>
      <c r="T102" s="149">
        <f>VLOOKUP($E102,'7. PGE_Efficacité'!$A$6:$BT$266,(MATCH('4.6 ACE MAX CAN '!T$4,'7. PGE_Efficacité'!$A$4:$BU$4,0)+31),0)</f>
        <v>0</v>
      </c>
      <c r="U102" s="149">
        <f>VLOOKUP($E102,'7. PGE_Efficacité'!$A$6:$BT$266,(MATCH('4.6 ACE MAX CAN '!U$4,'7. PGE_Efficacité'!$A$4:$BU$4,0)+31),0)</f>
        <v>0</v>
      </c>
      <c r="V102" s="149">
        <f>VLOOKUP($E102,'7. PGE_Efficacité'!$A$6:$BT$266,(MATCH('4.6 ACE MAX CAN '!V$4,'7. PGE_Efficacité'!$A$4:$BU$4,0)+31),0)</f>
        <v>0</v>
      </c>
      <c r="W102" s="149">
        <f>VLOOKUP($E102,'7. PGE_Efficacité'!$A$6:$BT$266,(MATCH('4.6 ACE MAX CAN '!W$4,'7. PGE_Efficacité'!$A$4:$BU$4,0)+31),0)</f>
        <v>0</v>
      </c>
      <c r="X102" s="149">
        <f>VLOOKUP($E102,'7. PGE_Efficacité'!$A$6:$BT$266,(MATCH('4.6 ACE MAX CAN '!X$4,'7. PGE_Efficacité'!$A$4:$BU$4,0)+31),0)</f>
        <v>0</v>
      </c>
      <c r="Y102" s="149">
        <f>VLOOKUP($E102,'7. PGE_Efficacité'!$A$6:$BT$266,(MATCH('4.6 ACE MAX CAN '!Y$4,'7. PGE_Efficacité'!$A$4:$BU$4,0)+31),0)</f>
        <v>0</v>
      </c>
      <c r="Z102" s="149">
        <f>VLOOKUP($E102,'7. PGE_Efficacité'!$A$6:$BT$266,(MATCH('4.6 ACE MAX CAN '!Z$4,'7. PGE_Efficacité'!$A$4:$BU$4,0)+31),0)</f>
        <v>0</v>
      </c>
      <c r="AA102" s="149">
        <f>VLOOKUP($E102,'7. PGE_Efficacité'!$A$6:$BT$266,(MATCH('4.6 ACE MAX CAN '!AA$4,'7. PGE_Efficacité'!$A$4:$BU$4,0)+31),0)</f>
        <v>0</v>
      </c>
      <c r="AB102" s="149">
        <f>VLOOKUP($E102,'7. PGE_Efficacité'!$A$6:$BT$266,(MATCH('4.6 ACE MAX CAN '!AB$4,'7. PGE_Efficacité'!$A$4:$BU$4,0)+31),0)</f>
        <v>0</v>
      </c>
      <c r="AC102" s="149">
        <f>VLOOKUP($E102,'7. PGE_Efficacité'!$A$6:$BT$266,(MATCH('4.6 ACE MAX CAN '!AC$4,'7. PGE_Efficacité'!$A$4:$BU$4,0)+31),0)</f>
        <v>0</v>
      </c>
      <c r="AD102" s="149">
        <f>VLOOKUP($E102,'7. PGE_Efficacité'!$A$6:$BT$266,(MATCH('4.6 ACE MAX CAN '!AD$4,'7. PGE_Efficacité'!$A$4:$BU$4,0)+31),0)</f>
        <v>0</v>
      </c>
      <c r="AE102" s="149">
        <f>VLOOKUP($E102,'7. PGE_Efficacité'!$A$6:$BT$266,(MATCH('4.6 ACE MAX CAN '!AE$4,'7. PGE_Efficacité'!$A$4:$BU$4,0)+31),0)</f>
        <v>0</v>
      </c>
      <c r="AF102" s="149">
        <f>VLOOKUP($E102,'7. PGE_Efficacité'!$A$6:$BT$266,(MATCH('4.6 ACE MAX CAN '!AF$4,'7. PGE_Efficacité'!$A$4:$BU$4,0)+31),0)</f>
        <v>0</v>
      </c>
      <c r="AG102" s="149">
        <f>VLOOKUP($E102,'7. PGE_Efficacité'!$A$6:$BT$266,(MATCH('4.6 ACE MAX CAN '!AG$4,'7. PGE_Efficacité'!$A$4:$BU$4,0)+31),0)</f>
        <v>0</v>
      </c>
      <c r="AH102" s="149">
        <f>VLOOKUP($E102,'7. PGE_Efficacité'!$A$6:$BT$266,(MATCH('4.6 ACE MAX CAN '!AH$4,'7. PGE_Efficacité'!$A$4:$BU$4,0)+31),0)</f>
        <v>0</v>
      </c>
      <c r="AI102" s="149">
        <f>VLOOKUP($E102,'7. PGE_Efficacité'!$A$6:$BT$266,(MATCH('4.6 ACE MAX CAN '!AI$4,'7. PGE_Efficacité'!$A$4:$BU$4,0)+31),0)</f>
        <v>0</v>
      </c>
      <c r="AJ102" s="149">
        <f>VLOOKUP($E102,'7. PGE_Efficacité'!$A$6:$BT$266,(MATCH('4.6 ACE MAX CAN '!AJ$4,'7. PGE_Efficacité'!$A$4:$BU$4,0)+31),0)</f>
        <v>0</v>
      </c>
      <c r="AK102" s="149">
        <f>VLOOKUP($E102,'7. PGE_Efficacité'!$A$6:$BT$266,(MATCH('4.6 ACE MAX CAN '!AK$4,'7. PGE_Efficacité'!$A$4:$BU$4,0)+31),0)</f>
        <v>0</v>
      </c>
      <c r="AL102" s="149">
        <f>VLOOKUP($E102,'7. PGE_Efficacité'!$A$6:$BT$266,(MATCH('4.6 ACE MAX CAN '!AL$4,'7. PGE_Efficacité'!$A$4:$BU$4,0)+31),0)</f>
        <v>0</v>
      </c>
      <c r="AM102" s="149">
        <f>VLOOKUP($E102,'7. PGE_Efficacité'!$A$6:$BT$266,(MATCH('4.6 ACE MAX CAN '!AM$4,'7. PGE_Efficacité'!$A$4:$BU$4,0)+31),0)</f>
        <v>0</v>
      </c>
      <c r="AN102" s="149">
        <f>VLOOKUP($E102,'7. PGE_Efficacité'!$A$6:$BT$266,(MATCH('4.6 ACE MAX CAN '!AN$4,'7. PGE_Efficacité'!$A$4:$BU$4,0)+31),0)</f>
        <v>0</v>
      </c>
    </row>
    <row r="103" spans="1:40" outlineLevel="2" x14ac:dyDescent="0.25">
      <c r="A103" t="s">
        <v>1524</v>
      </c>
      <c r="B103">
        <v>18</v>
      </c>
      <c r="C103" t="s">
        <v>1528</v>
      </c>
      <c r="D103" s="12" t="s">
        <v>18</v>
      </c>
      <c r="E103" s="12" t="s">
        <v>695</v>
      </c>
      <c r="F103" s="12" t="s">
        <v>1355</v>
      </c>
      <c r="G103" s="12" t="s">
        <v>1520</v>
      </c>
      <c r="H103" s="12" t="s">
        <v>414</v>
      </c>
      <c r="I103" s="148"/>
      <c r="J103" s="149">
        <f>VLOOKUP($E103,'7. PGE_Efficacité'!$A$6:$BT$266,(MATCH('4.6 ACE MAX CAN '!J$4,'7. PGE_Efficacité'!$A$4:$BU$4,0)+31),0)</f>
        <v>0</v>
      </c>
      <c r="K103" s="149">
        <f>VLOOKUP($E103,'7. PGE_Efficacité'!$A$6:$BT$266,(MATCH('4.6 ACE MAX CAN '!K$4,'7. PGE_Efficacité'!$A$4:$BU$4,0)+31),0)</f>
        <v>0</v>
      </c>
      <c r="L103" s="149">
        <f>VLOOKUP($E103,'7. PGE_Efficacité'!$A$6:$BT$266,(MATCH('4.6 ACE MAX CAN '!L$4,'7. PGE_Efficacité'!$A$4:$BU$4,0)+31),0)</f>
        <v>0</v>
      </c>
      <c r="M103" s="149">
        <f>VLOOKUP($E103,'7. PGE_Efficacité'!$A$6:$BT$266,(MATCH('4.6 ACE MAX CAN '!M$4,'7. PGE_Efficacité'!$A$4:$BU$4,0)+31),0)</f>
        <v>0</v>
      </c>
      <c r="N103" s="149">
        <f>VLOOKUP($E103,'7. PGE_Efficacité'!$A$6:$BT$266,(MATCH('4.6 ACE MAX CAN '!N$4,'7. PGE_Efficacité'!$A$4:$BU$4,0)+31),0)</f>
        <v>0</v>
      </c>
      <c r="O103" s="149" t="str">
        <f>VLOOKUP($D103,'7. PGE_Efficacité'!$A$6:$BT$268,47,0)</f>
        <v>++</v>
      </c>
      <c r="P103" s="149">
        <f>VLOOKUP($E103,'7. PGE_Efficacité'!$A$6:$BT$266,(MATCH('4.6 ACE MAX CAN '!P$4,'7. PGE_Efficacité'!$A$4:$BU$4,0)+31),0)</f>
        <v>0</v>
      </c>
      <c r="Q103" s="149">
        <f>VLOOKUP($E103,'7. PGE_Efficacité'!$A$6:$BT$266,(MATCH('4.6 ACE MAX CAN '!Q$4,'7. PGE_Efficacité'!$A$4:$BU$4,0)+31),0)</f>
        <v>0</v>
      </c>
      <c r="R103" s="149">
        <f>VLOOKUP($E103,'7. PGE_Efficacité'!$A$6:$BT$266,(MATCH('4.6 ACE MAX CAN '!R$4,'7. PGE_Efficacité'!$A$4:$BU$4,0)+31),0)</f>
        <v>0</v>
      </c>
      <c r="S103" s="149">
        <f>VLOOKUP($E103,'7. PGE_Efficacité'!$A$6:$BT$266,(MATCH('4.6 ACE MAX CAN '!S$4,'7. PGE_Efficacité'!$A$4:$BU$4,0)+31),0)</f>
        <v>0</v>
      </c>
      <c r="T103" s="149">
        <f>VLOOKUP($E103,'7. PGE_Efficacité'!$A$6:$BT$266,(MATCH('4.6 ACE MAX CAN '!T$4,'7. PGE_Efficacité'!$A$4:$BU$4,0)+31),0)</f>
        <v>0</v>
      </c>
      <c r="U103" s="149">
        <f>VLOOKUP($E103,'7. PGE_Efficacité'!$A$6:$BT$266,(MATCH('4.6 ACE MAX CAN '!U$4,'7. PGE_Efficacité'!$A$4:$BU$4,0)+31),0)</f>
        <v>0</v>
      </c>
      <c r="V103" s="149">
        <f>VLOOKUP($E103,'7. PGE_Efficacité'!$A$6:$BT$266,(MATCH('4.6 ACE MAX CAN '!V$4,'7. PGE_Efficacité'!$A$4:$BU$4,0)+31),0)</f>
        <v>0</v>
      </c>
      <c r="W103" s="149">
        <f>VLOOKUP($E103,'7. PGE_Efficacité'!$A$6:$BT$266,(MATCH('4.6 ACE MAX CAN '!W$4,'7. PGE_Efficacité'!$A$4:$BU$4,0)+31),0)</f>
        <v>0</v>
      </c>
      <c r="X103" s="149">
        <f>VLOOKUP($E103,'7. PGE_Efficacité'!$A$6:$BT$266,(MATCH('4.6 ACE MAX CAN '!X$4,'7. PGE_Efficacité'!$A$4:$BU$4,0)+31),0)</f>
        <v>0</v>
      </c>
      <c r="Y103" s="149">
        <f>VLOOKUP($E103,'7. PGE_Efficacité'!$A$6:$BT$266,(MATCH('4.6 ACE MAX CAN '!Y$4,'7. PGE_Efficacité'!$A$4:$BU$4,0)+31),0)</f>
        <v>0</v>
      </c>
      <c r="Z103" s="149">
        <f>VLOOKUP($E103,'7. PGE_Efficacité'!$A$6:$BT$266,(MATCH('4.6 ACE MAX CAN '!Z$4,'7. PGE_Efficacité'!$A$4:$BU$4,0)+31),0)</f>
        <v>0</v>
      </c>
      <c r="AA103" s="149">
        <f>VLOOKUP($E103,'7. PGE_Efficacité'!$A$6:$BT$266,(MATCH('4.6 ACE MAX CAN '!AA$4,'7. PGE_Efficacité'!$A$4:$BU$4,0)+31),0)</f>
        <v>0</v>
      </c>
      <c r="AB103" s="149">
        <f>VLOOKUP($E103,'7. PGE_Efficacité'!$A$6:$BT$266,(MATCH('4.6 ACE MAX CAN '!AB$4,'7. PGE_Efficacité'!$A$4:$BU$4,0)+31),0)</f>
        <v>0</v>
      </c>
      <c r="AC103" s="149">
        <f>VLOOKUP($E103,'7. PGE_Efficacité'!$A$6:$BT$266,(MATCH('4.6 ACE MAX CAN '!AC$4,'7. PGE_Efficacité'!$A$4:$BU$4,0)+31),0)</f>
        <v>0</v>
      </c>
      <c r="AD103" s="149">
        <f>VLOOKUP($E103,'7. PGE_Efficacité'!$A$6:$BT$266,(MATCH('4.6 ACE MAX CAN '!AD$4,'7. PGE_Efficacité'!$A$4:$BU$4,0)+31),0)</f>
        <v>0</v>
      </c>
      <c r="AE103" s="149">
        <f>VLOOKUP($E103,'7. PGE_Efficacité'!$A$6:$BT$266,(MATCH('4.6 ACE MAX CAN '!AE$4,'7. PGE_Efficacité'!$A$4:$BU$4,0)+31),0)</f>
        <v>0</v>
      </c>
      <c r="AF103" s="149">
        <f>VLOOKUP($E103,'7. PGE_Efficacité'!$A$6:$BT$266,(MATCH('4.6 ACE MAX CAN '!AF$4,'7. PGE_Efficacité'!$A$4:$BU$4,0)+31),0)</f>
        <v>0</v>
      </c>
      <c r="AG103" s="149">
        <f>VLOOKUP($E103,'7. PGE_Efficacité'!$A$6:$BT$266,(MATCH('4.6 ACE MAX CAN '!AG$4,'7. PGE_Efficacité'!$A$4:$BU$4,0)+31),0)</f>
        <v>0</v>
      </c>
      <c r="AH103" s="149">
        <f>VLOOKUP($E103,'7. PGE_Efficacité'!$A$6:$BT$266,(MATCH('4.6 ACE MAX CAN '!AH$4,'7. PGE_Efficacité'!$A$4:$BU$4,0)+31),0)</f>
        <v>0</v>
      </c>
      <c r="AI103" s="149">
        <f>VLOOKUP($E103,'7. PGE_Efficacité'!$A$6:$BT$266,(MATCH('4.6 ACE MAX CAN '!AI$4,'7. PGE_Efficacité'!$A$4:$BU$4,0)+31),0)</f>
        <v>0</v>
      </c>
      <c r="AJ103" s="149">
        <f>VLOOKUP($E103,'7. PGE_Efficacité'!$A$6:$BT$266,(MATCH('4.6 ACE MAX CAN '!AJ$4,'7. PGE_Efficacité'!$A$4:$BU$4,0)+31),0)</f>
        <v>0</v>
      </c>
      <c r="AK103" s="149">
        <f>VLOOKUP($E103,'7. PGE_Efficacité'!$A$6:$BT$266,(MATCH('4.6 ACE MAX CAN '!AK$4,'7. PGE_Efficacité'!$A$4:$BU$4,0)+31),0)</f>
        <v>0</v>
      </c>
      <c r="AL103" s="149">
        <f>VLOOKUP($E103,'7. PGE_Efficacité'!$A$6:$BT$266,(MATCH('4.6 ACE MAX CAN '!AL$4,'7. PGE_Efficacité'!$A$4:$BU$4,0)+31),0)</f>
        <v>0</v>
      </c>
      <c r="AM103" s="149">
        <f>VLOOKUP($E103,'7. PGE_Efficacité'!$A$6:$BT$266,(MATCH('4.6 ACE MAX CAN '!AM$4,'7. PGE_Efficacité'!$A$4:$BU$4,0)+31),0)</f>
        <v>0</v>
      </c>
      <c r="AN103" s="149">
        <f>VLOOKUP($E103,'7. PGE_Efficacité'!$A$6:$BT$266,(MATCH('4.6 ACE MAX CAN '!AN$4,'7. PGE_Efficacité'!$A$4:$BU$4,0)+31),0)</f>
        <v>0</v>
      </c>
    </row>
    <row r="104" spans="1:40" outlineLevel="2" x14ac:dyDescent="0.25">
      <c r="A104" t="s">
        <v>1524</v>
      </c>
      <c r="B104">
        <v>18</v>
      </c>
      <c r="C104" t="s">
        <v>1529</v>
      </c>
      <c r="D104" s="12" t="s">
        <v>18</v>
      </c>
      <c r="E104" s="12" t="s">
        <v>696</v>
      </c>
      <c r="F104" s="12" t="s">
        <v>1356</v>
      </c>
      <c r="G104" s="12" t="s">
        <v>1520</v>
      </c>
      <c r="H104" s="12" t="s">
        <v>414</v>
      </c>
      <c r="I104" s="148"/>
      <c r="J104" s="149">
        <f>VLOOKUP($E104,'7. PGE_Efficacité'!$A$6:$BT$266,(MATCH('4.6 ACE MAX CAN '!J$4,'7. PGE_Efficacité'!$A$4:$BU$4,0)+31),0)</f>
        <v>0</v>
      </c>
      <c r="K104" s="149">
        <f>VLOOKUP($E104,'7. PGE_Efficacité'!$A$6:$BT$266,(MATCH('4.6 ACE MAX CAN '!K$4,'7. PGE_Efficacité'!$A$4:$BU$4,0)+31),0)</f>
        <v>0</v>
      </c>
      <c r="L104" s="149">
        <f>VLOOKUP($E104,'7. PGE_Efficacité'!$A$6:$BT$266,(MATCH('4.6 ACE MAX CAN '!L$4,'7. PGE_Efficacité'!$A$4:$BU$4,0)+31),0)</f>
        <v>0</v>
      </c>
      <c r="M104" s="149">
        <f>VLOOKUP($E104,'7. PGE_Efficacité'!$A$6:$BT$266,(MATCH('4.6 ACE MAX CAN '!M$4,'7. PGE_Efficacité'!$A$4:$BU$4,0)+31),0)</f>
        <v>0</v>
      </c>
      <c r="N104" s="149">
        <f>VLOOKUP($E104,'7. PGE_Efficacité'!$A$6:$BT$266,(MATCH('4.6 ACE MAX CAN '!N$4,'7. PGE_Efficacité'!$A$4:$BU$4,0)+31),0)</f>
        <v>0</v>
      </c>
      <c r="O104" s="149" t="str">
        <f>VLOOKUP($D104,'7. PGE_Efficacité'!$A$6:$BT$268,47,0)</f>
        <v>++</v>
      </c>
      <c r="P104" s="149">
        <f>VLOOKUP($E104,'7. PGE_Efficacité'!$A$6:$BT$266,(MATCH('4.6 ACE MAX CAN '!P$4,'7. PGE_Efficacité'!$A$4:$BU$4,0)+31),0)</f>
        <v>0</v>
      </c>
      <c r="Q104" s="149">
        <f>VLOOKUP($E104,'7. PGE_Efficacité'!$A$6:$BT$266,(MATCH('4.6 ACE MAX CAN '!Q$4,'7. PGE_Efficacité'!$A$4:$BU$4,0)+31),0)</f>
        <v>0</v>
      </c>
      <c r="R104" s="149">
        <f>VLOOKUP($E104,'7. PGE_Efficacité'!$A$6:$BT$266,(MATCH('4.6 ACE MAX CAN '!R$4,'7. PGE_Efficacité'!$A$4:$BU$4,0)+31),0)</f>
        <v>0</v>
      </c>
      <c r="S104" s="149">
        <f>VLOOKUP($E104,'7. PGE_Efficacité'!$A$6:$BT$266,(MATCH('4.6 ACE MAX CAN '!S$4,'7. PGE_Efficacité'!$A$4:$BU$4,0)+31),0)</f>
        <v>0</v>
      </c>
      <c r="T104" s="149">
        <f>VLOOKUP($E104,'7. PGE_Efficacité'!$A$6:$BT$266,(MATCH('4.6 ACE MAX CAN '!T$4,'7. PGE_Efficacité'!$A$4:$BU$4,0)+31),0)</f>
        <v>0</v>
      </c>
      <c r="U104" s="149">
        <f>VLOOKUP($E104,'7. PGE_Efficacité'!$A$6:$BT$266,(MATCH('4.6 ACE MAX CAN '!U$4,'7. PGE_Efficacité'!$A$4:$BU$4,0)+31),0)</f>
        <v>0</v>
      </c>
      <c r="V104" s="149">
        <f>VLOOKUP($E104,'7. PGE_Efficacité'!$A$6:$BT$266,(MATCH('4.6 ACE MAX CAN '!V$4,'7. PGE_Efficacité'!$A$4:$BU$4,0)+31),0)</f>
        <v>0</v>
      </c>
      <c r="W104" s="149">
        <f>VLOOKUP($E104,'7. PGE_Efficacité'!$A$6:$BT$266,(MATCH('4.6 ACE MAX CAN '!W$4,'7. PGE_Efficacité'!$A$4:$BU$4,0)+31),0)</f>
        <v>0</v>
      </c>
      <c r="X104" s="149">
        <f>VLOOKUP($E104,'7. PGE_Efficacité'!$A$6:$BT$266,(MATCH('4.6 ACE MAX CAN '!X$4,'7. PGE_Efficacité'!$A$4:$BU$4,0)+31),0)</f>
        <v>0</v>
      </c>
      <c r="Y104" s="149">
        <f>VLOOKUP($E104,'7. PGE_Efficacité'!$A$6:$BT$266,(MATCH('4.6 ACE MAX CAN '!Y$4,'7. PGE_Efficacité'!$A$4:$BU$4,0)+31),0)</f>
        <v>0</v>
      </c>
      <c r="Z104" s="149">
        <f>VLOOKUP($E104,'7. PGE_Efficacité'!$A$6:$BT$266,(MATCH('4.6 ACE MAX CAN '!Z$4,'7. PGE_Efficacité'!$A$4:$BU$4,0)+31),0)</f>
        <v>0</v>
      </c>
      <c r="AA104" s="149">
        <f>VLOOKUP($E104,'7. PGE_Efficacité'!$A$6:$BT$266,(MATCH('4.6 ACE MAX CAN '!AA$4,'7. PGE_Efficacité'!$A$4:$BU$4,0)+31),0)</f>
        <v>0</v>
      </c>
      <c r="AB104" s="149">
        <f>VLOOKUP($E104,'7. PGE_Efficacité'!$A$6:$BT$266,(MATCH('4.6 ACE MAX CAN '!AB$4,'7. PGE_Efficacité'!$A$4:$BU$4,0)+31),0)</f>
        <v>0</v>
      </c>
      <c r="AC104" s="149">
        <f>VLOOKUP($E104,'7. PGE_Efficacité'!$A$6:$BT$266,(MATCH('4.6 ACE MAX CAN '!AC$4,'7. PGE_Efficacité'!$A$4:$BU$4,0)+31),0)</f>
        <v>0</v>
      </c>
      <c r="AD104" s="149">
        <f>VLOOKUP($E104,'7. PGE_Efficacité'!$A$6:$BT$266,(MATCH('4.6 ACE MAX CAN '!AD$4,'7. PGE_Efficacité'!$A$4:$BU$4,0)+31),0)</f>
        <v>0</v>
      </c>
      <c r="AE104" s="149">
        <f>VLOOKUP($E104,'7. PGE_Efficacité'!$A$6:$BT$266,(MATCH('4.6 ACE MAX CAN '!AE$4,'7. PGE_Efficacité'!$A$4:$BU$4,0)+31),0)</f>
        <v>0</v>
      </c>
      <c r="AF104" s="149">
        <f>VLOOKUP($E104,'7. PGE_Efficacité'!$A$6:$BT$266,(MATCH('4.6 ACE MAX CAN '!AF$4,'7. PGE_Efficacité'!$A$4:$BU$4,0)+31),0)</f>
        <v>0</v>
      </c>
      <c r="AG104" s="149">
        <f>VLOOKUP($E104,'7. PGE_Efficacité'!$A$6:$BT$266,(MATCH('4.6 ACE MAX CAN '!AG$4,'7. PGE_Efficacité'!$A$4:$BU$4,0)+31),0)</f>
        <v>0</v>
      </c>
      <c r="AH104" s="149">
        <f>VLOOKUP($E104,'7. PGE_Efficacité'!$A$6:$BT$266,(MATCH('4.6 ACE MAX CAN '!AH$4,'7. PGE_Efficacité'!$A$4:$BU$4,0)+31),0)</f>
        <v>0</v>
      </c>
      <c r="AI104" s="149">
        <f>VLOOKUP($E104,'7. PGE_Efficacité'!$A$6:$BT$266,(MATCH('4.6 ACE MAX CAN '!AI$4,'7. PGE_Efficacité'!$A$4:$BU$4,0)+31),0)</f>
        <v>0</v>
      </c>
      <c r="AJ104" s="149">
        <f>VLOOKUP($E104,'7. PGE_Efficacité'!$A$6:$BT$266,(MATCH('4.6 ACE MAX CAN '!AJ$4,'7. PGE_Efficacité'!$A$4:$BU$4,0)+31),0)</f>
        <v>0</v>
      </c>
      <c r="AK104" s="149">
        <f>VLOOKUP($E104,'7. PGE_Efficacité'!$A$6:$BT$266,(MATCH('4.6 ACE MAX CAN '!AK$4,'7. PGE_Efficacité'!$A$4:$BU$4,0)+31),0)</f>
        <v>0</v>
      </c>
      <c r="AL104" s="149">
        <f>VLOOKUP($E104,'7. PGE_Efficacité'!$A$6:$BT$266,(MATCH('4.6 ACE MAX CAN '!AL$4,'7. PGE_Efficacité'!$A$4:$BU$4,0)+31),0)</f>
        <v>0</v>
      </c>
      <c r="AM104" s="149">
        <f>VLOOKUP($E104,'7. PGE_Efficacité'!$A$6:$BT$266,(MATCH('4.6 ACE MAX CAN '!AM$4,'7. PGE_Efficacité'!$A$4:$BU$4,0)+31),0)</f>
        <v>0</v>
      </c>
      <c r="AN104" s="149">
        <f>VLOOKUP($E104,'7. PGE_Efficacité'!$A$6:$BT$266,(MATCH('4.6 ACE MAX CAN '!AN$4,'7. PGE_Efficacité'!$A$4:$BU$4,0)+31),0)</f>
        <v>0</v>
      </c>
    </row>
    <row r="105" spans="1:40" outlineLevel="2" x14ac:dyDescent="0.25">
      <c r="A105" t="s">
        <v>1524</v>
      </c>
      <c r="B105">
        <v>18</v>
      </c>
      <c r="C105" t="s">
        <v>1530</v>
      </c>
      <c r="D105" s="12" t="s">
        <v>18</v>
      </c>
      <c r="E105" s="12" t="s">
        <v>697</v>
      </c>
      <c r="F105" s="12" t="s">
        <v>1357</v>
      </c>
      <c r="G105" s="12" t="s">
        <v>1520</v>
      </c>
      <c r="H105" s="12" t="s">
        <v>414</v>
      </c>
      <c r="I105" s="148"/>
      <c r="J105" s="149">
        <f>VLOOKUP($E105,'7. PGE_Efficacité'!$A$6:$BT$266,(MATCH('4.6 ACE MAX CAN '!J$4,'7. PGE_Efficacité'!$A$4:$BU$4,0)+31),0)</f>
        <v>0</v>
      </c>
      <c r="K105" s="149">
        <f>VLOOKUP($E105,'7. PGE_Efficacité'!$A$6:$BT$266,(MATCH('4.6 ACE MAX CAN '!K$4,'7. PGE_Efficacité'!$A$4:$BU$4,0)+31),0)</f>
        <v>0</v>
      </c>
      <c r="L105" s="149">
        <f>VLOOKUP($E105,'7. PGE_Efficacité'!$A$6:$BT$266,(MATCH('4.6 ACE MAX CAN '!L$4,'7. PGE_Efficacité'!$A$4:$BU$4,0)+31),0)</f>
        <v>0</v>
      </c>
      <c r="M105" s="149">
        <f>VLOOKUP($E105,'7. PGE_Efficacité'!$A$6:$BT$266,(MATCH('4.6 ACE MAX CAN '!M$4,'7. PGE_Efficacité'!$A$4:$BU$4,0)+31),0)</f>
        <v>0</v>
      </c>
      <c r="N105" s="149">
        <f>VLOOKUP($E105,'7. PGE_Efficacité'!$A$6:$BT$266,(MATCH('4.6 ACE MAX CAN '!N$4,'7. PGE_Efficacité'!$A$4:$BU$4,0)+31),0)</f>
        <v>0</v>
      </c>
      <c r="O105" s="149" t="str">
        <f>VLOOKUP($D105,'7. PGE_Efficacité'!$A$6:$BT$268,47,0)</f>
        <v>++</v>
      </c>
      <c r="P105" s="149">
        <f>VLOOKUP($E105,'7. PGE_Efficacité'!$A$6:$BT$266,(MATCH('4.6 ACE MAX CAN '!P$4,'7. PGE_Efficacité'!$A$4:$BU$4,0)+31),0)</f>
        <v>0</v>
      </c>
      <c r="Q105" s="149">
        <f>VLOOKUP($E105,'7. PGE_Efficacité'!$A$6:$BT$266,(MATCH('4.6 ACE MAX CAN '!Q$4,'7. PGE_Efficacité'!$A$4:$BU$4,0)+31),0)</f>
        <v>0</v>
      </c>
      <c r="R105" s="149">
        <f>VLOOKUP($E105,'7. PGE_Efficacité'!$A$6:$BT$266,(MATCH('4.6 ACE MAX CAN '!R$4,'7. PGE_Efficacité'!$A$4:$BU$4,0)+31),0)</f>
        <v>0</v>
      </c>
      <c r="S105" s="149">
        <f>VLOOKUP($E105,'7. PGE_Efficacité'!$A$6:$BT$266,(MATCH('4.6 ACE MAX CAN '!S$4,'7. PGE_Efficacité'!$A$4:$BU$4,0)+31),0)</f>
        <v>0</v>
      </c>
      <c r="T105" s="149">
        <f>VLOOKUP($E105,'7. PGE_Efficacité'!$A$6:$BT$266,(MATCH('4.6 ACE MAX CAN '!T$4,'7. PGE_Efficacité'!$A$4:$BU$4,0)+31),0)</f>
        <v>0</v>
      </c>
      <c r="U105" s="149">
        <f>VLOOKUP($E105,'7. PGE_Efficacité'!$A$6:$BT$266,(MATCH('4.6 ACE MAX CAN '!U$4,'7. PGE_Efficacité'!$A$4:$BU$4,0)+31),0)</f>
        <v>0</v>
      </c>
      <c r="V105" s="149">
        <f>VLOOKUP($E105,'7. PGE_Efficacité'!$A$6:$BT$266,(MATCH('4.6 ACE MAX CAN '!V$4,'7. PGE_Efficacité'!$A$4:$BU$4,0)+31),0)</f>
        <v>0</v>
      </c>
      <c r="W105" s="149">
        <f>VLOOKUP($E105,'7. PGE_Efficacité'!$A$6:$BT$266,(MATCH('4.6 ACE MAX CAN '!W$4,'7. PGE_Efficacité'!$A$4:$BU$4,0)+31),0)</f>
        <v>0</v>
      </c>
      <c r="X105" s="149">
        <f>VLOOKUP($E105,'7. PGE_Efficacité'!$A$6:$BT$266,(MATCH('4.6 ACE MAX CAN '!X$4,'7. PGE_Efficacité'!$A$4:$BU$4,0)+31),0)</f>
        <v>0</v>
      </c>
      <c r="Y105" s="149">
        <f>VLOOKUP($E105,'7. PGE_Efficacité'!$A$6:$BT$266,(MATCH('4.6 ACE MAX CAN '!Y$4,'7. PGE_Efficacité'!$A$4:$BU$4,0)+31),0)</f>
        <v>0</v>
      </c>
      <c r="Z105" s="149">
        <f>VLOOKUP($E105,'7. PGE_Efficacité'!$A$6:$BT$266,(MATCH('4.6 ACE MAX CAN '!Z$4,'7. PGE_Efficacité'!$A$4:$BU$4,0)+31),0)</f>
        <v>0</v>
      </c>
      <c r="AA105" s="149">
        <f>VLOOKUP($E105,'7. PGE_Efficacité'!$A$6:$BT$266,(MATCH('4.6 ACE MAX CAN '!AA$4,'7. PGE_Efficacité'!$A$4:$BU$4,0)+31),0)</f>
        <v>0</v>
      </c>
      <c r="AB105" s="149">
        <f>VLOOKUP($E105,'7. PGE_Efficacité'!$A$6:$BT$266,(MATCH('4.6 ACE MAX CAN '!AB$4,'7. PGE_Efficacité'!$A$4:$BU$4,0)+31),0)</f>
        <v>0</v>
      </c>
      <c r="AC105" s="149">
        <f>VLOOKUP($E105,'7. PGE_Efficacité'!$A$6:$BT$266,(MATCH('4.6 ACE MAX CAN '!AC$4,'7. PGE_Efficacité'!$A$4:$BU$4,0)+31),0)</f>
        <v>0</v>
      </c>
      <c r="AD105" s="149">
        <f>VLOOKUP($E105,'7. PGE_Efficacité'!$A$6:$BT$266,(MATCH('4.6 ACE MAX CAN '!AD$4,'7. PGE_Efficacité'!$A$4:$BU$4,0)+31),0)</f>
        <v>0</v>
      </c>
      <c r="AE105" s="149">
        <f>VLOOKUP($E105,'7. PGE_Efficacité'!$A$6:$BT$266,(MATCH('4.6 ACE MAX CAN '!AE$4,'7. PGE_Efficacité'!$A$4:$BU$4,0)+31),0)</f>
        <v>0</v>
      </c>
      <c r="AF105" s="149">
        <f>VLOOKUP($E105,'7. PGE_Efficacité'!$A$6:$BT$266,(MATCH('4.6 ACE MAX CAN '!AF$4,'7. PGE_Efficacité'!$A$4:$BU$4,0)+31),0)</f>
        <v>0</v>
      </c>
      <c r="AG105" s="149">
        <f>VLOOKUP($E105,'7. PGE_Efficacité'!$A$6:$BT$266,(MATCH('4.6 ACE MAX CAN '!AG$4,'7. PGE_Efficacité'!$A$4:$BU$4,0)+31),0)</f>
        <v>0</v>
      </c>
      <c r="AH105" s="149">
        <f>VLOOKUP($E105,'7. PGE_Efficacité'!$A$6:$BT$266,(MATCH('4.6 ACE MAX CAN '!AH$4,'7. PGE_Efficacité'!$A$4:$BU$4,0)+31),0)</f>
        <v>0</v>
      </c>
      <c r="AI105" s="149">
        <f>VLOOKUP($E105,'7. PGE_Efficacité'!$A$6:$BT$266,(MATCH('4.6 ACE MAX CAN '!AI$4,'7. PGE_Efficacité'!$A$4:$BU$4,0)+31),0)</f>
        <v>0</v>
      </c>
      <c r="AJ105" s="149">
        <f>VLOOKUP($E105,'7. PGE_Efficacité'!$A$6:$BT$266,(MATCH('4.6 ACE MAX CAN '!AJ$4,'7. PGE_Efficacité'!$A$4:$BU$4,0)+31),0)</f>
        <v>0</v>
      </c>
      <c r="AK105" s="149">
        <f>VLOOKUP($E105,'7. PGE_Efficacité'!$A$6:$BT$266,(MATCH('4.6 ACE MAX CAN '!AK$4,'7. PGE_Efficacité'!$A$4:$BU$4,0)+31),0)</f>
        <v>0</v>
      </c>
      <c r="AL105" s="149">
        <f>VLOOKUP($E105,'7. PGE_Efficacité'!$A$6:$BT$266,(MATCH('4.6 ACE MAX CAN '!AL$4,'7. PGE_Efficacité'!$A$4:$BU$4,0)+31),0)</f>
        <v>0</v>
      </c>
      <c r="AM105" s="149">
        <f>VLOOKUP($E105,'7. PGE_Efficacité'!$A$6:$BT$266,(MATCH('4.6 ACE MAX CAN '!AM$4,'7. PGE_Efficacité'!$A$4:$BU$4,0)+31),0)</f>
        <v>0</v>
      </c>
      <c r="AN105" s="149">
        <f>VLOOKUP($E105,'7. PGE_Efficacité'!$A$6:$BT$266,(MATCH('4.6 ACE MAX CAN '!AN$4,'7. PGE_Efficacité'!$A$4:$BU$4,0)+31),0)</f>
        <v>0</v>
      </c>
    </row>
    <row r="106" spans="1:40" outlineLevel="2" x14ac:dyDescent="0.25">
      <c r="A106" t="s">
        <v>1524</v>
      </c>
      <c r="B106">
        <v>18</v>
      </c>
      <c r="C106" t="s">
        <v>1531</v>
      </c>
      <c r="D106" s="12" t="s">
        <v>18</v>
      </c>
      <c r="E106" s="12" t="s">
        <v>698</v>
      </c>
      <c r="F106" s="12" t="s">
        <v>1358</v>
      </c>
      <c r="G106" s="12" t="s">
        <v>1520</v>
      </c>
      <c r="H106" s="12" t="s">
        <v>414</v>
      </c>
      <c r="I106" s="148"/>
      <c r="J106" s="149">
        <f>VLOOKUP($E106,'7. PGE_Efficacité'!$A$6:$BT$266,(MATCH('4.6 ACE MAX CAN '!J$4,'7. PGE_Efficacité'!$A$4:$BU$4,0)+31),0)</f>
        <v>0</v>
      </c>
      <c r="K106" s="149">
        <f>VLOOKUP($E106,'7. PGE_Efficacité'!$A$6:$BT$266,(MATCH('4.6 ACE MAX CAN '!K$4,'7. PGE_Efficacité'!$A$4:$BU$4,0)+31),0)</f>
        <v>0</v>
      </c>
      <c r="L106" s="149">
        <f>VLOOKUP($E106,'7. PGE_Efficacité'!$A$6:$BT$266,(MATCH('4.6 ACE MAX CAN '!L$4,'7. PGE_Efficacité'!$A$4:$BU$4,0)+31),0)</f>
        <v>0</v>
      </c>
      <c r="M106" s="149">
        <f>VLOOKUP($E106,'7. PGE_Efficacité'!$A$6:$BT$266,(MATCH('4.6 ACE MAX CAN '!M$4,'7. PGE_Efficacité'!$A$4:$BU$4,0)+31),0)</f>
        <v>0</v>
      </c>
      <c r="N106" s="149">
        <f>VLOOKUP($E106,'7. PGE_Efficacité'!$A$6:$BT$266,(MATCH('4.6 ACE MAX CAN '!N$4,'7. PGE_Efficacité'!$A$4:$BU$4,0)+31),0)</f>
        <v>0</v>
      </c>
      <c r="O106" s="149" t="str">
        <f>VLOOKUP($D106,'7. PGE_Efficacité'!$A$6:$BT$268,47,0)</f>
        <v>++</v>
      </c>
      <c r="P106" s="149">
        <f>VLOOKUP($E106,'7. PGE_Efficacité'!$A$6:$BT$266,(MATCH('4.6 ACE MAX CAN '!P$4,'7. PGE_Efficacité'!$A$4:$BU$4,0)+31),0)</f>
        <v>0</v>
      </c>
      <c r="Q106" s="149">
        <f>VLOOKUP($E106,'7. PGE_Efficacité'!$A$6:$BT$266,(MATCH('4.6 ACE MAX CAN '!Q$4,'7. PGE_Efficacité'!$A$4:$BU$4,0)+31),0)</f>
        <v>0</v>
      </c>
      <c r="R106" s="149">
        <f>VLOOKUP($E106,'7. PGE_Efficacité'!$A$6:$BT$266,(MATCH('4.6 ACE MAX CAN '!R$4,'7. PGE_Efficacité'!$A$4:$BU$4,0)+31),0)</f>
        <v>0</v>
      </c>
      <c r="S106" s="149">
        <f>VLOOKUP($E106,'7. PGE_Efficacité'!$A$6:$BT$266,(MATCH('4.6 ACE MAX CAN '!S$4,'7. PGE_Efficacité'!$A$4:$BU$4,0)+31),0)</f>
        <v>0</v>
      </c>
      <c r="T106" s="149">
        <f>VLOOKUP($E106,'7. PGE_Efficacité'!$A$6:$BT$266,(MATCH('4.6 ACE MAX CAN '!T$4,'7. PGE_Efficacité'!$A$4:$BU$4,0)+31),0)</f>
        <v>0</v>
      </c>
      <c r="U106" s="149">
        <f>VLOOKUP($E106,'7. PGE_Efficacité'!$A$6:$BT$266,(MATCH('4.6 ACE MAX CAN '!U$4,'7. PGE_Efficacité'!$A$4:$BU$4,0)+31),0)</f>
        <v>0</v>
      </c>
      <c r="V106" s="149">
        <f>VLOOKUP($E106,'7. PGE_Efficacité'!$A$6:$BT$266,(MATCH('4.6 ACE MAX CAN '!V$4,'7. PGE_Efficacité'!$A$4:$BU$4,0)+31),0)</f>
        <v>0</v>
      </c>
      <c r="W106" s="149">
        <f>VLOOKUP($E106,'7. PGE_Efficacité'!$A$6:$BT$266,(MATCH('4.6 ACE MAX CAN '!W$4,'7. PGE_Efficacité'!$A$4:$BU$4,0)+31),0)</f>
        <v>0</v>
      </c>
      <c r="X106" s="149">
        <f>VLOOKUP($E106,'7. PGE_Efficacité'!$A$6:$BT$266,(MATCH('4.6 ACE MAX CAN '!X$4,'7. PGE_Efficacité'!$A$4:$BU$4,0)+31),0)</f>
        <v>0</v>
      </c>
      <c r="Y106" s="149">
        <f>VLOOKUP($E106,'7. PGE_Efficacité'!$A$6:$BT$266,(MATCH('4.6 ACE MAX CAN '!Y$4,'7. PGE_Efficacité'!$A$4:$BU$4,0)+31),0)</f>
        <v>0</v>
      </c>
      <c r="Z106" s="149">
        <f>VLOOKUP($E106,'7. PGE_Efficacité'!$A$6:$BT$266,(MATCH('4.6 ACE MAX CAN '!Z$4,'7. PGE_Efficacité'!$A$4:$BU$4,0)+31),0)</f>
        <v>0</v>
      </c>
      <c r="AA106" s="149">
        <f>VLOOKUP($E106,'7. PGE_Efficacité'!$A$6:$BT$266,(MATCH('4.6 ACE MAX CAN '!AA$4,'7. PGE_Efficacité'!$A$4:$BU$4,0)+31),0)</f>
        <v>0</v>
      </c>
      <c r="AB106" s="149">
        <f>VLOOKUP($E106,'7. PGE_Efficacité'!$A$6:$BT$266,(MATCH('4.6 ACE MAX CAN '!AB$4,'7. PGE_Efficacité'!$A$4:$BU$4,0)+31),0)</f>
        <v>0</v>
      </c>
      <c r="AC106" s="149">
        <f>VLOOKUP($E106,'7. PGE_Efficacité'!$A$6:$BT$266,(MATCH('4.6 ACE MAX CAN '!AC$4,'7. PGE_Efficacité'!$A$4:$BU$4,0)+31),0)</f>
        <v>0</v>
      </c>
      <c r="AD106" s="149">
        <f>VLOOKUP($E106,'7. PGE_Efficacité'!$A$6:$BT$266,(MATCH('4.6 ACE MAX CAN '!AD$4,'7. PGE_Efficacité'!$A$4:$BU$4,0)+31),0)</f>
        <v>0</v>
      </c>
      <c r="AE106" s="149">
        <f>VLOOKUP($E106,'7. PGE_Efficacité'!$A$6:$BT$266,(MATCH('4.6 ACE MAX CAN '!AE$4,'7. PGE_Efficacité'!$A$4:$BU$4,0)+31),0)</f>
        <v>0</v>
      </c>
      <c r="AF106" s="149">
        <f>VLOOKUP($E106,'7. PGE_Efficacité'!$A$6:$BT$266,(MATCH('4.6 ACE MAX CAN '!AF$4,'7. PGE_Efficacité'!$A$4:$BU$4,0)+31),0)</f>
        <v>0</v>
      </c>
      <c r="AG106" s="149">
        <f>VLOOKUP($E106,'7. PGE_Efficacité'!$A$6:$BT$266,(MATCH('4.6 ACE MAX CAN '!AG$4,'7. PGE_Efficacité'!$A$4:$BU$4,0)+31),0)</f>
        <v>0</v>
      </c>
      <c r="AH106" s="149">
        <f>VLOOKUP($E106,'7. PGE_Efficacité'!$A$6:$BT$266,(MATCH('4.6 ACE MAX CAN '!AH$4,'7. PGE_Efficacité'!$A$4:$BU$4,0)+31),0)</f>
        <v>0</v>
      </c>
      <c r="AI106" s="149">
        <f>VLOOKUP($E106,'7. PGE_Efficacité'!$A$6:$BT$266,(MATCH('4.6 ACE MAX CAN '!AI$4,'7. PGE_Efficacité'!$A$4:$BU$4,0)+31),0)</f>
        <v>0</v>
      </c>
      <c r="AJ106" s="149">
        <f>VLOOKUP($E106,'7. PGE_Efficacité'!$A$6:$BT$266,(MATCH('4.6 ACE MAX CAN '!AJ$4,'7. PGE_Efficacité'!$A$4:$BU$4,0)+31),0)</f>
        <v>0</v>
      </c>
      <c r="AK106" s="149">
        <f>VLOOKUP($E106,'7. PGE_Efficacité'!$A$6:$BT$266,(MATCH('4.6 ACE MAX CAN '!AK$4,'7. PGE_Efficacité'!$A$4:$BU$4,0)+31),0)</f>
        <v>0</v>
      </c>
      <c r="AL106" s="149">
        <f>VLOOKUP($E106,'7. PGE_Efficacité'!$A$6:$BT$266,(MATCH('4.6 ACE MAX CAN '!AL$4,'7. PGE_Efficacité'!$A$4:$BU$4,0)+31),0)</f>
        <v>0</v>
      </c>
      <c r="AM106" s="149">
        <f>VLOOKUP($E106,'7. PGE_Efficacité'!$A$6:$BT$266,(MATCH('4.6 ACE MAX CAN '!AM$4,'7. PGE_Efficacité'!$A$4:$BU$4,0)+31),0)</f>
        <v>0</v>
      </c>
      <c r="AN106" s="149">
        <f>VLOOKUP($E106,'7. PGE_Efficacité'!$A$6:$BT$266,(MATCH('4.6 ACE MAX CAN '!AN$4,'7. PGE_Efficacité'!$A$4:$BU$4,0)+31),0)</f>
        <v>0</v>
      </c>
    </row>
    <row r="107" spans="1:40" outlineLevel="2" x14ac:dyDescent="0.25">
      <c r="A107" t="s">
        <v>1524</v>
      </c>
      <c r="B107">
        <v>18</v>
      </c>
      <c r="C107" t="s">
        <v>1503</v>
      </c>
      <c r="D107" s="12" t="s">
        <v>18</v>
      </c>
      <c r="E107" s="12" t="s">
        <v>690</v>
      </c>
      <c r="F107" s="12" t="s">
        <v>1350</v>
      </c>
      <c r="G107" s="12" t="s">
        <v>1520</v>
      </c>
      <c r="H107" s="12" t="s">
        <v>414</v>
      </c>
      <c r="I107" s="148"/>
      <c r="J107" s="149">
        <f>VLOOKUP($E107,'7. PGE_Efficacité'!$A$6:$BT$266,(MATCH('4.6 ACE MAX CAN '!J$4,'7. PGE_Efficacité'!$A$4:$BU$4,0)+31),0)</f>
        <v>0</v>
      </c>
      <c r="K107" s="149">
        <f>VLOOKUP($E107,'7. PGE_Efficacité'!$A$6:$BT$266,(MATCH('4.6 ACE MAX CAN '!K$4,'7. PGE_Efficacité'!$A$4:$BU$4,0)+31),0)</f>
        <v>0</v>
      </c>
      <c r="L107" s="149">
        <f>VLOOKUP($E107,'7. PGE_Efficacité'!$A$6:$BT$266,(MATCH('4.6 ACE MAX CAN '!L$4,'7. PGE_Efficacité'!$A$4:$BU$4,0)+31),0)</f>
        <v>0</v>
      </c>
      <c r="M107" s="149">
        <f>VLOOKUP($E107,'7. PGE_Efficacité'!$A$6:$BT$266,(MATCH('4.6 ACE MAX CAN '!M$4,'7. PGE_Efficacité'!$A$4:$BU$4,0)+31),0)</f>
        <v>0</v>
      </c>
      <c r="N107" s="149">
        <f>VLOOKUP($E107,'7. PGE_Efficacité'!$A$6:$BT$266,(MATCH('4.6 ACE MAX CAN '!N$4,'7. PGE_Efficacité'!$A$4:$BU$4,0)+31),0)</f>
        <v>0</v>
      </c>
      <c r="O107" s="149" t="str">
        <f>VLOOKUP($D107,'7. PGE_Efficacité'!$A$6:$BT$268,47,0)</f>
        <v>++</v>
      </c>
      <c r="P107" s="149">
        <f>VLOOKUP($E107,'7. PGE_Efficacité'!$A$6:$BT$266,(MATCH('4.6 ACE MAX CAN '!P$4,'7. PGE_Efficacité'!$A$4:$BU$4,0)+31),0)</f>
        <v>0</v>
      </c>
      <c r="Q107" s="149">
        <f>VLOOKUP($E107,'7. PGE_Efficacité'!$A$6:$BT$266,(MATCH('4.6 ACE MAX CAN '!Q$4,'7. PGE_Efficacité'!$A$4:$BU$4,0)+31),0)</f>
        <v>0</v>
      </c>
      <c r="R107" s="149">
        <f>VLOOKUP($E107,'7. PGE_Efficacité'!$A$6:$BT$266,(MATCH('4.6 ACE MAX CAN '!R$4,'7. PGE_Efficacité'!$A$4:$BU$4,0)+31),0)</f>
        <v>0</v>
      </c>
      <c r="S107" s="149">
        <f>VLOOKUP($E107,'7. PGE_Efficacité'!$A$6:$BT$266,(MATCH('4.6 ACE MAX CAN '!S$4,'7. PGE_Efficacité'!$A$4:$BU$4,0)+31),0)</f>
        <v>0</v>
      </c>
      <c r="T107" s="149">
        <f>VLOOKUP($E107,'7. PGE_Efficacité'!$A$6:$BT$266,(MATCH('4.6 ACE MAX CAN '!T$4,'7. PGE_Efficacité'!$A$4:$BU$4,0)+31),0)</f>
        <v>0</v>
      </c>
      <c r="U107" s="149">
        <f>VLOOKUP($E107,'7. PGE_Efficacité'!$A$6:$BT$266,(MATCH('4.6 ACE MAX CAN '!U$4,'7. PGE_Efficacité'!$A$4:$BU$4,0)+31),0)</f>
        <v>0</v>
      </c>
      <c r="V107" s="149">
        <f>VLOOKUP($E107,'7. PGE_Efficacité'!$A$6:$BT$266,(MATCH('4.6 ACE MAX CAN '!V$4,'7. PGE_Efficacité'!$A$4:$BU$4,0)+31),0)</f>
        <v>0</v>
      </c>
      <c r="W107" s="149">
        <f>VLOOKUP($E107,'7. PGE_Efficacité'!$A$6:$BT$266,(MATCH('4.6 ACE MAX CAN '!W$4,'7. PGE_Efficacité'!$A$4:$BU$4,0)+31),0)</f>
        <v>0</v>
      </c>
      <c r="X107" s="149">
        <f>VLOOKUP($E107,'7. PGE_Efficacité'!$A$6:$BT$266,(MATCH('4.6 ACE MAX CAN '!X$4,'7. PGE_Efficacité'!$A$4:$BU$4,0)+31),0)</f>
        <v>0</v>
      </c>
      <c r="Y107" s="149">
        <f>VLOOKUP($E107,'7. PGE_Efficacité'!$A$6:$BT$266,(MATCH('4.6 ACE MAX CAN '!Y$4,'7. PGE_Efficacité'!$A$4:$BU$4,0)+31),0)</f>
        <v>0</v>
      </c>
      <c r="Z107" s="149">
        <f>VLOOKUP($E107,'7. PGE_Efficacité'!$A$6:$BT$266,(MATCH('4.6 ACE MAX CAN '!Z$4,'7. PGE_Efficacité'!$A$4:$BU$4,0)+31),0)</f>
        <v>0</v>
      </c>
      <c r="AA107" s="149">
        <f>VLOOKUP($E107,'7. PGE_Efficacité'!$A$6:$BT$266,(MATCH('4.6 ACE MAX CAN '!AA$4,'7. PGE_Efficacité'!$A$4:$BU$4,0)+31),0)</f>
        <v>0</v>
      </c>
      <c r="AB107" s="149">
        <f>VLOOKUP($E107,'7. PGE_Efficacité'!$A$6:$BT$266,(MATCH('4.6 ACE MAX CAN '!AB$4,'7. PGE_Efficacité'!$A$4:$BU$4,0)+31),0)</f>
        <v>0</v>
      </c>
      <c r="AC107" s="149">
        <f>VLOOKUP($E107,'7. PGE_Efficacité'!$A$6:$BT$266,(MATCH('4.6 ACE MAX CAN '!AC$4,'7. PGE_Efficacité'!$A$4:$BU$4,0)+31),0)</f>
        <v>0</v>
      </c>
      <c r="AD107" s="149">
        <f>VLOOKUP($E107,'7. PGE_Efficacité'!$A$6:$BT$266,(MATCH('4.6 ACE MAX CAN '!AD$4,'7. PGE_Efficacité'!$A$4:$BU$4,0)+31),0)</f>
        <v>0</v>
      </c>
      <c r="AE107" s="149">
        <f>VLOOKUP($E107,'7. PGE_Efficacité'!$A$6:$BT$266,(MATCH('4.6 ACE MAX CAN '!AE$4,'7. PGE_Efficacité'!$A$4:$BU$4,0)+31),0)</f>
        <v>0</v>
      </c>
      <c r="AF107" s="149">
        <f>VLOOKUP($E107,'7. PGE_Efficacité'!$A$6:$BT$266,(MATCH('4.6 ACE MAX CAN '!AF$4,'7. PGE_Efficacité'!$A$4:$BU$4,0)+31),0)</f>
        <v>0</v>
      </c>
      <c r="AG107" s="149">
        <f>VLOOKUP($E107,'7. PGE_Efficacité'!$A$6:$BT$266,(MATCH('4.6 ACE MAX CAN '!AG$4,'7. PGE_Efficacité'!$A$4:$BU$4,0)+31),0)</f>
        <v>0</v>
      </c>
      <c r="AH107" s="149">
        <f>VLOOKUP($E107,'7. PGE_Efficacité'!$A$6:$BT$266,(MATCH('4.6 ACE MAX CAN '!AH$4,'7. PGE_Efficacité'!$A$4:$BU$4,0)+31),0)</f>
        <v>0</v>
      </c>
      <c r="AI107" s="149">
        <f>VLOOKUP($E107,'7. PGE_Efficacité'!$A$6:$BT$266,(MATCH('4.6 ACE MAX CAN '!AI$4,'7. PGE_Efficacité'!$A$4:$BU$4,0)+31),0)</f>
        <v>0</v>
      </c>
      <c r="AJ107" s="149">
        <f>VLOOKUP($E107,'7. PGE_Efficacité'!$A$6:$BT$266,(MATCH('4.6 ACE MAX CAN '!AJ$4,'7. PGE_Efficacité'!$A$4:$BU$4,0)+31),0)</f>
        <v>0</v>
      </c>
      <c r="AK107" s="149">
        <f>VLOOKUP($E107,'7. PGE_Efficacité'!$A$6:$BT$266,(MATCH('4.6 ACE MAX CAN '!AK$4,'7. PGE_Efficacité'!$A$4:$BU$4,0)+31),0)</f>
        <v>0</v>
      </c>
      <c r="AL107" s="149">
        <f>VLOOKUP($E107,'7. PGE_Efficacité'!$A$6:$BT$266,(MATCH('4.6 ACE MAX CAN '!AL$4,'7. PGE_Efficacité'!$A$4:$BU$4,0)+31),0)</f>
        <v>0</v>
      </c>
      <c r="AM107" s="149">
        <f>VLOOKUP($E107,'7. PGE_Efficacité'!$A$6:$BT$266,(MATCH('4.6 ACE MAX CAN '!AM$4,'7. PGE_Efficacité'!$A$4:$BU$4,0)+31),0)</f>
        <v>0</v>
      </c>
      <c r="AN107" s="149">
        <f>VLOOKUP($E107,'7. PGE_Efficacité'!$A$6:$BT$266,(MATCH('4.6 ACE MAX CAN '!AN$4,'7. PGE_Efficacité'!$A$4:$BU$4,0)+31),0)</f>
        <v>0</v>
      </c>
    </row>
    <row r="108" spans="1:40" outlineLevel="2" x14ac:dyDescent="0.25">
      <c r="A108" t="s">
        <v>1524</v>
      </c>
      <c r="B108">
        <v>18</v>
      </c>
      <c r="C108" t="s">
        <v>1532</v>
      </c>
      <c r="D108" s="12" t="s">
        <v>18</v>
      </c>
      <c r="E108" s="12" t="s">
        <v>699</v>
      </c>
      <c r="F108" s="12" t="s">
        <v>1359</v>
      </c>
      <c r="G108" s="12" t="s">
        <v>1520</v>
      </c>
      <c r="H108" s="12" t="s">
        <v>414</v>
      </c>
      <c r="I108" s="148"/>
      <c r="J108" s="149">
        <f>VLOOKUP($E108,'7. PGE_Efficacité'!$A$6:$BT$266,(MATCH('4.6 ACE MAX CAN '!J$4,'7. PGE_Efficacité'!$A$4:$BU$4,0)+31),0)</f>
        <v>0</v>
      </c>
      <c r="K108" s="149" t="str">
        <f>VLOOKUP($E108,'7. PGE_Efficacité'!$A$6:$BT$266,(MATCH('4.6 ACE MAX CAN '!K$4,'7. PGE_Efficacité'!$A$4:$BU$4,0)+31),0)</f>
        <v>+++</v>
      </c>
      <c r="L108" s="149" t="str">
        <f>VLOOKUP($E108,'7. PGE_Efficacité'!$A$6:$BT$266,(MATCH('4.6 ACE MAX CAN '!L$4,'7. PGE_Efficacité'!$A$4:$BU$4,0)+31),0)</f>
        <v>+++</v>
      </c>
      <c r="M108" s="149" t="str">
        <f>VLOOKUP($E108,'7. PGE_Efficacité'!$A$6:$BT$266,(MATCH('4.6 ACE MAX CAN '!M$4,'7. PGE_Efficacité'!$A$4:$BU$4,0)+31),0)</f>
        <v>+++</v>
      </c>
      <c r="N108" s="149" t="str">
        <f>VLOOKUP($E108,'7. PGE_Efficacité'!$A$6:$BT$266,(MATCH('4.6 ACE MAX CAN '!N$4,'7. PGE_Efficacité'!$A$4:$BU$4,0)+31),0)</f>
        <v>+++</v>
      </c>
      <c r="O108" s="149" t="str">
        <f>VLOOKUP($D108,'7. PGE_Efficacité'!$A$6:$BT$268,47,0)</f>
        <v>++</v>
      </c>
      <c r="P108" s="149">
        <f>VLOOKUP($E108,'7. PGE_Efficacité'!$A$6:$BT$266,(MATCH('4.6 ACE MAX CAN '!P$4,'7. PGE_Efficacité'!$A$4:$BU$4,0)+31),0)</f>
        <v>0</v>
      </c>
      <c r="Q108" s="149" t="str">
        <f>VLOOKUP($E108,'7. PGE_Efficacité'!$A$6:$BT$266,(MATCH('4.6 ACE MAX CAN '!Q$4,'7. PGE_Efficacité'!$A$4:$BU$4,0)+31),0)</f>
        <v>+++</v>
      </c>
      <c r="R108" s="149" t="str">
        <f>VLOOKUP($E108,'7. PGE_Efficacité'!$A$6:$BT$266,(MATCH('4.6 ACE MAX CAN '!R$4,'7. PGE_Efficacité'!$A$4:$BU$4,0)+31),0)</f>
        <v>+++</v>
      </c>
      <c r="S108" s="149">
        <f>VLOOKUP($E108,'7. PGE_Efficacité'!$A$6:$BT$266,(MATCH('4.6 ACE MAX CAN '!S$4,'7. PGE_Efficacité'!$A$4:$BU$4,0)+31),0)</f>
        <v>0</v>
      </c>
      <c r="T108" s="149" t="str">
        <f>VLOOKUP($E108,'7. PGE_Efficacité'!$A$6:$BT$266,(MATCH('4.6 ACE MAX CAN '!T$4,'7. PGE_Efficacité'!$A$4:$BU$4,0)+31),0)</f>
        <v>+++</v>
      </c>
      <c r="U108" s="149" t="str">
        <f>VLOOKUP($E108,'7. PGE_Efficacité'!$A$6:$BT$266,(MATCH('4.6 ACE MAX CAN '!U$4,'7. PGE_Efficacité'!$A$4:$BU$4,0)+31),0)</f>
        <v>+++</v>
      </c>
      <c r="V108" s="149" t="str">
        <f>VLOOKUP($E108,'7. PGE_Efficacité'!$A$6:$BT$266,(MATCH('4.6 ACE MAX CAN '!V$4,'7. PGE_Efficacité'!$A$4:$BU$4,0)+31),0)</f>
        <v>+++</v>
      </c>
      <c r="W108" s="149" t="str">
        <f>VLOOKUP($E108,'7. PGE_Efficacité'!$A$6:$BT$266,(MATCH('4.6 ACE MAX CAN '!W$4,'7. PGE_Efficacité'!$A$4:$BU$4,0)+31),0)</f>
        <v>+++</v>
      </c>
      <c r="X108" s="149">
        <f>VLOOKUP($E108,'7. PGE_Efficacité'!$A$6:$BT$266,(MATCH('4.6 ACE MAX CAN '!X$4,'7. PGE_Efficacité'!$A$4:$BU$4,0)+31),0)</f>
        <v>0</v>
      </c>
      <c r="Y108" s="149" t="str">
        <f>VLOOKUP($E108,'7. PGE_Efficacité'!$A$6:$BT$266,(MATCH('4.6 ACE MAX CAN '!Y$4,'7. PGE_Efficacité'!$A$4:$BU$4,0)+31),0)</f>
        <v>+++</v>
      </c>
      <c r="Z108" s="149" t="str">
        <f>VLOOKUP($E108,'7. PGE_Efficacité'!$A$6:$BT$266,(MATCH('4.6 ACE MAX CAN '!Z$4,'7. PGE_Efficacité'!$A$4:$BU$4,0)+31),0)</f>
        <v>+++</v>
      </c>
      <c r="AA108" s="149">
        <f>VLOOKUP($E108,'7. PGE_Efficacité'!$A$6:$BT$266,(MATCH('4.6 ACE MAX CAN '!AA$4,'7. PGE_Efficacité'!$A$4:$BU$4,0)+31),0)</f>
        <v>0</v>
      </c>
      <c r="AB108" s="149">
        <f>VLOOKUP($E108,'7. PGE_Efficacité'!$A$6:$BT$266,(MATCH('4.6 ACE MAX CAN '!AB$4,'7. PGE_Efficacité'!$A$4:$BU$4,0)+31),0)</f>
        <v>0</v>
      </c>
      <c r="AC108" s="149">
        <f>VLOOKUP($E108,'7. PGE_Efficacité'!$A$6:$BT$266,(MATCH('4.6 ACE MAX CAN '!AC$4,'7. PGE_Efficacité'!$A$4:$BU$4,0)+31),0)</f>
        <v>0</v>
      </c>
      <c r="AD108" s="149">
        <f>VLOOKUP($E108,'7. PGE_Efficacité'!$A$6:$BT$266,(MATCH('4.6 ACE MAX CAN '!AD$4,'7. PGE_Efficacité'!$A$4:$BU$4,0)+31),0)</f>
        <v>0</v>
      </c>
      <c r="AE108" s="149">
        <f>VLOOKUP($E108,'7. PGE_Efficacité'!$A$6:$BT$266,(MATCH('4.6 ACE MAX CAN '!AE$4,'7. PGE_Efficacité'!$A$4:$BU$4,0)+31),0)</f>
        <v>0</v>
      </c>
      <c r="AF108" s="149">
        <f>VLOOKUP($E108,'7. PGE_Efficacité'!$A$6:$BT$266,(MATCH('4.6 ACE MAX CAN '!AF$4,'7. PGE_Efficacité'!$A$4:$BU$4,0)+31),0)</f>
        <v>0</v>
      </c>
      <c r="AG108" s="149">
        <f>VLOOKUP($E108,'7. PGE_Efficacité'!$A$6:$BT$266,(MATCH('4.6 ACE MAX CAN '!AG$4,'7. PGE_Efficacité'!$A$4:$BU$4,0)+31),0)</f>
        <v>0</v>
      </c>
      <c r="AH108" s="149">
        <f>VLOOKUP($E108,'7. PGE_Efficacité'!$A$6:$BT$266,(MATCH('4.6 ACE MAX CAN '!AH$4,'7. PGE_Efficacité'!$A$4:$BU$4,0)+31),0)</f>
        <v>0</v>
      </c>
      <c r="AI108" s="149">
        <f>VLOOKUP($E108,'7. PGE_Efficacité'!$A$6:$BT$266,(MATCH('4.6 ACE MAX CAN '!AI$4,'7. PGE_Efficacité'!$A$4:$BU$4,0)+31),0)</f>
        <v>0</v>
      </c>
      <c r="AJ108" s="149">
        <f>VLOOKUP($E108,'7. PGE_Efficacité'!$A$6:$BT$266,(MATCH('4.6 ACE MAX CAN '!AJ$4,'7. PGE_Efficacité'!$A$4:$BU$4,0)+31),0)</f>
        <v>0</v>
      </c>
      <c r="AK108" s="149" t="str">
        <f>VLOOKUP($E108,'7. PGE_Efficacité'!$A$6:$BT$266,(MATCH('4.6 ACE MAX CAN '!AK$4,'7. PGE_Efficacité'!$A$4:$BU$4,0)+31),0)</f>
        <v>++</v>
      </c>
      <c r="AL108" s="149">
        <f>VLOOKUP($E108,'7. PGE_Efficacité'!$A$6:$BT$266,(MATCH('4.6 ACE MAX CAN '!AL$4,'7. PGE_Efficacité'!$A$4:$BU$4,0)+31),0)</f>
        <v>0</v>
      </c>
      <c r="AM108" s="149" t="str">
        <f>VLOOKUP($E108,'7. PGE_Efficacité'!$A$6:$BT$266,(MATCH('4.6 ACE MAX CAN '!AM$4,'7. PGE_Efficacité'!$A$4:$BU$4,0)+31),0)</f>
        <v>++</v>
      </c>
      <c r="AN108" s="149" t="str">
        <f>VLOOKUP($E108,'7. PGE_Efficacité'!$A$6:$BT$266,(MATCH('4.6 ACE MAX CAN '!AN$4,'7. PGE_Efficacité'!$A$4:$BU$4,0)+31),0)</f>
        <v>++</v>
      </c>
    </row>
    <row r="109" spans="1:40" outlineLevel="1" x14ac:dyDescent="0.25">
      <c r="D109" s="360" t="s">
        <v>21</v>
      </c>
      <c r="E109" s="360"/>
      <c r="F109" s="361" t="str">
        <f>VLOOKUP(D109,'1. Mesures'!$A$2:$B$116,2,0)</f>
        <v>Assurer la surveillance de la qualité de la colonne d’eau, des sédiments, du biote, de la biologie et de l’hydromorphologie</v>
      </c>
      <c r="G109" s="360"/>
      <c r="H109" s="360"/>
      <c r="I109" s="362">
        <f>MEDIAN(VLOOKUP(D109,'4. Mesures_ACE_Budget'!$A$3:$R$32,17,0),VLOOKUP(D109,'4. Mesures_ACE_Budget'!$A$3:$R$32,18,0))</f>
        <v>0</v>
      </c>
      <c r="J109" s="212">
        <f>VLOOKUP($D109,'7. PGE_Efficacité'!$A$6:$BT$266,(MATCH('4.6 ACE MAX CAN '!J$4,'7. PGE_Efficacité'!$A$4:$AO$4,0)+31),0)</f>
        <v>0</v>
      </c>
      <c r="K109" s="212">
        <f>VLOOKUP($D109,'7. PGE_Efficacité'!$A$6:$BT$266,(MATCH('4.6 ACE MAX CAN '!K$4,'7. PGE_Efficacité'!$A$4:$AO$4,0)+31),0)</f>
        <v>0</v>
      </c>
      <c r="L109" s="212">
        <f>VLOOKUP($D109,'7. PGE_Efficacité'!$A$6:$BT$266,(MATCH('4.6 ACE MAX CAN '!L$4,'7. PGE_Efficacité'!$A$4:$AO$4,0)+31),0)</f>
        <v>0</v>
      </c>
      <c r="M109" s="212">
        <f>VLOOKUP($D109,'7. PGE_Efficacité'!$A$6:$BT$266,(MATCH('4.6 ACE MAX CAN '!M$4,'7. PGE_Efficacité'!$A$4:$AO$4,0)+31),0)</f>
        <v>0</v>
      </c>
      <c r="N109" s="212">
        <f>VLOOKUP($D109,'7. PGE_Efficacité'!$A$6:$BT$266,(MATCH('4.6 ACE MAX CAN '!N$4,'7. PGE_Efficacité'!$A$4:$AO$4,0)+31),0)</f>
        <v>0</v>
      </c>
      <c r="O109" s="212">
        <f>VLOOKUP($D109,'7. PGE_Efficacité'!$A$6:$BT$268,47,0)</f>
        <v>0</v>
      </c>
      <c r="P109" s="212">
        <f>VLOOKUP($D109,'7. PGE_Efficacité'!$A$6:$BT$266,(MATCH('4.6 ACE MAX CAN '!P$4,'7. PGE_Efficacité'!$A$4:$AO$4,0)+31),0)</f>
        <v>0</v>
      </c>
      <c r="Q109" s="212">
        <f>VLOOKUP($D109,'7. PGE_Efficacité'!$A$6:$BT$266,(MATCH('4.6 ACE MAX CAN '!Q$4,'7. PGE_Efficacité'!$A$4:$AO$4,0)+31),0)</f>
        <v>0</v>
      </c>
      <c r="R109" s="212">
        <f>VLOOKUP($D109,'7. PGE_Efficacité'!$A$6:$BT$266,(MATCH('4.6 ACE MAX CAN '!R$4,'7. PGE_Efficacité'!$A$4:$AO$4,0)+31),0)</f>
        <v>0</v>
      </c>
      <c r="S109" s="212">
        <f>VLOOKUP($D109,'7. PGE_Efficacité'!$A$6:$BT$266,(MATCH('4.6 ACE MAX CAN '!S$4,'7. PGE_Efficacité'!$A$4:$AO$4,0)+31),0)</f>
        <v>0</v>
      </c>
      <c r="T109" s="212">
        <f>VLOOKUP($D109,'7. PGE_Efficacité'!$A$6:$BT$266,(MATCH('4.6 ACE MAX CAN '!T$4,'7. PGE_Efficacité'!$A$4:$AO$4,0)+31),0)</f>
        <v>0</v>
      </c>
      <c r="U109" s="212">
        <f>VLOOKUP($D109,'7. PGE_Efficacité'!$A$6:$BT$266,(MATCH('4.6 ACE MAX CAN '!U$4,'7. PGE_Efficacité'!$A$4:$AO$4,0)+31),0)</f>
        <v>0</v>
      </c>
      <c r="V109" s="212">
        <f>VLOOKUP($D109,'7. PGE_Efficacité'!$A$6:$BT$266,(MATCH('4.6 ACE MAX CAN '!V$4,'7. PGE_Efficacité'!$A$4:$AO$4,0)+31),0)</f>
        <v>0</v>
      </c>
      <c r="W109" s="212">
        <f>VLOOKUP($D109,'7. PGE_Efficacité'!$A$6:$BT$266,(MATCH('4.6 ACE MAX CAN '!W$4,'7. PGE_Efficacité'!$A$4:$AO$4,0)+31),0)</f>
        <v>0</v>
      </c>
      <c r="X109" s="212">
        <f>VLOOKUP($D109,'7. PGE_Efficacité'!$A$6:$BT$266,(MATCH('4.6 ACE MAX CAN '!X$4,'7. PGE_Efficacité'!$A$4:$AO$4,0)+31),0)</f>
        <v>0</v>
      </c>
      <c r="Y109" s="212">
        <f>VLOOKUP($D109,'7. PGE_Efficacité'!$A$6:$BT$266,(MATCH('4.6 ACE MAX CAN '!Y$4,'7. PGE_Efficacité'!$A$4:$AO$4,0)+31),0)</f>
        <v>0</v>
      </c>
      <c r="Z109" s="212">
        <f>VLOOKUP($D109,'7. PGE_Efficacité'!$A$6:$BT$266,(MATCH('4.6 ACE MAX CAN '!Z$4,'7. PGE_Efficacité'!$A$4:$AO$4,0)+31),0)</f>
        <v>0</v>
      </c>
      <c r="AA109" s="212">
        <f>VLOOKUP($D109,'7. PGE_Efficacité'!$A$6:$BT$266,(MATCH('4.6 ACE MAX CAN '!AA$4,'7. PGE_Efficacité'!$A$4:$AO$4,0)+31),0)</f>
        <v>0</v>
      </c>
      <c r="AB109" s="212">
        <f>VLOOKUP($D109,'7. PGE_Efficacité'!$A$6:$BT$266,(MATCH('4.6 ACE MAX CAN '!AB$4,'7. PGE_Efficacité'!$A$4:$AO$4,0)+31),0)</f>
        <v>0</v>
      </c>
      <c r="AC109" s="212">
        <f>VLOOKUP($D109,'7. PGE_Efficacité'!$A$6:$BT$266,(MATCH('4.6 ACE MAX CAN '!AC$4,'7. PGE_Efficacité'!$A$4:$AO$4,0)+31),0)</f>
        <v>0</v>
      </c>
      <c r="AD109" s="212">
        <f>VLOOKUP($D109,'7. PGE_Efficacité'!$A$6:$BT$266,(MATCH('4.6 ACE MAX CAN '!AD$4,'7. PGE_Efficacité'!$A$4:$AO$4,0)+31),0)</f>
        <v>0</v>
      </c>
      <c r="AE109" s="212">
        <f>VLOOKUP($D109,'7. PGE_Efficacité'!$A$6:$BT$266,(MATCH('4.6 ACE MAX CAN '!AE$4,'7. PGE_Efficacité'!$A$4:$AO$4,0)+31),0)</f>
        <v>0</v>
      </c>
      <c r="AF109" s="212">
        <f>VLOOKUP($D109,'7. PGE_Efficacité'!$A$6:$BT$266,(MATCH('4.6 ACE MAX CAN '!AF$4,'7. PGE_Efficacité'!$A$4:$AO$4,0)+31),0)</f>
        <v>0</v>
      </c>
      <c r="AG109" s="212">
        <f>VLOOKUP($D109,'7. PGE_Efficacité'!$A$6:$BT$266,(MATCH('4.6 ACE MAX CAN '!AG$4,'7. PGE_Efficacité'!$A$4:$AO$4,0)+31),0)</f>
        <v>0</v>
      </c>
      <c r="AH109" s="212">
        <f>VLOOKUP($D109,'7. PGE_Efficacité'!$A$6:$BT$266,(MATCH('4.6 ACE MAX CAN '!AH$4,'7. PGE_Efficacité'!$A$4:$AO$4,0)+31),0)</f>
        <v>0</v>
      </c>
      <c r="AI109" s="212">
        <f>VLOOKUP($D109,'7. PGE_Efficacité'!$A$6:$BT$266,(MATCH('4.6 ACE MAX CAN '!AI$4,'7. PGE_Efficacité'!$A$4:$AO$4,0)+31),0)</f>
        <v>0</v>
      </c>
      <c r="AJ109" s="212">
        <f>VLOOKUP($D109,'7. PGE_Efficacité'!$A$6:$BT$266,(MATCH('4.6 ACE MAX CAN '!AJ$4,'7. PGE_Efficacité'!$A$4:$AO$4,0)+31),0)</f>
        <v>0</v>
      </c>
      <c r="AK109" s="212">
        <f>VLOOKUP($D109,'7. PGE_Efficacité'!$A$6:$BT$266,(MATCH('4.6 ACE MAX CAN '!AK$4,'7. PGE_Efficacité'!$A$4:$AO$4,0)+31),0)</f>
        <v>0</v>
      </c>
      <c r="AL109" s="212">
        <f>VLOOKUP($D109,'7. PGE_Efficacité'!$A$6:$BT$266,(MATCH('4.6 ACE MAX CAN '!AL$4,'7. PGE_Efficacité'!$A$4:$AO$4,0)+31),0)</f>
        <v>0</v>
      </c>
      <c r="AM109" s="212">
        <f>VLOOKUP($D109,'7. PGE_Efficacité'!$A$6:$BT$266,(MATCH('4.6 ACE MAX CAN '!AM$4,'7. PGE_Efficacité'!$A$4:$AO$4,0)+31),0)</f>
        <v>0</v>
      </c>
      <c r="AN109" s="212">
        <f>VLOOKUP($D109,'7. PGE_Efficacité'!$A$6:$BT$266,(MATCH('4.6 ACE MAX CAN '!AN$4,'7. PGE_Efficacité'!$A$4:$AO$4,0)+31),0)</f>
        <v>0</v>
      </c>
    </row>
    <row r="110" spans="1:40" outlineLevel="2" x14ac:dyDescent="0.25">
      <c r="A110" t="s">
        <v>1524</v>
      </c>
      <c r="B110">
        <v>21</v>
      </c>
      <c r="C110" t="s">
        <v>1524</v>
      </c>
      <c r="D110" s="12" t="s">
        <v>21</v>
      </c>
      <c r="E110" s="12" t="s">
        <v>728</v>
      </c>
      <c r="F110" s="12" t="s">
        <v>1386</v>
      </c>
      <c r="G110" s="12" t="s">
        <v>1521</v>
      </c>
      <c r="H110" s="12" t="s">
        <v>1290</v>
      </c>
      <c r="I110" s="148"/>
      <c r="J110" s="149">
        <f>VLOOKUP($E110,'7. PGE_Efficacité'!$A$6:$BT$266,(MATCH('4.6 ACE MAX CAN '!J$4,'7. PGE_Efficacité'!$A$4:$BU$4,0)+31),0)</f>
        <v>0</v>
      </c>
      <c r="K110" s="149">
        <f>VLOOKUP($E110,'7. PGE_Efficacité'!$A$6:$BT$266,(MATCH('4.6 ACE MAX CAN '!K$4,'7. PGE_Efficacité'!$A$4:$BU$4,0)+31),0)</f>
        <v>0</v>
      </c>
      <c r="L110" s="149">
        <f>VLOOKUP($E110,'7. PGE_Efficacité'!$A$6:$BT$266,(MATCH('4.6 ACE MAX CAN '!L$4,'7. PGE_Efficacité'!$A$4:$BU$4,0)+31),0)</f>
        <v>0</v>
      </c>
      <c r="M110" s="149">
        <f>VLOOKUP($E110,'7. PGE_Efficacité'!$A$6:$BT$266,(MATCH('4.6 ACE MAX CAN '!M$4,'7. PGE_Efficacité'!$A$4:$BU$4,0)+31),0)</f>
        <v>0</v>
      </c>
      <c r="N110" s="149">
        <f>VLOOKUP($E110,'7. PGE_Efficacité'!$A$6:$BT$266,(MATCH('4.6 ACE MAX CAN '!N$4,'7. PGE_Efficacité'!$A$4:$BU$4,0)+31),0)</f>
        <v>0</v>
      </c>
      <c r="O110" s="149">
        <f>VLOOKUP($D110,'7. PGE_Efficacité'!$A$6:$BT$268,47,0)</f>
        <v>0</v>
      </c>
      <c r="P110" s="149">
        <f>VLOOKUP($E110,'7. PGE_Efficacité'!$A$6:$BT$266,(MATCH('4.6 ACE MAX CAN '!P$4,'7. PGE_Efficacité'!$A$4:$BU$4,0)+31),0)</f>
        <v>0</v>
      </c>
      <c r="Q110" s="149">
        <f>VLOOKUP($E110,'7. PGE_Efficacité'!$A$6:$BT$266,(MATCH('4.6 ACE MAX CAN '!Q$4,'7. PGE_Efficacité'!$A$4:$BU$4,0)+31),0)</f>
        <v>0</v>
      </c>
      <c r="R110" s="149">
        <f>VLOOKUP($E110,'7. PGE_Efficacité'!$A$6:$BT$266,(MATCH('4.6 ACE MAX CAN '!R$4,'7. PGE_Efficacité'!$A$4:$BU$4,0)+31),0)</f>
        <v>0</v>
      </c>
      <c r="S110" s="149">
        <f>VLOOKUP($E110,'7. PGE_Efficacité'!$A$6:$BT$266,(MATCH('4.6 ACE MAX CAN '!S$4,'7. PGE_Efficacité'!$A$4:$BU$4,0)+31),0)</f>
        <v>0</v>
      </c>
      <c r="T110" s="149">
        <f>VLOOKUP($E110,'7. PGE_Efficacité'!$A$6:$BT$266,(MATCH('4.6 ACE MAX CAN '!T$4,'7. PGE_Efficacité'!$A$4:$BU$4,0)+31),0)</f>
        <v>0</v>
      </c>
      <c r="U110" s="149">
        <f>VLOOKUP($E110,'7. PGE_Efficacité'!$A$6:$BT$266,(MATCH('4.6 ACE MAX CAN '!U$4,'7. PGE_Efficacité'!$A$4:$BU$4,0)+31),0)</f>
        <v>0</v>
      </c>
      <c r="V110" s="149">
        <f>VLOOKUP($E110,'7. PGE_Efficacité'!$A$6:$BT$266,(MATCH('4.6 ACE MAX CAN '!V$4,'7. PGE_Efficacité'!$A$4:$BU$4,0)+31),0)</f>
        <v>0</v>
      </c>
      <c r="W110" s="149">
        <f>VLOOKUP($E110,'7. PGE_Efficacité'!$A$6:$BT$266,(MATCH('4.6 ACE MAX CAN '!W$4,'7. PGE_Efficacité'!$A$4:$BU$4,0)+31),0)</f>
        <v>0</v>
      </c>
      <c r="X110" s="149">
        <f>VLOOKUP($E110,'7. PGE_Efficacité'!$A$6:$BT$266,(MATCH('4.6 ACE MAX CAN '!X$4,'7. PGE_Efficacité'!$A$4:$BU$4,0)+31),0)</f>
        <v>0</v>
      </c>
      <c r="Y110" s="149">
        <f>VLOOKUP($E110,'7. PGE_Efficacité'!$A$6:$BT$266,(MATCH('4.6 ACE MAX CAN '!Y$4,'7. PGE_Efficacité'!$A$4:$BU$4,0)+31),0)</f>
        <v>0</v>
      </c>
      <c r="Z110" s="149">
        <f>VLOOKUP($E110,'7. PGE_Efficacité'!$A$6:$BT$266,(MATCH('4.6 ACE MAX CAN '!Z$4,'7. PGE_Efficacité'!$A$4:$BU$4,0)+31),0)</f>
        <v>0</v>
      </c>
      <c r="AA110" s="149">
        <f>VLOOKUP($E110,'7. PGE_Efficacité'!$A$6:$BT$266,(MATCH('4.6 ACE MAX CAN '!AA$4,'7. PGE_Efficacité'!$A$4:$BU$4,0)+31),0)</f>
        <v>0</v>
      </c>
      <c r="AB110" s="149">
        <f>VLOOKUP($E110,'7. PGE_Efficacité'!$A$6:$BT$266,(MATCH('4.6 ACE MAX CAN '!AB$4,'7. PGE_Efficacité'!$A$4:$BU$4,0)+31),0)</f>
        <v>0</v>
      </c>
      <c r="AC110" s="149">
        <f>VLOOKUP($E110,'7. PGE_Efficacité'!$A$6:$BT$266,(MATCH('4.6 ACE MAX CAN '!AC$4,'7. PGE_Efficacité'!$A$4:$BU$4,0)+31),0)</f>
        <v>0</v>
      </c>
      <c r="AD110" s="149">
        <f>VLOOKUP($E110,'7. PGE_Efficacité'!$A$6:$BT$266,(MATCH('4.6 ACE MAX CAN '!AD$4,'7. PGE_Efficacité'!$A$4:$BU$4,0)+31),0)</f>
        <v>0</v>
      </c>
      <c r="AE110" s="149">
        <f>VLOOKUP($E110,'7. PGE_Efficacité'!$A$6:$BT$266,(MATCH('4.6 ACE MAX CAN '!AE$4,'7. PGE_Efficacité'!$A$4:$BU$4,0)+31),0)</f>
        <v>0</v>
      </c>
      <c r="AF110" s="149">
        <f>VLOOKUP($E110,'7. PGE_Efficacité'!$A$6:$BT$266,(MATCH('4.6 ACE MAX CAN '!AF$4,'7. PGE_Efficacité'!$A$4:$BU$4,0)+31),0)</f>
        <v>0</v>
      </c>
      <c r="AG110" s="149">
        <f>VLOOKUP($E110,'7. PGE_Efficacité'!$A$6:$BT$266,(MATCH('4.6 ACE MAX CAN '!AG$4,'7. PGE_Efficacité'!$A$4:$BU$4,0)+31),0)</f>
        <v>0</v>
      </c>
      <c r="AH110" s="149">
        <f>VLOOKUP($E110,'7. PGE_Efficacité'!$A$6:$BT$266,(MATCH('4.6 ACE MAX CAN '!AH$4,'7. PGE_Efficacité'!$A$4:$BU$4,0)+31),0)</f>
        <v>0</v>
      </c>
      <c r="AI110" s="149">
        <f>VLOOKUP($E110,'7. PGE_Efficacité'!$A$6:$BT$266,(MATCH('4.6 ACE MAX CAN '!AI$4,'7. PGE_Efficacité'!$A$4:$BU$4,0)+31),0)</f>
        <v>0</v>
      </c>
      <c r="AJ110" s="149">
        <f>VLOOKUP($E110,'7. PGE_Efficacité'!$A$6:$BT$266,(MATCH('4.6 ACE MAX CAN '!AJ$4,'7. PGE_Efficacité'!$A$4:$BU$4,0)+31),0)</f>
        <v>0</v>
      </c>
      <c r="AK110" s="149">
        <f>VLOOKUP($E110,'7. PGE_Efficacité'!$A$6:$BT$266,(MATCH('4.6 ACE MAX CAN '!AK$4,'7. PGE_Efficacité'!$A$4:$BU$4,0)+31),0)</f>
        <v>0</v>
      </c>
      <c r="AL110" s="149">
        <f>VLOOKUP($E110,'7. PGE_Efficacité'!$A$6:$BT$266,(MATCH('4.6 ACE MAX CAN '!AL$4,'7. PGE_Efficacité'!$A$4:$BU$4,0)+31),0)</f>
        <v>0</v>
      </c>
      <c r="AM110" s="149">
        <f>VLOOKUP($E110,'7. PGE_Efficacité'!$A$6:$BT$266,(MATCH('4.6 ACE MAX CAN '!AM$4,'7. PGE_Efficacité'!$A$4:$BU$4,0)+31),0)</f>
        <v>0</v>
      </c>
      <c r="AN110" s="149">
        <f>VLOOKUP($E110,'7. PGE_Efficacité'!$A$6:$BT$266,(MATCH('4.6 ACE MAX CAN '!AN$4,'7. PGE_Efficacité'!$A$4:$BU$4,0)+31),0)</f>
        <v>0</v>
      </c>
    </row>
    <row r="111" spans="1:40" outlineLevel="2" x14ac:dyDescent="0.25">
      <c r="A111" t="s">
        <v>1524</v>
      </c>
      <c r="B111">
        <v>21</v>
      </c>
      <c r="C111" t="s">
        <v>1525</v>
      </c>
      <c r="D111" s="12" t="s">
        <v>21</v>
      </c>
      <c r="E111" s="12" t="s">
        <v>730</v>
      </c>
      <c r="F111" s="12" t="s">
        <v>1388</v>
      </c>
      <c r="G111" s="12" t="s">
        <v>1521</v>
      </c>
      <c r="H111" s="12" t="s">
        <v>1290</v>
      </c>
      <c r="I111" s="148"/>
      <c r="J111" s="149">
        <f>VLOOKUP($E111,'7. PGE_Efficacité'!$A$6:$BT$266,(MATCH('4.6 ACE MAX CAN '!J$4,'7. PGE_Efficacité'!$A$4:$BU$4,0)+31),0)</f>
        <v>0</v>
      </c>
      <c r="K111" s="149">
        <f>VLOOKUP($E111,'7. PGE_Efficacité'!$A$6:$BT$266,(MATCH('4.6 ACE MAX CAN '!K$4,'7. PGE_Efficacité'!$A$4:$BU$4,0)+31),0)</f>
        <v>0</v>
      </c>
      <c r="L111" s="149">
        <f>VLOOKUP($E111,'7. PGE_Efficacité'!$A$6:$BT$266,(MATCH('4.6 ACE MAX CAN '!L$4,'7. PGE_Efficacité'!$A$4:$BU$4,0)+31),0)</f>
        <v>0</v>
      </c>
      <c r="M111" s="149">
        <f>VLOOKUP($E111,'7. PGE_Efficacité'!$A$6:$BT$266,(MATCH('4.6 ACE MAX CAN '!M$4,'7. PGE_Efficacité'!$A$4:$BU$4,0)+31),0)</f>
        <v>0</v>
      </c>
      <c r="N111" s="149">
        <f>VLOOKUP($E111,'7. PGE_Efficacité'!$A$6:$BT$266,(MATCH('4.6 ACE MAX CAN '!N$4,'7. PGE_Efficacité'!$A$4:$BU$4,0)+31),0)</f>
        <v>0</v>
      </c>
      <c r="O111" s="149">
        <f>VLOOKUP($D111,'7. PGE_Efficacité'!$A$6:$BT$268,47,0)</f>
        <v>0</v>
      </c>
      <c r="P111" s="149">
        <f>VLOOKUP($E111,'7. PGE_Efficacité'!$A$6:$BT$266,(MATCH('4.6 ACE MAX CAN '!P$4,'7. PGE_Efficacité'!$A$4:$BU$4,0)+31),0)</f>
        <v>0</v>
      </c>
      <c r="Q111" s="149">
        <f>VLOOKUP($E111,'7. PGE_Efficacité'!$A$6:$BT$266,(MATCH('4.6 ACE MAX CAN '!Q$4,'7. PGE_Efficacité'!$A$4:$BU$4,0)+31),0)</f>
        <v>0</v>
      </c>
      <c r="R111" s="149">
        <f>VLOOKUP($E111,'7. PGE_Efficacité'!$A$6:$BT$266,(MATCH('4.6 ACE MAX CAN '!R$4,'7. PGE_Efficacité'!$A$4:$BU$4,0)+31),0)</f>
        <v>0</v>
      </c>
      <c r="S111" s="149">
        <f>VLOOKUP($E111,'7. PGE_Efficacité'!$A$6:$BT$266,(MATCH('4.6 ACE MAX CAN '!S$4,'7. PGE_Efficacité'!$A$4:$BU$4,0)+31),0)</f>
        <v>0</v>
      </c>
      <c r="T111" s="149">
        <f>VLOOKUP($E111,'7. PGE_Efficacité'!$A$6:$BT$266,(MATCH('4.6 ACE MAX CAN '!T$4,'7. PGE_Efficacité'!$A$4:$BU$4,0)+31),0)</f>
        <v>0</v>
      </c>
      <c r="U111" s="149">
        <f>VLOOKUP($E111,'7. PGE_Efficacité'!$A$6:$BT$266,(MATCH('4.6 ACE MAX CAN '!U$4,'7. PGE_Efficacité'!$A$4:$BU$4,0)+31),0)</f>
        <v>0</v>
      </c>
      <c r="V111" s="149">
        <f>VLOOKUP($E111,'7. PGE_Efficacité'!$A$6:$BT$266,(MATCH('4.6 ACE MAX CAN '!V$4,'7. PGE_Efficacité'!$A$4:$BU$4,0)+31),0)</f>
        <v>0</v>
      </c>
      <c r="W111" s="149">
        <f>VLOOKUP($E111,'7. PGE_Efficacité'!$A$6:$BT$266,(MATCH('4.6 ACE MAX CAN '!W$4,'7. PGE_Efficacité'!$A$4:$BU$4,0)+31),0)</f>
        <v>0</v>
      </c>
      <c r="X111" s="149">
        <f>VLOOKUP($E111,'7. PGE_Efficacité'!$A$6:$BT$266,(MATCH('4.6 ACE MAX CAN '!X$4,'7. PGE_Efficacité'!$A$4:$BU$4,0)+31),0)</f>
        <v>0</v>
      </c>
      <c r="Y111" s="149">
        <f>VLOOKUP($E111,'7. PGE_Efficacité'!$A$6:$BT$266,(MATCH('4.6 ACE MAX CAN '!Y$4,'7. PGE_Efficacité'!$A$4:$BU$4,0)+31),0)</f>
        <v>0</v>
      </c>
      <c r="Z111" s="149">
        <f>VLOOKUP($E111,'7. PGE_Efficacité'!$A$6:$BT$266,(MATCH('4.6 ACE MAX CAN '!Z$4,'7. PGE_Efficacité'!$A$4:$BU$4,0)+31),0)</f>
        <v>0</v>
      </c>
      <c r="AA111" s="149">
        <f>VLOOKUP($E111,'7. PGE_Efficacité'!$A$6:$BT$266,(MATCH('4.6 ACE MAX CAN '!AA$4,'7. PGE_Efficacité'!$A$4:$BU$4,0)+31),0)</f>
        <v>0</v>
      </c>
      <c r="AB111" s="149">
        <f>VLOOKUP($E111,'7. PGE_Efficacité'!$A$6:$BT$266,(MATCH('4.6 ACE MAX CAN '!AB$4,'7. PGE_Efficacité'!$A$4:$BU$4,0)+31),0)</f>
        <v>0</v>
      </c>
      <c r="AC111" s="149">
        <f>VLOOKUP($E111,'7. PGE_Efficacité'!$A$6:$BT$266,(MATCH('4.6 ACE MAX CAN '!AC$4,'7. PGE_Efficacité'!$A$4:$BU$4,0)+31),0)</f>
        <v>0</v>
      </c>
      <c r="AD111" s="149">
        <f>VLOOKUP($E111,'7. PGE_Efficacité'!$A$6:$BT$266,(MATCH('4.6 ACE MAX CAN '!AD$4,'7. PGE_Efficacité'!$A$4:$BU$4,0)+31),0)</f>
        <v>0</v>
      </c>
      <c r="AE111" s="149">
        <f>VLOOKUP($E111,'7. PGE_Efficacité'!$A$6:$BT$266,(MATCH('4.6 ACE MAX CAN '!AE$4,'7. PGE_Efficacité'!$A$4:$BU$4,0)+31),0)</f>
        <v>0</v>
      </c>
      <c r="AF111" s="149">
        <f>VLOOKUP($E111,'7. PGE_Efficacité'!$A$6:$BT$266,(MATCH('4.6 ACE MAX CAN '!AF$4,'7. PGE_Efficacité'!$A$4:$BU$4,0)+31),0)</f>
        <v>0</v>
      </c>
      <c r="AG111" s="149">
        <f>VLOOKUP($E111,'7. PGE_Efficacité'!$A$6:$BT$266,(MATCH('4.6 ACE MAX CAN '!AG$4,'7. PGE_Efficacité'!$A$4:$BU$4,0)+31),0)</f>
        <v>0</v>
      </c>
      <c r="AH111" s="149">
        <f>VLOOKUP($E111,'7. PGE_Efficacité'!$A$6:$BT$266,(MATCH('4.6 ACE MAX CAN '!AH$4,'7. PGE_Efficacité'!$A$4:$BU$4,0)+31),0)</f>
        <v>0</v>
      </c>
      <c r="AI111" s="149">
        <f>VLOOKUP($E111,'7. PGE_Efficacité'!$A$6:$BT$266,(MATCH('4.6 ACE MAX CAN '!AI$4,'7. PGE_Efficacité'!$A$4:$BU$4,0)+31),0)</f>
        <v>0</v>
      </c>
      <c r="AJ111" s="149">
        <f>VLOOKUP($E111,'7. PGE_Efficacité'!$A$6:$BT$266,(MATCH('4.6 ACE MAX CAN '!AJ$4,'7. PGE_Efficacité'!$A$4:$BU$4,0)+31),0)</f>
        <v>0</v>
      </c>
      <c r="AK111" s="149">
        <f>VLOOKUP($E111,'7. PGE_Efficacité'!$A$6:$BT$266,(MATCH('4.6 ACE MAX CAN '!AK$4,'7. PGE_Efficacité'!$A$4:$BU$4,0)+31),0)</f>
        <v>0</v>
      </c>
      <c r="AL111" s="149">
        <f>VLOOKUP($E111,'7. PGE_Efficacité'!$A$6:$BT$266,(MATCH('4.6 ACE MAX CAN '!AL$4,'7. PGE_Efficacité'!$A$4:$BU$4,0)+31),0)</f>
        <v>0</v>
      </c>
      <c r="AM111" s="149">
        <f>VLOOKUP($E111,'7. PGE_Efficacité'!$A$6:$BT$266,(MATCH('4.6 ACE MAX CAN '!AM$4,'7. PGE_Efficacité'!$A$4:$BU$4,0)+31),0)</f>
        <v>0</v>
      </c>
      <c r="AN111" s="149">
        <f>VLOOKUP($E111,'7. PGE_Efficacité'!$A$6:$BT$266,(MATCH('4.6 ACE MAX CAN '!AN$4,'7. PGE_Efficacité'!$A$4:$BU$4,0)+31),0)</f>
        <v>0</v>
      </c>
    </row>
    <row r="112" spans="1:40" outlineLevel="2" x14ac:dyDescent="0.25">
      <c r="A112" t="s">
        <v>1524</v>
      </c>
      <c r="B112">
        <v>21</v>
      </c>
      <c r="C112" t="s">
        <v>1526</v>
      </c>
      <c r="D112" s="12" t="s">
        <v>21</v>
      </c>
      <c r="E112" s="12" t="s">
        <v>731</v>
      </c>
      <c r="F112" s="12" t="s">
        <v>1389</v>
      </c>
      <c r="G112" s="12" t="s">
        <v>1521</v>
      </c>
      <c r="H112" s="12" t="s">
        <v>1290</v>
      </c>
      <c r="I112" s="148"/>
      <c r="J112" s="149">
        <f>VLOOKUP($E112,'7. PGE_Efficacité'!$A$6:$BT$266,(MATCH('4.6 ACE MAX CAN '!J$4,'7. PGE_Efficacité'!$A$4:$BU$4,0)+31),0)</f>
        <v>0</v>
      </c>
      <c r="K112" s="149">
        <f>VLOOKUP($E112,'7. PGE_Efficacité'!$A$6:$BT$266,(MATCH('4.6 ACE MAX CAN '!K$4,'7. PGE_Efficacité'!$A$4:$BU$4,0)+31),0)</f>
        <v>0</v>
      </c>
      <c r="L112" s="149">
        <f>VLOOKUP($E112,'7. PGE_Efficacité'!$A$6:$BT$266,(MATCH('4.6 ACE MAX CAN '!L$4,'7. PGE_Efficacité'!$A$4:$BU$4,0)+31),0)</f>
        <v>0</v>
      </c>
      <c r="M112" s="149">
        <f>VLOOKUP($E112,'7. PGE_Efficacité'!$A$6:$BT$266,(MATCH('4.6 ACE MAX CAN '!M$4,'7. PGE_Efficacité'!$A$4:$BU$4,0)+31),0)</f>
        <v>0</v>
      </c>
      <c r="N112" s="149">
        <f>VLOOKUP($E112,'7. PGE_Efficacité'!$A$6:$BT$266,(MATCH('4.6 ACE MAX CAN '!N$4,'7. PGE_Efficacité'!$A$4:$BU$4,0)+31),0)</f>
        <v>0</v>
      </c>
      <c r="O112" s="149">
        <f>VLOOKUP($D112,'7. PGE_Efficacité'!$A$6:$BT$268,47,0)</f>
        <v>0</v>
      </c>
      <c r="P112" s="149">
        <f>VLOOKUP($E112,'7. PGE_Efficacité'!$A$6:$BT$266,(MATCH('4.6 ACE MAX CAN '!P$4,'7. PGE_Efficacité'!$A$4:$BU$4,0)+31),0)</f>
        <v>0</v>
      </c>
      <c r="Q112" s="149">
        <f>VLOOKUP($E112,'7. PGE_Efficacité'!$A$6:$BT$266,(MATCH('4.6 ACE MAX CAN '!Q$4,'7. PGE_Efficacité'!$A$4:$BU$4,0)+31),0)</f>
        <v>0</v>
      </c>
      <c r="R112" s="149">
        <f>VLOOKUP($E112,'7. PGE_Efficacité'!$A$6:$BT$266,(MATCH('4.6 ACE MAX CAN '!R$4,'7. PGE_Efficacité'!$A$4:$BU$4,0)+31),0)</f>
        <v>0</v>
      </c>
      <c r="S112" s="149">
        <f>VLOOKUP($E112,'7. PGE_Efficacité'!$A$6:$BT$266,(MATCH('4.6 ACE MAX CAN '!S$4,'7. PGE_Efficacité'!$A$4:$BU$4,0)+31),0)</f>
        <v>0</v>
      </c>
      <c r="T112" s="149">
        <f>VLOOKUP($E112,'7. PGE_Efficacité'!$A$6:$BT$266,(MATCH('4.6 ACE MAX CAN '!T$4,'7. PGE_Efficacité'!$A$4:$BU$4,0)+31),0)</f>
        <v>0</v>
      </c>
      <c r="U112" s="149">
        <f>VLOOKUP($E112,'7. PGE_Efficacité'!$A$6:$BT$266,(MATCH('4.6 ACE MAX CAN '!U$4,'7. PGE_Efficacité'!$A$4:$BU$4,0)+31),0)</f>
        <v>0</v>
      </c>
      <c r="V112" s="149">
        <f>VLOOKUP($E112,'7. PGE_Efficacité'!$A$6:$BT$266,(MATCH('4.6 ACE MAX CAN '!V$4,'7. PGE_Efficacité'!$A$4:$BU$4,0)+31),0)</f>
        <v>0</v>
      </c>
      <c r="W112" s="149">
        <f>VLOOKUP($E112,'7. PGE_Efficacité'!$A$6:$BT$266,(MATCH('4.6 ACE MAX CAN '!W$4,'7. PGE_Efficacité'!$A$4:$BU$4,0)+31),0)</f>
        <v>0</v>
      </c>
      <c r="X112" s="149">
        <f>VLOOKUP($E112,'7. PGE_Efficacité'!$A$6:$BT$266,(MATCH('4.6 ACE MAX CAN '!X$4,'7. PGE_Efficacité'!$A$4:$BU$4,0)+31),0)</f>
        <v>0</v>
      </c>
      <c r="Y112" s="149">
        <f>VLOOKUP($E112,'7. PGE_Efficacité'!$A$6:$BT$266,(MATCH('4.6 ACE MAX CAN '!Y$4,'7. PGE_Efficacité'!$A$4:$BU$4,0)+31),0)</f>
        <v>0</v>
      </c>
      <c r="Z112" s="149">
        <f>VLOOKUP($E112,'7. PGE_Efficacité'!$A$6:$BT$266,(MATCH('4.6 ACE MAX CAN '!Z$4,'7. PGE_Efficacité'!$A$4:$BU$4,0)+31),0)</f>
        <v>0</v>
      </c>
      <c r="AA112" s="149">
        <f>VLOOKUP($E112,'7. PGE_Efficacité'!$A$6:$BT$266,(MATCH('4.6 ACE MAX CAN '!AA$4,'7. PGE_Efficacité'!$A$4:$BU$4,0)+31),0)</f>
        <v>0</v>
      </c>
      <c r="AB112" s="149">
        <f>VLOOKUP($E112,'7. PGE_Efficacité'!$A$6:$BT$266,(MATCH('4.6 ACE MAX CAN '!AB$4,'7. PGE_Efficacité'!$A$4:$BU$4,0)+31),0)</f>
        <v>0</v>
      </c>
      <c r="AC112" s="149">
        <f>VLOOKUP($E112,'7. PGE_Efficacité'!$A$6:$BT$266,(MATCH('4.6 ACE MAX CAN '!AC$4,'7. PGE_Efficacité'!$A$4:$BU$4,0)+31),0)</f>
        <v>0</v>
      </c>
      <c r="AD112" s="149">
        <f>VLOOKUP($E112,'7. PGE_Efficacité'!$A$6:$BT$266,(MATCH('4.6 ACE MAX CAN '!AD$4,'7. PGE_Efficacité'!$A$4:$BU$4,0)+31),0)</f>
        <v>0</v>
      </c>
      <c r="AE112" s="149">
        <f>VLOOKUP($E112,'7. PGE_Efficacité'!$A$6:$BT$266,(MATCH('4.6 ACE MAX CAN '!AE$4,'7. PGE_Efficacité'!$A$4:$BU$4,0)+31),0)</f>
        <v>0</v>
      </c>
      <c r="AF112" s="149">
        <f>VLOOKUP($E112,'7. PGE_Efficacité'!$A$6:$BT$266,(MATCH('4.6 ACE MAX CAN '!AF$4,'7. PGE_Efficacité'!$A$4:$BU$4,0)+31),0)</f>
        <v>0</v>
      </c>
      <c r="AG112" s="149">
        <f>VLOOKUP($E112,'7. PGE_Efficacité'!$A$6:$BT$266,(MATCH('4.6 ACE MAX CAN '!AG$4,'7. PGE_Efficacité'!$A$4:$BU$4,0)+31),0)</f>
        <v>0</v>
      </c>
      <c r="AH112" s="149">
        <f>VLOOKUP($E112,'7. PGE_Efficacité'!$A$6:$BT$266,(MATCH('4.6 ACE MAX CAN '!AH$4,'7. PGE_Efficacité'!$A$4:$BU$4,0)+31),0)</f>
        <v>0</v>
      </c>
      <c r="AI112" s="149">
        <f>VLOOKUP($E112,'7. PGE_Efficacité'!$A$6:$BT$266,(MATCH('4.6 ACE MAX CAN '!AI$4,'7. PGE_Efficacité'!$A$4:$BU$4,0)+31),0)</f>
        <v>0</v>
      </c>
      <c r="AJ112" s="149">
        <f>VLOOKUP($E112,'7. PGE_Efficacité'!$A$6:$BT$266,(MATCH('4.6 ACE MAX CAN '!AJ$4,'7. PGE_Efficacité'!$A$4:$BU$4,0)+31),0)</f>
        <v>0</v>
      </c>
      <c r="AK112" s="149">
        <f>VLOOKUP($E112,'7. PGE_Efficacité'!$A$6:$BT$266,(MATCH('4.6 ACE MAX CAN '!AK$4,'7. PGE_Efficacité'!$A$4:$BU$4,0)+31),0)</f>
        <v>0</v>
      </c>
      <c r="AL112" s="149">
        <f>VLOOKUP($E112,'7. PGE_Efficacité'!$A$6:$BT$266,(MATCH('4.6 ACE MAX CAN '!AL$4,'7. PGE_Efficacité'!$A$4:$BU$4,0)+31),0)</f>
        <v>0</v>
      </c>
      <c r="AM112" s="149">
        <f>VLOOKUP($E112,'7. PGE_Efficacité'!$A$6:$BT$266,(MATCH('4.6 ACE MAX CAN '!AM$4,'7. PGE_Efficacité'!$A$4:$BU$4,0)+31),0)</f>
        <v>0</v>
      </c>
      <c r="AN112" s="149">
        <f>VLOOKUP($E112,'7. PGE_Efficacité'!$A$6:$BT$266,(MATCH('4.6 ACE MAX CAN '!AN$4,'7. PGE_Efficacité'!$A$4:$BU$4,0)+31),0)</f>
        <v>0</v>
      </c>
    </row>
    <row r="113" spans="1:40" outlineLevel="2" x14ac:dyDescent="0.25">
      <c r="A113" t="s">
        <v>1524</v>
      </c>
      <c r="B113">
        <v>21</v>
      </c>
      <c r="C113" t="s">
        <v>1527</v>
      </c>
      <c r="D113" s="12" t="s">
        <v>21</v>
      </c>
      <c r="E113" s="12" t="s">
        <v>732</v>
      </c>
      <c r="F113" s="12" t="s">
        <v>1390</v>
      </c>
      <c r="G113" s="12" t="s">
        <v>1521</v>
      </c>
      <c r="H113" s="12" t="s">
        <v>1290</v>
      </c>
      <c r="I113" s="148"/>
      <c r="J113" s="149">
        <f>VLOOKUP($E113,'7. PGE_Efficacité'!$A$6:$BT$266,(MATCH('4.6 ACE MAX CAN '!J$4,'7. PGE_Efficacité'!$A$4:$BU$4,0)+31),0)</f>
        <v>0</v>
      </c>
      <c r="K113" s="149">
        <f>VLOOKUP($E113,'7. PGE_Efficacité'!$A$6:$BT$266,(MATCH('4.6 ACE MAX CAN '!K$4,'7. PGE_Efficacité'!$A$4:$BU$4,0)+31),0)</f>
        <v>0</v>
      </c>
      <c r="L113" s="149">
        <f>VLOOKUP($E113,'7. PGE_Efficacité'!$A$6:$BT$266,(MATCH('4.6 ACE MAX CAN '!L$4,'7. PGE_Efficacité'!$A$4:$BU$4,0)+31),0)</f>
        <v>0</v>
      </c>
      <c r="M113" s="149">
        <f>VLOOKUP($E113,'7. PGE_Efficacité'!$A$6:$BT$266,(MATCH('4.6 ACE MAX CAN '!M$4,'7. PGE_Efficacité'!$A$4:$BU$4,0)+31),0)</f>
        <v>0</v>
      </c>
      <c r="N113" s="149">
        <f>VLOOKUP($E113,'7. PGE_Efficacité'!$A$6:$BT$266,(MATCH('4.6 ACE MAX CAN '!N$4,'7. PGE_Efficacité'!$A$4:$BU$4,0)+31),0)</f>
        <v>0</v>
      </c>
      <c r="O113" s="149">
        <f>VLOOKUP($D113,'7. PGE_Efficacité'!$A$6:$BT$268,47,0)</f>
        <v>0</v>
      </c>
      <c r="P113" s="149">
        <f>VLOOKUP($E113,'7. PGE_Efficacité'!$A$6:$BT$266,(MATCH('4.6 ACE MAX CAN '!P$4,'7. PGE_Efficacité'!$A$4:$BU$4,0)+31),0)</f>
        <v>0</v>
      </c>
      <c r="Q113" s="149">
        <f>VLOOKUP($E113,'7. PGE_Efficacité'!$A$6:$BT$266,(MATCH('4.6 ACE MAX CAN '!Q$4,'7. PGE_Efficacité'!$A$4:$BU$4,0)+31),0)</f>
        <v>0</v>
      </c>
      <c r="R113" s="149">
        <f>VLOOKUP($E113,'7. PGE_Efficacité'!$A$6:$BT$266,(MATCH('4.6 ACE MAX CAN '!R$4,'7. PGE_Efficacité'!$A$4:$BU$4,0)+31),0)</f>
        <v>0</v>
      </c>
      <c r="S113" s="149">
        <f>VLOOKUP($E113,'7. PGE_Efficacité'!$A$6:$BT$266,(MATCH('4.6 ACE MAX CAN '!S$4,'7. PGE_Efficacité'!$A$4:$BU$4,0)+31),0)</f>
        <v>0</v>
      </c>
      <c r="T113" s="149">
        <f>VLOOKUP($E113,'7. PGE_Efficacité'!$A$6:$BT$266,(MATCH('4.6 ACE MAX CAN '!T$4,'7. PGE_Efficacité'!$A$4:$BU$4,0)+31),0)</f>
        <v>0</v>
      </c>
      <c r="U113" s="149">
        <f>VLOOKUP($E113,'7. PGE_Efficacité'!$A$6:$BT$266,(MATCH('4.6 ACE MAX CAN '!U$4,'7. PGE_Efficacité'!$A$4:$BU$4,0)+31),0)</f>
        <v>0</v>
      </c>
      <c r="V113" s="149">
        <f>VLOOKUP($E113,'7. PGE_Efficacité'!$A$6:$BT$266,(MATCH('4.6 ACE MAX CAN '!V$4,'7. PGE_Efficacité'!$A$4:$BU$4,0)+31),0)</f>
        <v>0</v>
      </c>
      <c r="W113" s="149">
        <f>VLOOKUP($E113,'7. PGE_Efficacité'!$A$6:$BT$266,(MATCH('4.6 ACE MAX CAN '!W$4,'7. PGE_Efficacité'!$A$4:$BU$4,0)+31),0)</f>
        <v>0</v>
      </c>
      <c r="X113" s="149">
        <f>VLOOKUP($E113,'7. PGE_Efficacité'!$A$6:$BT$266,(MATCH('4.6 ACE MAX CAN '!X$4,'7. PGE_Efficacité'!$A$4:$BU$4,0)+31),0)</f>
        <v>0</v>
      </c>
      <c r="Y113" s="149">
        <f>VLOOKUP($E113,'7. PGE_Efficacité'!$A$6:$BT$266,(MATCH('4.6 ACE MAX CAN '!Y$4,'7. PGE_Efficacité'!$A$4:$BU$4,0)+31),0)</f>
        <v>0</v>
      </c>
      <c r="Z113" s="149">
        <f>VLOOKUP($E113,'7. PGE_Efficacité'!$A$6:$BT$266,(MATCH('4.6 ACE MAX CAN '!Z$4,'7. PGE_Efficacité'!$A$4:$BU$4,0)+31),0)</f>
        <v>0</v>
      </c>
      <c r="AA113" s="149">
        <f>VLOOKUP($E113,'7. PGE_Efficacité'!$A$6:$BT$266,(MATCH('4.6 ACE MAX CAN '!AA$4,'7. PGE_Efficacité'!$A$4:$BU$4,0)+31),0)</f>
        <v>0</v>
      </c>
      <c r="AB113" s="149">
        <f>VLOOKUP($E113,'7. PGE_Efficacité'!$A$6:$BT$266,(MATCH('4.6 ACE MAX CAN '!AB$4,'7. PGE_Efficacité'!$A$4:$BU$4,0)+31),0)</f>
        <v>0</v>
      </c>
      <c r="AC113" s="149">
        <f>VLOOKUP($E113,'7. PGE_Efficacité'!$A$6:$BT$266,(MATCH('4.6 ACE MAX CAN '!AC$4,'7. PGE_Efficacité'!$A$4:$BU$4,0)+31),0)</f>
        <v>0</v>
      </c>
      <c r="AD113" s="149">
        <f>VLOOKUP($E113,'7. PGE_Efficacité'!$A$6:$BT$266,(MATCH('4.6 ACE MAX CAN '!AD$4,'7. PGE_Efficacité'!$A$4:$BU$4,0)+31),0)</f>
        <v>0</v>
      </c>
      <c r="AE113" s="149">
        <f>VLOOKUP($E113,'7. PGE_Efficacité'!$A$6:$BT$266,(MATCH('4.6 ACE MAX CAN '!AE$4,'7. PGE_Efficacité'!$A$4:$BU$4,0)+31),0)</f>
        <v>0</v>
      </c>
      <c r="AF113" s="149">
        <f>VLOOKUP($E113,'7. PGE_Efficacité'!$A$6:$BT$266,(MATCH('4.6 ACE MAX CAN '!AF$4,'7. PGE_Efficacité'!$A$4:$BU$4,0)+31),0)</f>
        <v>0</v>
      </c>
      <c r="AG113" s="149">
        <f>VLOOKUP($E113,'7. PGE_Efficacité'!$A$6:$BT$266,(MATCH('4.6 ACE MAX CAN '!AG$4,'7. PGE_Efficacité'!$A$4:$BU$4,0)+31),0)</f>
        <v>0</v>
      </c>
      <c r="AH113" s="149">
        <f>VLOOKUP($E113,'7. PGE_Efficacité'!$A$6:$BT$266,(MATCH('4.6 ACE MAX CAN '!AH$4,'7. PGE_Efficacité'!$A$4:$BU$4,0)+31),0)</f>
        <v>0</v>
      </c>
      <c r="AI113" s="149">
        <f>VLOOKUP($E113,'7. PGE_Efficacité'!$A$6:$BT$266,(MATCH('4.6 ACE MAX CAN '!AI$4,'7. PGE_Efficacité'!$A$4:$BU$4,0)+31),0)</f>
        <v>0</v>
      </c>
      <c r="AJ113" s="149">
        <f>VLOOKUP($E113,'7. PGE_Efficacité'!$A$6:$BT$266,(MATCH('4.6 ACE MAX CAN '!AJ$4,'7. PGE_Efficacité'!$A$4:$BU$4,0)+31),0)</f>
        <v>0</v>
      </c>
      <c r="AK113" s="149">
        <f>VLOOKUP($E113,'7. PGE_Efficacité'!$A$6:$BT$266,(MATCH('4.6 ACE MAX CAN '!AK$4,'7. PGE_Efficacité'!$A$4:$BU$4,0)+31),0)</f>
        <v>0</v>
      </c>
      <c r="AL113" s="149">
        <f>VLOOKUP($E113,'7. PGE_Efficacité'!$A$6:$BT$266,(MATCH('4.6 ACE MAX CAN '!AL$4,'7. PGE_Efficacité'!$A$4:$BU$4,0)+31),0)</f>
        <v>0</v>
      </c>
      <c r="AM113" s="149">
        <f>VLOOKUP($E113,'7. PGE_Efficacité'!$A$6:$BT$266,(MATCH('4.6 ACE MAX CAN '!AM$4,'7. PGE_Efficacité'!$A$4:$BU$4,0)+31),0)</f>
        <v>0</v>
      </c>
      <c r="AN113" s="149">
        <f>VLOOKUP($E113,'7. PGE_Efficacité'!$A$6:$BT$266,(MATCH('4.6 ACE MAX CAN '!AN$4,'7. PGE_Efficacité'!$A$4:$BU$4,0)+31),0)</f>
        <v>0</v>
      </c>
    </row>
    <row r="114" spans="1:40" outlineLevel="2" x14ac:dyDescent="0.25">
      <c r="A114" t="s">
        <v>1524</v>
      </c>
      <c r="B114">
        <v>21</v>
      </c>
      <c r="C114" t="s">
        <v>410</v>
      </c>
      <c r="D114" s="12" t="s">
        <v>21</v>
      </c>
      <c r="E114" s="12" t="s">
        <v>733</v>
      </c>
      <c r="F114" s="12" t="s">
        <v>1391</v>
      </c>
      <c r="G114" s="12" t="s">
        <v>1521</v>
      </c>
      <c r="H114" s="12" t="s">
        <v>1290</v>
      </c>
      <c r="I114" s="148"/>
      <c r="J114" s="149">
        <f>VLOOKUP($E114,'7. PGE_Efficacité'!$A$6:$BT$266,(MATCH('4.6 ACE MAX CAN '!J$4,'7. PGE_Efficacité'!$A$4:$BU$4,0)+31),0)</f>
        <v>0</v>
      </c>
      <c r="K114" s="149">
        <f>VLOOKUP($E114,'7. PGE_Efficacité'!$A$6:$BT$266,(MATCH('4.6 ACE MAX CAN '!K$4,'7. PGE_Efficacité'!$A$4:$BU$4,0)+31),0)</f>
        <v>0</v>
      </c>
      <c r="L114" s="149">
        <f>VLOOKUP($E114,'7. PGE_Efficacité'!$A$6:$BT$266,(MATCH('4.6 ACE MAX CAN '!L$4,'7. PGE_Efficacité'!$A$4:$BU$4,0)+31),0)</f>
        <v>0</v>
      </c>
      <c r="M114" s="149">
        <f>VLOOKUP($E114,'7. PGE_Efficacité'!$A$6:$BT$266,(MATCH('4.6 ACE MAX CAN '!M$4,'7. PGE_Efficacité'!$A$4:$BU$4,0)+31),0)</f>
        <v>0</v>
      </c>
      <c r="N114" s="149">
        <f>VLOOKUP($E114,'7. PGE_Efficacité'!$A$6:$BT$266,(MATCH('4.6 ACE MAX CAN '!N$4,'7. PGE_Efficacité'!$A$4:$BU$4,0)+31),0)</f>
        <v>0</v>
      </c>
      <c r="O114" s="149">
        <f>VLOOKUP($D114,'7. PGE_Efficacité'!$A$6:$BT$268,47,0)</f>
        <v>0</v>
      </c>
      <c r="P114" s="149">
        <f>VLOOKUP($E114,'7. PGE_Efficacité'!$A$6:$BT$266,(MATCH('4.6 ACE MAX CAN '!P$4,'7. PGE_Efficacité'!$A$4:$BU$4,0)+31),0)</f>
        <v>0</v>
      </c>
      <c r="Q114" s="149">
        <f>VLOOKUP($E114,'7. PGE_Efficacité'!$A$6:$BT$266,(MATCH('4.6 ACE MAX CAN '!Q$4,'7. PGE_Efficacité'!$A$4:$BU$4,0)+31),0)</f>
        <v>0</v>
      </c>
      <c r="R114" s="149">
        <f>VLOOKUP($E114,'7. PGE_Efficacité'!$A$6:$BT$266,(MATCH('4.6 ACE MAX CAN '!R$4,'7. PGE_Efficacité'!$A$4:$BU$4,0)+31),0)</f>
        <v>0</v>
      </c>
      <c r="S114" s="149">
        <f>VLOOKUP($E114,'7. PGE_Efficacité'!$A$6:$BT$266,(MATCH('4.6 ACE MAX CAN '!S$4,'7. PGE_Efficacité'!$A$4:$BU$4,0)+31),0)</f>
        <v>0</v>
      </c>
      <c r="T114" s="149">
        <f>VLOOKUP($E114,'7. PGE_Efficacité'!$A$6:$BT$266,(MATCH('4.6 ACE MAX CAN '!T$4,'7. PGE_Efficacité'!$A$4:$BU$4,0)+31),0)</f>
        <v>0</v>
      </c>
      <c r="U114" s="149">
        <f>VLOOKUP($E114,'7. PGE_Efficacité'!$A$6:$BT$266,(MATCH('4.6 ACE MAX CAN '!U$4,'7. PGE_Efficacité'!$A$4:$BU$4,0)+31),0)</f>
        <v>0</v>
      </c>
      <c r="V114" s="149">
        <f>VLOOKUP($E114,'7. PGE_Efficacité'!$A$6:$BT$266,(MATCH('4.6 ACE MAX CAN '!V$4,'7. PGE_Efficacité'!$A$4:$BU$4,0)+31),0)</f>
        <v>0</v>
      </c>
      <c r="W114" s="149">
        <f>VLOOKUP($E114,'7. PGE_Efficacité'!$A$6:$BT$266,(MATCH('4.6 ACE MAX CAN '!W$4,'7. PGE_Efficacité'!$A$4:$BU$4,0)+31),0)</f>
        <v>0</v>
      </c>
      <c r="X114" s="149">
        <f>VLOOKUP($E114,'7. PGE_Efficacité'!$A$6:$BT$266,(MATCH('4.6 ACE MAX CAN '!X$4,'7. PGE_Efficacité'!$A$4:$BU$4,0)+31),0)</f>
        <v>0</v>
      </c>
      <c r="Y114" s="149">
        <f>VLOOKUP($E114,'7. PGE_Efficacité'!$A$6:$BT$266,(MATCH('4.6 ACE MAX CAN '!Y$4,'7. PGE_Efficacité'!$A$4:$BU$4,0)+31),0)</f>
        <v>0</v>
      </c>
      <c r="Z114" s="149">
        <f>VLOOKUP($E114,'7. PGE_Efficacité'!$A$6:$BT$266,(MATCH('4.6 ACE MAX CAN '!Z$4,'7. PGE_Efficacité'!$A$4:$BU$4,0)+31),0)</f>
        <v>0</v>
      </c>
      <c r="AA114" s="149">
        <f>VLOOKUP($E114,'7. PGE_Efficacité'!$A$6:$BT$266,(MATCH('4.6 ACE MAX CAN '!AA$4,'7. PGE_Efficacité'!$A$4:$BU$4,0)+31),0)</f>
        <v>0</v>
      </c>
      <c r="AB114" s="149">
        <f>VLOOKUP($E114,'7. PGE_Efficacité'!$A$6:$BT$266,(MATCH('4.6 ACE MAX CAN '!AB$4,'7. PGE_Efficacité'!$A$4:$BU$4,0)+31),0)</f>
        <v>0</v>
      </c>
      <c r="AC114" s="149">
        <f>VLOOKUP($E114,'7. PGE_Efficacité'!$A$6:$BT$266,(MATCH('4.6 ACE MAX CAN '!AC$4,'7. PGE_Efficacité'!$A$4:$BU$4,0)+31),0)</f>
        <v>0</v>
      </c>
      <c r="AD114" s="149">
        <f>VLOOKUP($E114,'7. PGE_Efficacité'!$A$6:$BT$266,(MATCH('4.6 ACE MAX CAN '!AD$4,'7. PGE_Efficacité'!$A$4:$BU$4,0)+31),0)</f>
        <v>0</v>
      </c>
      <c r="AE114" s="149">
        <f>VLOOKUP($E114,'7. PGE_Efficacité'!$A$6:$BT$266,(MATCH('4.6 ACE MAX CAN '!AE$4,'7. PGE_Efficacité'!$A$4:$BU$4,0)+31),0)</f>
        <v>0</v>
      </c>
      <c r="AF114" s="149">
        <f>VLOOKUP($E114,'7. PGE_Efficacité'!$A$6:$BT$266,(MATCH('4.6 ACE MAX CAN '!AF$4,'7. PGE_Efficacité'!$A$4:$BU$4,0)+31),0)</f>
        <v>0</v>
      </c>
      <c r="AG114" s="149">
        <f>VLOOKUP($E114,'7. PGE_Efficacité'!$A$6:$BT$266,(MATCH('4.6 ACE MAX CAN '!AG$4,'7. PGE_Efficacité'!$A$4:$BU$4,0)+31),0)</f>
        <v>0</v>
      </c>
      <c r="AH114" s="149">
        <f>VLOOKUP($E114,'7. PGE_Efficacité'!$A$6:$BT$266,(MATCH('4.6 ACE MAX CAN '!AH$4,'7. PGE_Efficacité'!$A$4:$BU$4,0)+31),0)</f>
        <v>0</v>
      </c>
      <c r="AI114" s="149">
        <f>VLOOKUP($E114,'7. PGE_Efficacité'!$A$6:$BT$266,(MATCH('4.6 ACE MAX CAN '!AI$4,'7. PGE_Efficacité'!$A$4:$BU$4,0)+31),0)</f>
        <v>0</v>
      </c>
      <c r="AJ114" s="149">
        <f>VLOOKUP($E114,'7. PGE_Efficacité'!$A$6:$BT$266,(MATCH('4.6 ACE MAX CAN '!AJ$4,'7. PGE_Efficacité'!$A$4:$BU$4,0)+31),0)</f>
        <v>0</v>
      </c>
      <c r="AK114" s="149">
        <f>VLOOKUP($E114,'7. PGE_Efficacité'!$A$6:$BT$266,(MATCH('4.6 ACE MAX CAN '!AK$4,'7. PGE_Efficacité'!$A$4:$BU$4,0)+31),0)</f>
        <v>0</v>
      </c>
      <c r="AL114" s="149">
        <f>VLOOKUP($E114,'7. PGE_Efficacité'!$A$6:$BT$266,(MATCH('4.6 ACE MAX CAN '!AL$4,'7. PGE_Efficacité'!$A$4:$BU$4,0)+31),0)</f>
        <v>0</v>
      </c>
      <c r="AM114" s="149">
        <f>VLOOKUP($E114,'7. PGE_Efficacité'!$A$6:$BT$266,(MATCH('4.6 ACE MAX CAN '!AM$4,'7. PGE_Efficacité'!$A$4:$BU$4,0)+31),0)</f>
        <v>0</v>
      </c>
      <c r="AN114" s="149">
        <f>VLOOKUP($E114,'7. PGE_Efficacité'!$A$6:$BT$266,(MATCH('4.6 ACE MAX CAN '!AN$4,'7. PGE_Efficacité'!$A$4:$BU$4,0)+31),0)</f>
        <v>0</v>
      </c>
    </row>
    <row r="115" spans="1:40" outlineLevel="2" x14ac:dyDescent="0.25">
      <c r="A115" t="s">
        <v>1524</v>
      </c>
      <c r="B115">
        <v>21</v>
      </c>
      <c r="C115" t="s">
        <v>1528</v>
      </c>
      <c r="D115" s="12" t="s">
        <v>21</v>
      </c>
      <c r="E115" s="12" t="s">
        <v>734</v>
      </c>
      <c r="F115" s="12" t="s">
        <v>1392</v>
      </c>
      <c r="G115" s="12" t="s">
        <v>1521</v>
      </c>
      <c r="H115" s="12" t="s">
        <v>1290</v>
      </c>
      <c r="I115" s="148"/>
      <c r="J115" s="149">
        <f>VLOOKUP($E115,'7. PGE_Efficacité'!$A$6:$BT$266,(MATCH('4.6 ACE MAX CAN '!J$4,'7. PGE_Efficacité'!$A$4:$BU$4,0)+31),0)</f>
        <v>0</v>
      </c>
      <c r="K115" s="149">
        <f>VLOOKUP($E115,'7. PGE_Efficacité'!$A$6:$BT$266,(MATCH('4.6 ACE MAX CAN '!K$4,'7. PGE_Efficacité'!$A$4:$BU$4,0)+31),0)</f>
        <v>0</v>
      </c>
      <c r="L115" s="149">
        <f>VLOOKUP($E115,'7. PGE_Efficacité'!$A$6:$BT$266,(MATCH('4.6 ACE MAX CAN '!L$4,'7. PGE_Efficacité'!$A$4:$BU$4,0)+31),0)</f>
        <v>0</v>
      </c>
      <c r="M115" s="149">
        <f>VLOOKUP($E115,'7. PGE_Efficacité'!$A$6:$BT$266,(MATCH('4.6 ACE MAX CAN '!M$4,'7. PGE_Efficacité'!$A$4:$BU$4,0)+31),0)</f>
        <v>0</v>
      </c>
      <c r="N115" s="149">
        <f>VLOOKUP($E115,'7. PGE_Efficacité'!$A$6:$BT$266,(MATCH('4.6 ACE MAX CAN '!N$4,'7. PGE_Efficacité'!$A$4:$BU$4,0)+31),0)</f>
        <v>0</v>
      </c>
      <c r="O115" s="149">
        <f>VLOOKUP($D115,'7. PGE_Efficacité'!$A$6:$BT$268,47,0)</f>
        <v>0</v>
      </c>
      <c r="P115" s="149">
        <f>VLOOKUP($E115,'7. PGE_Efficacité'!$A$6:$BT$266,(MATCH('4.6 ACE MAX CAN '!P$4,'7. PGE_Efficacité'!$A$4:$BU$4,0)+31),0)</f>
        <v>0</v>
      </c>
      <c r="Q115" s="149">
        <f>VLOOKUP($E115,'7. PGE_Efficacité'!$A$6:$BT$266,(MATCH('4.6 ACE MAX CAN '!Q$4,'7. PGE_Efficacité'!$A$4:$BU$4,0)+31),0)</f>
        <v>0</v>
      </c>
      <c r="R115" s="149">
        <f>VLOOKUP($E115,'7. PGE_Efficacité'!$A$6:$BT$266,(MATCH('4.6 ACE MAX CAN '!R$4,'7. PGE_Efficacité'!$A$4:$BU$4,0)+31),0)</f>
        <v>0</v>
      </c>
      <c r="S115" s="149">
        <f>VLOOKUP($E115,'7. PGE_Efficacité'!$A$6:$BT$266,(MATCH('4.6 ACE MAX CAN '!S$4,'7. PGE_Efficacité'!$A$4:$BU$4,0)+31),0)</f>
        <v>0</v>
      </c>
      <c r="T115" s="149">
        <f>VLOOKUP($E115,'7. PGE_Efficacité'!$A$6:$BT$266,(MATCH('4.6 ACE MAX CAN '!T$4,'7. PGE_Efficacité'!$A$4:$BU$4,0)+31),0)</f>
        <v>0</v>
      </c>
      <c r="U115" s="149">
        <f>VLOOKUP($E115,'7. PGE_Efficacité'!$A$6:$BT$266,(MATCH('4.6 ACE MAX CAN '!U$4,'7. PGE_Efficacité'!$A$4:$BU$4,0)+31),0)</f>
        <v>0</v>
      </c>
      <c r="V115" s="149">
        <f>VLOOKUP($E115,'7. PGE_Efficacité'!$A$6:$BT$266,(MATCH('4.6 ACE MAX CAN '!V$4,'7. PGE_Efficacité'!$A$4:$BU$4,0)+31),0)</f>
        <v>0</v>
      </c>
      <c r="W115" s="149">
        <f>VLOOKUP($E115,'7. PGE_Efficacité'!$A$6:$BT$266,(MATCH('4.6 ACE MAX CAN '!W$4,'7. PGE_Efficacité'!$A$4:$BU$4,0)+31),0)</f>
        <v>0</v>
      </c>
      <c r="X115" s="149">
        <f>VLOOKUP($E115,'7. PGE_Efficacité'!$A$6:$BT$266,(MATCH('4.6 ACE MAX CAN '!X$4,'7. PGE_Efficacité'!$A$4:$BU$4,0)+31),0)</f>
        <v>0</v>
      </c>
      <c r="Y115" s="149">
        <f>VLOOKUP($E115,'7. PGE_Efficacité'!$A$6:$BT$266,(MATCH('4.6 ACE MAX CAN '!Y$4,'7. PGE_Efficacité'!$A$4:$BU$4,0)+31),0)</f>
        <v>0</v>
      </c>
      <c r="Z115" s="149">
        <f>VLOOKUP($E115,'7. PGE_Efficacité'!$A$6:$BT$266,(MATCH('4.6 ACE MAX CAN '!Z$4,'7. PGE_Efficacité'!$A$4:$BU$4,0)+31),0)</f>
        <v>0</v>
      </c>
      <c r="AA115" s="149">
        <f>VLOOKUP($E115,'7. PGE_Efficacité'!$A$6:$BT$266,(MATCH('4.6 ACE MAX CAN '!AA$4,'7. PGE_Efficacité'!$A$4:$BU$4,0)+31),0)</f>
        <v>0</v>
      </c>
      <c r="AB115" s="149">
        <f>VLOOKUP($E115,'7. PGE_Efficacité'!$A$6:$BT$266,(MATCH('4.6 ACE MAX CAN '!AB$4,'7. PGE_Efficacité'!$A$4:$BU$4,0)+31),0)</f>
        <v>0</v>
      </c>
      <c r="AC115" s="149">
        <f>VLOOKUP($E115,'7. PGE_Efficacité'!$A$6:$BT$266,(MATCH('4.6 ACE MAX CAN '!AC$4,'7. PGE_Efficacité'!$A$4:$BU$4,0)+31),0)</f>
        <v>0</v>
      </c>
      <c r="AD115" s="149">
        <f>VLOOKUP($E115,'7. PGE_Efficacité'!$A$6:$BT$266,(MATCH('4.6 ACE MAX CAN '!AD$4,'7. PGE_Efficacité'!$A$4:$BU$4,0)+31),0)</f>
        <v>0</v>
      </c>
      <c r="AE115" s="149">
        <f>VLOOKUP($E115,'7. PGE_Efficacité'!$A$6:$BT$266,(MATCH('4.6 ACE MAX CAN '!AE$4,'7. PGE_Efficacité'!$A$4:$BU$4,0)+31),0)</f>
        <v>0</v>
      </c>
      <c r="AF115" s="149">
        <f>VLOOKUP($E115,'7. PGE_Efficacité'!$A$6:$BT$266,(MATCH('4.6 ACE MAX CAN '!AF$4,'7. PGE_Efficacité'!$A$4:$BU$4,0)+31),0)</f>
        <v>0</v>
      </c>
      <c r="AG115" s="149">
        <f>VLOOKUP($E115,'7. PGE_Efficacité'!$A$6:$BT$266,(MATCH('4.6 ACE MAX CAN '!AG$4,'7. PGE_Efficacité'!$A$4:$BU$4,0)+31),0)</f>
        <v>0</v>
      </c>
      <c r="AH115" s="149">
        <f>VLOOKUP($E115,'7. PGE_Efficacité'!$A$6:$BT$266,(MATCH('4.6 ACE MAX CAN '!AH$4,'7. PGE_Efficacité'!$A$4:$BU$4,0)+31),0)</f>
        <v>0</v>
      </c>
      <c r="AI115" s="149">
        <f>VLOOKUP($E115,'7. PGE_Efficacité'!$A$6:$BT$266,(MATCH('4.6 ACE MAX CAN '!AI$4,'7. PGE_Efficacité'!$A$4:$BU$4,0)+31),0)</f>
        <v>0</v>
      </c>
      <c r="AJ115" s="149">
        <f>VLOOKUP($E115,'7. PGE_Efficacité'!$A$6:$BT$266,(MATCH('4.6 ACE MAX CAN '!AJ$4,'7. PGE_Efficacité'!$A$4:$BU$4,0)+31),0)</f>
        <v>0</v>
      </c>
      <c r="AK115" s="149">
        <f>VLOOKUP($E115,'7. PGE_Efficacité'!$A$6:$BT$266,(MATCH('4.6 ACE MAX CAN '!AK$4,'7. PGE_Efficacité'!$A$4:$BU$4,0)+31),0)</f>
        <v>0</v>
      </c>
      <c r="AL115" s="149">
        <f>VLOOKUP($E115,'7. PGE_Efficacité'!$A$6:$BT$266,(MATCH('4.6 ACE MAX CAN '!AL$4,'7. PGE_Efficacité'!$A$4:$BU$4,0)+31),0)</f>
        <v>0</v>
      </c>
      <c r="AM115" s="149">
        <f>VLOOKUP($E115,'7. PGE_Efficacité'!$A$6:$BT$266,(MATCH('4.6 ACE MAX CAN '!AM$4,'7. PGE_Efficacité'!$A$4:$BU$4,0)+31),0)</f>
        <v>0</v>
      </c>
      <c r="AN115" s="149">
        <f>VLOOKUP($E115,'7. PGE_Efficacité'!$A$6:$BT$266,(MATCH('4.6 ACE MAX CAN '!AN$4,'7. PGE_Efficacité'!$A$4:$BU$4,0)+31),0)</f>
        <v>0</v>
      </c>
    </row>
    <row r="116" spans="1:40" outlineLevel="2" x14ac:dyDescent="0.25">
      <c r="A116" t="s">
        <v>1524</v>
      </c>
      <c r="B116">
        <v>21</v>
      </c>
      <c r="C116" t="s">
        <v>1529</v>
      </c>
      <c r="D116" s="12" t="s">
        <v>21</v>
      </c>
      <c r="E116" s="12" t="s">
        <v>735</v>
      </c>
      <c r="F116" s="12" t="s">
        <v>1393</v>
      </c>
      <c r="G116" s="12" t="s">
        <v>1521</v>
      </c>
      <c r="H116" s="12" t="s">
        <v>1290</v>
      </c>
      <c r="I116" s="148"/>
      <c r="J116" s="149">
        <f>VLOOKUP($E116,'7. PGE_Efficacité'!$A$6:$BT$266,(MATCH('4.6 ACE MAX CAN '!J$4,'7. PGE_Efficacité'!$A$4:$BU$4,0)+31),0)</f>
        <v>0</v>
      </c>
      <c r="K116" s="149">
        <f>VLOOKUP($E116,'7. PGE_Efficacité'!$A$6:$BT$266,(MATCH('4.6 ACE MAX CAN '!K$4,'7. PGE_Efficacité'!$A$4:$BU$4,0)+31),0)</f>
        <v>0</v>
      </c>
      <c r="L116" s="149">
        <f>VLOOKUP($E116,'7. PGE_Efficacité'!$A$6:$BT$266,(MATCH('4.6 ACE MAX CAN '!L$4,'7. PGE_Efficacité'!$A$4:$BU$4,0)+31),0)</f>
        <v>0</v>
      </c>
      <c r="M116" s="149">
        <f>VLOOKUP($E116,'7. PGE_Efficacité'!$A$6:$BT$266,(MATCH('4.6 ACE MAX CAN '!M$4,'7. PGE_Efficacité'!$A$4:$BU$4,0)+31),0)</f>
        <v>0</v>
      </c>
      <c r="N116" s="149">
        <f>VLOOKUP($E116,'7. PGE_Efficacité'!$A$6:$BT$266,(MATCH('4.6 ACE MAX CAN '!N$4,'7. PGE_Efficacité'!$A$4:$BU$4,0)+31),0)</f>
        <v>0</v>
      </c>
      <c r="O116" s="149">
        <f>VLOOKUP($D116,'7. PGE_Efficacité'!$A$6:$BT$268,47,0)</f>
        <v>0</v>
      </c>
      <c r="P116" s="149">
        <f>VLOOKUP($E116,'7. PGE_Efficacité'!$A$6:$BT$266,(MATCH('4.6 ACE MAX CAN '!P$4,'7. PGE_Efficacité'!$A$4:$BU$4,0)+31),0)</f>
        <v>0</v>
      </c>
      <c r="Q116" s="149">
        <f>VLOOKUP($E116,'7. PGE_Efficacité'!$A$6:$BT$266,(MATCH('4.6 ACE MAX CAN '!Q$4,'7. PGE_Efficacité'!$A$4:$BU$4,0)+31),0)</f>
        <v>0</v>
      </c>
      <c r="R116" s="149">
        <f>VLOOKUP($E116,'7. PGE_Efficacité'!$A$6:$BT$266,(MATCH('4.6 ACE MAX CAN '!R$4,'7. PGE_Efficacité'!$A$4:$BU$4,0)+31),0)</f>
        <v>0</v>
      </c>
      <c r="S116" s="149">
        <f>VLOOKUP($E116,'7. PGE_Efficacité'!$A$6:$BT$266,(MATCH('4.6 ACE MAX CAN '!S$4,'7. PGE_Efficacité'!$A$4:$BU$4,0)+31),0)</f>
        <v>0</v>
      </c>
      <c r="T116" s="149">
        <f>VLOOKUP($E116,'7. PGE_Efficacité'!$A$6:$BT$266,(MATCH('4.6 ACE MAX CAN '!T$4,'7. PGE_Efficacité'!$A$4:$BU$4,0)+31),0)</f>
        <v>0</v>
      </c>
      <c r="U116" s="149">
        <f>VLOOKUP($E116,'7. PGE_Efficacité'!$A$6:$BT$266,(MATCH('4.6 ACE MAX CAN '!U$4,'7. PGE_Efficacité'!$A$4:$BU$4,0)+31),0)</f>
        <v>0</v>
      </c>
      <c r="V116" s="149">
        <f>VLOOKUP($E116,'7. PGE_Efficacité'!$A$6:$BT$266,(MATCH('4.6 ACE MAX CAN '!V$4,'7. PGE_Efficacité'!$A$4:$BU$4,0)+31),0)</f>
        <v>0</v>
      </c>
      <c r="W116" s="149">
        <f>VLOOKUP($E116,'7. PGE_Efficacité'!$A$6:$BT$266,(MATCH('4.6 ACE MAX CAN '!W$4,'7. PGE_Efficacité'!$A$4:$BU$4,0)+31),0)</f>
        <v>0</v>
      </c>
      <c r="X116" s="149">
        <f>VLOOKUP($E116,'7. PGE_Efficacité'!$A$6:$BT$266,(MATCH('4.6 ACE MAX CAN '!X$4,'7. PGE_Efficacité'!$A$4:$BU$4,0)+31),0)</f>
        <v>0</v>
      </c>
      <c r="Y116" s="149">
        <f>VLOOKUP($E116,'7. PGE_Efficacité'!$A$6:$BT$266,(MATCH('4.6 ACE MAX CAN '!Y$4,'7. PGE_Efficacité'!$A$4:$BU$4,0)+31),0)</f>
        <v>0</v>
      </c>
      <c r="Z116" s="149">
        <f>VLOOKUP($E116,'7. PGE_Efficacité'!$A$6:$BT$266,(MATCH('4.6 ACE MAX CAN '!Z$4,'7. PGE_Efficacité'!$A$4:$BU$4,0)+31),0)</f>
        <v>0</v>
      </c>
      <c r="AA116" s="149">
        <f>VLOOKUP($E116,'7. PGE_Efficacité'!$A$6:$BT$266,(MATCH('4.6 ACE MAX CAN '!AA$4,'7. PGE_Efficacité'!$A$4:$BU$4,0)+31),0)</f>
        <v>0</v>
      </c>
      <c r="AB116" s="149">
        <f>VLOOKUP($E116,'7. PGE_Efficacité'!$A$6:$BT$266,(MATCH('4.6 ACE MAX CAN '!AB$4,'7. PGE_Efficacité'!$A$4:$BU$4,0)+31),0)</f>
        <v>0</v>
      </c>
      <c r="AC116" s="149">
        <f>VLOOKUP($E116,'7. PGE_Efficacité'!$A$6:$BT$266,(MATCH('4.6 ACE MAX CAN '!AC$4,'7. PGE_Efficacité'!$A$4:$BU$4,0)+31),0)</f>
        <v>0</v>
      </c>
      <c r="AD116" s="149">
        <f>VLOOKUP($E116,'7. PGE_Efficacité'!$A$6:$BT$266,(MATCH('4.6 ACE MAX CAN '!AD$4,'7. PGE_Efficacité'!$A$4:$BU$4,0)+31),0)</f>
        <v>0</v>
      </c>
      <c r="AE116" s="149">
        <f>VLOOKUP($E116,'7. PGE_Efficacité'!$A$6:$BT$266,(MATCH('4.6 ACE MAX CAN '!AE$4,'7. PGE_Efficacité'!$A$4:$BU$4,0)+31),0)</f>
        <v>0</v>
      </c>
      <c r="AF116" s="149">
        <f>VLOOKUP($E116,'7. PGE_Efficacité'!$A$6:$BT$266,(MATCH('4.6 ACE MAX CAN '!AF$4,'7. PGE_Efficacité'!$A$4:$BU$4,0)+31),0)</f>
        <v>0</v>
      </c>
      <c r="AG116" s="149">
        <f>VLOOKUP($E116,'7. PGE_Efficacité'!$A$6:$BT$266,(MATCH('4.6 ACE MAX CAN '!AG$4,'7. PGE_Efficacité'!$A$4:$BU$4,0)+31),0)</f>
        <v>0</v>
      </c>
      <c r="AH116" s="149">
        <f>VLOOKUP($E116,'7. PGE_Efficacité'!$A$6:$BT$266,(MATCH('4.6 ACE MAX CAN '!AH$4,'7. PGE_Efficacité'!$A$4:$BU$4,0)+31),0)</f>
        <v>0</v>
      </c>
      <c r="AI116" s="149">
        <f>VLOOKUP($E116,'7. PGE_Efficacité'!$A$6:$BT$266,(MATCH('4.6 ACE MAX CAN '!AI$4,'7. PGE_Efficacité'!$A$4:$BU$4,0)+31),0)</f>
        <v>0</v>
      </c>
      <c r="AJ116" s="149">
        <f>VLOOKUP($E116,'7. PGE_Efficacité'!$A$6:$BT$266,(MATCH('4.6 ACE MAX CAN '!AJ$4,'7. PGE_Efficacité'!$A$4:$BU$4,0)+31),0)</f>
        <v>0</v>
      </c>
      <c r="AK116" s="149">
        <f>VLOOKUP($E116,'7. PGE_Efficacité'!$A$6:$BT$266,(MATCH('4.6 ACE MAX CAN '!AK$4,'7. PGE_Efficacité'!$A$4:$BU$4,0)+31),0)</f>
        <v>0</v>
      </c>
      <c r="AL116" s="149">
        <f>VLOOKUP($E116,'7. PGE_Efficacité'!$A$6:$BT$266,(MATCH('4.6 ACE MAX CAN '!AL$4,'7. PGE_Efficacité'!$A$4:$BU$4,0)+31),0)</f>
        <v>0</v>
      </c>
      <c r="AM116" s="149">
        <f>VLOOKUP($E116,'7. PGE_Efficacité'!$A$6:$BT$266,(MATCH('4.6 ACE MAX CAN '!AM$4,'7. PGE_Efficacité'!$A$4:$BU$4,0)+31),0)</f>
        <v>0</v>
      </c>
      <c r="AN116" s="149">
        <f>VLOOKUP($E116,'7. PGE_Efficacité'!$A$6:$BT$266,(MATCH('4.6 ACE MAX CAN '!AN$4,'7. PGE_Efficacité'!$A$4:$BU$4,0)+31),0)</f>
        <v>0</v>
      </c>
    </row>
    <row r="117" spans="1:40" outlineLevel="2" x14ac:dyDescent="0.25">
      <c r="A117" t="s">
        <v>1524</v>
      </c>
      <c r="B117">
        <v>21</v>
      </c>
      <c r="C117" t="s">
        <v>1530</v>
      </c>
      <c r="D117" s="12" t="s">
        <v>21</v>
      </c>
      <c r="E117" s="12" t="s">
        <v>736</v>
      </c>
      <c r="F117" s="12" t="s">
        <v>1394</v>
      </c>
      <c r="G117" s="12" t="s">
        <v>1521</v>
      </c>
      <c r="H117" s="12" t="s">
        <v>1290</v>
      </c>
      <c r="I117" s="148"/>
      <c r="J117" s="149">
        <f>VLOOKUP($E117,'7. PGE_Efficacité'!$A$6:$BT$266,(MATCH('4.6 ACE MAX CAN '!J$4,'7. PGE_Efficacité'!$A$4:$BU$4,0)+31),0)</f>
        <v>0</v>
      </c>
      <c r="K117" s="149">
        <f>VLOOKUP($E117,'7. PGE_Efficacité'!$A$6:$BT$266,(MATCH('4.6 ACE MAX CAN '!K$4,'7. PGE_Efficacité'!$A$4:$BU$4,0)+31),0)</f>
        <v>0</v>
      </c>
      <c r="L117" s="149">
        <f>VLOOKUP($E117,'7. PGE_Efficacité'!$A$6:$BT$266,(MATCH('4.6 ACE MAX CAN '!L$4,'7. PGE_Efficacité'!$A$4:$BU$4,0)+31),0)</f>
        <v>0</v>
      </c>
      <c r="M117" s="149">
        <f>VLOOKUP($E117,'7. PGE_Efficacité'!$A$6:$BT$266,(MATCH('4.6 ACE MAX CAN '!M$4,'7. PGE_Efficacité'!$A$4:$BU$4,0)+31),0)</f>
        <v>0</v>
      </c>
      <c r="N117" s="149">
        <f>VLOOKUP($E117,'7. PGE_Efficacité'!$A$6:$BT$266,(MATCH('4.6 ACE MAX CAN '!N$4,'7. PGE_Efficacité'!$A$4:$BU$4,0)+31),0)</f>
        <v>0</v>
      </c>
      <c r="O117" s="149">
        <f>VLOOKUP($D117,'7. PGE_Efficacité'!$A$6:$BT$268,47,0)</f>
        <v>0</v>
      </c>
      <c r="P117" s="149">
        <f>VLOOKUP($E117,'7. PGE_Efficacité'!$A$6:$BT$266,(MATCH('4.6 ACE MAX CAN '!P$4,'7. PGE_Efficacité'!$A$4:$BU$4,0)+31),0)</f>
        <v>0</v>
      </c>
      <c r="Q117" s="149">
        <f>VLOOKUP($E117,'7. PGE_Efficacité'!$A$6:$BT$266,(MATCH('4.6 ACE MAX CAN '!Q$4,'7. PGE_Efficacité'!$A$4:$BU$4,0)+31),0)</f>
        <v>0</v>
      </c>
      <c r="R117" s="149">
        <f>VLOOKUP($E117,'7. PGE_Efficacité'!$A$6:$BT$266,(MATCH('4.6 ACE MAX CAN '!R$4,'7. PGE_Efficacité'!$A$4:$BU$4,0)+31),0)</f>
        <v>0</v>
      </c>
      <c r="S117" s="149">
        <f>VLOOKUP($E117,'7. PGE_Efficacité'!$A$6:$BT$266,(MATCH('4.6 ACE MAX CAN '!S$4,'7. PGE_Efficacité'!$A$4:$BU$4,0)+31),0)</f>
        <v>0</v>
      </c>
      <c r="T117" s="149">
        <f>VLOOKUP($E117,'7. PGE_Efficacité'!$A$6:$BT$266,(MATCH('4.6 ACE MAX CAN '!T$4,'7. PGE_Efficacité'!$A$4:$BU$4,0)+31),0)</f>
        <v>0</v>
      </c>
      <c r="U117" s="149">
        <f>VLOOKUP($E117,'7. PGE_Efficacité'!$A$6:$BT$266,(MATCH('4.6 ACE MAX CAN '!U$4,'7. PGE_Efficacité'!$A$4:$BU$4,0)+31),0)</f>
        <v>0</v>
      </c>
      <c r="V117" s="149">
        <f>VLOOKUP($E117,'7. PGE_Efficacité'!$A$6:$BT$266,(MATCH('4.6 ACE MAX CAN '!V$4,'7. PGE_Efficacité'!$A$4:$BU$4,0)+31),0)</f>
        <v>0</v>
      </c>
      <c r="W117" s="149">
        <f>VLOOKUP($E117,'7. PGE_Efficacité'!$A$6:$BT$266,(MATCH('4.6 ACE MAX CAN '!W$4,'7. PGE_Efficacité'!$A$4:$BU$4,0)+31),0)</f>
        <v>0</v>
      </c>
      <c r="X117" s="149">
        <f>VLOOKUP($E117,'7. PGE_Efficacité'!$A$6:$BT$266,(MATCH('4.6 ACE MAX CAN '!X$4,'7. PGE_Efficacité'!$A$4:$BU$4,0)+31),0)</f>
        <v>0</v>
      </c>
      <c r="Y117" s="149">
        <f>VLOOKUP($E117,'7. PGE_Efficacité'!$A$6:$BT$266,(MATCH('4.6 ACE MAX CAN '!Y$4,'7. PGE_Efficacité'!$A$4:$BU$4,0)+31),0)</f>
        <v>0</v>
      </c>
      <c r="Z117" s="149">
        <f>VLOOKUP($E117,'7. PGE_Efficacité'!$A$6:$BT$266,(MATCH('4.6 ACE MAX CAN '!Z$4,'7. PGE_Efficacité'!$A$4:$BU$4,0)+31),0)</f>
        <v>0</v>
      </c>
      <c r="AA117" s="149">
        <f>VLOOKUP($E117,'7. PGE_Efficacité'!$A$6:$BT$266,(MATCH('4.6 ACE MAX CAN '!AA$4,'7. PGE_Efficacité'!$A$4:$BU$4,0)+31),0)</f>
        <v>0</v>
      </c>
      <c r="AB117" s="149">
        <f>VLOOKUP($E117,'7. PGE_Efficacité'!$A$6:$BT$266,(MATCH('4.6 ACE MAX CAN '!AB$4,'7. PGE_Efficacité'!$A$4:$BU$4,0)+31),0)</f>
        <v>0</v>
      </c>
      <c r="AC117" s="149">
        <f>VLOOKUP($E117,'7. PGE_Efficacité'!$A$6:$BT$266,(MATCH('4.6 ACE MAX CAN '!AC$4,'7. PGE_Efficacité'!$A$4:$BU$4,0)+31),0)</f>
        <v>0</v>
      </c>
      <c r="AD117" s="149">
        <f>VLOOKUP($E117,'7. PGE_Efficacité'!$A$6:$BT$266,(MATCH('4.6 ACE MAX CAN '!AD$4,'7. PGE_Efficacité'!$A$4:$BU$4,0)+31),0)</f>
        <v>0</v>
      </c>
      <c r="AE117" s="149">
        <f>VLOOKUP($E117,'7. PGE_Efficacité'!$A$6:$BT$266,(MATCH('4.6 ACE MAX CAN '!AE$4,'7. PGE_Efficacité'!$A$4:$BU$4,0)+31),0)</f>
        <v>0</v>
      </c>
      <c r="AF117" s="149">
        <f>VLOOKUP($E117,'7. PGE_Efficacité'!$A$6:$BT$266,(MATCH('4.6 ACE MAX CAN '!AF$4,'7. PGE_Efficacité'!$A$4:$BU$4,0)+31),0)</f>
        <v>0</v>
      </c>
      <c r="AG117" s="149">
        <f>VLOOKUP($E117,'7. PGE_Efficacité'!$A$6:$BT$266,(MATCH('4.6 ACE MAX CAN '!AG$4,'7. PGE_Efficacité'!$A$4:$BU$4,0)+31),0)</f>
        <v>0</v>
      </c>
      <c r="AH117" s="149">
        <f>VLOOKUP($E117,'7. PGE_Efficacité'!$A$6:$BT$266,(MATCH('4.6 ACE MAX CAN '!AH$4,'7. PGE_Efficacité'!$A$4:$BU$4,0)+31),0)</f>
        <v>0</v>
      </c>
      <c r="AI117" s="149">
        <f>VLOOKUP($E117,'7. PGE_Efficacité'!$A$6:$BT$266,(MATCH('4.6 ACE MAX CAN '!AI$4,'7. PGE_Efficacité'!$A$4:$BU$4,0)+31),0)</f>
        <v>0</v>
      </c>
      <c r="AJ117" s="149">
        <f>VLOOKUP($E117,'7. PGE_Efficacité'!$A$6:$BT$266,(MATCH('4.6 ACE MAX CAN '!AJ$4,'7. PGE_Efficacité'!$A$4:$BU$4,0)+31),0)</f>
        <v>0</v>
      </c>
      <c r="AK117" s="149">
        <f>VLOOKUP($E117,'7. PGE_Efficacité'!$A$6:$BT$266,(MATCH('4.6 ACE MAX CAN '!AK$4,'7. PGE_Efficacité'!$A$4:$BU$4,0)+31),0)</f>
        <v>0</v>
      </c>
      <c r="AL117" s="149">
        <f>VLOOKUP($E117,'7. PGE_Efficacité'!$A$6:$BT$266,(MATCH('4.6 ACE MAX CAN '!AL$4,'7. PGE_Efficacité'!$A$4:$BU$4,0)+31),0)</f>
        <v>0</v>
      </c>
      <c r="AM117" s="149">
        <f>VLOOKUP($E117,'7. PGE_Efficacité'!$A$6:$BT$266,(MATCH('4.6 ACE MAX CAN '!AM$4,'7. PGE_Efficacité'!$A$4:$BU$4,0)+31),0)</f>
        <v>0</v>
      </c>
      <c r="AN117" s="149">
        <f>VLOOKUP($E117,'7. PGE_Efficacité'!$A$6:$BT$266,(MATCH('4.6 ACE MAX CAN '!AN$4,'7. PGE_Efficacité'!$A$4:$BU$4,0)+31),0)</f>
        <v>0</v>
      </c>
    </row>
    <row r="118" spans="1:40" outlineLevel="2" x14ac:dyDescent="0.25">
      <c r="A118" t="s">
        <v>1524</v>
      </c>
      <c r="B118">
        <v>21</v>
      </c>
      <c r="C118" t="s">
        <v>1531</v>
      </c>
      <c r="D118" s="12" t="s">
        <v>21</v>
      </c>
      <c r="E118" s="12" t="s">
        <v>737</v>
      </c>
      <c r="F118" s="12" t="s">
        <v>1395</v>
      </c>
      <c r="G118" s="12" t="s">
        <v>1521</v>
      </c>
      <c r="H118" s="12" t="s">
        <v>1290</v>
      </c>
      <c r="I118" s="148"/>
      <c r="J118" s="149">
        <f>VLOOKUP($E118,'7. PGE_Efficacité'!$A$6:$BT$266,(MATCH('4.6 ACE MAX CAN '!J$4,'7. PGE_Efficacité'!$A$4:$BU$4,0)+31),0)</f>
        <v>0</v>
      </c>
      <c r="K118" s="149">
        <f>VLOOKUP($E118,'7. PGE_Efficacité'!$A$6:$BT$266,(MATCH('4.6 ACE MAX CAN '!K$4,'7. PGE_Efficacité'!$A$4:$BU$4,0)+31),0)</f>
        <v>0</v>
      </c>
      <c r="L118" s="149">
        <f>VLOOKUP($E118,'7. PGE_Efficacité'!$A$6:$BT$266,(MATCH('4.6 ACE MAX CAN '!L$4,'7. PGE_Efficacité'!$A$4:$BU$4,0)+31),0)</f>
        <v>0</v>
      </c>
      <c r="M118" s="149">
        <f>VLOOKUP($E118,'7. PGE_Efficacité'!$A$6:$BT$266,(MATCH('4.6 ACE MAX CAN '!M$4,'7. PGE_Efficacité'!$A$4:$BU$4,0)+31),0)</f>
        <v>0</v>
      </c>
      <c r="N118" s="149">
        <f>VLOOKUP($E118,'7. PGE_Efficacité'!$A$6:$BT$266,(MATCH('4.6 ACE MAX CAN '!N$4,'7. PGE_Efficacité'!$A$4:$BU$4,0)+31),0)</f>
        <v>0</v>
      </c>
      <c r="O118" s="149">
        <f>VLOOKUP($D118,'7. PGE_Efficacité'!$A$6:$BT$268,47,0)</f>
        <v>0</v>
      </c>
      <c r="P118" s="149">
        <f>VLOOKUP($E118,'7. PGE_Efficacité'!$A$6:$BT$266,(MATCH('4.6 ACE MAX CAN '!P$4,'7. PGE_Efficacité'!$A$4:$BU$4,0)+31),0)</f>
        <v>0</v>
      </c>
      <c r="Q118" s="149">
        <f>VLOOKUP($E118,'7. PGE_Efficacité'!$A$6:$BT$266,(MATCH('4.6 ACE MAX CAN '!Q$4,'7. PGE_Efficacité'!$A$4:$BU$4,0)+31),0)</f>
        <v>0</v>
      </c>
      <c r="R118" s="149">
        <f>VLOOKUP($E118,'7. PGE_Efficacité'!$A$6:$BT$266,(MATCH('4.6 ACE MAX CAN '!R$4,'7. PGE_Efficacité'!$A$4:$BU$4,0)+31),0)</f>
        <v>0</v>
      </c>
      <c r="S118" s="149">
        <f>VLOOKUP($E118,'7. PGE_Efficacité'!$A$6:$BT$266,(MATCH('4.6 ACE MAX CAN '!S$4,'7. PGE_Efficacité'!$A$4:$BU$4,0)+31),0)</f>
        <v>0</v>
      </c>
      <c r="T118" s="149">
        <f>VLOOKUP($E118,'7. PGE_Efficacité'!$A$6:$BT$266,(MATCH('4.6 ACE MAX CAN '!T$4,'7. PGE_Efficacité'!$A$4:$BU$4,0)+31),0)</f>
        <v>0</v>
      </c>
      <c r="U118" s="149">
        <f>VLOOKUP($E118,'7. PGE_Efficacité'!$A$6:$BT$266,(MATCH('4.6 ACE MAX CAN '!U$4,'7. PGE_Efficacité'!$A$4:$BU$4,0)+31),0)</f>
        <v>0</v>
      </c>
      <c r="V118" s="149">
        <f>VLOOKUP($E118,'7. PGE_Efficacité'!$A$6:$BT$266,(MATCH('4.6 ACE MAX CAN '!V$4,'7. PGE_Efficacité'!$A$4:$BU$4,0)+31),0)</f>
        <v>0</v>
      </c>
      <c r="W118" s="149">
        <f>VLOOKUP($E118,'7. PGE_Efficacité'!$A$6:$BT$266,(MATCH('4.6 ACE MAX CAN '!W$4,'7. PGE_Efficacité'!$A$4:$BU$4,0)+31),0)</f>
        <v>0</v>
      </c>
      <c r="X118" s="149">
        <f>VLOOKUP($E118,'7. PGE_Efficacité'!$A$6:$BT$266,(MATCH('4.6 ACE MAX CAN '!X$4,'7. PGE_Efficacité'!$A$4:$BU$4,0)+31),0)</f>
        <v>0</v>
      </c>
      <c r="Y118" s="149">
        <f>VLOOKUP($E118,'7. PGE_Efficacité'!$A$6:$BT$266,(MATCH('4.6 ACE MAX CAN '!Y$4,'7. PGE_Efficacité'!$A$4:$BU$4,0)+31),0)</f>
        <v>0</v>
      </c>
      <c r="Z118" s="149">
        <f>VLOOKUP($E118,'7. PGE_Efficacité'!$A$6:$BT$266,(MATCH('4.6 ACE MAX CAN '!Z$4,'7. PGE_Efficacité'!$A$4:$BU$4,0)+31),0)</f>
        <v>0</v>
      </c>
      <c r="AA118" s="149">
        <f>VLOOKUP($E118,'7. PGE_Efficacité'!$A$6:$BT$266,(MATCH('4.6 ACE MAX CAN '!AA$4,'7. PGE_Efficacité'!$A$4:$BU$4,0)+31),0)</f>
        <v>0</v>
      </c>
      <c r="AB118" s="149">
        <f>VLOOKUP($E118,'7. PGE_Efficacité'!$A$6:$BT$266,(MATCH('4.6 ACE MAX CAN '!AB$4,'7. PGE_Efficacité'!$A$4:$BU$4,0)+31),0)</f>
        <v>0</v>
      </c>
      <c r="AC118" s="149">
        <f>VLOOKUP($E118,'7. PGE_Efficacité'!$A$6:$BT$266,(MATCH('4.6 ACE MAX CAN '!AC$4,'7. PGE_Efficacité'!$A$4:$BU$4,0)+31),0)</f>
        <v>0</v>
      </c>
      <c r="AD118" s="149">
        <f>VLOOKUP($E118,'7. PGE_Efficacité'!$A$6:$BT$266,(MATCH('4.6 ACE MAX CAN '!AD$4,'7. PGE_Efficacité'!$A$4:$BU$4,0)+31),0)</f>
        <v>0</v>
      </c>
      <c r="AE118" s="149">
        <f>VLOOKUP($E118,'7. PGE_Efficacité'!$A$6:$BT$266,(MATCH('4.6 ACE MAX CAN '!AE$4,'7. PGE_Efficacité'!$A$4:$BU$4,0)+31),0)</f>
        <v>0</v>
      </c>
      <c r="AF118" s="149">
        <f>VLOOKUP($E118,'7. PGE_Efficacité'!$A$6:$BT$266,(MATCH('4.6 ACE MAX CAN '!AF$4,'7. PGE_Efficacité'!$A$4:$BU$4,0)+31),0)</f>
        <v>0</v>
      </c>
      <c r="AG118" s="149">
        <f>VLOOKUP($E118,'7. PGE_Efficacité'!$A$6:$BT$266,(MATCH('4.6 ACE MAX CAN '!AG$4,'7. PGE_Efficacité'!$A$4:$BU$4,0)+31),0)</f>
        <v>0</v>
      </c>
      <c r="AH118" s="149">
        <f>VLOOKUP($E118,'7. PGE_Efficacité'!$A$6:$BT$266,(MATCH('4.6 ACE MAX CAN '!AH$4,'7. PGE_Efficacité'!$A$4:$BU$4,0)+31),0)</f>
        <v>0</v>
      </c>
      <c r="AI118" s="149">
        <f>VLOOKUP($E118,'7. PGE_Efficacité'!$A$6:$BT$266,(MATCH('4.6 ACE MAX CAN '!AI$4,'7. PGE_Efficacité'!$A$4:$BU$4,0)+31),0)</f>
        <v>0</v>
      </c>
      <c r="AJ118" s="149">
        <f>VLOOKUP($E118,'7. PGE_Efficacité'!$A$6:$BT$266,(MATCH('4.6 ACE MAX CAN '!AJ$4,'7. PGE_Efficacité'!$A$4:$BU$4,0)+31),0)</f>
        <v>0</v>
      </c>
      <c r="AK118" s="149">
        <f>VLOOKUP($E118,'7. PGE_Efficacité'!$A$6:$BT$266,(MATCH('4.6 ACE MAX CAN '!AK$4,'7. PGE_Efficacité'!$A$4:$BU$4,0)+31),0)</f>
        <v>0</v>
      </c>
      <c r="AL118" s="149">
        <f>VLOOKUP($E118,'7. PGE_Efficacité'!$A$6:$BT$266,(MATCH('4.6 ACE MAX CAN '!AL$4,'7. PGE_Efficacité'!$A$4:$BU$4,0)+31),0)</f>
        <v>0</v>
      </c>
      <c r="AM118" s="149">
        <f>VLOOKUP($E118,'7. PGE_Efficacité'!$A$6:$BT$266,(MATCH('4.6 ACE MAX CAN '!AM$4,'7. PGE_Efficacité'!$A$4:$BU$4,0)+31),0)</f>
        <v>0</v>
      </c>
      <c r="AN118" s="149">
        <f>VLOOKUP($E118,'7. PGE_Efficacité'!$A$6:$BT$266,(MATCH('4.6 ACE MAX CAN '!AN$4,'7. PGE_Efficacité'!$A$4:$BU$4,0)+31),0)</f>
        <v>0</v>
      </c>
    </row>
    <row r="119" spans="1:40" outlineLevel="2" x14ac:dyDescent="0.25">
      <c r="A119" t="s">
        <v>1524</v>
      </c>
      <c r="B119">
        <v>21</v>
      </c>
      <c r="C119" t="s">
        <v>1503</v>
      </c>
      <c r="D119" s="12" t="s">
        <v>21</v>
      </c>
      <c r="E119" s="12" t="s">
        <v>729</v>
      </c>
      <c r="F119" s="12" t="s">
        <v>1387</v>
      </c>
      <c r="G119" s="12" t="s">
        <v>1521</v>
      </c>
      <c r="H119" s="12" t="s">
        <v>1290</v>
      </c>
      <c r="I119" s="148"/>
      <c r="J119" s="149">
        <f>VLOOKUP($E119,'7. PGE_Efficacité'!$A$6:$BT$266,(MATCH('4.6 ACE MAX CAN '!J$4,'7. PGE_Efficacité'!$A$4:$BU$4,0)+31),0)</f>
        <v>0</v>
      </c>
      <c r="K119" s="149">
        <f>VLOOKUP($E119,'7. PGE_Efficacité'!$A$6:$BT$266,(MATCH('4.6 ACE MAX CAN '!K$4,'7. PGE_Efficacité'!$A$4:$BU$4,0)+31),0)</f>
        <v>0</v>
      </c>
      <c r="L119" s="149">
        <f>VLOOKUP($E119,'7. PGE_Efficacité'!$A$6:$BT$266,(MATCH('4.6 ACE MAX CAN '!L$4,'7. PGE_Efficacité'!$A$4:$BU$4,0)+31),0)</f>
        <v>0</v>
      </c>
      <c r="M119" s="149">
        <f>VLOOKUP($E119,'7. PGE_Efficacité'!$A$6:$BT$266,(MATCH('4.6 ACE MAX CAN '!M$4,'7. PGE_Efficacité'!$A$4:$BU$4,0)+31),0)</f>
        <v>0</v>
      </c>
      <c r="N119" s="149">
        <f>VLOOKUP($E119,'7. PGE_Efficacité'!$A$6:$BT$266,(MATCH('4.6 ACE MAX CAN '!N$4,'7. PGE_Efficacité'!$A$4:$BU$4,0)+31),0)</f>
        <v>0</v>
      </c>
      <c r="O119" s="149">
        <f>VLOOKUP($D119,'7. PGE_Efficacité'!$A$6:$BT$268,47,0)</f>
        <v>0</v>
      </c>
      <c r="P119" s="149">
        <f>VLOOKUP($E119,'7. PGE_Efficacité'!$A$6:$BT$266,(MATCH('4.6 ACE MAX CAN '!P$4,'7. PGE_Efficacité'!$A$4:$BU$4,0)+31),0)</f>
        <v>0</v>
      </c>
      <c r="Q119" s="149">
        <f>VLOOKUP($E119,'7. PGE_Efficacité'!$A$6:$BT$266,(MATCH('4.6 ACE MAX CAN '!Q$4,'7. PGE_Efficacité'!$A$4:$BU$4,0)+31),0)</f>
        <v>0</v>
      </c>
      <c r="R119" s="149">
        <f>VLOOKUP($E119,'7. PGE_Efficacité'!$A$6:$BT$266,(MATCH('4.6 ACE MAX CAN '!R$4,'7. PGE_Efficacité'!$A$4:$BU$4,0)+31),0)</f>
        <v>0</v>
      </c>
      <c r="S119" s="149">
        <f>VLOOKUP($E119,'7. PGE_Efficacité'!$A$6:$BT$266,(MATCH('4.6 ACE MAX CAN '!S$4,'7. PGE_Efficacité'!$A$4:$BU$4,0)+31),0)</f>
        <v>0</v>
      </c>
      <c r="T119" s="149">
        <f>VLOOKUP($E119,'7. PGE_Efficacité'!$A$6:$BT$266,(MATCH('4.6 ACE MAX CAN '!T$4,'7. PGE_Efficacité'!$A$4:$BU$4,0)+31),0)</f>
        <v>0</v>
      </c>
      <c r="U119" s="149">
        <f>VLOOKUP($E119,'7. PGE_Efficacité'!$A$6:$BT$266,(MATCH('4.6 ACE MAX CAN '!U$4,'7. PGE_Efficacité'!$A$4:$BU$4,0)+31),0)</f>
        <v>0</v>
      </c>
      <c r="V119" s="149">
        <f>VLOOKUP($E119,'7. PGE_Efficacité'!$A$6:$BT$266,(MATCH('4.6 ACE MAX CAN '!V$4,'7. PGE_Efficacité'!$A$4:$BU$4,0)+31),0)</f>
        <v>0</v>
      </c>
      <c r="W119" s="149">
        <f>VLOOKUP($E119,'7. PGE_Efficacité'!$A$6:$BT$266,(MATCH('4.6 ACE MAX CAN '!W$4,'7. PGE_Efficacité'!$A$4:$BU$4,0)+31),0)</f>
        <v>0</v>
      </c>
      <c r="X119" s="149">
        <f>VLOOKUP($E119,'7. PGE_Efficacité'!$A$6:$BT$266,(MATCH('4.6 ACE MAX CAN '!X$4,'7. PGE_Efficacité'!$A$4:$BU$4,0)+31),0)</f>
        <v>0</v>
      </c>
      <c r="Y119" s="149">
        <f>VLOOKUP($E119,'7. PGE_Efficacité'!$A$6:$BT$266,(MATCH('4.6 ACE MAX CAN '!Y$4,'7. PGE_Efficacité'!$A$4:$BU$4,0)+31),0)</f>
        <v>0</v>
      </c>
      <c r="Z119" s="149">
        <f>VLOOKUP($E119,'7. PGE_Efficacité'!$A$6:$BT$266,(MATCH('4.6 ACE MAX CAN '!Z$4,'7. PGE_Efficacité'!$A$4:$BU$4,0)+31),0)</f>
        <v>0</v>
      </c>
      <c r="AA119" s="149">
        <f>VLOOKUP($E119,'7. PGE_Efficacité'!$A$6:$BT$266,(MATCH('4.6 ACE MAX CAN '!AA$4,'7. PGE_Efficacité'!$A$4:$BU$4,0)+31),0)</f>
        <v>0</v>
      </c>
      <c r="AB119" s="149">
        <f>VLOOKUP($E119,'7. PGE_Efficacité'!$A$6:$BT$266,(MATCH('4.6 ACE MAX CAN '!AB$4,'7. PGE_Efficacité'!$A$4:$BU$4,0)+31),0)</f>
        <v>0</v>
      </c>
      <c r="AC119" s="149">
        <f>VLOOKUP($E119,'7. PGE_Efficacité'!$A$6:$BT$266,(MATCH('4.6 ACE MAX CAN '!AC$4,'7. PGE_Efficacité'!$A$4:$BU$4,0)+31),0)</f>
        <v>0</v>
      </c>
      <c r="AD119" s="149">
        <f>VLOOKUP($E119,'7. PGE_Efficacité'!$A$6:$BT$266,(MATCH('4.6 ACE MAX CAN '!AD$4,'7. PGE_Efficacité'!$A$4:$BU$4,0)+31),0)</f>
        <v>0</v>
      </c>
      <c r="AE119" s="149">
        <f>VLOOKUP($E119,'7. PGE_Efficacité'!$A$6:$BT$266,(MATCH('4.6 ACE MAX CAN '!AE$4,'7. PGE_Efficacité'!$A$4:$BU$4,0)+31),0)</f>
        <v>0</v>
      </c>
      <c r="AF119" s="149">
        <f>VLOOKUP($E119,'7. PGE_Efficacité'!$A$6:$BT$266,(MATCH('4.6 ACE MAX CAN '!AF$4,'7. PGE_Efficacité'!$A$4:$BU$4,0)+31),0)</f>
        <v>0</v>
      </c>
      <c r="AG119" s="149">
        <f>VLOOKUP($E119,'7. PGE_Efficacité'!$A$6:$BT$266,(MATCH('4.6 ACE MAX CAN '!AG$4,'7. PGE_Efficacité'!$A$4:$BU$4,0)+31),0)</f>
        <v>0</v>
      </c>
      <c r="AH119" s="149">
        <f>VLOOKUP($E119,'7. PGE_Efficacité'!$A$6:$BT$266,(MATCH('4.6 ACE MAX CAN '!AH$4,'7. PGE_Efficacité'!$A$4:$BU$4,0)+31),0)</f>
        <v>0</v>
      </c>
      <c r="AI119" s="149">
        <f>VLOOKUP($E119,'7. PGE_Efficacité'!$A$6:$BT$266,(MATCH('4.6 ACE MAX CAN '!AI$4,'7. PGE_Efficacité'!$A$4:$BU$4,0)+31),0)</f>
        <v>0</v>
      </c>
      <c r="AJ119" s="149">
        <f>VLOOKUP($E119,'7. PGE_Efficacité'!$A$6:$BT$266,(MATCH('4.6 ACE MAX CAN '!AJ$4,'7. PGE_Efficacité'!$A$4:$BU$4,0)+31),0)</f>
        <v>0</v>
      </c>
      <c r="AK119" s="149">
        <f>VLOOKUP($E119,'7. PGE_Efficacité'!$A$6:$BT$266,(MATCH('4.6 ACE MAX CAN '!AK$4,'7. PGE_Efficacité'!$A$4:$BU$4,0)+31),0)</f>
        <v>0</v>
      </c>
      <c r="AL119" s="149">
        <f>VLOOKUP($E119,'7. PGE_Efficacité'!$A$6:$BT$266,(MATCH('4.6 ACE MAX CAN '!AL$4,'7. PGE_Efficacité'!$A$4:$BU$4,0)+31),0)</f>
        <v>0</v>
      </c>
      <c r="AM119" s="149">
        <f>VLOOKUP($E119,'7. PGE_Efficacité'!$A$6:$BT$266,(MATCH('4.6 ACE MAX CAN '!AM$4,'7. PGE_Efficacité'!$A$4:$BU$4,0)+31),0)</f>
        <v>0</v>
      </c>
      <c r="AN119" s="149">
        <f>VLOOKUP($E119,'7. PGE_Efficacité'!$A$6:$BT$266,(MATCH('4.6 ACE MAX CAN '!AN$4,'7. PGE_Efficacité'!$A$4:$BU$4,0)+31),0)</f>
        <v>0</v>
      </c>
    </row>
    <row r="120" spans="1:40" outlineLevel="1" x14ac:dyDescent="0.25">
      <c r="D120" s="360" t="s">
        <v>22</v>
      </c>
      <c r="E120" s="360"/>
      <c r="F120" s="361" t="str">
        <f>VLOOKUP(D120,'1. Mesures'!$A$2:$B$116,2,0)</f>
        <v>Assurer et développer le réseau de monitoring qualitatif et quantitatif en continu FlowBru</v>
      </c>
      <c r="G120" s="360"/>
      <c r="H120" s="360"/>
      <c r="I120" s="362">
        <f>MEDIAN(VLOOKUP(D120,'4. Mesures_ACE_Budget'!$A$3:$R$32,17,0),VLOOKUP(D120,'4. Mesures_ACE_Budget'!$A$3:$R$32,18,0))</f>
        <v>0</v>
      </c>
      <c r="J120" s="212">
        <f>VLOOKUP($D120,'7. PGE_Efficacité'!$A$6:$BT$266,(MATCH('4.6 ACE MAX CAN '!J$4,'7. PGE_Efficacité'!$A$4:$AO$4,0)+31),0)</f>
        <v>0</v>
      </c>
      <c r="K120" s="212">
        <f>VLOOKUP($D120,'7. PGE_Efficacité'!$A$6:$BT$266,(MATCH('4.6 ACE MAX CAN '!K$4,'7. PGE_Efficacité'!$A$4:$AO$4,0)+31),0)</f>
        <v>0</v>
      </c>
      <c r="L120" s="212">
        <f>VLOOKUP($D120,'7. PGE_Efficacité'!$A$6:$BT$266,(MATCH('4.6 ACE MAX CAN '!L$4,'7. PGE_Efficacité'!$A$4:$AO$4,0)+31),0)</f>
        <v>0</v>
      </c>
      <c r="M120" s="212">
        <f>VLOOKUP($D120,'7. PGE_Efficacité'!$A$6:$BT$266,(MATCH('4.6 ACE MAX CAN '!M$4,'7. PGE_Efficacité'!$A$4:$AO$4,0)+31),0)</f>
        <v>0</v>
      </c>
      <c r="N120" s="212">
        <f>VLOOKUP($D120,'7. PGE_Efficacité'!$A$6:$BT$266,(MATCH('4.6 ACE MAX CAN '!N$4,'7. PGE_Efficacité'!$A$4:$AO$4,0)+31),0)</f>
        <v>0</v>
      </c>
      <c r="O120" s="212">
        <f>VLOOKUP($D120,'7. PGE_Efficacité'!$A$6:$BT$268,47,0)</f>
        <v>0</v>
      </c>
      <c r="P120" s="212">
        <f>VLOOKUP($D120,'7. PGE_Efficacité'!$A$6:$BT$266,(MATCH('4.6 ACE MAX CAN '!P$4,'7. PGE_Efficacité'!$A$4:$AO$4,0)+31),0)</f>
        <v>0</v>
      </c>
      <c r="Q120" s="212">
        <f>VLOOKUP($D120,'7. PGE_Efficacité'!$A$6:$BT$266,(MATCH('4.6 ACE MAX CAN '!Q$4,'7. PGE_Efficacité'!$A$4:$AO$4,0)+31),0)</f>
        <v>0</v>
      </c>
      <c r="R120" s="212">
        <f>VLOOKUP($D120,'7. PGE_Efficacité'!$A$6:$BT$266,(MATCH('4.6 ACE MAX CAN '!R$4,'7. PGE_Efficacité'!$A$4:$AO$4,0)+31),0)</f>
        <v>0</v>
      </c>
      <c r="S120" s="212">
        <f>VLOOKUP($D120,'7. PGE_Efficacité'!$A$6:$BT$266,(MATCH('4.6 ACE MAX CAN '!S$4,'7. PGE_Efficacité'!$A$4:$AO$4,0)+31),0)</f>
        <v>0</v>
      </c>
      <c r="T120" s="212">
        <f>VLOOKUP($D120,'7. PGE_Efficacité'!$A$6:$BT$266,(MATCH('4.6 ACE MAX CAN '!T$4,'7. PGE_Efficacité'!$A$4:$AO$4,0)+31),0)</f>
        <v>0</v>
      </c>
      <c r="U120" s="212">
        <f>VLOOKUP($D120,'7. PGE_Efficacité'!$A$6:$BT$266,(MATCH('4.6 ACE MAX CAN '!U$4,'7. PGE_Efficacité'!$A$4:$AO$4,0)+31),0)</f>
        <v>0</v>
      </c>
      <c r="V120" s="212">
        <f>VLOOKUP($D120,'7. PGE_Efficacité'!$A$6:$BT$266,(MATCH('4.6 ACE MAX CAN '!V$4,'7. PGE_Efficacité'!$A$4:$AO$4,0)+31),0)</f>
        <v>0</v>
      </c>
      <c r="W120" s="212">
        <f>VLOOKUP($D120,'7. PGE_Efficacité'!$A$6:$BT$266,(MATCH('4.6 ACE MAX CAN '!W$4,'7. PGE_Efficacité'!$A$4:$AO$4,0)+31),0)</f>
        <v>0</v>
      </c>
      <c r="X120" s="212">
        <f>VLOOKUP($D120,'7. PGE_Efficacité'!$A$6:$BT$266,(MATCH('4.6 ACE MAX CAN '!X$4,'7. PGE_Efficacité'!$A$4:$AO$4,0)+31),0)</f>
        <v>0</v>
      </c>
      <c r="Y120" s="212">
        <f>VLOOKUP($D120,'7. PGE_Efficacité'!$A$6:$BT$266,(MATCH('4.6 ACE MAX CAN '!Y$4,'7. PGE_Efficacité'!$A$4:$AO$4,0)+31),0)</f>
        <v>0</v>
      </c>
      <c r="Z120" s="212">
        <f>VLOOKUP($D120,'7. PGE_Efficacité'!$A$6:$BT$266,(MATCH('4.6 ACE MAX CAN '!Z$4,'7. PGE_Efficacité'!$A$4:$AO$4,0)+31),0)</f>
        <v>0</v>
      </c>
      <c r="AA120" s="212">
        <f>VLOOKUP($D120,'7. PGE_Efficacité'!$A$6:$BT$266,(MATCH('4.6 ACE MAX CAN '!AA$4,'7. PGE_Efficacité'!$A$4:$AO$4,0)+31),0)</f>
        <v>0</v>
      </c>
      <c r="AB120" s="212">
        <f>VLOOKUP($D120,'7. PGE_Efficacité'!$A$6:$BT$266,(MATCH('4.6 ACE MAX CAN '!AB$4,'7. PGE_Efficacité'!$A$4:$AO$4,0)+31),0)</f>
        <v>0</v>
      </c>
      <c r="AC120" s="212">
        <f>VLOOKUP($D120,'7. PGE_Efficacité'!$A$6:$BT$266,(MATCH('4.6 ACE MAX CAN '!AC$4,'7. PGE_Efficacité'!$A$4:$AO$4,0)+31),0)</f>
        <v>0</v>
      </c>
      <c r="AD120" s="212">
        <f>VLOOKUP($D120,'7. PGE_Efficacité'!$A$6:$BT$266,(MATCH('4.6 ACE MAX CAN '!AD$4,'7. PGE_Efficacité'!$A$4:$AO$4,0)+31),0)</f>
        <v>0</v>
      </c>
      <c r="AE120" s="212">
        <f>VLOOKUP($D120,'7. PGE_Efficacité'!$A$6:$BT$266,(MATCH('4.6 ACE MAX CAN '!AE$4,'7. PGE_Efficacité'!$A$4:$AO$4,0)+31),0)</f>
        <v>0</v>
      </c>
      <c r="AF120" s="212">
        <f>VLOOKUP($D120,'7. PGE_Efficacité'!$A$6:$BT$266,(MATCH('4.6 ACE MAX CAN '!AF$4,'7. PGE_Efficacité'!$A$4:$AO$4,0)+31),0)</f>
        <v>0</v>
      </c>
      <c r="AG120" s="212">
        <f>VLOOKUP($D120,'7. PGE_Efficacité'!$A$6:$BT$266,(MATCH('4.6 ACE MAX CAN '!AG$4,'7. PGE_Efficacité'!$A$4:$AO$4,0)+31),0)</f>
        <v>0</v>
      </c>
      <c r="AH120" s="212">
        <f>VLOOKUP($D120,'7. PGE_Efficacité'!$A$6:$BT$266,(MATCH('4.6 ACE MAX CAN '!AH$4,'7. PGE_Efficacité'!$A$4:$AO$4,0)+31),0)</f>
        <v>0</v>
      </c>
      <c r="AI120" s="212">
        <f>VLOOKUP($D120,'7. PGE_Efficacité'!$A$6:$BT$266,(MATCH('4.6 ACE MAX CAN '!AI$4,'7. PGE_Efficacité'!$A$4:$AO$4,0)+31),0)</f>
        <v>0</v>
      </c>
      <c r="AJ120" s="212">
        <f>VLOOKUP($D120,'7. PGE_Efficacité'!$A$6:$BT$266,(MATCH('4.6 ACE MAX CAN '!AJ$4,'7. PGE_Efficacité'!$A$4:$AO$4,0)+31),0)</f>
        <v>0</v>
      </c>
      <c r="AK120" s="212">
        <f>VLOOKUP($D120,'7. PGE_Efficacité'!$A$6:$BT$266,(MATCH('4.6 ACE MAX CAN '!AK$4,'7. PGE_Efficacité'!$A$4:$AO$4,0)+31),0)</f>
        <v>0</v>
      </c>
      <c r="AL120" s="212">
        <f>VLOOKUP($D120,'7. PGE_Efficacité'!$A$6:$BT$266,(MATCH('4.6 ACE MAX CAN '!AL$4,'7. PGE_Efficacité'!$A$4:$AO$4,0)+31),0)</f>
        <v>0</v>
      </c>
      <c r="AM120" s="212">
        <f>VLOOKUP($D120,'7. PGE_Efficacité'!$A$6:$BT$266,(MATCH('4.6 ACE MAX CAN '!AM$4,'7. PGE_Efficacité'!$A$4:$AO$4,0)+31),0)</f>
        <v>0</v>
      </c>
      <c r="AN120" s="212">
        <f>VLOOKUP($D120,'7. PGE_Efficacité'!$A$6:$BT$266,(MATCH('4.6 ACE MAX CAN '!AN$4,'7. PGE_Efficacité'!$A$4:$AO$4,0)+31),0)</f>
        <v>0</v>
      </c>
    </row>
    <row r="121" spans="1:40" outlineLevel="2" x14ac:dyDescent="0.25">
      <c r="A121" t="s">
        <v>1524</v>
      </c>
      <c r="B121">
        <v>22</v>
      </c>
      <c r="C121" t="s">
        <v>1524</v>
      </c>
      <c r="D121" s="12" t="s">
        <v>22</v>
      </c>
      <c r="E121" s="12" t="s">
        <v>738</v>
      </c>
      <c r="F121" s="12" t="s">
        <v>1396</v>
      </c>
      <c r="G121" s="12" t="s">
        <v>1521</v>
      </c>
      <c r="H121" s="12" t="s">
        <v>1290</v>
      </c>
      <c r="I121" s="148"/>
      <c r="J121" s="149">
        <f>VLOOKUP($E121,'7. PGE_Efficacité'!$A$6:$BT$266,(MATCH('4.6 ACE MAX CAN '!J$4,'7. PGE_Efficacité'!$A$4:$BU$4,0)+31),0)</f>
        <v>0</v>
      </c>
      <c r="K121" s="149">
        <f>VLOOKUP($E121,'7. PGE_Efficacité'!$A$6:$BT$266,(MATCH('4.6 ACE MAX CAN '!K$4,'7. PGE_Efficacité'!$A$4:$BU$4,0)+31),0)</f>
        <v>0</v>
      </c>
      <c r="L121" s="149">
        <f>VLOOKUP($E121,'7. PGE_Efficacité'!$A$6:$BT$266,(MATCH('4.6 ACE MAX CAN '!L$4,'7. PGE_Efficacité'!$A$4:$BU$4,0)+31),0)</f>
        <v>0</v>
      </c>
      <c r="M121" s="149">
        <f>VLOOKUP($E121,'7. PGE_Efficacité'!$A$6:$BT$266,(MATCH('4.6 ACE MAX CAN '!M$4,'7. PGE_Efficacité'!$A$4:$BU$4,0)+31),0)</f>
        <v>0</v>
      </c>
      <c r="N121" s="149">
        <f>VLOOKUP($E121,'7. PGE_Efficacité'!$A$6:$BT$266,(MATCH('4.6 ACE MAX CAN '!N$4,'7. PGE_Efficacité'!$A$4:$BU$4,0)+31),0)</f>
        <v>0</v>
      </c>
      <c r="O121" s="149">
        <f>VLOOKUP($D121,'7. PGE_Efficacité'!$A$6:$BT$268,47,0)</f>
        <v>0</v>
      </c>
      <c r="P121" s="149">
        <f>VLOOKUP($E121,'7. PGE_Efficacité'!$A$6:$BT$266,(MATCH('4.6 ACE MAX CAN '!P$4,'7. PGE_Efficacité'!$A$4:$BU$4,0)+31),0)</f>
        <v>0</v>
      </c>
      <c r="Q121" s="149">
        <f>VLOOKUP($E121,'7. PGE_Efficacité'!$A$6:$BT$266,(MATCH('4.6 ACE MAX CAN '!Q$4,'7. PGE_Efficacité'!$A$4:$BU$4,0)+31),0)</f>
        <v>0</v>
      </c>
      <c r="R121" s="149">
        <f>VLOOKUP($E121,'7. PGE_Efficacité'!$A$6:$BT$266,(MATCH('4.6 ACE MAX CAN '!R$4,'7. PGE_Efficacité'!$A$4:$BU$4,0)+31),0)</f>
        <v>0</v>
      </c>
      <c r="S121" s="149">
        <f>VLOOKUP($E121,'7. PGE_Efficacité'!$A$6:$BT$266,(MATCH('4.6 ACE MAX CAN '!S$4,'7. PGE_Efficacité'!$A$4:$BU$4,0)+31),0)</f>
        <v>0</v>
      </c>
      <c r="T121" s="149">
        <f>VLOOKUP($E121,'7. PGE_Efficacité'!$A$6:$BT$266,(MATCH('4.6 ACE MAX CAN '!T$4,'7. PGE_Efficacité'!$A$4:$BU$4,0)+31),0)</f>
        <v>0</v>
      </c>
      <c r="U121" s="149">
        <f>VLOOKUP($E121,'7. PGE_Efficacité'!$A$6:$BT$266,(MATCH('4.6 ACE MAX CAN '!U$4,'7. PGE_Efficacité'!$A$4:$BU$4,0)+31),0)</f>
        <v>0</v>
      </c>
      <c r="V121" s="149">
        <f>VLOOKUP($E121,'7. PGE_Efficacité'!$A$6:$BT$266,(MATCH('4.6 ACE MAX CAN '!V$4,'7. PGE_Efficacité'!$A$4:$BU$4,0)+31),0)</f>
        <v>0</v>
      </c>
      <c r="W121" s="149">
        <f>VLOOKUP($E121,'7. PGE_Efficacité'!$A$6:$BT$266,(MATCH('4.6 ACE MAX CAN '!W$4,'7. PGE_Efficacité'!$A$4:$BU$4,0)+31),0)</f>
        <v>0</v>
      </c>
      <c r="X121" s="149">
        <f>VLOOKUP($E121,'7. PGE_Efficacité'!$A$6:$BT$266,(MATCH('4.6 ACE MAX CAN '!X$4,'7. PGE_Efficacité'!$A$4:$BU$4,0)+31),0)</f>
        <v>0</v>
      </c>
      <c r="Y121" s="149">
        <f>VLOOKUP($E121,'7. PGE_Efficacité'!$A$6:$BT$266,(MATCH('4.6 ACE MAX CAN '!Y$4,'7. PGE_Efficacité'!$A$4:$BU$4,0)+31),0)</f>
        <v>0</v>
      </c>
      <c r="Z121" s="149">
        <f>VLOOKUP($E121,'7. PGE_Efficacité'!$A$6:$BT$266,(MATCH('4.6 ACE MAX CAN '!Z$4,'7. PGE_Efficacité'!$A$4:$BU$4,0)+31),0)</f>
        <v>0</v>
      </c>
      <c r="AA121" s="149">
        <f>VLOOKUP($E121,'7. PGE_Efficacité'!$A$6:$BT$266,(MATCH('4.6 ACE MAX CAN '!AA$4,'7. PGE_Efficacité'!$A$4:$BU$4,0)+31),0)</f>
        <v>0</v>
      </c>
      <c r="AB121" s="149">
        <f>VLOOKUP($E121,'7. PGE_Efficacité'!$A$6:$BT$266,(MATCH('4.6 ACE MAX CAN '!AB$4,'7. PGE_Efficacité'!$A$4:$BU$4,0)+31),0)</f>
        <v>0</v>
      </c>
      <c r="AC121" s="149">
        <f>VLOOKUP($E121,'7. PGE_Efficacité'!$A$6:$BT$266,(MATCH('4.6 ACE MAX CAN '!AC$4,'7. PGE_Efficacité'!$A$4:$BU$4,0)+31),0)</f>
        <v>0</v>
      </c>
      <c r="AD121" s="149">
        <f>VLOOKUP($E121,'7. PGE_Efficacité'!$A$6:$BT$266,(MATCH('4.6 ACE MAX CAN '!AD$4,'7. PGE_Efficacité'!$A$4:$BU$4,0)+31),0)</f>
        <v>0</v>
      </c>
      <c r="AE121" s="149">
        <f>VLOOKUP($E121,'7. PGE_Efficacité'!$A$6:$BT$266,(MATCH('4.6 ACE MAX CAN '!AE$4,'7. PGE_Efficacité'!$A$4:$BU$4,0)+31),0)</f>
        <v>0</v>
      </c>
      <c r="AF121" s="149">
        <f>VLOOKUP($E121,'7. PGE_Efficacité'!$A$6:$BT$266,(MATCH('4.6 ACE MAX CAN '!AF$4,'7. PGE_Efficacité'!$A$4:$BU$4,0)+31),0)</f>
        <v>0</v>
      </c>
      <c r="AG121" s="149">
        <f>VLOOKUP($E121,'7. PGE_Efficacité'!$A$6:$BT$266,(MATCH('4.6 ACE MAX CAN '!AG$4,'7. PGE_Efficacité'!$A$4:$BU$4,0)+31),0)</f>
        <v>0</v>
      </c>
      <c r="AH121" s="149">
        <f>VLOOKUP($E121,'7. PGE_Efficacité'!$A$6:$BT$266,(MATCH('4.6 ACE MAX CAN '!AH$4,'7. PGE_Efficacité'!$A$4:$BU$4,0)+31),0)</f>
        <v>0</v>
      </c>
      <c r="AI121" s="149">
        <f>VLOOKUP($E121,'7. PGE_Efficacité'!$A$6:$BT$266,(MATCH('4.6 ACE MAX CAN '!AI$4,'7. PGE_Efficacité'!$A$4:$BU$4,0)+31),0)</f>
        <v>0</v>
      </c>
      <c r="AJ121" s="149">
        <f>VLOOKUP($E121,'7. PGE_Efficacité'!$A$6:$BT$266,(MATCH('4.6 ACE MAX CAN '!AJ$4,'7. PGE_Efficacité'!$A$4:$BU$4,0)+31),0)</f>
        <v>0</v>
      </c>
      <c r="AK121" s="149">
        <f>VLOOKUP($E121,'7. PGE_Efficacité'!$A$6:$BT$266,(MATCH('4.6 ACE MAX CAN '!AK$4,'7. PGE_Efficacité'!$A$4:$BU$4,0)+31),0)</f>
        <v>0</v>
      </c>
      <c r="AL121" s="149">
        <f>VLOOKUP($E121,'7. PGE_Efficacité'!$A$6:$BT$266,(MATCH('4.6 ACE MAX CAN '!AL$4,'7. PGE_Efficacité'!$A$4:$BU$4,0)+31),0)</f>
        <v>0</v>
      </c>
      <c r="AM121" s="149">
        <f>VLOOKUP($E121,'7. PGE_Efficacité'!$A$6:$BT$266,(MATCH('4.6 ACE MAX CAN '!AM$4,'7. PGE_Efficacité'!$A$4:$BU$4,0)+31),0)</f>
        <v>0</v>
      </c>
      <c r="AN121" s="149">
        <f>VLOOKUP($E121,'7. PGE_Efficacité'!$A$6:$BT$266,(MATCH('4.6 ACE MAX CAN '!AN$4,'7. PGE_Efficacité'!$A$4:$BU$4,0)+31),0)</f>
        <v>0</v>
      </c>
    </row>
    <row r="122" spans="1:40" outlineLevel="2" x14ac:dyDescent="0.25">
      <c r="A122" t="s">
        <v>1524</v>
      </c>
      <c r="B122">
        <v>22</v>
      </c>
      <c r="C122" t="s">
        <v>1525</v>
      </c>
      <c r="D122" s="12" t="s">
        <v>22</v>
      </c>
      <c r="E122" s="12" t="s">
        <v>742</v>
      </c>
      <c r="F122" s="12" t="s">
        <v>1399</v>
      </c>
      <c r="G122" s="12" t="s">
        <v>1521</v>
      </c>
      <c r="H122" s="12" t="s">
        <v>1290</v>
      </c>
      <c r="I122" s="148"/>
      <c r="J122" s="149">
        <f>VLOOKUP($E122,'7. PGE_Efficacité'!$A$6:$BT$266,(MATCH('4.6 ACE MAX CAN '!J$4,'7. PGE_Efficacité'!$A$4:$BU$4,0)+31),0)</f>
        <v>0</v>
      </c>
      <c r="K122" s="149">
        <f>VLOOKUP($E122,'7. PGE_Efficacité'!$A$6:$BT$266,(MATCH('4.6 ACE MAX CAN '!K$4,'7. PGE_Efficacité'!$A$4:$BU$4,0)+31),0)</f>
        <v>0</v>
      </c>
      <c r="L122" s="149">
        <f>VLOOKUP($E122,'7. PGE_Efficacité'!$A$6:$BT$266,(MATCH('4.6 ACE MAX CAN '!L$4,'7. PGE_Efficacité'!$A$4:$BU$4,0)+31),0)</f>
        <v>0</v>
      </c>
      <c r="M122" s="149">
        <f>VLOOKUP($E122,'7. PGE_Efficacité'!$A$6:$BT$266,(MATCH('4.6 ACE MAX CAN '!M$4,'7. PGE_Efficacité'!$A$4:$BU$4,0)+31),0)</f>
        <v>0</v>
      </c>
      <c r="N122" s="149">
        <f>VLOOKUP($E122,'7. PGE_Efficacité'!$A$6:$BT$266,(MATCH('4.6 ACE MAX CAN '!N$4,'7. PGE_Efficacité'!$A$4:$BU$4,0)+31),0)</f>
        <v>0</v>
      </c>
      <c r="O122" s="149">
        <f>VLOOKUP($D122,'7. PGE_Efficacité'!$A$6:$BT$268,47,0)</f>
        <v>0</v>
      </c>
      <c r="P122" s="149">
        <f>VLOOKUP($E122,'7. PGE_Efficacité'!$A$6:$BT$266,(MATCH('4.6 ACE MAX CAN '!P$4,'7. PGE_Efficacité'!$A$4:$BU$4,0)+31),0)</f>
        <v>0</v>
      </c>
      <c r="Q122" s="149">
        <f>VLOOKUP($E122,'7. PGE_Efficacité'!$A$6:$BT$266,(MATCH('4.6 ACE MAX CAN '!Q$4,'7. PGE_Efficacité'!$A$4:$BU$4,0)+31),0)</f>
        <v>0</v>
      </c>
      <c r="R122" s="149">
        <f>VLOOKUP($E122,'7. PGE_Efficacité'!$A$6:$BT$266,(MATCH('4.6 ACE MAX CAN '!R$4,'7. PGE_Efficacité'!$A$4:$BU$4,0)+31),0)</f>
        <v>0</v>
      </c>
      <c r="S122" s="149">
        <f>VLOOKUP($E122,'7. PGE_Efficacité'!$A$6:$BT$266,(MATCH('4.6 ACE MAX CAN '!S$4,'7. PGE_Efficacité'!$A$4:$BU$4,0)+31),0)</f>
        <v>0</v>
      </c>
      <c r="T122" s="149">
        <f>VLOOKUP($E122,'7. PGE_Efficacité'!$A$6:$BT$266,(MATCH('4.6 ACE MAX CAN '!T$4,'7. PGE_Efficacité'!$A$4:$BU$4,0)+31),0)</f>
        <v>0</v>
      </c>
      <c r="U122" s="149">
        <f>VLOOKUP($E122,'7. PGE_Efficacité'!$A$6:$BT$266,(MATCH('4.6 ACE MAX CAN '!U$4,'7. PGE_Efficacité'!$A$4:$BU$4,0)+31),0)</f>
        <v>0</v>
      </c>
      <c r="V122" s="149">
        <f>VLOOKUP($E122,'7. PGE_Efficacité'!$A$6:$BT$266,(MATCH('4.6 ACE MAX CAN '!V$4,'7. PGE_Efficacité'!$A$4:$BU$4,0)+31),0)</f>
        <v>0</v>
      </c>
      <c r="W122" s="149">
        <f>VLOOKUP($E122,'7. PGE_Efficacité'!$A$6:$BT$266,(MATCH('4.6 ACE MAX CAN '!W$4,'7. PGE_Efficacité'!$A$4:$BU$4,0)+31),0)</f>
        <v>0</v>
      </c>
      <c r="X122" s="149">
        <f>VLOOKUP($E122,'7. PGE_Efficacité'!$A$6:$BT$266,(MATCH('4.6 ACE MAX CAN '!X$4,'7. PGE_Efficacité'!$A$4:$BU$4,0)+31),0)</f>
        <v>0</v>
      </c>
      <c r="Y122" s="149">
        <f>VLOOKUP($E122,'7. PGE_Efficacité'!$A$6:$BT$266,(MATCH('4.6 ACE MAX CAN '!Y$4,'7. PGE_Efficacité'!$A$4:$BU$4,0)+31),0)</f>
        <v>0</v>
      </c>
      <c r="Z122" s="149">
        <f>VLOOKUP($E122,'7. PGE_Efficacité'!$A$6:$BT$266,(MATCH('4.6 ACE MAX CAN '!Z$4,'7. PGE_Efficacité'!$A$4:$BU$4,0)+31),0)</f>
        <v>0</v>
      </c>
      <c r="AA122" s="149">
        <f>VLOOKUP($E122,'7. PGE_Efficacité'!$A$6:$BT$266,(MATCH('4.6 ACE MAX CAN '!AA$4,'7. PGE_Efficacité'!$A$4:$BU$4,0)+31),0)</f>
        <v>0</v>
      </c>
      <c r="AB122" s="149">
        <f>VLOOKUP($E122,'7. PGE_Efficacité'!$A$6:$BT$266,(MATCH('4.6 ACE MAX CAN '!AB$4,'7. PGE_Efficacité'!$A$4:$BU$4,0)+31),0)</f>
        <v>0</v>
      </c>
      <c r="AC122" s="149">
        <f>VLOOKUP($E122,'7. PGE_Efficacité'!$A$6:$BT$266,(MATCH('4.6 ACE MAX CAN '!AC$4,'7. PGE_Efficacité'!$A$4:$BU$4,0)+31),0)</f>
        <v>0</v>
      </c>
      <c r="AD122" s="149">
        <f>VLOOKUP($E122,'7. PGE_Efficacité'!$A$6:$BT$266,(MATCH('4.6 ACE MAX CAN '!AD$4,'7. PGE_Efficacité'!$A$4:$BU$4,0)+31),0)</f>
        <v>0</v>
      </c>
      <c r="AE122" s="149">
        <f>VLOOKUP($E122,'7. PGE_Efficacité'!$A$6:$BT$266,(MATCH('4.6 ACE MAX CAN '!AE$4,'7. PGE_Efficacité'!$A$4:$BU$4,0)+31),0)</f>
        <v>0</v>
      </c>
      <c r="AF122" s="149">
        <f>VLOOKUP($E122,'7. PGE_Efficacité'!$A$6:$BT$266,(MATCH('4.6 ACE MAX CAN '!AF$4,'7. PGE_Efficacité'!$A$4:$BU$4,0)+31),0)</f>
        <v>0</v>
      </c>
      <c r="AG122" s="149">
        <f>VLOOKUP($E122,'7. PGE_Efficacité'!$A$6:$BT$266,(MATCH('4.6 ACE MAX CAN '!AG$4,'7. PGE_Efficacité'!$A$4:$BU$4,0)+31),0)</f>
        <v>0</v>
      </c>
      <c r="AH122" s="149">
        <f>VLOOKUP($E122,'7. PGE_Efficacité'!$A$6:$BT$266,(MATCH('4.6 ACE MAX CAN '!AH$4,'7. PGE_Efficacité'!$A$4:$BU$4,0)+31),0)</f>
        <v>0</v>
      </c>
      <c r="AI122" s="149">
        <f>VLOOKUP($E122,'7. PGE_Efficacité'!$A$6:$BT$266,(MATCH('4.6 ACE MAX CAN '!AI$4,'7. PGE_Efficacité'!$A$4:$BU$4,0)+31),0)</f>
        <v>0</v>
      </c>
      <c r="AJ122" s="149">
        <f>VLOOKUP($E122,'7. PGE_Efficacité'!$A$6:$BT$266,(MATCH('4.6 ACE MAX CAN '!AJ$4,'7. PGE_Efficacité'!$A$4:$BU$4,0)+31),0)</f>
        <v>0</v>
      </c>
      <c r="AK122" s="149">
        <f>VLOOKUP($E122,'7. PGE_Efficacité'!$A$6:$BT$266,(MATCH('4.6 ACE MAX CAN '!AK$4,'7. PGE_Efficacité'!$A$4:$BU$4,0)+31),0)</f>
        <v>0</v>
      </c>
      <c r="AL122" s="149">
        <f>VLOOKUP($E122,'7. PGE_Efficacité'!$A$6:$BT$266,(MATCH('4.6 ACE MAX CAN '!AL$4,'7. PGE_Efficacité'!$A$4:$BU$4,0)+31),0)</f>
        <v>0</v>
      </c>
      <c r="AM122" s="149">
        <f>VLOOKUP($E122,'7. PGE_Efficacité'!$A$6:$BT$266,(MATCH('4.6 ACE MAX CAN '!AM$4,'7. PGE_Efficacité'!$A$4:$BU$4,0)+31),0)</f>
        <v>0</v>
      </c>
      <c r="AN122" s="149">
        <f>VLOOKUP($E122,'7. PGE_Efficacité'!$A$6:$BT$266,(MATCH('4.6 ACE MAX CAN '!AN$4,'7. PGE_Efficacité'!$A$4:$BU$4,0)+31),0)</f>
        <v>0</v>
      </c>
    </row>
    <row r="123" spans="1:40" outlineLevel="2" x14ac:dyDescent="0.25">
      <c r="A123" t="s">
        <v>1524</v>
      </c>
      <c r="B123">
        <v>22</v>
      </c>
      <c r="C123" t="s">
        <v>1526</v>
      </c>
      <c r="D123" s="12" t="s">
        <v>22</v>
      </c>
      <c r="E123" s="12" t="s">
        <v>743</v>
      </c>
      <c r="F123" s="12" t="s">
        <v>1400</v>
      </c>
      <c r="G123" s="12" t="s">
        <v>1521</v>
      </c>
      <c r="H123" s="12" t="s">
        <v>1287</v>
      </c>
      <c r="I123" s="148"/>
      <c r="J123" s="149">
        <f>VLOOKUP($E123,'7. PGE_Efficacité'!$A$6:$BT$266,(MATCH('4.6 ACE MAX CAN '!J$4,'7. PGE_Efficacité'!$A$4:$BU$4,0)+31),0)</f>
        <v>0</v>
      </c>
      <c r="K123" s="149">
        <f>VLOOKUP($E123,'7. PGE_Efficacité'!$A$6:$BT$266,(MATCH('4.6 ACE MAX CAN '!K$4,'7. PGE_Efficacité'!$A$4:$BU$4,0)+31),0)</f>
        <v>0</v>
      </c>
      <c r="L123" s="149">
        <f>VLOOKUP($E123,'7. PGE_Efficacité'!$A$6:$BT$266,(MATCH('4.6 ACE MAX CAN '!L$4,'7. PGE_Efficacité'!$A$4:$BU$4,0)+31),0)</f>
        <v>0</v>
      </c>
      <c r="M123" s="149">
        <f>VLOOKUP($E123,'7. PGE_Efficacité'!$A$6:$BT$266,(MATCH('4.6 ACE MAX CAN '!M$4,'7. PGE_Efficacité'!$A$4:$BU$4,0)+31),0)</f>
        <v>0</v>
      </c>
      <c r="N123" s="149">
        <f>VLOOKUP($E123,'7. PGE_Efficacité'!$A$6:$BT$266,(MATCH('4.6 ACE MAX CAN '!N$4,'7. PGE_Efficacité'!$A$4:$BU$4,0)+31),0)</f>
        <v>0</v>
      </c>
      <c r="O123" s="149">
        <f>VLOOKUP($D123,'7. PGE_Efficacité'!$A$6:$BT$268,47,0)</f>
        <v>0</v>
      </c>
      <c r="P123" s="149">
        <f>VLOOKUP($E123,'7. PGE_Efficacité'!$A$6:$BT$266,(MATCH('4.6 ACE MAX CAN '!P$4,'7. PGE_Efficacité'!$A$4:$BU$4,0)+31),0)</f>
        <v>0</v>
      </c>
      <c r="Q123" s="149">
        <f>VLOOKUP($E123,'7. PGE_Efficacité'!$A$6:$BT$266,(MATCH('4.6 ACE MAX CAN '!Q$4,'7. PGE_Efficacité'!$A$4:$BU$4,0)+31),0)</f>
        <v>0</v>
      </c>
      <c r="R123" s="149">
        <f>VLOOKUP($E123,'7. PGE_Efficacité'!$A$6:$BT$266,(MATCH('4.6 ACE MAX CAN '!R$4,'7. PGE_Efficacité'!$A$4:$BU$4,0)+31),0)</f>
        <v>0</v>
      </c>
      <c r="S123" s="149">
        <f>VLOOKUP($E123,'7. PGE_Efficacité'!$A$6:$BT$266,(MATCH('4.6 ACE MAX CAN '!S$4,'7. PGE_Efficacité'!$A$4:$BU$4,0)+31),0)</f>
        <v>0</v>
      </c>
      <c r="T123" s="149">
        <f>VLOOKUP($E123,'7. PGE_Efficacité'!$A$6:$BT$266,(MATCH('4.6 ACE MAX CAN '!T$4,'7. PGE_Efficacité'!$A$4:$BU$4,0)+31),0)</f>
        <v>0</v>
      </c>
      <c r="U123" s="149">
        <f>VLOOKUP($E123,'7. PGE_Efficacité'!$A$6:$BT$266,(MATCH('4.6 ACE MAX CAN '!U$4,'7. PGE_Efficacité'!$A$4:$BU$4,0)+31),0)</f>
        <v>0</v>
      </c>
      <c r="V123" s="149">
        <f>VLOOKUP($E123,'7. PGE_Efficacité'!$A$6:$BT$266,(MATCH('4.6 ACE MAX CAN '!V$4,'7. PGE_Efficacité'!$A$4:$BU$4,0)+31),0)</f>
        <v>0</v>
      </c>
      <c r="W123" s="149">
        <f>VLOOKUP($E123,'7. PGE_Efficacité'!$A$6:$BT$266,(MATCH('4.6 ACE MAX CAN '!W$4,'7. PGE_Efficacité'!$A$4:$BU$4,0)+31),0)</f>
        <v>0</v>
      </c>
      <c r="X123" s="149">
        <f>VLOOKUP($E123,'7. PGE_Efficacité'!$A$6:$BT$266,(MATCH('4.6 ACE MAX CAN '!X$4,'7. PGE_Efficacité'!$A$4:$BU$4,0)+31),0)</f>
        <v>0</v>
      </c>
      <c r="Y123" s="149">
        <f>VLOOKUP($E123,'7. PGE_Efficacité'!$A$6:$BT$266,(MATCH('4.6 ACE MAX CAN '!Y$4,'7. PGE_Efficacité'!$A$4:$BU$4,0)+31),0)</f>
        <v>0</v>
      </c>
      <c r="Z123" s="149">
        <f>VLOOKUP($E123,'7. PGE_Efficacité'!$A$6:$BT$266,(MATCH('4.6 ACE MAX CAN '!Z$4,'7. PGE_Efficacité'!$A$4:$BU$4,0)+31),0)</f>
        <v>0</v>
      </c>
      <c r="AA123" s="149">
        <f>VLOOKUP($E123,'7. PGE_Efficacité'!$A$6:$BT$266,(MATCH('4.6 ACE MAX CAN '!AA$4,'7. PGE_Efficacité'!$A$4:$BU$4,0)+31),0)</f>
        <v>0</v>
      </c>
      <c r="AB123" s="149">
        <f>VLOOKUP($E123,'7. PGE_Efficacité'!$A$6:$BT$266,(MATCH('4.6 ACE MAX CAN '!AB$4,'7. PGE_Efficacité'!$A$4:$BU$4,0)+31),0)</f>
        <v>0</v>
      </c>
      <c r="AC123" s="149">
        <f>VLOOKUP($E123,'7. PGE_Efficacité'!$A$6:$BT$266,(MATCH('4.6 ACE MAX CAN '!AC$4,'7. PGE_Efficacité'!$A$4:$BU$4,0)+31),0)</f>
        <v>0</v>
      </c>
      <c r="AD123" s="149">
        <f>VLOOKUP($E123,'7. PGE_Efficacité'!$A$6:$BT$266,(MATCH('4.6 ACE MAX CAN '!AD$4,'7. PGE_Efficacité'!$A$4:$BU$4,0)+31),0)</f>
        <v>0</v>
      </c>
      <c r="AE123" s="149">
        <f>VLOOKUP($E123,'7. PGE_Efficacité'!$A$6:$BT$266,(MATCH('4.6 ACE MAX CAN '!AE$4,'7. PGE_Efficacité'!$A$4:$BU$4,0)+31),0)</f>
        <v>0</v>
      </c>
      <c r="AF123" s="149">
        <f>VLOOKUP($E123,'7. PGE_Efficacité'!$A$6:$BT$266,(MATCH('4.6 ACE MAX CAN '!AF$4,'7. PGE_Efficacité'!$A$4:$BU$4,0)+31),0)</f>
        <v>0</v>
      </c>
      <c r="AG123" s="149">
        <f>VLOOKUP($E123,'7. PGE_Efficacité'!$A$6:$BT$266,(MATCH('4.6 ACE MAX CAN '!AG$4,'7. PGE_Efficacité'!$A$4:$BU$4,0)+31),0)</f>
        <v>0</v>
      </c>
      <c r="AH123" s="149">
        <f>VLOOKUP($E123,'7. PGE_Efficacité'!$A$6:$BT$266,(MATCH('4.6 ACE MAX CAN '!AH$4,'7. PGE_Efficacité'!$A$4:$BU$4,0)+31),0)</f>
        <v>0</v>
      </c>
      <c r="AI123" s="149">
        <f>VLOOKUP($E123,'7. PGE_Efficacité'!$A$6:$BT$266,(MATCH('4.6 ACE MAX CAN '!AI$4,'7. PGE_Efficacité'!$A$4:$BU$4,0)+31),0)</f>
        <v>0</v>
      </c>
      <c r="AJ123" s="149">
        <f>VLOOKUP($E123,'7. PGE_Efficacité'!$A$6:$BT$266,(MATCH('4.6 ACE MAX CAN '!AJ$4,'7. PGE_Efficacité'!$A$4:$BU$4,0)+31),0)</f>
        <v>0</v>
      </c>
      <c r="AK123" s="149">
        <f>VLOOKUP($E123,'7. PGE_Efficacité'!$A$6:$BT$266,(MATCH('4.6 ACE MAX CAN '!AK$4,'7. PGE_Efficacité'!$A$4:$BU$4,0)+31),0)</f>
        <v>0</v>
      </c>
      <c r="AL123" s="149">
        <f>VLOOKUP($E123,'7. PGE_Efficacité'!$A$6:$BT$266,(MATCH('4.6 ACE MAX CAN '!AL$4,'7. PGE_Efficacité'!$A$4:$BU$4,0)+31),0)</f>
        <v>0</v>
      </c>
      <c r="AM123" s="149">
        <f>VLOOKUP($E123,'7. PGE_Efficacité'!$A$6:$BT$266,(MATCH('4.6 ACE MAX CAN '!AM$4,'7. PGE_Efficacité'!$A$4:$BU$4,0)+31),0)</f>
        <v>0</v>
      </c>
      <c r="AN123" s="149">
        <f>VLOOKUP($E123,'7. PGE_Efficacité'!$A$6:$BT$266,(MATCH('4.6 ACE MAX CAN '!AN$4,'7. PGE_Efficacité'!$A$4:$BU$4,0)+31),0)</f>
        <v>0</v>
      </c>
    </row>
    <row r="124" spans="1:40" outlineLevel="2" x14ac:dyDescent="0.25">
      <c r="A124" t="s">
        <v>1524</v>
      </c>
      <c r="B124">
        <v>22</v>
      </c>
      <c r="C124" t="s">
        <v>1527</v>
      </c>
      <c r="D124" s="12" t="s">
        <v>22</v>
      </c>
      <c r="E124" s="12" t="s">
        <v>744</v>
      </c>
      <c r="F124" s="12" t="s">
        <v>1401</v>
      </c>
      <c r="G124" s="12" t="s">
        <v>1521</v>
      </c>
      <c r="H124" s="12" t="s">
        <v>1290</v>
      </c>
      <c r="I124" s="148"/>
      <c r="J124" s="149">
        <f>VLOOKUP($E124,'7. PGE_Efficacité'!$A$6:$BT$266,(MATCH('4.6 ACE MAX CAN '!J$4,'7. PGE_Efficacité'!$A$4:$BU$4,0)+31),0)</f>
        <v>0</v>
      </c>
      <c r="K124" s="149">
        <f>VLOOKUP($E124,'7. PGE_Efficacité'!$A$6:$BT$266,(MATCH('4.6 ACE MAX CAN '!K$4,'7. PGE_Efficacité'!$A$4:$BU$4,0)+31),0)</f>
        <v>0</v>
      </c>
      <c r="L124" s="149">
        <f>VLOOKUP($E124,'7. PGE_Efficacité'!$A$6:$BT$266,(MATCH('4.6 ACE MAX CAN '!L$4,'7. PGE_Efficacité'!$A$4:$BU$4,0)+31),0)</f>
        <v>0</v>
      </c>
      <c r="M124" s="149">
        <f>VLOOKUP($E124,'7. PGE_Efficacité'!$A$6:$BT$266,(MATCH('4.6 ACE MAX CAN '!M$4,'7. PGE_Efficacité'!$A$4:$BU$4,0)+31),0)</f>
        <v>0</v>
      </c>
      <c r="N124" s="149">
        <f>VLOOKUP($E124,'7. PGE_Efficacité'!$A$6:$BT$266,(MATCH('4.6 ACE MAX CAN '!N$4,'7. PGE_Efficacité'!$A$4:$BU$4,0)+31),0)</f>
        <v>0</v>
      </c>
      <c r="O124" s="149">
        <f>VLOOKUP($D124,'7. PGE_Efficacité'!$A$6:$BT$268,47,0)</f>
        <v>0</v>
      </c>
      <c r="P124" s="149">
        <f>VLOOKUP($E124,'7. PGE_Efficacité'!$A$6:$BT$266,(MATCH('4.6 ACE MAX CAN '!P$4,'7. PGE_Efficacité'!$A$4:$BU$4,0)+31),0)</f>
        <v>0</v>
      </c>
      <c r="Q124" s="149">
        <f>VLOOKUP($E124,'7. PGE_Efficacité'!$A$6:$BT$266,(MATCH('4.6 ACE MAX CAN '!Q$4,'7. PGE_Efficacité'!$A$4:$BU$4,0)+31),0)</f>
        <v>0</v>
      </c>
      <c r="R124" s="149">
        <f>VLOOKUP($E124,'7. PGE_Efficacité'!$A$6:$BT$266,(MATCH('4.6 ACE MAX CAN '!R$4,'7. PGE_Efficacité'!$A$4:$BU$4,0)+31),0)</f>
        <v>0</v>
      </c>
      <c r="S124" s="149">
        <f>VLOOKUP($E124,'7. PGE_Efficacité'!$A$6:$BT$266,(MATCH('4.6 ACE MAX CAN '!S$4,'7. PGE_Efficacité'!$A$4:$BU$4,0)+31),0)</f>
        <v>0</v>
      </c>
      <c r="T124" s="149">
        <f>VLOOKUP($E124,'7. PGE_Efficacité'!$A$6:$BT$266,(MATCH('4.6 ACE MAX CAN '!T$4,'7. PGE_Efficacité'!$A$4:$BU$4,0)+31),0)</f>
        <v>0</v>
      </c>
      <c r="U124" s="149">
        <f>VLOOKUP($E124,'7. PGE_Efficacité'!$A$6:$BT$266,(MATCH('4.6 ACE MAX CAN '!U$4,'7. PGE_Efficacité'!$A$4:$BU$4,0)+31),0)</f>
        <v>0</v>
      </c>
      <c r="V124" s="149">
        <f>VLOOKUP($E124,'7. PGE_Efficacité'!$A$6:$BT$266,(MATCH('4.6 ACE MAX CAN '!V$4,'7. PGE_Efficacité'!$A$4:$BU$4,0)+31),0)</f>
        <v>0</v>
      </c>
      <c r="W124" s="149">
        <f>VLOOKUP($E124,'7. PGE_Efficacité'!$A$6:$BT$266,(MATCH('4.6 ACE MAX CAN '!W$4,'7. PGE_Efficacité'!$A$4:$BU$4,0)+31),0)</f>
        <v>0</v>
      </c>
      <c r="X124" s="149">
        <f>VLOOKUP($E124,'7. PGE_Efficacité'!$A$6:$BT$266,(MATCH('4.6 ACE MAX CAN '!X$4,'7. PGE_Efficacité'!$A$4:$BU$4,0)+31),0)</f>
        <v>0</v>
      </c>
      <c r="Y124" s="149">
        <f>VLOOKUP($E124,'7. PGE_Efficacité'!$A$6:$BT$266,(MATCH('4.6 ACE MAX CAN '!Y$4,'7. PGE_Efficacité'!$A$4:$BU$4,0)+31),0)</f>
        <v>0</v>
      </c>
      <c r="Z124" s="149">
        <f>VLOOKUP($E124,'7. PGE_Efficacité'!$A$6:$BT$266,(MATCH('4.6 ACE MAX CAN '!Z$4,'7. PGE_Efficacité'!$A$4:$BU$4,0)+31),0)</f>
        <v>0</v>
      </c>
      <c r="AA124" s="149">
        <f>VLOOKUP($E124,'7. PGE_Efficacité'!$A$6:$BT$266,(MATCH('4.6 ACE MAX CAN '!AA$4,'7. PGE_Efficacité'!$A$4:$BU$4,0)+31),0)</f>
        <v>0</v>
      </c>
      <c r="AB124" s="149">
        <f>VLOOKUP($E124,'7. PGE_Efficacité'!$A$6:$BT$266,(MATCH('4.6 ACE MAX CAN '!AB$4,'7. PGE_Efficacité'!$A$4:$BU$4,0)+31),0)</f>
        <v>0</v>
      </c>
      <c r="AC124" s="149">
        <f>VLOOKUP($E124,'7. PGE_Efficacité'!$A$6:$BT$266,(MATCH('4.6 ACE MAX CAN '!AC$4,'7. PGE_Efficacité'!$A$4:$BU$4,0)+31),0)</f>
        <v>0</v>
      </c>
      <c r="AD124" s="149">
        <f>VLOOKUP($E124,'7. PGE_Efficacité'!$A$6:$BT$266,(MATCH('4.6 ACE MAX CAN '!AD$4,'7. PGE_Efficacité'!$A$4:$BU$4,0)+31),0)</f>
        <v>0</v>
      </c>
      <c r="AE124" s="149">
        <f>VLOOKUP($E124,'7. PGE_Efficacité'!$A$6:$BT$266,(MATCH('4.6 ACE MAX CAN '!AE$4,'7. PGE_Efficacité'!$A$4:$BU$4,0)+31),0)</f>
        <v>0</v>
      </c>
      <c r="AF124" s="149">
        <f>VLOOKUP($E124,'7. PGE_Efficacité'!$A$6:$BT$266,(MATCH('4.6 ACE MAX CAN '!AF$4,'7. PGE_Efficacité'!$A$4:$BU$4,0)+31),0)</f>
        <v>0</v>
      </c>
      <c r="AG124" s="149">
        <f>VLOOKUP($E124,'7. PGE_Efficacité'!$A$6:$BT$266,(MATCH('4.6 ACE MAX CAN '!AG$4,'7. PGE_Efficacité'!$A$4:$BU$4,0)+31),0)</f>
        <v>0</v>
      </c>
      <c r="AH124" s="149">
        <f>VLOOKUP($E124,'7. PGE_Efficacité'!$A$6:$BT$266,(MATCH('4.6 ACE MAX CAN '!AH$4,'7. PGE_Efficacité'!$A$4:$BU$4,0)+31),0)</f>
        <v>0</v>
      </c>
      <c r="AI124" s="149">
        <f>VLOOKUP($E124,'7. PGE_Efficacité'!$A$6:$BT$266,(MATCH('4.6 ACE MAX CAN '!AI$4,'7. PGE_Efficacité'!$A$4:$BU$4,0)+31),0)</f>
        <v>0</v>
      </c>
      <c r="AJ124" s="149">
        <f>VLOOKUP($E124,'7. PGE_Efficacité'!$A$6:$BT$266,(MATCH('4.6 ACE MAX CAN '!AJ$4,'7. PGE_Efficacité'!$A$4:$BU$4,0)+31),0)</f>
        <v>0</v>
      </c>
      <c r="AK124" s="149">
        <f>VLOOKUP($E124,'7. PGE_Efficacité'!$A$6:$BT$266,(MATCH('4.6 ACE MAX CAN '!AK$4,'7. PGE_Efficacité'!$A$4:$BU$4,0)+31),0)</f>
        <v>0</v>
      </c>
      <c r="AL124" s="149">
        <f>VLOOKUP($E124,'7. PGE_Efficacité'!$A$6:$BT$266,(MATCH('4.6 ACE MAX CAN '!AL$4,'7. PGE_Efficacité'!$A$4:$BU$4,0)+31),0)</f>
        <v>0</v>
      </c>
      <c r="AM124" s="149">
        <f>VLOOKUP($E124,'7. PGE_Efficacité'!$A$6:$BT$266,(MATCH('4.6 ACE MAX CAN '!AM$4,'7. PGE_Efficacité'!$A$4:$BU$4,0)+31),0)</f>
        <v>0</v>
      </c>
      <c r="AN124" s="149">
        <f>VLOOKUP($E124,'7. PGE_Efficacité'!$A$6:$BT$266,(MATCH('4.6 ACE MAX CAN '!AN$4,'7. PGE_Efficacité'!$A$4:$BU$4,0)+31),0)</f>
        <v>0</v>
      </c>
    </row>
    <row r="125" spans="1:40" outlineLevel="2" x14ac:dyDescent="0.25">
      <c r="A125" t="s">
        <v>1524</v>
      </c>
      <c r="B125">
        <v>22</v>
      </c>
      <c r="C125" t="s">
        <v>410</v>
      </c>
      <c r="D125" s="12" t="s">
        <v>22</v>
      </c>
      <c r="E125" s="12" t="s">
        <v>745</v>
      </c>
      <c r="F125" s="12" t="s">
        <v>1402</v>
      </c>
      <c r="G125" s="12" t="s">
        <v>1521</v>
      </c>
      <c r="H125" s="12" t="s">
        <v>1290</v>
      </c>
      <c r="I125" s="148"/>
      <c r="J125" s="149">
        <f>VLOOKUP($E125,'7. PGE_Efficacité'!$A$6:$BT$266,(MATCH('4.6 ACE MAX CAN '!J$4,'7. PGE_Efficacité'!$A$4:$BU$4,0)+31),0)</f>
        <v>0</v>
      </c>
      <c r="K125" s="149">
        <f>VLOOKUP($E125,'7. PGE_Efficacité'!$A$6:$BT$266,(MATCH('4.6 ACE MAX CAN '!K$4,'7. PGE_Efficacité'!$A$4:$BU$4,0)+31),0)</f>
        <v>0</v>
      </c>
      <c r="L125" s="149">
        <f>VLOOKUP($E125,'7. PGE_Efficacité'!$A$6:$BT$266,(MATCH('4.6 ACE MAX CAN '!L$4,'7. PGE_Efficacité'!$A$4:$BU$4,0)+31),0)</f>
        <v>0</v>
      </c>
      <c r="M125" s="149">
        <f>VLOOKUP($E125,'7. PGE_Efficacité'!$A$6:$BT$266,(MATCH('4.6 ACE MAX CAN '!M$4,'7. PGE_Efficacité'!$A$4:$BU$4,0)+31),0)</f>
        <v>0</v>
      </c>
      <c r="N125" s="149">
        <f>VLOOKUP($E125,'7. PGE_Efficacité'!$A$6:$BT$266,(MATCH('4.6 ACE MAX CAN '!N$4,'7. PGE_Efficacité'!$A$4:$BU$4,0)+31),0)</f>
        <v>0</v>
      </c>
      <c r="O125" s="149">
        <f>VLOOKUP($D125,'7. PGE_Efficacité'!$A$6:$BT$268,47,0)</f>
        <v>0</v>
      </c>
      <c r="P125" s="149">
        <f>VLOOKUP($E125,'7. PGE_Efficacité'!$A$6:$BT$266,(MATCH('4.6 ACE MAX CAN '!P$4,'7. PGE_Efficacité'!$A$4:$BU$4,0)+31),0)</f>
        <v>0</v>
      </c>
      <c r="Q125" s="149">
        <f>VLOOKUP($E125,'7. PGE_Efficacité'!$A$6:$BT$266,(MATCH('4.6 ACE MAX CAN '!Q$4,'7. PGE_Efficacité'!$A$4:$BU$4,0)+31),0)</f>
        <v>0</v>
      </c>
      <c r="R125" s="149">
        <f>VLOOKUP($E125,'7. PGE_Efficacité'!$A$6:$BT$266,(MATCH('4.6 ACE MAX CAN '!R$4,'7. PGE_Efficacité'!$A$4:$BU$4,0)+31),0)</f>
        <v>0</v>
      </c>
      <c r="S125" s="149">
        <f>VLOOKUP($E125,'7. PGE_Efficacité'!$A$6:$BT$266,(MATCH('4.6 ACE MAX CAN '!S$4,'7. PGE_Efficacité'!$A$4:$BU$4,0)+31),0)</f>
        <v>0</v>
      </c>
      <c r="T125" s="149">
        <f>VLOOKUP($E125,'7. PGE_Efficacité'!$A$6:$BT$266,(MATCH('4.6 ACE MAX CAN '!T$4,'7. PGE_Efficacité'!$A$4:$BU$4,0)+31),0)</f>
        <v>0</v>
      </c>
      <c r="U125" s="149">
        <f>VLOOKUP($E125,'7. PGE_Efficacité'!$A$6:$BT$266,(MATCH('4.6 ACE MAX CAN '!U$4,'7. PGE_Efficacité'!$A$4:$BU$4,0)+31),0)</f>
        <v>0</v>
      </c>
      <c r="V125" s="149">
        <f>VLOOKUP($E125,'7. PGE_Efficacité'!$A$6:$BT$266,(MATCH('4.6 ACE MAX CAN '!V$4,'7. PGE_Efficacité'!$A$4:$BU$4,0)+31),0)</f>
        <v>0</v>
      </c>
      <c r="W125" s="149">
        <f>VLOOKUP($E125,'7. PGE_Efficacité'!$A$6:$BT$266,(MATCH('4.6 ACE MAX CAN '!W$4,'7. PGE_Efficacité'!$A$4:$BU$4,0)+31),0)</f>
        <v>0</v>
      </c>
      <c r="X125" s="149">
        <f>VLOOKUP($E125,'7. PGE_Efficacité'!$A$6:$BT$266,(MATCH('4.6 ACE MAX CAN '!X$4,'7. PGE_Efficacité'!$A$4:$BU$4,0)+31),0)</f>
        <v>0</v>
      </c>
      <c r="Y125" s="149">
        <f>VLOOKUP($E125,'7. PGE_Efficacité'!$A$6:$BT$266,(MATCH('4.6 ACE MAX CAN '!Y$4,'7. PGE_Efficacité'!$A$4:$BU$4,0)+31),0)</f>
        <v>0</v>
      </c>
      <c r="Z125" s="149">
        <f>VLOOKUP($E125,'7. PGE_Efficacité'!$A$6:$BT$266,(MATCH('4.6 ACE MAX CAN '!Z$4,'7. PGE_Efficacité'!$A$4:$BU$4,0)+31),0)</f>
        <v>0</v>
      </c>
      <c r="AA125" s="149">
        <f>VLOOKUP($E125,'7. PGE_Efficacité'!$A$6:$BT$266,(MATCH('4.6 ACE MAX CAN '!AA$4,'7. PGE_Efficacité'!$A$4:$BU$4,0)+31),0)</f>
        <v>0</v>
      </c>
      <c r="AB125" s="149">
        <f>VLOOKUP($E125,'7. PGE_Efficacité'!$A$6:$BT$266,(MATCH('4.6 ACE MAX CAN '!AB$4,'7. PGE_Efficacité'!$A$4:$BU$4,0)+31),0)</f>
        <v>0</v>
      </c>
      <c r="AC125" s="149">
        <f>VLOOKUP($E125,'7. PGE_Efficacité'!$A$6:$BT$266,(MATCH('4.6 ACE MAX CAN '!AC$4,'7. PGE_Efficacité'!$A$4:$BU$4,0)+31),0)</f>
        <v>0</v>
      </c>
      <c r="AD125" s="149">
        <f>VLOOKUP($E125,'7. PGE_Efficacité'!$A$6:$BT$266,(MATCH('4.6 ACE MAX CAN '!AD$4,'7. PGE_Efficacité'!$A$4:$BU$4,0)+31),0)</f>
        <v>0</v>
      </c>
      <c r="AE125" s="149">
        <f>VLOOKUP($E125,'7. PGE_Efficacité'!$A$6:$BT$266,(MATCH('4.6 ACE MAX CAN '!AE$4,'7. PGE_Efficacité'!$A$4:$BU$4,0)+31),0)</f>
        <v>0</v>
      </c>
      <c r="AF125" s="149">
        <f>VLOOKUP($E125,'7. PGE_Efficacité'!$A$6:$BT$266,(MATCH('4.6 ACE MAX CAN '!AF$4,'7. PGE_Efficacité'!$A$4:$BU$4,0)+31),0)</f>
        <v>0</v>
      </c>
      <c r="AG125" s="149">
        <f>VLOOKUP($E125,'7. PGE_Efficacité'!$A$6:$BT$266,(MATCH('4.6 ACE MAX CAN '!AG$4,'7. PGE_Efficacité'!$A$4:$BU$4,0)+31),0)</f>
        <v>0</v>
      </c>
      <c r="AH125" s="149">
        <f>VLOOKUP($E125,'7. PGE_Efficacité'!$A$6:$BT$266,(MATCH('4.6 ACE MAX CAN '!AH$4,'7. PGE_Efficacité'!$A$4:$BU$4,0)+31),0)</f>
        <v>0</v>
      </c>
      <c r="AI125" s="149">
        <f>VLOOKUP($E125,'7. PGE_Efficacité'!$A$6:$BT$266,(MATCH('4.6 ACE MAX CAN '!AI$4,'7. PGE_Efficacité'!$A$4:$BU$4,0)+31),0)</f>
        <v>0</v>
      </c>
      <c r="AJ125" s="149">
        <f>VLOOKUP($E125,'7. PGE_Efficacité'!$A$6:$BT$266,(MATCH('4.6 ACE MAX CAN '!AJ$4,'7. PGE_Efficacité'!$A$4:$BU$4,0)+31),0)</f>
        <v>0</v>
      </c>
      <c r="AK125" s="149">
        <f>VLOOKUP($E125,'7. PGE_Efficacité'!$A$6:$BT$266,(MATCH('4.6 ACE MAX CAN '!AK$4,'7. PGE_Efficacité'!$A$4:$BU$4,0)+31),0)</f>
        <v>0</v>
      </c>
      <c r="AL125" s="149">
        <f>VLOOKUP($E125,'7. PGE_Efficacité'!$A$6:$BT$266,(MATCH('4.6 ACE MAX CAN '!AL$4,'7. PGE_Efficacité'!$A$4:$BU$4,0)+31),0)</f>
        <v>0</v>
      </c>
      <c r="AM125" s="149">
        <f>VLOOKUP($E125,'7. PGE_Efficacité'!$A$6:$BT$266,(MATCH('4.6 ACE MAX CAN '!AM$4,'7. PGE_Efficacité'!$A$4:$BU$4,0)+31),0)</f>
        <v>0</v>
      </c>
      <c r="AN125" s="149">
        <f>VLOOKUP($E125,'7. PGE_Efficacité'!$A$6:$BT$266,(MATCH('4.6 ACE MAX CAN '!AN$4,'7. PGE_Efficacité'!$A$4:$BU$4,0)+31),0)</f>
        <v>0</v>
      </c>
    </row>
    <row r="126" spans="1:40" outlineLevel="2" x14ac:dyDescent="0.25">
      <c r="A126" t="s">
        <v>1524</v>
      </c>
      <c r="B126">
        <v>22</v>
      </c>
      <c r="C126" t="s">
        <v>1528</v>
      </c>
      <c r="D126" s="12" t="s">
        <v>22</v>
      </c>
      <c r="E126" s="12" t="s">
        <v>746</v>
      </c>
      <c r="F126" s="12" t="s">
        <v>1403</v>
      </c>
      <c r="G126" s="12" t="s">
        <v>1521</v>
      </c>
      <c r="H126" s="12" t="s">
        <v>1287</v>
      </c>
      <c r="I126" s="148"/>
      <c r="J126" s="149">
        <f>VLOOKUP($E126,'7. PGE_Efficacité'!$A$6:$BT$266,(MATCH('4.6 ACE MAX CAN '!J$4,'7. PGE_Efficacité'!$A$4:$BU$4,0)+31),0)</f>
        <v>0</v>
      </c>
      <c r="K126" s="149">
        <f>VLOOKUP($E126,'7. PGE_Efficacité'!$A$6:$BT$266,(MATCH('4.6 ACE MAX CAN '!K$4,'7. PGE_Efficacité'!$A$4:$BU$4,0)+31),0)</f>
        <v>0</v>
      </c>
      <c r="L126" s="149">
        <f>VLOOKUP($E126,'7. PGE_Efficacité'!$A$6:$BT$266,(MATCH('4.6 ACE MAX CAN '!L$4,'7. PGE_Efficacité'!$A$4:$BU$4,0)+31),0)</f>
        <v>0</v>
      </c>
      <c r="M126" s="149">
        <f>VLOOKUP($E126,'7. PGE_Efficacité'!$A$6:$BT$266,(MATCH('4.6 ACE MAX CAN '!M$4,'7. PGE_Efficacité'!$A$4:$BU$4,0)+31),0)</f>
        <v>0</v>
      </c>
      <c r="N126" s="149">
        <f>VLOOKUP($E126,'7. PGE_Efficacité'!$A$6:$BT$266,(MATCH('4.6 ACE MAX CAN '!N$4,'7. PGE_Efficacité'!$A$4:$BU$4,0)+31),0)</f>
        <v>0</v>
      </c>
      <c r="O126" s="149">
        <f>VLOOKUP($D126,'7. PGE_Efficacité'!$A$6:$BT$268,47,0)</f>
        <v>0</v>
      </c>
      <c r="P126" s="149">
        <f>VLOOKUP($E126,'7. PGE_Efficacité'!$A$6:$BT$266,(MATCH('4.6 ACE MAX CAN '!P$4,'7. PGE_Efficacité'!$A$4:$BU$4,0)+31),0)</f>
        <v>0</v>
      </c>
      <c r="Q126" s="149">
        <f>VLOOKUP($E126,'7. PGE_Efficacité'!$A$6:$BT$266,(MATCH('4.6 ACE MAX CAN '!Q$4,'7. PGE_Efficacité'!$A$4:$BU$4,0)+31),0)</f>
        <v>0</v>
      </c>
      <c r="R126" s="149">
        <f>VLOOKUP($E126,'7. PGE_Efficacité'!$A$6:$BT$266,(MATCH('4.6 ACE MAX CAN '!R$4,'7. PGE_Efficacité'!$A$4:$BU$4,0)+31),0)</f>
        <v>0</v>
      </c>
      <c r="S126" s="149">
        <f>VLOOKUP($E126,'7. PGE_Efficacité'!$A$6:$BT$266,(MATCH('4.6 ACE MAX CAN '!S$4,'7. PGE_Efficacité'!$A$4:$BU$4,0)+31),0)</f>
        <v>0</v>
      </c>
      <c r="T126" s="149">
        <f>VLOOKUP($E126,'7. PGE_Efficacité'!$A$6:$BT$266,(MATCH('4.6 ACE MAX CAN '!T$4,'7. PGE_Efficacité'!$A$4:$BU$4,0)+31),0)</f>
        <v>0</v>
      </c>
      <c r="U126" s="149">
        <f>VLOOKUP($E126,'7. PGE_Efficacité'!$A$6:$BT$266,(MATCH('4.6 ACE MAX CAN '!U$4,'7. PGE_Efficacité'!$A$4:$BU$4,0)+31),0)</f>
        <v>0</v>
      </c>
      <c r="V126" s="149">
        <f>VLOOKUP($E126,'7. PGE_Efficacité'!$A$6:$BT$266,(MATCH('4.6 ACE MAX CAN '!V$4,'7. PGE_Efficacité'!$A$4:$BU$4,0)+31),0)</f>
        <v>0</v>
      </c>
      <c r="W126" s="149">
        <f>VLOOKUP($E126,'7. PGE_Efficacité'!$A$6:$BT$266,(MATCH('4.6 ACE MAX CAN '!W$4,'7. PGE_Efficacité'!$A$4:$BU$4,0)+31),0)</f>
        <v>0</v>
      </c>
      <c r="X126" s="149">
        <f>VLOOKUP($E126,'7. PGE_Efficacité'!$A$6:$BT$266,(MATCH('4.6 ACE MAX CAN '!X$4,'7. PGE_Efficacité'!$A$4:$BU$4,0)+31),0)</f>
        <v>0</v>
      </c>
      <c r="Y126" s="149">
        <f>VLOOKUP($E126,'7. PGE_Efficacité'!$A$6:$BT$266,(MATCH('4.6 ACE MAX CAN '!Y$4,'7. PGE_Efficacité'!$A$4:$BU$4,0)+31),0)</f>
        <v>0</v>
      </c>
      <c r="Z126" s="149">
        <f>VLOOKUP($E126,'7. PGE_Efficacité'!$A$6:$BT$266,(MATCH('4.6 ACE MAX CAN '!Z$4,'7. PGE_Efficacité'!$A$4:$BU$4,0)+31),0)</f>
        <v>0</v>
      </c>
      <c r="AA126" s="149">
        <f>VLOOKUP($E126,'7. PGE_Efficacité'!$A$6:$BT$266,(MATCH('4.6 ACE MAX CAN '!AA$4,'7. PGE_Efficacité'!$A$4:$BU$4,0)+31),0)</f>
        <v>0</v>
      </c>
      <c r="AB126" s="149">
        <f>VLOOKUP($E126,'7. PGE_Efficacité'!$A$6:$BT$266,(MATCH('4.6 ACE MAX CAN '!AB$4,'7. PGE_Efficacité'!$A$4:$BU$4,0)+31),0)</f>
        <v>0</v>
      </c>
      <c r="AC126" s="149">
        <f>VLOOKUP($E126,'7. PGE_Efficacité'!$A$6:$BT$266,(MATCH('4.6 ACE MAX CAN '!AC$4,'7. PGE_Efficacité'!$A$4:$BU$4,0)+31),0)</f>
        <v>0</v>
      </c>
      <c r="AD126" s="149">
        <f>VLOOKUP($E126,'7. PGE_Efficacité'!$A$6:$BT$266,(MATCH('4.6 ACE MAX CAN '!AD$4,'7. PGE_Efficacité'!$A$4:$BU$4,0)+31),0)</f>
        <v>0</v>
      </c>
      <c r="AE126" s="149">
        <f>VLOOKUP($E126,'7. PGE_Efficacité'!$A$6:$BT$266,(MATCH('4.6 ACE MAX CAN '!AE$4,'7. PGE_Efficacité'!$A$4:$BU$4,0)+31),0)</f>
        <v>0</v>
      </c>
      <c r="AF126" s="149">
        <f>VLOOKUP($E126,'7. PGE_Efficacité'!$A$6:$BT$266,(MATCH('4.6 ACE MAX CAN '!AF$4,'7. PGE_Efficacité'!$A$4:$BU$4,0)+31),0)</f>
        <v>0</v>
      </c>
      <c r="AG126" s="149">
        <f>VLOOKUP($E126,'7. PGE_Efficacité'!$A$6:$BT$266,(MATCH('4.6 ACE MAX CAN '!AG$4,'7. PGE_Efficacité'!$A$4:$BU$4,0)+31),0)</f>
        <v>0</v>
      </c>
      <c r="AH126" s="149">
        <f>VLOOKUP($E126,'7. PGE_Efficacité'!$A$6:$BT$266,(MATCH('4.6 ACE MAX CAN '!AH$4,'7. PGE_Efficacité'!$A$4:$BU$4,0)+31),0)</f>
        <v>0</v>
      </c>
      <c r="AI126" s="149">
        <f>VLOOKUP($E126,'7. PGE_Efficacité'!$A$6:$BT$266,(MATCH('4.6 ACE MAX CAN '!AI$4,'7. PGE_Efficacité'!$A$4:$BU$4,0)+31),0)</f>
        <v>0</v>
      </c>
      <c r="AJ126" s="149">
        <f>VLOOKUP($E126,'7. PGE_Efficacité'!$A$6:$BT$266,(MATCH('4.6 ACE MAX CAN '!AJ$4,'7. PGE_Efficacité'!$A$4:$BU$4,0)+31),0)</f>
        <v>0</v>
      </c>
      <c r="AK126" s="149">
        <f>VLOOKUP($E126,'7. PGE_Efficacité'!$A$6:$BT$266,(MATCH('4.6 ACE MAX CAN '!AK$4,'7. PGE_Efficacité'!$A$4:$BU$4,0)+31),0)</f>
        <v>0</v>
      </c>
      <c r="AL126" s="149">
        <f>VLOOKUP($E126,'7. PGE_Efficacité'!$A$6:$BT$266,(MATCH('4.6 ACE MAX CAN '!AL$4,'7. PGE_Efficacité'!$A$4:$BU$4,0)+31),0)</f>
        <v>0</v>
      </c>
      <c r="AM126" s="149">
        <f>VLOOKUP($E126,'7. PGE_Efficacité'!$A$6:$BT$266,(MATCH('4.6 ACE MAX CAN '!AM$4,'7. PGE_Efficacité'!$A$4:$BU$4,0)+31),0)</f>
        <v>0</v>
      </c>
      <c r="AN126" s="149">
        <f>VLOOKUP($E126,'7. PGE_Efficacité'!$A$6:$BT$266,(MATCH('4.6 ACE MAX CAN '!AN$4,'7. PGE_Efficacité'!$A$4:$BU$4,0)+31),0)</f>
        <v>0</v>
      </c>
    </row>
    <row r="127" spans="1:40" outlineLevel="2" x14ac:dyDescent="0.25">
      <c r="A127" t="s">
        <v>1524</v>
      </c>
      <c r="B127">
        <v>22</v>
      </c>
      <c r="C127" t="s">
        <v>1529</v>
      </c>
      <c r="D127" s="12" t="s">
        <v>22</v>
      </c>
      <c r="E127" s="12" t="s">
        <v>747</v>
      </c>
      <c r="F127" s="12" t="s">
        <v>1404</v>
      </c>
      <c r="G127" s="12" t="s">
        <v>1521</v>
      </c>
      <c r="H127" s="12" t="s">
        <v>1290</v>
      </c>
      <c r="I127" s="148"/>
      <c r="J127" s="149">
        <f>VLOOKUP($E127,'7. PGE_Efficacité'!$A$6:$BT$266,(MATCH('4.6 ACE MAX CAN '!J$4,'7. PGE_Efficacité'!$A$4:$BU$4,0)+31),0)</f>
        <v>0</v>
      </c>
      <c r="K127" s="149">
        <f>VLOOKUP($E127,'7. PGE_Efficacité'!$A$6:$BT$266,(MATCH('4.6 ACE MAX CAN '!K$4,'7. PGE_Efficacité'!$A$4:$BU$4,0)+31),0)</f>
        <v>0</v>
      </c>
      <c r="L127" s="149">
        <f>VLOOKUP($E127,'7. PGE_Efficacité'!$A$6:$BT$266,(MATCH('4.6 ACE MAX CAN '!L$4,'7. PGE_Efficacité'!$A$4:$BU$4,0)+31),0)</f>
        <v>0</v>
      </c>
      <c r="M127" s="149">
        <f>VLOOKUP($E127,'7. PGE_Efficacité'!$A$6:$BT$266,(MATCH('4.6 ACE MAX CAN '!M$4,'7. PGE_Efficacité'!$A$4:$BU$4,0)+31),0)</f>
        <v>0</v>
      </c>
      <c r="N127" s="149">
        <f>VLOOKUP($E127,'7. PGE_Efficacité'!$A$6:$BT$266,(MATCH('4.6 ACE MAX CAN '!N$4,'7. PGE_Efficacité'!$A$4:$BU$4,0)+31),0)</f>
        <v>0</v>
      </c>
      <c r="O127" s="149">
        <f>VLOOKUP($D127,'7. PGE_Efficacité'!$A$6:$BT$268,47,0)</f>
        <v>0</v>
      </c>
      <c r="P127" s="149">
        <f>VLOOKUP($E127,'7. PGE_Efficacité'!$A$6:$BT$266,(MATCH('4.6 ACE MAX CAN '!P$4,'7. PGE_Efficacité'!$A$4:$BU$4,0)+31),0)</f>
        <v>0</v>
      </c>
      <c r="Q127" s="149">
        <f>VLOOKUP($E127,'7. PGE_Efficacité'!$A$6:$BT$266,(MATCH('4.6 ACE MAX CAN '!Q$4,'7. PGE_Efficacité'!$A$4:$BU$4,0)+31),0)</f>
        <v>0</v>
      </c>
      <c r="R127" s="149">
        <f>VLOOKUP($E127,'7. PGE_Efficacité'!$A$6:$BT$266,(MATCH('4.6 ACE MAX CAN '!R$4,'7. PGE_Efficacité'!$A$4:$BU$4,0)+31),0)</f>
        <v>0</v>
      </c>
      <c r="S127" s="149">
        <f>VLOOKUP($E127,'7. PGE_Efficacité'!$A$6:$BT$266,(MATCH('4.6 ACE MAX CAN '!S$4,'7. PGE_Efficacité'!$A$4:$BU$4,0)+31),0)</f>
        <v>0</v>
      </c>
      <c r="T127" s="149">
        <f>VLOOKUP($E127,'7. PGE_Efficacité'!$A$6:$BT$266,(MATCH('4.6 ACE MAX CAN '!T$4,'7. PGE_Efficacité'!$A$4:$BU$4,0)+31),0)</f>
        <v>0</v>
      </c>
      <c r="U127" s="149">
        <f>VLOOKUP($E127,'7. PGE_Efficacité'!$A$6:$BT$266,(MATCH('4.6 ACE MAX CAN '!U$4,'7. PGE_Efficacité'!$A$4:$BU$4,0)+31),0)</f>
        <v>0</v>
      </c>
      <c r="V127" s="149">
        <f>VLOOKUP($E127,'7. PGE_Efficacité'!$A$6:$BT$266,(MATCH('4.6 ACE MAX CAN '!V$4,'7. PGE_Efficacité'!$A$4:$BU$4,0)+31),0)</f>
        <v>0</v>
      </c>
      <c r="W127" s="149">
        <f>VLOOKUP($E127,'7. PGE_Efficacité'!$A$6:$BT$266,(MATCH('4.6 ACE MAX CAN '!W$4,'7. PGE_Efficacité'!$A$4:$BU$4,0)+31),0)</f>
        <v>0</v>
      </c>
      <c r="X127" s="149">
        <f>VLOOKUP($E127,'7. PGE_Efficacité'!$A$6:$BT$266,(MATCH('4.6 ACE MAX CAN '!X$4,'7. PGE_Efficacité'!$A$4:$BU$4,0)+31),0)</f>
        <v>0</v>
      </c>
      <c r="Y127" s="149">
        <f>VLOOKUP($E127,'7. PGE_Efficacité'!$A$6:$BT$266,(MATCH('4.6 ACE MAX CAN '!Y$4,'7. PGE_Efficacité'!$A$4:$BU$4,0)+31),0)</f>
        <v>0</v>
      </c>
      <c r="Z127" s="149">
        <f>VLOOKUP($E127,'7. PGE_Efficacité'!$A$6:$BT$266,(MATCH('4.6 ACE MAX CAN '!Z$4,'7. PGE_Efficacité'!$A$4:$BU$4,0)+31),0)</f>
        <v>0</v>
      </c>
      <c r="AA127" s="149">
        <f>VLOOKUP($E127,'7. PGE_Efficacité'!$A$6:$BT$266,(MATCH('4.6 ACE MAX CAN '!AA$4,'7. PGE_Efficacité'!$A$4:$BU$4,0)+31),0)</f>
        <v>0</v>
      </c>
      <c r="AB127" s="149">
        <f>VLOOKUP($E127,'7. PGE_Efficacité'!$A$6:$BT$266,(MATCH('4.6 ACE MAX CAN '!AB$4,'7. PGE_Efficacité'!$A$4:$BU$4,0)+31),0)</f>
        <v>0</v>
      </c>
      <c r="AC127" s="149">
        <f>VLOOKUP($E127,'7. PGE_Efficacité'!$A$6:$BT$266,(MATCH('4.6 ACE MAX CAN '!AC$4,'7. PGE_Efficacité'!$A$4:$BU$4,0)+31),0)</f>
        <v>0</v>
      </c>
      <c r="AD127" s="149">
        <f>VLOOKUP($E127,'7. PGE_Efficacité'!$A$6:$BT$266,(MATCH('4.6 ACE MAX CAN '!AD$4,'7. PGE_Efficacité'!$A$4:$BU$4,0)+31),0)</f>
        <v>0</v>
      </c>
      <c r="AE127" s="149">
        <f>VLOOKUP($E127,'7. PGE_Efficacité'!$A$6:$BT$266,(MATCH('4.6 ACE MAX CAN '!AE$4,'7. PGE_Efficacité'!$A$4:$BU$4,0)+31),0)</f>
        <v>0</v>
      </c>
      <c r="AF127" s="149">
        <f>VLOOKUP($E127,'7. PGE_Efficacité'!$A$6:$BT$266,(MATCH('4.6 ACE MAX CAN '!AF$4,'7. PGE_Efficacité'!$A$4:$BU$4,0)+31),0)</f>
        <v>0</v>
      </c>
      <c r="AG127" s="149">
        <f>VLOOKUP($E127,'7. PGE_Efficacité'!$A$6:$BT$266,(MATCH('4.6 ACE MAX CAN '!AG$4,'7. PGE_Efficacité'!$A$4:$BU$4,0)+31),0)</f>
        <v>0</v>
      </c>
      <c r="AH127" s="149">
        <f>VLOOKUP($E127,'7. PGE_Efficacité'!$A$6:$BT$266,(MATCH('4.6 ACE MAX CAN '!AH$4,'7. PGE_Efficacité'!$A$4:$BU$4,0)+31),0)</f>
        <v>0</v>
      </c>
      <c r="AI127" s="149">
        <f>VLOOKUP($E127,'7. PGE_Efficacité'!$A$6:$BT$266,(MATCH('4.6 ACE MAX CAN '!AI$4,'7. PGE_Efficacité'!$A$4:$BU$4,0)+31),0)</f>
        <v>0</v>
      </c>
      <c r="AJ127" s="149">
        <f>VLOOKUP($E127,'7. PGE_Efficacité'!$A$6:$BT$266,(MATCH('4.6 ACE MAX CAN '!AJ$4,'7. PGE_Efficacité'!$A$4:$BU$4,0)+31),0)</f>
        <v>0</v>
      </c>
      <c r="AK127" s="149">
        <f>VLOOKUP($E127,'7. PGE_Efficacité'!$A$6:$BT$266,(MATCH('4.6 ACE MAX CAN '!AK$4,'7. PGE_Efficacité'!$A$4:$BU$4,0)+31),0)</f>
        <v>0</v>
      </c>
      <c r="AL127" s="149">
        <f>VLOOKUP($E127,'7. PGE_Efficacité'!$A$6:$BT$266,(MATCH('4.6 ACE MAX CAN '!AL$4,'7. PGE_Efficacité'!$A$4:$BU$4,0)+31),0)</f>
        <v>0</v>
      </c>
      <c r="AM127" s="149">
        <f>VLOOKUP($E127,'7. PGE_Efficacité'!$A$6:$BT$266,(MATCH('4.6 ACE MAX CAN '!AM$4,'7. PGE_Efficacité'!$A$4:$BU$4,0)+31),0)</f>
        <v>0</v>
      </c>
      <c r="AN127" s="149">
        <f>VLOOKUP($E127,'7. PGE_Efficacité'!$A$6:$BT$266,(MATCH('4.6 ACE MAX CAN '!AN$4,'7. PGE_Efficacité'!$A$4:$BU$4,0)+31),0)</f>
        <v>0</v>
      </c>
    </row>
    <row r="128" spans="1:40" outlineLevel="2" x14ac:dyDescent="0.25">
      <c r="A128" t="s">
        <v>1524</v>
      </c>
      <c r="B128">
        <v>22</v>
      </c>
      <c r="C128" t="s">
        <v>1530</v>
      </c>
      <c r="D128" s="12" t="s">
        <v>22</v>
      </c>
      <c r="E128" s="12" t="s">
        <v>748</v>
      </c>
      <c r="F128" s="12" t="s">
        <v>1405</v>
      </c>
      <c r="G128" s="12" t="s">
        <v>1521</v>
      </c>
      <c r="H128" s="12" t="s">
        <v>1290</v>
      </c>
      <c r="I128" s="148"/>
      <c r="J128" s="149">
        <f>VLOOKUP($E128,'7. PGE_Efficacité'!$A$6:$BT$266,(MATCH('4.6 ACE MAX CAN '!J$4,'7. PGE_Efficacité'!$A$4:$BU$4,0)+31),0)</f>
        <v>0</v>
      </c>
      <c r="K128" s="149">
        <f>VLOOKUP($E128,'7. PGE_Efficacité'!$A$6:$BT$266,(MATCH('4.6 ACE MAX CAN '!K$4,'7. PGE_Efficacité'!$A$4:$BU$4,0)+31),0)</f>
        <v>0</v>
      </c>
      <c r="L128" s="149">
        <f>VLOOKUP($E128,'7. PGE_Efficacité'!$A$6:$BT$266,(MATCH('4.6 ACE MAX CAN '!L$4,'7. PGE_Efficacité'!$A$4:$BU$4,0)+31),0)</f>
        <v>0</v>
      </c>
      <c r="M128" s="149">
        <f>VLOOKUP($E128,'7. PGE_Efficacité'!$A$6:$BT$266,(MATCH('4.6 ACE MAX CAN '!M$4,'7. PGE_Efficacité'!$A$4:$BU$4,0)+31),0)</f>
        <v>0</v>
      </c>
      <c r="N128" s="149">
        <f>VLOOKUP($E128,'7. PGE_Efficacité'!$A$6:$BT$266,(MATCH('4.6 ACE MAX CAN '!N$4,'7. PGE_Efficacité'!$A$4:$BU$4,0)+31),0)</f>
        <v>0</v>
      </c>
      <c r="O128" s="149">
        <f>VLOOKUP($D128,'7. PGE_Efficacité'!$A$6:$BT$268,47,0)</f>
        <v>0</v>
      </c>
      <c r="P128" s="149">
        <f>VLOOKUP($E128,'7. PGE_Efficacité'!$A$6:$BT$266,(MATCH('4.6 ACE MAX CAN '!P$4,'7. PGE_Efficacité'!$A$4:$BU$4,0)+31),0)</f>
        <v>0</v>
      </c>
      <c r="Q128" s="149">
        <f>VLOOKUP($E128,'7. PGE_Efficacité'!$A$6:$BT$266,(MATCH('4.6 ACE MAX CAN '!Q$4,'7. PGE_Efficacité'!$A$4:$BU$4,0)+31),0)</f>
        <v>0</v>
      </c>
      <c r="R128" s="149">
        <f>VLOOKUP($E128,'7. PGE_Efficacité'!$A$6:$BT$266,(MATCH('4.6 ACE MAX CAN '!R$4,'7. PGE_Efficacité'!$A$4:$BU$4,0)+31),0)</f>
        <v>0</v>
      </c>
      <c r="S128" s="149">
        <f>VLOOKUP($E128,'7. PGE_Efficacité'!$A$6:$BT$266,(MATCH('4.6 ACE MAX CAN '!S$4,'7. PGE_Efficacité'!$A$4:$BU$4,0)+31),0)</f>
        <v>0</v>
      </c>
      <c r="T128" s="149">
        <f>VLOOKUP($E128,'7. PGE_Efficacité'!$A$6:$BT$266,(MATCH('4.6 ACE MAX CAN '!T$4,'7. PGE_Efficacité'!$A$4:$BU$4,0)+31),0)</f>
        <v>0</v>
      </c>
      <c r="U128" s="149">
        <f>VLOOKUP($E128,'7. PGE_Efficacité'!$A$6:$BT$266,(MATCH('4.6 ACE MAX CAN '!U$4,'7. PGE_Efficacité'!$A$4:$BU$4,0)+31),0)</f>
        <v>0</v>
      </c>
      <c r="V128" s="149">
        <f>VLOOKUP($E128,'7. PGE_Efficacité'!$A$6:$BT$266,(MATCH('4.6 ACE MAX CAN '!V$4,'7. PGE_Efficacité'!$A$4:$BU$4,0)+31),0)</f>
        <v>0</v>
      </c>
      <c r="W128" s="149">
        <f>VLOOKUP($E128,'7. PGE_Efficacité'!$A$6:$BT$266,(MATCH('4.6 ACE MAX CAN '!W$4,'7. PGE_Efficacité'!$A$4:$BU$4,0)+31),0)</f>
        <v>0</v>
      </c>
      <c r="X128" s="149">
        <f>VLOOKUP($E128,'7. PGE_Efficacité'!$A$6:$BT$266,(MATCH('4.6 ACE MAX CAN '!X$4,'7. PGE_Efficacité'!$A$4:$BU$4,0)+31),0)</f>
        <v>0</v>
      </c>
      <c r="Y128" s="149">
        <f>VLOOKUP($E128,'7. PGE_Efficacité'!$A$6:$BT$266,(MATCH('4.6 ACE MAX CAN '!Y$4,'7. PGE_Efficacité'!$A$4:$BU$4,0)+31),0)</f>
        <v>0</v>
      </c>
      <c r="Z128" s="149">
        <f>VLOOKUP($E128,'7. PGE_Efficacité'!$A$6:$BT$266,(MATCH('4.6 ACE MAX CAN '!Z$4,'7. PGE_Efficacité'!$A$4:$BU$4,0)+31),0)</f>
        <v>0</v>
      </c>
      <c r="AA128" s="149">
        <f>VLOOKUP($E128,'7. PGE_Efficacité'!$A$6:$BT$266,(MATCH('4.6 ACE MAX CAN '!AA$4,'7. PGE_Efficacité'!$A$4:$BU$4,0)+31),0)</f>
        <v>0</v>
      </c>
      <c r="AB128" s="149">
        <f>VLOOKUP($E128,'7. PGE_Efficacité'!$A$6:$BT$266,(MATCH('4.6 ACE MAX CAN '!AB$4,'7. PGE_Efficacité'!$A$4:$BU$4,0)+31),0)</f>
        <v>0</v>
      </c>
      <c r="AC128" s="149">
        <f>VLOOKUP($E128,'7. PGE_Efficacité'!$A$6:$BT$266,(MATCH('4.6 ACE MAX CAN '!AC$4,'7. PGE_Efficacité'!$A$4:$BU$4,0)+31),0)</f>
        <v>0</v>
      </c>
      <c r="AD128" s="149">
        <f>VLOOKUP($E128,'7. PGE_Efficacité'!$A$6:$BT$266,(MATCH('4.6 ACE MAX CAN '!AD$4,'7. PGE_Efficacité'!$A$4:$BU$4,0)+31),0)</f>
        <v>0</v>
      </c>
      <c r="AE128" s="149">
        <f>VLOOKUP($E128,'7. PGE_Efficacité'!$A$6:$BT$266,(MATCH('4.6 ACE MAX CAN '!AE$4,'7. PGE_Efficacité'!$A$4:$BU$4,0)+31),0)</f>
        <v>0</v>
      </c>
      <c r="AF128" s="149">
        <f>VLOOKUP($E128,'7. PGE_Efficacité'!$A$6:$BT$266,(MATCH('4.6 ACE MAX CAN '!AF$4,'7. PGE_Efficacité'!$A$4:$BU$4,0)+31),0)</f>
        <v>0</v>
      </c>
      <c r="AG128" s="149">
        <f>VLOOKUP($E128,'7. PGE_Efficacité'!$A$6:$BT$266,(MATCH('4.6 ACE MAX CAN '!AG$4,'7. PGE_Efficacité'!$A$4:$BU$4,0)+31),0)</f>
        <v>0</v>
      </c>
      <c r="AH128" s="149">
        <f>VLOOKUP($E128,'7. PGE_Efficacité'!$A$6:$BT$266,(MATCH('4.6 ACE MAX CAN '!AH$4,'7. PGE_Efficacité'!$A$4:$BU$4,0)+31),0)</f>
        <v>0</v>
      </c>
      <c r="AI128" s="149">
        <f>VLOOKUP($E128,'7. PGE_Efficacité'!$A$6:$BT$266,(MATCH('4.6 ACE MAX CAN '!AI$4,'7. PGE_Efficacité'!$A$4:$BU$4,0)+31),0)</f>
        <v>0</v>
      </c>
      <c r="AJ128" s="149">
        <f>VLOOKUP($E128,'7. PGE_Efficacité'!$A$6:$BT$266,(MATCH('4.6 ACE MAX CAN '!AJ$4,'7. PGE_Efficacité'!$A$4:$BU$4,0)+31),0)</f>
        <v>0</v>
      </c>
      <c r="AK128" s="149">
        <f>VLOOKUP($E128,'7. PGE_Efficacité'!$A$6:$BT$266,(MATCH('4.6 ACE MAX CAN '!AK$4,'7. PGE_Efficacité'!$A$4:$BU$4,0)+31),0)</f>
        <v>0</v>
      </c>
      <c r="AL128" s="149">
        <f>VLOOKUP($E128,'7. PGE_Efficacité'!$A$6:$BT$266,(MATCH('4.6 ACE MAX CAN '!AL$4,'7. PGE_Efficacité'!$A$4:$BU$4,0)+31),0)</f>
        <v>0</v>
      </c>
      <c r="AM128" s="149">
        <f>VLOOKUP($E128,'7. PGE_Efficacité'!$A$6:$BT$266,(MATCH('4.6 ACE MAX CAN '!AM$4,'7. PGE_Efficacité'!$A$4:$BU$4,0)+31),0)</f>
        <v>0</v>
      </c>
      <c r="AN128" s="149">
        <f>VLOOKUP($E128,'7. PGE_Efficacité'!$A$6:$BT$266,(MATCH('4.6 ACE MAX CAN '!AN$4,'7. PGE_Efficacité'!$A$4:$BU$4,0)+31),0)</f>
        <v>0</v>
      </c>
    </row>
    <row r="129" spans="1:40" outlineLevel="2" x14ac:dyDescent="0.25">
      <c r="A129" t="s">
        <v>1524</v>
      </c>
      <c r="B129">
        <v>22</v>
      </c>
      <c r="C129" t="s">
        <v>1531</v>
      </c>
      <c r="D129" s="12" t="s">
        <v>22</v>
      </c>
      <c r="E129" s="12" t="s">
        <v>749</v>
      </c>
      <c r="F129" s="12" t="s">
        <v>1406</v>
      </c>
      <c r="G129" s="12" t="s">
        <v>1521</v>
      </c>
      <c r="H129" s="12" t="s">
        <v>1290</v>
      </c>
      <c r="I129" s="148"/>
      <c r="J129" s="149">
        <f>VLOOKUP($E129,'7. PGE_Efficacité'!$A$6:$BT$266,(MATCH('4.6 ACE MAX CAN '!J$4,'7. PGE_Efficacité'!$A$4:$BU$4,0)+31),0)</f>
        <v>0</v>
      </c>
      <c r="K129" s="149">
        <f>VLOOKUP($E129,'7. PGE_Efficacité'!$A$6:$BT$266,(MATCH('4.6 ACE MAX CAN '!K$4,'7. PGE_Efficacité'!$A$4:$BU$4,0)+31),0)</f>
        <v>0</v>
      </c>
      <c r="L129" s="149">
        <f>VLOOKUP($E129,'7. PGE_Efficacité'!$A$6:$BT$266,(MATCH('4.6 ACE MAX CAN '!L$4,'7. PGE_Efficacité'!$A$4:$BU$4,0)+31),0)</f>
        <v>0</v>
      </c>
      <c r="M129" s="149">
        <f>VLOOKUP($E129,'7. PGE_Efficacité'!$A$6:$BT$266,(MATCH('4.6 ACE MAX CAN '!M$4,'7. PGE_Efficacité'!$A$4:$BU$4,0)+31),0)</f>
        <v>0</v>
      </c>
      <c r="N129" s="149">
        <f>VLOOKUP($E129,'7. PGE_Efficacité'!$A$6:$BT$266,(MATCH('4.6 ACE MAX CAN '!N$4,'7. PGE_Efficacité'!$A$4:$BU$4,0)+31),0)</f>
        <v>0</v>
      </c>
      <c r="O129" s="149">
        <f>VLOOKUP($D129,'7. PGE_Efficacité'!$A$6:$BT$268,47,0)</f>
        <v>0</v>
      </c>
      <c r="P129" s="149">
        <f>VLOOKUP($E129,'7. PGE_Efficacité'!$A$6:$BT$266,(MATCH('4.6 ACE MAX CAN '!P$4,'7. PGE_Efficacité'!$A$4:$BU$4,0)+31),0)</f>
        <v>0</v>
      </c>
      <c r="Q129" s="149">
        <f>VLOOKUP($E129,'7. PGE_Efficacité'!$A$6:$BT$266,(MATCH('4.6 ACE MAX CAN '!Q$4,'7. PGE_Efficacité'!$A$4:$BU$4,0)+31),0)</f>
        <v>0</v>
      </c>
      <c r="R129" s="149">
        <f>VLOOKUP($E129,'7. PGE_Efficacité'!$A$6:$BT$266,(MATCH('4.6 ACE MAX CAN '!R$4,'7. PGE_Efficacité'!$A$4:$BU$4,0)+31),0)</f>
        <v>0</v>
      </c>
      <c r="S129" s="149">
        <f>VLOOKUP($E129,'7. PGE_Efficacité'!$A$6:$BT$266,(MATCH('4.6 ACE MAX CAN '!S$4,'7. PGE_Efficacité'!$A$4:$BU$4,0)+31),0)</f>
        <v>0</v>
      </c>
      <c r="T129" s="149">
        <f>VLOOKUP($E129,'7. PGE_Efficacité'!$A$6:$BT$266,(MATCH('4.6 ACE MAX CAN '!T$4,'7. PGE_Efficacité'!$A$4:$BU$4,0)+31),0)</f>
        <v>0</v>
      </c>
      <c r="U129" s="149">
        <f>VLOOKUP($E129,'7. PGE_Efficacité'!$A$6:$BT$266,(MATCH('4.6 ACE MAX CAN '!U$4,'7. PGE_Efficacité'!$A$4:$BU$4,0)+31),0)</f>
        <v>0</v>
      </c>
      <c r="V129" s="149">
        <f>VLOOKUP($E129,'7. PGE_Efficacité'!$A$6:$BT$266,(MATCH('4.6 ACE MAX CAN '!V$4,'7. PGE_Efficacité'!$A$4:$BU$4,0)+31),0)</f>
        <v>0</v>
      </c>
      <c r="W129" s="149">
        <f>VLOOKUP($E129,'7. PGE_Efficacité'!$A$6:$BT$266,(MATCH('4.6 ACE MAX CAN '!W$4,'7. PGE_Efficacité'!$A$4:$BU$4,0)+31),0)</f>
        <v>0</v>
      </c>
      <c r="X129" s="149">
        <f>VLOOKUP($E129,'7. PGE_Efficacité'!$A$6:$BT$266,(MATCH('4.6 ACE MAX CAN '!X$4,'7. PGE_Efficacité'!$A$4:$BU$4,0)+31),0)</f>
        <v>0</v>
      </c>
      <c r="Y129" s="149">
        <f>VLOOKUP($E129,'7. PGE_Efficacité'!$A$6:$BT$266,(MATCH('4.6 ACE MAX CAN '!Y$4,'7. PGE_Efficacité'!$A$4:$BU$4,0)+31),0)</f>
        <v>0</v>
      </c>
      <c r="Z129" s="149">
        <f>VLOOKUP($E129,'7. PGE_Efficacité'!$A$6:$BT$266,(MATCH('4.6 ACE MAX CAN '!Z$4,'7. PGE_Efficacité'!$A$4:$BU$4,0)+31),0)</f>
        <v>0</v>
      </c>
      <c r="AA129" s="149">
        <f>VLOOKUP($E129,'7. PGE_Efficacité'!$A$6:$BT$266,(MATCH('4.6 ACE MAX CAN '!AA$4,'7. PGE_Efficacité'!$A$4:$BU$4,0)+31),0)</f>
        <v>0</v>
      </c>
      <c r="AB129" s="149">
        <f>VLOOKUP($E129,'7. PGE_Efficacité'!$A$6:$BT$266,(MATCH('4.6 ACE MAX CAN '!AB$4,'7. PGE_Efficacité'!$A$4:$BU$4,0)+31),0)</f>
        <v>0</v>
      </c>
      <c r="AC129" s="149">
        <f>VLOOKUP($E129,'7. PGE_Efficacité'!$A$6:$BT$266,(MATCH('4.6 ACE MAX CAN '!AC$4,'7. PGE_Efficacité'!$A$4:$BU$4,0)+31),0)</f>
        <v>0</v>
      </c>
      <c r="AD129" s="149">
        <f>VLOOKUP($E129,'7. PGE_Efficacité'!$A$6:$BT$266,(MATCH('4.6 ACE MAX CAN '!AD$4,'7. PGE_Efficacité'!$A$4:$BU$4,0)+31),0)</f>
        <v>0</v>
      </c>
      <c r="AE129" s="149">
        <f>VLOOKUP($E129,'7. PGE_Efficacité'!$A$6:$BT$266,(MATCH('4.6 ACE MAX CAN '!AE$4,'7. PGE_Efficacité'!$A$4:$BU$4,0)+31),0)</f>
        <v>0</v>
      </c>
      <c r="AF129" s="149">
        <f>VLOOKUP($E129,'7. PGE_Efficacité'!$A$6:$BT$266,(MATCH('4.6 ACE MAX CAN '!AF$4,'7. PGE_Efficacité'!$A$4:$BU$4,0)+31),0)</f>
        <v>0</v>
      </c>
      <c r="AG129" s="149">
        <f>VLOOKUP($E129,'7. PGE_Efficacité'!$A$6:$BT$266,(MATCH('4.6 ACE MAX CAN '!AG$4,'7. PGE_Efficacité'!$A$4:$BU$4,0)+31),0)</f>
        <v>0</v>
      </c>
      <c r="AH129" s="149">
        <f>VLOOKUP($E129,'7. PGE_Efficacité'!$A$6:$BT$266,(MATCH('4.6 ACE MAX CAN '!AH$4,'7. PGE_Efficacité'!$A$4:$BU$4,0)+31),0)</f>
        <v>0</v>
      </c>
      <c r="AI129" s="149">
        <f>VLOOKUP($E129,'7. PGE_Efficacité'!$A$6:$BT$266,(MATCH('4.6 ACE MAX CAN '!AI$4,'7. PGE_Efficacité'!$A$4:$BU$4,0)+31),0)</f>
        <v>0</v>
      </c>
      <c r="AJ129" s="149">
        <f>VLOOKUP($E129,'7. PGE_Efficacité'!$A$6:$BT$266,(MATCH('4.6 ACE MAX CAN '!AJ$4,'7. PGE_Efficacité'!$A$4:$BU$4,0)+31),0)</f>
        <v>0</v>
      </c>
      <c r="AK129" s="149">
        <f>VLOOKUP($E129,'7. PGE_Efficacité'!$A$6:$BT$266,(MATCH('4.6 ACE MAX CAN '!AK$4,'7. PGE_Efficacité'!$A$4:$BU$4,0)+31),0)</f>
        <v>0</v>
      </c>
      <c r="AL129" s="149">
        <f>VLOOKUP($E129,'7. PGE_Efficacité'!$A$6:$BT$266,(MATCH('4.6 ACE MAX CAN '!AL$4,'7. PGE_Efficacité'!$A$4:$BU$4,0)+31),0)</f>
        <v>0</v>
      </c>
      <c r="AM129" s="149">
        <f>VLOOKUP($E129,'7. PGE_Efficacité'!$A$6:$BT$266,(MATCH('4.6 ACE MAX CAN '!AM$4,'7. PGE_Efficacité'!$A$4:$BU$4,0)+31),0)</f>
        <v>0</v>
      </c>
      <c r="AN129" s="149">
        <f>VLOOKUP($E129,'7. PGE_Efficacité'!$A$6:$BT$266,(MATCH('4.6 ACE MAX CAN '!AN$4,'7. PGE_Efficacité'!$A$4:$BU$4,0)+31),0)</f>
        <v>0</v>
      </c>
    </row>
    <row r="130" spans="1:40" outlineLevel="2" x14ac:dyDescent="0.25">
      <c r="A130" t="s">
        <v>1524</v>
      </c>
      <c r="B130">
        <v>22</v>
      </c>
      <c r="C130" t="s">
        <v>1503</v>
      </c>
      <c r="D130" s="12" t="s">
        <v>22</v>
      </c>
      <c r="E130" s="12" t="s">
        <v>739</v>
      </c>
      <c r="F130" s="12" t="s">
        <v>1397</v>
      </c>
      <c r="G130" s="12" t="s">
        <v>1521</v>
      </c>
      <c r="H130" s="12" t="s">
        <v>1287</v>
      </c>
      <c r="I130" s="148"/>
      <c r="J130" s="149">
        <f>VLOOKUP($E130,'7. PGE_Efficacité'!$A$6:$BT$266,(MATCH('4.6 ACE MAX CAN '!J$4,'7. PGE_Efficacité'!$A$4:$BU$4,0)+31),0)</f>
        <v>0</v>
      </c>
      <c r="K130" s="149">
        <f>VLOOKUP($E130,'7. PGE_Efficacité'!$A$6:$BT$266,(MATCH('4.6 ACE MAX CAN '!K$4,'7. PGE_Efficacité'!$A$4:$BU$4,0)+31),0)</f>
        <v>0</v>
      </c>
      <c r="L130" s="149">
        <f>VLOOKUP($E130,'7. PGE_Efficacité'!$A$6:$BT$266,(MATCH('4.6 ACE MAX CAN '!L$4,'7. PGE_Efficacité'!$A$4:$BU$4,0)+31),0)</f>
        <v>0</v>
      </c>
      <c r="M130" s="149">
        <f>VLOOKUP($E130,'7. PGE_Efficacité'!$A$6:$BT$266,(MATCH('4.6 ACE MAX CAN '!M$4,'7. PGE_Efficacité'!$A$4:$BU$4,0)+31),0)</f>
        <v>0</v>
      </c>
      <c r="N130" s="149">
        <f>VLOOKUP($E130,'7. PGE_Efficacité'!$A$6:$BT$266,(MATCH('4.6 ACE MAX CAN '!N$4,'7. PGE_Efficacité'!$A$4:$BU$4,0)+31),0)</f>
        <v>0</v>
      </c>
      <c r="O130" s="149">
        <f>VLOOKUP($D130,'7. PGE_Efficacité'!$A$6:$BT$268,47,0)</f>
        <v>0</v>
      </c>
      <c r="P130" s="149">
        <f>VLOOKUP($E130,'7. PGE_Efficacité'!$A$6:$BT$266,(MATCH('4.6 ACE MAX CAN '!P$4,'7. PGE_Efficacité'!$A$4:$BU$4,0)+31),0)</f>
        <v>0</v>
      </c>
      <c r="Q130" s="149">
        <f>VLOOKUP($E130,'7. PGE_Efficacité'!$A$6:$BT$266,(MATCH('4.6 ACE MAX CAN '!Q$4,'7. PGE_Efficacité'!$A$4:$BU$4,0)+31),0)</f>
        <v>0</v>
      </c>
      <c r="R130" s="149">
        <f>VLOOKUP($E130,'7. PGE_Efficacité'!$A$6:$BT$266,(MATCH('4.6 ACE MAX CAN '!R$4,'7. PGE_Efficacité'!$A$4:$BU$4,0)+31),0)</f>
        <v>0</v>
      </c>
      <c r="S130" s="149">
        <f>VLOOKUP($E130,'7. PGE_Efficacité'!$A$6:$BT$266,(MATCH('4.6 ACE MAX CAN '!S$4,'7. PGE_Efficacité'!$A$4:$BU$4,0)+31),0)</f>
        <v>0</v>
      </c>
      <c r="T130" s="149">
        <f>VLOOKUP($E130,'7. PGE_Efficacité'!$A$6:$BT$266,(MATCH('4.6 ACE MAX CAN '!T$4,'7. PGE_Efficacité'!$A$4:$BU$4,0)+31),0)</f>
        <v>0</v>
      </c>
      <c r="U130" s="149">
        <f>VLOOKUP($E130,'7. PGE_Efficacité'!$A$6:$BT$266,(MATCH('4.6 ACE MAX CAN '!U$4,'7. PGE_Efficacité'!$A$4:$BU$4,0)+31),0)</f>
        <v>0</v>
      </c>
      <c r="V130" s="149">
        <f>VLOOKUP($E130,'7. PGE_Efficacité'!$A$6:$BT$266,(MATCH('4.6 ACE MAX CAN '!V$4,'7. PGE_Efficacité'!$A$4:$BU$4,0)+31),0)</f>
        <v>0</v>
      </c>
      <c r="W130" s="149">
        <f>VLOOKUP($E130,'7. PGE_Efficacité'!$A$6:$BT$266,(MATCH('4.6 ACE MAX CAN '!W$4,'7. PGE_Efficacité'!$A$4:$BU$4,0)+31),0)</f>
        <v>0</v>
      </c>
      <c r="X130" s="149">
        <f>VLOOKUP($E130,'7. PGE_Efficacité'!$A$6:$BT$266,(MATCH('4.6 ACE MAX CAN '!X$4,'7. PGE_Efficacité'!$A$4:$BU$4,0)+31),0)</f>
        <v>0</v>
      </c>
      <c r="Y130" s="149">
        <f>VLOOKUP($E130,'7. PGE_Efficacité'!$A$6:$BT$266,(MATCH('4.6 ACE MAX CAN '!Y$4,'7. PGE_Efficacité'!$A$4:$BU$4,0)+31),0)</f>
        <v>0</v>
      </c>
      <c r="Z130" s="149">
        <f>VLOOKUP($E130,'7. PGE_Efficacité'!$A$6:$BT$266,(MATCH('4.6 ACE MAX CAN '!Z$4,'7. PGE_Efficacité'!$A$4:$BU$4,0)+31),0)</f>
        <v>0</v>
      </c>
      <c r="AA130" s="149">
        <f>VLOOKUP($E130,'7. PGE_Efficacité'!$A$6:$BT$266,(MATCH('4.6 ACE MAX CAN '!AA$4,'7. PGE_Efficacité'!$A$4:$BU$4,0)+31),0)</f>
        <v>0</v>
      </c>
      <c r="AB130" s="149">
        <f>VLOOKUP($E130,'7. PGE_Efficacité'!$A$6:$BT$266,(MATCH('4.6 ACE MAX CAN '!AB$4,'7. PGE_Efficacité'!$A$4:$BU$4,0)+31),0)</f>
        <v>0</v>
      </c>
      <c r="AC130" s="149">
        <f>VLOOKUP($E130,'7. PGE_Efficacité'!$A$6:$BT$266,(MATCH('4.6 ACE MAX CAN '!AC$4,'7. PGE_Efficacité'!$A$4:$BU$4,0)+31),0)</f>
        <v>0</v>
      </c>
      <c r="AD130" s="149">
        <f>VLOOKUP($E130,'7. PGE_Efficacité'!$A$6:$BT$266,(MATCH('4.6 ACE MAX CAN '!AD$4,'7. PGE_Efficacité'!$A$4:$BU$4,0)+31),0)</f>
        <v>0</v>
      </c>
      <c r="AE130" s="149">
        <f>VLOOKUP($E130,'7. PGE_Efficacité'!$A$6:$BT$266,(MATCH('4.6 ACE MAX CAN '!AE$4,'7. PGE_Efficacité'!$A$4:$BU$4,0)+31),0)</f>
        <v>0</v>
      </c>
      <c r="AF130" s="149">
        <f>VLOOKUP($E130,'7. PGE_Efficacité'!$A$6:$BT$266,(MATCH('4.6 ACE MAX CAN '!AF$4,'7. PGE_Efficacité'!$A$4:$BU$4,0)+31),0)</f>
        <v>0</v>
      </c>
      <c r="AG130" s="149">
        <f>VLOOKUP($E130,'7. PGE_Efficacité'!$A$6:$BT$266,(MATCH('4.6 ACE MAX CAN '!AG$4,'7. PGE_Efficacité'!$A$4:$BU$4,0)+31),0)</f>
        <v>0</v>
      </c>
      <c r="AH130" s="149">
        <f>VLOOKUP($E130,'7. PGE_Efficacité'!$A$6:$BT$266,(MATCH('4.6 ACE MAX CAN '!AH$4,'7. PGE_Efficacité'!$A$4:$BU$4,0)+31),0)</f>
        <v>0</v>
      </c>
      <c r="AI130" s="149">
        <f>VLOOKUP($E130,'7. PGE_Efficacité'!$A$6:$BT$266,(MATCH('4.6 ACE MAX CAN '!AI$4,'7. PGE_Efficacité'!$A$4:$BU$4,0)+31),0)</f>
        <v>0</v>
      </c>
      <c r="AJ130" s="149">
        <f>VLOOKUP($E130,'7. PGE_Efficacité'!$A$6:$BT$266,(MATCH('4.6 ACE MAX CAN '!AJ$4,'7. PGE_Efficacité'!$A$4:$BU$4,0)+31),0)</f>
        <v>0</v>
      </c>
      <c r="AK130" s="149">
        <f>VLOOKUP($E130,'7. PGE_Efficacité'!$A$6:$BT$266,(MATCH('4.6 ACE MAX CAN '!AK$4,'7. PGE_Efficacité'!$A$4:$BU$4,0)+31),0)</f>
        <v>0</v>
      </c>
      <c r="AL130" s="149">
        <f>VLOOKUP($E130,'7. PGE_Efficacité'!$A$6:$BT$266,(MATCH('4.6 ACE MAX CAN '!AL$4,'7. PGE_Efficacité'!$A$4:$BU$4,0)+31),0)</f>
        <v>0</v>
      </c>
      <c r="AM130" s="149">
        <f>VLOOKUP($E130,'7. PGE_Efficacité'!$A$6:$BT$266,(MATCH('4.6 ACE MAX CAN '!AM$4,'7. PGE_Efficacité'!$A$4:$BU$4,0)+31),0)</f>
        <v>0</v>
      </c>
      <c r="AN130" s="149">
        <f>VLOOKUP($E130,'7. PGE_Efficacité'!$A$6:$BT$266,(MATCH('4.6 ACE MAX CAN '!AN$4,'7. PGE_Efficacité'!$A$4:$BU$4,0)+31),0)</f>
        <v>0</v>
      </c>
    </row>
    <row r="131" spans="1:40" outlineLevel="2" x14ac:dyDescent="0.25">
      <c r="D131" s="12" t="s">
        <v>22</v>
      </c>
      <c r="E131" s="12" t="s">
        <v>740</v>
      </c>
      <c r="F131" s="12" t="s">
        <v>1398</v>
      </c>
      <c r="G131" s="12" t="s">
        <v>1521</v>
      </c>
      <c r="H131" s="12" t="s">
        <v>414</v>
      </c>
      <c r="I131" s="148"/>
      <c r="J131" s="149"/>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row>
    <row r="132" spans="1:40" outlineLevel="2" x14ac:dyDescent="0.25">
      <c r="A132" t="s">
        <v>1524</v>
      </c>
      <c r="B132">
        <v>22</v>
      </c>
      <c r="C132" t="s">
        <v>1504</v>
      </c>
      <c r="D132" s="555" t="s">
        <v>22</v>
      </c>
      <c r="E132" s="555" t="s">
        <v>1597</v>
      </c>
      <c r="F132" s="249" t="str">
        <f>VLOOKUP(E132,'5.2 Actions'!$A$3:$B$720,2,0)</f>
        <v>Analyser les données recueillies et les mettre à disposition du Port pour communiquer vers les usagers du Canal.</v>
      </c>
      <c r="G132" s="12" t="s">
        <v>1521</v>
      </c>
      <c r="H132" s="555" t="s">
        <v>414</v>
      </c>
      <c r="I132" s="148"/>
      <c r="J132" s="149">
        <f>VLOOKUP($E131,'7. PGE_Efficacité'!$A$6:$BT$266,(MATCH('4.6 ACE MAX CAN '!J$4,'7. PGE_Efficacité'!$A$4:$BU$4,0)+31),0)</f>
        <v>0</v>
      </c>
      <c r="K132" s="149">
        <f>VLOOKUP($E131,'7. PGE_Efficacité'!$A$6:$BT$266,(MATCH('4.6 ACE MAX CAN '!K$4,'7. PGE_Efficacité'!$A$4:$BU$4,0)+31),0)</f>
        <v>0</v>
      </c>
      <c r="L132" s="149">
        <f>VLOOKUP($E131,'7. PGE_Efficacité'!$A$6:$BT$266,(MATCH('4.6 ACE MAX CAN '!L$4,'7. PGE_Efficacité'!$A$4:$BU$4,0)+31),0)</f>
        <v>0</v>
      </c>
      <c r="M132" s="149">
        <f>VLOOKUP($E131,'7. PGE_Efficacité'!$A$6:$BT$266,(MATCH('4.6 ACE MAX CAN '!M$4,'7. PGE_Efficacité'!$A$4:$BU$4,0)+31),0)</f>
        <v>0</v>
      </c>
      <c r="N132" s="149">
        <f>VLOOKUP($E131,'7. PGE_Efficacité'!$A$6:$BT$266,(MATCH('4.6 ACE MAX CAN '!N$4,'7. PGE_Efficacité'!$A$4:$BU$4,0)+31),0)</f>
        <v>0</v>
      </c>
      <c r="O132" s="149">
        <f>VLOOKUP($D131,'7. PGE_Efficacité'!$A$6:$BT$268,47,0)</f>
        <v>0</v>
      </c>
      <c r="P132" s="149">
        <f>VLOOKUP($E131,'7. PGE_Efficacité'!$A$6:$BT$266,(MATCH('4.6 ACE MAX CAN '!P$4,'7. PGE_Efficacité'!$A$4:$BU$4,0)+31),0)</f>
        <v>0</v>
      </c>
      <c r="Q132" s="149">
        <f>VLOOKUP($E131,'7. PGE_Efficacité'!$A$6:$BT$266,(MATCH('4.6 ACE MAX CAN '!Q$4,'7. PGE_Efficacité'!$A$4:$BU$4,0)+31),0)</f>
        <v>0</v>
      </c>
      <c r="R132" s="149">
        <f>VLOOKUP($E131,'7. PGE_Efficacité'!$A$6:$BT$266,(MATCH('4.6 ACE MAX CAN '!R$4,'7. PGE_Efficacité'!$A$4:$BU$4,0)+31),0)</f>
        <v>0</v>
      </c>
      <c r="S132" s="149">
        <f>VLOOKUP($E131,'7. PGE_Efficacité'!$A$6:$BT$266,(MATCH('4.6 ACE MAX CAN '!S$4,'7. PGE_Efficacité'!$A$4:$BU$4,0)+31),0)</f>
        <v>0</v>
      </c>
      <c r="T132" s="149">
        <f>VLOOKUP($E131,'7. PGE_Efficacité'!$A$6:$BT$266,(MATCH('4.6 ACE MAX CAN '!T$4,'7. PGE_Efficacité'!$A$4:$BU$4,0)+31),0)</f>
        <v>0</v>
      </c>
      <c r="U132" s="149">
        <f>VLOOKUP($E131,'7. PGE_Efficacité'!$A$6:$BT$266,(MATCH('4.6 ACE MAX CAN '!U$4,'7. PGE_Efficacité'!$A$4:$BU$4,0)+31),0)</f>
        <v>0</v>
      </c>
      <c r="V132" s="149">
        <f>VLOOKUP($E131,'7. PGE_Efficacité'!$A$6:$BT$266,(MATCH('4.6 ACE MAX CAN '!V$4,'7. PGE_Efficacité'!$A$4:$BU$4,0)+31),0)</f>
        <v>0</v>
      </c>
      <c r="W132" s="149">
        <f>VLOOKUP($E131,'7. PGE_Efficacité'!$A$6:$BT$266,(MATCH('4.6 ACE MAX CAN '!W$4,'7. PGE_Efficacité'!$A$4:$BU$4,0)+31),0)</f>
        <v>0</v>
      </c>
      <c r="X132" s="149">
        <f>VLOOKUP($E131,'7. PGE_Efficacité'!$A$6:$BT$266,(MATCH('4.6 ACE MAX CAN '!X$4,'7. PGE_Efficacité'!$A$4:$BU$4,0)+31),0)</f>
        <v>0</v>
      </c>
      <c r="Y132" s="149">
        <f>VLOOKUP($E131,'7. PGE_Efficacité'!$A$6:$BT$266,(MATCH('4.6 ACE MAX CAN '!Y$4,'7. PGE_Efficacité'!$A$4:$BU$4,0)+31),0)</f>
        <v>0</v>
      </c>
      <c r="Z132" s="149">
        <f>VLOOKUP($E131,'7. PGE_Efficacité'!$A$6:$BT$266,(MATCH('4.6 ACE MAX CAN '!Z$4,'7. PGE_Efficacité'!$A$4:$BU$4,0)+31),0)</f>
        <v>0</v>
      </c>
      <c r="AA132" s="149">
        <f>VLOOKUP($E131,'7. PGE_Efficacité'!$A$6:$BT$266,(MATCH('4.6 ACE MAX CAN '!AA$4,'7. PGE_Efficacité'!$A$4:$BU$4,0)+31),0)</f>
        <v>0</v>
      </c>
      <c r="AB132" s="149">
        <f>VLOOKUP($E131,'7. PGE_Efficacité'!$A$6:$BT$266,(MATCH('4.6 ACE MAX CAN '!AB$4,'7. PGE_Efficacité'!$A$4:$BU$4,0)+31),0)</f>
        <v>0</v>
      </c>
      <c r="AC132" s="149">
        <f>VLOOKUP($E131,'7. PGE_Efficacité'!$A$6:$BT$266,(MATCH('4.6 ACE MAX CAN '!AC$4,'7. PGE_Efficacité'!$A$4:$BU$4,0)+31),0)</f>
        <v>0</v>
      </c>
      <c r="AD132" s="149">
        <f>VLOOKUP($E131,'7. PGE_Efficacité'!$A$6:$BT$266,(MATCH('4.6 ACE MAX CAN '!AD$4,'7. PGE_Efficacité'!$A$4:$BU$4,0)+31),0)</f>
        <v>0</v>
      </c>
      <c r="AE132" s="149">
        <f>VLOOKUP($E131,'7. PGE_Efficacité'!$A$6:$BT$266,(MATCH('4.6 ACE MAX CAN '!AE$4,'7. PGE_Efficacité'!$A$4:$BU$4,0)+31),0)</f>
        <v>0</v>
      </c>
      <c r="AF132" s="149">
        <f>VLOOKUP($E131,'7. PGE_Efficacité'!$A$6:$BT$266,(MATCH('4.6 ACE MAX CAN '!AF$4,'7. PGE_Efficacité'!$A$4:$BU$4,0)+31),0)</f>
        <v>0</v>
      </c>
      <c r="AG132" s="149">
        <f>VLOOKUP($E131,'7. PGE_Efficacité'!$A$6:$BT$266,(MATCH('4.6 ACE MAX CAN '!AG$4,'7. PGE_Efficacité'!$A$4:$BU$4,0)+31),0)</f>
        <v>0</v>
      </c>
      <c r="AH132" s="149">
        <f>VLOOKUP($E131,'7. PGE_Efficacité'!$A$6:$BT$266,(MATCH('4.6 ACE MAX CAN '!AH$4,'7. PGE_Efficacité'!$A$4:$BU$4,0)+31),0)</f>
        <v>0</v>
      </c>
      <c r="AI132" s="149">
        <f>VLOOKUP($E131,'7. PGE_Efficacité'!$A$6:$BT$266,(MATCH('4.6 ACE MAX CAN '!AI$4,'7. PGE_Efficacité'!$A$4:$BU$4,0)+31),0)</f>
        <v>0</v>
      </c>
      <c r="AJ132" s="149">
        <f>VLOOKUP($E131,'7. PGE_Efficacité'!$A$6:$BT$266,(MATCH('4.6 ACE MAX CAN '!AJ$4,'7. PGE_Efficacité'!$A$4:$BU$4,0)+31),0)</f>
        <v>0</v>
      </c>
      <c r="AK132" s="149">
        <f>VLOOKUP($E131,'7. PGE_Efficacité'!$A$6:$BT$266,(MATCH('4.6 ACE MAX CAN '!AK$4,'7. PGE_Efficacité'!$A$4:$BU$4,0)+31),0)</f>
        <v>0</v>
      </c>
      <c r="AL132" s="149">
        <f>VLOOKUP($E131,'7. PGE_Efficacité'!$A$6:$BT$266,(MATCH('4.6 ACE MAX CAN '!AL$4,'7. PGE_Efficacité'!$A$4:$BU$4,0)+31),0)</f>
        <v>0</v>
      </c>
      <c r="AM132" s="149">
        <f>VLOOKUP($E131,'7. PGE_Efficacité'!$A$6:$BT$266,(MATCH('4.6 ACE MAX CAN '!AM$4,'7. PGE_Efficacité'!$A$4:$BU$4,0)+31),0)</f>
        <v>0</v>
      </c>
      <c r="AN132" s="149">
        <f>VLOOKUP($E131,'7. PGE_Efficacité'!$A$6:$BT$266,(MATCH('4.6 ACE MAX CAN '!AN$4,'7. PGE_Efficacité'!$A$4:$BU$4,0)+31),0)</f>
        <v>0</v>
      </c>
    </row>
    <row r="133" spans="1:40" outlineLevel="1" x14ac:dyDescent="0.25">
      <c r="D133" s="360" t="s">
        <v>26</v>
      </c>
      <c r="E133" s="360"/>
      <c r="F133" s="361" t="str">
        <f>VLOOKUP(D133,'1. Mesures'!$A$2:$B$116,2,0)</f>
        <v>Assurer la gestion des pollutions intra régionales et transfrontalières</v>
      </c>
      <c r="G133" s="360"/>
      <c r="H133" s="360"/>
      <c r="I133" s="362">
        <f>MEDIAN(VLOOKUP(D133,'4. Mesures_ACE_Budget'!$A$3:$R$32,17,0),VLOOKUP(D133,'4. Mesures_ACE_Budget'!$A$3:$R$32,18,0))</f>
        <v>0</v>
      </c>
      <c r="J133" s="212">
        <f>VLOOKUP($D133,'7. PGE_Efficacité'!$A$6:$BT$266,(MATCH('4.6 ACE MAX CAN '!J$4,'7. PGE_Efficacité'!$A$4:$AO$4,0)+31),0)</f>
        <v>0</v>
      </c>
      <c r="K133" s="212" t="str">
        <f>VLOOKUP($D133,'7. PGE_Efficacité'!$A$6:$BT$266,(MATCH('4.6 ACE MAX CAN '!K$4,'7. PGE_Efficacité'!$A$4:$AO$4,0)+31),0)</f>
        <v>+</v>
      </c>
      <c r="L133" s="212" t="str">
        <f>VLOOKUP($D133,'7. PGE_Efficacité'!$A$6:$BT$266,(MATCH('4.6 ACE MAX CAN '!L$4,'7. PGE_Efficacité'!$A$4:$AO$4,0)+31),0)</f>
        <v>+</v>
      </c>
      <c r="M133" s="212" t="str">
        <f>VLOOKUP($D133,'7. PGE_Efficacité'!$A$6:$BT$266,(MATCH('4.6 ACE MAX CAN '!M$4,'7. PGE_Efficacité'!$A$4:$AO$4,0)+31),0)</f>
        <v>+</v>
      </c>
      <c r="N133" s="212" t="str">
        <f>VLOOKUP($D133,'7. PGE_Efficacité'!$A$6:$BT$266,(MATCH('4.6 ACE MAX CAN '!N$4,'7. PGE_Efficacité'!$A$4:$AO$4,0)+31),0)</f>
        <v>+</v>
      </c>
      <c r="O133" s="212" t="str">
        <f>VLOOKUP($D133,'7. PGE_Efficacité'!$A$6:$BT$268,47,0)</f>
        <v>+</v>
      </c>
      <c r="P133" s="212">
        <f>VLOOKUP($D133,'7. PGE_Efficacité'!$A$6:$BT$266,(MATCH('4.6 ACE MAX CAN '!P$4,'7. PGE_Efficacité'!$A$4:$AO$4,0)+31),0)</f>
        <v>0</v>
      </c>
      <c r="Q133" s="212" t="str">
        <f>VLOOKUP($D133,'7. PGE_Efficacité'!$A$6:$BT$266,(MATCH('4.6 ACE MAX CAN '!Q$4,'7. PGE_Efficacité'!$A$4:$AO$4,0)+31),0)</f>
        <v>+</v>
      </c>
      <c r="R133" s="212" t="str">
        <f>VLOOKUP($D133,'7. PGE_Efficacité'!$A$6:$BT$266,(MATCH('4.6 ACE MAX CAN '!R$4,'7. PGE_Efficacité'!$A$4:$AO$4,0)+31),0)</f>
        <v>+</v>
      </c>
      <c r="S133" s="212">
        <f>VLOOKUP($D133,'7. PGE_Efficacité'!$A$6:$BT$266,(MATCH('4.6 ACE MAX CAN '!S$4,'7. PGE_Efficacité'!$A$4:$AO$4,0)+31),0)</f>
        <v>0</v>
      </c>
      <c r="T133" s="212" t="str">
        <f>VLOOKUP($D133,'7. PGE_Efficacité'!$A$6:$BT$266,(MATCH('4.6 ACE MAX CAN '!T$4,'7. PGE_Efficacité'!$A$4:$AO$4,0)+31),0)</f>
        <v>+</v>
      </c>
      <c r="U133" s="212" t="str">
        <f>VLOOKUP($D133,'7. PGE_Efficacité'!$A$6:$BT$266,(MATCH('4.6 ACE MAX CAN '!U$4,'7. PGE_Efficacité'!$A$4:$AO$4,0)+31),0)</f>
        <v>+</v>
      </c>
      <c r="V133" s="212" t="str">
        <f>VLOOKUP($D133,'7. PGE_Efficacité'!$A$6:$BT$266,(MATCH('4.6 ACE MAX CAN '!V$4,'7. PGE_Efficacité'!$A$4:$AO$4,0)+31),0)</f>
        <v>+</v>
      </c>
      <c r="W133" s="212" t="str">
        <f>VLOOKUP($D133,'7. PGE_Efficacité'!$A$6:$BT$266,(MATCH('4.6 ACE MAX CAN '!W$4,'7. PGE_Efficacité'!$A$4:$AO$4,0)+31),0)</f>
        <v>+</v>
      </c>
      <c r="X133" s="212">
        <f>VLOOKUP($D133,'7. PGE_Efficacité'!$A$6:$BT$266,(MATCH('4.6 ACE MAX CAN '!X$4,'7. PGE_Efficacité'!$A$4:$AO$4,0)+31),0)</f>
        <v>0</v>
      </c>
      <c r="Y133" s="212" t="str">
        <f>VLOOKUP($D133,'7. PGE_Efficacité'!$A$6:$BT$266,(MATCH('4.6 ACE MAX CAN '!Y$4,'7. PGE_Efficacité'!$A$4:$AO$4,0)+31),0)</f>
        <v>+</v>
      </c>
      <c r="Z133" s="212" t="str">
        <f>VLOOKUP($D133,'7. PGE_Efficacité'!$A$6:$BT$266,(MATCH('4.6 ACE MAX CAN '!Z$4,'7. PGE_Efficacité'!$A$4:$AO$4,0)+31),0)</f>
        <v>+</v>
      </c>
      <c r="AA133" s="212">
        <f>VLOOKUP($D133,'7. PGE_Efficacité'!$A$6:$BT$266,(MATCH('4.6 ACE MAX CAN '!AA$4,'7. PGE_Efficacité'!$A$4:$AO$4,0)+31),0)</f>
        <v>0</v>
      </c>
      <c r="AB133" s="212">
        <f>VLOOKUP($D133,'7. PGE_Efficacité'!$A$6:$BT$266,(MATCH('4.6 ACE MAX CAN '!AB$4,'7. PGE_Efficacité'!$A$4:$AO$4,0)+31),0)</f>
        <v>0</v>
      </c>
      <c r="AC133" s="212">
        <f>VLOOKUP($D133,'7. PGE_Efficacité'!$A$6:$BT$266,(MATCH('4.6 ACE MAX CAN '!AC$4,'7. PGE_Efficacité'!$A$4:$AO$4,0)+31),0)</f>
        <v>0</v>
      </c>
      <c r="AD133" s="212">
        <f>VLOOKUP($D133,'7. PGE_Efficacité'!$A$6:$BT$266,(MATCH('4.6 ACE MAX CAN '!AD$4,'7. PGE_Efficacité'!$A$4:$AO$4,0)+31),0)</f>
        <v>0</v>
      </c>
      <c r="AE133" s="212">
        <f>VLOOKUP($D133,'7. PGE_Efficacité'!$A$6:$BT$266,(MATCH('4.6 ACE MAX CAN '!AE$4,'7. PGE_Efficacité'!$A$4:$AO$4,0)+31),0)</f>
        <v>0</v>
      </c>
      <c r="AF133" s="212">
        <f>VLOOKUP($D133,'7. PGE_Efficacité'!$A$6:$BT$266,(MATCH('4.6 ACE MAX CAN '!AF$4,'7. PGE_Efficacité'!$A$4:$AO$4,0)+31),0)</f>
        <v>0</v>
      </c>
      <c r="AG133" s="212">
        <f>VLOOKUP($D133,'7. PGE_Efficacité'!$A$6:$BT$266,(MATCH('4.6 ACE MAX CAN '!AG$4,'7. PGE_Efficacité'!$A$4:$AO$4,0)+31),0)</f>
        <v>0</v>
      </c>
      <c r="AH133" s="212">
        <f>VLOOKUP($D133,'7. PGE_Efficacité'!$A$6:$BT$266,(MATCH('4.6 ACE MAX CAN '!AH$4,'7. PGE_Efficacité'!$A$4:$AO$4,0)+31),0)</f>
        <v>0</v>
      </c>
      <c r="AI133" s="212">
        <f>VLOOKUP($D133,'7. PGE_Efficacité'!$A$6:$BT$266,(MATCH('4.6 ACE MAX CAN '!AI$4,'7. PGE_Efficacité'!$A$4:$AO$4,0)+31),0)</f>
        <v>0</v>
      </c>
      <c r="AJ133" s="212">
        <f>VLOOKUP($D133,'7. PGE_Efficacité'!$A$6:$BT$266,(MATCH('4.6 ACE MAX CAN '!AJ$4,'7. PGE_Efficacité'!$A$4:$AO$4,0)+31),0)</f>
        <v>0</v>
      </c>
      <c r="AK133" s="212" t="str">
        <f>VLOOKUP($D133,'7. PGE_Efficacité'!$A$6:$BT$266,(MATCH('4.6 ACE MAX CAN '!AK$4,'7. PGE_Efficacité'!$A$4:$AO$4,0)+31),0)</f>
        <v>+</v>
      </c>
      <c r="AL133" s="212">
        <f>VLOOKUP($D133,'7. PGE_Efficacité'!$A$6:$BT$266,(MATCH('4.6 ACE MAX CAN '!AL$4,'7. PGE_Efficacité'!$A$4:$AO$4,0)+31),0)</f>
        <v>0</v>
      </c>
      <c r="AM133" s="212" t="str">
        <f>VLOOKUP($D133,'7. PGE_Efficacité'!$A$6:$BT$266,(MATCH('4.6 ACE MAX CAN '!AM$4,'7. PGE_Efficacité'!$A$4:$AO$4,0)+31),0)</f>
        <v>+</v>
      </c>
      <c r="AN133" s="212" t="str">
        <f>VLOOKUP($D133,'7. PGE_Efficacité'!$A$6:$BT$266,(MATCH('4.6 ACE MAX CAN '!AN$4,'7. PGE_Efficacité'!$A$4:$AO$4,0)+31),0)</f>
        <v>+</v>
      </c>
    </row>
    <row r="134" spans="1:40" outlineLevel="2" x14ac:dyDescent="0.25">
      <c r="A134" t="s">
        <v>1524</v>
      </c>
      <c r="B134">
        <v>25</v>
      </c>
      <c r="C134" t="s">
        <v>1524</v>
      </c>
      <c r="D134" s="12" t="s">
        <v>26</v>
      </c>
      <c r="E134" s="12" t="s">
        <v>755</v>
      </c>
      <c r="F134" s="12" t="s">
        <v>1641</v>
      </c>
      <c r="G134" s="12" t="s">
        <v>1521</v>
      </c>
      <c r="H134" s="251" t="s">
        <v>1290</v>
      </c>
      <c r="I134" s="148"/>
      <c r="J134" s="212">
        <f>VLOOKUP($E134,'7. PGE_Efficacité'!$A$6:$BT$266,(MATCH('4.6 ACE MAX CAN '!J$4,'7. PGE_Efficacité'!$A$4:$BU$4,0)+31),0)</f>
        <v>0</v>
      </c>
      <c r="K134" s="212">
        <f>VLOOKUP($E134,'7. PGE_Efficacité'!$A$6:$BT$266,(MATCH('4.6 ACE MAX CAN '!K$4,'7. PGE_Efficacité'!$A$4:$BU$4,0)+31),0)</f>
        <v>0</v>
      </c>
      <c r="L134" s="212">
        <f>VLOOKUP($E134,'7. PGE_Efficacité'!$A$6:$BT$266,(MATCH('4.6 ACE MAX CAN '!L$4,'7. PGE_Efficacité'!$A$4:$BU$4,0)+31),0)</f>
        <v>0</v>
      </c>
      <c r="M134" s="212">
        <f>VLOOKUP($E134,'7. PGE_Efficacité'!$A$6:$BT$266,(MATCH('4.6 ACE MAX CAN '!M$4,'7. PGE_Efficacité'!$A$4:$BU$4,0)+31),0)</f>
        <v>0</v>
      </c>
      <c r="N134" s="212">
        <f>VLOOKUP($E134,'7. PGE_Efficacité'!$A$6:$BT$266,(MATCH('4.6 ACE MAX CAN '!N$4,'7. PGE_Efficacité'!$A$4:$BU$4,0)+31),0)</f>
        <v>0</v>
      </c>
      <c r="O134" s="212">
        <f>VLOOKUP($E134,'7. PGE_Efficacité'!$A$6:$BT$268,47,0)</f>
        <v>0</v>
      </c>
      <c r="P134" s="212">
        <f>VLOOKUP($E134,'7. PGE_Efficacité'!$A$6:$BT$266,(MATCH('4.6 ACE MAX CAN '!P$4,'7. PGE_Efficacité'!$A$4:$BU$4,0)+31),0)</f>
        <v>0</v>
      </c>
      <c r="Q134" s="212">
        <f>VLOOKUP($E134,'7. PGE_Efficacité'!$A$6:$BT$266,(MATCH('4.6 ACE MAX CAN '!Q$4,'7. PGE_Efficacité'!$A$4:$BU$4,0)+31),0)</f>
        <v>0</v>
      </c>
      <c r="R134" s="212">
        <f>VLOOKUP($E134,'7. PGE_Efficacité'!$A$6:$BT$266,(MATCH('4.6 ACE MAX CAN '!R$4,'7. PGE_Efficacité'!$A$4:$BU$4,0)+31),0)</f>
        <v>0</v>
      </c>
      <c r="S134" s="212">
        <f>VLOOKUP($E134,'7. PGE_Efficacité'!$A$6:$BT$266,(MATCH('4.6 ACE MAX CAN '!S$4,'7. PGE_Efficacité'!$A$4:$BU$4,0)+31),0)</f>
        <v>0</v>
      </c>
      <c r="T134" s="212">
        <f>VLOOKUP($E134,'7. PGE_Efficacité'!$A$6:$BT$266,(MATCH('4.6 ACE MAX CAN '!T$4,'7. PGE_Efficacité'!$A$4:$BU$4,0)+31),0)</f>
        <v>0</v>
      </c>
      <c r="U134" s="212">
        <f>VLOOKUP($E134,'7. PGE_Efficacité'!$A$6:$BT$266,(MATCH('4.6 ACE MAX CAN '!U$4,'7. PGE_Efficacité'!$A$4:$BU$4,0)+31),0)</f>
        <v>0</v>
      </c>
      <c r="V134" s="212">
        <f>VLOOKUP($E134,'7. PGE_Efficacité'!$A$6:$BT$266,(MATCH('4.6 ACE MAX CAN '!V$4,'7. PGE_Efficacité'!$A$4:$BU$4,0)+31),0)</f>
        <v>0</v>
      </c>
      <c r="W134" s="212">
        <f>VLOOKUP($E134,'7. PGE_Efficacité'!$A$6:$BT$266,(MATCH('4.6 ACE MAX CAN '!W$4,'7. PGE_Efficacité'!$A$4:$BU$4,0)+31),0)</f>
        <v>0</v>
      </c>
      <c r="X134" s="212">
        <f>VLOOKUP($E134,'7. PGE_Efficacité'!$A$6:$BT$266,(MATCH('4.6 ACE MAX CAN '!X$4,'7. PGE_Efficacité'!$A$4:$BU$4,0)+31),0)</f>
        <v>0</v>
      </c>
      <c r="Y134" s="212">
        <f>VLOOKUP($E134,'7. PGE_Efficacité'!$A$6:$BT$266,(MATCH('4.6 ACE MAX CAN '!Y$4,'7. PGE_Efficacité'!$A$4:$BU$4,0)+31),0)</f>
        <v>0</v>
      </c>
      <c r="Z134" s="212">
        <f>VLOOKUP($E134,'7. PGE_Efficacité'!$A$6:$BT$266,(MATCH('4.6 ACE MAX CAN '!Z$4,'7. PGE_Efficacité'!$A$4:$BU$4,0)+31),0)</f>
        <v>0</v>
      </c>
      <c r="AA134" s="212">
        <f>VLOOKUP($E134,'7. PGE_Efficacité'!$A$6:$BT$266,(MATCH('4.6 ACE MAX CAN '!AA$4,'7. PGE_Efficacité'!$A$4:$BU$4,0)+31),0)</f>
        <v>0</v>
      </c>
      <c r="AB134" s="212">
        <f>VLOOKUP($E134,'7. PGE_Efficacité'!$A$6:$BT$266,(MATCH('4.6 ACE MAX CAN '!AB$4,'7. PGE_Efficacité'!$A$4:$BU$4,0)+31),0)</f>
        <v>0</v>
      </c>
      <c r="AC134" s="212">
        <f>VLOOKUP($E134,'7. PGE_Efficacité'!$A$6:$BT$266,(MATCH('4.6 ACE MAX CAN '!AC$4,'7. PGE_Efficacité'!$A$4:$BU$4,0)+31),0)</f>
        <v>0</v>
      </c>
      <c r="AD134" s="212">
        <f>VLOOKUP($E134,'7. PGE_Efficacité'!$A$6:$BT$266,(MATCH('4.6 ACE MAX CAN '!AD$4,'7. PGE_Efficacité'!$A$4:$BU$4,0)+31),0)</f>
        <v>0</v>
      </c>
      <c r="AE134" s="212">
        <f>VLOOKUP($E134,'7. PGE_Efficacité'!$A$6:$BT$266,(MATCH('4.6 ACE MAX CAN '!AE$4,'7. PGE_Efficacité'!$A$4:$BU$4,0)+31),0)</f>
        <v>0</v>
      </c>
      <c r="AF134" s="212">
        <f>VLOOKUP($E134,'7. PGE_Efficacité'!$A$6:$BT$266,(MATCH('4.6 ACE MAX CAN '!AF$4,'7. PGE_Efficacité'!$A$4:$BU$4,0)+31),0)</f>
        <v>0</v>
      </c>
      <c r="AG134" s="212">
        <f>VLOOKUP($E134,'7. PGE_Efficacité'!$A$6:$BT$266,(MATCH('4.6 ACE MAX CAN '!AG$4,'7. PGE_Efficacité'!$A$4:$BU$4,0)+31),0)</f>
        <v>0</v>
      </c>
      <c r="AH134" s="212">
        <f>VLOOKUP($E134,'7. PGE_Efficacité'!$A$6:$BT$266,(MATCH('4.6 ACE MAX CAN '!AH$4,'7. PGE_Efficacité'!$A$4:$BU$4,0)+31),0)</f>
        <v>0</v>
      </c>
      <c r="AI134" s="212">
        <f>VLOOKUP($E134,'7. PGE_Efficacité'!$A$6:$BT$266,(MATCH('4.6 ACE MAX CAN '!AI$4,'7. PGE_Efficacité'!$A$4:$BU$4,0)+31),0)</f>
        <v>0</v>
      </c>
      <c r="AJ134" s="212">
        <f>VLOOKUP($E134,'7. PGE_Efficacité'!$A$6:$BT$266,(MATCH('4.6 ACE MAX CAN '!AJ$4,'7. PGE_Efficacité'!$A$4:$BU$4,0)+31),0)</f>
        <v>0</v>
      </c>
      <c r="AK134" s="212">
        <f>VLOOKUP($E134,'7. PGE_Efficacité'!$A$6:$BT$266,(MATCH('4.6 ACE MAX CAN '!AK$4,'7. PGE_Efficacité'!$A$4:$BU$4,0)+31),0)</f>
        <v>0</v>
      </c>
      <c r="AL134" s="212">
        <f>VLOOKUP($E134,'7. PGE_Efficacité'!$A$6:$BT$266,(MATCH('4.6 ACE MAX CAN '!AL$4,'7. PGE_Efficacité'!$A$4:$BU$4,0)+31),0)</f>
        <v>0</v>
      </c>
      <c r="AM134" s="212">
        <f>VLOOKUP($E134,'7. PGE_Efficacité'!$A$6:$BT$266,(MATCH('4.6 ACE MAX CAN '!AM$4,'7. PGE_Efficacité'!$A$4:$BU$4,0)+31),0)</f>
        <v>0</v>
      </c>
      <c r="AN134" s="212">
        <f>VLOOKUP($E134,'7. PGE_Efficacité'!$A$6:$BT$266,(MATCH('4.6 ACE MAX CAN '!AN$4,'7. PGE_Efficacité'!$A$4:$BU$4,0)+31),0)</f>
        <v>0</v>
      </c>
    </row>
    <row r="135" spans="1:40" outlineLevel="2" x14ac:dyDescent="0.25">
      <c r="A135" t="s">
        <v>1524</v>
      </c>
      <c r="B135">
        <v>25</v>
      </c>
      <c r="C135" t="s">
        <v>1525</v>
      </c>
      <c r="D135" s="12" t="s">
        <v>26</v>
      </c>
      <c r="E135" s="12" t="s">
        <v>756</v>
      </c>
      <c r="F135" s="12" t="s">
        <v>1644</v>
      </c>
      <c r="G135" s="12" t="s">
        <v>1521</v>
      </c>
      <c r="H135" s="251" t="s">
        <v>1290</v>
      </c>
      <c r="I135" s="148"/>
      <c r="J135" s="212">
        <f>VLOOKUP($E135,'7. PGE_Efficacité'!$A$6:$BT$266,(MATCH('4.6 ACE MAX CAN '!J$4,'7. PGE_Efficacité'!$A$4:$BU$4,0)+31),0)</f>
        <v>0</v>
      </c>
      <c r="K135" s="212">
        <f>VLOOKUP($E135,'7. PGE_Efficacité'!$A$6:$BT$266,(MATCH('4.6 ACE MAX CAN '!K$4,'7. PGE_Efficacité'!$A$4:$BU$4,0)+31),0)</f>
        <v>0</v>
      </c>
      <c r="L135" s="212">
        <f>VLOOKUP($E135,'7. PGE_Efficacité'!$A$6:$BT$266,(MATCH('4.6 ACE MAX CAN '!L$4,'7. PGE_Efficacité'!$A$4:$BU$4,0)+31),0)</f>
        <v>0</v>
      </c>
      <c r="M135" s="212">
        <f>VLOOKUP($E135,'7. PGE_Efficacité'!$A$6:$BT$266,(MATCH('4.6 ACE MAX CAN '!M$4,'7. PGE_Efficacité'!$A$4:$BU$4,0)+31),0)</f>
        <v>0</v>
      </c>
      <c r="N135" s="212">
        <f>VLOOKUP($E135,'7. PGE_Efficacité'!$A$6:$BT$266,(MATCH('4.6 ACE MAX CAN '!N$4,'7. PGE_Efficacité'!$A$4:$BU$4,0)+31),0)</f>
        <v>0</v>
      </c>
      <c r="O135" s="212">
        <f>VLOOKUP($E135,'7. PGE_Efficacité'!$A$6:$BT$268,47,0)</f>
        <v>0</v>
      </c>
      <c r="P135" s="212">
        <f>VLOOKUP($E135,'7. PGE_Efficacité'!$A$6:$BT$266,(MATCH('4.6 ACE MAX CAN '!P$4,'7. PGE_Efficacité'!$A$4:$BU$4,0)+31),0)</f>
        <v>0</v>
      </c>
      <c r="Q135" s="212">
        <f>VLOOKUP($E135,'7. PGE_Efficacité'!$A$6:$BT$266,(MATCH('4.6 ACE MAX CAN '!Q$4,'7. PGE_Efficacité'!$A$4:$BU$4,0)+31),0)</f>
        <v>0</v>
      </c>
      <c r="R135" s="212">
        <f>VLOOKUP($E135,'7. PGE_Efficacité'!$A$6:$BT$266,(MATCH('4.6 ACE MAX CAN '!R$4,'7. PGE_Efficacité'!$A$4:$BU$4,0)+31),0)</f>
        <v>0</v>
      </c>
      <c r="S135" s="212">
        <f>VLOOKUP($E135,'7. PGE_Efficacité'!$A$6:$BT$266,(MATCH('4.6 ACE MAX CAN '!S$4,'7. PGE_Efficacité'!$A$4:$BU$4,0)+31),0)</f>
        <v>0</v>
      </c>
      <c r="T135" s="212">
        <f>VLOOKUP($E135,'7. PGE_Efficacité'!$A$6:$BT$266,(MATCH('4.6 ACE MAX CAN '!T$4,'7. PGE_Efficacité'!$A$4:$BU$4,0)+31),0)</f>
        <v>0</v>
      </c>
      <c r="U135" s="212">
        <f>VLOOKUP($E135,'7. PGE_Efficacité'!$A$6:$BT$266,(MATCH('4.6 ACE MAX CAN '!U$4,'7. PGE_Efficacité'!$A$4:$BU$4,0)+31),0)</f>
        <v>0</v>
      </c>
      <c r="V135" s="212">
        <f>VLOOKUP($E135,'7. PGE_Efficacité'!$A$6:$BT$266,(MATCH('4.6 ACE MAX CAN '!V$4,'7. PGE_Efficacité'!$A$4:$BU$4,0)+31),0)</f>
        <v>0</v>
      </c>
      <c r="W135" s="212">
        <f>VLOOKUP($E135,'7. PGE_Efficacité'!$A$6:$BT$266,(MATCH('4.6 ACE MAX CAN '!W$4,'7. PGE_Efficacité'!$A$4:$BU$4,0)+31),0)</f>
        <v>0</v>
      </c>
      <c r="X135" s="212">
        <f>VLOOKUP($E135,'7. PGE_Efficacité'!$A$6:$BT$266,(MATCH('4.6 ACE MAX CAN '!X$4,'7. PGE_Efficacité'!$A$4:$BU$4,0)+31),0)</f>
        <v>0</v>
      </c>
      <c r="Y135" s="212">
        <f>VLOOKUP($E135,'7. PGE_Efficacité'!$A$6:$BT$266,(MATCH('4.6 ACE MAX CAN '!Y$4,'7. PGE_Efficacité'!$A$4:$BU$4,0)+31),0)</f>
        <v>0</v>
      </c>
      <c r="Z135" s="212">
        <f>VLOOKUP($E135,'7. PGE_Efficacité'!$A$6:$BT$266,(MATCH('4.6 ACE MAX CAN '!Z$4,'7. PGE_Efficacité'!$A$4:$BU$4,0)+31),0)</f>
        <v>0</v>
      </c>
      <c r="AA135" s="212">
        <f>VLOOKUP($E135,'7. PGE_Efficacité'!$A$6:$BT$266,(MATCH('4.6 ACE MAX CAN '!AA$4,'7. PGE_Efficacité'!$A$4:$BU$4,0)+31),0)</f>
        <v>0</v>
      </c>
      <c r="AB135" s="212">
        <f>VLOOKUP($E135,'7. PGE_Efficacité'!$A$6:$BT$266,(MATCH('4.6 ACE MAX CAN '!AB$4,'7. PGE_Efficacité'!$A$4:$BU$4,0)+31),0)</f>
        <v>0</v>
      </c>
      <c r="AC135" s="212">
        <f>VLOOKUP($E135,'7. PGE_Efficacité'!$A$6:$BT$266,(MATCH('4.6 ACE MAX CAN '!AC$4,'7. PGE_Efficacité'!$A$4:$BU$4,0)+31),0)</f>
        <v>0</v>
      </c>
      <c r="AD135" s="212">
        <f>VLOOKUP($E135,'7. PGE_Efficacité'!$A$6:$BT$266,(MATCH('4.6 ACE MAX CAN '!AD$4,'7. PGE_Efficacité'!$A$4:$BU$4,0)+31),0)</f>
        <v>0</v>
      </c>
      <c r="AE135" s="212">
        <f>VLOOKUP($E135,'7. PGE_Efficacité'!$A$6:$BT$266,(MATCH('4.6 ACE MAX CAN '!AE$4,'7. PGE_Efficacité'!$A$4:$BU$4,0)+31),0)</f>
        <v>0</v>
      </c>
      <c r="AF135" s="212">
        <f>VLOOKUP($E135,'7. PGE_Efficacité'!$A$6:$BT$266,(MATCH('4.6 ACE MAX CAN '!AF$4,'7. PGE_Efficacité'!$A$4:$BU$4,0)+31),0)</f>
        <v>0</v>
      </c>
      <c r="AG135" s="212">
        <f>VLOOKUP($E135,'7. PGE_Efficacité'!$A$6:$BT$266,(MATCH('4.6 ACE MAX CAN '!AG$4,'7. PGE_Efficacité'!$A$4:$BU$4,0)+31),0)</f>
        <v>0</v>
      </c>
      <c r="AH135" s="212">
        <f>VLOOKUP($E135,'7. PGE_Efficacité'!$A$6:$BT$266,(MATCH('4.6 ACE MAX CAN '!AH$4,'7. PGE_Efficacité'!$A$4:$BU$4,0)+31),0)</f>
        <v>0</v>
      </c>
      <c r="AI135" s="212">
        <f>VLOOKUP($E135,'7. PGE_Efficacité'!$A$6:$BT$266,(MATCH('4.6 ACE MAX CAN '!AI$4,'7. PGE_Efficacité'!$A$4:$BU$4,0)+31),0)</f>
        <v>0</v>
      </c>
      <c r="AJ135" s="212">
        <f>VLOOKUP($E135,'7. PGE_Efficacité'!$A$6:$BT$266,(MATCH('4.6 ACE MAX CAN '!AJ$4,'7. PGE_Efficacité'!$A$4:$BU$4,0)+31),0)</f>
        <v>0</v>
      </c>
      <c r="AK135" s="212">
        <f>VLOOKUP($E135,'7. PGE_Efficacité'!$A$6:$BT$266,(MATCH('4.6 ACE MAX CAN '!AK$4,'7. PGE_Efficacité'!$A$4:$BU$4,0)+31),0)</f>
        <v>0</v>
      </c>
      <c r="AL135" s="212">
        <f>VLOOKUP($E135,'7. PGE_Efficacité'!$A$6:$BT$266,(MATCH('4.6 ACE MAX CAN '!AL$4,'7. PGE_Efficacité'!$A$4:$BU$4,0)+31),0)</f>
        <v>0</v>
      </c>
      <c r="AM135" s="212">
        <f>VLOOKUP($E135,'7. PGE_Efficacité'!$A$6:$BT$266,(MATCH('4.6 ACE MAX CAN '!AM$4,'7. PGE_Efficacité'!$A$4:$BU$4,0)+31),0)</f>
        <v>0</v>
      </c>
      <c r="AN135" s="212">
        <f>VLOOKUP($E135,'7. PGE_Efficacité'!$A$6:$BT$266,(MATCH('4.6 ACE MAX CAN '!AN$4,'7. PGE_Efficacité'!$A$4:$BU$4,0)+31),0)</f>
        <v>0</v>
      </c>
    </row>
    <row r="136" spans="1:40" outlineLevel="2" x14ac:dyDescent="0.25">
      <c r="A136" t="s">
        <v>1524</v>
      </c>
      <c r="B136">
        <v>25</v>
      </c>
      <c r="C136" t="s">
        <v>1526</v>
      </c>
      <c r="D136" s="12" t="s">
        <v>26</v>
      </c>
      <c r="E136" s="12" t="s">
        <v>757</v>
      </c>
      <c r="F136" s="12" t="s">
        <v>1645</v>
      </c>
      <c r="G136" s="12" t="s">
        <v>1521</v>
      </c>
      <c r="H136" s="251" t="s">
        <v>1290</v>
      </c>
      <c r="I136" s="148"/>
      <c r="J136" s="212">
        <f>VLOOKUP($E136,'7. PGE_Efficacité'!$A$6:$BT$266,(MATCH('4.6 ACE MAX CAN '!J$4,'7. PGE_Efficacité'!$A$4:$BU$4,0)+31),0)</f>
        <v>0</v>
      </c>
      <c r="K136" s="212">
        <f>VLOOKUP($E136,'7. PGE_Efficacité'!$A$6:$BT$266,(MATCH('4.6 ACE MAX CAN '!K$4,'7. PGE_Efficacité'!$A$4:$BU$4,0)+31),0)</f>
        <v>0</v>
      </c>
      <c r="L136" s="212">
        <f>VLOOKUP($E136,'7. PGE_Efficacité'!$A$6:$BT$266,(MATCH('4.6 ACE MAX CAN '!L$4,'7. PGE_Efficacité'!$A$4:$BU$4,0)+31),0)</f>
        <v>0</v>
      </c>
      <c r="M136" s="212">
        <f>VLOOKUP($E136,'7. PGE_Efficacité'!$A$6:$BT$266,(MATCH('4.6 ACE MAX CAN '!M$4,'7. PGE_Efficacité'!$A$4:$BU$4,0)+31),0)</f>
        <v>0</v>
      </c>
      <c r="N136" s="212">
        <f>VLOOKUP($E136,'7. PGE_Efficacité'!$A$6:$BT$266,(MATCH('4.6 ACE MAX CAN '!N$4,'7. PGE_Efficacité'!$A$4:$BU$4,0)+31),0)</f>
        <v>0</v>
      </c>
      <c r="O136" s="212">
        <f>VLOOKUP($E136,'7. PGE_Efficacité'!$A$6:$BT$268,47,0)</f>
        <v>0</v>
      </c>
      <c r="P136" s="212">
        <f>VLOOKUP($E136,'7. PGE_Efficacité'!$A$6:$BT$266,(MATCH('4.6 ACE MAX CAN '!P$4,'7. PGE_Efficacité'!$A$4:$BU$4,0)+31),0)</f>
        <v>0</v>
      </c>
      <c r="Q136" s="212">
        <f>VLOOKUP($E136,'7. PGE_Efficacité'!$A$6:$BT$266,(MATCH('4.6 ACE MAX CAN '!Q$4,'7. PGE_Efficacité'!$A$4:$BU$4,0)+31),0)</f>
        <v>0</v>
      </c>
      <c r="R136" s="212">
        <f>VLOOKUP($E136,'7. PGE_Efficacité'!$A$6:$BT$266,(MATCH('4.6 ACE MAX CAN '!R$4,'7. PGE_Efficacité'!$A$4:$BU$4,0)+31),0)</f>
        <v>0</v>
      </c>
      <c r="S136" s="212">
        <f>VLOOKUP($E136,'7. PGE_Efficacité'!$A$6:$BT$266,(MATCH('4.6 ACE MAX CAN '!S$4,'7. PGE_Efficacité'!$A$4:$BU$4,0)+31),0)</f>
        <v>0</v>
      </c>
      <c r="T136" s="212">
        <f>VLOOKUP($E136,'7. PGE_Efficacité'!$A$6:$BT$266,(MATCH('4.6 ACE MAX CAN '!T$4,'7. PGE_Efficacité'!$A$4:$BU$4,0)+31),0)</f>
        <v>0</v>
      </c>
      <c r="U136" s="212">
        <f>VLOOKUP($E136,'7. PGE_Efficacité'!$A$6:$BT$266,(MATCH('4.6 ACE MAX CAN '!U$4,'7. PGE_Efficacité'!$A$4:$BU$4,0)+31),0)</f>
        <v>0</v>
      </c>
      <c r="V136" s="212">
        <f>VLOOKUP($E136,'7. PGE_Efficacité'!$A$6:$BT$266,(MATCH('4.6 ACE MAX CAN '!V$4,'7. PGE_Efficacité'!$A$4:$BU$4,0)+31),0)</f>
        <v>0</v>
      </c>
      <c r="W136" s="212">
        <f>VLOOKUP($E136,'7. PGE_Efficacité'!$A$6:$BT$266,(MATCH('4.6 ACE MAX CAN '!W$4,'7. PGE_Efficacité'!$A$4:$BU$4,0)+31),0)</f>
        <v>0</v>
      </c>
      <c r="X136" s="212">
        <f>VLOOKUP($E136,'7. PGE_Efficacité'!$A$6:$BT$266,(MATCH('4.6 ACE MAX CAN '!X$4,'7. PGE_Efficacité'!$A$4:$BU$4,0)+31),0)</f>
        <v>0</v>
      </c>
      <c r="Y136" s="212">
        <f>VLOOKUP($E136,'7. PGE_Efficacité'!$A$6:$BT$266,(MATCH('4.6 ACE MAX CAN '!Y$4,'7. PGE_Efficacité'!$A$4:$BU$4,0)+31),0)</f>
        <v>0</v>
      </c>
      <c r="Z136" s="212">
        <f>VLOOKUP($E136,'7. PGE_Efficacité'!$A$6:$BT$266,(MATCH('4.6 ACE MAX CAN '!Z$4,'7. PGE_Efficacité'!$A$4:$BU$4,0)+31),0)</f>
        <v>0</v>
      </c>
      <c r="AA136" s="212">
        <f>VLOOKUP($E136,'7. PGE_Efficacité'!$A$6:$BT$266,(MATCH('4.6 ACE MAX CAN '!AA$4,'7. PGE_Efficacité'!$A$4:$BU$4,0)+31),0)</f>
        <v>0</v>
      </c>
      <c r="AB136" s="212">
        <f>VLOOKUP($E136,'7. PGE_Efficacité'!$A$6:$BT$266,(MATCH('4.6 ACE MAX CAN '!AB$4,'7. PGE_Efficacité'!$A$4:$BU$4,0)+31),0)</f>
        <v>0</v>
      </c>
      <c r="AC136" s="212">
        <f>VLOOKUP($E136,'7. PGE_Efficacité'!$A$6:$BT$266,(MATCH('4.6 ACE MAX CAN '!AC$4,'7. PGE_Efficacité'!$A$4:$BU$4,0)+31),0)</f>
        <v>0</v>
      </c>
      <c r="AD136" s="212">
        <f>VLOOKUP($E136,'7. PGE_Efficacité'!$A$6:$BT$266,(MATCH('4.6 ACE MAX CAN '!AD$4,'7. PGE_Efficacité'!$A$4:$BU$4,0)+31),0)</f>
        <v>0</v>
      </c>
      <c r="AE136" s="212">
        <f>VLOOKUP($E136,'7. PGE_Efficacité'!$A$6:$BT$266,(MATCH('4.6 ACE MAX CAN '!AE$4,'7. PGE_Efficacité'!$A$4:$BU$4,0)+31),0)</f>
        <v>0</v>
      </c>
      <c r="AF136" s="212">
        <f>VLOOKUP($E136,'7. PGE_Efficacité'!$A$6:$BT$266,(MATCH('4.6 ACE MAX CAN '!AF$4,'7. PGE_Efficacité'!$A$4:$BU$4,0)+31),0)</f>
        <v>0</v>
      </c>
      <c r="AG136" s="212">
        <f>VLOOKUP($E136,'7. PGE_Efficacité'!$A$6:$BT$266,(MATCH('4.6 ACE MAX CAN '!AG$4,'7. PGE_Efficacité'!$A$4:$BU$4,0)+31),0)</f>
        <v>0</v>
      </c>
      <c r="AH136" s="212">
        <f>VLOOKUP($E136,'7. PGE_Efficacité'!$A$6:$BT$266,(MATCH('4.6 ACE MAX CAN '!AH$4,'7. PGE_Efficacité'!$A$4:$BU$4,0)+31),0)</f>
        <v>0</v>
      </c>
      <c r="AI136" s="212">
        <f>VLOOKUP($E136,'7. PGE_Efficacité'!$A$6:$BT$266,(MATCH('4.6 ACE MAX CAN '!AI$4,'7. PGE_Efficacité'!$A$4:$BU$4,0)+31),0)</f>
        <v>0</v>
      </c>
      <c r="AJ136" s="212">
        <f>VLOOKUP($E136,'7. PGE_Efficacité'!$A$6:$BT$266,(MATCH('4.6 ACE MAX CAN '!AJ$4,'7. PGE_Efficacité'!$A$4:$BU$4,0)+31),0)</f>
        <v>0</v>
      </c>
      <c r="AK136" s="212">
        <f>VLOOKUP($E136,'7. PGE_Efficacité'!$A$6:$BT$266,(MATCH('4.6 ACE MAX CAN '!AK$4,'7. PGE_Efficacité'!$A$4:$BU$4,0)+31),0)</f>
        <v>0</v>
      </c>
      <c r="AL136" s="212">
        <f>VLOOKUP($E136,'7. PGE_Efficacité'!$A$6:$BT$266,(MATCH('4.6 ACE MAX CAN '!AL$4,'7. PGE_Efficacité'!$A$4:$BU$4,0)+31),0)</f>
        <v>0</v>
      </c>
      <c r="AM136" s="212">
        <f>VLOOKUP($E136,'7. PGE_Efficacité'!$A$6:$BT$266,(MATCH('4.6 ACE MAX CAN '!AM$4,'7. PGE_Efficacité'!$A$4:$BU$4,0)+31),0)</f>
        <v>0</v>
      </c>
      <c r="AN136" s="212">
        <f>VLOOKUP($E136,'7. PGE_Efficacité'!$A$6:$BT$266,(MATCH('4.6 ACE MAX CAN '!AN$4,'7. PGE_Efficacité'!$A$4:$BU$4,0)+31),0)</f>
        <v>0</v>
      </c>
    </row>
    <row r="137" spans="1:40" outlineLevel="2" x14ac:dyDescent="0.25">
      <c r="A137" t="s">
        <v>1524</v>
      </c>
      <c r="B137">
        <v>25</v>
      </c>
      <c r="C137" t="s">
        <v>1527</v>
      </c>
      <c r="D137" s="12" t="s">
        <v>26</v>
      </c>
      <c r="E137" s="12" t="s">
        <v>758</v>
      </c>
      <c r="F137" s="12" t="s">
        <v>1646</v>
      </c>
      <c r="G137" s="12" t="s">
        <v>1521</v>
      </c>
      <c r="H137" s="251" t="s">
        <v>1290</v>
      </c>
      <c r="I137" s="148"/>
      <c r="J137" s="212">
        <f>VLOOKUP($E137,'7. PGE_Efficacité'!$A$6:$BT$266,(MATCH('4.6 ACE MAX CAN '!J$4,'7. PGE_Efficacité'!$A$4:$BU$4,0)+31),0)</f>
        <v>0</v>
      </c>
      <c r="K137" s="212">
        <f>VLOOKUP($E137,'7. PGE_Efficacité'!$A$6:$BT$266,(MATCH('4.6 ACE MAX CAN '!K$4,'7. PGE_Efficacité'!$A$4:$BU$4,0)+31),0)</f>
        <v>0</v>
      </c>
      <c r="L137" s="212">
        <f>VLOOKUP($E137,'7. PGE_Efficacité'!$A$6:$BT$266,(MATCH('4.6 ACE MAX CAN '!L$4,'7. PGE_Efficacité'!$A$4:$BU$4,0)+31),0)</f>
        <v>0</v>
      </c>
      <c r="M137" s="212">
        <f>VLOOKUP($E137,'7. PGE_Efficacité'!$A$6:$BT$266,(MATCH('4.6 ACE MAX CAN '!M$4,'7. PGE_Efficacité'!$A$4:$BU$4,0)+31),0)</f>
        <v>0</v>
      </c>
      <c r="N137" s="212">
        <f>VLOOKUP($E137,'7. PGE_Efficacité'!$A$6:$BT$266,(MATCH('4.6 ACE MAX CAN '!N$4,'7. PGE_Efficacité'!$A$4:$BU$4,0)+31),0)</f>
        <v>0</v>
      </c>
      <c r="O137" s="212">
        <f>VLOOKUP($E137,'7. PGE_Efficacité'!$A$6:$BT$268,47,0)</f>
        <v>0</v>
      </c>
      <c r="P137" s="212">
        <f>VLOOKUP($E137,'7. PGE_Efficacité'!$A$6:$BT$266,(MATCH('4.6 ACE MAX CAN '!P$4,'7. PGE_Efficacité'!$A$4:$BU$4,0)+31),0)</f>
        <v>0</v>
      </c>
      <c r="Q137" s="212">
        <f>VLOOKUP($E137,'7. PGE_Efficacité'!$A$6:$BT$266,(MATCH('4.6 ACE MAX CAN '!Q$4,'7. PGE_Efficacité'!$A$4:$BU$4,0)+31),0)</f>
        <v>0</v>
      </c>
      <c r="R137" s="212">
        <f>VLOOKUP($E137,'7. PGE_Efficacité'!$A$6:$BT$266,(MATCH('4.6 ACE MAX CAN '!R$4,'7. PGE_Efficacité'!$A$4:$BU$4,0)+31),0)</f>
        <v>0</v>
      </c>
      <c r="S137" s="212">
        <f>VLOOKUP($E137,'7. PGE_Efficacité'!$A$6:$BT$266,(MATCH('4.6 ACE MAX CAN '!S$4,'7. PGE_Efficacité'!$A$4:$BU$4,0)+31),0)</f>
        <v>0</v>
      </c>
      <c r="T137" s="212">
        <f>VLOOKUP($E137,'7. PGE_Efficacité'!$A$6:$BT$266,(MATCH('4.6 ACE MAX CAN '!T$4,'7. PGE_Efficacité'!$A$4:$BU$4,0)+31),0)</f>
        <v>0</v>
      </c>
      <c r="U137" s="212">
        <f>VLOOKUP($E137,'7. PGE_Efficacité'!$A$6:$BT$266,(MATCH('4.6 ACE MAX CAN '!U$4,'7. PGE_Efficacité'!$A$4:$BU$4,0)+31),0)</f>
        <v>0</v>
      </c>
      <c r="V137" s="212">
        <f>VLOOKUP($E137,'7. PGE_Efficacité'!$A$6:$BT$266,(MATCH('4.6 ACE MAX CAN '!V$4,'7. PGE_Efficacité'!$A$4:$BU$4,0)+31),0)</f>
        <v>0</v>
      </c>
      <c r="W137" s="212">
        <f>VLOOKUP($E137,'7. PGE_Efficacité'!$A$6:$BT$266,(MATCH('4.6 ACE MAX CAN '!W$4,'7. PGE_Efficacité'!$A$4:$BU$4,0)+31),0)</f>
        <v>0</v>
      </c>
      <c r="X137" s="212">
        <f>VLOOKUP($E137,'7. PGE_Efficacité'!$A$6:$BT$266,(MATCH('4.6 ACE MAX CAN '!X$4,'7. PGE_Efficacité'!$A$4:$BU$4,0)+31),0)</f>
        <v>0</v>
      </c>
      <c r="Y137" s="212">
        <f>VLOOKUP($E137,'7. PGE_Efficacité'!$A$6:$BT$266,(MATCH('4.6 ACE MAX CAN '!Y$4,'7. PGE_Efficacité'!$A$4:$BU$4,0)+31),0)</f>
        <v>0</v>
      </c>
      <c r="Z137" s="212">
        <f>VLOOKUP($E137,'7. PGE_Efficacité'!$A$6:$BT$266,(MATCH('4.6 ACE MAX CAN '!Z$4,'7. PGE_Efficacité'!$A$4:$BU$4,0)+31),0)</f>
        <v>0</v>
      </c>
      <c r="AA137" s="212">
        <f>VLOOKUP($E137,'7. PGE_Efficacité'!$A$6:$BT$266,(MATCH('4.6 ACE MAX CAN '!AA$4,'7. PGE_Efficacité'!$A$4:$BU$4,0)+31),0)</f>
        <v>0</v>
      </c>
      <c r="AB137" s="212">
        <f>VLOOKUP($E137,'7. PGE_Efficacité'!$A$6:$BT$266,(MATCH('4.6 ACE MAX CAN '!AB$4,'7. PGE_Efficacité'!$A$4:$BU$4,0)+31),0)</f>
        <v>0</v>
      </c>
      <c r="AC137" s="212">
        <f>VLOOKUP($E137,'7. PGE_Efficacité'!$A$6:$BT$266,(MATCH('4.6 ACE MAX CAN '!AC$4,'7. PGE_Efficacité'!$A$4:$BU$4,0)+31),0)</f>
        <v>0</v>
      </c>
      <c r="AD137" s="212">
        <f>VLOOKUP($E137,'7. PGE_Efficacité'!$A$6:$BT$266,(MATCH('4.6 ACE MAX CAN '!AD$4,'7. PGE_Efficacité'!$A$4:$BU$4,0)+31),0)</f>
        <v>0</v>
      </c>
      <c r="AE137" s="212">
        <f>VLOOKUP($E137,'7. PGE_Efficacité'!$A$6:$BT$266,(MATCH('4.6 ACE MAX CAN '!AE$4,'7. PGE_Efficacité'!$A$4:$BU$4,0)+31),0)</f>
        <v>0</v>
      </c>
      <c r="AF137" s="212">
        <f>VLOOKUP($E137,'7. PGE_Efficacité'!$A$6:$BT$266,(MATCH('4.6 ACE MAX CAN '!AF$4,'7. PGE_Efficacité'!$A$4:$BU$4,0)+31),0)</f>
        <v>0</v>
      </c>
      <c r="AG137" s="212">
        <f>VLOOKUP($E137,'7. PGE_Efficacité'!$A$6:$BT$266,(MATCH('4.6 ACE MAX CAN '!AG$4,'7. PGE_Efficacité'!$A$4:$BU$4,0)+31),0)</f>
        <v>0</v>
      </c>
      <c r="AH137" s="212">
        <f>VLOOKUP($E137,'7. PGE_Efficacité'!$A$6:$BT$266,(MATCH('4.6 ACE MAX CAN '!AH$4,'7. PGE_Efficacité'!$A$4:$BU$4,0)+31),0)</f>
        <v>0</v>
      </c>
      <c r="AI137" s="212">
        <f>VLOOKUP($E137,'7. PGE_Efficacité'!$A$6:$BT$266,(MATCH('4.6 ACE MAX CAN '!AI$4,'7. PGE_Efficacité'!$A$4:$BU$4,0)+31),0)</f>
        <v>0</v>
      </c>
      <c r="AJ137" s="212">
        <f>VLOOKUP($E137,'7. PGE_Efficacité'!$A$6:$BT$266,(MATCH('4.6 ACE MAX CAN '!AJ$4,'7. PGE_Efficacité'!$A$4:$BU$4,0)+31),0)</f>
        <v>0</v>
      </c>
      <c r="AK137" s="212">
        <f>VLOOKUP($E137,'7. PGE_Efficacité'!$A$6:$BT$266,(MATCH('4.6 ACE MAX CAN '!AK$4,'7. PGE_Efficacité'!$A$4:$BU$4,0)+31),0)</f>
        <v>0</v>
      </c>
      <c r="AL137" s="212">
        <f>VLOOKUP($E137,'7. PGE_Efficacité'!$A$6:$BT$266,(MATCH('4.6 ACE MAX CAN '!AL$4,'7. PGE_Efficacité'!$A$4:$BU$4,0)+31),0)</f>
        <v>0</v>
      </c>
      <c r="AM137" s="212">
        <f>VLOOKUP($E137,'7. PGE_Efficacité'!$A$6:$BT$266,(MATCH('4.6 ACE MAX CAN '!AM$4,'7. PGE_Efficacité'!$A$4:$BU$4,0)+31),0)</f>
        <v>0</v>
      </c>
      <c r="AN137" s="212">
        <f>VLOOKUP($E137,'7. PGE_Efficacité'!$A$6:$BT$266,(MATCH('4.6 ACE MAX CAN '!AN$4,'7. PGE_Efficacité'!$A$4:$BU$4,0)+31),0)</f>
        <v>0</v>
      </c>
    </row>
    <row r="138" spans="1:40" outlineLevel="2" x14ac:dyDescent="0.25">
      <c r="A138" t="s">
        <v>1524</v>
      </c>
      <c r="B138">
        <v>25</v>
      </c>
      <c r="C138" t="s">
        <v>410</v>
      </c>
      <c r="D138" s="12" t="s">
        <v>26</v>
      </c>
      <c r="E138" s="12" t="s">
        <v>759</v>
      </c>
      <c r="F138" s="12" t="s">
        <v>1647</v>
      </c>
      <c r="G138" s="12" t="s">
        <v>1521</v>
      </c>
      <c r="H138" s="251" t="s">
        <v>1290</v>
      </c>
      <c r="I138" s="148"/>
      <c r="J138" s="212">
        <f>VLOOKUP($E138,'7. PGE_Efficacité'!$A$6:$BT$266,(MATCH('4.6 ACE MAX CAN '!J$4,'7. PGE_Efficacité'!$A$4:$BU$4,0)+31),0)</f>
        <v>0</v>
      </c>
      <c r="K138" s="212">
        <f>VLOOKUP($E138,'7. PGE_Efficacité'!$A$6:$BT$266,(MATCH('4.6 ACE MAX CAN '!K$4,'7. PGE_Efficacité'!$A$4:$BU$4,0)+31),0)</f>
        <v>0</v>
      </c>
      <c r="L138" s="212">
        <f>VLOOKUP($E138,'7. PGE_Efficacité'!$A$6:$BT$266,(MATCH('4.6 ACE MAX CAN '!L$4,'7. PGE_Efficacité'!$A$4:$BU$4,0)+31),0)</f>
        <v>0</v>
      </c>
      <c r="M138" s="212">
        <f>VLOOKUP($E138,'7. PGE_Efficacité'!$A$6:$BT$266,(MATCH('4.6 ACE MAX CAN '!M$4,'7. PGE_Efficacité'!$A$4:$BU$4,0)+31),0)</f>
        <v>0</v>
      </c>
      <c r="N138" s="212">
        <f>VLOOKUP($E138,'7. PGE_Efficacité'!$A$6:$BT$266,(MATCH('4.6 ACE MAX CAN '!N$4,'7. PGE_Efficacité'!$A$4:$BU$4,0)+31),0)</f>
        <v>0</v>
      </c>
      <c r="O138" s="212">
        <f>VLOOKUP($E138,'7. PGE_Efficacité'!$A$6:$BT$268,47,0)</f>
        <v>0</v>
      </c>
      <c r="P138" s="212">
        <f>VLOOKUP($E138,'7. PGE_Efficacité'!$A$6:$BT$266,(MATCH('4.6 ACE MAX CAN '!P$4,'7. PGE_Efficacité'!$A$4:$BU$4,0)+31),0)</f>
        <v>0</v>
      </c>
      <c r="Q138" s="212">
        <f>VLOOKUP($E138,'7. PGE_Efficacité'!$A$6:$BT$266,(MATCH('4.6 ACE MAX CAN '!Q$4,'7. PGE_Efficacité'!$A$4:$BU$4,0)+31),0)</f>
        <v>0</v>
      </c>
      <c r="R138" s="212">
        <f>VLOOKUP($E138,'7. PGE_Efficacité'!$A$6:$BT$266,(MATCH('4.6 ACE MAX CAN '!R$4,'7. PGE_Efficacité'!$A$4:$BU$4,0)+31),0)</f>
        <v>0</v>
      </c>
      <c r="S138" s="212">
        <f>VLOOKUP($E138,'7. PGE_Efficacité'!$A$6:$BT$266,(MATCH('4.6 ACE MAX CAN '!S$4,'7. PGE_Efficacité'!$A$4:$BU$4,0)+31),0)</f>
        <v>0</v>
      </c>
      <c r="T138" s="212">
        <f>VLOOKUP($E138,'7. PGE_Efficacité'!$A$6:$BT$266,(MATCH('4.6 ACE MAX CAN '!T$4,'7. PGE_Efficacité'!$A$4:$BU$4,0)+31),0)</f>
        <v>0</v>
      </c>
      <c r="U138" s="212">
        <f>VLOOKUP($E138,'7. PGE_Efficacité'!$A$6:$BT$266,(MATCH('4.6 ACE MAX CAN '!U$4,'7. PGE_Efficacité'!$A$4:$BU$4,0)+31),0)</f>
        <v>0</v>
      </c>
      <c r="V138" s="212">
        <f>VLOOKUP($E138,'7. PGE_Efficacité'!$A$6:$BT$266,(MATCH('4.6 ACE MAX CAN '!V$4,'7. PGE_Efficacité'!$A$4:$BU$4,0)+31),0)</f>
        <v>0</v>
      </c>
      <c r="W138" s="212">
        <f>VLOOKUP($E138,'7. PGE_Efficacité'!$A$6:$BT$266,(MATCH('4.6 ACE MAX CAN '!W$4,'7. PGE_Efficacité'!$A$4:$BU$4,0)+31),0)</f>
        <v>0</v>
      </c>
      <c r="X138" s="212">
        <f>VLOOKUP($E138,'7. PGE_Efficacité'!$A$6:$BT$266,(MATCH('4.6 ACE MAX CAN '!X$4,'7. PGE_Efficacité'!$A$4:$BU$4,0)+31),0)</f>
        <v>0</v>
      </c>
      <c r="Y138" s="212">
        <f>VLOOKUP($E138,'7. PGE_Efficacité'!$A$6:$BT$266,(MATCH('4.6 ACE MAX CAN '!Y$4,'7. PGE_Efficacité'!$A$4:$BU$4,0)+31),0)</f>
        <v>0</v>
      </c>
      <c r="Z138" s="212">
        <f>VLOOKUP($E138,'7. PGE_Efficacité'!$A$6:$BT$266,(MATCH('4.6 ACE MAX CAN '!Z$4,'7. PGE_Efficacité'!$A$4:$BU$4,0)+31),0)</f>
        <v>0</v>
      </c>
      <c r="AA138" s="212">
        <f>VLOOKUP($E138,'7. PGE_Efficacité'!$A$6:$BT$266,(MATCH('4.6 ACE MAX CAN '!AA$4,'7. PGE_Efficacité'!$A$4:$BU$4,0)+31),0)</f>
        <v>0</v>
      </c>
      <c r="AB138" s="212">
        <f>VLOOKUP($E138,'7. PGE_Efficacité'!$A$6:$BT$266,(MATCH('4.6 ACE MAX CAN '!AB$4,'7. PGE_Efficacité'!$A$4:$BU$4,0)+31),0)</f>
        <v>0</v>
      </c>
      <c r="AC138" s="212">
        <f>VLOOKUP($E138,'7. PGE_Efficacité'!$A$6:$BT$266,(MATCH('4.6 ACE MAX CAN '!AC$4,'7. PGE_Efficacité'!$A$4:$BU$4,0)+31),0)</f>
        <v>0</v>
      </c>
      <c r="AD138" s="212">
        <f>VLOOKUP($E138,'7. PGE_Efficacité'!$A$6:$BT$266,(MATCH('4.6 ACE MAX CAN '!AD$4,'7. PGE_Efficacité'!$A$4:$BU$4,0)+31),0)</f>
        <v>0</v>
      </c>
      <c r="AE138" s="212">
        <f>VLOOKUP($E138,'7. PGE_Efficacité'!$A$6:$BT$266,(MATCH('4.6 ACE MAX CAN '!AE$4,'7. PGE_Efficacité'!$A$4:$BU$4,0)+31),0)</f>
        <v>0</v>
      </c>
      <c r="AF138" s="212">
        <f>VLOOKUP($E138,'7. PGE_Efficacité'!$A$6:$BT$266,(MATCH('4.6 ACE MAX CAN '!AF$4,'7. PGE_Efficacité'!$A$4:$BU$4,0)+31),0)</f>
        <v>0</v>
      </c>
      <c r="AG138" s="212">
        <f>VLOOKUP($E138,'7. PGE_Efficacité'!$A$6:$BT$266,(MATCH('4.6 ACE MAX CAN '!AG$4,'7. PGE_Efficacité'!$A$4:$BU$4,0)+31),0)</f>
        <v>0</v>
      </c>
      <c r="AH138" s="212">
        <f>VLOOKUP($E138,'7. PGE_Efficacité'!$A$6:$BT$266,(MATCH('4.6 ACE MAX CAN '!AH$4,'7. PGE_Efficacité'!$A$4:$BU$4,0)+31),0)</f>
        <v>0</v>
      </c>
      <c r="AI138" s="212">
        <f>VLOOKUP($E138,'7. PGE_Efficacité'!$A$6:$BT$266,(MATCH('4.6 ACE MAX CAN '!AI$4,'7. PGE_Efficacité'!$A$4:$BU$4,0)+31),0)</f>
        <v>0</v>
      </c>
      <c r="AJ138" s="212">
        <f>VLOOKUP($E138,'7. PGE_Efficacité'!$A$6:$BT$266,(MATCH('4.6 ACE MAX CAN '!AJ$4,'7. PGE_Efficacité'!$A$4:$BU$4,0)+31),0)</f>
        <v>0</v>
      </c>
      <c r="AK138" s="212">
        <f>VLOOKUP($E138,'7. PGE_Efficacité'!$A$6:$BT$266,(MATCH('4.6 ACE MAX CAN '!AK$4,'7. PGE_Efficacité'!$A$4:$BU$4,0)+31),0)</f>
        <v>0</v>
      </c>
      <c r="AL138" s="212">
        <f>VLOOKUP($E138,'7. PGE_Efficacité'!$A$6:$BT$266,(MATCH('4.6 ACE MAX CAN '!AL$4,'7. PGE_Efficacité'!$A$4:$BU$4,0)+31),0)</f>
        <v>0</v>
      </c>
      <c r="AM138" s="212">
        <f>VLOOKUP($E138,'7. PGE_Efficacité'!$A$6:$BT$266,(MATCH('4.6 ACE MAX CAN '!AM$4,'7. PGE_Efficacité'!$A$4:$BU$4,0)+31),0)</f>
        <v>0</v>
      </c>
      <c r="AN138" s="212">
        <f>VLOOKUP($E138,'7. PGE_Efficacité'!$A$6:$BT$266,(MATCH('4.6 ACE MAX CAN '!AN$4,'7. PGE_Efficacité'!$A$4:$BU$4,0)+31),0)</f>
        <v>0</v>
      </c>
    </row>
    <row r="139" spans="1:40" outlineLevel="2" x14ac:dyDescent="0.25">
      <c r="D139" s="12" t="s">
        <v>26</v>
      </c>
      <c r="E139" s="12" t="s">
        <v>760</v>
      </c>
      <c r="F139" s="12" t="s">
        <v>1648</v>
      </c>
      <c r="G139" s="12" t="s">
        <v>1521</v>
      </c>
      <c r="H139" s="251" t="s">
        <v>1290</v>
      </c>
      <c r="I139" s="148"/>
      <c r="J139" s="212">
        <f>VLOOKUP($E139,'7. PGE_Efficacité'!$A$6:$BT$266,(MATCH('4.6 ACE MAX CAN '!J$4,'7. PGE_Efficacité'!$A$4:$BU$4,0)+31),0)</f>
        <v>0</v>
      </c>
      <c r="K139" s="212">
        <f>VLOOKUP($E139,'7. PGE_Efficacité'!$A$6:$BT$266,(MATCH('4.6 ACE MAX CAN '!K$4,'7. PGE_Efficacité'!$A$4:$BU$4,0)+31),0)</f>
        <v>0</v>
      </c>
      <c r="L139" s="212">
        <f>VLOOKUP($E139,'7. PGE_Efficacité'!$A$6:$BT$266,(MATCH('4.6 ACE MAX CAN '!L$4,'7. PGE_Efficacité'!$A$4:$BU$4,0)+31),0)</f>
        <v>0</v>
      </c>
      <c r="M139" s="212">
        <f>VLOOKUP($E139,'7. PGE_Efficacité'!$A$6:$BT$266,(MATCH('4.6 ACE MAX CAN '!M$4,'7. PGE_Efficacité'!$A$4:$BU$4,0)+31),0)</f>
        <v>0</v>
      </c>
      <c r="N139" s="212">
        <f>VLOOKUP($E139,'7. PGE_Efficacité'!$A$6:$BT$266,(MATCH('4.6 ACE MAX CAN '!N$4,'7. PGE_Efficacité'!$A$4:$BU$4,0)+31),0)</f>
        <v>0</v>
      </c>
      <c r="O139" s="212">
        <f>VLOOKUP($E139,'7. PGE_Efficacité'!$A$6:$BT$268,47,0)</f>
        <v>0</v>
      </c>
      <c r="P139" s="212">
        <f>VLOOKUP($E139,'7. PGE_Efficacité'!$A$6:$BT$266,(MATCH('4.6 ACE MAX CAN '!P$4,'7. PGE_Efficacité'!$A$4:$BU$4,0)+31),0)</f>
        <v>0</v>
      </c>
      <c r="Q139" s="212">
        <f>VLOOKUP($E139,'7. PGE_Efficacité'!$A$6:$BT$266,(MATCH('4.6 ACE MAX CAN '!Q$4,'7. PGE_Efficacité'!$A$4:$BU$4,0)+31),0)</f>
        <v>0</v>
      </c>
      <c r="R139" s="212">
        <f>VLOOKUP($E139,'7. PGE_Efficacité'!$A$6:$BT$266,(MATCH('4.6 ACE MAX CAN '!R$4,'7. PGE_Efficacité'!$A$4:$BU$4,0)+31),0)</f>
        <v>0</v>
      </c>
      <c r="S139" s="212">
        <f>VLOOKUP($E139,'7. PGE_Efficacité'!$A$6:$BT$266,(MATCH('4.6 ACE MAX CAN '!S$4,'7. PGE_Efficacité'!$A$4:$BU$4,0)+31),0)</f>
        <v>0</v>
      </c>
      <c r="T139" s="212">
        <f>VLOOKUP($E139,'7. PGE_Efficacité'!$A$6:$BT$266,(MATCH('4.6 ACE MAX CAN '!T$4,'7. PGE_Efficacité'!$A$4:$BU$4,0)+31),0)</f>
        <v>0</v>
      </c>
      <c r="U139" s="212">
        <f>VLOOKUP($E139,'7. PGE_Efficacité'!$A$6:$BT$266,(MATCH('4.6 ACE MAX CAN '!U$4,'7. PGE_Efficacité'!$A$4:$BU$4,0)+31),0)</f>
        <v>0</v>
      </c>
      <c r="V139" s="212">
        <f>VLOOKUP($E139,'7. PGE_Efficacité'!$A$6:$BT$266,(MATCH('4.6 ACE MAX CAN '!V$4,'7. PGE_Efficacité'!$A$4:$BU$4,0)+31),0)</f>
        <v>0</v>
      </c>
      <c r="W139" s="212">
        <f>VLOOKUP($E139,'7. PGE_Efficacité'!$A$6:$BT$266,(MATCH('4.6 ACE MAX CAN '!W$4,'7. PGE_Efficacité'!$A$4:$BU$4,0)+31),0)</f>
        <v>0</v>
      </c>
      <c r="X139" s="212">
        <f>VLOOKUP($E139,'7. PGE_Efficacité'!$A$6:$BT$266,(MATCH('4.6 ACE MAX CAN '!X$4,'7. PGE_Efficacité'!$A$4:$BU$4,0)+31),0)</f>
        <v>0</v>
      </c>
      <c r="Y139" s="212">
        <f>VLOOKUP($E139,'7. PGE_Efficacité'!$A$6:$BT$266,(MATCH('4.6 ACE MAX CAN '!Y$4,'7. PGE_Efficacité'!$A$4:$BU$4,0)+31),0)</f>
        <v>0</v>
      </c>
      <c r="Z139" s="212">
        <f>VLOOKUP($E139,'7. PGE_Efficacité'!$A$6:$BT$266,(MATCH('4.6 ACE MAX CAN '!Z$4,'7. PGE_Efficacité'!$A$4:$BU$4,0)+31),0)</f>
        <v>0</v>
      </c>
      <c r="AA139" s="212">
        <f>VLOOKUP($E139,'7. PGE_Efficacité'!$A$6:$BT$266,(MATCH('4.6 ACE MAX CAN '!AA$4,'7. PGE_Efficacité'!$A$4:$BU$4,0)+31),0)</f>
        <v>0</v>
      </c>
      <c r="AB139" s="212">
        <f>VLOOKUP($E139,'7. PGE_Efficacité'!$A$6:$BT$266,(MATCH('4.6 ACE MAX CAN '!AB$4,'7. PGE_Efficacité'!$A$4:$BU$4,0)+31),0)</f>
        <v>0</v>
      </c>
      <c r="AC139" s="212">
        <f>VLOOKUP($E139,'7. PGE_Efficacité'!$A$6:$BT$266,(MATCH('4.6 ACE MAX CAN '!AC$4,'7. PGE_Efficacité'!$A$4:$BU$4,0)+31),0)</f>
        <v>0</v>
      </c>
      <c r="AD139" s="212">
        <f>VLOOKUP($E139,'7. PGE_Efficacité'!$A$6:$BT$266,(MATCH('4.6 ACE MAX CAN '!AD$4,'7. PGE_Efficacité'!$A$4:$BU$4,0)+31),0)</f>
        <v>0</v>
      </c>
      <c r="AE139" s="212">
        <f>VLOOKUP($E139,'7. PGE_Efficacité'!$A$6:$BT$266,(MATCH('4.6 ACE MAX CAN '!AE$4,'7. PGE_Efficacité'!$A$4:$BU$4,0)+31),0)</f>
        <v>0</v>
      </c>
      <c r="AF139" s="212">
        <f>VLOOKUP($E139,'7. PGE_Efficacité'!$A$6:$BT$266,(MATCH('4.6 ACE MAX CAN '!AF$4,'7. PGE_Efficacité'!$A$4:$BU$4,0)+31),0)</f>
        <v>0</v>
      </c>
      <c r="AG139" s="212">
        <f>VLOOKUP($E139,'7. PGE_Efficacité'!$A$6:$BT$266,(MATCH('4.6 ACE MAX CAN '!AG$4,'7. PGE_Efficacité'!$A$4:$BU$4,0)+31),0)</f>
        <v>0</v>
      </c>
      <c r="AH139" s="212">
        <f>VLOOKUP($E139,'7. PGE_Efficacité'!$A$6:$BT$266,(MATCH('4.6 ACE MAX CAN '!AH$4,'7. PGE_Efficacité'!$A$4:$BU$4,0)+31),0)</f>
        <v>0</v>
      </c>
      <c r="AI139" s="212">
        <f>VLOOKUP($E139,'7. PGE_Efficacité'!$A$6:$BT$266,(MATCH('4.6 ACE MAX CAN '!AI$4,'7. PGE_Efficacité'!$A$4:$BU$4,0)+31),0)</f>
        <v>0</v>
      </c>
      <c r="AJ139" s="212">
        <f>VLOOKUP($E139,'7. PGE_Efficacité'!$A$6:$BT$266,(MATCH('4.6 ACE MAX CAN '!AJ$4,'7. PGE_Efficacité'!$A$4:$BU$4,0)+31),0)</f>
        <v>0</v>
      </c>
      <c r="AK139" s="212">
        <f>VLOOKUP($E139,'7. PGE_Efficacité'!$A$6:$BT$266,(MATCH('4.6 ACE MAX CAN '!AK$4,'7. PGE_Efficacité'!$A$4:$BU$4,0)+31),0)</f>
        <v>0</v>
      </c>
      <c r="AL139" s="212">
        <f>VLOOKUP($E139,'7. PGE_Efficacité'!$A$6:$BT$266,(MATCH('4.6 ACE MAX CAN '!AL$4,'7. PGE_Efficacité'!$A$4:$BU$4,0)+31),0)</f>
        <v>0</v>
      </c>
      <c r="AM139" s="212">
        <f>VLOOKUP($E139,'7. PGE_Efficacité'!$A$6:$BT$266,(MATCH('4.6 ACE MAX CAN '!AM$4,'7. PGE_Efficacité'!$A$4:$BU$4,0)+31),0)</f>
        <v>0</v>
      </c>
      <c r="AN139" s="212">
        <f>VLOOKUP($E139,'7. PGE_Efficacité'!$A$6:$BT$266,(MATCH('4.6 ACE MAX CAN '!AN$4,'7. PGE_Efficacité'!$A$4:$BU$4,0)+31),0)</f>
        <v>0</v>
      </c>
    </row>
    <row r="140" spans="1:40" outlineLevel="2" x14ac:dyDescent="0.25">
      <c r="D140" s="12" t="s">
        <v>26</v>
      </c>
      <c r="E140" s="12" t="s">
        <v>761</v>
      </c>
      <c r="F140" s="12" t="s">
        <v>1649</v>
      </c>
      <c r="G140" s="12" t="s">
        <v>1521</v>
      </c>
      <c r="H140" s="251" t="s">
        <v>1290</v>
      </c>
      <c r="I140" s="148"/>
      <c r="J140" s="212">
        <f>VLOOKUP($E140,'7. PGE_Efficacité'!$A$6:$BT$266,(MATCH('4.6 ACE MAX CAN '!J$4,'7. PGE_Efficacité'!$A$4:$BU$4,0)+31),0)</f>
        <v>0</v>
      </c>
      <c r="K140" s="212">
        <f>VLOOKUP($E140,'7. PGE_Efficacité'!$A$6:$BT$266,(MATCH('4.6 ACE MAX CAN '!K$4,'7. PGE_Efficacité'!$A$4:$BU$4,0)+31),0)</f>
        <v>0</v>
      </c>
      <c r="L140" s="212">
        <f>VLOOKUP($E140,'7. PGE_Efficacité'!$A$6:$BT$266,(MATCH('4.6 ACE MAX CAN '!L$4,'7. PGE_Efficacité'!$A$4:$BU$4,0)+31),0)</f>
        <v>0</v>
      </c>
      <c r="M140" s="212">
        <f>VLOOKUP($E140,'7. PGE_Efficacité'!$A$6:$BT$266,(MATCH('4.6 ACE MAX CAN '!M$4,'7. PGE_Efficacité'!$A$4:$BU$4,0)+31),0)</f>
        <v>0</v>
      </c>
      <c r="N140" s="212">
        <f>VLOOKUP($E140,'7. PGE_Efficacité'!$A$6:$BT$266,(MATCH('4.6 ACE MAX CAN '!N$4,'7. PGE_Efficacité'!$A$4:$BU$4,0)+31),0)</f>
        <v>0</v>
      </c>
      <c r="O140" s="212">
        <f>VLOOKUP($E140,'7. PGE_Efficacité'!$A$6:$BT$268,47,0)</f>
        <v>0</v>
      </c>
      <c r="P140" s="212">
        <f>VLOOKUP($E140,'7. PGE_Efficacité'!$A$6:$BT$266,(MATCH('4.6 ACE MAX CAN '!P$4,'7. PGE_Efficacité'!$A$4:$BU$4,0)+31),0)</f>
        <v>0</v>
      </c>
      <c r="Q140" s="212">
        <f>VLOOKUP($E140,'7. PGE_Efficacité'!$A$6:$BT$266,(MATCH('4.6 ACE MAX CAN '!Q$4,'7. PGE_Efficacité'!$A$4:$BU$4,0)+31),0)</f>
        <v>0</v>
      </c>
      <c r="R140" s="212">
        <f>VLOOKUP($E140,'7. PGE_Efficacité'!$A$6:$BT$266,(MATCH('4.6 ACE MAX CAN '!R$4,'7. PGE_Efficacité'!$A$4:$BU$4,0)+31),0)</f>
        <v>0</v>
      </c>
      <c r="S140" s="212">
        <f>VLOOKUP($E140,'7. PGE_Efficacité'!$A$6:$BT$266,(MATCH('4.6 ACE MAX CAN '!S$4,'7. PGE_Efficacité'!$A$4:$BU$4,0)+31),0)</f>
        <v>0</v>
      </c>
      <c r="T140" s="212">
        <f>VLOOKUP($E140,'7. PGE_Efficacité'!$A$6:$BT$266,(MATCH('4.6 ACE MAX CAN '!T$4,'7. PGE_Efficacité'!$A$4:$BU$4,0)+31),0)</f>
        <v>0</v>
      </c>
      <c r="U140" s="212">
        <f>VLOOKUP($E140,'7. PGE_Efficacité'!$A$6:$BT$266,(MATCH('4.6 ACE MAX CAN '!U$4,'7. PGE_Efficacité'!$A$4:$BU$4,0)+31),0)</f>
        <v>0</v>
      </c>
      <c r="V140" s="212">
        <f>VLOOKUP($E140,'7. PGE_Efficacité'!$A$6:$BT$266,(MATCH('4.6 ACE MAX CAN '!V$4,'7. PGE_Efficacité'!$A$4:$BU$4,0)+31),0)</f>
        <v>0</v>
      </c>
      <c r="W140" s="212">
        <f>VLOOKUP($E140,'7. PGE_Efficacité'!$A$6:$BT$266,(MATCH('4.6 ACE MAX CAN '!W$4,'7. PGE_Efficacité'!$A$4:$BU$4,0)+31),0)</f>
        <v>0</v>
      </c>
      <c r="X140" s="212">
        <f>VLOOKUP($E140,'7. PGE_Efficacité'!$A$6:$BT$266,(MATCH('4.6 ACE MAX CAN '!X$4,'7. PGE_Efficacité'!$A$4:$BU$4,0)+31),0)</f>
        <v>0</v>
      </c>
      <c r="Y140" s="212">
        <f>VLOOKUP($E140,'7. PGE_Efficacité'!$A$6:$BT$266,(MATCH('4.6 ACE MAX CAN '!Y$4,'7. PGE_Efficacité'!$A$4:$BU$4,0)+31),0)</f>
        <v>0</v>
      </c>
      <c r="Z140" s="212">
        <f>VLOOKUP($E140,'7. PGE_Efficacité'!$A$6:$BT$266,(MATCH('4.6 ACE MAX CAN '!Z$4,'7. PGE_Efficacité'!$A$4:$BU$4,0)+31),0)</f>
        <v>0</v>
      </c>
      <c r="AA140" s="212">
        <f>VLOOKUP($E140,'7. PGE_Efficacité'!$A$6:$BT$266,(MATCH('4.6 ACE MAX CAN '!AA$4,'7. PGE_Efficacité'!$A$4:$BU$4,0)+31),0)</f>
        <v>0</v>
      </c>
      <c r="AB140" s="212">
        <f>VLOOKUP($E140,'7. PGE_Efficacité'!$A$6:$BT$266,(MATCH('4.6 ACE MAX CAN '!AB$4,'7. PGE_Efficacité'!$A$4:$BU$4,0)+31),0)</f>
        <v>0</v>
      </c>
      <c r="AC140" s="212">
        <f>VLOOKUP($E140,'7. PGE_Efficacité'!$A$6:$BT$266,(MATCH('4.6 ACE MAX CAN '!AC$4,'7. PGE_Efficacité'!$A$4:$BU$4,0)+31),0)</f>
        <v>0</v>
      </c>
      <c r="AD140" s="212">
        <f>VLOOKUP($E140,'7. PGE_Efficacité'!$A$6:$BT$266,(MATCH('4.6 ACE MAX CAN '!AD$4,'7. PGE_Efficacité'!$A$4:$BU$4,0)+31),0)</f>
        <v>0</v>
      </c>
      <c r="AE140" s="212">
        <f>VLOOKUP($E140,'7. PGE_Efficacité'!$A$6:$BT$266,(MATCH('4.6 ACE MAX CAN '!AE$4,'7. PGE_Efficacité'!$A$4:$BU$4,0)+31),0)</f>
        <v>0</v>
      </c>
      <c r="AF140" s="212">
        <f>VLOOKUP($E140,'7. PGE_Efficacité'!$A$6:$BT$266,(MATCH('4.6 ACE MAX CAN '!AF$4,'7. PGE_Efficacité'!$A$4:$BU$4,0)+31),0)</f>
        <v>0</v>
      </c>
      <c r="AG140" s="212">
        <f>VLOOKUP($E140,'7. PGE_Efficacité'!$A$6:$BT$266,(MATCH('4.6 ACE MAX CAN '!AG$4,'7. PGE_Efficacité'!$A$4:$BU$4,0)+31),0)</f>
        <v>0</v>
      </c>
      <c r="AH140" s="212">
        <f>VLOOKUP($E140,'7. PGE_Efficacité'!$A$6:$BT$266,(MATCH('4.6 ACE MAX CAN '!AH$4,'7. PGE_Efficacité'!$A$4:$BU$4,0)+31),0)</f>
        <v>0</v>
      </c>
      <c r="AI140" s="212">
        <f>VLOOKUP($E140,'7. PGE_Efficacité'!$A$6:$BT$266,(MATCH('4.6 ACE MAX CAN '!AI$4,'7. PGE_Efficacité'!$A$4:$BU$4,0)+31),0)</f>
        <v>0</v>
      </c>
      <c r="AJ140" s="212">
        <f>VLOOKUP($E140,'7. PGE_Efficacité'!$A$6:$BT$266,(MATCH('4.6 ACE MAX CAN '!AJ$4,'7. PGE_Efficacité'!$A$4:$BU$4,0)+31),0)</f>
        <v>0</v>
      </c>
      <c r="AK140" s="212">
        <f>VLOOKUP($E140,'7. PGE_Efficacité'!$A$6:$BT$266,(MATCH('4.6 ACE MAX CAN '!AK$4,'7. PGE_Efficacité'!$A$4:$BU$4,0)+31),0)</f>
        <v>0</v>
      </c>
      <c r="AL140" s="212">
        <f>VLOOKUP($E140,'7. PGE_Efficacité'!$A$6:$BT$266,(MATCH('4.6 ACE MAX CAN '!AL$4,'7. PGE_Efficacité'!$A$4:$BU$4,0)+31),0)</f>
        <v>0</v>
      </c>
      <c r="AM140" s="212">
        <f>VLOOKUP($E140,'7. PGE_Efficacité'!$A$6:$BT$266,(MATCH('4.6 ACE MAX CAN '!AM$4,'7. PGE_Efficacité'!$A$4:$BU$4,0)+31),0)</f>
        <v>0</v>
      </c>
      <c r="AN140" s="212">
        <f>VLOOKUP($E140,'7. PGE_Efficacité'!$A$6:$BT$266,(MATCH('4.6 ACE MAX CAN '!AN$4,'7. PGE_Efficacité'!$A$4:$BU$4,0)+31),0)</f>
        <v>0</v>
      </c>
    </row>
    <row r="141" spans="1:40" outlineLevel="2" x14ac:dyDescent="0.25">
      <c r="D141" s="12" t="s">
        <v>26</v>
      </c>
      <c r="E141" s="12" t="s">
        <v>762</v>
      </c>
      <c r="F141" s="12" t="s">
        <v>1650</v>
      </c>
      <c r="G141" s="12" t="s">
        <v>1521</v>
      </c>
      <c r="H141" s="251" t="s">
        <v>1290</v>
      </c>
      <c r="I141" s="148"/>
      <c r="J141" s="212">
        <f>VLOOKUP($E141,'7. PGE_Efficacité'!$A$6:$BT$266,(MATCH('4.6 ACE MAX CAN '!J$4,'7. PGE_Efficacité'!$A$4:$BU$4,0)+31),0)</f>
        <v>0</v>
      </c>
      <c r="K141" s="212">
        <f>VLOOKUP($E141,'7. PGE_Efficacité'!$A$6:$BT$266,(MATCH('4.6 ACE MAX CAN '!K$4,'7. PGE_Efficacité'!$A$4:$BU$4,0)+31),0)</f>
        <v>0</v>
      </c>
      <c r="L141" s="212">
        <f>VLOOKUP($E141,'7. PGE_Efficacité'!$A$6:$BT$266,(MATCH('4.6 ACE MAX CAN '!L$4,'7. PGE_Efficacité'!$A$4:$BU$4,0)+31),0)</f>
        <v>0</v>
      </c>
      <c r="M141" s="212">
        <f>VLOOKUP($E141,'7. PGE_Efficacité'!$A$6:$BT$266,(MATCH('4.6 ACE MAX CAN '!M$4,'7. PGE_Efficacité'!$A$4:$BU$4,0)+31),0)</f>
        <v>0</v>
      </c>
      <c r="N141" s="212">
        <f>VLOOKUP($E141,'7. PGE_Efficacité'!$A$6:$BT$266,(MATCH('4.6 ACE MAX CAN '!N$4,'7. PGE_Efficacité'!$A$4:$BU$4,0)+31),0)</f>
        <v>0</v>
      </c>
      <c r="O141" s="212">
        <f>VLOOKUP($E141,'7. PGE_Efficacité'!$A$6:$BT$268,47,0)</f>
        <v>0</v>
      </c>
      <c r="P141" s="212">
        <f>VLOOKUP($E141,'7. PGE_Efficacité'!$A$6:$BT$266,(MATCH('4.6 ACE MAX CAN '!P$4,'7. PGE_Efficacité'!$A$4:$BU$4,0)+31),0)</f>
        <v>0</v>
      </c>
      <c r="Q141" s="212">
        <f>VLOOKUP($E141,'7. PGE_Efficacité'!$A$6:$BT$266,(MATCH('4.6 ACE MAX CAN '!Q$4,'7. PGE_Efficacité'!$A$4:$BU$4,0)+31),0)</f>
        <v>0</v>
      </c>
      <c r="R141" s="212">
        <f>VLOOKUP($E141,'7. PGE_Efficacité'!$A$6:$BT$266,(MATCH('4.6 ACE MAX CAN '!R$4,'7. PGE_Efficacité'!$A$4:$BU$4,0)+31),0)</f>
        <v>0</v>
      </c>
      <c r="S141" s="212">
        <f>VLOOKUP($E141,'7. PGE_Efficacité'!$A$6:$BT$266,(MATCH('4.6 ACE MAX CAN '!S$4,'7. PGE_Efficacité'!$A$4:$BU$4,0)+31),0)</f>
        <v>0</v>
      </c>
      <c r="T141" s="212">
        <f>VLOOKUP($E141,'7. PGE_Efficacité'!$A$6:$BT$266,(MATCH('4.6 ACE MAX CAN '!T$4,'7. PGE_Efficacité'!$A$4:$BU$4,0)+31),0)</f>
        <v>0</v>
      </c>
      <c r="U141" s="212">
        <f>VLOOKUP($E141,'7. PGE_Efficacité'!$A$6:$BT$266,(MATCH('4.6 ACE MAX CAN '!U$4,'7. PGE_Efficacité'!$A$4:$BU$4,0)+31),0)</f>
        <v>0</v>
      </c>
      <c r="V141" s="212">
        <f>VLOOKUP($E141,'7. PGE_Efficacité'!$A$6:$BT$266,(MATCH('4.6 ACE MAX CAN '!V$4,'7. PGE_Efficacité'!$A$4:$BU$4,0)+31),0)</f>
        <v>0</v>
      </c>
      <c r="W141" s="212">
        <f>VLOOKUP($E141,'7. PGE_Efficacité'!$A$6:$BT$266,(MATCH('4.6 ACE MAX CAN '!W$4,'7. PGE_Efficacité'!$A$4:$BU$4,0)+31),0)</f>
        <v>0</v>
      </c>
      <c r="X141" s="212">
        <f>VLOOKUP($E141,'7. PGE_Efficacité'!$A$6:$BT$266,(MATCH('4.6 ACE MAX CAN '!X$4,'7. PGE_Efficacité'!$A$4:$BU$4,0)+31),0)</f>
        <v>0</v>
      </c>
      <c r="Y141" s="212">
        <f>VLOOKUP($E141,'7. PGE_Efficacité'!$A$6:$BT$266,(MATCH('4.6 ACE MAX CAN '!Y$4,'7. PGE_Efficacité'!$A$4:$BU$4,0)+31),0)</f>
        <v>0</v>
      </c>
      <c r="Z141" s="212">
        <f>VLOOKUP($E141,'7. PGE_Efficacité'!$A$6:$BT$266,(MATCH('4.6 ACE MAX CAN '!Z$4,'7. PGE_Efficacité'!$A$4:$BU$4,0)+31),0)</f>
        <v>0</v>
      </c>
      <c r="AA141" s="212">
        <f>VLOOKUP($E141,'7. PGE_Efficacité'!$A$6:$BT$266,(MATCH('4.6 ACE MAX CAN '!AA$4,'7. PGE_Efficacité'!$A$4:$BU$4,0)+31),0)</f>
        <v>0</v>
      </c>
      <c r="AB141" s="212">
        <f>VLOOKUP($E141,'7. PGE_Efficacité'!$A$6:$BT$266,(MATCH('4.6 ACE MAX CAN '!AB$4,'7. PGE_Efficacité'!$A$4:$BU$4,0)+31),0)</f>
        <v>0</v>
      </c>
      <c r="AC141" s="212">
        <f>VLOOKUP($E141,'7. PGE_Efficacité'!$A$6:$BT$266,(MATCH('4.6 ACE MAX CAN '!AC$4,'7. PGE_Efficacité'!$A$4:$BU$4,0)+31),0)</f>
        <v>0</v>
      </c>
      <c r="AD141" s="212">
        <f>VLOOKUP($E141,'7. PGE_Efficacité'!$A$6:$BT$266,(MATCH('4.6 ACE MAX CAN '!AD$4,'7. PGE_Efficacité'!$A$4:$BU$4,0)+31),0)</f>
        <v>0</v>
      </c>
      <c r="AE141" s="212">
        <f>VLOOKUP($E141,'7. PGE_Efficacité'!$A$6:$BT$266,(MATCH('4.6 ACE MAX CAN '!AE$4,'7. PGE_Efficacité'!$A$4:$BU$4,0)+31),0)</f>
        <v>0</v>
      </c>
      <c r="AF141" s="212">
        <f>VLOOKUP($E141,'7. PGE_Efficacité'!$A$6:$BT$266,(MATCH('4.6 ACE MAX CAN '!AF$4,'7. PGE_Efficacité'!$A$4:$BU$4,0)+31),0)</f>
        <v>0</v>
      </c>
      <c r="AG141" s="212">
        <f>VLOOKUP($E141,'7. PGE_Efficacité'!$A$6:$BT$266,(MATCH('4.6 ACE MAX CAN '!AG$4,'7. PGE_Efficacité'!$A$4:$BU$4,0)+31),0)</f>
        <v>0</v>
      </c>
      <c r="AH141" s="212">
        <f>VLOOKUP($E141,'7. PGE_Efficacité'!$A$6:$BT$266,(MATCH('4.6 ACE MAX CAN '!AH$4,'7. PGE_Efficacité'!$A$4:$BU$4,0)+31),0)</f>
        <v>0</v>
      </c>
      <c r="AI141" s="212">
        <f>VLOOKUP($E141,'7. PGE_Efficacité'!$A$6:$BT$266,(MATCH('4.6 ACE MAX CAN '!AI$4,'7. PGE_Efficacité'!$A$4:$BU$4,0)+31),0)</f>
        <v>0</v>
      </c>
      <c r="AJ141" s="212">
        <f>VLOOKUP($E141,'7. PGE_Efficacité'!$A$6:$BT$266,(MATCH('4.6 ACE MAX CAN '!AJ$4,'7. PGE_Efficacité'!$A$4:$BU$4,0)+31),0)</f>
        <v>0</v>
      </c>
      <c r="AK141" s="212">
        <f>VLOOKUP($E141,'7. PGE_Efficacité'!$A$6:$BT$266,(MATCH('4.6 ACE MAX CAN '!AK$4,'7. PGE_Efficacité'!$A$4:$BU$4,0)+31),0)</f>
        <v>0</v>
      </c>
      <c r="AL141" s="212">
        <f>VLOOKUP($E141,'7. PGE_Efficacité'!$A$6:$BT$266,(MATCH('4.6 ACE MAX CAN '!AL$4,'7. PGE_Efficacité'!$A$4:$BU$4,0)+31),0)</f>
        <v>0</v>
      </c>
      <c r="AM141" s="212">
        <f>VLOOKUP($E141,'7. PGE_Efficacité'!$A$6:$BT$266,(MATCH('4.6 ACE MAX CAN '!AM$4,'7. PGE_Efficacité'!$A$4:$BU$4,0)+31),0)</f>
        <v>0</v>
      </c>
      <c r="AN141" s="212">
        <f>VLOOKUP($E141,'7. PGE_Efficacité'!$A$6:$BT$266,(MATCH('4.6 ACE MAX CAN '!AN$4,'7. PGE_Efficacité'!$A$4:$BU$4,0)+31),0)</f>
        <v>0</v>
      </c>
    </row>
    <row r="142" spans="1:40" outlineLevel="2" x14ac:dyDescent="0.25">
      <c r="D142" s="12" t="s">
        <v>26</v>
      </c>
      <c r="E142" s="12" t="s">
        <v>2605</v>
      </c>
      <c r="F142" s="12" t="s">
        <v>1651</v>
      </c>
      <c r="G142" s="12" t="s">
        <v>1521</v>
      </c>
      <c r="H142" s="249" t="s">
        <v>1287</v>
      </c>
      <c r="I142" s="148"/>
      <c r="J142" s="212">
        <f>VLOOKUP($E142,'7. PGE_Efficacité'!$A$6:$BT$266,(MATCH('4.6 ACE MAX CAN '!J$4,'7. PGE_Efficacité'!$A$4:$BU$4,0)+31),0)</f>
        <v>0</v>
      </c>
      <c r="K142" s="212">
        <f>VLOOKUP($E142,'7. PGE_Efficacité'!$A$6:$BT$266,(MATCH('4.6 ACE MAX CAN '!K$4,'7. PGE_Efficacité'!$A$4:$BU$4,0)+31),0)</f>
        <v>0</v>
      </c>
      <c r="L142" s="212">
        <f>VLOOKUP($E142,'7. PGE_Efficacité'!$A$6:$BT$266,(MATCH('4.6 ACE MAX CAN '!L$4,'7. PGE_Efficacité'!$A$4:$BU$4,0)+31),0)</f>
        <v>0</v>
      </c>
      <c r="M142" s="212">
        <f>VLOOKUP($E142,'7. PGE_Efficacité'!$A$6:$BT$266,(MATCH('4.6 ACE MAX CAN '!M$4,'7. PGE_Efficacité'!$A$4:$BU$4,0)+31),0)</f>
        <v>0</v>
      </c>
      <c r="N142" s="212">
        <f>VLOOKUP($E142,'7. PGE_Efficacité'!$A$6:$BT$266,(MATCH('4.6 ACE MAX CAN '!N$4,'7. PGE_Efficacité'!$A$4:$BU$4,0)+31),0)</f>
        <v>0</v>
      </c>
      <c r="O142" s="212">
        <f>VLOOKUP($E142,'7. PGE_Efficacité'!$A$6:$BT$268,47,0)</f>
        <v>0</v>
      </c>
      <c r="P142" s="212">
        <f>VLOOKUP($E142,'7. PGE_Efficacité'!$A$6:$BT$266,(MATCH('4.6 ACE MAX CAN '!P$4,'7. PGE_Efficacité'!$A$4:$BU$4,0)+31),0)</f>
        <v>0</v>
      </c>
      <c r="Q142" s="212">
        <f>VLOOKUP($E142,'7. PGE_Efficacité'!$A$6:$BT$266,(MATCH('4.6 ACE MAX CAN '!Q$4,'7. PGE_Efficacité'!$A$4:$BU$4,0)+31),0)</f>
        <v>0</v>
      </c>
      <c r="R142" s="212">
        <f>VLOOKUP($E142,'7. PGE_Efficacité'!$A$6:$BT$266,(MATCH('4.6 ACE MAX CAN '!R$4,'7. PGE_Efficacité'!$A$4:$BU$4,0)+31),0)</f>
        <v>0</v>
      </c>
      <c r="S142" s="212">
        <f>VLOOKUP($E142,'7. PGE_Efficacité'!$A$6:$BT$266,(MATCH('4.6 ACE MAX CAN '!S$4,'7. PGE_Efficacité'!$A$4:$BU$4,0)+31),0)</f>
        <v>0</v>
      </c>
      <c r="T142" s="212">
        <f>VLOOKUP($E142,'7. PGE_Efficacité'!$A$6:$BT$266,(MATCH('4.6 ACE MAX CAN '!T$4,'7. PGE_Efficacité'!$A$4:$BU$4,0)+31),0)</f>
        <v>0</v>
      </c>
      <c r="U142" s="212">
        <f>VLOOKUP($E142,'7. PGE_Efficacité'!$A$6:$BT$266,(MATCH('4.6 ACE MAX CAN '!U$4,'7. PGE_Efficacité'!$A$4:$BU$4,0)+31),0)</f>
        <v>0</v>
      </c>
      <c r="V142" s="212">
        <f>VLOOKUP($E142,'7. PGE_Efficacité'!$A$6:$BT$266,(MATCH('4.6 ACE MAX CAN '!V$4,'7. PGE_Efficacité'!$A$4:$BU$4,0)+31),0)</f>
        <v>0</v>
      </c>
      <c r="W142" s="212">
        <f>VLOOKUP($E142,'7. PGE_Efficacité'!$A$6:$BT$266,(MATCH('4.6 ACE MAX CAN '!W$4,'7. PGE_Efficacité'!$A$4:$BU$4,0)+31),0)</f>
        <v>0</v>
      </c>
      <c r="X142" s="212">
        <f>VLOOKUP($E142,'7. PGE_Efficacité'!$A$6:$BT$266,(MATCH('4.6 ACE MAX CAN '!X$4,'7. PGE_Efficacité'!$A$4:$BU$4,0)+31),0)</f>
        <v>0</v>
      </c>
      <c r="Y142" s="212">
        <f>VLOOKUP($E142,'7. PGE_Efficacité'!$A$6:$BT$266,(MATCH('4.6 ACE MAX CAN '!Y$4,'7. PGE_Efficacité'!$A$4:$BU$4,0)+31),0)</f>
        <v>0</v>
      </c>
      <c r="Z142" s="212">
        <f>VLOOKUP($E142,'7. PGE_Efficacité'!$A$6:$BT$266,(MATCH('4.6 ACE MAX CAN '!Z$4,'7. PGE_Efficacité'!$A$4:$BU$4,0)+31),0)</f>
        <v>0</v>
      </c>
      <c r="AA142" s="212">
        <f>VLOOKUP($E142,'7. PGE_Efficacité'!$A$6:$BT$266,(MATCH('4.6 ACE MAX CAN '!AA$4,'7. PGE_Efficacité'!$A$4:$BU$4,0)+31),0)</f>
        <v>0</v>
      </c>
      <c r="AB142" s="212">
        <f>VLOOKUP($E142,'7. PGE_Efficacité'!$A$6:$BT$266,(MATCH('4.6 ACE MAX CAN '!AB$4,'7. PGE_Efficacité'!$A$4:$BU$4,0)+31),0)</f>
        <v>0</v>
      </c>
      <c r="AC142" s="212">
        <f>VLOOKUP($E142,'7. PGE_Efficacité'!$A$6:$BT$266,(MATCH('4.6 ACE MAX CAN '!AC$4,'7. PGE_Efficacité'!$A$4:$BU$4,0)+31),0)</f>
        <v>0</v>
      </c>
      <c r="AD142" s="212">
        <f>VLOOKUP($E142,'7. PGE_Efficacité'!$A$6:$BT$266,(MATCH('4.6 ACE MAX CAN '!AD$4,'7. PGE_Efficacité'!$A$4:$BU$4,0)+31),0)</f>
        <v>0</v>
      </c>
      <c r="AE142" s="212">
        <f>VLOOKUP($E142,'7. PGE_Efficacité'!$A$6:$BT$266,(MATCH('4.6 ACE MAX CAN '!AE$4,'7. PGE_Efficacité'!$A$4:$BU$4,0)+31),0)</f>
        <v>0</v>
      </c>
      <c r="AF142" s="212">
        <f>VLOOKUP($E142,'7. PGE_Efficacité'!$A$6:$BT$266,(MATCH('4.6 ACE MAX CAN '!AF$4,'7. PGE_Efficacité'!$A$4:$BU$4,0)+31),0)</f>
        <v>0</v>
      </c>
      <c r="AG142" s="212">
        <f>VLOOKUP($E142,'7. PGE_Efficacité'!$A$6:$BT$266,(MATCH('4.6 ACE MAX CAN '!AG$4,'7. PGE_Efficacité'!$A$4:$BU$4,0)+31),0)</f>
        <v>0</v>
      </c>
      <c r="AH142" s="212">
        <f>VLOOKUP($E142,'7. PGE_Efficacité'!$A$6:$BT$266,(MATCH('4.6 ACE MAX CAN '!AH$4,'7. PGE_Efficacité'!$A$4:$BU$4,0)+31),0)</f>
        <v>0</v>
      </c>
      <c r="AI142" s="212">
        <f>VLOOKUP($E142,'7. PGE_Efficacité'!$A$6:$BT$266,(MATCH('4.6 ACE MAX CAN '!AI$4,'7. PGE_Efficacité'!$A$4:$BU$4,0)+31),0)</f>
        <v>0</v>
      </c>
      <c r="AJ142" s="212">
        <f>VLOOKUP($E142,'7. PGE_Efficacité'!$A$6:$BT$266,(MATCH('4.6 ACE MAX CAN '!AJ$4,'7. PGE_Efficacité'!$A$4:$BU$4,0)+31),0)</f>
        <v>0</v>
      </c>
      <c r="AK142" s="212">
        <f>VLOOKUP($E142,'7. PGE_Efficacité'!$A$6:$BT$266,(MATCH('4.6 ACE MAX CAN '!AK$4,'7. PGE_Efficacité'!$A$4:$BU$4,0)+31),0)</f>
        <v>0</v>
      </c>
      <c r="AL142" s="212">
        <f>VLOOKUP($E142,'7. PGE_Efficacité'!$A$6:$BT$266,(MATCH('4.6 ACE MAX CAN '!AL$4,'7. PGE_Efficacité'!$A$4:$BU$4,0)+31),0)</f>
        <v>0</v>
      </c>
      <c r="AM142" s="212">
        <f>VLOOKUP($E142,'7. PGE_Efficacité'!$A$6:$BT$266,(MATCH('4.6 ACE MAX CAN '!AM$4,'7. PGE_Efficacité'!$A$4:$BU$4,0)+31),0)</f>
        <v>0</v>
      </c>
      <c r="AN142" s="212">
        <f>VLOOKUP($E142,'7. PGE_Efficacité'!$A$6:$BT$266,(MATCH('4.6 ACE MAX CAN '!AN$4,'7. PGE_Efficacité'!$A$4:$BU$4,0)+31),0)</f>
        <v>0</v>
      </c>
    </row>
    <row r="143" spans="1:40" outlineLevel="2" x14ac:dyDescent="0.25">
      <c r="D143" s="12" t="s">
        <v>26</v>
      </c>
      <c r="E143" s="12" t="s">
        <v>2862</v>
      </c>
      <c r="F143" s="12" t="s">
        <v>1652</v>
      </c>
      <c r="G143" s="12" t="s">
        <v>1521</v>
      </c>
      <c r="H143" s="249" t="s">
        <v>1287</v>
      </c>
      <c r="I143" s="148"/>
      <c r="J143" s="212">
        <f>VLOOKUP($E143,'7. PGE_Efficacité'!$A$6:$BT$266,(MATCH('4.6 ACE MAX CAN '!J$4,'7. PGE_Efficacité'!$A$4:$BU$4,0)+31),0)</f>
        <v>0</v>
      </c>
      <c r="K143" s="212">
        <f>VLOOKUP($E143,'7. PGE_Efficacité'!$A$6:$BT$266,(MATCH('4.6 ACE MAX CAN '!K$4,'7. PGE_Efficacité'!$A$4:$BU$4,0)+31),0)</f>
        <v>0</v>
      </c>
      <c r="L143" s="212">
        <f>VLOOKUP($E143,'7. PGE_Efficacité'!$A$6:$BT$266,(MATCH('4.6 ACE MAX CAN '!L$4,'7. PGE_Efficacité'!$A$4:$BU$4,0)+31),0)</f>
        <v>0</v>
      </c>
      <c r="M143" s="212">
        <f>VLOOKUP($E143,'7. PGE_Efficacité'!$A$6:$BT$266,(MATCH('4.6 ACE MAX CAN '!M$4,'7. PGE_Efficacité'!$A$4:$BU$4,0)+31),0)</f>
        <v>0</v>
      </c>
      <c r="N143" s="212">
        <f>VLOOKUP($E143,'7. PGE_Efficacité'!$A$6:$BT$266,(MATCH('4.6 ACE MAX CAN '!N$4,'7. PGE_Efficacité'!$A$4:$BU$4,0)+31),0)</f>
        <v>0</v>
      </c>
      <c r="O143" s="212">
        <f>VLOOKUP($E143,'7. PGE_Efficacité'!$A$6:$BT$268,47,0)</f>
        <v>0</v>
      </c>
      <c r="P143" s="212">
        <f>VLOOKUP($E143,'7. PGE_Efficacité'!$A$6:$BT$266,(MATCH('4.6 ACE MAX CAN '!P$4,'7. PGE_Efficacité'!$A$4:$BU$4,0)+31),0)</f>
        <v>0</v>
      </c>
      <c r="Q143" s="212">
        <f>VLOOKUP($E143,'7. PGE_Efficacité'!$A$6:$BT$266,(MATCH('4.6 ACE MAX CAN '!Q$4,'7. PGE_Efficacité'!$A$4:$BU$4,0)+31),0)</f>
        <v>0</v>
      </c>
      <c r="R143" s="212">
        <f>VLOOKUP($E143,'7. PGE_Efficacité'!$A$6:$BT$266,(MATCH('4.6 ACE MAX CAN '!R$4,'7. PGE_Efficacité'!$A$4:$BU$4,0)+31),0)</f>
        <v>0</v>
      </c>
      <c r="S143" s="212">
        <f>VLOOKUP($E143,'7. PGE_Efficacité'!$A$6:$BT$266,(MATCH('4.6 ACE MAX CAN '!S$4,'7. PGE_Efficacité'!$A$4:$BU$4,0)+31),0)</f>
        <v>0</v>
      </c>
      <c r="T143" s="212">
        <f>VLOOKUP($E143,'7. PGE_Efficacité'!$A$6:$BT$266,(MATCH('4.6 ACE MAX CAN '!T$4,'7. PGE_Efficacité'!$A$4:$BU$4,0)+31),0)</f>
        <v>0</v>
      </c>
      <c r="U143" s="212">
        <f>VLOOKUP($E143,'7. PGE_Efficacité'!$A$6:$BT$266,(MATCH('4.6 ACE MAX CAN '!U$4,'7. PGE_Efficacité'!$A$4:$BU$4,0)+31),0)</f>
        <v>0</v>
      </c>
      <c r="V143" s="212">
        <f>VLOOKUP($E143,'7. PGE_Efficacité'!$A$6:$BT$266,(MATCH('4.6 ACE MAX CAN '!V$4,'7. PGE_Efficacité'!$A$4:$BU$4,0)+31),0)</f>
        <v>0</v>
      </c>
      <c r="W143" s="212">
        <f>VLOOKUP($E143,'7. PGE_Efficacité'!$A$6:$BT$266,(MATCH('4.6 ACE MAX CAN '!W$4,'7. PGE_Efficacité'!$A$4:$BU$4,0)+31),0)</f>
        <v>0</v>
      </c>
      <c r="X143" s="212">
        <f>VLOOKUP($E143,'7. PGE_Efficacité'!$A$6:$BT$266,(MATCH('4.6 ACE MAX CAN '!X$4,'7. PGE_Efficacité'!$A$4:$BU$4,0)+31),0)</f>
        <v>0</v>
      </c>
      <c r="Y143" s="212">
        <f>VLOOKUP($E143,'7. PGE_Efficacité'!$A$6:$BT$266,(MATCH('4.6 ACE MAX CAN '!Y$4,'7. PGE_Efficacité'!$A$4:$BU$4,0)+31),0)</f>
        <v>0</v>
      </c>
      <c r="Z143" s="212">
        <f>VLOOKUP($E143,'7. PGE_Efficacité'!$A$6:$BT$266,(MATCH('4.6 ACE MAX CAN '!Z$4,'7. PGE_Efficacité'!$A$4:$BU$4,0)+31),0)</f>
        <v>0</v>
      </c>
      <c r="AA143" s="212">
        <f>VLOOKUP($E143,'7. PGE_Efficacité'!$A$6:$BT$266,(MATCH('4.6 ACE MAX CAN '!AA$4,'7. PGE_Efficacité'!$A$4:$BU$4,0)+31),0)</f>
        <v>0</v>
      </c>
      <c r="AB143" s="212">
        <f>VLOOKUP($E143,'7. PGE_Efficacité'!$A$6:$BT$266,(MATCH('4.6 ACE MAX CAN '!AB$4,'7. PGE_Efficacité'!$A$4:$BU$4,0)+31),0)</f>
        <v>0</v>
      </c>
      <c r="AC143" s="212">
        <f>VLOOKUP($E143,'7. PGE_Efficacité'!$A$6:$BT$266,(MATCH('4.6 ACE MAX CAN '!AC$4,'7. PGE_Efficacité'!$A$4:$BU$4,0)+31),0)</f>
        <v>0</v>
      </c>
      <c r="AD143" s="212">
        <f>VLOOKUP($E143,'7. PGE_Efficacité'!$A$6:$BT$266,(MATCH('4.6 ACE MAX CAN '!AD$4,'7. PGE_Efficacité'!$A$4:$BU$4,0)+31),0)</f>
        <v>0</v>
      </c>
      <c r="AE143" s="212">
        <f>VLOOKUP($E143,'7. PGE_Efficacité'!$A$6:$BT$266,(MATCH('4.6 ACE MAX CAN '!AE$4,'7. PGE_Efficacité'!$A$4:$BU$4,0)+31),0)</f>
        <v>0</v>
      </c>
      <c r="AF143" s="212">
        <f>VLOOKUP($E143,'7. PGE_Efficacité'!$A$6:$BT$266,(MATCH('4.6 ACE MAX CAN '!AF$4,'7. PGE_Efficacité'!$A$4:$BU$4,0)+31),0)</f>
        <v>0</v>
      </c>
      <c r="AG143" s="212">
        <f>VLOOKUP($E143,'7. PGE_Efficacité'!$A$6:$BT$266,(MATCH('4.6 ACE MAX CAN '!AG$4,'7. PGE_Efficacité'!$A$4:$BU$4,0)+31),0)</f>
        <v>0</v>
      </c>
      <c r="AH143" s="212">
        <f>VLOOKUP($E143,'7. PGE_Efficacité'!$A$6:$BT$266,(MATCH('4.6 ACE MAX CAN '!AH$4,'7. PGE_Efficacité'!$A$4:$BU$4,0)+31),0)</f>
        <v>0</v>
      </c>
      <c r="AI143" s="212">
        <f>VLOOKUP($E143,'7. PGE_Efficacité'!$A$6:$BT$266,(MATCH('4.6 ACE MAX CAN '!AI$4,'7. PGE_Efficacité'!$A$4:$BU$4,0)+31),0)</f>
        <v>0</v>
      </c>
      <c r="AJ143" s="212">
        <f>VLOOKUP($E143,'7. PGE_Efficacité'!$A$6:$BT$266,(MATCH('4.6 ACE MAX CAN '!AJ$4,'7. PGE_Efficacité'!$A$4:$BU$4,0)+31),0)</f>
        <v>0</v>
      </c>
      <c r="AK143" s="212">
        <f>VLOOKUP($E143,'7. PGE_Efficacité'!$A$6:$BT$266,(MATCH('4.6 ACE MAX CAN '!AK$4,'7. PGE_Efficacité'!$A$4:$BU$4,0)+31),0)</f>
        <v>0</v>
      </c>
      <c r="AL143" s="212">
        <f>VLOOKUP($E143,'7. PGE_Efficacité'!$A$6:$BT$266,(MATCH('4.6 ACE MAX CAN '!AL$4,'7. PGE_Efficacité'!$A$4:$BU$4,0)+31),0)</f>
        <v>0</v>
      </c>
      <c r="AM143" s="212">
        <f>VLOOKUP($E143,'7. PGE_Efficacité'!$A$6:$BT$266,(MATCH('4.6 ACE MAX CAN '!AM$4,'7. PGE_Efficacité'!$A$4:$BU$4,0)+31),0)</f>
        <v>0</v>
      </c>
      <c r="AN143" s="212">
        <f>VLOOKUP($E143,'7. PGE_Efficacité'!$A$6:$BT$266,(MATCH('4.6 ACE MAX CAN '!AN$4,'7. PGE_Efficacité'!$A$4:$BU$4,0)+31),0)</f>
        <v>0</v>
      </c>
    </row>
    <row r="144" spans="1:40" outlineLevel="2" x14ac:dyDescent="0.25">
      <c r="D144" s="12" t="s">
        <v>26</v>
      </c>
      <c r="E144" s="12" t="s">
        <v>2861</v>
      </c>
      <c r="F144" s="12" t="s">
        <v>1642</v>
      </c>
      <c r="G144" s="12" t="s">
        <v>1521</v>
      </c>
      <c r="H144" s="249" t="s">
        <v>1290</v>
      </c>
      <c r="I144" s="148"/>
      <c r="J144" s="212">
        <f>VLOOKUP($E144,'7. PGE_Efficacité'!$A$6:$BT$266,(MATCH('4.6 ACE MAX CAN '!J$4,'7. PGE_Efficacité'!$A$4:$BU$4,0)+31),0)</f>
        <v>0</v>
      </c>
      <c r="K144" s="212">
        <f>VLOOKUP($E144,'7. PGE_Efficacité'!$A$6:$BT$266,(MATCH('4.6 ACE MAX CAN '!K$4,'7. PGE_Efficacité'!$A$4:$BU$4,0)+31),0)</f>
        <v>0</v>
      </c>
      <c r="L144" s="212">
        <f>VLOOKUP($E144,'7. PGE_Efficacité'!$A$6:$BT$266,(MATCH('4.6 ACE MAX CAN '!L$4,'7. PGE_Efficacité'!$A$4:$BU$4,0)+31),0)</f>
        <v>0</v>
      </c>
      <c r="M144" s="212">
        <f>VLOOKUP($E144,'7. PGE_Efficacité'!$A$6:$BT$266,(MATCH('4.6 ACE MAX CAN '!M$4,'7. PGE_Efficacité'!$A$4:$BU$4,0)+31),0)</f>
        <v>0</v>
      </c>
      <c r="N144" s="212">
        <f>VLOOKUP($E144,'7. PGE_Efficacité'!$A$6:$BT$266,(MATCH('4.6 ACE MAX CAN '!N$4,'7. PGE_Efficacité'!$A$4:$BU$4,0)+31),0)</f>
        <v>0</v>
      </c>
      <c r="O144" s="212">
        <f>VLOOKUP($E144,'7. PGE_Efficacité'!$A$6:$BT$268,47,0)</f>
        <v>0</v>
      </c>
      <c r="P144" s="212">
        <f>VLOOKUP($E144,'7. PGE_Efficacité'!$A$6:$BT$266,(MATCH('4.6 ACE MAX CAN '!P$4,'7. PGE_Efficacité'!$A$4:$BU$4,0)+31),0)</f>
        <v>0</v>
      </c>
      <c r="Q144" s="212">
        <f>VLOOKUP($E144,'7. PGE_Efficacité'!$A$6:$BT$266,(MATCH('4.6 ACE MAX CAN '!Q$4,'7. PGE_Efficacité'!$A$4:$BU$4,0)+31),0)</f>
        <v>0</v>
      </c>
      <c r="R144" s="212">
        <f>VLOOKUP($E144,'7. PGE_Efficacité'!$A$6:$BT$266,(MATCH('4.6 ACE MAX CAN '!R$4,'7. PGE_Efficacité'!$A$4:$BU$4,0)+31),0)</f>
        <v>0</v>
      </c>
      <c r="S144" s="212">
        <f>VLOOKUP($E144,'7. PGE_Efficacité'!$A$6:$BT$266,(MATCH('4.6 ACE MAX CAN '!S$4,'7. PGE_Efficacité'!$A$4:$BU$4,0)+31),0)</f>
        <v>0</v>
      </c>
      <c r="T144" s="212">
        <f>VLOOKUP($E144,'7. PGE_Efficacité'!$A$6:$BT$266,(MATCH('4.6 ACE MAX CAN '!T$4,'7. PGE_Efficacité'!$A$4:$BU$4,0)+31),0)</f>
        <v>0</v>
      </c>
      <c r="U144" s="212">
        <f>VLOOKUP($E144,'7. PGE_Efficacité'!$A$6:$BT$266,(MATCH('4.6 ACE MAX CAN '!U$4,'7. PGE_Efficacité'!$A$4:$BU$4,0)+31),0)</f>
        <v>0</v>
      </c>
      <c r="V144" s="212">
        <f>VLOOKUP($E144,'7. PGE_Efficacité'!$A$6:$BT$266,(MATCH('4.6 ACE MAX CAN '!V$4,'7. PGE_Efficacité'!$A$4:$BU$4,0)+31),0)</f>
        <v>0</v>
      </c>
      <c r="W144" s="212">
        <f>VLOOKUP($E144,'7. PGE_Efficacité'!$A$6:$BT$266,(MATCH('4.6 ACE MAX CAN '!W$4,'7. PGE_Efficacité'!$A$4:$BU$4,0)+31),0)</f>
        <v>0</v>
      </c>
      <c r="X144" s="212">
        <f>VLOOKUP($E144,'7. PGE_Efficacité'!$A$6:$BT$266,(MATCH('4.6 ACE MAX CAN '!X$4,'7. PGE_Efficacité'!$A$4:$BU$4,0)+31),0)</f>
        <v>0</v>
      </c>
      <c r="Y144" s="212">
        <f>VLOOKUP($E144,'7. PGE_Efficacité'!$A$6:$BT$266,(MATCH('4.6 ACE MAX CAN '!Y$4,'7. PGE_Efficacité'!$A$4:$BU$4,0)+31),0)</f>
        <v>0</v>
      </c>
      <c r="Z144" s="212">
        <f>VLOOKUP($E144,'7. PGE_Efficacité'!$A$6:$BT$266,(MATCH('4.6 ACE MAX CAN '!Z$4,'7. PGE_Efficacité'!$A$4:$BU$4,0)+31),0)</f>
        <v>0</v>
      </c>
      <c r="AA144" s="212">
        <f>VLOOKUP($E144,'7. PGE_Efficacité'!$A$6:$BT$266,(MATCH('4.6 ACE MAX CAN '!AA$4,'7. PGE_Efficacité'!$A$4:$BU$4,0)+31),0)</f>
        <v>0</v>
      </c>
      <c r="AB144" s="212">
        <f>VLOOKUP($E144,'7. PGE_Efficacité'!$A$6:$BT$266,(MATCH('4.6 ACE MAX CAN '!AB$4,'7. PGE_Efficacité'!$A$4:$BU$4,0)+31),0)</f>
        <v>0</v>
      </c>
      <c r="AC144" s="212">
        <f>VLOOKUP($E144,'7. PGE_Efficacité'!$A$6:$BT$266,(MATCH('4.6 ACE MAX CAN '!AC$4,'7. PGE_Efficacité'!$A$4:$BU$4,0)+31),0)</f>
        <v>0</v>
      </c>
      <c r="AD144" s="212">
        <f>VLOOKUP($E144,'7. PGE_Efficacité'!$A$6:$BT$266,(MATCH('4.6 ACE MAX CAN '!AD$4,'7. PGE_Efficacité'!$A$4:$BU$4,0)+31),0)</f>
        <v>0</v>
      </c>
      <c r="AE144" s="212">
        <f>VLOOKUP($E144,'7. PGE_Efficacité'!$A$6:$BT$266,(MATCH('4.6 ACE MAX CAN '!AE$4,'7. PGE_Efficacité'!$A$4:$BU$4,0)+31),0)</f>
        <v>0</v>
      </c>
      <c r="AF144" s="212">
        <f>VLOOKUP($E144,'7. PGE_Efficacité'!$A$6:$BT$266,(MATCH('4.6 ACE MAX CAN '!AF$4,'7. PGE_Efficacité'!$A$4:$BU$4,0)+31),0)</f>
        <v>0</v>
      </c>
      <c r="AG144" s="212">
        <f>VLOOKUP($E144,'7. PGE_Efficacité'!$A$6:$BT$266,(MATCH('4.6 ACE MAX CAN '!AG$4,'7. PGE_Efficacité'!$A$4:$BU$4,0)+31),0)</f>
        <v>0</v>
      </c>
      <c r="AH144" s="212">
        <f>VLOOKUP($E144,'7. PGE_Efficacité'!$A$6:$BT$266,(MATCH('4.6 ACE MAX CAN '!AH$4,'7. PGE_Efficacité'!$A$4:$BU$4,0)+31),0)</f>
        <v>0</v>
      </c>
      <c r="AI144" s="212">
        <f>VLOOKUP($E144,'7. PGE_Efficacité'!$A$6:$BT$266,(MATCH('4.6 ACE MAX CAN '!AI$4,'7. PGE_Efficacité'!$A$4:$BU$4,0)+31),0)</f>
        <v>0</v>
      </c>
      <c r="AJ144" s="212">
        <f>VLOOKUP($E144,'7. PGE_Efficacité'!$A$6:$BT$266,(MATCH('4.6 ACE MAX CAN '!AJ$4,'7. PGE_Efficacité'!$A$4:$BU$4,0)+31),0)</f>
        <v>0</v>
      </c>
      <c r="AK144" s="212">
        <f>VLOOKUP($E144,'7. PGE_Efficacité'!$A$6:$BT$266,(MATCH('4.6 ACE MAX CAN '!AK$4,'7. PGE_Efficacité'!$A$4:$BU$4,0)+31),0)</f>
        <v>0</v>
      </c>
      <c r="AL144" s="212">
        <f>VLOOKUP($E144,'7. PGE_Efficacité'!$A$6:$BT$266,(MATCH('4.6 ACE MAX CAN '!AL$4,'7. PGE_Efficacité'!$A$4:$BU$4,0)+31),0)</f>
        <v>0</v>
      </c>
      <c r="AM144" s="212">
        <f>VLOOKUP($E144,'7. PGE_Efficacité'!$A$6:$BT$266,(MATCH('4.6 ACE MAX CAN '!AM$4,'7. PGE_Efficacité'!$A$4:$BU$4,0)+31),0)</f>
        <v>0</v>
      </c>
      <c r="AN144" s="212">
        <f>VLOOKUP($E144,'7. PGE_Efficacité'!$A$6:$BT$266,(MATCH('4.6 ACE MAX CAN '!AN$4,'7. PGE_Efficacité'!$A$4:$BU$4,0)+31),0)</f>
        <v>0</v>
      </c>
    </row>
    <row r="145" spans="1:40" outlineLevel="2" x14ac:dyDescent="0.25">
      <c r="D145" s="12" t="s">
        <v>26</v>
      </c>
      <c r="E145" s="12" t="s">
        <v>2607</v>
      </c>
      <c r="F145" s="12" t="s">
        <v>1643</v>
      </c>
      <c r="G145" s="12" t="s">
        <v>1521</v>
      </c>
      <c r="H145" s="249" t="s">
        <v>1290</v>
      </c>
      <c r="I145" s="148"/>
      <c r="J145" s="212">
        <f>VLOOKUP($E145,'7. PGE_Efficacité'!$A$6:$BT$266,(MATCH('4.6 ACE MAX CAN '!J$4,'7. PGE_Efficacité'!$A$4:$BU$4,0)+31),0)</f>
        <v>0</v>
      </c>
      <c r="K145" s="212">
        <f>VLOOKUP($E145,'7. PGE_Efficacité'!$A$6:$BT$266,(MATCH('4.6 ACE MAX CAN '!K$4,'7. PGE_Efficacité'!$A$4:$BU$4,0)+31),0)</f>
        <v>0</v>
      </c>
      <c r="L145" s="212">
        <f>VLOOKUP($E145,'7. PGE_Efficacité'!$A$6:$BT$266,(MATCH('4.6 ACE MAX CAN '!L$4,'7. PGE_Efficacité'!$A$4:$BU$4,0)+31),0)</f>
        <v>0</v>
      </c>
      <c r="M145" s="212">
        <f>VLOOKUP($E145,'7. PGE_Efficacité'!$A$6:$BT$266,(MATCH('4.6 ACE MAX CAN '!M$4,'7. PGE_Efficacité'!$A$4:$BU$4,0)+31),0)</f>
        <v>0</v>
      </c>
      <c r="N145" s="212">
        <f>VLOOKUP($E145,'7. PGE_Efficacité'!$A$6:$BT$266,(MATCH('4.6 ACE MAX CAN '!N$4,'7. PGE_Efficacité'!$A$4:$BU$4,0)+31),0)</f>
        <v>0</v>
      </c>
      <c r="O145" s="212">
        <f>VLOOKUP($E145,'7. PGE_Efficacité'!$A$6:$BT$268,47,0)</f>
        <v>0</v>
      </c>
      <c r="P145" s="212">
        <f>VLOOKUP($E145,'7. PGE_Efficacité'!$A$6:$BT$266,(MATCH('4.6 ACE MAX CAN '!P$4,'7. PGE_Efficacité'!$A$4:$BU$4,0)+31),0)</f>
        <v>0</v>
      </c>
      <c r="Q145" s="212">
        <f>VLOOKUP($E145,'7. PGE_Efficacité'!$A$6:$BT$266,(MATCH('4.6 ACE MAX CAN '!Q$4,'7. PGE_Efficacité'!$A$4:$BU$4,0)+31),0)</f>
        <v>0</v>
      </c>
      <c r="R145" s="212">
        <f>VLOOKUP($E145,'7. PGE_Efficacité'!$A$6:$BT$266,(MATCH('4.6 ACE MAX CAN '!R$4,'7. PGE_Efficacité'!$A$4:$BU$4,0)+31),0)</f>
        <v>0</v>
      </c>
      <c r="S145" s="212">
        <f>VLOOKUP($E145,'7. PGE_Efficacité'!$A$6:$BT$266,(MATCH('4.6 ACE MAX CAN '!S$4,'7. PGE_Efficacité'!$A$4:$BU$4,0)+31),0)</f>
        <v>0</v>
      </c>
      <c r="T145" s="212">
        <f>VLOOKUP($E145,'7. PGE_Efficacité'!$A$6:$BT$266,(MATCH('4.6 ACE MAX CAN '!T$4,'7. PGE_Efficacité'!$A$4:$BU$4,0)+31),0)</f>
        <v>0</v>
      </c>
      <c r="U145" s="212">
        <f>VLOOKUP($E145,'7. PGE_Efficacité'!$A$6:$BT$266,(MATCH('4.6 ACE MAX CAN '!U$4,'7. PGE_Efficacité'!$A$4:$BU$4,0)+31),0)</f>
        <v>0</v>
      </c>
      <c r="V145" s="212">
        <f>VLOOKUP($E145,'7. PGE_Efficacité'!$A$6:$BT$266,(MATCH('4.6 ACE MAX CAN '!V$4,'7. PGE_Efficacité'!$A$4:$BU$4,0)+31),0)</f>
        <v>0</v>
      </c>
      <c r="W145" s="212">
        <f>VLOOKUP($E145,'7. PGE_Efficacité'!$A$6:$BT$266,(MATCH('4.6 ACE MAX CAN '!W$4,'7. PGE_Efficacité'!$A$4:$BU$4,0)+31),0)</f>
        <v>0</v>
      </c>
      <c r="X145" s="212">
        <f>VLOOKUP($E145,'7. PGE_Efficacité'!$A$6:$BT$266,(MATCH('4.6 ACE MAX CAN '!X$4,'7. PGE_Efficacité'!$A$4:$BU$4,0)+31),0)</f>
        <v>0</v>
      </c>
      <c r="Y145" s="212">
        <f>VLOOKUP($E145,'7. PGE_Efficacité'!$A$6:$BT$266,(MATCH('4.6 ACE MAX CAN '!Y$4,'7. PGE_Efficacité'!$A$4:$BU$4,0)+31),0)</f>
        <v>0</v>
      </c>
      <c r="Z145" s="212">
        <f>VLOOKUP($E145,'7. PGE_Efficacité'!$A$6:$BT$266,(MATCH('4.6 ACE MAX CAN '!Z$4,'7. PGE_Efficacité'!$A$4:$BU$4,0)+31),0)</f>
        <v>0</v>
      </c>
      <c r="AA145" s="212">
        <f>VLOOKUP($E145,'7. PGE_Efficacité'!$A$6:$BT$266,(MATCH('4.6 ACE MAX CAN '!AA$4,'7. PGE_Efficacité'!$A$4:$BU$4,0)+31),0)</f>
        <v>0</v>
      </c>
      <c r="AB145" s="212">
        <f>VLOOKUP($E145,'7. PGE_Efficacité'!$A$6:$BT$266,(MATCH('4.6 ACE MAX CAN '!AB$4,'7. PGE_Efficacité'!$A$4:$BU$4,0)+31),0)</f>
        <v>0</v>
      </c>
      <c r="AC145" s="212">
        <f>VLOOKUP($E145,'7. PGE_Efficacité'!$A$6:$BT$266,(MATCH('4.6 ACE MAX CAN '!AC$4,'7. PGE_Efficacité'!$A$4:$BU$4,0)+31),0)</f>
        <v>0</v>
      </c>
      <c r="AD145" s="212">
        <f>VLOOKUP($E145,'7. PGE_Efficacité'!$A$6:$BT$266,(MATCH('4.6 ACE MAX CAN '!AD$4,'7. PGE_Efficacité'!$A$4:$BU$4,0)+31),0)</f>
        <v>0</v>
      </c>
      <c r="AE145" s="212">
        <f>VLOOKUP($E145,'7. PGE_Efficacité'!$A$6:$BT$266,(MATCH('4.6 ACE MAX CAN '!AE$4,'7. PGE_Efficacité'!$A$4:$BU$4,0)+31),0)</f>
        <v>0</v>
      </c>
      <c r="AF145" s="212">
        <f>VLOOKUP($E145,'7. PGE_Efficacité'!$A$6:$BT$266,(MATCH('4.6 ACE MAX CAN '!AF$4,'7. PGE_Efficacité'!$A$4:$BU$4,0)+31),0)</f>
        <v>0</v>
      </c>
      <c r="AG145" s="212">
        <f>VLOOKUP($E145,'7. PGE_Efficacité'!$A$6:$BT$266,(MATCH('4.6 ACE MAX CAN '!AG$4,'7. PGE_Efficacité'!$A$4:$BU$4,0)+31),0)</f>
        <v>0</v>
      </c>
      <c r="AH145" s="212">
        <f>VLOOKUP($E145,'7. PGE_Efficacité'!$A$6:$BT$266,(MATCH('4.6 ACE MAX CAN '!AH$4,'7. PGE_Efficacité'!$A$4:$BU$4,0)+31),0)</f>
        <v>0</v>
      </c>
      <c r="AI145" s="212">
        <f>VLOOKUP($E145,'7. PGE_Efficacité'!$A$6:$BT$266,(MATCH('4.6 ACE MAX CAN '!AI$4,'7. PGE_Efficacité'!$A$4:$BU$4,0)+31),0)</f>
        <v>0</v>
      </c>
      <c r="AJ145" s="212">
        <f>VLOOKUP($E145,'7. PGE_Efficacité'!$A$6:$BT$266,(MATCH('4.6 ACE MAX CAN '!AJ$4,'7. PGE_Efficacité'!$A$4:$BU$4,0)+31),0)</f>
        <v>0</v>
      </c>
      <c r="AK145" s="212">
        <f>VLOOKUP($E145,'7. PGE_Efficacité'!$A$6:$BT$266,(MATCH('4.6 ACE MAX CAN '!AK$4,'7. PGE_Efficacité'!$A$4:$BU$4,0)+31),0)</f>
        <v>0</v>
      </c>
      <c r="AL145" s="212">
        <f>VLOOKUP($E145,'7. PGE_Efficacité'!$A$6:$BT$266,(MATCH('4.6 ACE MAX CAN '!AL$4,'7. PGE_Efficacité'!$A$4:$BU$4,0)+31),0)</f>
        <v>0</v>
      </c>
      <c r="AM145" s="212">
        <f>VLOOKUP($E145,'7. PGE_Efficacité'!$A$6:$BT$266,(MATCH('4.6 ACE MAX CAN '!AM$4,'7. PGE_Efficacité'!$A$4:$BU$4,0)+31),0)</f>
        <v>0</v>
      </c>
      <c r="AN145" s="212">
        <f>VLOOKUP($E145,'7. PGE_Efficacité'!$A$6:$BT$266,(MATCH('4.6 ACE MAX CAN '!AN$4,'7. PGE_Efficacité'!$A$4:$BU$4,0)+31),0)</f>
        <v>0</v>
      </c>
    </row>
    <row r="146" spans="1:40" outlineLevel="2" x14ac:dyDescent="0.25">
      <c r="D146" s="12" t="s">
        <v>26</v>
      </c>
      <c r="E146" s="12" t="s">
        <v>2608</v>
      </c>
      <c r="F146" s="12" t="s">
        <v>3007</v>
      </c>
      <c r="G146" s="12" t="s">
        <v>1521</v>
      </c>
      <c r="H146" s="249" t="s">
        <v>1290</v>
      </c>
      <c r="I146" s="148"/>
      <c r="J146" s="212">
        <f>VLOOKUP($E146,'7. PGE_Efficacité'!$A$6:$BT$266,(MATCH('4.6 ACE MAX CAN '!J$4,'7. PGE_Efficacité'!$A$4:$BU$4,0)+31),0)</f>
        <v>0</v>
      </c>
      <c r="K146" s="212">
        <f>VLOOKUP($E146,'7. PGE_Efficacité'!$A$6:$BT$266,(MATCH('4.6 ACE MAX CAN '!K$4,'7. PGE_Efficacité'!$A$4:$BU$4,0)+31),0)</f>
        <v>0</v>
      </c>
      <c r="L146" s="212">
        <f>VLOOKUP($E146,'7. PGE_Efficacité'!$A$6:$BT$266,(MATCH('4.6 ACE MAX CAN '!L$4,'7. PGE_Efficacité'!$A$4:$BU$4,0)+31),0)</f>
        <v>0</v>
      </c>
      <c r="M146" s="212">
        <f>VLOOKUP($E146,'7. PGE_Efficacité'!$A$6:$BT$266,(MATCH('4.6 ACE MAX CAN '!M$4,'7. PGE_Efficacité'!$A$4:$BU$4,0)+31),0)</f>
        <v>0</v>
      </c>
      <c r="N146" s="212">
        <f>VLOOKUP($E146,'7. PGE_Efficacité'!$A$6:$BT$266,(MATCH('4.6 ACE MAX CAN '!N$4,'7. PGE_Efficacité'!$A$4:$BU$4,0)+31),0)</f>
        <v>0</v>
      </c>
      <c r="O146" s="212">
        <f>VLOOKUP($E146,'7. PGE_Efficacité'!$A$6:$BT$268,47,0)</f>
        <v>0</v>
      </c>
      <c r="P146" s="212">
        <f>VLOOKUP($E146,'7. PGE_Efficacité'!$A$6:$BT$266,(MATCH('4.6 ACE MAX CAN '!P$4,'7. PGE_Efficacité'!$A$4:$BU$4,0)+31),0)</f>
        <v>0</v>
      </c>
      <c r="Q146" s="212">
        <f>VLOOKUP($E146,'7. PGE_Efficacité'!$A$6:$BT$266,(MATCH('4.6 ACE MAX CAN '!Q$4,'7. PGE_Efficacité'!$A$4:$BU$4,0)+31),0)</f>
        <v>0</v>
      </c>
      <c r="R146" s="212">
        <f>VLOOKUP($E146,'7. PGE_Efficacité'!$A$6:$BT$266,(MATCH('4.6 ACE MAX CAN '!R$4,'7. PGE_Efficacité'!$A$4:$BU$4,0)+31),0)</f>
        <v>0</v>
      </c>
      <c r="S146" s="212">
        <f>VLOOKUP($E146,'7. PGE_Efficacité'!$A$6:$BT$266,(MATCH('4.6 ACE MAX CAN '!S$4,'7. PGE_Efficacité'!$A$4:$BU$4,0)+31),0)</f>
        <v>0</v>
      </c>
      <c r="T146" s="212">
        <f>VLOOKUP($E146,'7. PGE_Efficacité'!$A$6:$BT$266,(MATCH('4.6 ACE MAX CAN '!T$4,'7. PGE_Efficacité'!$A$4:$BU$4,0)+31),0)</f>
        <v>0</v>
      </c>
      <c r="U146" s="212">
        <f>VLOOKUP($E146,'7. PGE_Efficacité'!$A$6:$BT$266,(MATCH('4.6 ACE MAX CAN '!U$4,'7. PGE_Efficacité'!$A$4:$BU$4,0)+31),0)</f>
        <v>0</v>
      </c>
      <c r="V146" s="212">
        <f>VLOOKUP($E146,'7. PGE_Efficacité'!$A$6:$BT$266,(MATCH('4.6 ACE MAX CAN '!V$4,'7. PGE_Efficacité'!$A$4:$BU$4,0)+31),0)</f>
        <v>0</v>
      </c>
      <c r="W146" s="212">
        <f>VLOOKUP($E146,'7. PGE_Efficacité'!$A$6:$BT$266,(MATCH('4.6 ACE MAX CAN '!W$4,'7. PGE_Efficacité'!$A$4:$BU$4,0)+31),0)</f>
        <v>0</v>
      </c>
      <c r="X146" s="212">
        <f>VLOOKUP($E146,'7. PGE_Efficacité'!$A$6:$BT$266,(MATCH('4.6 ACE MAX CAN '!X$4,'7. PGE_Efficacité'!$A$4:$BU$4,0)+31),0)</f>
        <v>0</v>
      </c>
      <c r="Y146" s="212">
        <f>VLOOKUP($E146,'7. PGE_Efficacité'!$A$6:$BT$266,(MATCH('4.6 ACE MAX CAN '!Y$4,'7. PGE_Efficacité'!$A$4:$BU$4,0)+31),0)</f>
        <v>0</v>
      </c>
      <c r="Z146" s="212">
        <f>VLOOKUP($E146,'7. PGE_Efficacité'!$A$6:$BT$266,(MATCH('4.6 ACE MAX CAN '!Z$4,'7. PGE_Efficacité'!$A$4:$BU$4,0)+31),0)</f>
        <v>0</v>
      </c>
      <c r="AA146" s="212">
        <f>VLOOKUP($E146,'7. PGE_Efficacité'!$A$6:$BT$266,(MATCH('4.6 ACE MAX CAN '!AA$4,'7. PGE_Efficacité'!$A$4:$BU$4,0)+31),0)</f>
        <v>0</v>
      </c>
      <c r="AB146" s="212">
        <f>VLOOKUP($E146,'7. PGE_Efficacité'!$A$6:$BT$266,(MATCH('4.6 ACE MAX CAN '!AB$4,'7. PGE_Efficacité'!$A$4:$BU$4,0)+31),0)</f>
        <v>0</v>
      </c>
      <c r="AC146" s="212">
        <f>VLOOKUP($E146,'7. PGE_Efficacité'!$A$6:$BT$266,(MATCH('4.6 ACE MAX CAN '!AC$4,'7. PGE_Efficacité'!$A$4:$BU$4,0)+31),0)</f>
        <v>0</v>
      </c>
      <c r="AD146" s="212">
        <f>VLOOKUP($E146,'7. PGE_Efficacité'!$A$6:$BT$266,(MATCH('4.6 ACE MAX CAN '!AD$4,'7. PGE_Efficacité'!$A$4:$BU$4,0)+31),0)</f>
        <v>0</v>
      </c>
      <c r="AE146" s="212">
        <f>VLOOKUP($E146,'7. PGE_Efficacité'!$A$6:$BT$266,(MATCH('4.6 ACE MAX CAN '!AE$4,'7. PGE_Efficacité'!$A$4:$BU$4,0)+31),0)</f>
        <v>0</v>
      </c>
      <c r="AF146" s="212">
        <f>VLOOKUP($E146,'7. PGE_Efficacité'!$A$6:$BT$266,(MATCH('4.6 ACE MAX CAN '!AF$4,'7. PGE_Efficacité'!$A$4:$BU$4,0)+31),0)</f>
        <v>0</v>
      </c>
      <c r="AG146" s="212">
        <f>VLOOKUP($E146,'7. PGE_Efficacité'!$A$6:$BT$266,(MATCH('4.6 ACE MAX CAN '!AG$4,'7. PGE_Efficacité'!$A$4:$BU$4,0)+31),0)</f>
        <v>0</v>
      </c>
      <c r="AH146" s="212">
        <f>VLOOKUP($E146,'7. PGE_Efficacité'!$A$6:$BT$266,(MATCH('4.6 ACE MAX CAN '!AH$4,'7. PGE_Efficacité'!$A$4:$BU$4,0)+31),0)</f>
        <v>0</v>
      </c>
      <c r="AI146" s="212">
        <f>VLOOKUP($E146,'7. PGE_Efficacité'!$A$6:$BT$266,(MATCH('4.6 ACE MAX CAN '!AI$4,'7. PGE_Efficacité'!$A$4:$BU$4,0)+31),0)</f>
        <v>0</v>
      </c>
      <c r="AJ146" s="212">
        <f>VLOOKUP($E146,'7. PGE_Efficacité'!$A$6:$BT$266,(MATCH('4.6 ACE MAX CAN '!AJ$4,'7. PGE_Efficacité'!$A$4:$BU$4,0)+31),0)</f>
        <v>0</v>
      </c>
      <c r="AK146" s="212">
        <f>VLOOKUP($E146,'7. PGE_Efficacité'!$A$6:$BT$266,(MATCH('4.6 ACE MAX CAN '!AK$4,'7. PGE_Efficacité'!$A$4:$BU$4,0)+31),0)</f>
        <v>0</v>
      </c>
      <c r="AL146" s="212">
        <f>VLOOKUP($E146,'7. PGE_Efficacité'!$A$6:$BT$266,(MATCH('4.6 ACE MAX CAN '!AL$4,'7. PGE_Efficacité'!$A$4:$BU$4,0)+31),0)</f>
        <v>0</v>
      </c>
      <c r="AM146" s="212">
        <f>VLOOKUP($E146,'7. PGE_Efficacité'!$A$6:$BT$266,(MATCH('4.6 ACE MAX CAN '!AM$4,'7. PGE_Efficacité'!$A$4:$BU$4,0)+31),0)</f>
        <v>0</v>
      </c>
      <c r="AN146" s="212">
        <f>VLOOKUP($E146,'7. PGE_Efficacité'!$A$6:$BT$266,(MATCH('4.6 ACE MAX CAN '!AN$4,'7. PGE_Efficacité'!$A$4:$BU$4,0)+31),0)</f>
        <v>0</v>
      </c>
    </row>
    <row r="147" spans="1:40" ht="26.25" outlineLevel="1" x14ac:dyDescent="0.25">
      <c r="D147" s="360" t="s">
        <v>27</v>
      </c>
      <c r="E147" s="360"/>
      <c r="F147" s="361" t="str">
        <f>VLOOKUP(D147,'1. Mesures'!$A$2:$B$116,2,0)</f>
        <v>Identifier les opportunités de connexion au réseau hydrographique des eaux claires actuellement perdues par temps sec dans le réseau d’égouttage et définir un débit minimum écologique et une hauteur d'eau minimale pour les masses d'eau</v>
      </c>
      <c r="G147" s="360"/>
      <c r="H147" s="360"/>
      <c r="I147" s="362">
        <f>MEDIAN(VLOOKUP(D147,'4. Mesures_ACE_Budget'!$A$3:$R$32,17,0),VLOOKUP(D147,'4. Mesures_ACE_Budget'!$A$3:$R$32,18,0))</f>
        <v>0</v>
      </c>
      <c r="J147" s="212">
        <f>VLOOKUP($D147,'7. PGE_Efficacité'!$A$6:$BT$266,(MATCH('4.6 ACE MAX CAN '!J$4,'7. PGE_Efficacité'!$A$4:$AO$4,0)+31),0)</f>
        <v>0</v>
      </c>
      <c r="K147" s="212" t="str">
        <f>VLOOKUP($D147,'7. PGE_Efficacité'!$A$6:$BT$266,(MATCH('4.6 ACE MAX CAN '!K$4,'7. PGE_Efficacité'!$A$4:$AO$4,0)+31),0)</f>
        <v>+</v>
      </c>
      <c r="L147" s="212" t="str">
        <f>VLOOKUP($D147,'7. PGE_Efficacité'!$A$6:$BT$266,(MATCH('4.6 ACE MAX CAN '!L$4,'7. PGE_Efficacité'!$A$4:$AO$4,0)+31),0)</f>
        <v>+</v>
      </c>
      <c r="M147" s="212" t="str">
        <f>VLOOKUP($D147,'7. PGE_Efficacité'!$A$6:$BT$266,(MATCH('4.6 ACE MAX CAN '!M$4,'7. PGE_Efficacité'!$A$4:$AO$4,0)+31),0)</f>
        <v>+</v>
      </c>
      <c r="N147" s="212" t="str">
        <f>VLOOKUP($D147,'7. PGE_Efficacité'!$A$6:$BT$266,(MATCH('4.6 ACE MAX CAN '!N$4,'7. PGE_Efficacité'!$A$4:$AO$4,0)+31),0)</f>
        <v>+</v>
      </c>
      <c r="O147" s="212" t="str">
        <f>VLOOKUP($D147,'7. PGE_Efficacité'!$A$6:$BT$268,47,0)</f>
        <v>+</v>
      </c>
      <c r="P147" s="212">
        <f>VLOOKUP($D147,'7. PGE_Efficacité'!$A$6:$BT$266,(MATCH('4.6 ACE MAX CAN '!P$4,'7. PGE_Efficacité'!$A$4:$AO$4,0)+31),0)</f>
        <v>0</v>
      </c>
      <c r="Q147" s="212" t="str">
        <f>VLOOKUP($D147,'7. PGE_Efficacité'!$A$6:$BT$266,(MATCH('4.6 ACE MAX CAN '!Q$4,'7. PGE_Efficacité'!$A$4:$AO$4,0)+31),0)</f>
        <v>+</v>
      </c>
      <c r="R147" s="212" t="str">
        <f>VLOOKUP($D147,'7. PGE_Efficacité'!$A$6:$BT$266,(MATCH('4.6 ACE MAX CAN '!R$4,'7. PGE_Efficacité'!$A$4:$AO$4,0)+31),0)</f>
        <v>+</v>
      </c>
      <c r="S147" s="212">
        <f>VLOOKUP($D147,'7. PGE_Efficacité'!$A$6:$BT$266,(MATCH('4.6 ACE MAX CAN '!S$4,'7. PGE_Efficacité'!$A$4:$AO$4,0)+31),0)</f>
        <v>0</v>
      </c>
      <c r="T147" s="212" t="str">
        <f>VLOOKUP($D147,'7. PGE_Efficacité'!$A$6:$BT$266,(MATCH('4.6 ACE MAX CAN '!T$4,'7. PGE_Efficacité'!$A$4:$AO$4,0)+31),0)</f>
        <v>+</v>
      </c>
      <c r="U147" s="212" t="str">
        <f>VLOOKUP($D147,'7. PGE_Efficacité'!$A$6:$BT$266,(MATCH('4.6 ACE MAX CAN '!U$4,'7. PGE_Efficacité'!$A$4:$AO$4,0)+31),0)</f>
        <v>+</v>
      </c>
      <c r="V147" s="212" t="str">
        <f>VLOOKUP($D147,'7. PGE_Efficacité'!$A$6:$BT$266,(MATCH('4.6 ACE MAX CAN '!V$4,'7. PGE_Efficacité'!$A$4:$AO$4,0)+31),0)</f>
        <v>+</v>
      </c>
      <c r="W147" s="212" t="str">
        <f>VLOOKUP($D147,'7. PGE_Efficacité'!$A$6:$BT$266,(MATCH('4.6 ACE MAX CAN '!W$4,'7. PGE_Efficacité'!$A$4:$AO$4,0)+31),0)</f>
        <v>+</v>
      </c>
      <c r="X147" s="212">
        <f>VLOOKUP($D147,'7. PGE_Efficacité'!$A$6:$BT$266,(MATCH('4.6 ACE MAX CAN '!X$4,'7. PGE_Efficacité'!$A$4:$AO$4,0)+31),0)</f>
        <v>0</v>
      </c>
      <c r="Y147" s="212" t="str">
        <f>VLOOKUP($D147,'7. PGE_Efficacité'!$A$6:$BT$266,(MATCH('4.6 ACE MAX CAN '!Y$4,'7. PGE_Efficacité'!$A$4:$AO$4,0)+31),0)</f>
        <v>+</v>
      </c>
      <c r="Z147" s="212" t="str">
        <f>VLOOKUP($D147,'7. PGE_Efficacité'!$A$6:$BT$266,(MATCH('4.6 ACE MAX CAN '!Z$4,'7. PGE_Efficacité'!$A$4:$AO$4,0)+31),0)</f>
        <v>+</v>
      </c>
      <c r="AA147" s="212">
        <f>VLOOKUP($D147,'7. PGE_Efficacité'!$A$6:$BT$266,(MATCH('4.6 ACE MAX CAN '!AA$4,'7. PGE_Efficacité'!$A$4:$AO$4,0)+31),0)</f>
        <v>0</v>
      </c>
      <c r="AB147" s="212">
        <f>VLOOKUP($D147,'7. PGE_Efficacité'!$A$6:$BT$266,(MATCH('4.6 ACE MAX CAN '!AB$4,'7. PGE_Efficacité'!$A$4:$AO$4,0)+31),0)</f>
        <v>0</v>
      </c>
      <c r="AC147" s="212">
        <f>VLOOKUP($D147,'7. PGE_Efficacité'!$A$6:$BT$266,(MATCH('4.6 ACE MAX CAN '!AC$4,'7. PGE_Efficacité'!$A$4:$AO$4,0)+31),0)</f>
        <v>0</v>
      </c>
      <c r="AD147" s="212">
        <f>VLOOKUP($D147,'7. PGE_Efficacité'!$A$6:$BT$266,(MATCH('4.6 ACE MAX CAN '!AD$4,'7. PGE_Efficacité'!$A$4:$AO$4,0)+31),0)</f>
        <v>0</v>
      </c>
      <c r="AE147" s="212">
        <f>VLOOKUP($D147,'7. PGE_Efficacité'!$A$6:$BT$266,(MATCH('4.6 ACE MAX CAN '!AE$4,'7. PGE_Efficacité'!$A$4:$AO$4,0)+31),0)</f>
        <v>0</v>
      </c>
      <c r="AF147" s="212">
        <f>VLOOKUP($D147,'7. PGE_Efficacité'!$A$6:$BT$266,(MATCH('4.6 ACE MAX CAN '!AF$4,'7. PGE_Efficacité'!$A$4:$AO$4,0)+31),0)</f>
        <v>0</v>
      </c>
      <c r="AG147" s="212">
        <f>VLOOKUP($D147,'7. PGE_Efficacité'!$A$6:$BT$266,(MATCH('4.6 ACE MAX CAN '!AG$4,'7. PGE_Efficacité'!$A$4:$AO$4,0)+31),0)</f>
        <v>0</v>
      </c>
      <c r="AH147" s="212">
        <f>VLOOKUP($D147,'7. PGE_Efficacité'!$A$6:$BT$266,(MATCH('4.6 ACE MAX CAN '!AH$4,'7. PGE_Efficacité'!$A$4:$AO$4,0)+31),0)</f>
        <v>0</v>
      </c>
      <c r="AI147" s="212">
        <f>VLOOKUP($D147,'7. PGE_Efficacité'!$A$6:$BT$266,(MATCH('4.6 ACE MAX CAN '!AI$4,'7. PGE_Efficacité'!$A$4:$AO$4,0)+31),0)</f>
        <v>0</v>
      </c>
      <c r="AJ147" s="212">
        <f>VLOOKUP($D147,'7. PGE_Efficacité'!$A$6:$BT$266,(MATCH('4.6 ACE MAX CAN '!AJ$4,'7. PGE_Efficacité'!$A$4:$AO$4,0)+31),0)</f>
        <v>0</v>
      </c>
      <c r="AK147" s="212" t="str">
        <f>VLOOKUP($D147,'7. PGE_Efficacité'!$A$6:$BT$266,(MATCH('4.6 ACE MAX CAN '!AK$4,'7. PGE_Efficacité'!$A$4:$AO$4,0)+31),0)</f>
        <v>+</v>
      </c>
      <c r="AL147" s="212">
        <f>VLOOKUP($D147,'7. PGE_Efficacité'!$A$6:$BT$266,(MATCH('4.6 ACE MAX CAN '!AL$4,'7. PGE_Efficacité'!$A$4:$AO$4,0)+31),0)</f>
        <v>0</v>
      </c>
      <c r="AM147" s="212" t="str">
        <f>VLOOKUP($D147,'7. PGE_Efficacité'!$A$6:$BT$266,(MATCH('4.6 ACE MAX CAN '!AM$4,'7. PGE_Efficacité'!$A$4:$AO$4,0)+31),0)</f>
        <v>+</v>
      </c>
      <c r="AN147" s="212" t="str">
        <f>VLOOKUP($D147,'7. PGE_Efficacité'!$A$6:$BT$266,(MATCH('4.6 ACE MAX CAN '!AN$4,'7. PGE_Efficacité'!$A$4:$AO$4,0)+31),0)</f>
        <v>+</v>
      </c>
    </row>
    <row r="148" spans="1:40" outlineLevel="2" x14ac:dyDescent="0.25">
      <c r="A148" t="s">
        <v>1524</v>
      </c>
      <c r="B148">
        <v>27</v>
      </c>
      <c r="C148" t="s">
        <v>1524</v>
      </c>
      <c r="D148" s="12" t="s">
        <v>27</v>
      </c>
      <c r="E148" s="12" t="s">
        <v>763</v>
      </c>
      <c r="F148" s="12" t="s">
        <v>1409</v>
      </c>
      <c r="G148" s="12" t="s">
        <v>1521</v>
      </c>
      <c r="H148" s="12" t="s">
        <v>1290</v>
      </c>
      <c r="I148" s="148"/>
      <c r="J148" s="149">
        <f>VLOOKUP($E148,'7. PGE_Efficacité'!$A$6:$BT$266,(MATCH('4.6 ACE MAX CAN '!J$4,'7. PGE_Efficacité'!$A$4:$BU$4,0)+31),0)</f>
        <v>0</v>
      </c>
      <c r="K148" s="149">
        <f>VLOOKUP($E148,'7. PGE_Efficacité'!$A$6:$BT$266,(MATCH('4.6 ACE MAX CAN '!K$4,'7. PGE_Efficacité'!$A$4:$BU$4,0)+31),0)</f>
        <v>0</v>
      </c>
      <c r="L148" s="149">
        <f>VLOOKUP($E148,'7. PGE_Efficacité'!$A$6:$BT$266,(MATCH('4.6 ACE MAX CAN '!L$4,'7. PGE_Efficacité'!$A$4:$BU$4,0)+31),0)</f>
        <v>0</v>
      </c>
      <c r="M148" s="149">
        <f>VLOOKUP($E148,'7. PGE_Efficacité'!$A$6:$BT$266,(MATCH('4.6 ACE MAX CAN '!M$4,'7. PGE_Efficacité'!$A$4:$BU$4,0)+31),0)</f>
        <v>0</v>
      </c>
      <c r="N148" s="149">
        <f>VLOOKUP($E148,'7. PGE_Efficacité'!$A$6:$BT$266,(MATCH('4.6 ACE MAX CAN '!N$4,'7. PGE_Efficacité'!$A$4:$BU$4,0)+31),0)</f>
        <v>0</v>
      </c>
      <c r="O148" s="149" t="str">
        <f>VLOOKUP($D148,'7. PGE_Efficacité'!$A$6:$BT$268,47,0)</f>
        <v>+</v>
      </c>
      <c r="P148" s="149">
        <f>VLOOKUP($E148,'7. PGE_Efficacité'!$A$6:$BT$266,(MATCH('4.6 ACE MAX CAN '!P$4,'7. PGE_Efficacité'!$A$4:$BU$4,0)+31),0)</f>
        <v>0</v>
      </c>
      <c r="Q148" s="149">
        <f>VLOOKUP($E148,'7. PGE_Efficacité'!$A$6:$BT$266,(MATCH('4.6 ACE MAX CAN '!Q$4,'7. PGE_Efficacité'!$A$4:$BU$4,0)+31),0)</f>
        <v>0</v>
      </c>
      <c r="R148" s="149">
        <f>VLOOKUP($E148,'7. PGE_Efficacité'!$A$6:$BT$266,(MATCH('4.6 ACE MAX CAN '!R$4,'7. PGE_Efficacité'!$A$4:$BU$4,0)+31),0)</f>
        <v>0</v>
      </c>
      <c r="S148" s="149">
        <f>VLOOKUP($E148,'7. PGE_Efficacité'!$A$6:$BT$266,(MATCH('4.6 ACE MAX CAN '!S$4,'7. PGE_Efficacité'!$A$4:$BU$4,0)+31),0)</f>
        <v>0</v>
      </c>
      <c r="T148" s="149">
        <f>VLOOKUP($E148,'7. PGE_Efficacité'!$A$6:$BT$266,(MATCH('4.6 ACE MAX CAN '!T$4,'7. PGE_Efficacité'!$A$4:$BU$4,0)+31),0)</f>
        <v>0</v>
      </c>
      <c r="U148" s="149">
        <f>VLOOKUP($E148,'7. PGE_Efficacité'!$A$6:$BT$266,(MATCH('4.6 ACE MAX CAN '!U$4,'7. PGE_Efficacité'!$A$4:$BU$4,0)+31),0)</f>
        <v>0</v>
      </c>
      <c r="V148" s="149">
        <f>VLOOKUP($E148,'7. PGE_Efficacité'!$A$6:$BT$266,(MATCH('4.6 ACE MAX CAN '!V$4,'7. PGE_Efficacité'!$A$4:$BU$4,0)+31),0)</f>
        <v>0</v>
      </c>
      <c r="W148" s="149">
        <f>VLOOKUP($E148,'7. PGE_Efficacité'!$A$6:$BT$266,(MATCH('4.6 ACE MAX CAN '!W$4,'7. PGE_Efficacité'!$A$4:$BU$4,0)+31),0)</f>
        <v>0</v>
      </c>
      <c r="X148" s="149">
        <f>VLOOKUP($E148,'7. PGE_Efficacité'!$A$6:$BT$266,(MATCH('4.6 ACE MAX CAN '!X$4,'7. PGE_Efficacité'!$A$4:$BU$4,0)+31),0)</f>
        <v>0</v>
      </c>
      <c r="Y148" s="149">
        <f>VLOOKUP($E148,'7. PGE_Efficacité'!$A$6:$BT$266,(MATCH('4.6 ACE MAX CAN '!Y$4,'7. PGE_Efficacité'!$A$4:$BU$4,0)+31),0)</f>
        <v>0</v>
      </c>
      <c r="Z148" s="149">
        <f>VLOOKUP($E148,'7. PGE_Efficacité'!$A$6:$BT$266,(MATCH('4.6 ACE MAX CAN '!Z$4,'7. PGE_Efficacité'!$A$4:$BU$4,0)+31),0)</f>
        <v>0</v>
      </c>
      <c r="AA148" s="149">
        <f>VLOOKUP($E148,'7. PGE_Efficacité'!$A$6:$BT$266,(MATCH('4.6 ACE MAX CAN '!AA$4,'7. PGE_Efficacité'!$A$4:$BU$4,0)+31),0)</f>
        <v>0</v>
      </c>
      <c r="AB148" s="149">
        <f>VLOOKUP($E148,'7. PGE_Efficacité'!$A$6:$BT$266,(MATCH('4.6 ACE MAX CAN '!AB$4,'7. PGE_Efficacité'!$A$4:$BU$4,0)+31),0)</f>
        <v>0</v>
      </c>
      <c r="AC148" s="149">
        <f>VLOOKUP($E148,'7. PGE_Efficacité'!$A$6:$BT$266,(MATCH('4.6 ACE MAX CAN '!AC$4,'7. PGE_Efficacité'!$A$4:$BU$4,0)+31),0)</f>
        <v>0</v>
      </c>
      <c r="AD148" s="149">
        <f>VLOOKUP($E148,'7. PGE_Efficacité'!$A$6:$BT$266,(MATCH('4.6 ACE MAX CAN '!AD$4,'7. PGE_Efficacité'!$A$4:$BU$4,0)+31),0)</f>
        <v>0</v>
      </c>
      <c r="AE148" s="149">
        <f>VLOOKUP($E148,'7. PGE_Efficacité'!$A$6:$BT$266,(MATCH('4.6 ACE MAX CAN '!AE$4,'7. PGE_Efficacité'!$A$4:$BU$4,0)+31),0)</f>
        <v>0</v>
      </c>
      <c r="AF148" s="149">
        <f>VLOOKUP($E148,'7. PGE_Efficacité'!$A$6:$BT$266,(MATCH('4.6 ACE MAX CAN '!AF$4,'7. PGE_Efficacité'!$A$4:$BU$4,0)+31),0)</f>
        <v>0</v>
      </c>
      <c r="AG148" s="149">
        <f>VLOOKUP($E148,'7. PGE_Efficacité'!$A$6:$BT$266,(MATCH('4.6 ACE MAX CAN '!AG$4,'7. PGE_Efficacité'!$A$4:$BU$4,0)+31),0)</f>
        <v>0</v>
      </c>
      <c r="AH148" s="149">
        <f>VLOOKUP($E148,'7. PGE_Efficacité'!$A$6:$BT$266,(MATCH('4.6 ACE MAX CAN '!AH$4,'7. PGE_Efficacité'!$A$4:$BU$4,0)+31),0)</f>
        <v>0</v>
      </c>
      <c r="AI148" s="149">
        <f>VLOOKUP($E148,'7. PGE_Efficacité'!$A$6:$BT$266,(MATCH('4.6 ACE MAX CAN '!AI$4,'7. PGE_Efficacité'!$A$4:$BU$4,0)+31),0)</f>
        <v>0</v>
      </c>
      <c r="AJ148" s="149">
        <f>VLOOKUP($E148,'7. PGE_Efficacité'!$A$6:$BT$266,(MATCH('4.6 ACE MAX CAN '!AJ$4,'7. PGE_Efficacité'!$A$4:$BU$4,0)+31),0)</f>
        <v>0</v>
      </c>
      <c r="AK148" s="149">
        <f>VLOOKUP($E148,'7. PGE_Efficacité'!$A$6:$BT$266,(MATCH('4.6 ACE MAX CAN '!AK$4,'7. PGE_Efficacité'!$A$4:$BU$4,0)+31),0)</f>
        <v>0</v>
      </c>
      <c r="AL148" s="149">
        <f>VLOOKUP($E148,'7. PGE_Efficacité'!$A$6:$BT$266,(MATCH('4.6 ACE MAX CAN '!AL$4,'7. PGE_Efficacité'!$A$4:$BU$4,0)+31),0)</f>
        <v>0</v>
      </c>
      <c r="AM148" s="149">
        <f>VLOOKUP($E148,'7. PGE_Efficacité'!$A$6:$BT$266,(MATCH('4.6 ACE MAX CAN '!AM$4,'7. PGE_Efficacité'!$A$4:$BU$4,0)+31),0)</f>
        <v>0</v>
      </c>
      <c r="AN148" s="149">
        <f>VLOOKUP($E148,'7. PGE_Efficacité'!$A$6:$BT$266,(MATCH('4.6 ACE MAX CAN '!AN$4,'7. PGE_Efficacité'!$A$4:$BU$4,0)+31),0)</f>
        <v>0</v>
      </c>
    </row>
    <row r="149" spans="1:40" outlineLevel="2" x14ac:dyDescent="0.25">
      <c r="A149" t="s">
        <v>1524</v>
      </c>
      <c r="B149">
        <v>27</v>
      </c>
      <c r="C149" t="s">
        <v>1514</v>
      </c>
      <c r="D149" s="12" t="s">
        <v>27</v>
      </c>
      <c r="E149" s="12" t="s">
        <v>1599</v>
      </c>
      <c r="F149" s="12" t="s">
        <v>1411</v>
      </c>
      <c r="G149" s="12" t="s">
        <v>1521</v>
      </c>
      <c r="H149" s="12" t="s">
        <v>1288</v>
      </c>
      <c r="I149" s="148"/>
      <c r="J149" s="149">
        <f>VLOOKUP($E149,'7. PGE_Efficacité'!$A$6:$BT$266,(MATCH('4.6 ACE MAX CAN '!J$4,'7. PGE_Efficacité'!$A$4:$BU$4,0)+31),0)</f>
        <v>0</v>
      </c>
      <c r="K149" s="149">
        <f>VLOOKUP($E149,'7. PGE_Efficacité'!$A$6:$BT$266,(MATCH('4.6 ACE MAX CAN '!K$4,'7. PGE_Efficacité'!$A$4:$BU$4,0)+31),0)</f>
        <v>0</v>
      </c>
      <c r="L149" s="149">
        <f>VLOOKUP($E149,'7. PGE_Efficacité'!$A$6:$BT$266,(MATCH('4.6 ACE MAX CAN '!L$4,'7. PGE_Efficacité'!$A$4:$BU$4,0)+31),0)</f>
        <v>0</v>
      </c>
      <c r="M149" s="149">
        <f>VLOOKUP($E149,'7. PGE_Efficacité'!$A$6:$BT$266,(MATCH('4.6 ACE MAX CAN '!M$4,'7. PGE_Efficacité'!$A$4:$BU$4,0)+31),0)</f>
        <v>0</v>
      </c>
      <c r="N149" s="149">
        <f>VLOOKUP($E149,'7. PGE_Efficacité'!$A$6:$BT$266,(MATCH('4.6 ACE MAX CAN '!N$4,'7. PGE_Efficacité'!$A$4:$BU$4,0)+31),0)</f>
        <v>0</v>
      </c>
      <c r="O149" s="149" t="str">
        <f>VLOOKUP($D149,'7. PGE_Efficacité'!$A$6:$BT$268,47,0)</f>
        <v>+</v>
      </c>
      <c r="P149" s="149">
        <f>VLOOKUP($E149,'7. PGE_Efficacité'!$A$6:$BT$266,(MATCH('4.6 ACE MAX CAN '!P$4,'7. PGE_Efficacité'!$A$4:$BU$4,0)+31),0)</f>
        <v>0</v>
      </c>
      <c r="Q149" s="149">
        <f>VLOOKUP($E149,'7. PGE_Efficacité'!$A$6:$BT$266,(MATCH('4.6 ACE MAX CAN '!Q$4,'7. PGE_Efficacité'!$A$4:$BU$4,0)+31),0)</f>
        <v>0</v>
      </c>
      <c r="R149" s="149">
        <f>VLOOKUP($E149,'7. PGE_Efficacité'!$A$6:$BT$266,(MATCH('4.6 ACE MAX CAN '!R$4,'7. PGE_Efficacité'!$A$4:$BU$4,0)+31),0)</f>
        <v>0</v>
      </c>
      <c r="S149" s="149">
        <f>VLOOKUP($E149,'7. PGE_Efficacité'!$A$6:$BT$266,(MATCH('4.6 ACE MAX CAN '!S$4,'7. PGE_Efficacité'!$A$4:$BU$4,0)+31),0)</f>
        <v>0</v>
      </c>
      <c r="T149" s="149">
        <f>VLOOKUP($E149,'7. PGE_Efficacité'!$A$6:$BT$266,(MATCH('4.6 ACE MAX CAN '!T$4,'7. PGE_Efficacité'!$A$4:$BU$4,0)+31),0)</f>
        <v>0</v>
      </c>
      <c r="U149" s="149">
        <f>VLOOKUP($E149,'7. PGE_Efficacité'!$A$6:$BT$266,(MATCH('4.6 ACE MAX CAN '!U$4,'7. PGE_Efficacité'!$A$4:$BU$4,0)+31),0)</f>
        <v>0</v>
      </c>
      <c r="V149" s="149">
        <f>VLOOKUP($E149,'7. PGE_Efficacité'!$A$6:$BT$266,(MATCH('4.6 ACE MAX CAN '!V$4,'7. PGE_Efficacité'!$A$4:$BU$4,0)+31),0)</f>
        <v>0</v>
      </c>
      <c r="W149" s="149">
        <f>VLOOKUP($E149,'7. PGE_Efficacité'!$A$6:$BT$266,(MATCH('4.6 ACE MAX CAN '!W$4,'7. PGE_Efficacité'!$A$4:$BU$4,0)+31),0)</f>
        <v>0</v>
      </c>
      <c r="X149" s="149">
        <f>VLOOKUP($E149,'7. PGE_Efficacité'!$A$6:$BT$266,(MATCH('4.6 ACE MAX CAN '!X$4,'7. PGE_Efficacité'!$A$4:$BU$4,0)+31),0)</f>
        <v>0</v>
      </c>
      <c r="Y149" s="149">
        <f>VLOOKUP($E149,'7. PGE_Efficacité'!$A$6:$BT$266,(MATCH('4.6 ACE MAX CAN '!Y$4,'7. PGE_Efficacité'!$A$4:$BU$4,0)+31),0)</f>
        <v>0</v>
      </c>
      <c r="Z149" s="149">
        <f>VLOOKUP($E149,'7. PGE_Efficacité'!$A$6:$BT$266,(MATCH('4.6 ACE MAX CAN '!Z$4,'7. PGE_Efficacité'!$A$4:$BU$4,0)+31),0)</f>
        <v>0</v>
      </c>
      <c r="AA149" s="149">
        <f>VLOOKUP($E149,'7. PGE_Efficacité'!$A$6:$BT$266,(MATCH('4.6 ACE MAX CAN '!AA$4,'7. PGE_Efficacité'!$A$4:$BU$4,0)+31),0)</f>
        <v>0</v>
      </c>
      <c r="AB149" s="149">
        <f>VLOOKUP($E149,'7. PGE_Efficacité'!$A$6:$BT$266,(MATCH('4.6 ACE MAX CAN '!AB$4,'7. PGE_Efficacité'!$A$4:$BU$4,0)+31),0)</f>
        <v>0</v>
      </c>
      <c r="AC149" s="149">
        <f>VLOOKUP($E149,'7. PGE_Efficacité'!$A$6:$BT$266,(MATCH('4.6 ACE MAX CAN '!AC$4,'7. PGE_Efficacité'!$A$4:$BU$4,0)+31),0)</f>
        <v>0</v>
      </c>
      <c r="AD149" s="149">
        <f>VLOOKUP($E149,'7. PGE_Efficacité'!$A$6:$BT$266,(MATCH('4.6 ACE MAX CAN '!AD$4,'7. PGE_Efficacité'!$A$4:$BU$4,0)+31),0)</f>
        <v>0</v>
      </c>
      <c r="AE149" s="149">
        <f>VLOOKUP($E149,'7. PGE_Efficacité'!$A$6:$BT$266,(MATCH('4.6 ACE MAX CAN '!AE$4,'7. PGE_Efficacité'!$A$4:$BU$4,0)+31),0)</f>
        <v>0</v>
      </c>
      <c r="AF149" s="149">
        <f>VLOOKUP($E149,'7. PGE_Efficacité'!$A$6:$BT$266,(MATCH('4.6 ACE MAX CAN '!AF$4,'7. PGE_Efficacité'!$A$4:$BU$4,0)+31),0)</f>
        <v>0</v>
      </c>
      <c r="AG149" s="149">
        <f>VLOOKUP($E149,'7. PGE_Efficacité'!$A$6:$BT$266,(MATCH('4.6 ACE MAX CAN '!AG$4,'7. PGE_Efficacité'!$A$4:$BU$4,0)+31),0)</f>
        <v>0</v>
      </c>
      <c r="AH149" s="149">
        <f>VLOOKUP($E149,'7. PGE_Efficacité'!$A$6:$BT$266,(MATCH('4.6 ACE MAX CAN '!AH$4,'7. PGE_Efficacité'!$A$4:$BU$4,0)+31),0)</f>
        <v>0</v>
      </c>
      <c r="AI149" s="149">
        <f>VLOOKUP($E149,'7. PGE_Efficacité'!$A$6:$BT$266,(MATCH('4.6 ACE MAX CAN '!AI$4,'7. PGE_Efficacité'!$A$4:$BU$4,0)+31),0)</f>
        <v>0</v>
      </c>
      <c r="AJ149" s="149">
        <f>VLOOKUP($E149,'7. PGE_Efficacité'!$A$6:$BT$266,(MATCH('4.6 ACE MAX CAN '!AJ$4,'7. PGE_Efficacité'!$A$4:$BU$4,0)+31),0)</f>
        <v>0</v>
      </c>
      <c r="AK149" s="149">
        <f>VLOOKUP($E149,'7. PGE_Efficacité'!$A$6:$BT$266,(MATCH('4.6 ACE MAX CAN '!AK$4,'7. PGE_Efficacité'!$A$4:$BU$4,0)+31),0)</f>
        <v>0</v>
      </c>
      <c r="AL149" s="149">
        <f>VLOOKUP($E149,'7. PGE_Efficacité'!$A$6:$BT$266,(MATCH('4.6 ACE MAX CAN '!AL$4,'7. PGE_Efficacité'!$A$4:$BU$4,0)+31),0)</f>
        <v>0</v>
      </c>
      <c r="AM149" s="149">
        <f>VLOOKUP($E149,'7. PGE_Efficacité'!$A$6:$BT$266,(MATCH('4.6 ACE MAX CAN '!AM$4,'7. PGE_Efficacité'!$A$4:$BU$4,0)+31),0)</f>
        <v>0</v>
      </c>
      <c r="AN149" s="149">
        <f>VLOOKUP($E149,'7. PGE_Efficacité'!$A$6:$BT$266,(MATCH('4.6 ACE MAX CAN '!AN$4,'7. PGE_Efficacité'!$A$4:$BU$4,0)+31),0)</f>
        <v>0</v>
      </c>
    </row>
    <row r="150" spans="1:40" outlineLevel="1" x14ac:dyDescent="0.25">
      <c r="D150" s="360" t="s">
        <v>38</v>
      </c>
      <c r="E150" s="360"/>
      <c r="F150" s="361" t="str">
        <f>VLOOKUP(D150,'1. Mesures'!$A$2:$B$116,2,0)</f>
        <v xml:space="preserve">Rénover et étendre le réseau d'assainissement afin de réduire les concentrations en nitrates d’origine non agricole </v>
      </c>
      <c r="G150" s="360"/>
      <c r="H150" s="360"/>
      <c r="I150" s="362">
        <f>MEDIAN(VLOOKUP(D150,'4. Mesures_ACE_Budget'!$A$3:$R$32,17,0),VLOOKUP(D150,'4. Mesures_ACE_Budget'!$A$3:$R$32,18,0))</f>
        <v>0</v>
      </c>
      <c r="J150" s="557">
        <f>VLOOKUP($D150,'7. PGE_Efficacité'!$A$6:$BT$266,(MATCH('4.6 ACE MAX CAN '!J$4,'7. PGE_Efficacité'!$A$4:$AO$4,0)+31),0)</f>
        <v>0</v>
      </c>
      <c r="K150" s="557" t="str">
        <f>VLOOKUP($D150,'7. PGE_Efficacité'!$A$6:$BT$266,(MATCH('4.6 ACE MAX CAN '!K$4,'7. PGE_Efficacité'!$A$4:$AO$4,0)+31),0)</f>
        <v>+</v>
      </c>
      <c r="L150" s="557" t="str">
        <f>VLOOKUP($D150,'7. PGE_Efficacité'!$A$6:$BT$266,(MATCH('4.6 ACE MAX CAN '!L$4,'7. PGE_Efficacité'!$A$4:$AO$4,0)+31),0)</f>
        <v>+</v>
      </c>
      <c r="M150" s="557" t="str">
        <f>VLOOKUP($D150,'7. PGE_Efficacité'!$A$6:$BT$266,(MATCH('4.6 ACE MAX CAN '!M$4,'7. PGE_Efficacité'!$A$4:$AO$4,0)+31),0)</f>
        <v>+</v>
      </c>
      <c r="N150" s="557" t="str">
        <f>VLOOKUP($D150,'7. PGE_Efficacité'!$A$6:$BT$266,(MATCH('4.6 ACE MAX CAN '!N$4,'7. PGE_Efficacité'!$A$4:$AO$4,0)+31),0)</f>
        <v>+</v>
      </c>
      <c r="O150" s="557" t="str">
        <f>VLOOKUP($D150,'7. PGE_Efficacité'!$A$6:$BT$268,47,0)</f>
        <v>+</v>
      </c>
      <c r="P150" s="557">
        <f>VLOOKUP($D150,'7. PGE_Efficacité'!$A$6:$BT$266,(MATCH('4.6 ACE MAX CAN '!P$4,'7. PGE_Efficacité'!$A$4:$AO$4,0)+31),0)</f>
        <v>0</v>
      </c>
      <c r="Q150" s="557" t="str">
        <f>VLOOKUP($D150,'7. PGE_Efficacité'!$A$6:$BT$266,(MATCH('4.6 ACE MAX CAN '!Q$4,'7. PGE_Efficacité'!$A$4:$AO$4,0)+31),0)</f>
        <v>+</v>
      </c>
      <c r="R150" s="557" t="str">
        <f>VLOOKUP($D150,'7. PGE_Efficacité'!$A$6:$BT$266,(MATCH('4.6 ACE MAX CAN '!R$4,'7. PGE_Efficacité'!$A$4:$AO$4,0)+31),0)</f>
        <v>+</v>
      </c>
      <c r="S150" s="557">
        <f>VLOOKUP($D150,'7. PGE_Efficacité'!$A$6:$BT$266,(MATCH('4.6 ACE MAX CAN '!S$4,'7. PGE_Efficacité'!$A$4:$AO$4,0)+31),0)</f>
        <v>0</v>
      </c>
      <c r="T150" s="557">
        <f>VLOOKUP($D150,'7. PGE_Efficacité'!$A$6:$BT$266,(MATCH('4.6 ACE MAX CAN '!T$4,'7. PGE_Efficacité'!$A$4:$AO$4,0)+31),0)</f>
        <v>0</v>
      </c>
      <c r="U150" s="557" t="str">
        <f>VLOOKUP($D150,'7. PGE_Efficacité'!$A$6:$BT$266,(MATCH('4.6 ACE MAX CAN '!U$4,'7. PGE_Efficacité'!$A$4:$AO$4,0)+31),0)</f>
        <v>+</v>
      </c>
      <c r="V150" s="557" t="str">
        <f>VLOOKUP($D150,'7. PGE_Efficacité'!$A$6:$BT$266,(MATCH('4.6 ACE MAX CAN '!V$4,'7. PGE_Efficacité'!$A$4:$AO$4,0)+31),0)</f>
        <v>+</v>
      </c>
      <c r="W150" s="557" t="str">
        <f>VLOOKUP($D150,'7. PGE_Efficacité'!$A$6:$BT$266,(MATCH('4.6 ACE MAX CAN '!W$4,'7. PGE_Efficacité'!$A$4:$AO$4,0)+31),0)</f>
        <v>+</v>
      </c>
      <c r="X150" s="557">
        <f>VLOOKUP($D150,'7. PGE_Efficacité'!$A$6:$BT$266,(MATCH('4.6 ACE MAX CAN '!X$4,'7. PGE_Efficacité'!$A$4:$AO$4,0)+31),0)</f>
        <v>0</v>
      </c>
      <c r="Y150" s="557" t="str">
        <f>VLOOKUP($D150,'7. PGE_Efficacité'!$A$6:$BT$266,(MATCH('4.6 ACE MAX CAN '!Y$4,'7. PGE_Efficacité'!$A$4:$AO$4,0)+31),0)</f>
        <v>+</v>
      </c>
      <c r="Z150" s="557" t="str">
        <f>VLOOKUP($D150,'7. PGE_Efficacité'!$A$6:$BT$266,(MATCH('4.6 ACE MAX CAN '!Z$4,'7. PGE_Efficacité'!$A$4:$AO$4,0)+31),0)</f>
        <v>+</v>
      </c>
      <c r="AA150" s="557">
        <f>VLOOKUP($D150,'7. PGE_Efficacité'!$A$6:$BT$266,(MATCH('4.6 ACE MAX CAN '!AA$4,'7. PGE_Efficacité'!$A$4:$AO$4,0)+31),0)</f>
        <v>0</v>
      </c>
      <c r="AB150" s="557">
        <f>VLOOKUP($D150,'7. PGE_Efficacité'!$A$6:$BT$266,(MATCH('4.6 ACE MAX CAN '!AB$4,'7. PGE_Efficacité'!$A$4:$AO$4,0)+31),0)</f>
        <v>0</v>
      </c>
      <c r="AC150" s="557">
        <f>VLOOKUP($D150,'7. PGE_Efficacité'!$A$6:$BT$266,(MATCH('4.6 ACE MAX CAN '!AC$4,'7. PGE_Efficacité'!$A$4:$AO$4,0)+31),0)</f>
        <v>0</v>
      </c>
      <c r="AD150" s="557">
        <f>VLOOKUP($D150,'7. PGE_Efficacité'!$A$6:$BT$266,(MATCH('4.6 ACE MAX CAN '!AD$4,'7. PGE_Efficacité'!$A$4:$AO$4,0)+31),0)</f>
        <v>0</v>
      </c>
      <c r="AE150" s="557">
        <f>VLOOKUP($D150,'7. PGE_Efficacité'!$A$6:$BT$266,(MATCH('4.6 ACE MAX CAN '!AE$4,'7. PGE_Efficacité'!$A$4:$AO$4,0)+31),0)</f>
        <v>0</v>
      </c>
      <c r="AF150" s="557">
        <f>VLOOKUP($D150,'7. PGE_Efficacité'!$A$6:$BT$266,(MATCH('4.6 ACE MAX CAN '!AF$4,'7. PGE_Efficacité'!$A$4:$AO$4,0)+31),0)</f>
        <v>0</v>
      </c>
      <c r="AG150" s="557">
        <f>VLOOKUP($D150,'7. PGE_Efficacité'!$A$6:$BT$266,(MATCH('4.6 ACE MAX CAN '!AG$4,'7. PGE_Efficacité'!$A$4:$AO$4,0)+31),0)</f>
        <v>0</v>
      </c>
      <c r="AH150" s="557">
        <f>VLOOKUP($D150,'7. PGE_Efficacité'!$A$6:$BT$266,(MATCH('4.6 ACE MAX CAN '!AH$4,'7. PGE_Efficacité'!$A$4:$AO$4,0)+31),0)</f>
        <v>0</v>
      </c>
      <c r="AI150" s="557">
        <f>VLOOKUP($D150,'7. PGE_Efficacité'!$A$6:$BT$266,(MATCH('4.6 ACE MAX CAN '!AI$4,'7. PGE_Efficacité'!$A$4:$AO$4,0)+31),0)</f>
        <v>0</v>
      </c>
      <c r="AJ150" s="557">
        <f>VLOOKUP($D150,'7. PGE_Efficacité'!$A$6:$BT$266,(MATCH('4.6 ACE MAX CAN '!AJ$4,'7. PGE_Efficacité'!$A$4:$AO$4,0)+31),0)</f>
        <v>0</v>
      </c>
      <c r="AK150" s="557" t="str">
        <f>VLOOKUP($D150,'7. PGE_Efficacité'!$A$6:$BT$266,(MATCH('4.6 ACE MAX CAN '!AK$4,'7. PGE_Efficacité'!$A$4:$AO$4,0)+31),0)</f>
        <v>+</v>
      </c>
      <c r="AL150" s="557">
        <f>VLOOKUP($D150,'7. PGE_Efficacité'!$A$6:$BT$266,(MATCH('4.6 ACE MAX CAN '!AL$4,'7. PGE_Efficacité'!$A$4:$AO$4,0)+31),0)</f>
        <v>0</v>
      </c>
      <c r="AM150" s="557" t="str">
        <f>VLOOKUP($D150,'7. PGE_Efficacité'!$A$6:$BT$266,(MATCH('4.6 ACE MAX CAN '!AM$4,'7. PGE_Efficacité'!$A$4:$AO$4,0)+31),0)</f>
        <v>+</v>
      </c>
      <c r="AN150" s="557" t="str">
        <f>VLOOKUP($D150,'7. PGE_Efficacité'!$A$6:$BT$266,(MATCH('4.6 ACE MAX CAN '!AN$4,'7. PGE_Efficacité'!$A$4:$AO$4,0)+31),0)</f>
        <v>+</v>
      </c>
    </row>
    <row r="151" spans="1:40" outlineLevel="2" x14ac:dyDescent="0.25">
      <c r="A151" t="s">
        <v>1525</v>
      </c>
      <c r="B151">
        <v>3</v>
      </c>
      <c r="C151" t="s">
        <v>1524</v>
      </c>
      <c r="D151" s="12" t="s">
        <v>38</v>
      </c>
      <c r="E151" s="12" t="s">
        <v>892</v>
      </c>
      <c r="F151" s="12" t="s">
        <v>1482</v>
      </c>
      <c r="G151" s="12" t="s">
        <v>1522</v>
      </c>
      <c r="H151" s="12" t="s">
        <v>1290</v>
      </c>
      <c r="I151" s="148"/>
      <c r="J151" s="149">
        <f>VLOOKUP($E151,'7. PGE_Efficacité'!$A$6:$BT$266,(MATCH('4.6 ACE MAX CAN '!J$4,'7. PGE_Efficacité'!$A$4:$BU$4,0)+31),0)</f>
        <v>0</v>
      </c>
      <c r="K151" s="149">
        <f>VLOOKUP($E151,'7. PGE_Efficacité'!$A$6:$BT$266,(MATCH('4.6 ACE MAX CAN '!K$4,'7. PGE_Efficacité'!$A$4:$BU$4,0)+31),0)</f>
        <v>0</v>
      </c>
      <c r="L151" s="149">
        <f>VLOOKUP($E151,'7. PGE_Efficacité'!$A$6:$BT$266,(MATCH('4.6 ACE MAX CAN '!L$4,'7. PGE_Efficacité'!$A$4:$BU$4,0)+31),0)</f>
        <v>0</v>
      </c>
      <c r="M151" s="149">
        <f>VLOOKUP($E151,'7. PGE_Efficacité'!$A$6:$BT$266,(MATCH('4.6 ACE MAX CAN '!M$4,'7. PGE_Efficacité'!$A$4:$BU$4,0)+31),0)</f>
        <v>0</v>
      </c>
      <c r="N151" s="149">
        <f>VLOOKUP($E151,'7. PGE_Efficacité'!$A$6:$BT$266,(MATCH('4.6 ACE MAX CAN '!N$4,'7. PGE_Efficacité'!$A$4:$BU$4,0)+31),0)</f>
        <v>0</v>
      </c>
      <c r="O151" s="149" t="str">
        <f>VLOOKUP($D151,'7. PGE_Efficacité'!$A$6:$BT$268,47,0)</f>
        <v>+</v>
      </c>
      <c r="P151" s="149">
        <f>VLOOKUP($E151,'7. PGE_Efficacité'!$A$6:$BT$266,(MATCH('4.6 ACE MAX CAN '!P$4,'7. PGE_Efficacité'!$A$4:$BU$4,0)+31),0)</f>
        <v>0</v>
      </c>
      <c r="Q151" s="149">
        <f>VLOOKUP($E151,'7. PGE_Efficacité'!$A$6:$BT$266,(MATCH('4.6 ACE MAX CAN '!Q$4,'7. PGE_Efficacité'!$A$4:$BU$4,0)+31),0)</f>
        <v>0</v>
      </c>
      <c r="R151" s="149">
        <f>VLOOKUP($E151,'7. PGE_Efficacité'!$A$6:$BT$266,(MATCH('4.6 ACE MAX CAN '!R$4,'7. PGE_Efficacité'!$A$4:$BU$4,0)+31),0)</f>
        <v>0</v>
      </c>
      <c r="S151" s="149">
        <f>VLOOKUP($E151,'7. PGE_Efficacité'!$A$6:$BT$266,(MATCH('4.6 ACE MAX CAN '!S$4,'7. PGE_Efficacité'!$A$4:$BU$4,0)+31),0)</f>
        <v>0</v>
      </c>
      <c r="T151" s="149">
        <f>VLOOKUP($E151,'7. PGE_Efficacité'!$A$6:$BT$266,(MATCH('4.6 ACE MAX CAN '!T$4,'7. PGE_Efficacité'!$A$4:$BU$4,0)+31),0)</f>
        <v>0</v>
      </c>
      <c r="U151" s="149">
        <f>VLOOKUP($E151,'7. PGE_Efficacité'!$A$6:$BT$266,(MATCH('4.6 ACE MAX CAN '!U$4,'7. PGE_Efficacité'!$A$4:$BU$4,0)+31),0)</f>
        <v>0</v>
      </c>
      <c r="V151" s="149">
        <f>VLOOKUP($E151,'7. PGE_Efficacité'!$A$6:$BT$266,(MATCH('4.6 ACE MAX CAN '!V$4,'7. PGE_Efficacité'!$A$4:$BU$4,0)+31),0)</f>
        <v>0</v>
      </c>
      <c r="W151" s="149">
        <f>VLOOKUP($E151,'7. PGE_Efficacité'!$A$6:$BT$266,(MATCH('4.6 ACE MAX CAN '!W$4,'7. PGE_Efficacité'!$A$4:$BU$4,0)+31),0)</f>
        <v>0</v>
      </c>
      <c r="X151" s="149">
        <f>VLOOKUP($E151,'7. PGE_Efficacité'!$A$6:$BT$266,(MATCH('4.6 ACE MAX CAN '!X$4,'7. PGE_Efficacité'!$A$4:$BU$4,0)+31),0)</f>
        <v>0</v>
      </c>
      <c r="Y151" s="149">
        <f>VLOOKUP($E151,'7. PGE_Efficacité'!$A$6:$BT$266,(MATCH('4.6 ACE MAX CAN '!Y$4,'7. PGE_Efficacité'!$A$4:$BU$4,0)+31),0)</f>
        <v>0</v>
      </c>
      <c r="Z151" s="149">
        <f>VLOOKUP($E151,'7. PGE_Efficacité'!$A$6:$BT$266,(MATCH('4.6 ACE MAX CAN '!Z$4,'7. PGE_Efficacité'!$A$4:$BU$4,0)+31),0)</f>
        <v>0</v>
      </c>
      <c r="AA151" s="149">
        <f>VLOOKUP($E151,'7. PGE_Efficacité'!$A$6:$BT$266,(MATCH('4.6 ACE MAX CAN '!AA$4,'7. PGE_Efficacité'!$A$4:$BU$4,0)+31),0)</f>
        <v>0</v>
      </c>
      <c r="AB151" s="149">
        <f>VLOOKUP($E151,'7. PGE_Efficacité'!$A$6:$BT$266,(MATCH('4.6 ACE MAX CAN '!AB$4,'7. PGE_Efficacité'!$A$4:$BU$4,0)+31),0)</f>
        <v>0</v>
      </c>
      <c r="AC151" s="149">
        <f>VLOOKUP($E151,'7. PGE_Efficacité'!$A$6:$BT$266,(MATCH('4.6 ACE MAX CAN '!AC$4,'7. PGE_Efficacité'!$A$4:$BU$4,0)+31),0)</f>
        <v>0</v>
      </c>
      <c r="AD151" s="149">
        <f>VLOOKUP($E151,'7. PGE_Efficacité'!$A$6:$BT$266,(MATCH('4.6 ACE MAX CAN '!AD$4,'7. PGE_Efficacité'!$A$4:$BU$4,0)+31),0)</f>
        <v>0</v>
      </c>
      <c r="AE151" s="149">
        <f>VLOOKUP($E151,'7. PGE_Efficacité'!$A$6:$BT$266,(MATCH('4.6 ACE MAX CAN '!AE$4,'7. PGE_Efficacité'!$A$4:$BU$4,0)+31),0)</f>
        <v>0</v>
      </c>
      <c r="AF151" s="149">
        <f>VLOOKUP($E151,'7. PGE_Efficacité'!$A$6:$BT$266,(MATCH('4.6 ACE MAX CAN '!AF$4,'7. PGE_Efficacité'!$A$4:$BU$4,0)+31),0)</f>
        <v>0</v>
      </c>
      <c r="AG151" s="149">
        <f>VLOOKUP($E151,'7. PGE_Efficacité'!$A$6:$BT$266,(MATCH('4.6 ACE MAX CAN '!AG$4,'7. PGE_Efficacité'!$A$4:$BU$4,0)+31),0)</f>
        <v>0</v>
      </c>
      <c r="AH151" s="149">
        <f>VLOOKUP($E151,'7. PGE_Efficacité'!$A$6:$BT$266,(MATCH('4.6 ACE MAX CAN '!AH$4,'7. PGE_Efficacité'!$A$4:$BU$4,0)+31),0)</f>
        <v>0</v>
      </c>
      <c r="AI151" s="149">
        <f>VLOOKUP($E151,'7. PGE_Efficacité'!$A$6:$BT$266,(MATCH('4.6 ACE MAX CAN '!AI$4,'7. PGE_Efficacité'!$A$4:$BU$4,0)+31),0)</f>
        <v>0</v>
      </c>
      <c r="AJ151" s="149">
        <f>VLOOKUP($E151,'7. PGE_Efficacité'!$A$6:$BT$266,(MATCH('4.6 ACE MAX CAN '!AJ$4,'7. PGE_Efficacité'!$A$4:$BU$4,0)+31),0)</f>
        <v>0</v>
      </c>
      <c r="AK151" s="149">
        <f>VLOOKUP($E151,'7. PGE_Efficacité'!$A$6:$BT$266,(MATCH('4.6 ACE MAX CAN '!AK$4,'7. PGE_Efficacité'!$A$4:$BU$4,0)+31),0)</f>
        <v>0</v>
      </c>
      <c r="AL151" s="149">
        <f>VLOOKUP($E151,'7. PGE_Efficacité'!$A$6:$BT$266,(MATCH('4.6 ACE MAX CAN '!AL$4,'7. PGE_Efficacité'!$A$4:$BU$4,0)+31),0)</f>
        <v>0</v>
      </c>
      <c r="AM151" s="149">
        <f>VLOOKUP($E151,'7. PGE_Efficacité'!$A$6:$BT$266,(MATCH('4.6 ACE MAX CAN '!AM$4,'7. PGE_Efficacité'!$A$4:$BU$4,0)+31),0)</f>
        <v>0</v>
      </c>
      <c r="AN151" s="149">
        <f>VLOOKUP($E151,'7. PGE_Efficacité'!$A$6:$BT$266,(MATCH('4.6 ACE MAX CAN '!AN$4,'7. PGE_Efficacité'!$A$4:$BU$4,0)+31),0)</f>
        <v>0</v>
      </c>
    </row>
    <row r="152" spans="1:40" outlineLevel="2" x14ac:dyDescent="0.25">
      <c r="A152" t="s">
        <v>1525</v>
      </c>
      <c r="B152">
        <v>3</v>
      </c>
      <c r="C152" t="s">
        <v>1525</v>
      </c>
      <c r="D152" s="12" t="s">
        <v>38</v>
      </c>
      <c r="E152" s="12" t="s">
        <v>893</v>
      </c>
      <c r="F152" s="12" t="s">
        <v>1483</v>
      </c>
      <c r="G152" s="12" t="s">
        <v>1522</v>
      </c>
      <c r="H152" s="12" t="s">
        <v>1290</v>
      </c>
      <c r="I152" s="148"/>
      <c r="J152" s="149">
        <f>VLOOKUP($E152,'7. PGE_Efficacité'!$A$6:$BT$266,(MATCH('4.6 ACE MAX CAN '!J$4,'7. PGE_Efficacité'!$A$4:$BU$4,0)+31),0)</f>
        <v>0</v>
      </c>
      <c r="K152" s="149">
        <f>VLOOKUP($E152,'7. PGE_Efficacité'!$A$6:$BT$266,(MATCH('4.6 ACE MAX CAN '!K$4,'7. PGE_Efficacité'!$A$4:$BU$4,0)+31),0)</f>
        <v>0</v>
      </c>
      <c r="L152" s="149">
        <f>VLOOKUP($E152,'7. PGE_Efficacité'!$A$6:$BT$266,(MATCH('4.6 ACE MAX CAN '!L$4,'7. PGE_Efficacité'!$A$4:$BU$4,0)+31),0)</f>
        <v>0</v>
      </c>
      <c r="M152" s="149">
        <f>VLOOKUP($E152,'7. PGE_Efficacité'!$A$6:$BT$266,(MATCH('4.6 ACE MAX CAN '!M$4,'7. PGE_Efficacité'!$A$4:$BU$4,0)+31),0)</f>
        <v>0</v>
      </c>
      <c r="N152" s="149">
        <f>VLOOKUP($E152,'7. PGE_Efficacité'!$A$6:$BT$266,(MATCH('4.6 ACE MAX CAN '!N$4,'7. PGE_Efficacité'!$A$4:$BU$4,0)+31),0)</f>
        <v>0</v>
      </c>
      <c r="O152" s="149" t="str">
        <f>VLOOKUP($D152,'7. PGE_Efficacité'!$A$6:$BT$268,47,0)</f>
        <v>+</v>
      </c>
      <c r="P152" s="149">
        <f>VLOOKUP($E152,'7. PGE_Efficacité'!$A$6:$BT$266,(MATCH('4.6 ACE MAX CAN '!P$4,'7. PGE_Efficacité'!$A$4:$BU$4,0)+31),0)</f>
        <v>0</v>
      </c>
      <c r="Q152" s="149">
        <f>VLOOKUP($E152,'7. PGE_Efficacité'!$A$6:$BT$266,(MATCH('4.6 ACE MAX CAN '!Q$4,'7. PGE_Efficacité'!$A$4:$BU$4,0)+31),0)</f>
        <v>0</v>
      </c>
      <c r="R152" s="149">
        <f>VLOOKUP($E152,'7. PGE_Efficacité'!$A$6:$BT$266,(MATCH('4.6 ACE MAX CAN '!R$4,'7. PGE_Efficacité'!$A$4:$BU$4,0)+31),0)</f>
        <v>0</v>
      </c>
      <c r="S152" s="149">
        <f>VLOOKUP($E152,'7. PGE_Efficacité'!$A$6:$BT$266,(MATCH('4.6 ACE MAX CAN '!S$4,'7. PGE_Efficacité'!$A$4:$BU$4,0)+31),0)</f>
        <v>0</v>
      </c>
      <c r="T152" s="149">
        <f>VLOOKUP($E152,'7. PGE_Efficacité'!$A$6:$BT$266,(MATCH('4.6 ACE MAX CAN '!T$4,'7. PGE_Efficacité'!$A$4:$BU$4,0)+31),0)</f>
        <v>0</v>
      </c>
      <c r="U152" s="149">
        <f>VLOOKUP($E152,'7. PGE_Efficacité'!$A$6:$BT$266,(MATCH('4.6 ACE MAX CAN '!U$4,'7. PGE_Efficacité'!$A$4:$BU$4,0)+31),0)</f>
        <v>0</v>
      </c>
      <c r="V152" s="149">
        <f>VLOOKUP($E152,'7. PGE_Efficacité'!$A$6:$BT$266,(MATCH('4.6 ACE MAX CAN '!V$4,'7. PGE_Efficacité'!$A$4:$BU$4,0)+31),0)</f>
        <v>0</v>
      </c>
      <c r="W152" s="149">
        <f>VLOOKUP($E152,'7. PGE_Efficacité'!$A$6:$BT$266,(MATCH('4.6 ACE MAX CAN '!W$4,'7. PGE_Efficacité'!$A$4:$BU$4,0)+31),0)</f>
        <v>0</v>
      </c>
      <c r="X152" s="149">
        <f>VLOOKUP($E152,'7. PGE_Efficacité'!$A$6:$BT$266,(MATCH('4.6 ACE MAX CAN '!X$4,'7. PGE_Efficacité'!$A$4:$BU$4,0)+31),0)</f>
        <v>0</v>
      </c>
      <c r="Y152" s="149">
        <f>VLOOKUP($E152,'7. PGE_Efficacité'!$A$6:$BT$266,(MATCH('4.6 ACE MAX CAN '!Y$4,'7. PGE_Efficacité'!$A$4:$BU$4,0)+31),0)</f>
        <v>0</v>
      </c>
      <c r="Z152" s="149">
        <f>VLOOKUP($E152,'7. PGE_Efficacité'!$A$6:$BT$266,(MATCH('4.6 ACE MAX CAN '!Z$4,'7. PGE_Efficacité'!$A$4:$BU$4,0)+31),0)</f>
        <v>0</v>
      </c>
      <c r="AA152" s="149">
        <f>VLOOKUP($E152,'7. PGE_Efficacité'!$A$6:$BT$266,(MATCH('4.6 ACE MAX CAN '!AA$4,'7. PGE_Efficacité'!$A$4:$BU$4,0)+31),0)</f>
        <v>0</v>
      </c>
      <c r="AB152" s="149">
        <f>VLOOKUP($E152,'7. PGE_Efficacité'!$A$6:$BT$266,(MATCH('4.6 ACE MAX CAN '!AB$4,'7. PGE_Efficacité'!$A$4:$BU$4,0)+31),0)</f>
        <v>0</v>
      </c>
      <c r="AC152" s="149">
        <f>VLOOKUP($E152,'7. PGE_Efficacité'!$A$6:$BT$266,(MATCH('4.6 ACE MAX CAN '!AC$4,'7. PGE_Efficacité'!$A$4:$BU$4,0)+31),0)</f>
        <v>0</v>
      </c>
      <c r="AD152" s="149">
        <f>VLOOKUP($E152,'7. PGE_Efficacité'!$A$6:$BT$266,(MATCH('4.6 ACE MAX CAN '!AD$4,'7. PGE_Efficacité'!$A$4:$BU$4,0)+31),0)</f>
        <v>0</v>
      </c>
      <c r="AE152" s="149">
        <f>VLOOKUP($E152,'7. PGE_Efficacité'!$A$6:$BT$266,(MATCH('4.6 ACE MAX CAN '!AE$4,'7. PGE_Efficacité'!$A$4:$BU$4,0)+31),0)</f>
        <v>0</v>
      </c>
      <c r="AF152" s="149">
        <f>VLOOKUP($E152,'7. PGE_Efficacité'!$A$6:$BT$266,(MATCH('4.6 ACE MAX CAN '!AF$4,'7. PGE_Efficacité'!$A$4:$BU$4,0)+31),0)</f>
        <v>0</v>
      </c>
      <c r="AG152" s="149">
        <f>VLOOKUP($E152,'7. PGE_Efficacité'!$A$6:$BT$266,(MATCH('4.6 ACE MAX CAN '!AG$4,'7. PGE_Efficacité'!$A$4:$BU$4,0)+31),0)</f>
        <v>0</v>
      </c>
      <c r="AH152" s="149">
        <f>VLOOKUP($E152,'7. PGE_Efficacité'!$A$6:$BT$266,(MATCH('4.6 ACE MAX CAN '!AH$4,'7. PGE_Efficacité'!$A$4:$BU$4,0)+31),0)</f>
        <v>0</v>
      </c>
      <c r="AI152" s="149">
        <f>VLOOKUP($E152,'7. PGE_Efficacité'!$A$6:$BT$266,(MATCH('4.6 ACE MAX CAN '!AI$4,'7. PGE_Efficacité'!$A$4:$BU$4,0)+31),0)</f>
        <v>0</v>
      </c>
      <c r="AJ152" s="149">
        <f>VLOOKUP($E152,'7. PGE_Efficacité'!$A$6:$BT$266,(MATCH('4.6 ACE MAX CAN '!AJ$4,'7. PGE_Efficacité'!$A$4:$BU$4,0)+31),0)</f>
        <v>0</v>
      </c>
      <c r="AK152" s="149">
        <f>VLOOKUP($E152,'7. PGE_Efficacité'!$A$6:$BT$266,(MATCH('4.6 ACE MAX CAN '!AK$4,'7. PGE_Efficacité'!$A$4:$BU$4,0)+31),0)</f>
        <v>0</v>
      </c>
      <c r="AL152" s="149">
        <f>VLOOKUP($E152,'7. PGE_Efficacité'!$A$6:$BT$266,(MATCH('4.6 ACE MAX CAN '!AL$4,'7. PGE_Efficacité'!$A$4:$BU$4,0)+31),0)</f>
        <v>0</v>
      </c>
      <c r="AM152" s="149">
        <f>VLOOKUP($E152,'7. PGE_Efficacité'!$A$6:$BT$266,(MATCH('4.6 ACE MAX CAN '!AM$4,'7. PGE_Efficacité'!$A$4:$BU$4,0)+31),0)</f>
        <v>0</v>
      </c>
      <c r="AN152" s="149">
        <f>VLOOKUP($E152,'7. PGE_Efficacité'!$A$6:$BT$266,(MATCH('4.6 ACE MAX CAN '!AN$4,'7. PGE_Efficacité'!$A$4:$BU$4,0)+31),0)</f>
        <v>0</v>
      </c>
    </row>
    <row r="153" spans="1:40" outlineLevel="2" x14ac:dyDescent="0.25">
      <c r="A153" t="s">
        <v>1525</v>
      </c>
      <c r="B153">
        <v>3</v>
      </c>
      <c r="C153" t="s">
        <v>1526</v>
      </c>
      <c r="D153" s="12" t="s">
        <v>38</v>
      </c>
      <c r="E153" s="12" t="s">
        <v>894</v>
      </c>
      <c r="F153" s="12" t="s">
        <v>1484</v>
      </c>
      <c r="G153" s="12" t="s">
        <v>1522</v>
      </c>
      <c r="H153" s="12" t="s">
        <v>1290</v>
      </c>
      <c r="I153" s="148"/>
      <c r="J153" s="149">
        <f>VLOOKUP($E153,'7. PGE_Efficacité'!$A$6:$BT$266,(MATCH('4.6 ACE MAX CAN '!J$4,'7. PGE_Efficacité'!$A$4:$BU$4,0)+31),0)</f>
        <v>0</v>
      </c>
      <c r="K153" s="149">
        <f>VLOOKUP($E153,'7. PGE_Efficacité'!$A$6:$BT$266,(MATCH('4.6 ACE MAX CAN '!K$4,'7. PGE_Efficacité'!$A$4:$BU$4,0)+31),0)</f>
        <v>0</v>
      </c>
      <c r="L153" s="149">
        <f>VLOOKUP($E153,'7. PGE_Efficacité'!$A$6:$BT$266,(MATCH('4.6 ACE MAX CAN '!L$4,'7. PGE_Efficacité'!$A$4:$BU$4,0)+31),0)</f>
        <v>0</v>
      </c>
      <c r="M153" s="149">
        <f>VLOOKUP($E153,'7. PGE_Efficacité'!$A$6:$BT$266,(MATCH('4.6 ACE MAX CAN '!M$4,'7. PGE_Efficacité'!$A$4:$BU$4,0)+31),0)</f>
        <v>0</v>
      </c>
      <c r="N153" s="149">
        <f>VLOOKUP($E153,'7. PGE_Efficacité'!$A$6:$BT$266,(MATCH('4.6 ACE MAX CAN '!N$4,'7. PGE_Efficacité'!$A$4:$BU$4,0)+31),0)</f>
        <v>0</v>
      </c>
      <c r="O153" s="149" t="str">
        <f>VLOOKUP($D153,'7. PGE_Efficacité'!$A$6:$BT$268,47,0)</f>
        <v>+</v>
      </c>
      <c r="P153" s="149">
        <f>VLOOKUP($E153,'7. PGE_Efficacité'!$A$6:$BT$266,(MATCH('4.6 ACE MAX CAN '!P$4,'7. PGE_Efficacité'!$A$4:$BU$4,0)+31),0)</f>
        <v>0</v>
      </c>
      <c r="Q153" s="149">
        <f>VLOOKUP($E153,'7. PGE_Efficacité'!$A$6:$BT$266,(MATCH('4.6 ACE MAX CAN '!Q$4,'7. PGE_Efficacité'!$A$4:$BU$4,0)+31),0)</f>
        <v>0</v>
      </c>
      <c r="R153" s="149">
        <f>VLOOKUP($E153,'7. PGE_Efficacité'!$A$6:$BT$266,(MATCH('4.6 ACE MAX CAN '!R$4,'7. PGE_Efficacité'!$A$4:$BU$4,0)+31),0)</f>
        <v>0</v>
      </c>
      <c r="S153" s="149">
        <f>VLOOKUP($E153,'7. PGE_Efficacité'!$A$6:$BT$266,(MATCH('4.6 ACE MAX CAN '!S$4,'7. PGE_Efficacité'!$A$4:$BU$4,0)+31),0)</f>
        <v>0</v>
      </c>
      <c r="T153" s="149">
        <f>VLOOKUP($E153,'7. PGE_Efficacité'!$A$6:$BT$266,(MATCH('4.6 ACE MAX CAN '!T$4,'7. PGE_Efficacité'!$A$4:$BU$4,0)+31),0)</f>
        <v>0</v>
      </c>
      <c r="U153" s="149">
        <f>VLOOKUP($E153,'7. PGE_Efficacité'!$A$6:$BT$266,(MATCH('4.6 ACE MAX CAN '!U$4,'7. PGE_Efficacité'!$A$4:$BU$4,0)+31),0)</f>
        <v>0</v>
      </c>
      <c r="V153" s="149">
        <f>VLOOKUP($E153,'7. PGE_Efficacité'!$A$6:$BT$266,(MATCH('4.6 ACE MAX CAN '!V$4,'7. PGE_Efficacité'!$A$4:$BU$4,0)+31),0)</f>
        <v>0</v>
      </c>
      <c r="W153" s="149">
        <f>VLOOKUP($E153,'7. PGE_Efficacité'!$A$6:$BT$266,(MATCH('4.6 ACE MAX CAN '!W$4,'7. PGE_Efficacité'!$A$4:$BU$4,0)+31),0)</f>
        <v>0</v>
      </c>
      <c r="X153" s="149">
        <f>VLOOKUP($E153,'7. PGE_Efficacité'!$A$6:$BT$266,(MATCH('4.6 ACE MAX CAN '!X$4,'7. PGE_Efficacité'!$A$4:$BU$4,0)+31),0)</f>
        <v>0</v>
      </c>
      <c r="Y153" s="149">
        <f>VLOOKUP($E153,'7. PGE_Efficacité'!$A$6:$BT$266,(MATCH('4.6 ACE MAX CAN '!Y$4,'7. PGE_Efficacité'!$A$4:$BU$4,0)+31),0)</f>
        <v>0</v>
      </c>
      <c r="Z153" s="149">
        <f>VLOOKUP($E153,'7. PGE_Efficacité'!$A$6:$BT$266,(MATCH('4.6 ACE MAX CAN '!Z$4,'7. PGE_Efficacité'!$A$4:$BU$4,0)+31),0)</f>
        <v>0</v>
      </c>
      <c r="AA153" s="149">
        <f>VLOOKUP($E153,'7. PGE_Efficacité'!$A$6:$BT$266,(MATCH('4.6 ACE MAX CAN '!AA$4,'7. PGE_Efficacité'!$A$4:$BU$4,0)+31),0)</f>
        <v>0</v>
      </c>
      <c r="AB153" s="149">
        <f>VLOOKUP($E153,'7. PGE_Efficacité'!$A$6:$BT$266,(MATCH('4.6 ACE MAX CAN '!AB$4,'7. PGE_Efficacité'!$A$4:$BU$4,0)+31),0)</f>
        <v>0</v>
      </c>
      <c r="AC153" s="149">
        <f>VLOOKUP($E153,'7. PGE_Efficacité'!$A$6:$BT$266,(MATCH('4.6 ACE MAX CAN '!AC$4,'7. PGE_Efficacité'!$A$4:$BU$4,0)+31),0)</f>
        <v>0</v>
      </c>
      <c r="AD153" s="149">
        <f>VLOOKUP($E153,'7. PGE_Efficacité'!$A$6:$BT$266,(MATCH('4.6 ACE MAX CAN '!AD$4,'7. PGE_Efficacité'!$A$4:$BU$4,0)+31),0)</f>
        <v>0</v>
      </c>
      <c r="AE153" s="149">
        <f>VLOOKUP($E153,'7. PGE_Efficacité'!$A$6:$BT$266,(MATCH('4.6 ACE MAX CAN '!AE$4,'7. PGE_Efficacité'!$A$4:$BU$4,0)+31),0)</f>
        <v>0</v>
      </c>
      <c r="AF153" s="149">
        <f>VLOOKUP($E153,'7. PGE_Efficacité'!$A$6:$BT$266,(MATCH('4.6 ACE MAX CAN '!AF$4,'7. PGE_Efficacité'!$A$4:$BU$4,0)+31),0)</f>
        <v>0</v>
      </c>
      <c r="AG153" s="149">
        <f>VLOOKUP($E153,'7. PGE_Efficacité'!$A$6:$BT$266,(MATCH('4.6 ACE MAX CAN '!AG$4,'7. PGE_Efficacité'!$A$4:$BU$4,0)+31),0)</f>
        <v>0</v>
      </c>
      <c r="AH153" s="149">
        <f>VLOOKUP($E153,'7. PGE_Efficacité'!$A$6:$BT$266,(MATCH('4.6 ACE MAX CAN '!AH$4,'7. PGE_Efficacité'!$A$4:$BU$4,0)+31),0)</f>
        <v>0</v>
      </c>
      <c r="AI153" s="149">
        <f>VLOOKUP($E153,'7. PGE_Efficacité'!$A$6:$BT$266,(MATCH('4.6 ACE MAX CAN '!AI$4,'7. PGE_Efficacité'!$A$4:$BU$4,0)+31),0)</f>
        <v>0</v>
      </c>
      <c r="AJ153" s="149">
        <f>VLOOKUP($E153,'7. PGE_Efficacité'!$A$6:$BT$266,(MATCH('4.6 ACE MAX CAN '!AJ$4,'7. PGE_Efficacité'!$A$4:$BU$4,0)+31),0)</f>
        <v>0</v>
      </c>
      <c r="AK153" s="149">
        <f>VLOOKUP($E153,'7. PGE_Efficacité'!$A$6:$BT$266,(MATCH('4.6 ACE MAX CAN '!AK$4,'7. PGE_Efficacité'!$A$4:$BU$4,0)+31),0)</f>
        <v>0</v>
      </c>
      <c r="AL153" s="149">
        <f>VLOOKUP($E153,'7. PGE_Efficacité'!$A$6:$BT$266,(MATCH('4.6 ACE MAX CAN '!AL$4,'7. PGE_Efficacité'!$A$4:$BU$4,0)+31),0)</f>
        <v>0</v>
      </c>
      <c r="AM153" s="149">
        <f>VLOOKUP($E153,'7. PGE_Efficacité'!$A$6:$BT$266,(MATCH('4.6 ACE MAX CAN '!AM$4,'7. PGE_Efficacité'!$A$4:$BU$4,0)+31),0)</f>
        <v>0</v>
      </c>
      <c r="AN153" s="149">
        <f>VLOOKUP($E153,'7. PGE_Efficacité'!$A$6:$BT$266,(MATCH('4.6 ACE MAX CAN '!AN$4,'7. PGE_Efficacité'!$A$4:$BU$4,0)+31),0)</f>
        <v>0</v>
      </c>
    </row>
    <row r="154" spans="1:40" outlineLevel="2" x14ac:dyDescent="0.25">
      <c r="A154" t="s">
        <v>1525</v>
      </c>
      <c r="B154">
        <v>3</v>
      </c>
      <c r="C154" t="s">
        <v>1527</v>
      </c>
      <c r="D154" s="12" t="s">
        <v>38</v>
      </c>
      <c r="E154" s="12" t="s">
        <v>895</v>
      </c>
      <c r="F154" s="12" t="s">
        <v>1485</v>
      </c>
      <c r="G154" s="12" t="s">
        <v>1522</v>
      </c>
      <c r="H154" s="12" t="s">
        <v>1290</v>
      </c>
      <c r="I154" s="148"/>
      <c r="J154" s="149">
        <f>VLOOKUP($E154,'7. PGE_Efficacité'!$A$6:$BT$266,(MATCH('4.6 ACE MAX CAN '!J$4,'7. PGE_Efficacité'!$A$4:$BU$4,0)+31),0)</f>
        <v>0</v>
      </c>
      <c r="K154" s="149" t="str">
        <f>VLOOKUP($E154,'7. PGE_Efficacité'!$A$6:$BT$266,(MATCH('4.6 ACE MAX CAN '!K$4,'7. PGE_Efficacité'!$A$4:$BU$4,0)+31),0)</f>
        <v>+</v>
      </c>
      <c r="L154" s="149" t="str">
        <f>VLOOKUP($E154,'7. PGE_Efficacité'!$A$6:$BT$266,(MATCH('4.6 ACE MAX CAN '!L$4,'7. PGE_Efficacité'!$A$4:$BU$4,0)+31),0)</f>
        <v>+</v>
      </c>
      <c r="M154" s="149" t="str">
        <f>VLOOKUP($E154,'7. PGE_Efficacité'!$A$6:$BT$266,(MATCH('4.6 ACE MAX CAN '!M$4,'7. PGE_Efficacité'!$A$4:$BU$4,0)+31),0)</f>
        <v>+</v>
      </c>
      <c r="N154" s="149" t="str">
        <f>VLOOKUP($E154,'7. PGE_Efficacité'!$A$6:$BT$266,(MATCH('4.6 ACE MAX CAN '!N$4,'7. PGE_Efficacité'!$A$4:$BU$4,0)+31),0)</f>
        <v>+</v>
      </c>
      <c r="O154" s="149" t="str">
        <f>VLOOKUP($D154,'7. PGE_Efficacité'!$A$6:$BT$268,47,0)</f>
        <v>+</v>
      </c>
      <c r="P154" s="149">
        <f>VLOOKUP($E154,'7. PGE_Efficacité'!$A$6:$BT$266,(MATCH('4.6 ACE MAX CAN '!P$4,'7. PGE_Efficacité'!$A$4:$BU$4,0)+31),0)</f>
        <v>0</v>
      </c>
      <c r="Q154" s="149" t="str">
        <f>VLOOKUP($E154,'7. PGE_Efficacité'!$A$6:$BT$266,(MATCH('4.6 ACE MAX CAN '!Q$4,'7. PGE_Efficacité'!$A$4:$BU$4,0)+31),0)</f>
        <v>+</v>
      </c>
      <c r="R154" s="149" t="str">
        <f>VLOOKUP($E154,'7. PGE_Efficacité'!$A$6:$BT$266,(MATCH('4.6 ACE MAX CAN '!R$4,'7. PGE_Efficacité'!$A$4:$BU$4,0)+31),0)</f>
        <v>+</v>
      </c>
      <c r="S154" s="149">
        <f>VLOOKUP($E154,'7. PGE_Efficacité'!$A$6:$BT$266,(MATCH('4.6 ACE MAX CAN '!S$4,'7. PGE_Efficacité'!$A$4:$BU$4,0)+31),0)</f>
        <v>0</v>
      </c>
      <c r="T154" s="149">
        <f>VLOOKUP($E154,'7. PGE_Efficacité'!$A$6:$BT$266,(MATCH('4.6 ACE MAX CAN '!T$4,'7. PGE_Efficacité'!$A$4:$BU$4,0)+31),0)</f>
        <v>0</v>
      </c>
      <c r="U154" s="149" t="str">
        <f>VLOOKUP($E154,'7. PGE_Efficacité'!$A$6:$BT$266,(MATCH('4.6 ACE MAX CAN '!U$4,'7. PGE_Efficacité'!$A$4:$BU$4,0)+31),0)</f>
        <v>+</v>
      </c>
      <c r="V154" s="149" t="str">
        <f>VLOOKUP($E154,'7. PGE_Efficacité'!$A$6:$BT$266,(MATCH('4.6 ACE MAX CAN '!V$4,'7. PGE_Efficacité'!$A$4:$BU$4,0)+31),0)</f>
        <v>+</v>
      </c>
      <c r="W154" s="149" t="str">
        <f>VLOOKUP($E154,'7. PGE_Efficacité'!$A$6:$BT$266,(MATCH('4.6 ACE MAX CAN '!W$4,'7. PGE_Efficacité'!$A$4:$BU$4,0)+31),0)</f>
        <v>+</v>
      </c>
      <c r="X154" s="149">
        <f>VLOOKUP($E154,'7. PGE_Efficacité'!$A$6:$BT$266,(MATCH('4.6 ACE MAX CAN '!X$4,'7. PGE_Efficacité'!$A$4:$BU$4,0)+31),0)</f>
        <v>0</v>
      </c>
      <c r="Y154" s="149" t="str">
        <f>VLOOKUP($E154,'7. PGE_Efficacité'!$A$6:$BT$266,(MATCH('4.6 ACE MAX CAN '!Y$4,'7. PGE_Efficacité'!$A$4:$BU$4,0)+31),0)</f>
        <v>+</v>
      </c>
      <c r="Z154" s="149" t="str">
        <f>VLOOKUP($E154,'7. PGE_Efficacité'!$A$6:$BT$266,(MATCH('4.6 ACE MAX CAN '!Z$4,'7. PGE_Efficacité'!$A$4:$BU$4,0)+31),0)</f>
        <v>+</v>
      </c>
      <c r="AA154" s="149">
        <f>VLOOKUP($E154,'7. PGE_Efficacité'!$A$6:$BT$266,(MATCH('4.6 ACE MAX CAN '!AA$4,'7. PGE_Efficacité'!$A$4:$BU$4,0)+31),0)</f>
        <v>0</v>
      </c>
      <c r="AB154" s="149">
        <f>VLOOKUP($E154,'7. PGE_Efficacité'!$A$6:$BT$266,(MATCH('4.6 ACE MAX CAN '!AB$4,'7. PGE_Efficacité'!$A$4:$BU$4,0)+31),0)</f>
        <v>0</v>
      </c>
      <c r="AC154" s="149">
        <f>VLOOKUP($E154,'7. PGE_Efficacité'!$A$6:$BT$266,(MATCH('4.6 ACE MAX CAN '!AC$4,'7. PGE_Efficacité'!$A$4:$BU$4,0)+31),0)</f>
        <v>0</v>
      </c>
      <c r="AD154" s="149">
        <f>VLOOKUP($E154,'7. PGE_Efficacité'!$A$6:$BT$266,(MATCH('4.6 ACE MAX CAN '!AD$4,'7. PGE_Efficacité'!$A$4:$BU$4,0)+31),0)</f>
        <v>0</v>
      </c>
      <c r="AE154" s="149">
        <f>VLOOKUP($E154,'7. PGE_Efficacité'!$A$6:$BT$266,(MATCH('4.6 ACE MAX CAN '!AE$4,'7. PGE_Efficacité'!$A$4:$BU$4,0)+31),0)</f>
        <v>0</v>
      </c>
      <c r="AF154" s="149">
        <f>VLOOKUP($E154,'7. PGE_Efficacité'!$A$6:$BT$266,(MATCH('4.6 ACE MAX CAN '!AF$4,'7. PGE_Efficacité'!$A$4:$BU$4,0)+31),0)</f>
        <v>0</v>
      </c>
      <c r="AG154" s="149">
        <f>VLOOKUP($E154,'7. PGE_Efficacité'!$A$6:$BT$266,(MATCH('4.6 ACE MAX CAN '!AG$4,'7. PGE_Efficacité'!$A$4:$BU$4,0)+31),0)</f>
        <v>0</v>
      </c>
      <c r="AH154" s="149">
        <f>VLOOKUP($E154,'7. PGE_Efficacité'!$A$6:$BT$266,(MATCH('4.6 ACE MAX CAN '!AH$4,'7. PGE_Efficacité'!$A$4:$BU$4,0)+31),0)</f>
        <v>0</v>
      </c>
      <c r="AI154" s="149">
        <f>VLOOKUP($E154,'7. PGE_Efficacité'!$A$6:$BT$266,(MATCH('4.6 ACE MAX CAN '!AI$4,'7. PGE_Efficacité'!$A$4:$BU$4,0)+31),0)</f>
        <v>0</v>
      </c>
      <c r="AJ154" s="149">
        <f>VLOOKUP($E154,'7. PGE_Efficacité'!$A$6:$BT$266,(MATCH('4.6 ACE MAX CAN '!AJ$4,'7. PGE_Efficacité'!$A$4:$BU$4,0)+31),0)</f>
        <v>0</v>
      </c>
      <c r="AK154" s="149" t="str">
        <f>VLOOKUP($E154,'7. PGE_Efficacité'!$A$6:$BT$266,(MATCH('4.6 ACE MAX CAN '!AK$4,'7. PGE_Efficacité'!$A$4:$BU$4,0)+31),0)</f>
        <v>+</v>
      </c>
      <c r="AL154" s="149">
        <f>VLOOKUP($E154,'7. PGE_Efficacité'!$A$6:$BT$266,(MATCH('4.6 ACE MAX CAN '!AL$4,'7. PGE_Efficacité'!$A$4:$BU$4,0)+31),0)</f>
        <v>0</v>
      </c>
      <c r="AM154" s="149" t="str">
        <f>VLOOKUP($E154,'7. PGE_Efficacité'!$A$6:$BT$266,(MATCH('4.6 ACE MAX CAN '!AM$4,'7. PGE_Efficacité'!$A$4:$BU$4,0)+31),0)</f>
        <v>+</v>
      </c>
      <c r="AN154" s="149" t="str">
        <f>VLOOKUP($E154,'7. PGE_Efficacité'!$A$6:$BT$266,(MATCH('4.6 ACE MAX CAN '!AN$4,'7. PGE_Efficacité'!$A$4:$BU$4,0)+31),0)</f>
        <v>+</v>
      </c>
    </row>
    <row r="155" spans="1:40" outlineLevel="2" x14ac:dyDescent="0.25">
      <c r="A155" t="s">
        <v>1525</v>
      </c>
      <c r="B155">
        <v>3</v>
      </c>
      <c r="C155" t="s">
        <v>410</v>
      </c>
      <c r="D155" s="12" t="s">
        <v>38</v>
      </c>
      <c r="E155" s="12" t="s">
        <v>896</v>
      </c>
      <c r="F155" s="12" t="s">
        <v>1486</v>
      </c>
      <c r="G155" s="12" t="s">
        <v>1522</v>
      </c>
      <c r="H155" s="12" t="s">
        <v>1290</v>
      </c>
      <c r="I155" s="148"/>
      <c r="J155" s="149">
        <f>VLOOKUP($E155,'7. PGE_Efficacité'!$A$6:$BT$266,(MATCH('4.6 ACE MAX CAN '!J$4,'7. PGE_Efficacité'!$A$4:$BU$4,0)+31),0)</f>
        <v>0</v>
      </c>
      <c r="K155" s="149">
        <f>VLOOKUP($E155,'7. PGE_Efficacité'!$A$6:$BT$266,(MATCH('4.6 ACE MAX CAN '!K$4,'7. PGE_Efficacité'!$A$4:$BU$4,0)+31),0)</f>
        <v>0</v>
      </c>
      <c r="L155" s="149">
        <f>VLOOKUP($E155,'7. PGE_Efficacité'!$A$6:$BT$266,(MATCH('4.6 ACE MAX CAN '!L$4,'7. PGE_Efficacité'!$A$4:$BU$4,0)+31),0)</f>
        <v>0</v>
      </c>
      <c r="M155" s="149">
        <f>VLOOKUP($E155,'7. PGE_Efficacité'!$A$6:$BT$266,(MATCH('4.6 ACE MAX CAN '!M$4,'7. PGE_Efficacité'!$A$4:$BU$4,0)+31),0)</f>
        <v>0</v>
      </c>
      <c r="N155" s="149">
        <f>VLOOKUP($E155,'7. PGE_Efficacité'!$A$6:$BT$266,(MATCH('4.6 ACE MAX CAN '!N$4,'7. PGE_Efficacité'!$A$4:$BU$4,0)+31),0)</f>
        <v>0</v>
      </c>
      <c r="O155" s="149" t="str">
        <f>VLOOKUP($D155,'7. PGE_Efficacité'!$A$6:$BT$268,47,0)</f>
        <v>+</v>
      </c>
      <c r="P155" s="149">
        <f>VLOOKUP($E155,'7. PGE_Efficacité'!$A$6:$BT$266,(MATCH('4.6 ACE MAX CAN '!P$4,'7. PGE_Efficacité'!$A$4:$BU$4,0)+31),0)</f>
        <v>0</v>
      </c>
      <c r="Q155" s="149">
        <f>VLOOKUP($E155,'7. PGE_Efficacité'!$A$6:$BT$266,(MATCH('4.6 ACE MAX CAN '!Q$4,'7. PGE_Efficacité'!$A$4:$BU$4,0)+31),0)</f>
        <v>0</v>
      </c>
      <c r="R155" s="149">
        <f>VLOOKUP($E155,'7. PGE_Efficacité'!$A$6:$BT$266,(MATCH('4.6 ACE MAX CAN '!R$4,'7. PGE_Efficacité'!$A$4:$BU$4,0)+31),0)</f>
        <v>0</v>
      </c>
      <c r="S155" s="149">
        <f>VLOOKUP($E155,'7. PGE_Efficacité'!$A$6:$BT$266,(MATCH('4.6 ACE MAX CAN '!S$4,'7. PGE_Efficacité'!$A$4:$BU$4,0)+31),0)</f>
        <v>0</v>
      </c>
      <c r="T155" s="149">
        <f>VLOOKUP($E155,'7. PGE_Efficacité'!$A$6:$BT$266,(MATCH('4.6 ACE MAX CAN '!T$4,'7. PGE_Efficacité'!$A$4:$BU$4,0)+31),0)</f>
        <v>0</v>
      </c>
      <c r="U155" s="149">
        <f>VLOOKUP($E155,'7. PGE_Efficacité'!$A$6:$BT$266,(MATCH('4.6 ACE MAX CAN '!U$4,'7. PGE_Efficacité'!$A$4:$BU$4,0)+31),0)</f>
        <v>0</v>
      </c>
      <c r="V155" s="149">
        <f>VLOOKUP($E155,'7. PGE_Efficacité'!$A$6:$BT$266,(MATCH('4.6 ACE MAX CAN '!V$4,'7. PGE_Efficacité'!$A$4:$BU$4,0)+31),0)</f>
        <v>0</v>
      </c>
      <c r="W155" s="149">
        <f>VLOOKUP($E155,'7. PGE_Efficacité'!$A$6:$BT$266,(MATCH('4.6 ACE MAX CAN '!W$4,'7. PGE_Efficacité'!$A$4:$BU$4,0)+31),0)</f>
        <v>0</v>
      </c>
      <c r="X155" s="149">
        <f>VLOOKUP($E155,'7. PGE_Efficacité'!$A$6:$BT$266,(MATCH('4.6 ACE MAX CAN '!X$4,'7. PGE_Efficacité'!$A$4:$BU$4,0)+31),0)</f>
        <v>0</v>
      </c>
      <c r="Y155" s="149">
        <f>VLOOKUP($E155,'7. PGE_Efficacité'!$A$6:$BT$266,(MATCH('4.6 ACE MAX CAN '!Y$4,'7. PGE_Efficacité'!$A$4:$BU$4,0)+31),0)</f>
        <v>0</v>
      </c>
      <c r="Z155" s="149">
        <f>VLOOKUP($E155,'7. PGE_Efficacité'!$A$6:$BT$266,(MATCH('4.6 ACE MAX CAN '!Z$4,'7. PGE_Efficacité'!$A$4:$BU$4,0)+31),0)</f>
        <v>0</v>
      </c>
      <c r="AA155" s="149">
        <f>VLOOKUP($E155,'7. PGE_Efficacité'!$A$6:$BT$266,(MATCH('4.6 ACE MAX CAN '!AA$4,'7. PGE_Efficacité'!$A$4:$BU$4,0)+31),0)</f>
        <v>0</v>
      </c>
      <c r="AB155" s="149">
        <f>VLOOKUP($E155,'7. PGE_Efficacité'!$A$6:$BT$266,(MATCH('4.6 ACE MAX CAN '!AB$4,'7. PGE_Efficacité'!$A$4:$BU$4,0)+31),0)</f>
        <v>0</v>
      </c>
      <c r="AC155" s="149">
        <f>VLOOKUP($E155,'7. PGE_Efficacité'!$A$6:$BT$266,(MATCH('4.6 ACE MAX CAN '!AC$4,'7. PGE_Efficacité'!$A$4:$BU$4,0)+31),0)</f>
        <v>0</v>
      </c>
      <c r="AD155" s="149">
        <f>VLOOKUP($E155,'7. PGE_Efficacité'!$A$6:$BT$266,(MATCH('4.6 ACE MAX CAN '!AD$4,'7. PGE_Efficacité'!$A$4:$BU$4,0)+31),0)</f>
        <v>0</v>
      </c>
      <c r="AE155" s="149">
        <f>VLOOKUP($E155,'7. PGE_Efficacité'!$A$6:$BT$266,(MATCH('4.6 ACE MAX CAN '!AE$4,'7. PGE_Efficacité'!$A$4:$BU$4,0)+31),0)</f>
        <v>0</v>
      </c>
      <c r="AF155" s="149">
        <f>VLOOKUP($E155,'7. PGE_Efficacité'!$A$6:$BT$266,(MATCH('4.6 ACE MAX CAN '!AF$4,'7. PGE_Efficacité'!$A$4:$BU$4,0)+31),0)</f>
        <v>0</v>
      </c>
      <c r="AG155" s="149">
        <f>VLOOKUP($E155,'7. PGE_Efficacité'!$A$6:$BT$266,(MATCH('4.6 ACE MAX CAN '!AG$4,'7. PGE_Efficacité'!$A$4:$BU$4,0)+31),0)</f>
        <v>0</v>
      </c>
      <c r="AH155" s="149">
        <f>VLOOKUP($E155,'7. PGE_Efficacité'!$A$6:$BT$266,(MATCH('4.6 ACE MAX CAN '!AH$4,'7. PGE_Efficacité'!$A$4:$BU$4,0)+31),0)</f>
        <v>0</v>
      </c>
      <c r="AI155" s="149">
        <f>VLOOKUP($E155,'7. PGE_Efficacité'!$A$6:$BT$266,(MATCH('4.6 ACE MAX CAN '!AI$4,'7. PGE_Efficacité'!$A$4:$BU$4,0)+31),0)</f>
        <v>0</v>
      </c>
      <c r="AJ155" s="149">
        <f>VLOOKUP($E155,'7. PGE_Efficacité'!$A$6:$BT$266,(MATCH('4.6 ACE MAX CAN '!AJ$4,'7. PGE_Efficacité'!$A$4:$BU$4,0)+31),0)</f>
        <v>0</v>
      </c>
      <c r="AK155" s="149">
        <f>VLOOKUP($E155,'7. PGE_Efficacité'!$A$6:$BT$266,(MATCH('4.6 ACE MAX CAN '!AK$4,'7. PGE_Efficacité'!$A$4:$BU$4,0)+31),0)</f>
        <v>0</v>
      </c>
      <c r="AL155" s="149">
        <f>VLOOKUP($E155,'7. PGE_Efficacité'!$A$6:$BT$266,(MATCH('4.6 ACE MAX CAN '!AL$4,'7. PGE_Efficacité'!$A$4:$BU$4,0)+31),0)</f>
        <v>0</v>
      </c>
      <c r="AM155" s="149">
        <f>VLOOKUP($E155,'7. PGE_Efficacité'!$A$6:$BT$266,(MATCH('4.6 ACE MAX CAN '!AM$4,'7. PGE_Efficacité'!$A$4:$BU$4,0)+31),0)</f>
        <v>0</v>
      </c>
      <c r="AN155" s="149">
        <f>VLOOKUP($E155,'7. PGE_Efficacité'!$A$6:$BT$266,(MATCH('4.6 ACE MAX CAN '!AN$4,'7. PGE_Efficacité'!$A$4:$BU$4,0)+31),0)</f>
        <v>0</v>
      </c>
    </row>
    <row r="156" spans="1:40" outlineLevel="2" x14ac:dyDescent="0.25">
      <c r="A156" t="s">
        <v>1525</v>
      </c>
      <c r="B156">
        <v>3</v>
      </c>
      <c r="C156" t="s">
        <v>1528</v>
      </c>
      <c r="D156" s="12" t="s">
        <v>38</v>
      </c>
      <c r="E156" s="12" t="s">
        <v>897</v>
      </c>
      <c r="F156" s="12" t="s">
        <v>1487</v>
      </c>
      <c r="G156" s="12" t="s">
        <v>1522</v>
      </c>
      <c r="H156" s="12" t="s">
        <v>1290</v>
      </c>
      <c r="I156" s="148"/>
      <c r="J156" s="149">
        <f>VLOOKUP($E156,'7. PGE_Efficacité'!$A$6:$BT$266,(MATCH('4.6 ACE MAX CAN '!J$4,'7. PGE_Efficacité'!$A$4:$BU$4,0)+31),0)</f>
        <v>0</v>
      </c>
      <c r="K156" s="149">
        <f>VLOOKUP($E156,'7. PGE_Efficacité'!$A$6:$BT$266,(MATCH('4.6 ACE MAX CAN '!K$4,'7. PGE_Efficacité'!$A$4:$BU$4,0)+31),0)</f>
        <v>0</v>
      </c>
      <c r="L156" s="149">
        <f>VLOOKUP($E156,'7. PGE_Efficacité'!$A$6:$BT$266,(MATCH('4.6 ACE MAX CAN '!L$4,'7. PGE_Efficacité'!$A$4:$BU$4,0)+31),0)</f>
        <v>0</v>
      </c>
      <c r="M156" s="149">
        <f>VLOOKUP($E156,'7. PGE_Efficacité'!$A$6:$BT$266,(MATCH('4.6 ACE MAX CAN '!M$4,'7. PGE_Efficacité'!$A$4:$BU$4,0)+31),0)</f>
        <v>0</v>
      </c>
      <c r="N156" s="149">
        <f>VLOOKUP($E156,'7. PGE_Efficacité'!$A$6:$BT$266,(MATCH('4.6 ACE MAX CAN '!N$4,'7. PGE_Efficacité'!$A$4:$BU$4,0)+31),0)</f>
        <v>0</v>
      </c>
      <c r="O156" s="149" t="str">
        <f>VLOOKUP($D156,'7. PGE_Efficacité'!$A$6:$BT$268,47,0)</f>
        <v>+</v>
      </c>
      <c r="P156" s="149">
        <f>VLOOKUP($E156,'7. PGE_Efficacité'!$A$6:$BT$266,(MATCH('4.6 ACE MAX CAN '!P$4,'7. PGE_Efficacité'!$A$4:$BU$4,0)+31),0)</f>
        <v>0</v>
      </c>
      <c r="Q156" s="149">
        <f>VLOOKUP($E156,'7. PGE_Efficacité'!$A$6:$BT$266,(MATCH('4.6 ACE MAX CAN '!Q$4,'7. PGE_Efficacité'!$A$4:$BU$4,0)+31),0)</f>
        <v>0</v>
      </c>
      <c r="R156" s="149">
        <f>VLOOKUP($E156,'7. PGE_Efficacité'!$A$6:$BT$266,(MATCH('4.6 ACE MAX CAN '!R$4,'7. PGE_Efficacité'!$A$4:$BU$4,0)+31),0)</f>
        <v>0</v>
      </c>
      <c r="S156" s="149">
        <f>VLOOKUP($E156,'7. PGE_Efficacité'!$A$6:$BT$266,(MATCH('4.6 ACE MAX CAN '!S$4,'7. PGE_Efficacité'!$A$4:$BU$4,0)+31),0)</f>
        <v>0</v>
      </c>
      <c r="T156" s="149">
        <f>VLOOKUP($E156,'7. PGE_Efficacité'!$A$6:$BT$266,(MATCH('4.6 ACE MAX CAN '!T$4,'7. PGE_Efficacité'!$A$4:$BU$4,0)+31),0)</f>
        <v>0</v>
      </c>
      <c r="U156" s="149">
        <f>VLOOKUP($E156,'7. PGE_Efficacité'!$A$6:$BT$266,(MATCH('4.6 ACE MAX CAN '!U$4,'7. PGE_Efficacité'!$A$4:$BU$4,0)+31),0)</f>
        <v>0</v>
      </c>
      <c r="V156" s="149">
        <f>VLOOKUP($E156,'7. PGE_Efficacité'!$A$6:$BT$266,(MATCH('4.6 ACE MAX CAN '!V$4,'7. PGE_Efficacité'!$A$4:$BU$4,0)+31),0)</f>
        <v>0</v>
      </c>
      <c r="W156" s="149">
        <f>VLOOKUP($E156,'7. PGE_Efficacité'!$A$6:$BT$266,(MATCH('4.6 ACE MAX CAN '!W$4,'7. PGE_Efficacité'!$A$4:$BU$4,0)+31),0)</f>
        <v>0</v>
      </c>
      <c r="X156" s="149">
        <f>VLOOKUP($E156,'7. PGE_Efficacité'!$A$6:$BT$266,(MATCH('4.6 ACE MAX CAN '!X$4,'7. PGE_Efficacité'!$A$4:$BU$4,0)+31),0)</f>
        <v>0</v>
      </c>
      <c r="Y156" s="149">
        <f>VLOOKUP($E156,'7. PGE_Efficacité'!$A$6:$BT$266,(MATCH('4.6 ACE MAX CAN '!Y$4,'7. PGE_Efficacité'!$A$4:$BU$4,0)+31),0)</f>
        <v>0</v>
      </c>
      <c r="Z156" s="149">
        <f>VLOOKUP($E156,'7. PGE_Efficacité'!$A$6:$BT$266,(MATCH('4.6 ACE MAX CAN '!Z$4,'7. PGE_Efficacité'!$A$4:$BU$4,0)+31),0)</f>
        <v>0</v>
      </c>
      <c r="AA156" s="149">
        <f>VLOOKUP($E156,'7. PGE_Efficacité'!$A$6:$BT$266,(MATCH('4.6 ACE MAX CAN '!AA$4,'7. PGE_Efficacité'!$A$4:$BU$4,0)+31),0)</f>
        <v>0</v>
      </c>
      <c r="AB156" s="149">
        <f>VLOOKUP($E156,'7. PGE_Efficacité'!$A$6:$BT$266,(MATCH('4.6 ACE MAX CAN '!AB$4,'7. PGE_Efficacité'!$A$4:$BU$4,0)+31),0)</f>
        <v>0</v>
      </c>
      <c r="AC156" s="149">
        <f>VLOOKUP($E156,'7. PGE_Efficacité'!$A$6:$BT$266,(MATCH('4.6 ACE MAX CAN '!AC$4,'7. PGE_Efficacité'!$A$4:$BU$4,0)+31),0)</f>
        <v>0</v>
      </c>
      <c r="AD156" s="149">
        <f>VLOOKUP($E156,'7. PGE_Efficacité'!$A$6:$BT$266,(MATCH('4.6 ACE MAX CAN '!AD$4,'7. PGE_Efficacité'!$A$4:$BU$4,0)+31),0)</f>
        <v>0</v>
      </c>
      <c r="AE156" s="149">
        <f>VLOOKUP($E156,'7. PGE_Efficacité'!$A$6:$BT$266,(MATCH('4.6 ACE MAX CAN '!AE$4,'7. PGE_Efficacité'!$A$4:$BU$4,0)+31),0)</f>
        <v>0</v>
      </c>
      <c r="AF156" s="149">
        <f>VLOOKUP($E156,'7. PGE_Efficacité'!$A$6:$BT$266,(MATCH('4.6 ACE MAX CAN '!AF$4,'7. PGE_Efficacité'!$A$4:$BU$4,0)+31),0)</f>
        <v>0</v>
      </c>
      <c r="AG156" s="149">
        <f>VLOOKUP($E156,'7. PGE_Efficacité'!$A$6:$BT$266,(MATCH('4.6 ACE MAX CAN '!AG$4,'7. PGE_Efficacité'!$A$4:$BU$4,0)+31),0)</f>
        <v>0</v>
      </c>
      <c r="AH156" s="149">
        <f>VLOOKUP($E156,'7. PGE_Efficacité'!$A$6:$BT$266,(MATCH('4.6 ACE MAX CAN '!AH$4,'7. PGE_Efficacité'!$A$4:$BU$4,0)+31),0)</f>
        <v>0</v>
      </c>
      <c r="AI156" s="149">
        <f>VLOOKUP($E156,'7. PGE_Efficacité'!$A$6:$BT$266,(MATCH('4.6 ACE MAX CAN '!AI$4,'7. PGE_Efficacité'!$A$4:$BU$4,0)+31),0)</f>
        <v>0</v>
      </c>
      <c r="AJ156" s="149">
        <f>VLOOKUP($E156,'7. PGE_Efficacité'!$A$6:$BT$266,(MATCH('4.6 ACE MAX CAN '!AJ$4,'7. PGE_Efficacité'!$A$4:$BU$4,0)+31),0)</f>
        <v>0</v>
      </c>
      <c r="AK156" s="149">
        <f>VLOOKUP($E156,'7. PGE_Efficacité'!$A$6:$BT$266,(MATCH('4.6 ACE MAX CAN '!AK$4,'7. PGE_Efficacité'!$A$4:$BU$4,0)+31),0)</f>
        <v>0</v>
      </c>
      <c r="AL156" s="149">
        <f>VLOOKUP($E156,'7. PGE_Efficacité'!$A$6:$BT$266,(MATCH('4.6 ACE MAX CAN '!AL$4,'7. PGE_Efficacité'!$A$4:$BU$4,0)+31),0)</f>
        <v>0</v>
      </c>
      <c r="AM156" s="149">
        <f>VLOOKUP($E156,'7. PGE_Efficacité'!$A$6:$BT$266,(MATCH('4.6 ACE MAX CAN '!AM$4,'7. PGE_Efficacité'!$A$4:$BU$4,0)+31),0)</f>
        <v>0</v>
      </c>
      <c r="AN156" s="149">
        <f>VLOOKUP($E156,'7. PGE_Efficacité'!$A$6:$BT$266,(MATCH('4.6 ACE MAX CAN '!AN$4,'7. PGE_Efficacité'!$A$4:$BU$4,0)+31),0)</f>
        <v>0</v>
      </c>
    </row>
    <row r="157" spans="1:40" ht="26.25" outlineLevel="1" x14ac:dyDescent="0.25">
      <c r="D157" s="360" t="s">
        <v>65</v>
      </c>
      <c r="E157" s="360"/>
      <c r="F157" s="361" t="str">
        <f>VLOOKUP(D157,'1. Mesures'!$A$2:$B$116,2,0)</f>
        <v>Assurer le traitement des eaux résiduaires urbaines conformément à la directive 91/271/CEE et reprise de l’ensemble des ouvrages d’épuration par le secteur public</v>
      </c>
      <c r="G157" s="360"/>
      <c r="H157" s="360"/>
      <c r="I157" s="362">
        <f>MEDIAN(VLOOKUP(D157,'4. Mesures_ACE_Budget'!$A$3:$R$32,17,0),VLOOKUP(D157,'4. Mesures_ACE_Budget'!$A$3:$R$32,18,0))</f>
        <v>0</v>
      </c>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row>
    <row r="158" spans="1:40" outlineLevel="2" x14ac:dyDescent="0.25">
      <c r="A158" t="s">
        <v>1526</v>
      </c>
      <c r="B158">
        <v>5</v>
      </c>
      <c r="C158" t="s">
        <v>1524</v>
      </c>
      <c r="D158" s="12" t="s">
        <v>65</v>
      </c>
      <c r="E158" s="12" t="s">
        <v>952</v>
      </c>
      <c r="F158" s="12" t="s">
        <v>1488</v>
      </c>
      <c r="G158" s="12" t="s">
        <v>1522</v>
      </c>
      <c r="H158" s="12"/>
      <c r="I158" s="148"/>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row>
    <row r="159" spans="1:40" outlineLevel="2" x14ac:dyDescent="0.25">
      <c r="A159" t="s">
        <v>1526</v>
      </c>
      <c r="B159">
        <v>5</v>
      </c>
      <c r="C159" t="s">
        <v>1525</v>
      </c>
      <c r="D159" s="12" t="s">
        <v>65</v>
      </c>
      <c r="E159" s="12" t="s">
        <v>953</v>
      </c>
      <c r="F159" s="12" t="s">
        <v>1489</v>
      </c>
      <c r="G159" s="12" t="s">
        <v>1522</v>
      </c>
      <c r="H159" s="12"/>
      <c r="I159" s="148"/>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c r="AL159" s="149"/>
      <c r="AM159" s="149"/>
      <c r="AN159" s="149"/>
    </row>
    <row r="160" spans="1:40" outlineLevel="2" x14ac:dyDescent="0.25">
      <c r="A160" t="s">
        <v>1526</v>
      </c>
      <c r="B160">
        <v>5</v>
      </c>
      <c r="C160" t="s">
        <v>1526</v>
      </c>
      <c r="D160" s="12" t="s">
        <v>65</v>
      </c>
      <c r="E160" s="12" t="s">
        <v>954</v>
      </c>
      <c r="F160" s="12" t="s">
        <v>1490</v>
      </c>
      <c r="G160" s="12" t="s">
        <v>1522</v>
      </c>
      <c r="H160" s="12"/>
      <c r="I160" s="148"/>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9"/>
      <c r="AM160" s="149"/>
      <c r="AN160" s="149"/>
    </row>
    <row r="161" spans="1:40" outlineLevel="2" x14ac:dyDescent="0.25">
      <c r="A161" t="s">
        <v>1526</v>
      </c>
      <c r="B161">
        <v>5</v>
      </c>
      <c r="C161" t="s">
        <v>1527</v>
      </c>
      <c r="D161" s="12" t="s">
        <v>65</v>
      </c>
      <c r="E161" s="12" t="s">
        <v>955</v>
      </c>
      <c r="F161" s="12" t="s">
        <v>1491</v>
      </c>
      <c r="G161" s="12" t="s">
        <v>1522</v>
      </c>
      <c r="H161" s="12"/>
      <c r="I161" s="148"/>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row>
    <row r="162" spans="1:40" outlineLevel="2" x14ac:dyDescent="0.25">
      <c r="A162" t="s">
        <v>1526</v>
      </c>
      <c r="B162">
        <v>5</v>
      </c>
      <c r="C162" t="s">
        <v>410</v>
      </c>
      <c r="D162" s="12" t="s">
        <v>65</v>
      </c>
      <c r="E162" s="12" t="s">
        <v>956</v>
      </c>
      <c r="F162" s="12" t="s">
        <v>1492</v>
      </c>
      <c r="G162" s="12" t="s">
        <v>1522</v>
      </c>
      <c r="H162" s="12"/>
      <c r="I162" s="148"/>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row>
    <row r="163" spans="1:40" ht="26.25" outlineLevel="1" x14ac:dyDescent="0.25">
      <c r="D163" s="368" t="s">
        <v>79</v>
      </c>
      <c r="E163" s="368"/>
      <c r="F163" s="369" t="str">
        <f>VLOOKUP(D163,'1. Mesures'!$A$2:$B$116,2,0)</f>
        <v>Mettre en œuvre la GiEP dans l'espace public et privé, ainsi que les autres mesures de résilience climatique liées à la gestion de l’eau</v>
      </c>
      <c r="G163" s="368"/>
      <c r="H163" s="368"/>
      <c r="I163" s="370">
        <f>MEDIAN(VLOOKUP(D163,'4. Mesures_ACE_Budget'!$A$3:$R$32,17,0),VLOOKUP(D163,'4. Mesures_ACE_Budget'!$A$3:$R$32,18,0))</f>
        <v>9408400</v>
      </c>
      <c r="J163" s="240">
        <f>VLOOKUP($D163,'7. PGE_Efficacité'!$A$6:$BT$268,(MATCH('4.6 ACE MAX CAN '!J$4,'7. PGE_Efficacité'!$A$4:$AO$4,0)+31),0)</f>
        <v>0</v>
      </c>
      <c r="K163" s="240" t="str">
        <f>VLOOKUP($D163,'7. PGE_Efficacité'!$A$6:$BT$268,(MATCH('4.6 ACE MAX CAN '!K$4,'7. PGE_Efficacité'!$A$4:$AO$4,0)+31),0)</f>
        <v>++</v>
      </c>
      <c r="L163" s="240" t="str">
        <f>VLOOKUP($D163,'7. PGE_Efficacité'!$A$6:$BT$268,(MATCH('4.6 ACE MAX CAN '!L$4,'7. PGE_Efficacité'!$A$4:$AO$4,0)+31),0)</f>
        <v>+</v>
      </c>
      <c r="M163" s="240" t="str">
        <f>VLOOKUP($D163,'7. PGE_Efficacité'!$A$6:$BT$268,(MATCH('4.6 ACE MAX CAN '!M$4,'7. PGE_Efficacité'!$A$4:$AO$4,0)+31),0)</f>
        <v>++</v>
      </c>
      <c r="N163" s="240" t="str">
        <f>VLOOKUP($D163,'7. PGE_Efficacité'!$A$6:$BT$268,(MATCH('4.6 ACE MAX CAN '!N$4,'7. PGE_Efficacité'!$A$4:$AO$4,0)+31),0)</f>
        <v>++</v>
      </c>
      <c r="O163" s="240" t="str">
        <f>VLOOKUP($D163,'7. PGE_Efficacité'!$A$6:$BT$268,47,0)</f>
        <v>++</v>
      </c>
      <c r="P163" s="240">
        <f>VLOOKUP($D163,'7. PGE_Efficacité'!$A$6:$BT$268,(MATCH('4.6 ACE MAX CAN '!P$4,'7. PGE_Efficacité'!$A$4:$AO$4,0)+31),0)</f>
        <v>0</v>
      </c>
      <c r="Q163" s="240" t="str">
        <f>VLOOKUP($D163,'7. PGE_Efficacité'!$A$6:$BT$268,(MATCH('4.6 ACE MAX CAN '!Q$4,'7. PGE_Efficacité'!$A$4:$AO$4,0)+31),0)</f>
        <v>+</v>
      </c>
      <c r="R163" s="240" t="str">
        <f>VLOOKUP($D163,'7. PGE_Efficacité'!$A$6:$BT$268,(MATCH('4.6 ACE MAX CAN '!R$4,'7. PGE_Efficacité'!$A$4:$AO$4,0)+31),0)</f>
        <v>+</v>
      </c>
      <c r="S163" s="240">
        <f>VLOOKUP($D163,'7. PGE_Efficacité'!$A$6:$BT$268,(MATCH('4.6 ACE MAX CAN '!S$4,'7. PGE_Efficacité'!$A$4:$AO$4,0)+31),0)</f>
        <v>0</v>
      </c>
      <c r="T163" s="240" t="str">
        <f>VLOOKUP($D163,'7. PGE_Efficacité'!$A$6:$BT$268,(MATCH('4.6 ACE MAX CAN '!T$4,'7. PGE_Efficacité'!$A$4:$AO$4,0)+31),0)</f>
        <v>+</v>
      </c>
      <c r="U163" s="240" t="str">
        <f>VLOOKUP($D163,'7. PGE_Efficacité'!$A$6:$BT$268,(MATCH('4.6 ACE MAX CAN '!U$4,'7. PGE_Efficacité'!$A$4:$AO$4,0)+31),0)</f>
        <v>+</v>
      </c>
      <c r="V163" s="240" t="str">
        <f>VLOOKUP($D163,'7. PGE_Efficacité'!$A$6:$BT$268,(MATCH('4.6 ACE MAX CAN '!V$4,'7. PGE_Efficacité'!$A$4:$AO$4,0)+31),0)</f>
        <v>+</v>
      </c>
      <c r="W163" s="240" t="str">
        <f>VLOOKUP($D163,'7. PGE_Efficacité'!$A$6:$BT$268,(MATCH('4.6 ACE MAX CAN '!W$4,'7. PGE_Efficacité'!$A$4:$AO$4,0)+31),0)</f>
        <v>+</v>
      </c>
      <c r="X163" s="240">
        <f>VLOOKUP($D163,'7. PGE_Efficacité'!$A$6:$BT$268,(MATCH('4.6 ACE MAX CAN '!X$4,'7. PGE_Efficacité'!$A$4:$AO$4,0)+31),0)</f>
        <v>0</v>
      </c>
      <c r="Y163" s="240" t="str">
        <f>VLOOKUP($D163,'7. PGE_Efficacité'!$A$6:$BT$268,(MATCH('4.6 ACE MAX CAN '!Y$4,'7. PGE_Efficacité'!$A$4:$AO$4,0)+31),0)</f>
        <v>+</v>
      </c>
      <c r="Z163" s="240" t="str">
        <f>VLOOKUP($D163,'7. PGE_Efficacité'!$A$6:$BT$268,(MATCH('4.6 ACE MAX CAN '!Z$4,'7. PGE_Efficacité'!$A$4:$AO$4,0)+31),0)</f>
        <v>+</v>
      </c>
      <c r="AA163" s="240">
        <f>VLOOKUP($D163,'7. PGE_Efficacité'!$A$6:$BT$268,(MATCH('4.6 ACE MAX CAN '!AA$4,'7. PGE_Efficacité'!$A$4:$AO$4,0)+31),0)</f>
        <v>0</v>
      </c>
      <c r="AB163" s="240">
        <f>VLOOKUP($D163,'7. PGE_Efficacité'!$A$6:$BT$268,(MATCH('4.6 ACE MAX CAN '!AB$4,'7. PGE_Efficacité'!$A$4:$AO$4,0)+31),0)</f>
        <v>0</v>
      </c>
      <c r="AC163" s="240">
        <f>VLOOKUP($D163,'7. PGE_Efficacité'!$A$6:$BT$268,(MATCH('4.6 ACE MAX CAN '!AC$4,'7. PGE_Efficacité'!$A$4:$AO$4,0)+31),0)</f>
        <v>0</v>
      </c>
      <c r="AD163" s="240">
        <f>VLOOKUP($D163,'7. PGE_Efficacité'!$A$6:$BT$268,(MATCH('4.6 ACE MAX CAN '!AD$4,'7. PGE_Efficacité'!$A$4:$AO$4,0)+31),0)</f>
        <v>0</v>
      </c>
      <c r="AE163" s="240">
        <f>VLOOKUP($D163,'7. PGE_Efficacité'!$A$6:$BT$268,(MATCH('4.6 ACE MAX CAN '!AE$4,'7. PGE_Efficacité'!$A$4:$AO$4,0)+31),0)</f>
        <v>0</v>
      </c>
      <c r="AF163" s="240">
        <f>VLOOKUP($D163,'7. PGE_Efficacité'!$A$6:$BT$268,(MATCH('4.6 ACE MAX CAN '!AF$4,'7. PGE_Efficacité'!$A$4:$AO$4,0)+31),0)</f>
        <v>0</v>
      </c>
      <c r="AG163" s="240" t="str">
        <f>VLOOKUP($D163,'7. PGE_Efficacité'!$A$6:$BT$268,(MATCH('4.6 ACE MAX CAN '!AG$4,'7. PGE_Efficacité'!$A$4:$AO$4,0)+31),0)</f>
        <v>+</v>
      </c>
      <c r="AH163" s="240" t="str">
        <f>VLOOKUP($D163,'7. PGE_Efficacité'!$A$6:$BT$268,(MATCH('4.6 ACE MAX CAN '!AH$4,'7. PGE_Efficacité'!$A$4:$AO$4,0)+31),0)</f>
        <v>+</v>
      </c>
      <c r="AI163" s="240">
        <f>VLOOKUP($D163,'7. PGE_Efficacité'!$A$6:$BT$268,(MATCH('4.6 ACE MAX CAN '!AI$4,'7. PGE_Efficacité'!$A$4:$AO$4,0)+31),0)</f>
        <v>0</v>
      </c>
      <c r="AJ163" s="240">
        <f>VLOOKUP($D163,'7. PGE_Efficacité'!$A$6:$BT$268,(MATCH('4.6 ACE MAX CAN '!AJ$4,'7. PGE_Efficacité'!$A$4:$AO$4,0)+31),0)</f>
        <v>0</v>
      </c>
      <c r="AK163" s="240" t="str">
        <f>VLOOKUP($D163,'7. PGE_Efficacité'!$A$6:$BT$268,(MATCH('4.6 ACE MAX CAN '!AK$4,'7. PGE_Efficacité'!$A$4:$AO$4,0)+31),0)</f>
        <v>+</v>
      </c>
      <c r="AL163" s="240">
        <f>VLOOKUP($D163,'7. PGE_Efficacité'!$A$6:$BT$268,(MATCH('4.6 ACE MAX CAN '!AL$4,'7. PGE_Efficacité'!$A$4:$AO$4,0)+31),0)</f>
        <v>0</v>
      </c>
      <c r="AM163" s="240" t="str">
        <f>VLOOKUP($D163,'7. PGE_Efficacité'!$A$6:$BT$268,(MATCH('4.6 ACE MAX CAN '!AM$4,'7. PGE_Efficacité'!$A$4:$AO$4,0)+31),0)</f>
        <v>+</v>
      </c>
      <c r="AN163" s="240" t="str">
        <f>VLOOKUP($D163,'7. PGE_Efficacité'!$A$6:$BT$268,(MATCH('4.6 ACE MAX CAN '!AN$4,'7. PGE_Efficacité'!$A$4:$AO$4,0)+31),0)</f>
        <v>+</v>
      </c>
    </row>
    <row r="164" spans="1:40" outlineLevel="2" x14ac:dyDescent="0.25">
      <c r="A164" t="s">
        <v>410</v>
      </c>
      <c r="B164">
        <v>4</v>
      </c>
      <c r="C164" t="s">
        <v>1524</v>
      </c>
      <c r="D164" s="138" t="s">
        <v>79</v>
      </c>
      <c r="E164" s="138" t="s">
        <v>417</v>
      </c>
      <c r="F164" s="138" t="s">
        <v>1293</v>
      </c>
      <c r="G164" s="138" t="s">
        <v>1520</v>
      </c>
      <c r="H164" s="138" t="s">
        <v>1290</v>
      </c>
      <c r="I164" s="138"/>
      <c r="J164" s="140"/>
      <c r="K164" s="140"/>
      <c r="L164" s="140"/>
      <c r="M164" s="140"/>
      <c r="N164" s="140"/>
      <c r="O164" s="140"/>
      <c r="P164" s="140"/>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row>
    <row r="165" spans="1:40" outlineLevel="2" x14ac:dyDescent="0.25">
      <c r="A165" t="s">
        <v>410</v>
      </c>
      <c r="B165">
        <v>4</v>
      </c>
      <c r="C165" t="s">
        <v>1525</v>
      </c>
      <c r="D165" s="138" t="s">
        <v>79</v>
      </c>
      <c r="E165" s="138" t="s">
        <v>418</v>
      </c>
      <c r="F165" s="138" t="s">
        <v>1294</v>
      </c>
      <c r="G165" s="138" t="s">
        <v>1520</v>
      </c>
      <c r="H165" s="138" t="s">
        <v>1290</v>
      </c>
      <c r="I165" s="138"/>
      <c r="J165" s="140"/>
      <c r="K165" s="140"/>
      <c r="L165" s="140"/>
      <c r="M165" s="140"/>
      <c r="N165" s="140"/>
      <c r="O165" s="140"/>
      <c r="P165" s="140"/>
      <c r="Q165" s="140"/>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row>
    <row r="166" spans="1:40" outlineLevel="2" x14ac:dyDescent="0.25">
      <c r="A166" t="s">
        <v>410</v>
      </c>
      <c r="B166">
        <v>4</v>
      </c>
      <c r="C166" t="s">
        <v>1526</v>
      </c>
      <c r="D166" s="138" t="s">
        <v>79</v>
      </c>
      <c r="E166" s="138" t="s">
        <v>419</v>
      </c>
      <c r="F166" s="138" t="s">
        <v>1295</v>
      </c>
      <c r="G166" s="138" t="s">
        <v>1520</v>
      </c>
      <c r="H166" s="138" t="s">
        <v>1290</v>
      </c>
      <c r="I166" s="138"/>
      <c r="J166" s="140"/>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row>
    <row r="167" spans="1:40" outlineLevel="2" x14ac:dyDescent="0.25">
      <c r="A167" t="s">
        <v>410</v>
      </c>
      <c r="B167">
        <v>4</v>
      </c>
      <c r="C167" t="s">
        <v>1527</v>
      </c>
      <c r="D167" s="138" t="s">
        <v>79</v>
      </c>
      <c r="E167" s="138" t="s">
        <v>420</v>
      </c>
      <c r="F167" s="138" t="s">
        <v>1296</v>
      </c>
      <c r="G167" s="138" t="s">
        <v>1520</v>
      </c>
      <c r="H167" s="138" t="s">
        <v>1290</v>
      </c>
      <c r="I167" s="138"/>
      <c r="J167" s="140"/>
      <c r="K167" s="140"/>
      <c r="L167" s="140"/>
      <c r="M167" s="140"/>
      <c r="N167" s="140"/>
      <c r="O167" s="140"/>
      <c r="P167" s="140"/>
      <c r="Q167" s="140"/>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row>
    <row r="168" spans="1:40" outlineLevel="2" x14ac:dyDescent="0.25">
      <c r="A168" t="s">
        <v>410</v>
      </c>
      <c r="B168">
        <v>4</v>
      </c>
      <c r="C168" t="s">
        <v>410</v>
      </c>
      <c r="D168" s="138" t="s">
        <v>79</v>
      </c>
      <c r="E168" s="138" t="s">
        <v>421</v>
      </c>
      <c r="F168" s="138" t="s">
        <v>1297</v>
      </c>
      <c r="G168" s="138" t="s">
        <v>1520</v>
      </c>
      <c r="H168" s="138" t="s">
        <v>1290</v>
      </c>
      <c r="I168" s="138"/>
      <c r="J168" s="140"/>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row>
    <row r="169" spans="1:40" outlineLevel="2" x14ac:dyDescent="0.25">
      <c r="A169" t="s">
        <v>410</v>
      </c>
      <c r="B169">
        <v>4</v>
      </c>
      <c r="C169" t="s">
        <v>1528</v>
      </c>
      <c r="D169" s="138" t="s">
        <v>79</v>
      </c>
      <c r="E169" s="138" t="s">
        <v>422</v>
      </c>
      <c r="F169" s="138" t="s">
        <v>1298</v>
      </c>
      <c r="G169" s="138" t="s">
        <v>1520</v>
      </c>
      <c r="H169" s="138" t="s">
        <v>1290</v>
      </c>
      <c r="I169" s="138"/>
      <c r="J169" s="140"/>
      <c r="K169" s="140"/>
      <c r="L169" s="140"/>
      <c r="M169" s="140"/>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row>
    <row r="170" spans="1:40" outlineLevel="2" x14ac:dyDescent="0.25">
      <c r="A170" t="s">
        <v>410</v>
      </c>
      <c r="B170">
        <v>4</v>
      </c>
      <c r="C170" t="s">
        <v>1529</v>
      </c>
      <c r="D170" s="138" t="s">
        <v>79</v>
      </c>
      <c r="E170" s="138" t="s">
        <v>423</v>
      </c>
      <c r="F170" s="138" t="s">
        <v>1493</v>
      </c>
      <c r="G170" s="138" t="s">
        <v>1520</v>
      </c>
      <c r="H170" s="138">
        <v>0</v>
      </c>
      <c r="I170" s="138"/>
      <c r="J170" s="140"/>
      <c r="K170" s="140"/>
      <c r="L170" s="140"/>
      <c r="M170" s="140"/>
      <c r="N170" s="140"/>
      <c r="O170" s="140"/>
      <c r="P170" s="140"/>
      <c r="Q170" s="140"/>
      <c r="R170" s="140"/>
      <c r="S170" s="140"/>
      <c r="T170" s="140"/>
      <c r="U170" s="140"/>
      <c r="V170" s="140"/>
      <c r="W170" s="140"/>
      <c r="X170" s="140"/>
      <c r="Y170" s="140"/>
      <c r="Z170" s="140"/>
      <c r="AA170" s="140"/>
      <c r="AB170" s="140"/>
      <c r="AC170" s="140"/>
      <c r="AD170" s="140"/>
      <c r="AE170" s="140"/>
      <c r="AF170" s="140"/>
      <c r="AG170" s="140"/>
      <c r="AH170" s="140"/>
      <c r="AI170" s="140"/>
      <c r="AJ170" s="140"/>
      <c r="AK170" s="140"/>
      <c r="AL170" s="140"/>
      <c r="AM170" s="140"/>
      <c r="AN170" s="140"/>
    </row>
    <row r="171" spans="1:40" outlineLevel="2" x14ac:dyDescent="0.25">
      <c r="A171" t="s">
        <v>410</v>
      </c>
      <c r="B171">
        <v>4</v>
      </c>
      <c r="C171" t="s">
        <v>1532</v>
      </c>
      <c r="D171" s="138" t="s">
        <v>79</v>
      </c>
      <c r="E171" s="138" t="s">
        <v>424</v>
      </c>
      <c r="F171" s="138" t="s">
        <v>1494</v>
      </c>
      <c r="G171" s="138" t="s">
        <v>1520</v>
      </c>
      <c r="H171" s="138" t="s">
        <v>1290</v>
      </c>
      <c r="I171" s="138"/>
      <c r="J171" s="140"/>
      <c r="K171" s="140"/>
      <c r="L171" s="140"/>
      <c r="M171" s="140"/>
      <c r="N171" s="140"/>
      <c r="O171" s="140"/>
      <c r="P171" s="140"/>
      <c r="Q171" s="140"/>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row>
    <row r="172" spans="1:40" outlineLevel="2" x14ac:dyDescent="0.25">
      <c r="A172" t="s">
        <v>410</v>
      </c>
      <c r="B172">
        <v>4</v>
      </c>
      <c r="C172" t="s">
        <v>1533</v>
      </c>
      <c r="D172" s="138" t="s">
        <v>79</v>
      </c>
      <c r="E172" s="138" t="s">
        <v>425</v>
      </c>
      <c r="F172" s="138" t="s">
        <v>1495</v>
      </c>
      <c r="G172" s="138" t="s">
        <v>1520</v>
      </c>
      <c r="H172" s="138">
        <v>0</v>
      </c>
      <c r="I172" s="138"/>
      <c r="J172" s="140"/>
      <c r="K172" s="140"/>
      <c r="L172" s="140"/>
      <c r="M172" s="140"/>
      <c r="N172" s="140"/>
      <c r="O172" s="140"/>
      <c r="P172" s="140"/>
      <c r="Q172" s="140"/>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row>
    <row r="173" spans="1:40" outlineLevel="2" x14ac:dyDescent="0.25">
      <c r="A173" t="s">
        <v>410</v>
      </c>
      <c r="B173">
        <v>4</v>
      </c>
      <c r="C173" t="s">
        <v>1534</v>
      </c>
      <c r="D173" s="138" t="s">
        <v>79</v>
      </c>
      <c r="E173" s="138" t="s">
        <v>426</v>
      </c>
      <c r="F173" s="138" t="s">
        <v>1496</v>
      </c>
      <c r="G173" s="138" t="s">
        <v>1520</v>
      </c>
      <c r="H173" s="138" t="s">
        <v>1290</v>
      </c>
      <c r="I173" s="138"/>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row>
    <row r="174" spans="1:40" outlineLevel="2" x14ac:dyDescent="0.25">
      <c r="A174" t="s">
        <v>410</v>
      </c>
      <c r="B174">
        <v>4</v>
      </c>
      <c r="C174" t="s">
        <v>1535</v>
      </c>
      <c r="D174" s="138" t="s">
        <v>79</v>
      </c>
      <c r="E174" s="138" t="s">
        <v>427</v>
      </c>
      <c r="F174" s="138" t="s">
        <v>1497</v>
      </c>
      <c r="G174" s="138" t="s">
        <v>1520</v>
      </c>
      <c r="H174" s="138" t="s">
        <v>1290</v>
      </c>
      <c r="I174" s="138"/>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row>
    <row r="176" spans="1:40" x14ac:dyDescent="0.25">
      <c r="J176" s="150" t="s">
        <v>1613</v>
      </c>
    </row>
    <row r="177" spans="10:14" x14ac:dyDescent="0.25">
      <c r="J177" s="151" t="s">
        <v>1614</v>
      </c>
      <c r="K177" s="75"/>
      <c r="L177" s="75"/>
      <c r="M177" s="75"/>
      <c r="N177" s="75"/>
    </row>
    <row r="178" spans="10:14" x14ac:dyDescent="0.25">
      <c r="J178" s="152" t="s">
        <v>1615</v>
      </c>
      <c r="K178" s="152"/>
      <c r="L178" s="152"/>
      <c r="M178" s="152"/>
      <c r="N178" s="152"/>
    </row>
  </sheetData>
  <autoFilter ref="D5:AN174" xr:uid="{00000000-0009-0000-0000-00000B000000}"/>
  <mergeCells count="9">
    <mergeCell ref="J1:AN1"/>
    <mergeCell ref="J2:W2"/>
    <mergeCell ref="J3:N3"/>
    <mergeCell ref="P3:Q3"/>
    <mergeCell ref="R3:T3"/>
    <mergeCell ref="Z3:AF3"/>
    <mergeCell ref="AG3:AI3"/>
    <mergeCell ref="AJ3:AN3"/>
    <mergeCell ref="U3:Y3"/>
  </mergeCells>
  <conditionalFormatting sqref="I7 I14 I16 I31 I45 I53 I60 I66 I69 I73 I84 I89 I91 I97 I109 I120 I133 I147 I150 I157 I163">
    <cfRule type="cellIs" dxfId="14" priority="1" operator="greaterThan">
      <formula>10000000</formula>
    </cfRule>
    <cfRule type="cellIs" dxfId="13" priority="2" operator="between">
      <formula>1000000</formula>
      <formula>10000000</formula>
    </cfRule>
    <cfRule type="cellIs" dxfId="12" priority="3" operator="lessThanOrEqual">
      <formula>1000000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2" filterMode="1"/>
  <dimension ref="A1:Y715"/>
  <sheetViews>
    <sheetView showGridLines="0" zoomScale="160" zoomScaleNormal="160" workbookViewId="0">
      <pane xSplit="2" ySplit="2" topLeftCell="C3" activePane="bottomRight" state="frozen"/>
      <selection pane="topRight" activeCell="C1" sqref="C1"/>
      <selection pane="bottomLeft" activeCell="A3" sqref="A3"/>
      <selection pane="bottomRight" activeCell="G358" sqref="G358"/>
    </sheetView>
  </sheetViews>
  <sheetFormatPr baseColWidth="10" defaultColWidth="10.85546875" defaultRowHeight="15" x14ac:dyDescent="0.25"/>
  <cols>
    <col min="6" max="6" width="106.85546875" customWidth="1"/>
    <col min="7" max="7" width="16.140625" bestFit="1" customWidth="1"/>
    <col min="8" max="13" width="12.42578125" bestFit="1" customWidth="1"/>
    <col min="14" max="14" width="15.7109375" customWidth="1"/>
    <col min="15" max="15" width="15.140625" customWidth="1"/>
    <col min="22" max="22" width="121.140625" customWidth="1"/>
    <col min="23" max="23" width="13.140625" bestFit="1" customWidth="1"/>
    <col min="24" max="24" width="13.42578125" bestFit="1" customWidth="1"/>
    <col min="25" max="25" width="106.85546875" bestFit="1" customWidth="1"/>
  </cols>
  <sheetData>
    <row r="1" spans="1:25" x14ac:dyDescent="0.25">
      <c r="H1" s="609" t="s">
        <v>1671</v>
      </c>
      <c r="I1" s="609"/>
      <c r="J1" s="609"/>
      <c r="K1" s="609"/>
      <c r="L1" s="609"/>
      <c r="M1" s="609"/>
      <c r="N1" s="609"/>
      <c r="O1" s="609" t="s">
        <v>1672</v>
      </c>
      <c r="P1" s="609"/>
      <c r="Q1" s="609"/>
      <c r="R1" s="609"/>
      <c r="S1" s="609"/>
      <c r="T1" s="609"/>
      <c r="U1" s="609"/>
    </row>
    <row r="2" spans="1:25" x14ac:dyDescent="0.25">
      <c r="A2" s="245" t="s">
        <v>30</v>
      </c>
      <c r="B2" s="245" t="s">
        <v>1673</v>
      </c>
      <c r="C2" s="245" t="s">
        <v>1674</v>
      </c>
      <c r="D2" s="245" t="s">
        <v>412</v>
      </c>
      <c r="E2" s="245" t="s">
        <v>413</v>
      </c>
      <c r="F2" s="245" t="s">
        <v>1609</v>
      </c>
      <c r="G2" s="245" t="s">
        <v>1579</v>
      </c>
      <c r="H2" s="246">
        <v>2022</v>
      </c>
      <c r="I2" s="246">
        <v>2023</v>
      </c>
      <c r="J2" s="246">
        <v>2024</v>
      </c>
      <c r="K2" s="246">
        <v>2025</v>
      </c>
      <c r="L2" s="246">
        <v>2026</v>
      </c>
      <c r="M2" s="246">
        <v>2027</v>
      </c>
      <c r="N2" s="246" t="s">
        <v>394</v>
      </c>
      <c r="O2" s="247">
        <v>2022</v>
      </c>
      <c r="P2" s="247">
        <v>2023</v>
      </c>
      <c r="Q2" s="247">
        <v>2024</v>
      </c>
      <c r="R2" s="247">
        <v>2025</v>
      </c>
      <c r="S2" s="247">
        <v>2026</v>
      </c>
      <c r="T2" s="247">
        <v>2027</v>
      </c>
      <c r="U2" s="247" t="s">
        <v>394</v>
      </c>
      <c r="V2" s="246" t="s">
        <v>1675</v>
      </c>
      <c r="W2" s="246" t="s">
        <v>1676</v>
      </c>
      <c r="X2" s="246" t="s">
        <v>1677</v>
      </c>
      <c r="Y2" s="248" t="s">
        <v>1678</v>
      </c>
    </row>
    <row r="3" spans="1:25" hidden="1" x14ac:dyDescent="0.25">
      <c r="A3" s="249" t="str">
        <f>LEFT(E3,1)</f>
        <v>1</v>
      </c>
      <c r="B3" s="249" t="str">
        <f>VLOOKUP($D3,'[4]1. Mesures'!$A$2:$G$116,6,0)</f>
        <v>OS 1.1</v>
      </c>
      <c r="C3" s="249" t="str">
        <f>VLOOKUP($D3,'[4]1. Mesures'!$A$2:$G$116,7,0)</f>
        <v>OO 1.1.1</v>
      </c>
      <c r="D3" s="249" t="str">
        <f>"M"&amp;" "&amp;LEFT(E3,3)</f>
        <v>M 1.1</v>
      </c>
      <c r="E3" s="250" t="s">
        <v>636</v>
      </c>
      <c r="F3" s="249" t="str">
        <f>VLOOKUP(E3,'5.2 Actions'!$A$3:$B$720,2,0)</f>
        <v>Projet « Max-sur-Senne » : réaménagement du parc Maximilien avec mise à ciel ouvert de la Senne sur une longueur de 580 m minimum – Etude (également sur M6.6) (action C13_6 Belini)</v>
      </c>
      <c r="G3" s="251" t="str">
        <f>VLOOKUP(E3,'[4]5.2 Actions'!$A$3:$D$718,4,0)</f>
        <v>SEN</v>
      </c>
      <c r="H3" s="252">
        <f>VLOOKUP($E3,'5.1 Budget'!$A$4:$H$729,2,0)</f>
        <v>100000</v>
      </c>
      <c r="I3" s="252">
        <f>VLOOKUP($E3,'5.1 Budget'!$A$4:$H$729,3,0)</f>
        <v>0</v>
      </c>
      <c r="J3" s="252">
        <f>VLOOKUP($E3,'5.1 Budget'!$A$4:$H$729,4,0)</f>
        <v>0</v>
      </c>
      <c r="K3" s="252">
        <f>VLOOKUP($E3,'5.1 Budget'!$A$4:$H$729,5,0)</f>
        <v>0</v>
      </c>
      <c r="L3" s="252">
        <f>VLOOKUP($E3,'5.1 Budget'!$A$4:$H$729,6,0)</f>
        <v>0</v>
      </c>
      <c r="M3" s="252">
        <f>VLOOKUP($E3,'5.1 Budget'!$A$4:$H$729,7,0)</f>
        <v>0</v>
      </c>
      <c r="N3" s="252">
        <f>VLOOKUP($E3,'5.1 Budget'!$A$4:$H$729,8,0)</f>
        <v>100000</v>
      </c>
      <c r="O3" s="249"/>
      <c r="P3" s="249">
        <f>VLOOKUP($E3,'[4]5.1 Budget'!$A$4:$P$177,10,0)</f>
        <v>0</v>
      </c>
      <c r="Q3" s="249">
        <f>VLOOKUP($E3,'[4]5.1 Budget'!$A$4:$P$177,11,0)</f>
        <v>0</v>
      </c>
      <c r="R3" s="249">
        <f>VLOOKUP($E3,'[4]5.1 Budget'!$A$4:$P$177,12,0)</f>
        <v>0</v>
      </c>
      <c r="S3" s="249">
        <f>VLOOKUP($E3,'[4]5.1 Budget'!$A$4:$P$177,13,0)</f>
        <v>0</v>
      </c>
      <c r="T3" s="249">
        <f>VLOOKUP($E3,'[4]5.1 Budget'!$A$4:$P$177,14,0)</f>
        <v>0</v>
      </c>
      <c r="U3" s="249">
        <f t="shared" ref="U3:U51" si="0">SUM(O3:T3)</f>
        <v>0</v>
      </c>
      <c r="V3" t="str">
        <f>VLOOKUP(D3,'[4]1. Mesures'!$A$1:$B$116,2,0)</f>
        <v xml:space="preserve">Remettre à ciel ouvert le réseau hydrographique </v>
      </c>
      <c r="W3" t="str">
        <f>VLOOKUP(B3,[1]HIERARCH!$A$1:$B$57,2,0)</f>
        <v>Assurer la gestion qualitative des masses d'eau de surface</v>
      </c>
      <c r="X3" t="str">
        <f>VLOOKUP(C3,[1]HIERARCH!$A$2:$B$57,2,0)</f>
        <v xml:space="preserve">Améliorer la qualité hydromorphologique et biologique des masses d'eau de surface </v>
      </c>
      <c r="Y3" t="str">
        <f>LEFT(F3,120)&amp;"…"</f>
        <v>Projet « Max-sur-Senne » : réaménagement du parc Maximilien avec mise à ciel ouvert de la Senne sur une longueur de 580 …</v>
      </c>
    </row>
    <row r="4" spans="1:25" hidden="1" x14ac:dyDescent="0.25">
      <c r="A4" s="249" t="str">
        <f t="shared" ref="A4:A65" si="1">LEFT(E4,1)</f>
        <v>1</v>
      </c>
      <c r="B4" s="249" t="str">
        <f>VLOOKUP($D4,'[4]1. Mesures'!$A$2:$G$116,6,0)</f>
        <v>OS 1.1</v>
      </c>
      <c r="C4" s="249" t="str">
        <f>VLOOKUP($D4,'[4]1. Mesures'!$A$2:$G$116,7,0)</f>
        <v>OO 1.1.1</v>
      </c>
      <c r="D4" s="249" t="str">
        <f t="shared" ref="D4:D65" si="2">"M"&amp;" "&amp;LEFT(E4,3)</f>
        <v>M 1.1</v>
      </c>
      <c r="E4" s="250" t="s">
        <v>640</v>
      </c>
      <c r="F4" s="249" t="str">
        <f>VLOOKUP(E4,'5.2 Actions'!$A$3:$B$720,2,0)</f>
        <v>Projet « Max-sur-Senne » : réaménagement du parc Maximilien avec mise à ciel ouvert de la Senne sur une longueur de 580 m minimum – Travaux (également sur M6.6)</v>
      </c>
      <c r="G4" s="251" t="str">
        <f>VLOOKUP(E4,'[4]5.2 Actions'!$A$3:$D$718,4,0)</f>
        <v>SEN</v>
      </c>
      <c r="H4" s="252">
        <f>VLOOKUP($E4,'5.1 Budget'!$A$4:$H$729,2,0)</f>
        <v>0</v>
      </c>
      <c r="I4" s="252">
        <f>VLOOKUP($E4,'5.1 Budget'!$A$4:$H$729,3,0)</f>
        <v>1500000</v>
      </c>
      <c r="J4" s="252">
        <f>VLOOKUP($E4,'5.1 Budget'!$A$4:$H$729,4,0)</f>
        <v>1200000</v>
      </c>
      <c r="K4" s="252">
        <f>VLOOKUP($E4,'5.1 Budget'!$A$4:$H$729,5,0)</f>
        <v>1000000</v>
      </c>
      <c r="L4" s="252">
        <f>VLOOKUP($E4,'5.1 Budget'!$A$4:$H$729,6,0)</f>
        <v>0</v>
      </c>
      <c r="M4" s="252">
        <f>VLOOKUP($E4,'5.1 Budget'!$A$4:$H$729,7,0)</f>
        <v>0</v>
      </c>
      <c r="N4" s="252">
        <f>VLOOKUP($E4,'5.1 Budget'!$A$4:$H$729,8,0)</f>
        <v>3700000</v>
      </c>
      <c r="O4" s="249"/>
      <c r="P4" s="249">
        <f>VLOOKUP($E4,'[4]5.1 Budget'!$A$4:$P$177,10,0)</f>
        <v>0</v>
      </c>
      <c r="Q4" s="249">
        <f>VLOOKUP($E4,'[4]5.1 Budget'!$A$4:$P$177,11,0)</f>
        <v>0</v>
      </c>
      <c r="R4" s="249">
        <f>VLOOKUP($E4,'[4]5.1 Budget'!$A$4:$P$177,12,0)</f>
        <v>0</v>
      </c>
      <c r="S4" s="249">
        <f>VLOOKUP($E4,'[4]5.1 Budget'!$A$4:$P$177,13,0)</f>
        <v>0</v>
      </c>
      <c r="T4" s="249">
        <f>VLOOKUP($E4,'[4]5.1 Budget'!$A$4:$P$177,14,0)</f>
        <v>0</v>
      </c>
      <c r="U4" s="249">
        <f t="shared" si="0"/>
        <v>0</v>
      </c>
      <c r="V4" t="str">
        <f>VLOOKUP(D4,'[4]1. Mesures'!$A$1:$B$116,2,0)</f>
        <v xml:space="preserve">Remettre à ciel ouvert le réseau hydrographique </v>
      </c>
      <c r="W4" t="str">
        <f>VLOOKUP(B4,[1]HIERARCH!$A$1:$B$57,2,0)</f>
        <v>Assurer la gestion qualitative des masses d'eau de surface</v>
      </c>
      <c r="X4" t="str">
        <f>VLOOKUP(C4,[1]HIERARCH!$A$2:$B$57,2,0)</f>
        <v xml:space="preserve">Améliorer la qualité hydromorphologique et biologique des masses d'eau de surface </v>
      </c>
      <c r="Y4" t="str">
        <f t="shared" ref="Y4:Y65" si="3">LEFT(F4,120)&amp;"…"</f>
        <v>Projet « Max-sur-Senne » : réaménagement du parc Maximilien avec mise à ciel ouvert de la Senne sur une longueur de 580 …</v>
      </c>
    </row>
    <row r="5" spans="1:25" hidden="1" x14ac:dyDescent="0.25">
      <c r="A5" s="249" t="str">
        <f t="shared" si="1"/>
        <v>1</v>
      </c>
      <c r="B5" s="249" t="str">
        <f>VLOOKUP($D5,'[4]1. Mesures'!$A$2:$G$116,6,0)</f>
        <v>OS 1.1</v>
      </c>
      <c r="C5" s="249" t="str">
        <f>VLOOKUP($D5,'[4]1. Mesures'!$A$2:$G$116,7,0)</f>
        <v>OO 1.1.1</v>
      </c>
      <c r="D5" s="249" t="str">
        <f t="shared" si="2"/>
        <v>M 1.1</v>
      </c>
      <c r="E5" s="250" t="s">
        <v>641</v>
      </c>
      <c r="F5" s="249" t="str">
        <f>VLOOKUP(E5,'5.2 Actions'!$A$3:$B$720,2,0)</f>
        <v>Projet Schaerbeek Formation : mise à ciel ouvert de la Senne sur le site de Schaerbeek Formation – Etude (également sur M6.6)</v>
      </c>
      <c r="G5" s="251" t="str">
        <f>VLOOKUP(E5,'[4]5.2 Actions'!$A$3:$D$718,4,0)</f>
        <v>SEN</v>
      </c>
      <c r="H5" s="252">
        <f>VLOOKUP($E5,'5.1 Budget'!$A$4:$H$729,2,0)</f>
        <v>0</v>
      </c>
      <c r="I5" s="252">
        <f>VLOOKUP($E5,'5.1 Budget'!$A$4:$H$729,3,0)</f>
        <v>100000</v>
      </c>
      <c r="J5" s="252">
        <f>VLOOKUP($E5,'5.1 Budget'!$A$4:$H$729,4,0)</f>
        <v>0</v>
      </c>
      <c r="K5" s="252">
        <f>VLOOKUP($E5,'5.1 Budget'!$A$4:$H$729,5,0)</f>
        <v>0</v>
      </c>
      <c r="L5" s="252">
        <f>VLOOKUP($E5,'5.1 Budget'!$A$4:$H$729,6,0)</f>
        <v>0</v>
      </c>
      <c r="M5" s="252">
        <f>VLOOKUP($E5,'5.1 Budget'!$A$4:$H$729,7,0)</f>
        <v>0</v>
      </c>
      <c r="N5" s="252">
        <f>VLOOKUP($E5,'5.1 Budget'!$A$4:$H$729,8,0)</f>
        <v>100000</v>
      </c>
      <c r="O5" s="249"/>
      <c r="P5" s="249">
        <f>VLOOKUP($E5,'[4]5.1 Budget'!$A$4:$P$177,10,0)</f>
        <v>0</v>
      </c>
      <c r="Q5" s="249">
        <f>VLOOKUP($E5,'[4]5.1 Budget'!$A$4:$P$177,11,0)</f>
        <v>0</v>
      </c>
      <c r="R5" s="249">
        <f>VLOOKUP($E5,'[4]5.1 Budget'!$A$4:$P$177,12,0)</f>
        <v>0</v>
      </c>
      <c r="S5" s="249">
        <f>VLOOKUP($E5,'[4]5.1 Budget'!$A$4:$P$177,13,0)</f>
        <v>0</v>
      </c>
      <c r="T5" s="249">
        <f>VLOOKUP($E5,'[4]5.1 Budget'!$A$4:$P$177,14,0)</f>
        <v>0</v>
      </c>
      <c r="U5" s="249">
        <f t="shared" si="0"/>
        <v>0</v>
      </c>
      <c r="V5" t="str">
        <f>VLOOKUP(D5,'[4]1. Mesures'!$A$1:$B$116,2,0)</f>
        <v xml:space="preserve">Remettre à ciel ouvert le réseau hydrographique </v>
      </c>
      <c r="W5" t="str">
        <f>VLOOKUP(B5,[1]HIERARCH!$A$1:$B$57,2,0)</f>
        <v>Assurer la gestion qualitative des masses d'eau de surface</v>
      </c>
      <c r="X5" t="str">
        <f>VLOOKUP(C5,[1]HIERARCH!$A$2:$B$57,2,0)</f>
        <v xml:space="preserve">Améliorer la qualité hydromorphologique et biologique des masses d'eau de surface </v>
      </c>
      <c r="Y5" t="str">
        <f t="shared" si="3"/>
        <v>Projet Schaerbeek Formation : mise à ciel ouvert de la Senne sur le site de Schaerbeek Formation – Etude (également sur …</v>
      </c>
    </row>
    <row r="6" spans="1:25" hidden="1" x14ac:dyDescent="0.25">
      <c r="A6" s="249" t="str">
        <f t="shared" si="1"/>
        <v>1</v>
      </c>
      <c r="B6" s="249" t="str">
        <f>VLOOKUP($D6,'[4]1. Mesures'!$A$2:$G$116,6,0)</f>
        <v>OS 1.1</v>
      </c>
      <c r="C6" s="249" t="str">
        <f>VLOOKUP($D6,'[4]1. Mesures'!$A$2:$G$116,7,0)</f>
        <v>OO 1.1.1</v>
      </c>
      <c r="D6" s="249" t="str">
        <f t="shared" si="2"/>
        <v>M 1.1</v>
      </c>
      <c r="E6" s="250" t="s">
        <v>642</v>
      </c>
      <c r="F6" s="249" t="str">
        <f>VLOOKUP(E6,'5.2 Actions'!$A$3:$B$720,2,0)</f>
        <v>Projet Schaerbeek Formation : mise à ciel ouvert de la Senne sur le site de Schaerbeek Formation –Travaux (également sur M6.6)</v>
      </c>
      <c r="G6" s="251" t="str">
        <f>VLOOKUP(E6,'[4]5.2 Actions'!$A$3:$D$718,4,0)</f>
        <v>SEN</v>
      </c>
      <c r="H6" s="252">
        <f>VLOOKUP($E6,'5.1 Budget'!$A$4:$H$729,2,0)</f>
        <v>0</v>
      </c>
      <c r="I6" s="252">
        <f>VLOOKUP($E6,'5.1 Budget'!$A$4:$H$729,3,0)</f>
        <v>0</v>
      </c>
      <c r="J6" s="252">
        <f>VLOOKUP($E6,'5.1 Budget'!$A$4:$H$729,4,0)</f>
        <v>0</v>
      </c>
      <c r="K6" s="252">
        <f>VLOOKUP($E6,'5.1 Budget'!$A$4:$H$729,5,0)</f>
        <v>0</v>
      </c>
      <c r="L6" s="252">
        <f>VLOOKUP($E6,'5.1 Budget'!$A$4:$H$729,6,0)</f>
        <v>0</v>
      </c>
      <c r="M6" s="252">
        <f>VLOOKUP($E6,'5.1 Budget'!$A$4:$H$729,7,0)</f>
        <v>0</v>
      </c>
      <c r="N6" s="252">
        <f>VLOOKUP($E6,'5.1 Budget'!$A$4:$H$729,8,0)</f>
        <v>0</v>
      </c>
      <c r="O6" s="249"/>
      <c r="P6" s="249">
        <f>VLOOKUP($E6,'[4]5.1 Budget'!$A$4:$P$177,10,0)</f>
        <v>0</v>
      </c>
      <c r="Q6" s="249">
        <f>VLOOKUP($E6,'[4]5.1 Budget'!$A$4:$P$177,11,0)</f>
        <v>0</v>
      </c>
      <c r="R6" s="249">
        <f>VLOOKUP($E6,'[4]5.1 Budget'!$A$4:$P$177,12,0)</f>
        <v>0</v>
      </c>
      <c r="S6" s="249">
        <f>VLOOKUP($E6,'[4]5.1 Budget'!$A$4:$P$177,13,0)</f>
        <v>0</v>
      </c>
      <c r="T6" s="249">
        <f>VLOOKUP($E6,'[4]5.1 Budget'!$A$4:$P$177,14,0)</f>
        <v>0</v>
      </c>
      <c r="U6" s="249">
        <f t="shared" si="0"/>
        <v>0</v>
      </c>
      <c r="V6" t="str">
        <f>VLOOKUP(D6,'[4]1. Mesures'!$A$1:$B$116,2,0)</f>
        <v xml:space="preserve">Remettre à ciel ouvert le réseau hydrographique </v>
      </c>
      <c r="W6" t="str">
        <f>VLOOKUP(B6,[1]HIERARCH!$A$1:$B$57,2,0)</f>
        <v>Assurer la gestion qualitative des masses d'eau de surface</v>
      </c>
      <c r="X6" t="str">
        <f>VLOOKUP(C6,[1]HIERARCH!$A$2:$B$57,2,0)</f>
        <v xml:space="preserve">Améliorer la qualité hydromorphologique et biologique des masses d'eau de surface </v>
      </c>
      <c r="Y6" t="str">
        <f t="shared" si="3"/>
        <v>Projet Schaerbeek Formation : mise à ciel ouvert de la Senne sur le site de Schaerbeek Formation –Travaux (également sur…</v>
      </c>
    </row>
    <row r="7" spans="1:25" hidden="1" x14ac:dyDescent="0.25">
      <c r="A7" s="249" t="str">
        <f t="shared" si="1"/>
        <v>1</v>
      </c>
      <c r="B7" s="249" t="str">
        <f>VLOOKUP($D7,'[4]1. Mesures'!$A$2:$G$116,6,0)</f>
        <v>OS 1.1</v>
      </c>
      <c r="C7" s="249" t="str">
        <f>VLOOKUP($D7,'[4]1. Mesures'!$A$2:$G$116,7,0)</f>
        <v>OO 1.1.1</v>
      </c>
      <c r="D7" s="249" t="str">
        <f t="shared" si="2"/>
        <v>M 1.1</v>
      </c>
      <c r="E7" s="250" t="s">
        <v>643</v>
      </c>
      <c r="F7" s="249" t="str">
        <f>VLOOKUP(E7,'5.2 Actions'!$A$3:$B$720,2,0)</f>
        <v>Projet Poincaré : mise en perspective de la Senne au niveau du musée des égouts - Etude (fait partie de l’action C12_4 Belini)</v>
      </c>
      <c r="G7" s="251" t="str">
        <f>VLOOKUP(E7,'[4]5.2 Actions'!$A$3:$D$718,4,0)</f>
        <v>SEN</v>
      </c>
      <c r="H7" s="252">
        <f>VLOOKUP($E7,'5.1 Budget'!$A$4:$H$729,2,0)</f>
        <v>50000</v>
      </c>
      <c r="I7" s="252">
        <f>VLOOKUP($E7,'5.1 Budget'!$A$4:$H$729,3,0)</f>
        <v>0</v>
      </c>
      <c r="J7" s="252">
        <f>VLOOKUP($E7,'5.1 Budget'!$A$4:$H$729,4,0)</f>
        <v>0</v>
      </c>
      <c r="K7" s="252">
        <f>VLOOKUP($E7,'5.1 Budget'!$A$4:$H$729,5,0)</f>
        <v>0</v>
      </c>
      <c r="L7" s="252">
        <f>VLOOKUP($E7,'5.1 Budget'!$A$4:$H$729,6,0)</f>
        <v>0</v>
      </c>
      <c r="M7" s="252">
        <f>VLOOKUP($E7,'5.1 Budget'!$A$4:$H$729,7,0)</f>
        <v>0</v>
      </c>
      <c r="N7" s="252">
        <f>VLOOKUP($E7,'5.1 Budget'!$A$4:$H$729,8,0)</f>
        <v>50000</v>
      </c>
      <c r="O7" s="249"/>
      <c r="P7" s="249">
        <f>VLOOKUP($E7,'[4]5.1 Budget'!$A$4:$P$177,10,0)</f>
        <v>0</v>
      </c>
      <c r="Q7" s="249">
        <f>VLOOKUP($E7,'[4]5.1 Budget'!$A$4:$P$177,11,0)</f>
        <v>0</v>
      </c>
      <c r="R7" s="249">
        <f>VLOOKUP($E7,'[4]5.1 Budget'!$A$4:$P$177,12,0)</f>
        <v>0</v>
      </c>
      <c r="S7" s="249">
        <f>VLOOKUP($E7,'[4]5.1 Budget'!$A$4:$P$177,13,0)</f>
        <v>0</v>
      </c>
      <c r="T7" s="249">
        <f>VLOOKUP($E7,'[4]5.1 Budget'!$A$4:$P$177,14,0)</f>
        <v>0</v>
      </c>
      <c r="U7" s="249">
        <f t="shared" si="0"/>
        <v>0</v>
      </c>
      <c r="V7" t="str">
        <f>VLOOKUP(D7,'[4]1. Mesures'!$A$1:$B$116,2,0)</f>
        <v xml:space="preserve">Remettre à ciel ouvert le réseau hydrographique </v>
      </c>
      <c r="W7" t="str">
        <f>VLOOKUP(B7,[1]HIERARCH!$A$1:$B$57,2,0)</f>
        <v>Assurer la gestion qualitative des masses d'eau de surface</v>
      </c>
      <c r="X7" t="str">
        <f>VLOOKUP(C7,[1]HIERARCH!$A$2:$B$57,2,0)</f>
        <v xml:space="preserve">Améliorer la qualité hydromorphologique et biologique des masses d'eau de surface </v>
      </c>
      <c r="Y7" t="str">
        <f t="shared" si="3"/>
        <v>Projet Poincaré : mise en perspective de la Senne au niveau du musée des égouts - Etude (fait partie de l’action C12_4 B…</v>
      </c>
    </row>
    <row r="8" spans="1:25" hidden="1" x14ac:dyDescent="0.25">
      <c r="A8" s="249" t="str">
        <f t="shared" si="1"/>
        <v>1</v>
      </c>
      <c r="B8" s="249" t="str">
        <f>VLOOKUP($D8,'[4]1. Mesures'!$A$2:$G$116,6,0)</f>
        <v>OS 1.1</v>
      </c>
      <c r="C8" s="249" t="str">
        <f>VLOOKUP($D8,'[4]1. Mesures'!$A$2:$G$116,7,0)</f>
        <v>OO 1.1.1</v>
      </c>
      <c r="D8" s="249" t="str">
        <f t="shared" si="2"/>
        <v>M 1.1</v>
      </c>
      <c r="E8" s="250" t="s">
        <v>644</v>
      </c>
      <c r="F8" s="249" t="str">
        <f>VLOOKUP(E8,'5.2 Actions'!$A$3:$B$720,2,0)</f>
        <v>Projet Poincaré : mise en perspective de la Senne au niveau du musée des égouts – Travaux</v>
      </c>
      <c r="G8" s="251" t="str">
        <f>VLOOKUP(E8,'[4]5.2 Actions'!$A$3:$D$718,4,0)</f>
        <v>SEN</v>
      </c>
      <c r="H8" s="252">
        <f>VLOOKUP($E8,'5.1 Budget'!$A$4:$H$729,2,0)</f>
        <v>0</v>
      </c>
      <c r="I8" s="252">
        <f>VLOOKUP($E8,'5.1 Budget'!$A$4:$H$729,3,0)</f>
        <v>0</v>
      </c>
      <c r="J8" s="252">
        <f>VLOOKUP($E8,'5.1 Budget'!$A$4:$H$729,4,0)</f>
        <v>1000000</v>
      </c>
      <c r="K8" s="252">
        <f>VLOOKUP($E8,'5.1 Budget'!$A$4:$H$729,5,0)</f>
        <v>1000000</v>
      </c>
      <c r="L8" s="252">
        <f>VLOOKUP($E8,'5.1 Budget'!$A$4:$H$729,6,0)</f>
        <v>0</v>
      </c>
      <c r="M8" s="252">
        <f>VLOOKUP($E8,'5.1 Budget'!$A$4:$H$729,7,0)</f>
        <v>0</v>
      </c>
      <c r="N8" s="252">
        <f>VLOOKUP($E8,'5.1 Budget'!$A$4:$H$729,8,0)</f>
        <v>2000000</v>
      </c>
      <c r="O8" s="249"/>
      <c r="P8" s="249">
        <f>VLOOKUP($E8,'[4]5.1 Budget'!$A$4:$P$177,10,0)</f>
        <v>0</v>
      </c>
      <c r="Q8" s="249">
        <f>VLOOKUP($E8,'[4]5.1 Budget'!$A$4:$P$177,11,0)</f>
        <v>0</v>
      </c>
      <c r="R8" s="249">
        <f>VLOOKUP($E8,'[4]5.1 Budget'!$A$4:$P$177,12,0)</f>
        <v>0</v>
      </c>
      <c r="S8" s="249">
        <f>VLOOKUP($E8,'[4]5.1 Budget'!$A$4:$P$177,13,0)</f>
        <v>0</v>
      </c>
      <c r="T8" s="249">
        <f>VLOOKUP($E8,'[4]5.1 Budget'!$A$4:$P$177,14,0)</f>
        <v>0</v>
      </c>
      <c r="U8" s="249">
        <f t="shared" si="0"/>
        <v>0</v>
      </c>
      <c r="V8" t="str">
        <f>VLOOKUP(D8,'[4]1. Mesures'!$A$1:$B$116,2,0)</f>
        <v xml:space="preserve">Remettre à ciel ouvert le réseau hydrographique </v>
      </c>
      <c r="W8" t="str">
        <f>VLOOKUP(B8,[1]HIERARCH!$A$1:$B$57,2,0)</f>
        <v>Assurer la gestion qualitative des masses d'eau de surface</v>
      </c>
      <c r="X8" t="str">
        <f>VLOOKUP(C8,[1]HIERARCH!$A$2:$B$57,2,0)</f>
        <v xml:space="preserve">Améliorer la qualité hydromorphologique et biologique des masses d'eau de surface </v>
      </c>
      <c r="Y8" t="str">
        <f t="shared" si="3"/>
        <v>Projet Poincaré : mise en perspective de la Senne au niveau du musée des égouts – Travaux…</v>
      </c>
    </row>
    <row r="9" spans="1:25" hidden="1" x14ac:dyDescent="0.25">
      <c r="A9" s="249" t="str">
        <f t="shared" si="1"/>
        <v>1</v>
      </c>
      <c r="B9" s="249" t="str">
        <f>VLOOKUP($D9,'[4]1. Mesures'!$A$2:$G$116,6,0)</f>
        <v>OS 1.1</v>
      </c>
      <c r="C9" s="249" t="str">
        <f>VLOOKUP($D9,'[4]1. Mesures'!$A$2:$G$116,7,0)</f>
        <v>OO 1.1.1</v>
      </c>
      <c r="D9" s="249" t="str">
        <f t="shared" si="2"/>
        <v>M 1.1</v>
      </c>
      <c r="E9" s="250" t="s">
        <v>645</v>
      </c>
      <c r="F9" s="249" t="str">
        <f>VLOOKUP(E9,'5.2 Actions'!$A$3:$B$720,2,0)</f>
        <v>Projet site « Royale Belge » : Mise à ciel ouvert de la Woluwe sur une longueur de 250 m – Etude (voir également fiche M1.2)</v>
      </c>
      <c r="G9" s="251" t="str">
        <f>VLOOKUP(E9,'[4]5.2 Actions'!$A$3:$D$718,4,0)</f>
        <v>WOL</v>
      </c>
      <c r="H9" s="252">
        <f>VLOOKUP($E9,'5.1 Budget'!$A$4:$H$729,2,0)</f>
        <v>140000</v>
      </c>
      <c r="I9" s="252">
        <f>VLOOKUP($E9,'5.1 Budget'!$A$4:$H$729,3,0)</f>
        <v>0</v>
      </c>
      <c r="J9" s="252">
        <f>VLOOKUP($E9,'5.1 Budget'!$A$4:$H$729,4,0)</f>
        <v>0</v>
      </c>
      <c r="K9" s="252">
        <f>VLOOKUP($E9,'5.1 Budget'!$A$4:$H$729,5,0)</f>
        <v>0</v>
      </c>
      <c r="L9" s="252">
        <f>VLOOKUP($E9,'5.1 Budget'!$A$4:$H$729,6,0)</f>
        <v>0</v>
      </c>
      <c r="M9" s="252">
        <f>VLOOKUP($E9,'5.1 Budget'!$A$4:$H$729,7,0)</f>
        <v>0</v>
      </c>
      <c r="N9" s="252">
        <f>VLOOKUP($E9,'5.1 Budget'!$A$4:$H$729,8,0)</f>
        <v>140000</v>
      </c>
      <c r="O9" s="249"/>
      <c r="P9" s="249">
        <f>VLOOKUP($E9,'[4]5.1 Budget'!$A$4:$P$177,10,0)</f>
        <v>0</v>
      </c>
      <c r="Q9" s="249">
        <f>VLOOKUP($E9,'[4]5.1 Budget'!$A$4:$P$177,11,0)</f>
        <v>0</v>
      </c>
      <c r="R9" s="249">
        <f>VLOOKUP($E9,'[4]5.1 Budget'!$A$4:$P$177,12,0)</f>
        <v>0</v>
      </c>
      <c r="S9" s="249">
        <f>VLOOKUP($E9,'[4]5.1 Budget'!$A$4:$P$177,13,0)</f>
        <v>0</v>
      </c>
      <c r="T9" s="249">
        <f>VLOOKUP($E9,'[4]5.1 Budget'!$A$4:$P$177,14,0)</f>
        <v>0</v>
      </c>
      <c r="U9" s="249">
        <f t="shared" si="0"/>
        <v>0</v>
      </c>
      <c r="V9" t="str">
        <f>VLOOKUP(D9,'[4]1. Mesures'!$A$1:$B$116,2,0)</f>
        <v xml:space="preserve">Remettre à ciel ouvert le réseau hydrographique </v>
      </c>
      <c r="W9" t="str">
        <f>VLOOKUP(B9,[1]HIERARCH!$A$1:$B$57,2,0)</f>
        <v>Assurer la gestion qualitative des masses d'eau de surface</v>
      </c>
      <c r="X9" t="str">
        <f>VLOOKUP(C9,[1]HIERARCH!$A$2:$B$57,2,0)</f>
        <v xml:space="preserve">Améliorer la qualité hydromorphologique et biologique des masses d'eau de surface </v>
      </c>
      <c r="Y9" t="str">
        <f t="shared" si="3"/>
        <v>Projet site « Royale Belge » : Mise à ciel ouvert de la Woluwe sur une longueur de 250 m – Etude (voir également fiche M…</v>
      </c>
    </row>
    <row r="10" spans="1:25" hidden="1" x14ac:dyDescent="0.25">
      <c r="A10" s="249" t="str">
        <f t="shared" si="1"/>
        <v>1</v>
      </c>
      <c r="B10" s="249" t="str">
        <f>VLOOKUP($D10,'[4]1. Mesures'!$A$2:$G$116,6,0)</f>
        <v>OS 1.1</v>
      </c>
      <c r="C10" s="249" t="str">
        <f>VLOOKUP($D10,'[4]1. Mesures'!$A$2:$G$116,7,0)</f>
        <v>OO 1.1.1</v>
      </c>
      <c r="D10" s="249" t="str">
        <f t="shared" si="2"/>
        <v>M 1.1</v>
      </c>
      <c r="E10" s="250" t="s">
        <v>646</v>
      </c>
      <c r="F10" s="249" t="str">
        <f>VLOOKUP(E10,'5.2 Actions'!$A$3:$B$720,2,0)</f>
        <v>Projet site « Royale Belge »: Mise à ciel ouvert de la Woluwe sur une longueur de 250 m – Travaux (financés par des charges d’urbanisme) (voir également fiche M1.2)</v>
      </c>
      <c r="G10" s="251" t="str">
        <f>VLOOKUP(E10,'[4]5.2 Actions'!$A$3:$D$718,4,0)</f>
        <v>WOL</v>
      </c>
      <c r="H10" s="252">
        <f>VLOOKUP($E10,'5.1 Budget'!$A$4:$H$729,2,0)</f>
        <v>0</v>
      </c>
      <c r="I10" s="252">
        <f>VLOOKUP($E10,'5.1 Budget'!$A$4:$H$729,3,0)</f>
        <v>0</v>
      </c>
      <c r="J10" s="252">
        <f>VLOOKUP($E10,'5.1 Budget'!$A$4:$H$729,4,0)</f>
        <v>1200000</v>
      </c>
      <c r="K10" s="252">
        <f>VLOOKUP($E10,'5.1 Budget'!$A$4:$H$729,5,0)</f>
        <v>0</v>
      </c>
      <c r="L10" s="252">
        <f>VLOOKUP($E10,'5.1 Budget'!$A$4:$H$729,6,0)</f>
        <v>0</v>
      </c>
      <c r="M10" s="252">
        <f>VLOOKUP($E10,'5.1 Budget'!$A$4:$H$729,7,0)</f>
        <v>0</v>
      </c>
      <c r="N10" s="252">
        <f>VLOOKUP($E10,'5.1 Budget'!$A$4:$H$729,8,0)</f>
        <v>1200000</v>
      </c>
      <c r="O10" s="249"/>
      <c r="P10" s="249">
        <f>VLOOKUP($E10,'[4]5.1 Budget'!$A$4:$P$177,10,0)</f>
        <v>0</v>
      </c>
      <c r="Q10" s="249">
        <f>VLOOKUP($E10,'[4]5.1 Budget'!$A$4:$P$177,11,0)</f>
        <v>0</v>
      </c>
      <c r="R10" s="249">
        <f>VLOOKUP($E10,'[4]5.1 Budget'!$A$4:$P$177,12,0)</f>
        <v>0</v>
      </c>
      <c r="S10" s="249">
        <f>VLOOKUP($E10,'[4]5.1 Budget'!$A$4:$P$177,13,0)</f>
        <v>0</v>
      </c>
      <c r="T10" s="249">
        <f>VLOOKUP($E10,'[4]5.1 Budget'!$A$4:$P$177,14,0)</f>
        <v>0</v>
      </c>
      <c r="U10" s="249">
        <f t="shared" si="0"/>
        <v>0</v>
      </c>
      <c r="V10" t="str">
        <f>VLOOKUP(D10,'[4]1. Mesures'!$A$1:$B$116,2,0)</f>
        <v xml:space="preserve">Remettre à ciel ouvert le réseau hydrographique </v>
      </c>
      <c r="W10" t="str">
        <f>VLOOKUP(B10,[1]HIERARCH!$A$1:$B$57,2,0)</f>
        <v>Assurer la gestion qualitative des masses d'eau de surface</v>
      </c>
      <c r="X10" t="str">
        <f>VLOOKUP(C10,[1]HIERARCH!$A$2:$B$57,2,0)</f>
        <v xml:space="preserve">Améliorer la qualité hydromorphologique et biologique des masses d'eau de surface </v>
      </c>
      <c r="Y10" t="str">
        <f t="shared" si="3"/>
        <v>Projet site « Royale Belge »: Mise à ciel ouvert de la Woluwe sur une longueur de 250 m – Travaux (financés par des char…</v>
      </c>
    </row>
    <row r="11" spans="1:25" hidden="1" x14ac:dyDescent="0.25">
      <c r="A11" s="249" t="str">
        <f t="shared" si="1"/>
        <v>1</v>
      </c>
      <c r="B11" s="249" t="str">
        <f>VLOOKUP($D11,'[4]1. Mesures'!$A$2:$G$116,6,0)</f>
        <v>OS 1.1</v>
      </c>
      <c r="C11" s="249" t="str">
        <f>VLOOKUP($D11,'[4]1. Mesures'!$A$2:$G$116,7,0)</f>
        <v>OO 1.1.1</v>
      </c>
      <c r="D11" s="249" t="str">
        <f t="shared" si="2"/>
        <v>M 1.1</v>
      </c>
      <c r="E11" s="250" t="s">
        <v>647</v>
      </c>
      <c r="F11" s="249" t="str">
        <f>VLOOKUP(E11,'5.2 Actions'!$A$3:$B$720,2,0)</f>
        <v>Mise à ciel ouvert du Roodkloosterbeek dans le parc Bergoge sur 100m – Etude (également sur M1.2)</v>
      </c>
      <c r="G11" s="251" t="str">
        <f>VLOOKUP(E11,'[4]5.2 Actions'!$A$3:$D$718,4,0)</f>
        <v>WOL</v>
      </c>
      <c r="H11" s="252">
        <f>VLOOKUP($E11,'5.1 Budget'!$A$4:$H$729,2,0)</f>
        <v>0</v>
      </c>
      <c r="I11" s="252">
        <f>VLOOKUP($E11,'5.1 Budget'!$A$4:$H$729,3,0)</f>
        <v>90000</v>
      </c>
      <c r="J11" s="252">
        <f>VLOOKUP($E11,'5.1 Budget'!$A$4:$H$729,4,0)</f>
        <v>0</v>
      </c>
      <c r="K11" s="252">
        <f>VLOOKUP($E11,'5.1 Budget'!$A$4:$H$729,5,0)</f>
        <v>0</v>
      </c>
      <c r="L11" s="252">
        <f>VLOOKUP($E11,'5.1 Budget'!$A$4:$H$729,6,0)</f>
        <v>0</v>
      </c>
      <c r="M11" s="252">
        <f>VLOOKUP($E11,'5.1 Budget'!$A$4:$H$729,7,0)</f>
        <v>0</v>
      </c>
      <c r="N11" s="252">
        <f>VLOOKUP($E11,'5.1 Budget'!$A$4:$H$729,8,0)</f>
        <v>90000</v>
      </c>
      <c r="O11" s="249"/>
      <c r="P11" s="249">
        <f>VLOOKUP($E11,'[4]5.1 Budget'!$A$4:$P$177,10,0)</f>
        <v>0</v>
      </c>
      <c r="Q11" s="249">
        <f>VLOOKUP($E11,'[4]5.1 Budget'!$A$4:$P$177,11,0)</f>
        <v>0</v>
      </c>
      <c r="R11" s="249">
        <f>VLOOKUP($E11,'[4]5.1 Budget'!$A$4:$P$177,12,0)</f>
        <v>0</v>
      </c>
      <c r="S11" s="249">
        <f>VLOOKUP($E11,'[4]5.1 Budget'!$A$4:$P$177,13,0)</f>
        <v>0</v>
      </c>
      <c r="T11" s="249">
        <f>VLOOKUP($E11,'[4]5.1 Budget'!$A$4:$P$177,14,0)</f>
        <v>0</v>
      </c>
      <c r="U11" s="249">
        <f t="shared" si="0"/>
        <v>0</v>
      </c>
      <c r="V11" t="str">
        <f>VLOOKUP(D11,'[4]1. Mesures'!$A$1:$B$116,2,0)</f>
        <v xml:space="preserve">Remettre à ciel ouvert le réseau hydrographique </v>
      </c>
      <c r="W11" t="str">
        <f>VLOOKUP(B11,[1]HIERARCH!$A$1:$B$57,2,0)</f>
        <v>Assurer la gestion qualitative des masses d'eau de surface</v>
      </c>
      <c r="X11" t="str">
        <f>VLOOKUP(C11,[1]HIERARCH!$A$2:$B$57,2,0)</f>
        <v xml:space="preserve">Améliorer la qualité hydromorphologique et biologique des masses d'eau de surface </v>
      </c>
      <c r="Y11" t="str">
        <f t="shared" si="3"/>
        <v>Mise à ciel ouvert du Roodkloosterbeek dans le parc Bergoge sur 100m – Etude (également sur M1.2)…</v>
      </c>
    </row>
    <row r="12" spans="1:25" hidden="1" x14ac:dyDescent="0.25">
      <c r="A12" s="249" t="str">
        <f t="shared" si="1"/>
        <v>1</v>
      </c>
      <c r="B12" s="249" t="str">
        <f>VLOOKUP($D12,'[4]1. Mesures'!$A$2:$G$116,6,0)</f>
        <v>OS 1.1</v>
      </c>
      <c r="C12" s="249" t="str">
        <f>VLOOKUP($D12,'[4]1. Mesures'!$A$2:$G$116,7,0)</f>
        <v>OO 1.1.1</v>
      </c>
      <c r="D12" s="249" t="str">
        <f t="shared" si="2"/>
        <v>M 1.1</v>
      </c>
      <c r="E12" s="250" t="s">
        <v>637</v>
      </c>
      <c r="F12" s="249" t="str">
        <f>VLOOKUP(E12,'5.2 Actions'!$A$3:$B$720,2,0)</f>
        <v>Mise à ciel ouvert du Roodkloosterbeek dans le parc Bergoge sur 100m - Travaux (également sur M1.2)</v>
      </c>
      <c r="G12" s="251" t="str">
        <f>VLOOKUP(E12,'[4]5.2 Actions'!$A$3:$D$718,4,0)</f>
        <v>WOL</v>
      </c>
      <c r="H12" s="252">
        <f>VLOOKUP($E12,'5.1 Budget'!$A$4:$H$729,2,0)</f>
        <v>0</v>
      </c>
      <c r="I12" s="252">
        <f>VLOOKUP($E12,'5.1 Budget'!$A$4:$H$729,3,0)</f>
        <v>0</v>
      </c>
      <c r="J12" s="252">
        <f>VLOOKUP($E12,'5.1 Budget'!$A$4:$H$729,4,0)</f>
        <v>0</v>
      </c>
      <c r="K12" s="252">
        <f>VLOOKUP($E12,'5.1 Budget'!$A$4:$H$729,5,0)</f>
        <v>900000</v>
      </c>
      <c r="L12" s="252">
        <f>VLOOKUP($E12,'5.1 Budget'!$A$4:$H$729,6,0)</f>
        <v>0</v>
      </c>
      <c r="M12" s="252">
        <f>VLOOKUP($E12,'5.1 Budget'!$A$4:$H$729,7,0)</f>
        <v>0</v>
      </c>
      <c r="N12" s="252">
        <f>VLOOKUP($E12,'5.1 Budget'!$A$4:$H$729,8,0)</f>
        <v>900000</v>
      </c>
      <c r="O12" s="249"/>
      <c r="P12" s="249">
        <f>VLOOKUP($E12,'[4]5.1 Budget'!$A$4:$P$177,10,0)</f>
        <v>0</v>
      </c>
      <c r="Q12" s="249">
        <f>VLOOKUP($E12,'[4]5.1 Budget'!$A$4:$P$177,11,0)</f>
        <v>0</v>
      </c>
      <c r="R12" s="249">
        <f>VLOOKUP($E12,'[4]5.1 Budget'!$A$4:$P$177,12,0)</f>
        <v>0</v>
      </c>
      <c r="S12" s="249">
        <f>VLOOKUP($E12,'[4]5.1 Budget'!$A$4:$P$177,13,0)</f>
        <v>0</v>
      </c>
      <c r="T12" s="249">
        <f>VLOOKUP($E12,'[4]5.1 Budget'!$A$4:$P$177,14,0)</f>
        <v>0</v>
      </c>
      <c r="U12" s="249">
        <f t="shared" si="0"/>
        <v>0</v>
      </c>
      <c r="V12" t="str">
        <f>VLOOKUP(D12,'[4]1. Mesures'!$A$1:$B$116,2,0)</f>
        <v xml:space="preserve">Remettre à ciel ouvert le réseau hydrographique </v>
      </c>
      <c r="W12" t="str">
        <f>VLOOKUP(B12,[1]HIERARCH!$A$1:$B$57,2,0)</f>
        <v>Assurer la gestion qualitative des masses d'eau de surface</v>
      </c>
      <c r="X12" t="str">
        <f>VLOOKUP(C12,[1]HIERARCH!$A$2:$B$57,2,0)</f>
        <v xml:space="preserve">Améliorer la qualité hydromorphologique et biologique des masses d'eau de surface </v>
      </c>
      <c r="Y12" t="str">
        <f t="shared" si="3"/>
        <v>Mise à ciel ouvert du Roodkloosterbeek dans le parc Bergoge sur 100m - Travaux (également sur M1.2)…</v>
      </c>
    </row>
    <row r="13" spans="1:25" hidden="1" x14ac:dyDescent="0.25">
      <c r="A13" s="249" t="str">
        <f t="shared" si="1"/>
        <v>1</v>
      </c>
      <c r="B13" s="249" t="str">
        <f>VLOOKUP($D13,'[4]1. Mesures'!$A$2:$G$116,6,0)</f>
        <v>OS 1.1</v>
      </c>
      <c r="C13" s="249" t="str">
        <f>VLOOKUP($D13,'[4]1. Mesures'!$A$2:$G$116,7,0)</f>
        <v>OO 1.1.1</v>
      </c>
      <c r="D13" s="249" t="str">
        <f t="shared" si="2"/>
        <v>M 1.1</v>
      </c>
      <c r="E13" s="250" t="s">
        <v>638</v>
      </c>
      <c r="F13" s="249" t="str">
        <f>VLOOKUP(E13,'5.2 Actions'!$A$3:$B$720,2,0)</f>
        <v xml:space="preserve">Étude de faisabilité de mise à ciel ouvert du Kerkebeek sur 800 m au niveau du Moeraske </v>
      </c>
      <c r="G13" s="251" t="str">
        <f>VLOOKUP(E13,'[4]5.2 Actions'!$A$3:$D$718,4,0)</f>
        <v>SEN</v>
      </c>
      <c r="H13" s="252">
        <f>VLOOKUP($E13,'5.1 Budget'!$A$4:$H$729,2,0)</f>
        <v>0</v>
      </c>
      <c r="I13" s="252">
        <f>VLOOKUP($E13,'5.1 Budget'!$A$4:$H$729,3,0)</f>
        <v>0</v>
      </c>
      <c r="J13" s="252">
        <f>VLOOKUP($E13,'5.1 Budget'!$A$4:$H$729,4,0)</f>
        <v>100000</v>
      </c>
      <c r="K13" s="252">
        <f>VLOOKUP($E13,'5.1 Budget'!$A$4:$H$729,5,0)</f>
        <v>0</v>
      </c>
      <c r="L13" s="252">
        <f>VLOOKUP($E13,'5.1 Budget'!$A$4:$H$729,6,0)</f>
        <v>0</v>
      </c>
      <c r="M13" s="252">
        <f>VLOOKUP($E13,'5.1 Budget'!$A$4:$H$729,7,0)</f>
        <v>0</v>
      </c>
      <c r="N13" s="252">
        <f>VLOOKUP($E13,'5.1 Budget'!$A$4:$H$729,8,0)</f>
        <v>100000</v>
      </c>
      <c r="O13" s="249"/>
      <c r="P13" s="249">
        <f>VLOOKUP($E13,'[4]5.1 Budget'!$A$4:$P$177,10,0)</f>
        <v>0</v>
      </c>
      <c r="Q13" s="249">
        <f>VLOOKUP($E13,'[4]5.1 Budget'!$A$4:$P$177,11,0)</f>
        <v>0</v>
      </c>
      <c r="R13" s="249">
        <f>VLOOKUP($E13,'[4]5.1 Budget'!$A$4:$P$177,12,0)</f>
        <v>0</v>
      </c>
      <c r="S13" s="249">
        <f>VLOOKUP($E13,'[4]5.1 Budget'!$A$4:$P$177,13,0)</f>
        <v>0</v>
      </c>
      <c r="T13" s="249">
        <f>VLOOKUP($E13,'[4]5.1 Budget'!$A$4:$P$177,14,0)</f>
        <v>0</v>
      </c>
      <c r="U13" s="249">
        <f t="shared" si="0"/>
        <v>0</v>
      </c>
      <c r="V13" t="str">
        <f>VLOOKUP(D13,'[4]1. Mesures'!$A$1:$B$116,2,0)</f>
        <v xml:space="preserve">Remettre à ciel ouvert le réseau hydrographique </v>
      </c>
      <c r="W13" t="str">
        <f>VLOOKUP(B13,[1]HIERARCH!$A$1:$B$57,2,0)</f>
        <v>Assurer la gestion qualitative des masses d'eau de surface</v>
      </c>
      <c r="X13" t="str">
        <f>VLOOKUP(C13,[1]HIERARCH!$A$2:$B$57,2,0)</f>
        <v xml:space="preserve">Améliorer la qualité hydromorphologique et biologique des masses d'eau de surface </v>
      </c>
      <c r="Y13" t="str">
        <f t="shared" si="3"/>
        <v>Étude de faisabilité de mise à ciel ouvert du Kerkebeek sur 800 m au niveau du Moeraske …</v>
      </c>
    </row>
    <row r="14" spans="1:25" hidden="1" x14ac:dyDescent="0.25">
      <c r="A14" s="249" t="str">
        <f t="shared" si="1"/>
        <v>1</v>
      </c>
      <c r="B14" s="249" t="str">
        <f>VLOOKUP($D14,'[4]1. Mesures'!$A$2:$G$116,6,0)</f>
        <v>OS 1.1</v>
      </c>
      <c r="C14" s="249" t="str">
        <f>VLOOKUP($D14,'[4]1. Mesures'!$A$2:$G$116,7,0)</f>
        <v>OO 1.1.1</v>
      </c>
      <c r="D14" s="249" t="str">
        <f t="shared" si="2"/>
        <v>M 1.1</v>
      </c>
      <c r="E14" s="250" t="s">
        <v>639</v>
      </c>
      <c r="F14" s="249" t="str">
        <f>VLOOKUP(E14,'5.2 Actions'!$A$3:$B$720,2,0)</f>
        <v xml:space="preserve">Etude Étude de faisabilité de mise à ciel ouvert du Hollebeek sur 100 m au niveau du site Citydev, rue du Bruel – Etude </v>
      </c>
      <c r="G14" s="251" t="str">
        <f>VLOOKUP(E14,'[4]5.2 Actions'!$A$3:$D$718,4,0)</f>
        <v>SEN</v>
      </c>
      <c r="H14" s="252">
        <f>VLOOKUP($E14,'5.1 Budget'!$A$4:$H$729,2,0)</f>
        <v>0</v>
      </c>
      <c r="I14" s="252">
        <f>VLOOKUP($E14,'5.1 Budget'!$A$4:$H$729,3,0)</f>
        <v>70000</v>
      </c>
      <c r="J14" s="252">
        <f>VLOOKUP($E14,'5.1 Budget'!$A$4:$H$729,4,0)</f>
        <v>0</v>
      </c>
      <c r="K14" s="252">
        <f>VLOOKUP($E14,'5.1 Budget'!$A$4:$H$729,5,0)</f>
        <v>0</v>
      </c>
      <c r="L14" s="252">
        <f>VLOOKUP($E14,'5.1 Budget'!$A$4:$H$729,6,0)</f>
        <v>0</v>
      </c>
      <c r="M14" s="252">
        <f>VLOOKUP($E14,'5.1 Budget'!$A$4:$H$729,7,0)</f>
        <v>0</v>
      </c>
      <c r="N14" s="252">
        <f>VLOOKUP($E14,'5.1 Budget'!$A$4:$H$729,8,0)</f>
        <v>70000</v>
      </c>
      <c r="O14" s="249"/>
      <c r="P14" s="249">
        <f>VLOOKUP($E14,'[4]5.1 Budget'!$A$4:$P$177,10,0)</f>
        <v>0</v>
      </c>
      <c r="Q14" s="249">
        <f>VLOOKUP($E14,'[4]5.1 Budget'!$A$4:$P$177,11,0)</f>
        <v>0</v>
      </c>
      <c r="R14" s="249">
        <f>VLOOKUP($E14,'[4]5.1 Budget'!$A$4:$P$177,12,0)</f>
        <v>0</v>
      </c>
      <c r="S14" s="249">
        <f>VLOOKUP($E14,'[4]5.1 Budget'!$A$4:$P$177,13,0)</f>
        <v>0</v>
      </c>
      <c r="T14" s="249">
        <f>VLOOKUP($E14,'[4]5.1 Budget'!$A$4:$P$177,14,0)</f>
        <v>0</v>
      </c>
      <c r="U14" s="249">
        <f t="shared" si="0"/>
        <v>0</v>
      </c>
      <c r="V14" t="str">
        <f>VLOOKUP(D14,'[4]1. Mesures'!$A$1:$B$116,2,0)</f>
        <v xml:space="preserve">Remettre à ciel ouvert le réseau hydrographique </v>
      </c>
      <c r="W14" t="str">
        <f>VLOOKUP(B14,[1]HIERARCH!$A$1:$B$57,2,0)</f>
        <v>Assurer la gestion qualitative des masses d'eau de surface</v>
      </c>
      <c r="X14" t="str">
        <f>VLOOKUP(C14,[1]HIERARCH!$A$2:$B$57,2,0)</f>
        <v xml:space="preserve">Améliorer la qualité hydromorphologique et biologique des masses d'eau de surface </v>
      </c>
      <c r="Y14" t="str">
        <f t="shared" si="3"/>
        <v>Etude Étude de faisabilité de mise à ciel ouvert du Hollebeek sur 100 m au niveau du site Citydev, rue du Bruel – Etude …</v>
      </c>
    </row>
    <row r="15" spans="1:25" hidden="1" x14ac:dyDescent="0.25">
      <c r="A15" s="249" t="str">
        <f t="shared" si="1"/>
        <v>1</v>
      </c>
      <c r="B15" s="249" t="str">
        <f>VLOOKUP($D15,'[4]1. Mesures'!$A$2:$G$116,6,0)</f>
        <v>OS 1.1</v>
      </c>
      <c r="C15" s="249" t="str">
        <f>VLOOKUP($D15,'[4]1. Mesures'!$A$2:$G$116,7,0)</f>
        <v>OO 1.1.1</v>
      </c>
      <c r="D15" s="249" t="str">
        <f t="shared" si="2"/>
        <v>M 1.2</v>
      </c>
      <c r="E15" s="250" t="s">
        <v>700</v>
      </c>
      <c r="F15" s="249" t="str">
        <f>VLOOKUP(E15,'5.2 Actions'!$A$3:$B$720,2,0)</f>
        <v>Amélioration de la berge et l’aménagement d’une annexe hydraulique abritée (frayère) à hauteur du site d’Aquiris (action C12_2 Belini) – Etude (*)</v>
      </c>
      <c r="G15" s="251" t="str">
        <f>VLOOKUP(E15,'[4]5.2 Actions'!$A$3:$D$718,4,0)</f>
        <v>SEN</v>
      </c>
      <c r="H15" s="252">
        <f>VLOOKUP($E15,'5.1 Budget'!$A$4:$H$729,2,0)</f>
        <v>80000</v>
      </c>
      <c r="I15" s="252">
        <f>VLOOKUP($E15,'5.1 Budget'!$A$4:$H$729,3,0)</f>
        <v>0</v>
      </c>
      <c r="J15" s="252">
        <f>VLOOKUP($E15,'5.1 Budget'!$A$4:$H$729,4,0)</f>
        <v>0</v>
      </c>
      <c r="K15" s="252">
        <f>VLOOKUP($E15,'5.1 Budget'!$A$4:$H$729,5,0)</f>
        <v>0</v>
      </c>
      <c r="L15" s="252">
        <f>VLOOKUP($E15,'5.1 Budget'!$A$4:$H$729,6,0)</f>
        <v>0</v>
      </c>
      <c r="M15" s="252">
        <f>VLOOKUP($E15,'5.1 Budget'!$A$4:$H$729,7,0)</f>
        <v>0</v>
      </c>
      <c r="N15" s="252">
        <f>VLOOKUP($E15,'5.1 Budget'!$A$4:$H$729,8,0)</f>
        <v>80000</v>
      </c>
      <c r="O15" s="249"/>
      <c r="P15" s="249">
        <f>VLOOKUP($E15,'[4]5.1 Budget'!$A$4:$P$177,10,0)</f>
        <v>0</v>
      </c>
      <c r="Q15" s="249">
        <f>VLOOKUP($E15,'[4]5.1 Budget'!$A$4:$P$177,11,0)</f>
        <v>0</v>
      </c>
      <c r="R15" s="249">
        <f>VLOOKUP($E15,'[4]5.1 Budget'!$A$4:$P$177,12,0)</f>
        <v>0</v>
      </c>
      <c r="S15" s="249">
        <f>VLOOKUP($E15,'[4]5.1 Budget'!$A$4:$P$177,13,0)</f>
        <v>0</v>
      </c>
      <c r="T15" s="249">
        <f>VLOOKUP($E15,'[4]5.1 Budget'!$A$4:$P$177,14,0)</f>
        <v>0</v>
      </c>
      <c r="U15" s="249">
        <f t="shared" si="0"/>
        <v>0</v>
      </c>
      <c r="V15" t="str">
        <f>VLOOKUP(D15,'[4]1. Mesures'!$A$1:$B$116,2,0)</f>
        <v>Améliorer la qualité des berges et des lits du réseau hydrographique, créer des méandres et aménager des zones propices au développement de la faune et de la flore aquatiques</v>
      </c>
      <c r="W15" t="str">
        <f>VLOOKUP(B15,[1]HIERARCH!$A$1:$B$57,2,0)</f>
        <v>Assurer la gestion qualitative des masses d'eau de surface</v>
      </c>
      <c r="X15" t="str">
        <f>VLOOKUP(C15,[1]HIERARCH!$A$2:$B$57,2,0)</f>
        <v xml:space="preserve">Améliorer la qualité hydromorphologique et biologique des masses d'eau de surface </v>
      </c>
      <c r="Y15" t="str">
        <f t="shared" si="3"/>
        <v>Amélioration de la berge et l’aménagement d’une annexe hydraulique abritée (frayère) à hauteur du site d’Aquiris (action…</v>
      </c>
    </row>
    <row r="16" spans="1:25" hidden="1" x14ac:dyDescent="0.25">
      <c r="A16" s="249" t="str">
        <f t="shared" si="1"/>
        <v>1</v>
      </c>
      <c r="B16" s="249" t="str">
        <f>VLOOKUP($D16,'[4]1. Mesures'!$A$2:$G$116,6,0)</f>
        <v>OS 1.1</v>
      </c>
      <c r="C16" s="249" t="str">
        <f>VLOOKUP($D16,'[4]1. Mesures'!$A$2:$G$116,7,0)</f>
        <v>OO 1.1.1</v>
      </c>
      <c r="D16" s="249" t="str">
        <f t="shared" si="2"/>
        <v>M 1.2</v>
      </c>
      <c r="E16" s="250" t="s">
        <v>711</v>
      </c>
      <c r="F16" s="249" t="str">
        <f>VLOOKUP(E16,'5.2 Actions'!$A$3:$B$720,2,0)</f>
        <v>Aménager la berge et une annexe hydraulique abritée (frayère) à hauteur d’Aquiris (action C12_2 Belini) – Travaux (*)</v>
      </c>
      <c r="G16" s="251" t="str">
        <f>VLOOKUP(E16,'[4]5.2 Actions'!$A$3:$D$718,4,0)</f>
        <v>SEN</v>
      </c>
      <c r="H16" s="252">
        <f>VLOOKUP($E16,'5.1 Budget'!$A$4:$H$729,2,0)</f>
        <v>0</v>
      </c>
      <c r="I16" s="252">
        <f>VLOOKUP($E16,'5.1 Budget'!$A$4:$H$729,3,0)</f>
        <v>0</v>
      </c>
      <c r="J16" s="252">
        <f>VLOOKUP($E16,'5.1 Budget'!$A$4:$H$729,4,0)</f>
        <v>0</v>
      </c>
      <c r="K16" s="252">
        <f>VLOOKUP($E16,'5.1 Budget'!$A$4:$H$729,5,0)</f>
        <v>0</v>
      </c>
      <c r="L16" s="252">
        <f>VLOOKUP($E16,'5.1 Budget'!$A$4:$H$729,6,0)</f>
        <v>1500000</v>
      </c>
      <c r="M16" s="252">
        <f>VLOOKUP($E16,'5.1 Budget'!$A$4:$H$729,7,0)</f>
        <v>0</v>
      </c>
      <c r="N16" s="252">
        <f>VLOOKUP($E16,'5.1 Budget'!$A$4:$H$729,8,0)</f>
        <v>1500000</v>
      </c>
      <c r="O16" s="249"/>
      <c r="P16" s="249">
        <f>VLOOKUP($E16,'[4]5.1 Budget'!$A$4:$P$177,10,0)</f>
        <v>0</v>
      </c>
      <c r="Q16" s="249">
        <f>VLOOKUP($E16,'[4]5.1 Budget'!$A$4:$P$177,11,0)</f>
        <v>0</v>
      </c>
      <c r="R16" s="249">
        <f>VLOOKUP($E16,'[4]5.1 Budget'!$A$4:$P$177,12,0)</f>
        <v>0</v>
      </c>
      <c r="S16" s="249">
        <f>VLOOKUP($E16,'[4]5.1 Budget'!$A$4:$P$177,13,0)</f>
        <v>0</v>
      </c>
      <c r="T16" s="249">
        <f>VLOOKUP($E16,'[4]5.1 Budget'!$A$4:$P$177,14,0)</f>
        <v>0</v>
      </c>
      <c r="U16" s="249">
        <f t="shared" si="0"/>
        <v>0</v>
      </c>
      <c r="V16" t="str">
        <f>VLOOKUP(D16,'[4]1. Mesures'!$A$1:$B$116,2,0)</f>
        <v>Améliorer la qualité des berges et des lits du réseau hydrographique, créer des méandres et aménager des zones propices au développement de la faune et de la flore aquatiques</v>
      </c>
      <c r="W16" t="str">
        <f>VLOOKUP(B16,[1]HIERARCH!$A$1:$B$57,2,0)</f>
        <v>Assurer la gestion qualitative des masses d'eau de surface</v>
      </c>
      <c r="X16" t="str">
        <f>VLOOKUP(C16,[1]HIERARCH!$A$2:$B$57,2,0)</f>
        <v xml:space="preserve">Améliorer la qualité hydromorphologique et biologique des masses d'eau de surface </v>
      </c>
      <c r="Y16" t="str">
        <f t="shared" si="3"/>
        <v>Aménager la berge et une annexe hydraulique abritée (frayère) à hauteur d’Aquiris (action C12_2 Belini) – Travaux (*)…</v>
      </c>
    </row>
    <row r="17" spans="1:25" hidden="1" x14ac:dyDescent="0.25">
      <c r="A17" s="249" t="str">
        <f t="shared" si="1"/>
        <v>1</v>
      </c>
      <c r="B17" s="249" t="str">
        <f>VLOOKUP($D17,'[4]1. Mesures'!$A$2:$G$116,6,0)</f>
        <v>OS 1.1</v>
      </c>
      <c r="C17" s="249" t="str">
        <f>VLOOKUP($D17,'[4]1. Mesures'!$A$2:$G$116,7,0)</f>
        <v>OO 1.1.1</v>
      </c>
      <c r="D17" s="249" t="str">
        <f t="shared" si="2"/>
        <v>M 1.2</v>
      </c>
      <c r="E17" s="250" t="s">
        <v>721</v>
      </c>
      <c r="F17" s="249" t="str">
        <f>VLOOKUP(E17,'5.2 Actions'!$A$3:$B$720,2,0)</f>
        <v>Aménager un lit et des berges naturelles en rives gauche et droite au niveau de l’Avenue de Vilvorde (action C13_4 Belini) - Travaux</v>
      </c>
      <c r="G17" s="251" t="str">
        <f>VLOOKUP(E17,'[4]5.2 Actions'!$A$3:$D$718,4,0)</f>
        <v>SEN</v>
      </c>
      <c r="H17" s="252">
        <f>VLOOKUP($E17,'5.1 Budget'!$A$4:$H$729,2,0)</f>
        <v>0</v>
      </c>
      <c r="I17" s="252">
        <f>VLOOKUP($E17,'5.1 Budget'!$A$4:$H$729,3,0)</f>
        <v>0</v>
      </c>
      <c r="J17" s="252">
        <f>VLOOKUP($E17,'5.1 Budget'!$A$4:$H$729,4,0)</f>
        <v>0</v>
      </c>
      <c r="K17" s="252">
        <f>VLOOKUP($E17,'5.1 Budget'!$A$4:$H$729,5,0)</f>
        <v>0</v>
      </c>
      <c r="L17" s="252">
        <f>VLOOKUP($E17,'5.1 Budget'!$A$4:$H$729,6,0)</f>
        <v>2500000</v>
      </c>
      <c r="M17" s="252">
        <f>VLOOKUP($E17,'5.1 Budget'!$A$4:$H$729,7,0)</f>
        <v>0</v>
      </c>
      <c r="N17" s="252">
        <f>VLOOKUP($E17,'5.1 Budget'!$A$4:$H$729,8,0)</f>
        <v>2500000</v>
      </c>
      <c r="O17" s="249"/>
      <c r="P17" s="249">
        <f>VLOOKUP($E17,'[4]5.1 Budget'!$A$4:$P$177,10,0)</f>
        <v>0</v>
      </c>
      <c r="Q17" s="249">
        <f>VLOOKUP($E17,'[4]5.1 Budget'!$A$4:$P$177,11,0)</f>
        <v>0</v>
      </c>
      <c r="R17" s="249">
        <f>VLOOKUP($E17,'[4]5.1 Budget'!$A$4:$P$177,12,0)</f>
        <v>0</v>
      </c>
      <c r="S17" s="249">
        <f>VLOOKUP($E17,'[4]5.1 Budget'!$A$4:$P$177,13,0)</f>
        <v>0</v>
      </c>
      <c r="T17" s="249">
        <f>VLOOKUP($E17,'[4]5.1 Budget'!$A$4:$P$177,14,0)</f>
        <v>0</v>
      </c>
      <c r="U17" s="249">
        <f t="shared" si="0"/>
        <v>0</v>
      </c>
      <c r="V17" t="str">
        <f>VLOOKUP(D17,'[4]1. Mesures'!$A$1:$B$116,2,0)</f>
        <v>Améliorer la qualité des berges et des lits du réseau hydrographique, créer des méandres et aménager des zones propices au développement de la faune et de la flore aquatiques</v>
      </c>
      <c r="W17" t="str">
        <f>VLOOKUP(B17,[1]HIERARCH!$A$1:$B$57,2,0)</f>
        <v>Assurer la gestion qualitative des masses d'eau de surface</v>
      </c>
      <c r="X17" t="str">
        <f>VLOOKUP(C17,[1]HIERARCH!$A$2:$B$57,2,0)</f>
        <v xml:space="preserve">Améliorer la qualité hydromorphologique et biologique des masses d'eau de surface </v>
      </c>
      <c r="Y17" t="str">
        <f t="shared" si="3"/>
        <v>Aménager un lit et des berges naturelles en rives gauche et droite au niveau de l’Avenue de Vilvorde (action C13_4 Belin…</v>
      </c>
    </row>
    <row r="18" spans="1:25" hidden="1" x14ac:dyDescent="0.25">
      <c r="A18" s="249" t="str">
        <f t="shared" si="1"/>
        <v>1</v>
      </c>
      <c r="B18" s="249" t="str">
        <f>VLOOKUP($D18,'[4]1. Mesures'!$A$2:$G$116,6,0)</f>
        <v>OS 1.1</v>
      </c>
      <c r="C18" s="249" t="str">
        <f>VLOOKUP($D18,'[4]1. Mesures'!$A$2:$G$116,7,0)</f>
        <v>OO 1.1.1</v>
      </c>
      <c r="D18" s="249" t="str">
        <f t="shared" si="2"/>
        <v>M 1.2</v>
      </c>
      <c r="E18" s="250" t="s">
        <v>722</v>
      </c>
      <c r="F18" s="249" t="str">
        <f>VLOOKUP(E18,'5.2 Actions'!$A$3:$B$720,2,0)</f>
        <v>Poursuivre l’aménagement de berges et lit naturels et d’un bras mort à hauteur de la Rue du Charroi (île Sainte Hélène, en aval du Boulevard Paepsem) – Etude (cf. aussi M 6.6) (*)</v>
      </c>
      <c r="G18" s="251" t="str">
        <f>VLOOKUP(E18,'[4]5.2 Actions'!$A$3:$D$718,4,0)</f>
        <v>SEN</v>
      </c>
      <c r="H18" s="252">
        <f>VLOOKUP($E18,'5.1 Budget'!$A$4:$H$729,2,0)</f>
        <v>90000</v>
      </c>
      <c r="I18" s="252">
        <f>VLOOKUP($E18,'5.1 Budget'!$A$4:$H$729,3,0)</f>
        <v>0</v>
      </c>
      <c r="J18" s="252">
        <f>VLOOKUP($E18,'5.1 Budget'!$A$4:$H$729,4,0)</f>
        <v>0</v>
      </c>
      <c r="K18" s="252">
        <f>VLOOKUP($E18,'5.1 Budget'!$A$4:$H$729,5,0)</f>
        <v>0</v>
      </c>
      <c r="L18" s="252">
        <f>VLOOKUP($E18,'5.1 Budget'!$A$4:$H$729,6,0)</f>
        <v>0</v>
      </c>
      <c r="M18" s="252">
        <f>VLOOKUP($E18,'5.1 Budget'!$A$4:$H$729,7,0)</f>
        <v>0</v>
      </c>
      <c r="N18" s="252">
        <f>VLOOKUP($E18,'5.1 Budget'!$A$4:$H$729,8,0)</f>
        <v>90000</v>
      </c>
      <c r="O18" s="249"/>
      <c r="P18" s="249">
        <f>VLOOKUP($E18,'[4]5.1 Budget'!$A$4:$P$177,10,0)</f>
        <v>0</v>
      </c>
      <c r="Q18" s="249">
        <f>VLOOKUP($E18,'[4]5.1 Budget'!$A$4:$P$177,11,0)</f>
        <v>0</v>
      </c>
      <c r="R18" s="249">
        <f>VLOOKUP($E18,'[4]5.1 Budget'!$A$4:$P$177,12,0)</f>
        <v>0</v>
      </c>
      <c r="S18" s="249">
        <f>VLOOKUP($E18,'[4]5.1 Budget'!$A$4:$P$177,13,0)</f>
        <v>0</v>
      </c>
      <c r="T18" s="249">
        <f>VLOOKUP($E18,'[4]5.1 Budget'!$A$4:$P$177,14,0)</f>
        <v>0</v>
      </c>
      <c r="U18" s="249">
        <f t="shared" si="0"/>
        <v>0</v>
      </c>
      <c r="V18" t="str">
        <f>VLOOKUP(D18,'[4]1. Mesures'!$A$1:$B$116,2,0)</f>
        <v>Améliorer la qualité des berges et des lits du réseau hydrographique, créer des méandres et aménager des zones propices au développement de la faune et de la flore aquatiques</v>
      </c>
      <c r="W18" t="str">
        <f>VLOOKUP(B18,[1]HIERARCH!$A$1:$B$57,2,0)</f>
        <v>Assurer la gestion qualitative des masses d'eau de surface</v>
      </c>
      <c r="X18" t="str">
        <f>VLOOKUP(C18,[1]HIERARCH!$A$2:$B$57,2,0)</f>
        <v xml:space="preserve">Améliorer la qualité hydromorphologique et biologique des masses d'eau de surface </v>
      </c>
      <c r="Y18" t="str">
        <f t="shared" si="3"/>
        <v>Poursuivre l’aménagement de berges et lit naturels et d’un bras mort à hauteur de la Rue du Charroi (île Sainte Hélène, …</v>
      </c>
    </row>
    <row r="19" spans="1:25" hidden="1" x14ac:dyDescent="0.25">
      <c r="A19" s="249" t="str">
        <f t="shared" si="1"/>
        <v>1</v>
      </c>
      <c r="B19" s="249" t="str">
        <f>VLOOKUP($D19,'[4]1. Mesures'!$A$2:$G$116,6,0)</f>
        <v>OS 1.1</v>
      </c>
      <c r="C19" s="249" t="str">
        <f>VLOOKUP($D19,'[4]1. Mesures'!$A$2:$G$116,7,0)</f>
        <v>OO 1.1.1</v>
      </c>
      <c r="D19" s="249" t="str">
        <f t="shared" si="2"/>
        <v>M 1.2</v>
      </c>
      <c r="E19" s="250" t="s">
        <v>723</v>
      </c>
      <c r="F19" s="249" t="str">
        <f>VLOOKUP(E19,'5.2 Actions'!$A$3:$B$720,2,0)</f>
        <v>Poursuivre l’aménagement de berges et lit naturels et d’un bras mort à hauteur de la Rue du Charroi (île Sainte Hélène, en aval du Boulevard Paepsem) – Travaux (également sur Mesure 6.6)</v>
      </c>
      <c r="G19" s="251" t="str">
        <f>VLOOKUP(E19,'[4]5.2 Actions'!$A$3:$D$718,4,0)</f>
        <v>SEN</v>
      </c>
      <c r="H19" s="252">
        <f>VLOOKUP($E19,'5.1 Budget'!$A$4:$H$729,2,0)</f>
        <v>0</v>
      </c>
      <c r="I19" s="252">
        <f>VLOOKUP($E19,'5.1 Budget'!$A$4:$H$729,3,0)</f>
        <v>550000</v>
      </c>
      <c r="J19" s="252">
        <f>VLOOKUP($E19,'5.1 Budget'!$A$4:$H$729,4,0)</f>
        <v>0</v>
      </c>
      <c r="K19" s="252">
        <f>VLOOKUP($E19,'5.1 Budget'!$A$4:$H$729,5,0)</f>
        <v>0</v>
      </c>
      <c r="L19" s="252">
        <f>VLOOKUP($E19,'5.1 Budget'!$A$4:$H$729,6,0)</f>
        <v>0</v>
      </c>
      <c r="M19" s="252">
        <f>VLOOKUP($E19,'5.1 Budget'!$A$4:$H$729,7,0)</f>
        <v>0</v>
      </c>
      <c r="N19" s="252">
        <f>VLOOKUP($E19,'5.1 Budget'!$A$4:$H$729,8,0)</f>
        <v>550000</v>
      </c>
      <c r="O19" s="249"/>
      <c r="P19" s="249">
        <f>VLOOKUP($E19,'[4]5.1 Budget'!$A$4:$P$177,10,0)</f>
        <v>0</v>
      </c>
      <c r="Q19" s="249">
        <f>VLOOKUP($E19,'[4]5.1 Budget'!$A$4:$P$177,11,0)</f>
        <v>0</v>
      </c>
      <c r="R19" s="249">
        <f>VLOOKUP($E19,'[4]5.1 Budget'!$A$4:$P$177,12,0)</f>
        <v>0</v>
      </c>
      <c r="S19" s="249">
        <f>VLOOKUP($E19,'[4]5.1 Budget'!$A$4:$P$177,13,0)</f>
        <v>0</v>
      </c>
      <c r="T19" s="249">
        <f>VLOOKUP($E19,'[4]5.1 Budget'!$A$4:$P$177,14,0)</f>
        <v>0</v>
      </c>
      <c r="U19" s="249">
        <f t="shared" si="0"/>
        <v>0</v>
      </c>
      <c r="V19" t="str">
        <f>VLOOKUP(D19,'[4]1. Mesures'!$A$1:$B$116,2,0)</f>
        <v>Améliorer la qualité des berges et des lits du réseau hydrographique, créer des méandres et aménager des zones propices au développement de la faune et de la flore aquatiques</v>
      </c>
      <c r="W19" t="str">
        <f>VLOOKUP(B19,[1]HIERARCH!$A$1:$B$57,2,0)</f>
        <v>Assurer la gestion qualitative des masses d'eau de surface</v>
      </c>
      <c r="X19" t="str">
        <f>VLOOKUP(C19,[1]HIERARCH!$A$2:$B$57,2,0)</f>
        <v xml:space="preserve">Améliorer la qualité hydromorphologique et biologique des masses d'eau de surface </v>
      </c>
      <c r="Y19" t="str">
        <f t="shared" si="3"/>
        <v>Poursuivre l’aménagement de berges et lit naturels et d’un bras mort à hauteur de la Rue du Charroi (île Sainte Hélène, …</v>
      </c>
    </row>
    <row r="20" spans="1:25" hidden="1" x14ac:dyDescent="0.25">
      <c r="A20" s="249" t="str">
        <f t="shared" si="1"/>
        <v>1</v>
      </c>
      <c r="B20" s="249" t="str">
        <f>VLOOKUP($D20,'[4]1. Mesures'!$A$2:$G$116,6,0)</f>
        <v>OS 1.1</v>
      </c>
      <c r="C20" s="249" t="str">
        <f>VLOOKUP($D20,'[4]1. Mesures'!$A$2:$G$116,7,0)</f>
        <v>OO 1.1.1</v>
      </c>
      <c r="D20" s="249" t="str">
        <f t="shared" si="2"/>
        <v>M 1.2</v>
      </c>
      <c r="E20" s="250" t="s">
        <v>724</v>
      </c>
      <c r="F20" s="249" t="str">
        <f>VLOOKUP(E20,'5.2 Actions'!$A$3:$B$720,2,0)</f>
        <v>Aménager des berges naturelles entre la Dérivation d’Aa et la Rue Bollinckx – Etude (voir également fiche M6.6)</v>
      </c>
      <c r="G20" s="251" t="str">
        <f>VLOOKUP(E20,'[4]5.2 Actions'!$A$3:$D$718,4,0)</f>
        <v>SEN</v>
      </c>
      <c r="H20" s="252">
        <f>VLOOKUP($E20,'5.1 Budget'!$A$4:$H$729,2,0)</f>
        <v>0</v>
      </c>
      <c r="I20" s="252">
        <f>VLOOKUP($E20,'5.1 Budget'!$A$4:$H$729,3,0)</f>
        <v>150000</v>
      </c>
      <c r="J20" s="252">
        <f>VLOOKUP($E20,'5.1 Budget'!$A$4:$H$729,4,0)</f>
        <v>0</v>
      </c>
      <c r="K20" s="252">
        <f>VLOOKUP($E20,'5.1 Budget'!$A$4:$H$729,5,0)</f>
        <v>0</v>
      </c>
      <c r="L20" s="252">
        <f>VLOOKUP($E20,'5.1 Budget'!$A$4:$H$729,6,0)</f>
        <v>0</v>
      </c>
      <c r="M20" s="252">
        <f>VLOOKUP($E20,'5.1 Budget'!$A$4:$H$729,7,0)</f>
        <v>0</v>
      </c>
      <c r="N20" s="252">
        <f>VLOOKUP($E20,'5.1 Budget'!$A$4:$H$729,8,0)</f>
        <v>150000</v>
      </c>
      <c r="O20" s="249"/>
      <c r="P20" s="249">
        <f>VLOOKUP($E20,'[4]5.1 Budget'!$A$4:$P$177,10,0)</f>
        <v>0</v>
      </c>
      <c r="Q20" s="249">
        <f>VLOOKUP($E20,'[4]5.1 Budget'!$A$4:$P$177,11,0)</f>
        <v>0</v>
      </c>
      <c r="R20" s="249">
        <f>VLOOKUP($E20,'[4]5.1 Budget'!$A$4:$P$177,12,0)</f>
        <v>0</v>
      </c>
      <c r="S20" s="249">
        <f>VLOOKUP($E20,'[4]5.1 Budget'!$A$4:$P$177,13,0)</f>
        <v>0</v>
      </c>
      <c r="T20" s="249">
        <f>VLOOKUP($E20,'[4]5.1 Budget'!$A$4:$P$177,14,0)</f>
        <v>0</v>
      </c>
      <c r="U20" s="249">
        <f t="shared" si="0"/>
        <v>0</v>
      </c>
      <c r="V20" t="str">
        <f>VLOOKUP(D20,'[4]1. Mesures'!$A$1:$B$116,2,0)</f>
        <v>Améliorer la qualité des berges et des lits du réseau hydrographique, créer des méandres et aménager des zones propices au développement de la faune et de la flore aquatiques</v>
      </c>
      <c r="W20" t="str">
        <f>VLOOKUP(B20,[1]HIERARCH!$A$1:$B$57,2,0)</f>
        <v>Assurer la gestion qualitative des masses d'eau de surface</v>
      </c>
      <c r="X20" t="str">
        <f>VLOOKUP(C20,[1]HIERARCH!$A$2:$B$57,2,0)</f>
        <v xml:space="preserve">Améliorer la qualité hydromorphologique et biologique des masses d'eau de surface </v>
      </c>
      <c r="Y20" t="str">
        <f t="shared" si="3"/>
        <v>Aménager des berges naturelles entre la Dérivation d’Aa et la Rue Bollinckx – Etude (voir également fiche M6.6)…</v>
      </c>
    </row>
    <row r="21" spans="1:25" hidden="1" x14ac:dyDescent="0.25">
      <c r="A21" s="249" t="str">
        <f t="shared" si="1"/>
        <v>1</v>
      </c>
      <c r="B21" s="249" t="str">
        <f>VLOOKUP($D21,'[4]1. Mesures'!$A$2:$G$116,6,0)</f>
        <v>OS 1.1</v>
      </c>
      <c r="C21" s="249" t="str">
        <f>VLOOKUP($D21,'[4]1. Mesures'!$A$2:$G$116,7,0)</f>
        <v>OO 1.1.1</v>
      </c>
      <c r="D21" s="249" t="str">
        <f t="shared" si="2"/>
        <v>M 1.2</v>
      </c>
      <c r="E21" s="250" t="s">
        <v>725</v>
      </c>
      <c r="F21" s="249" t="str">
        <f>VLOOKUP(E21,'5.2 Actions'!$A$3:$B$720,2,0)</f>
        <v>Aménager des berges naturelles entre la Dérivation d’Aa et la Rue Bollinckx – Travaux (voir également fiche M6.6)</v>
      </c>
      <c r="G21" s="251" t="str">
        <f>VLOOKUP(E21,'[4]5.2 Actions'!$A$3:$D$718,4,0)</f>
        <v>SEN</v>
      </c>
      <c r="H21" s="252">
        <f>VLOOKUP($E21,'5.1 Budget'!$A$4:$H$729,2,0)</f>
        <v>0</v>
      </c>
      <c r="I21" s="252">
        <f>VLOOKUP($E21,'5.1 Budget'!$A$4:$H$729,3,0)</f>
        <v>0</v>
      </c>
      <c r="J21" s="252">
        <f>VLOOKUP($E21,'5.1 Budget'!$A$4:$H$729,4,0)</f>
        <v>0</v>
      </c>
      <c r="K21" s="252">
        <f>VLOOKUP($E21,'5.1 Budget'!$A$4:$H$729,5,0)</f>
        <v>0</v>
      </c>
      <c r="L21" s="252">
        <f>VLOOKUP($E21,'5.1 Budget'!$A$4:$H$729,6,0)</f>
        <v>0</v>
      </c>
      <c r="M21" s="252">
        <f>VLOOKUP($E21,'5.1 Budget'!$A$4:$H$729,7,0)</f>
        <v>600000</v>
      </c>
      <c r="N21" s="252">
        <f>VLOOKUP($E21,'5.1 Budget'!$A$4:$H$729,8,0)</f>
        <v>600000</v>
      </c>
      <c r="O21" s="249"/>
      <c r="P21" s="249">
        <f>VLOOKUP($E21,'[4]5.1 Budget'!$A$4:$P$177,10,0)</f>
        <v>0</v>
      </c>
      <c r="Q21" s="249">
        <f>VLOOKUP($E21,'[4]5.1 Budget'!$A$4:$P$177,11,0)</f>
        <v>0</v>
      </c>
      <c r="R21" s="249">
        <f>VLOOKUP($E21,'[4]5.1 Budget'!$A$4:$P$177,12,0)</f>
        <v>0</v>
      </c>
      <c r="S21" s="249">
        <f>VLOOKUP($E21,'[4]5.1 Budget'!$A$4:$P$177,13,0)</f>
        <v>0</v>
      </c>
      <c r="T21" s="249">
        <f>VLOOKUP($E21,'[4]5.1 Budget'!$A$4:$P$177,14,0)</f>
        <v>0</v>
      </c>
      <c r="U21" s="249">
        <f t="shared" si="0"/>
        <v>0</v>
      </c>
      <c r="V21" t="str">
        <f>VLOOKUP(D21,'[4]1. Mesures'!$A$1:$B$116,2,0)</f>
        <v>Améliorer la qualité des berges et des lits du réseau hydrographique, créer des méandres et aménager des zones propices au développement de la faune et de la flore aquatiques</v>
      </c>
      <c r="W21" t="str">
        <f>VLOOKUP(B21,[1]HIERARCH!$A$1:$B$57,2,0)</f>
        <v>Assurer la gestion qualitative des masses d'eau de surface</v>
      </c>
      <c r="X21" t="str">
        <f>VLOOKUP(C21,[1]HIERARCH!$A$2:$B$57,2,0)</f>
        <v xml:space="preserve">Améliorer la qualité hydromorphologique et biologique des masses d'eau de surface </v>
      </c>
      <c r="Y21" t="str">
        <f t="shared" si="3"/>
        <v>Aménager des berges naturelles entre la Dérivation d’Aa et la Rue Bollinckx – Travaux (voir également fiche M6.6)…</v>
      </c>
    </row>
    <row r="22" spans="1:25" hidden="1" x14ac:dyDescent="0.25">
      <c r="A22" s="249" t="str">
        <f t="shared" si="1"/>
        <v>1</v>
      </c>
      <c r="B22" s="249" t="str">
        <f>VLOOKUP($D22,'[4]1. Mesures'!$A$2:$G$116,6,0)</f>
        <v>OS 1.1</v>
      </c>
      <c r="C22" s="249" t="str">
        <f>VLOOKUP($D22,'[4]1. Mesures'!$A$2:$G$116,7,0)</f>
        <v>OO 1.1.1</v>
      </c>
      <c r="D22" s="249" t="str">
        <f t="shared" si="2"/>
        <v>M 1.2</v>
      </c>
      <c r="E22" s="250" t="s">
        <v>726</v>
      </c>
      <c r="F22" s="249" t="str">
        <f>VLOOKUP(E22,'5.2 Actions'!$A$3:$B$720,2,0)</f>
        <v>Aménager des berges naturelles et d’une promenade entre la Rue du Charroi et la Rue des Vétérinaires – Etude (voir également fiche M6.6)</v>
      </c>
      <c r="G22" s="251" t="str">
        <f>VLOOKUP(E22,'[4]5.2 Actions'!$A$3:$D$718,4,0)</f>
        <v>SEN</v>
      </c>
      <c r="H22" s="252">
        <f>VLOOKUP($E22,'5.1 Budget'!$A$4:$H$729,2,0)</f>
        <v>0</v>
      </c>
      <c r="I22" s="252">
        <f>VLOOKUP($E22,'5.1 Budget'!$A$4:$H$729,3,0)</f>
        <v>0</v>
      </c>
      <c r="J22" s="252">
        <f>VLOOKUP($E22,'5.1 Budget'!$A$4:$H$729,4,0)</f>
        <v>0</v>
      </c>
      <c r="K22" s="252">
        <f>VLOOKUP($E22,'5.1 Budget'!$A$4:$H$729,5,0)</f>
        <v>0</v>
      </c>
      <c r="L22" s="252">
        <f>VLOOKUP($E22,'5.1 Budget'!$A$4:$H$729,6,0)</f>
        <v>150000</v>
      </c>
      <c r="M22" s="252">
        <f>VLOOKUP($E22,'5.1 Budget'!$A$4:$H$729,7,0)</f>
        <v>0</v>
      </c>
      <c r="N22" s="252">
        <f>VLOOKUP($E22,'5.1 Budget'!$A$4:$H$729,8,0)</f>
        <v>150000</v>
      </c>
      <c r="O22" s="249"/>
      <c r="P22" s="249">
        <f>VLOOKUP($E22,'[4]5.1 Budget'!$A$4:$P$177,10,0)</f>
        <v>0</v>
      </c>
      <c r="Q22" s="249">
        <f>VLOOKUP($E22,'[4]5.1 Budget'!$A$4:$P$177,11,0)</f>
        <v>0</v>
      </c>
      <c r="R22" s="249">
        <f>VLOOKUP($E22,'[4]5.1 Budget'!$A$4:$P$177,12,0)</f>
        <v>0</v>
      </c>
      <c r="S22" s="249">
        <f>VLOOKUP($E22,'[4]5.1 Budget'!$A$4:$P$177,13,0)</f>
        <v>0</v>
      </c>
      <c r="T22" s="249">
        <f>VLOOKUP($E22,'[4]5.1 Budget'!$A$4:$P$177,14,0)</f>
        <v>0</v>
      </c>
      <c r="U22" s="249">
        <f t="shared" si="0"/>
        <v>0</v>
      </c>
      <c r="V22" t="str">
        <f>VLOOKUP(D22,'[4]1. Mesures'!$A$1:$B$116,2,0)</f>
        <v>Améliorer la qualité des berges et des lits du réseau hydrographique, créer des méandres et aménager des zones propices au développement de la faune et de la flore aquatiques</v>
      </c>
      <c r="W22" t="str">
        <f>VLOOKUP(B22,[1]HIERARCH!$A$1:$B$57,2,0)</f>
        <v>Assurer la gestion qualitative des masses d'eau de surface</v>
      </c>
      <c r="X22" t="str">
        <f>VLOOKUP(C22,[1]HIERARCH!$A$2:$B$57,2,0)</f>
        <v xml:space="preserve">Améliorer la qualité hydromorphologique et biologique des masses d'eau de surface </v>
      </c>
      <c r="Y22" t="str">
        <f t="shared" si="3"/>
        <v>Aménager des berges naturelles et d’une promenade entre la Rue du Charroi et la Rue des Vétérinaires – Etude (voir égale…</v>
      </c>
    </row>
    <row r="23" spans="1:25" hidden="1" x14ac:dyDescent="0.25">
      <c r="A23" s="249" t="str">
        <f t="shared" si="1"/>
        <v>1</v>
      </c>
      <c r="B23" s="249" t="str">
        <f>VLOOKUP($D23,'[4]1. Mesures'!$A$2:$G$116,6,0)</f>
        <v>OS 1.1</v>
      </c>
      <c r="C23" s="249" t="str">
        <f>VLOOKUP($D23,'[4]1. Mesures'!$A$2:$G$116,7,0)</f>
        <v>OO 1.1.1</v>
      </c>
      <c r="D23" s="249" t="str">
        <f t="shared" si="2"/>
        <v>M 1.2</v>
      </c>
      <c r="E23" s="250" t="s">
        <v>727</v>
      </c>
      <c r="F23" s="249" t="str">
        <f>VLOOKUP(E23,'5.2 Actions'!$A$3:$B$720,2,0)</f>
        <v>Améliorer l’hydromorphologie de la Senne entre la Rue du Rupel (aval du Pont Van Praet) et la Rampe du Lion (état actuel : berges bétonnées au niveau d’Elia, voire également le lit) - Etude</v>
      </c>
      <c r="G23" s="251" t="str">
        <f>VLOOKUP(E23,'[4]5.2 Actions'!$A$3:$D$718,4,0)</f>
        <v>SEN</v>
      </c>
      <c r="H23" s="252">
        <f>VLOOKUP($E23,'5.1 Budget'!$A$4:$H$729,2,0)</f>
        <v>0</v>
      </c>
      <c r="I23" s="252">
        <f>VLOOKUP($E23,'5.1 Budget'!$A$4:$H$729,3,0)</f>
        <v>0</v>
      </c>
      <c r="J23" s="252">
        <f>VLOOKUP($E23,'5.1 Budget'!$A$4:$H$729,4,0)</f>
        <v>0</v>
      </c>
      <c r="K23" s="252">
        <f>VLOOKUP($E23,'5.1 Budget'!$A$4:$H$729,5,0)</f>
        <v>0</v>
      </c>
      <c r="L23" s="252">
        <f>VLOOKUP($E23,'5.1 Budget'!$A$4:$H$729,6,0)</f>
        <v>0</v>
      </c>
      <c r="M23" s="252">
        <f>VLOOKUP($E23,'5.1 Budget'!$A$4:$H$729,7,0)</f>
        <v>50000</v>
      </c>
      <c r="N23" s="252">
        <f>VLOOKUP($E23,'5.1 Budget'!$A$4:$H$729,8,0)</f>
        <v>50000</v>
      </c>
      <c r="O23" s="249"/>
      <c r="P23" s="249">
        <f>VLOOKUP($E23,'[4]5.1 Budget'!$A$4:$P$177,10,0)</f>
        <v>0</v>
      </c>
      <c r="Q23" s="249">
        <f>VLOOKUP($E23,'[4]5.1 Budget'!$A$4:$P$177,11,0)</f>
        <v>0</v>
      </c>
      <c r="R23" s="249">
        <f>VLOOKUP($E23,'[4]5.1 Budget'!$A$4:$P$177,12,0)</f>
        <v>0</v>
      </c>
      <c r="S23" s="249">
        <f>VLOOKUP($E23,'[4]5.1 Budget'!$A$4:$P$177,13,0)</f>
        <v>0</v>
      </c>
      <c r="T23" s="249">
        <f>VLOOKUP($E23,'[4]5.1 Budget'!$A$4:$P$177,14,0)</f>
        <v>0</v>
      </c>
      <c r="U23" s="249">
        <f t="shared" si="0"/>
        <v>0</v>
      </c>
      <c r="V23" t="str">
        <f>VLOOKUP(D23,'[4]1. Mesures'!$A$1:$B$116,2,0)</f>
        <v>Améliorer la qualité des berges et des lits du réseau hydrographique, créer des méandres et aménager des zones propices au développement de la faune et de la flore aquatiques</v>
      </c>
      <c r="W23" t="str">
        <f>VLOOKUP(B23,[1]HIERARCH!$A$1:$B$57,2,0)</f>
        <v>Assurer la gestion qualitative des masses d'eau de surface</v>
      </c>
      <c r="X23" t="str">
        <f>VLOOKUP(C23,[1]HIERARCH!$A$2:$B$57,2,0)</f>
        <v xml:space="preserve">Améliorer la qualité hydromorphologique et biologique des masses d'eau de surface </v>
      </c>
      <c r="Y23" t="str">
        <f t="shared" si="3"/>
        <v>Améliorer l’hydromorphologie de la Senne entre la Rue du Rupel (aval du Pont Van Praet) et la Rampe du Lion (état actuel…</v>
      </c>
    </row>
    <row r="24" spans="1:25" hidden="1" x14ac:dyDescent="0.25">
      <c r="A24" s="249" t="str">
        <f t="shared" si="1"/>
        <v>1</v>
      </c>
      <c r="B24" s="249" t="str">
        <f>VLOOKUP($D24,'[4]1. Mesures'!$A$2:$G$116,6,0)</f>
        <v>OS 1.1</v>
      </c>
      <c r="C24" s="249" t="str">
        <f>VLOOKUP($D24,'[4]1. Mesures'!$A$2:$G$116,7,0)</f>
        <v>OO 1.1.1</v>
      </c>
      <c r="D24" s="249" t="str">
        <f t="shared" si="2"/>
        <v>M 1.2</v>
      </c>
      <c r="E24" s="250" t="s">
        <v>701</v>
      </c>
      <c r="F24" s="249" t="str">
        <f>VLOOKUP(E24,'5.2 Actions'!$A$3:$B$720,2,0)</f>
        <v>Améliorer l’hydromorphologie de la Senne entre la Rue du Rupel (aval du Pont Van Praet) et la Rampe du Lion (état actuel : berges bétonnées au niveau d’Elia, voire également le lit) - Travaux</v>
      </c>
      <c r="G24" s="251" t="str">
        <f>VLOOKUP(E24,'[4]5.2 Actions'!$A$3:$D$718,4,0)</f>
        <v>SEN</v>
      </c>
      <c r="H24" s="252">
        <f>VLOOKUP($E24,'5.1 Budget'!$A$4:$H$729,2,0)</f>
        <v>0</v>
      </c>
      <c r="I24" s="252">
        <f>VLOOKUP($E24,'5.1 Budget'!$A$4:$H$729,3,0)</f>
        <v>0</v>
      </c>
      <c r="J24" s="252">
        <f>VLOOKUP($E24,'5.1 Budget'!$A$4:$H$729,4,0)</f>
        <v>0</v>
      </c>
      <c r="K24" s="252">
        <f>VLOOKUP($E24,'5.1 Budget'!$A$4:$H$729,5,0)</f>
        <v>0</v>
      </c>
      <c r="L24" s="252">
        <f>VLOOKUP($E24,'5.1 Budget'!$A$4:$H$729,6,0)</f>
        <v>0</v>
      </c>
      <c r="M24" s="252">
        <f>VLOOKUP($E24,'5.1 Budget'!$A$4:$H$729,7,0)</f>
        <v>0</v>
      </c>
      <c r="N24" s="252">
        <f>VLOOKUP($E24,'5.1 Budget'!$A$4:$H$729,8,0)</f>
        <v>0</v>
      </c>
      <c r="O24" s="249"/>
      <c r="P24" s="249">
        <f>VLOOKUP($E24,'[4]5.1 Budget'!$A$4:$P$177,10,0)</f>
        <v>0</v>
      </c>
      <c r="Q24" s="249">
        <f>VLOOKUP($E24,'[4]5.1 Budget'!$A$4:$P$177,11,0)</f>
        <v>0</v>
      </c>
      <c r="R24" s="249">
        <f>VLOOKUP($E24,'[4]5.1 Budget'!$A$4:$P$177,12,0)</f>
        <v>0</v>
      </c>
      <c r="S24" s="249">
        <f>VLOOKUP($E24,'[4]5.1 Budget'!$A$4:$P$177,13,0)</f>
        <v>0</v>
      </c>
      <c r="T24" s="249">
        <f>VLOOKUP($E24,'[4]5.1 Budget'!$A$4:$P$177,14,0)</f>
        <v>0</v>
      </c>
      <c r="U24" s="249">
        <f t="shared" si="0"/>
        <v>0</v>
      </c>
      <c r="V24" t="str">
        <f>VLOOKUP(D24,'[4]1. Mesures'!$A$1:$B$116,2,0)</f>
        <v>Améliorer la qualité des berges et des lits du réseau hydrographique, créer des méandres et aménager des zones propices au développement de la faune et de la flore aquatiques</v>
      </c>
      <c r="W24" t="str">
        <f>VLOOKUP(B24,[1]HIERARCH!$A$1:$B$57,2,0)</f>
        <v>Assurer la gestion qualitative des masses d'eau de surface</v>
      </c>
      <c r="X24" t="str">
        <f>VLOOKUP(C24,[1]HIERARCH!$A$2:$B$57,2,0)</f>
        <v xml:space="preserve">Améliorer la qualité hydromorphologique et biologique des masses d'eau de surface </v>
      </c>
      <c r="Y24" t="str">
        <f t="shared" si="3"/>
        <v>Améliorer l’hydromorphologie de la Senne entre la Rue du Rupel (aval du Pont Van Praet) et la Rampe du Lion (état actuel…</v>
      </c>
    </row>
    <row r="25" spans="1:25" hidden="1" x14ac:dyDescent="0.25">
      <c r="A25" s="249" t="str">
        <f t="shared" si="1"/>
        <v>1</v>
      </c>
      <c r="B25" s="249" t="str">
        <f>VLOOKUP($D25,'[4]1. Mesures'!$A$2:$G$116,6,0)</f>
        <v>OS 1.1</v>
      </c>
      <c r="C25" s="249" t="str">
        <f>VLOOKUP($D25,'[4]1. Mesures'!$A$2:$G$116,7,0)</f>
        <v>OO 1.1.1</v>
      </c>
      <c r="D25" s="249" t="str">
        <f t="shared" si="2"/>
        <v>M 1.2</v>
      </c>
      <c r="E25" s="250" t="s">
        <v>702</v>
      </c>
      <c r="F25" s="249" t="str">
        <f>VLOOKUP(E25,'5.2 Actions'!$A$3:$B$720,2,0)</f>
        <v>Aménager les berges et lit naturels entre la Chaussée de Buda et la sortie de la région, tenant compte du curage prévu de ce tronçon - Etude</v>
      </c>
      <c r="G25" s="251" t="str">
        <f>VLOOKUP(E25,'[4]5.2 Actions'!$A$3:$D$718,4,0)</f>
        <v>SEN</v>
      </c>
      <c r="H25" s="252">
        <f>VLOOKUP($E25,'5.1 Budget'!$A$4:$H$729,2,0)</f>
        <v>0</v>
      </c>
      <c r="I25" s="252">
        <f>VLOOKUP($E25,'5.1 Budget'!$A$4:$H$729,3,0)</f>
        <v>0</v>
      </c>
      <c r="J25" s="252">
        <f>VLOOKUP($E25,'5.1 Budget'!$A$4:$H$729,4,0)</f>
        <v>0</v>
      </c>
      <c r="K25" s="252">
        <f>VLOOKUP($E25,'5.1 Budget'!$A$4:$H$729,5,0)</f>
        <v>0</v>
      </c>
      <c r="L25" s="252">
        <f>VLOOKUP($E25,'5.1 Budget'!$A$4:$H$729,6,0)</f>
        <v>0</v>
      </c>
      <c r="M25" s="252">
        <f>VLOOKUP($E25,'5.1 Budget'!$A$4:$H$729,7,0)</f>
        <v>0</v>
      </c>
      <c r="N25" s="252">
        <f>VLOOKUP($E25,'5.1 Budget'!$A$4:$H$729,8,0)</f>
        <v>0</v>
      </c>
      <c r="O25" s="249"/>
      <c r="P25" s="249">
        <f>VLOOKUP($E25,'[4]5.1 Budget'!$A$4:$P$177,10,0)</f>
        <v>0</v>
      </c>
      <c r="Q25" s="249">
        <f>VLOOKUP($E25,'[4]5.1 Budget'!$A$4:$P$177,11,0)</f>
        <v>0</v>
      </c>
      <c r="R25" s="249">
        <f>VLOOKUP($E25,'[4]5.1 Budget'!$A$4:$P$177,12,0)</f>
        <v>0</v>
      </c>
      <c r="S25" s="249">
        <f>VLOOKUP($E25,'[4]5.1 Budget'!$A$4:$P$177,13,0)</f>
        <v>0</v>
      </c>
      <c r="T25" s="249">
        <f>VLOOKUP($E25,'[4]5.1 Budget'!$A$4:$P$177,14,0)</f>
        <v>0</v>
      </c>
      <c r="U25" s="249">
        <f t="shared" si="0"/>
        <v>0</v>
      </c>
      <c r="V25" t="str">
        <f>VLOOKUP(D25,'[4]1. Mesures'!$A$1:$B$116,2,0)</f>
        <v>Améliorer la qualité des berges et des lits du réseau hydrographique, créer des méandres et aménager des zones propices au développement de la faune et de la flore aquatiques</v>
      </c>
      <c r="W25" t="str">
        <f>VLOOKUP(B25,[1]HIERARCH!$A$1:$B$57,2,0)</f>
        <v>Assurer la gestion qualitative des masses d'eau de surface</v>
      </c>
      <c r="X25" t="str">
        <f>VLOOKUP(C25,[1]HIERARCH!$A$2:$B$57,2,0)</f>
        <v xml:space="preserve">Améliorer la qualité hydromorphologique et biologique des masses d'eau de surface </v>
      </c>
      <c r="Y25" t="str">
        <f t="shared" si="3"/>
        <v>Aménager les berges et lit naturels entre la Chaussée de Buda et la sortie de la région, tenant compte du curage prévu d…</v>
      </c>
    </row>
    <row r="26" spans="1:25" hidden="1" x14ac:dyDescent="0.25">
      <c r="A26" s="249" t="str">
        <f t="shared" si="1"/>
        <v>1</v>
      </c>
      <c r="B26" s="249" t="str">
        <f>VLOOKUP($D26,'[4]1. Mesures'!$A$2:$G$116,6,0)</f>
        <v>OS 1.1</v>
      </c>
      <c r="C26" s="249" t="str">
        <f>VLOOKUP($D26,'[4]1. Mesures'!$A$2:$G$116,7,0)</f>
        <v>OO 1.1.1</v>
      </c>
      <c r="D26" s="249" t="str">
        <f t="shared" si="2"/>
        <v>M 1.2</v>
      </c>
      <c r="E26" s="250" t="s">
        <v>703</v>
      </c>
      <c r="F26" s="249" t="str">
        <f>VLOOKUP(E26,'5.2 Actions'!$A$3:$B$720,2,0)</f>
        <v>Aménager les berges et lit naturels entre la Chaussée de Buda et la sortie de la région, tenant compte du curage de ce tronçon - Travaux</v>
      </c>
      <c r="G26" s="251" t="str">
        <f>VLOOKUP(E26,'[4]5.2 Actions'!$A$3:$D$718,4,0)</f>
        <v>SEN</v>
      </c>
      <c r="H26" s="252">
        <f>VLOOKUP($E26,'5.1 Budget'!$A$4:$H$729,2,0)</f>
        <v>0</v>
      </c>
      <c r="I26" s="252">
        <f>VLOOKUP($E26,'5.1 Budget'!$A$4:$H$729,3,0)</f>
        <v>0</v>
      </c>
      <c r="J26" s="252">
        <f>VLOOKUP($E26,'5.1 Budget'!$A$4:$H$729,4,0)</f>
        <v>0</v>
      </c>
      <c r="K26" s="252">
        <f>VLOOKUP($E26,'5.1 Budget'!$A$4:$H$729,5,0)</f>
        <v>0</v>
      </c>
      <c r="L26" s="252">
        <f>VLOOKUP($E26,'5.1 Budget'!$A$4:$H$729,6,0)</f>
        <v>0</v>
      </c>
      <c r="M26" s="252">
        <f>VLOOKUP($E26,'5.1 Budget'!$A$4:$H$729,7,0)</f>
        <v>0</v>
      </c>
      <c r="N26" s="252">
        <f>VLOOKUP($E26,'5.1 Budget'!$A$4:$H$729,8,0)</f>
        <v>0</v>
      </c>
      <c r="O26" s="249"/>
      <c r="P26" s="249">
        <f>VLOOKUP($E26,'[4]5.1 Budget'!$A$4:$P$177,10,0)</f>
        <v>0</v>
      </c>
      <c r="Q26" s="249">
        <f>VLOOKUP($E26,'[4]5.1 Budget'!$A$4:$P$177,11,0)</f>
        <v>0</v>
      </c>
      <c r="R26" s="249">
        <f>VLOOKUP($E26,'[4]5.1 Budget'!$A$4:$P$177,12,0)</f>
        <v>0</v>
      </c>
      <c r="S26" s="249">
        <f>VLOOKUP($E26,'[4]5.1 Budget'!$A$4:$P$177,13,0)</f>
        <v>0</v>
      </c>
      <c r="T26" s="249">
        <f>VLOOKUP($E26,'[4]5.1 Budget'!$A$4:$P$177,14,0)</f>
        <v>0</v>
      </c>
      <c r="U26" s="249">
        <f t="shared" si="0"/>
        <v>0</v>
      </c>
      <c r="V26" t="str">
        <f>VLOOKUP(D26,'[4]1. Mesures'!$A$1:$B$116,2,0)</f>
        <v>Améliorer la qualité des berges et des lits du réseau hydrographique, créer des méandres et aménager des zones propices au développement de la faune et de la flore aquatiques</v>
      </c>
      <c r="W26" t="str">
        <f>VLOOKUP(B26,[1]HIERARCH!$A$1:$B$57,2,0)</f>
        <v>Assurer la gestion qualitative des masses d'eau de surface</v>
      </c>
      <c r="X26" t="str">
        <f>VLOOKUP(C26,[1]HIERARCH!$A$2:$B$57,2,0)</f>
        <v xml:space="preserve">Améliorer la qualité hydromorphologique et biologique des masses d'eau de surface </v>
      </c>
      <c r="Y26" t="str">
        <f t="shared" si="3"/>
        <v>Aménager les berges et lit naturels entre la Chaussée de Buda et la sortie de la région, tenant compte du curage de ce t…</v>
      </c>
    </row>
    <row r="27" spans="1:25" hidden="1" x14ac:dyDescent="0.25">
      <c r="A27" s="249" t="str">
        <f t="shared" si="1"/>
        <v>1</v>
      </c>
      <c r="B27" s="249" t="str">
        <f>VLOOKUP($D27,'[4]1. Mesures'!$A$2:$G$116,6,0)</f>
        <v>OS 1.1</v>
      </c>
      <c r="C27" s="249" t="str">
        <f>VLOOKUP($D27,'[4]1. Mesures'!$A$2:$G$116,7,0)</f>
        <v>OO 1.1.1</v>
      </c>
      <c r="D27" s="249" t="str">
        <f>"M"&amp;" "&amp;LEFT(E27,3)</f>
        <v>M 1.2</v>
      </c>
      <c r="E27" s="250" t="s">
        <v>704</v>
      </c>
      <c r="F27" s="249" t="str">
        <f>VLOOKUP(E27,'5.2 Actions'!$A$3:$B$720,2,0)</f>
        <v>Aménager de berges naturelles entre la Rue de la Bienvenue et le Boulevard International - Etude</v>
      </c>
      <c r="G27" s="251" t="str">
        <f>VLOOKUP(E27,'[4]5.2 Actions'!$A$3:$D$718,4,0)</f>
        <v>SEN</v>
      </c>
      <c r="H27" s="252">
        <f>VLOOKUP($E27,'5.1 Budget'!$A$4:$H$729,2,0)</f>
        <v>0</v>
      </c>
      <c r="I27" s="252">
        <f>VLOOKUP($E27,'5.1 Budget'!$A$4:$H$729,3,0)</f>
        <v>0</v>
      </c>
      <c r="J27" s="252">
        <f>VLOOKUP($E27,'5.1 Budget'!$A$4:$H$729,4,0)</f>
        <v>0</v>
      </c>
      <c r="K27" s="252">
        <f>VLOOKUP($E27,'5.1 Budget'!$A$4:$H$729,5,0)</f>
        <v>0</v>
      </c>
      <c r="L27" s="252">
        <f>VLOOKUP($E27,'5.1 Budget'!$A$4:$H$729,6,0)</f>
        <v>0</v>
      </c>
      <c r="M27" s="252">
        <f>VLOOKUP($E27,'5.1 Budget'!$A$4:$H$729,7,0)</f>
        <v>0</v>
      </c>
      <c r="N27" s="252">
        <f>VLOOKUP($E27,'5.1 Budget'!$A$4:$H$729,8,0)</f>
        <v>0</v>
      </c>
      <c r="O27" s="249"/>
      <c r="P27" s="249">
        <f>VLOOKUP($E27,'[4]5.1 Budget'!$A$4:$P$177,10,0)</f>
        <v>0</v>
      </c>
      <c r="Q27" s="249">
        <f>VLOOKUP($E27,'[4]5.1 Budget'!$A$4:$P$177,11,0)</f>
        <v>0</v>
      </c>
      <c r="R27" s="249">
        <f>VLOOKUP($E27,'[4]5.1 Budget'!$A$4:$P$177,12,0)</f>
        <v>0</v>
      </c>
      <c r="S27" s="249">
        <f>VLOOKUP($E27,'[4]5.1 Budget'!$A$4:$P$177,13,0)</f>
        <v>0</v>
      </c>
      <c r="T27" s="249">
        <f>VLOOKUP($E27,'[4]5.1 Budget'!$A$4:$P$177,14,0)</f>
        <v>0</v>
      </c>
      <c r="U27" s="249">
        <f t="shared" si="0"/>
        <v>0</v>
      </c>
      <c r="V27" t="str">
        <f>VLOOKUP(D27,'[4]1. Mesures'!$A$1:$B$116,2,0)</f>
        <v>Améliorer la qualité des berges et des lits du réseau hydrographique, créer des méandres et aménager des zones propices au développement de la faune et de la flore aquatiques</v>
      </c>
      <c r="W27" t="str">
        <f>VLOOKUP(B27,[1]HIERARCH!$A$1:$B$57,2,0)</f>
        <v>Assurer la gestion qualitative des masses d'eau de surface</v>
      </c>
      <c r="X27" t="str">
        <f>VLOOKUP(C27,[1]HIERARCH!$A$2:$B$57,2,0)</f>
        <v xml:space="preserve">Améliorer la qualité hydromorphologique et biologique des masses d'eau de surface </v>
      </c>
      <c r="Y27" t="str">
        <f t="shared" si="3"/>
        <v>Aménager de berges naturelles entre la Rue de la Bienvenue et le Boulevard International - Etude…</v>
      </c>
    </row>
    <row r="28" spans="1:25" hidden="1" x14ac:dyDescent="0.25">
      <c r="A28" s="249" t="str">
        <f t="shared" si="1"/>
        <v>1</v>
      </c>
      <c r="B28" s="249" t="str">
        <f>VLOOKUP($D28,'[4]1. Mesures'!$A$2:$G$116,6,0)</f>
        <v>OS 1.1</v>
      </c>
      <c r="C28" s="249" t="str">
        <f>VLOOKUP($D28,'[4]1. Mesures'!$A$2:$G$116,7,0)</f>
        <v>OO 1.1.1</v>
      </c>
      <c r="D28" s="249" t="str">
        <f t="shared" si="2"/>
        <v>M 1.2</v>
      </c>
      <c r="E28" s="250" t="s">
        <v>705</v>
      </c>
      <c r="F28" s="249" t="str">
        <f>VLOOKUP(E28,'5.2 Actions'!$A$3:$B$720,2,0)</f>
        <v>Travaux pour aménager une zone humide le long de la Woluwe au niveau de l’étang rond, Parc de la Woluwe – Etude</v>
      </c>
      <c r="G28" s="251" t="str">
        <f>VLOOKUP(E28,'[4]5.2 Actions'!$A$3:$D$718,4,0)</f>
        <v>WOL</v>
      </c>
      <c r="H28" s="252">
        <f>VLOOKUP($E28,'5.1 Budget'!$A$4:$H$729,2,0)</f>
        <v>90000</v>
      </c>
      <c r="I28" s="252">
        <f>VLOOKUP($E28,'5.1 Budget'!$A$4:$H$729,3,0)</f>
        <v>0</v>
      </c>
      <c r="J28" s="252">
        <f>VLOOKUP($E28,'5.1 Budget'!$A$4:$H$729,4,0)</f>
        <v>0</v>
      </c>
      <c r="K28" s="252">
        <f>VLOOKUP($E28,'5.1 Budget'!$A$4:$H$729,5,0)</f>
        <v>0</v>
      </c>
      <c r="L28" s="252">
        <f>VLOOKUP($E28,'5.1 Budget'!$A$4:$H$729,6,0)</f>
        <v>0</v>
      </c>
      <c r="M28" s="252">
        <f>VLOOKUP($E28,'5.1 Budget'!$A$4:$H$729,7,0)</f>
        <v>0</v>
      </c>
      <c r="N28" s="252">
        <f>VLOOKUP($E28,'5.1 Budget'!$A$4:$H$729,8,0)</f>
        <v>90000</v>
      </c>
      <c r="O28" s="249"/>
      <c r="P28" s="249">
        <f>VLOOKUP($E28,'[4]5.1 Budget'!$A$4:$P$177,10,0)</f>
        <v>0</v>
      </c>
      <c r="Q28" s="249">
        <f>VLOOKUP($E28,'[4]5.1 Budget'!$A$4:$P$177,11,0)</f>
        <v>0</v>
      </c>
      <c r="R28" s="249">
        <f>VLOOKUP($E28,'[4]5.1 Budget'!$A$4:$P$177,12,0)</f>
        <v>0</v>
      </c>
      <c r="S28" s="249">
        <f>VLOOKUP($E28,'[4]5.1 Budget'!$A$4:$P$177,13,0)</f>
        <v>0</v>
      </c>
      <c r="T28" s="249">
        <f>VLOOKUP($E28,'[4]5.1 Budget'!$A$4:$P$177,14,0)</f>
        <v>0</v>
      </c>
      <c r="U28" s="249">
        <f t="shared" si="0"/>
        <v>0</v>
      </c>
      <c r="V28" t="str">
        <f>VLOOKUP(D28,'[4]1. Mesures'!$A$1:$B$116,2,0)</f>
        <v>Améliorer la qualité des berges et des lits du réseau hydrographique, créer des méandres et aménager des zones propices au développement de la faune et de la flore aquatiques</v>
      </c>
      <c r="W28" t="str">
        <f>VLOOKUP(B28,[1]HIERARCH!$A$1:$B$57,2,0)</f>
        <v>Assurer la gestion qualitative des masses d'eau de surface</v>
      </c>
      <c r="X28" t="str">
        <f>VLOOKUP(C28,[1]HIERARCH!$A$2:$B$57,2,0)</f>
        <v xml:space="preserve">Améliorer la qualité hydromorphologique et biologique des masses d'eau de surface </v>
      </c>
      <c r="Y28" t="str">
        <f t="shared" si="3"/>
        <v>Travaux pour aménager une zone humide le long de la Woluwe au niveau de l’étang rond, Parc de la Woluwe – Etude…</v>
      </c>
    </row>
    <row r="29" spans="1:25" hidden="1" x14ac:dyDescent="0.25">
      <c r="A29" s="249" t="str">
        <f t="shared" si="1"/>
        <v>1</v>
      </c>
      <c r="B29" s="249" t="str">
        <f>VLOOKUP($D29,'[4]1. Mesures'!$A$2:$G$116,6,0)</f>
        <v>OS 1.1</v>
      </c>
      <c r="C29" s="249" t="str">
        <f>VLOOKUP($D29,'[4]1. Mesures'!$A$2:$G$116,7,0)</f>
        <v>OO 1.1.1</v>
      </c>
      <c r="D29" s="249" t="str">
        <f t="shared" si="2"/>
        <v>M 1.2</v>
      </c>
      <c r="E29" s="250" t="s">
        <v>706</v>
      </c>
      <c r="F29" s="249" t="str">
        <f>VLOOKUP(E29,'5.2 Actions'!$A$3:$B$720,2,0)</f>
        <v>Travaux pour aménager une zone humide le long de la Woluwe au niveau de l’étang rond, Parc de la Woluwe – Travaux</v>
      </c>
      <c r="G29" s="251" t="str">
        <f>VLOOKUP(E29,'[4]5.2 Actions'!$A$3:$D$718,4,0)</f>
        <v>WOL</v>
      </c>
      <c r="H29" s="252">
        <f>VLOOKUP($E29,'5.1 Budget'!$A$4:$H$729,2,0)</f>
        <v>0</v>
      </c>
      <c r="I29" s="252">
        <f>VLOOKUP($E29,'5.1 Budget'!$A$4:$H$729,3,0)</f>
        <v>600000</v>
      </c>
      <c r="J29" s="252">
        <f>VLOOKUP($E29,'5.1 Budget'!$A$4:$H$729,4,0)</f>
        <v>0</v>
      </c>
      <c r="K29" s="252">
        <f>VLOOKUP($E29,'5.1 Budget'!$A$4:$H$729,5,0)</f>
        <v>0</v>
      </c>
      <c r="L29" s="252">
        <f>VLOOKUP($E29,'5.1 Budget'!$A$4:$H$729,6,0)</f>
        <v>0</v>
      </c>
      <c r="M29" s="252">
        <f>VLOOKUP($E29,'5.1 Budget'!$A$4:$H$729,7,0)</f>
        <v>0</v>
      </c>
      <c r="N29" s="252">
        <f>VLOOKUP($E29,'5.1 Budget'!$A$4:$H$729,8,0)</f>
        <v>600000</v>
      </c>
      <c r="O29" s="249"/>
      <c r="P29" s="249">
        <f>VLOOKUP($E29,'[4]5.1 Budget'!$A$4:$P$177,10,0)</f>
        <v>0</v>
      </c>
      <c r="Q29" s="249">
        <f>VLOOKUP($E29,'[4]5.1 Budget'!$A$4:$P$177,11,0)</f>
        <v>0</v>
      </c>
      <c r="R29" s="249">
        <f>VLOOKUP($E29,'[4]5.1 Budget'!$A$4:$P$177,12,0)</f>
        <v>0</v>
      </c>
      <c r="S29" s="249">
        <f>VLOOKUP($E29,'[4]5.1 Budget'!$A$4:$P$177,13,0)</f>
        <v>0</v>
      </c>
      <c r="T29" s="249">
        <f>VLOOKUP($E29,'[4]5.1 Budget'!$A$4:$P$177,14,0)</f>
        <v>0</v>
      </c>
      <c r="U29" s="249">
        <f t="shared" si="0"/>
        <v>0</v>
      </c>
      <c r="V29" t="str">
        <f>VLOOKUP(D29,'[4]1. Mesures'!$A$1:$B$116,2,0)</f>
        <v>Améliorer la qualité des berges et des lits du réseau hydrographique, créer des méandres et aménager des zones propices au développement de la faune et de la flore aquatiques</v>
      </c>
      <c r="W29" t="str">
        <f>VLOOKUP(B29,[1]HIERARCH!$A$1:$B$57,2,0)</f>
        <v>Assurer la gestion qualitative des masses d'eau de surface</v>
      </c>
      <c r="X29" t="str">
        <f>VLOOKUP(C29,[1]HIERARCH!$A$2:$B$57,2,0)</f>
        <v xml:space="preserve">Améliorer la qualité hydromorphologique et biologique des masses d'eau de surface </v>
      </c>
      <c r="Y29" t="str">
        <f t="shared" si="3"/>
        <v>Travaux pour aménager une zone humide le long de la Woluwe au niveau de l’étang rond, Parc de la Woluwe – Travaux…</v>
      </c>
    </row>
    <row r="30" spans="1:25" hidden="1" x14ac:dyDescent="0.25">
      <c r="A30" s="249" t="str">
        <f t="shared" si="1"/>
        <v>1</v>
      </c>
      <c r="B30" s="249" t="str">
        <f>VLOOKUP($D30,'[4]1. Mesures'!$A$2:$G$116,6,0)</f>
        <v>OS 1.1</v>
      </c>
      <c r="C30" s="249" t="str">
        <f>VLOOKUP($D30,'[4]1. Mesures'!$A$2:$G$116,7,0)</f>
        <v>OO 1.1.1</v>
      </c>
      <c r="D30" s="249" t="str">
        <f t="shared" si="2"/>
        <v>M 1.2</v>
      </c>
      <c r="E30" s="250" t="s">
        <v>707</v>
      </c>
      <c r="F30" s="249" t="str">
        <f>VLOOKUP(E30,'5.2 Actions'!$A$3:$B$720,2,0)</f>
        <v xml:space="preserve">Réaliser une étude pour l’aménagement de berges naturelles sur la Woluwe entre l’Avenue Debecker et l’Avenue Vandervelde </v>
      </c>
      <c r="G30" s="251" t="str">
        <f>VLOOKUP(E30,'[4]5.2 Actions'!$A$3:$D$718,4,0)</f>
        <v>WOL</v>
      </c>
      <c r="H30" s="252">
        <f>VLOOKUP($E30,'5.1 Budget'!$A$4:$H$729,2,0)</f>
        <v>0</v>
      </c>
      <c r="I30" s="252">
        <f>VLOOKUP($E30,'5.1 Budget'!$A$4:$H$729,3,0)</f>
        <v>0</v>
      </c>
      <c r="J30" s="252">
        <f>VLOOKUP($E30,'5.1 Budget'!$A$4:$H$729,4,0)</f>
        <v>0</v>
      </c>
      <c r="K30" s="252">
        <f>VLOOKUP($E30,'5.1 Budget'!$A$4:$H$729,5,0)</f>
        <v>0</v>
      </c>
      <c r="L30" s="252">
        <f>VLOOKUP($E30,'5.1 Budget'!$A$4:$H$729,6,0)</f>
        <v>0</v>
      </c>
      <c r="M30" s="252">
        <f>VLOOKUP($E30,'5.1 Budget'!$A$4:$H$729,7,0)</f>
        <v>0</v>
      </c>
      <c r="N30" s="252">
        <f>VLOOKUP($E30,'5.1 Budget'!$A$4:$H$729,8,0)</f>
        <v>0</v>
      </c>
      <c r="O30" s="249"/>
      <c r="P30" s="249">
        <f>VLOOKUP($E30,'[4]5.1 Budget'!$A$4:$P$177,10,0)</f>
        <v>0</v>
      </c>
      <c r="Q30" s="249">
        <f>VLOOKUP($E30,'[4]5.1 Budget'!$A$4:$P$177,11,0)</f>
        <v>0</v>
      </c>
      <c r="R30" s="249">
        <f>VLOOKUP($E30,'[4]5.1 Budget'!$A$4:$P$177,12,0)</f>
        <v>0</v>
      </c>
      <c r="S30" s="249">
        <f>VLOOKUP($E30,'[4]5.1 Budget'!$A$4:$P$177,13,0)</f>
        <v>0</v>
      </c>
      <c r="T30" s="249">
        <f>VLOOKUP($E30,'[4]5.1 Budget'!$A$4:$P$177,14,0)</f>
        <v>0</v>
      </c>
      <c r="U30" s="249">
        <f t="shared" si="0"/>
        <v>0</v>
      </c>
      <c r="V30" t="str">
        <f>VLOOKUP(D30,'[4]1. Mesures'!$A$1:$B$116,2,0)</f>
        <v>Améliorer la qualité des berges et des lits du réseau hydrographique, créer des méandres et aménager des zones propices au développement de la faune et de la flore aquatiques</v>
      </c>
      <c r="W30" t="str">
        <f>VLOOKUP(B30,[1]HIERARCH!$A$1:$B$57,2,0)</f>
        <v>Assurer la gestion qualitative des masses d'eau de surface</v>
      </c>
      <c r="X30" t="str">
        <f>VLOOKUP(C30,[1]HIERARCH!$A$2:$B$57,2,0)</f>
        <v xml:space="preserve">Améliorer la qualité hydromorphologique et biologique des masses d'eau de surface </v>
      </c>
      <c r="Y30" t="str">
        <f t="shared" si="3"/>
        <v>Réaliser une étude pour l’aménagement de berges naturelles sur la Woluwe entre l’Avenue Debecker et l’Avenue Vandervelde…</v>
      </c>
    </row>
    <row r="31" spans="1:25" hidden="1" x14ac:dyDescent="0.25">
      <c r="A31" s="249" t="str">
        <f t="shared" si="1"/>
        <v>1</v>
      </c>
      <c r="B31" s="249" t="str">
        <f>VLOOKUP($D31,'[4]1. Mesures'!$A$2:$G$116,6,0)</f>
        <v>OS 1.1</v>
      </c>
      <c r="C31" s="249" t="str">
        <f>VLOOKUP($D31,'[4]1. Mesures'!$A$2:$G$116,7,0)</f>
        <v>OO 1.1.1</v>
      </c>
      <c r="D31" s="249" t="str">
        <f t="shared" si="2"/>
        <v>M 1.2</v>
      </c>
      <c r="E31" s="250" t="s">
        <v>708</v>
      </c>
      <c r="F31" s="249" t="str">
        <f>VLOOKUP(E31,'5.2 Actions'!$A$3:$B$720,2,0)</f>
        <v>Aménager des berges naturelles sur la Woluwe entre l’Avenue Debecker et l’Avenue Vandervelde</v>
      </c>
      <c r="G31" s="251" t="str">
        <f>VLOOKUP(E31,'[4]5.2 Actions'!$A$3:$D$718,4,0)</f>
        <v>WOL</v>
      </c>
      <c r="H31" s="252">
        <f>VLOOKUP($E31,'5.1 Budget'!$A$4:$H$729,2,0)</f>
        <v>0</v>
      </c>
      <c r="I31" s="252">
        <f>VLOOKUP($E31,'5.1 Budget'!$A$4:$H$729,3,0)</f>
        <v>0</v>
      </c>
      <c r="J31" s="252">
        <f>VLOOKUP($E31,'5.1 Budget'!$A$4:$H$729,4,0)</f>
        <v>0</v>
      </c>
      <c r="K31" s="252">
        <f>VLOOKUP($E31,'5.1 Budget'!$A$4:$H$729,5,0)</f>
        <v>0</v>
      </c>
      <c r="L31" s="252">
        <f>VLOOKUP($E31,'5.1 Budget'!$A$4:$H$729,6,0)</f>
        <v>0</v>
      </c>
      <c r="M31" s="252">
        <f>VLOOKUP($E31,'5.1 Budget'!$A$4:$H$729,7,0)</f>
        <v>0</v>
      </c>
      <c r="N31" s="252">
        <f>VLOOKUP($E31,'5.1 Budget'!$A$4:$H$729,8,0)</f>
        <v>0</v>
      </c>
      <c r="O31" s="249"/>
      <c r="P31" s="249">
        <f>VLOOKUP($E31,'[4]5.1 Budget'!$A$4:$P$177,10,0)</f>
        <v>0</v>
      </c>
      <c r="Q31" s="249">
        <f>VLOOKUP($E31,'[4]5.1 Budget'!$A$4:$P$177,11,0)</f>
        <v>0</v>
      </c>
      <c r="R31" s="249">
        <f>VLOOKUP($E31,'[4]5.1 Budget'!$A$4:$P$177,12,0)</f>
        <v>0</v>
      </c>
      <c r="S31" s="249">
        <f>VLOOKUP($E31,'[4]5.1 Budget'!$A$4:$P$177,13,0)</f>
        <v>0</v>
      </c>
      <c r="T31" s="249">
        <f>VLOOKUP($E31,'[4]5.1 Budget'!$A$4:$P$177,14,0)</f>
        <v>0</v>
      </c>
      <c r="U31" s="249">
        <f t="shared" si="0"/>
        <v>0</v>
      </c>
      <c r="V31" t="str">
        <f>VLOOKUP(D31,'[4]1. Mesures'!$A$1:$B$116,2,0)</f>
        <v>Améliorer la qualité des berges et des lits du réseau hydrographique, créer des méandres et aménager des zones propices au développement de la faune et de la flore aquatiques</v>
      </c>
      <c r="W31" t="str">
        <f>VLOOKUP(B31,[1]HIERARCH!$A$1:$B$57,2,0)</f>
        <v>Assurer la gestion qualitative des masses d'eau de surface</v>
      </c>
      <c r="X31" t="str">
        <f>VLOOKUP(C31,[1]HIERARCH!$A$2:$B$57,2,0)</f>
        <v xml:space="preserve">Améliorer la qualité hydromorphologique et biologique des masses d'eau de surface </v>
      </c>
      <c r="Y31" t="str">
        <f t="shared" si="3"/>
        <v>Aménager des berges naturelles sur la Woluwe entre l’Avenue Debecker et l’Avenue Vandervelde…</v>
      </c>
    </row>
    <row r="32" spans="1:25" hidden="1" x14ac:dyDescent="0.25">
      <c r="A32" s="249" t="str">
        <f t="shared" si="1"/>
        <v>1</v>
      </c>
      <c r="B32" s="249" t="str">
        <f>VLOOKUP($D32,'[4]1. Mesures'!$A$2:$G$116,6,0)</f>
        <v>OS 1.1</v>
      </c>
      <c r="C32" s="249" t="str">
        <f>VLOOKUP($D32,'[4]1. Mesures'!$A$2:$G$116,7,0)</f>
        <v>OO 1.1.1</v>
      </c>
      <c r="D32" s="249" t="str">
        <f t="shared" si="2"/>
        <v>M 1.2</v>
      </c>
      <c r="E32" s="250" t="s">
        <v>709</v>
      </c>
      <c r="F32" s="249" t="str">
        <f>VLOOKUP(E32,'5.2 Actions'!$A$3:$B$720,2,0)</f>
        <v>Analyser les perspectives d’adoucissement de la pente des berges et d’augmentation de la sinuosité de la Woluwe entre le tronçon Vandervelde et l’Avenue Chapelle-aux-Champs</v>
      </c>
      <c r="G32" s="251" t="str">
        <f>VLOOKUP(E32,'[4]5.2 Actions'!$A$3:$D$718,4,0)</f>
        <v>WOL</v>
      </c>
      <c r="H32" s="252">
        <f>VLOOKUP($E32,'5.1 Budget'!$A$4:$H$729,2,0)</f>
        <v>0</v>
      </c>
      <c r="I32" s="252">
        <f>VLOOKUP($E32,'5.1 Budget'!$A$4:$H$729,3,0)</f>
        <v>0</v>
      </c>
      <c r="J32" s="252">
        <f>VLOOKUP($E32,'5.1 Budget'!$A$4:$H$729,4,0)</f>
        <v>0</v>
      </c>
      <c r="K32" s="252">
        <f>VLOOKUP($E32,'5.1 Budget'!$A$4:$H$729,5,0)</f>
        <v>0</v>
      </c>
      <c r="L32" s="252">
        <f>VLOOKUP($E32,'5.1 Budget'!$A$4:$H$729,6,0)</f>
        <v>0</v>
      </c>
      <c r="M32" s="252">
        <f>VLOOKUP($E32,'5.1 Budget'!$A$4:$H$729,7,0)</f>
        <v>0</v>
      </c>
      <c r="N32" s="252">
        <f>VLOOKUP($E32,'5.1 Budget'!$A$4:$H$729,8,0)</f>
        <v>0</v>
      </c>
      <c r="O32" s="249"/>
      <c r="P32" s="249">
        <f>VLOOKUP($E32,'[4]5.1 Budget'!$A$4:$P$177,10,0)</f>
        <v>0</v>
      </c>
      <c r="Q32" s="249">
        <f>VLOOKUP($E32,'[4]5.1 Budget'!$A$4:$P$177,11,0)</f>
        <v>0</v>
      </c>
      <c r="R32" s="249">
        <f>VLOOKUP($E32,'[4]5.1 Budget'!$A$4:$P$177,12,0)</f>
        <v>0</v>
      </c>
      <c r="S32" s="249">
        <f>VLOOKUP($E32,'[4]5.1 Budget'!$A$4:$P$177,13,0)</f>
        <v>0</v>
      </c>
      <c r="T32" s="249">
        <f>VLOOKUP($E32,'[4]5.1 Budget'!$A$4:$P$177,14,0)</f>
        <v>0</v>
      </c>
      <c r="U32" s="249">
        <f t="shared" si="0"/>
        <v>0</v>
      </c>
      <c r="V32" t="str">
        <f>VLOOKUP(D32,'[4]1. Mesures'!$A$1:$B$116,2,0)</f>
        <v>Améliorer la qualité des berges et des lits du réseau hydrographique, créer des méandres et aménager des zones propices au développement de la faune et de la flore aquatiques</v>
      </c>
      <c r="W32" t="str">
        <f>VLOOKUP(B32,[1]HIERARCH!$A$1:$B$57,2,0)</f>
        <v>Assurer la gestion qualitative des masses d'eau de surface</v>
      </c>
      <c r="X32" t="str">
        <f>VLOOKUP(C32,[1]HIERARCH!$A$2:$B$57,2,0)</f>
        <v xml:space="preserve">Améliorer la qualité hydromorphologique et biologique des masses d'eau de surface </v>
      </c>
      <c r="Y32" t="str">
        <f t="shared" si="3"/>
        <v>Analyser les perspectives d’adoucissement de la pente des berges et d’augmentation de la sinuosité de la Woluwe entre le…</v>
      </c>
    </row>
    <row r="33" spans="1:25" hidden="1" x14ac:dyDescent="0.25">
      <c r="A33" s="249" t="str">
        <f t="shared" si="1"/>
        <v>1</v>
      </c>
      <c r="B33" s="249" t="str">
        <f>VLOOKUP($D33,'[4]1. Mesures'!$A$2:$G$116,6,0)</f>
        <v>OS 1.1</v>
      </c>
      <c r="C33" s="249" t="str">
        <f>VLOOKUP($D33,'[4]1. Mesures'!$A$2:$G$116,7,0)</f>
        <v>OO 1.1.1</v>
      </c>
      <c r="D33" s="249" t="str">
        <f t="shared" si="2"/>
        <v>M 1.2</v>
      </c>
      <c r="E33" s="250" t="s">
        <v>710</v>
      </c>
      <c r="F33" s="249" t="str">
        <f>VLOOKUP(E33,'5.2 Actions'!$A$3:$B$720,2,0)</f>
        <v xml:space="preserve">Analyser les perspectives d’adoucissement de la pente des berges et d’augmentation de la sinuosité de la Woluwe au niveau du domaine de Val Duchesse </v>
      </c>
      <c r="G33" s="251" t="str">
        <f>VLOOKUP(E33,'[4]5.2 Actions'!$A$3:$D$718,4,0)</f>
        <v>WOL</v>
      </c>
      <c r="H33" s="252">
        <f>VLOOKUP($E33,'5.1 Budget'!$A$4:$H$729,2,0)</f>
        <v>0</v>
      </c>
      <c r="I33" s="252">
        <f>VLOOKUP($E33,'5.1 Budget'!$A$4:$H$729,3,0)</f>
        <v>0</v>
      </c>
      <c r="J33" s="252">
        <f>VLOOKUP($E33,'5.1 Budget'!$A$4:$H$729,4,0)</f>
        <v>0</v>
      </c>
      <c r="K33" s="252">
        <f>VLOOKUP($E33,'5.1 Budget'!$A$4:$H$729,5,0)</f>
        <v>0</v>
      </c>
      <c r="L33" s="252">
        <f>VLOOKUP($E33,'5.1 Budget'!$A$4:$H$729,6,0)</f>
        <v>0</v>
      </c>
      <c r="M33" s="252">
        <f>VLOOKUP($E33,'5.1 Budget'!$A$4:$H$729,7,0)</f>
        <v>0</v>
      </c>
      <c r="N33" s="252">
        <f>VLOOKUP($E33,'5.1 Budget'!$A$4:$H$729,8,0)</f>
        <v>0</v>
      </c>
      <c r="O33" s="249"/>
      <c r="P33" s="249">
        <f>VLOOKUP($E33,'[4]5.1 Budget'!$A$4:$P$177,10,0)</f>
        <v>0</v>
      </c>
      <c r="Q33" s="249">
        <f>VLOOKUP($E33,'[4]5.1 Budget'!$A$4:$P$177,11,0)</f>
        <v>0</v>
      </c>
      <c r="R33" s="249">
        <f>VLOOKUP($E33,'[4]5.1 Budget'!$A$4:$P$177,12,0)</f>
        <v>0</v>
      </c>
      <c r="S33" s="249">
        <f>VLOOKUP($E33,'[4]5.1 Budget'!$A$4:$P$177,13,0)</f>
        <v>0</v>
      </c>
      <c r="T33" s="249">
        <f>VLOOKUP($E33,'[4]5.1 Budget'!$A$4:$P$177,14,0)</f>
        <v>0</v>
      </c>
      <c r="U33" s="249">
        <f t="shared" si="0"/>
        <v>0</v>
      </c>
      <c r="V33" t="str">
        <f>VLOOKUP(D33,'[4]1. Mesures'!$A$1:$B$116,2,0)</f>
        <v>Améliorer la qualité des berges et des lits du réseau hydrographique, créer des méandres et aménager des zones propices au développement de la faune et de la flore aquatiques</v>
      </c>
      <c r="W33" t="str">
        <f>VLOOKUP(B33,[1]HIERARCH!$A$1:$B$57,2,0)</f>
        <v>Assurer la gestion qualitative des masses d'eau de surface</v>
      </c>
      <c r="X33" t="str">
        <f>VLOOKUP(C33,[1]HIERARCH!$A$2:$B$57,2,0)</f>
        <v xml:space="preserve">Améliorer la qualité hydromorphologique et biologique des masses d'eau de surface </v>
      </c>
      <c r="Y33" t="str">
        <f t="shared" si="3"/>
        <v>Analyser les perspectives d’adoucissement de la pente des berges et d’augmentation de la sinuosité de la Woluwe au nivea…</v>
      </c>
    </row>
    <row r="34" spans="1:25" hidden="1" x14ac:dyDescent="0.25">
      <c r="A34" s="249" t="str">
        <f t="shared" si="1"/>
        <v>1</v>
      </c>
      <c r="B34" s="249" t="str">
        <f>VLOOKUP($D34,'[4]1. Mesures'!$A$2:$G$116,6,0)</f>
        <v>OS 1.1</v>
      </c>
      <c r="C34" s="249" t="str">
        <f>VLOOKUP($D34,'[4]1. Mesures'!$A$2:$G$116,7,0)</f>
        <v>OO 1.1.1</v>
      </c>
      <c r="D34" s="249" t="str">
        <f t="shared" si="2"/>
        <v>M 1.2</v>
      </c>
      <c r="E34" s="250" t="s">
        <v>712</v>
      </c>
      <c r="F34" s="249" t="str">
        <f>VLOOKUP(E34,'5.2 Actions'!$A$3:$B$720,2,0)</f>
        <v>Réaliser une étude de faisabilité pour l’installation d’un dispositif-test d’île flottante/radeaux végétalisés (cf. aussi M 5.21)</v>
      </c>
      <c r="G34" s="251" t="str">
        <f>VLOOKUP(E34,'[4]5.2 Actions'!$A$3:$D$718,4,0)</f>
        <v>CAN</v>
      </c>
      <c r="H34" s="252">
        <f>VLOOKUP($E34,'5.1 Budget'!$A$4:$H$729,2,0)</f>
        <v>0</v>
      </c>
      <c r="I34" s="252">
        <f>VLOOKUP($E34,'5.1 Budget'!$A$4:$H$729,3,0)</f>
        <v>0</v>
      </c>
      <c r="J34" s="252">
        <f>VLOOKUP($E34,'5.1 Budget'!$A$4:$H$729,4,0)</f>
        <v>0</v>
      </c>
      <c r="K34" s="252">
        <f>VLOOKUP($E34,'5.1 Budget'!$A$4:$H$729,5,0)</f>
        <v>0</v>
      </c>
      <c r="L34" s="252">
        <f>VLOOKUP($E34,'5.1 Budget'!$A$4:$H$729,6,0)</f>
        <v>0</v>
      </c>
      <c r="M34" s="252">
        <f>VLOOKUP($E34,'5.1 Budget'!$A$4:$H$729,7,0)</f>
        <v>0</v>
      </c>
      <c r="N34" s="252">
        <f>VLOOKUP($E34,'5.1 Budget'!$A$4:$H$729,8,0)</f>
        <v>0</v>
      </c>
      <c r="O34" s="249"/>
      <c r="P34" s="249">
        <f>VLOOKUP($E34,'[4]5.1 Budget'!$A$4:$P$177,10,0)</f>
        <v>0</v>
      </c>
      <c r="Q34" s="249">
        <f>VLOOKUP($E34,'[4]5.1 Budget'!$A$4:$P$177,11,0)</f>
        <v>0</v>
      </c>
      <c r="R34" s="249">
        <f>VLOOKUP($E34,'[4]5.1 Budget'!$A$4:$P$177,12,0)</f>
        <v>0</v>
      </c>
      <c r="S34" s="249">
        <f>VLOOKUP($E34,'[4]5.1 Budget'!$A$4:$P$177,13,0)</f>
        <v>0</v>
      </c>
      <c r="T34" s="249">
        <f>VLOOKUP($E34,'[4]5.1 Budget'!$A$4:$P$177,14,0)</f>
        <v>0</v>
      </c>
      <c r="U34" s="249">
        <f t="shared" si="0"/>
        <v>0</v>
      </c>
      <c r="V34" t="str">
        <f>VLOOKUP(D34,'[4]1. Mesures'!$A$1:$B$116,2,0)</f>
        <v>Améliorer la qualité des berges et des lits du réseau hydrographique, créer des méandres et aménager des zones propices au développement de la faune et de la flore aquatiques</v>
      </c>
      <c r="W34" t="str">
        <f>VLOOKUP(B34,[1]HIERARCH!$A$1:$B$57,2,0)</f>
        <v>Assurer la gestion qualitative des masses d'eau de surface</v>
      </c>
      <c r="X34" t="str">
        <f>VLOOKUP(C34,[1]HIERARCH!$A$2:$B$57,2,0)</f>
        <v xml:space="preserve">Améliorer la qualité hydromorphologique et biologique des masses d'eau de surface </v>
      </c>
      <c r="Y34" t="str">
        <f t="shared" si="3"/>
        <v>Réaliser une étude de faisabilité pour l’installation d’un dispositif-test d’île flottante/radeaux végétalisés (cf. auss…</v>
      </c>
    </row>
    <row r="35" spans="1:25" hidden="1" x14ac:dyDescent="0.25">
      <c r="A35" s="249" t="str">
        <f t="shared" si="1"/>
        <v>1</v>
      </c>
      <c r="B35" s="249" t="str">
        <f>VLOOKUP($D35,'[4]1. Mesures'!$A$2:$G$116,6,0)</f>
        <v>OS 1.1</v>
      </c>
      <c r="C35" s="249" t="str">
        <f>VLOOKUP($D35,'[4]1. Mesures'!$A$2:$G$116,7,0)</f>
        <v>OO 1.1.1</v>
      </c>
      <c r="D35" s="249" t="str">
        <f t="shared" si="2"/>
        <v>M 1.2</v>
      </c>
      <c r="E35" s="250" t="s">
        <v>713</v>
      </c>
      <c r="F35" s="249" t="str">
        <f>VLOOKUP(E35,'5.2 Actions'!$A$3:$B$720,2,0)</f>
        <v>Installer un dispositif-test d’île flottante (en cours à hauteur du BRYC)</v>
      </c>
      <c r="G35" s="251" t="str">
        <f>VLOOKUP(E35,'[4]5.2 Actions'!$A$3:$D$718,4,0)</f>
        <v>CAN</v>
      </c>
      <c r="H35" s="252">
        <f>VLOOKUP($E35,'5.1 Budget'!$A$4:$H$729,2,0)</f>
        <v>200000</v>
      </c>
      <c r="I35" s="252">
        <f>VLOOKUP($E35,'5.1 Budget'!$A$4:$H$729,3,0)</f>
        <v>0</v>
      </c>
      <c r="J35" s="252">
        <f>VLOOKUP($E35,'5.1 Budget'!$A$4:$H$729,4,0)</f>
        <v>0</v>
      </c>
      <c r="K35" s="252">
        <f>VLOOKUP($E35,'5.1 Budget'!$A$4:$H$729,5,0)</f>
        <v>0</v>
      </c>
      <c r="L35" s="252">
        <f>VLOOKUP($E35,'5.1 Budget'!$A$4:$H$729,6,0)</f>
        <v>0</v>
      </c>
      <c r="M35" s="252">
        <f>VLOOKUP($E35,'5.1 Budget'!$A$4:$H$729,7,0)</f>
        <v>0</v>
      </c>
      <c r="N35" s="252">
        <f>VLOOKUP($E35,'5.1 Budget'!$A$4:$H$729,8,0)</f>
        <v>200000</v>
      </c>
      <c r="O35" s="249"/>
      <c r="P35" s="249">
        <f>VLOOKUP($E35,'[4]5.1 Budget'!$A$4:$P$177,10,0)</f>
        <v>0</v>
      </c>
      <c r="Q35" s="249">
        <f>VLOOKUP($E35,'[4]5.1 Budget'!$A$4:$P$177,11,0)</f>
        <v>0</v>
      </c>
      <c r="R35" s="249">
        <f>VLOOKUP($E35,'[4]5.1 Budget'!$A$4:$P$177,12,0)</f>
        <v>0</v>
      </c>
      <c r="S35" s="249">
        <f>VLOOKUP($E35,'[4]5.1 Budget'!$A$4:$P$177,13,0)</f>
        <v>0</v>
      </c>
      <c r="T35" s="249">
        <f>VLOOKUP($E35,'[4]5.1 Budget'!$A$4:$P$177,14,0)</f>
        <v>0</v>
      </c>
      <c r="U35" s="249">
        <f t="shared" si="0"/>
        <v>0</v>
      </c>
      <c r="V35" t="str">
        <f>VLOOKUP(D35,'[4]1. Mesures'!$A$1:$B$116,2,0)</f>
        <v>Améliorer la qualité des berges et des lits du réseau hydrographique, créer des méandres et aménager des zones propices au développement de la faune et de la flore aquatiques</v>
      </c>
      <c r="W35" t="str">
        <f>VLOOKUP(B35,[1]HIERARCH!$A$1:$B$57,2,0)</f>
        <v>Assurer la gestion qualitative des masses d'eau de surface</v>
      </c>
      <c r="X35" t="str">
        <f>VLOOKUP(C35,[1]HIERARCH!$A$2:$B$57,2,0)</f>
        <v xml:space="preserve">Améliorer la qualité hydromorphologique et biologique des masses d'eau de surface </v>
      </c>
      <c r="Y35" t="str">
        <f t="shared" si="3"/>
        <v>Installer un dispositif-test d’île flottante (en cours à hauteur du BRYC)…</v>
      </c>
    </row>
    <row r="36" spans="1:25" hidden="1" x14ac:dyDescent="0.25">
      <c r="A36" s="249" t="str">
        <f t="shared" si="1"/>
        <v>1</v>
      </c>
      <c r="B36" s="249" t="str">
        <f>VLOOKUP($D36,'[4]1. Mesures'!$A$2:$G$116,6,0)</f>
        <v>OS 1.1</v>
      </c>
      <c r="C36" s="249" t="str">
        <f>VLOOKUP($D36,'[4]1. Mesures'!$A$2:$G$116,7,0)</f>
        <v>OO 1.1.1</v>
      </c>
      <c r="D36" s="249" t="str">
        <f t="shared" si="2"/>
        <v>M 1.2</v>
      </c>
      <c r="E36" s="250" t="s">
        <v>714</v>
      </c>
      <c r="F36" s="249" t="str">
        <f>VLOOKUP(E36,'5.2 Actions'!$A$3:$B$720,2,0)</f>
        <v>Réaliser une étude de faisabilité pour l’aménagement d’une berge naturelle avec zone de lagunage et éventuelle annexe hydraulique en rive gauche du bassin de batelage</v>
      </c>
      <c r="G36" s="251" t="str">
        <f>VLOOKUP(E36,'[4]5.2 Actions'!$A$3:$D$718,4,0)</f>
        <v>CAN</v>
      </c>
      <c r="H36" s="252">
        <f>VLOOKUP($E36,'5.1 Budget'!$A$4:$H$729,2,0)</f>
        <v>0</v>
      </c>
      <c r="I36" s="252">
        <f>VLOOKUP($E36,'5.1 Budget'!$A$4:$H$729,3,0)</f>
        <v>30000</v>
      </c>
      <c r="J36" s="252">
        <f>VLOOKUP($E36,'5.1 Budget'!$A$4:$H$729,4,0)</f>
        <v>0</v>
      </c>
      <c r="K36" s="252">
        <f>VLOOKUP($E36,'5.1 Budget'!$A$4:$H$729,5,0)</f>
        <v>0</v>
      </c>
      <c r="L36" s="252">
        <f>VLOOKUP($E36,'5.1 Budget'!$A$4:$H$729,6,0)</f>
        <v>0</v>
      </c>
      <c r="M36" s="252">
        <f>VLOOKUP($E36,'5.1 Budget'!$A$4:$H$729,7,0)</f>
        <v>0</v>
      </c>
      <c r="N36" s="252">
        <f>VLOOKUP($E36,'5.1 Budget'!$A$4:$H$729,8,0)</f>
        <v>30000</v>
      </c>
      <c r="O36" s="249"/>
      <c r="P36" s="249">
        <f>VLOOKUP($E36,'[4]5.1 Budget'!$A$4:$P$177,10,0)</f>
        <v>0</v>
      </c>
      <c r="Q36" s="249">
        <f>VLOOKUP($E36,'[4]5.1 Budget'!$A$4:$P$177,11,0)</f>
        <v>0</v>
      </c>
      <c r="R36" s="249">
        <f>VLOOKUP($E36,'[4]5.1 Budget'!$A$4:$P$177,12,0)</f>
        <v>0</v>
      </c>
      <c r="S36" s="249">
        <f>VLOOKUP($E36,'[4]5.1 Budget'!$A$4:$P$177,13,0)</f>
        <v>0</v>
      </c>
      <c r="T36" s="249">
        <f>VLOOKUP($E36,'[4]5.1 Budget'!$A$4:$P$177,14,0)</f>
        <v>0</v>
      </c>
      <c r="U36" s="249">
        <f t="shared" si="0"/>
        <v>0</v>
      </c>
      <c r="V36" t="str">
        <f>VLOOKUP(D36,'[4]1. Mesures'!$A$1:$B$116,2,0)</f>
        <v>Améliorer la qualité des berges et des lits du réseau hydrographique, créer des méandres et aménager des zones propices au développement de la faune et de la flore aquatiques</v>
      </c>
      <c r="W36" t="str">
        <f>VLOOKUP(B36,[1]HIERARCH!$A$1:$B$57,2,0)</f>
        <v>Assurer la gestion qualitative des masses d'eau de surface</v>
      </c>
      <c r="X36" t="str">
        <f>VLOOKUP(C36,[1]HIERARCH!$A$2:$B$57,2,0)</f>
        <v xml:space="preserve">Améliorer la qualité hydromorphologique et biologique des masses d'eau de surface </v>
      </c>
      <c r="Y36" t="str">
        <f t="shared" si="3"/>
        <v>Réaliser une étude de faisabilité pour l’aménagement d’une berge naturelle avec zone de lagunage et éventuelle annexe hy…</v>
      </c>
    </row>
    <row r="37" spans="1:25" hidden="1" x14ac:dyDescent="0.25">
      <c r="A37" s="249" t="str">
        <f t="shared" si="1"/>
        <v>1</v>
      </c>
      <c r="B37" s="249" t="str">
        <f>VLOOKUP($D37,'[4]1. Mesures'!$A$2:$G$116,6,0)</f>
        <v>OS 1.1</v>
      </c>
      <c r="C37" s="249" t="str">
        <f>VLOOKUP($D37,'[4]1. Mesures'!$A$2:$G$116,7,0)</f>
        <v>OO 1.1.1</v>
      </c>
      <c r="D37" s="249" t="str">
        <f t="shared" si="2"/>
        <v>M 1.2</v>
      </c>
      <c r="E37" s="250" t="s">
        <v>715</v>
      </c>
      <c r="F37" s="249" t="str">
        <f>VLOOKUP(E37,'5.2 Actions'!$A$3:$B$720,2,0)</f>
        <v>Evaluer le résultat et l’expérience acquise avec le dispositif-test d’île flottante pour orienter l’extension de ce type d’aménagements à d’autres zones</v>
      </c>
      <c r="G37" s="251" t="str">
        <f>VLOOKUP(E37,'[4]5.2 Actions'!$A$3:$D$718,4,0)</f>
        <v>CAN</v>
      </c>
      <c r="H37" s="252">
        <f>VLOOKUP($E37,'5.1 Budget'!$A$4:$H$729,2,0)</f>
        <v>0</v>
      </c>
      <c r="I37" s="252">
        <f>VLOOKUP($E37,'5.1 Budget'!$A$4:$H$729,3,0)</f>
        <v>0</v>
      </c>
      <c r="J37" s="252">
        <f>VLOOKUP($E37,'5.1 Budget'!$A$4:$H$729,4,0)</f>
        <v>0</v>
      </c>
      <c r="K37" s="252">
        <f>VLOOKUP($E37,'5.1 Budget'!$A$4:$H$729,5,0)</f>
        <v>0</v>
      </c>
      <c r="L37" s="252">
        <f>VLOOKUP($E37,'5.1 Budget'!$A$4:$H$729,6,0)</f>
        <v>0</v>
      </c>
      <c r="M37" s="252">
        <f>VLOOKUP($E37,'5.1 Budget'!$A$4:$H$729,7,0)</f>
        <v>0</v>
      </c>
      <c r="N37" s="252">
        <f>VLOOKUP($E37,'5.1 Budget'!$A$4:$H$729,8,0)</f>
        <v>0</v>
      </c>
      <c r="O37" s="249"/>
      <c r="P37" s="249">
        <f>VLOOKUP($E37,'[4]5.1 Budget'!$A$4:$P$177,10,0)</f>
        <v>0</v>
      </c>
      <c r="Q37" s="249">
        <f>VLOOKUP($E37,'[4]5.1 Budget'!$A$4:$P$177,11,0)</f>
        <v>0</v>
      </c>
      <c r="R37" s="249">
        <f>VLOOKUP($E37,'[4]5.1 Budget'!$A$4:$P$177,12,0)</f>
        <v>0</v>
      </c>
      <c r="S37" s="249">
        <f>VLOOKUP($E37,'[4]5.1 Budget'!$A$4:$P$177,13,0)</f>
        <v>0</v>
      </c>
      <c r="T37" s="249">
        <f>VLOOKUP($E37,'[4]5.1 Budget'!$A$4:$P$177,14,0)</f>
        <v>0</v>
      </c>
      <c r="U37" s="249">
        <f t="shared" si="0"/>
        <v>0</v>
      </c>
      <c r="V37" t="str">
        <f>VLOOKUP(D37,'[4]1. Mesures'!$A$1:$B$116,2,0)</f>
        <v>Améliorer la qualité des berges et des lits du réseau hydrographique, créer des méandres et aménager des zones propices au développement de la faune et de la flore aquatiques</v>
      </c>
      <c r="W37" t="str">
        <f>VLOOKUP(B37,[1]HIERARCH!$A$1:$B$57,2,0)</f>
        <v>Assurer la gestion qualitative des masses d'eau de surface</v>
      </c>
      <c r="X37" t="str">
        <f>VLOOKUP(C37,[1]HIERARCH!$A$2:$B$57,2,0)</f>
        <v xml:space="preserve">Améliorer la qualité hydromorphologique et biologique des masses d'eau de surface </v>
      </c>
      <c r="Y37" t="str">
        <f t="shared" si="3"/>
        <v>Evaluer le résultat et l’expérience acquise avec le dispositif-test d’île flottante pour orienter l’extension de ce type…</v>
      </c>
    </row>
    <row r="38" spans="1:25" hidden="1" x14ac:dyDescent="0.25">
      <c r="A38" s="249" t="str">
        <f t="shared" si="1"/>
        <v>1</v>
      </c>
      <c r="B38" s="249" t="str">
        <f>VLOOKUP($D38,'[4]1. Mesures'!$A$2:$G$116,6,0)</f>
        <v>OS 1.1</v>
      </c>
      <c r="C38" s="249" t="str">
        <f>VLOOKUP($D38,'[4]1. Mesures'!$A$2:$G$116,7,0)</f>
        <v>OO 1.1.1</v>
      </c>
      <c r="D38" s="249" t="str">
        <f t="shared" si="2"/>
        <v>M 1.2</v>
      </c>
      <c r="E38" s="250" t="s">
        <v>716</v>
      </c>
      <c r="F38" s="249" t="str">
        <f>VLOOKUP(E38,'5.2 Actions'!$A$3:$B$720,2,0)</f>
        <v xml:space="preserve">Installer des aménagements de berges (tels que des îles flottantes) à d’autres endroits, en fonction du résultat et de l’expérience acquise avec le dispositif-test d’île flottante </v>
      </c>
      <c r="G38" s="251" t="str">
        <f>VLOOKUP(E38,'[4]5.2 Actions'!$A$3:$D$718,4,0)</f>
        <v>CAN</v>
      </c>
      <c r="H38" s="252">
        <f>VLOOKUP($E38,'5.1 Budget'!$A$4:$H$729,2,0)</f>
        <v>0</v>
      </c>
      <c r="I38" s="252">
        <f>VLOOKUP($E38,'5.1 Budget'!$A$4:$H$729,3,0)</f>
        <v>250000</v>
      </c>
      <c r="J38" s="252">
        <f>VLOOKUP($E38,'5.1 Budget'!$A$4:$H$729,4,0)</f>
        <v>300000</v>
      </c>
      <c r="K38" s="252">
        <f>VLOOKUP($E38,'5.1 Budget'!$A$4:$H$729,5,0)</f>
        <v>285000</v>
      </c>
      <c r="L38" s="252">
        <f>VLOOKUP($E38,'5.1 Budget'!$A$4:$H$729,6,0)</f>
        <v>0</v>
      </c>
      <c r="M38" s="252">
        <f>VLOOKUP($E38,'5.1 Budget'!$A$4:$H$729,7,0)</f>
        <v>0</v>
      </c>
      <c r="N38" s="252">
        <f>VLOOKUP($E38,'5.1 Budget'!$A$4:$H$729,8,0)</f>
        <v>835000</v>
      </c>
      <c r="O38" s="249"/>
      <c r="P38" s="249">
        <f>VLOOKUP($E38,'[4]5.1 Budget'!$A$4:$P$177,10,0)</f>
        <v>0</v>
      </c>
      <c r="Q38" s="249">
        <f>VLOOKUP($E38,'[4]5.1 Budget'!$A$4:$P$177,11,0)</f>
        <v>0</v>
      </c>
      <c r="R38" s="249">
        <f>VLOOKUP($E38,'[4]5.1 Budget'!$A$4:$P$177,12,0)</f>
        <v>0</v>
      </c>
      <c r="S38" s="249">
        <f>VLOOKUP($E38,'[4]5.1 Budget'!$A$4:$P$177,13,0)</f>
        <v>0</v>
      </c>
      <c r="T38" s="249">
        <f>VLOOKUP($E38,'[4]5.1 Budget'!$A$4:$P$177,14,0)</f>
        <v>0</v>
      </c>
      <c r="U38" s="249">
        <f t="shared" si="0"/>
        <v>0</v>
      </c>
      <c r="V38" t="str">
        <f>VLOOKUP(D38,'[4]1. Mesures'!$A$1:$B$116,2,0)</f>
        <v>Améliorer la qualité des berges et des lits du réseau hydrographique, créer des méandres et aménager des zones propices au développement de la faune et de la flore aquatiques</v>
      </c>
      <c r="W38" t="str">
        <f>VLOOKUP(B38,[1]HIERARCH!$A$1:$B$57,2,0)</f>
        <v>Assurer la gestion qualitative des masses d'eau de surface</v>
      </c>
      <c r="X38" t="str">
        <f>VLOOKUP(C38,[1]HIERARCH!$A$2:$B$57,2,0)</f>
        <v xml:space="preserve">Améliorer la qualité hydromorphologique et biologique des masses d'eau de surface </v>
      </c>
      <c r="Y38" t="str">
        <f t="shared" si="3"/>
        <v>Installer des aménagements de berges (tels que des îles flottantes) à d’autres endroits, en fonction du résultat et de l…</v>
      </c>
    </row>
    <row r="39" spans="1:25" hidden="1" x14ac:dyDescent="0.25">
      <c r="A39" s="249" t="str">
        <f t="shared" si="1"/>
        <v>1</v>
      </c>
      <c r="B39" s="249" t="str">
        <f>VLOOKUP($D39,'[4]1. Mesures'!$A$2:$G$116,6,0)</f>
        <v>OS 1.1</v>
      </c>
      <c r="C39" s="249" t="str">
        <f>VLOOKUP($D39,'[4]1. Mesures'!$A$2:$G$116,7,0)</f>
        <v>OO 1.1.1</v>
      </c>
      <c r="D39" s="249" t="str">
        <f t="shared" si="2"/>
        <v>M 1.2</v>
      </c>
      <c r="E39" s="250" t="s">
        <v>717</v>
      </c>
      <c r="F39" s="249" t="str">
        <f>VLOOKUP(E39,'5.2 Actions'!$A$3:$B$720,2,0)</f>
        <v>Aménager la berge en rive gauche du bassin de batelage en fonction des résultats de l’étude de faisabilité (actuellement envisagé : berge naturelle avec zone de lagunage protégée des remous)</v>
      </c>
      <c r="G39" s="251" t="str">
        <f>VLOOKUP(E39,'[4]5.2 Actions'!$A$3:$D$718,4,0)</f>
        <v>CAN</v>
      </c>
      <c r="H39" s="252">
        <f>VLOOKUP($E39,'5.1 Budget'!$A$4:$H$729,2,0)</f>
        <v>0</v>
      </c>
      <c r="I39" s="252">
        <f>VLOOKUP($E39,'5.1 Budget'!$A$4:$H$729,3,0)</f>
        <v>0</v>
      </c>
      <c r="J39" s="252">
        <f>VLOOKUP($E39,'5.1 Budget'!$A$4:$H$729,4,0)</f>
        <v>0</v>
      </c>
      <c r="K39" s="252">
        <f>VLOOKUP($E39,'5.1 Budget'!$A$4:$H$729,5,0)</f>
        <v>200000</v>
      </c>
      <c r="L39" s="252">
        <f>VLOOKUP($E39,'5.1 Budget'!$A$4:$H$729,6,0)</f>
        <v>0</v>
      </c>
      <c r="M39" s="252">
        <f>VLOOKUP($E39,'5.1 Budget'!$A$4:$H$729,7,0)</f>
        <v>0</v>
      </c>
      <c r="N39" s="252">
        <f>VLOOKUP($E39,'5.1 Budget'!$A$4:$H$729,8,0)</f>
        <v>200000</v>
      </c>
      <c r="O39" s="249"/>
      <c r="P39" s="249">
        <f>VLOOKUP($E39,'[4]5.1 Budget'!$A$4:$P$177,10,0)</f>
        <v>0</v>
      </c>
      <c r="Q39" s="249">
        <f>VLOOKUP($E39,'[4]5.1 Budget'!$A$4:$P$177,11,0)</f>
        <v>0</v>
      </c>
      <c r="R39" s="249">
        <f>VLOOKUP($E39,'[4]5.1 Budget'!$A$4:$P$177,12,0)</f>
        <v>0</v>
      </c>
      <c r="S39" s="249">
        <f>VLOOKUP($E39,'[4]5.1 Budget'!$A$4:$P$177,13,0)</f>
        <v>0</v>
      </c>
      <c r="T39" s="249">
        <f>VLOOKUP($E39,'[4]5.1 Budget'!$A$4:$P$177,14,0)</f>
        <v>0</v>
      </c>
      <c r="U39" s="249">
        <f t="shared" si="0"/>
        <v>0</v>
      </c>
      <c r="V39" t="str">
        <f>VLOOKUP(D39,'[4]1. Mesures'!$A$1:$B$116,2,0)</f>
        <v>Améliorer la qualité des berges et des lits du réseau hydrographique, créer des méandres et aménager des zones propices au développement de la faune et de la flore aquatiques</v>
      </c>
      <c r="W39" t="str">
        <f>VLOOKUP(B39,[1]HIERARCH!$A$1:$B$57,2,0)</f>
        <v>Assurer la gestion qualitative des masses d'eau de surface</v>
      </c>
      <c r="X39" t="str">
        <f>VLOOKUP(C39,[1]HIERARCH!$A$2:$B$57,2,0)</f>
        <v xml:space="preserve">Améliorer la qualité hydromorphologique et biologique des masses d'eau de surface </v>
      </c>
      <c r="Y39" t="str">
        <f t="shared" si="3"/>
        <v>Aménager la berge en rive gauche du bassin de batelage en fonction des résultats de l’étude de faisabilité (actuellement…</v>
      </c>
    </row>
    <row r="40" spans="1:25" hidden="1" x14ac:dyDescent="0.25">
      <c r="A40" s="249" t="str">
        <f t="shared" si="1"/>
        <v>1</v>
      </c>
      <c r="B40" s="249" t="str">
        <f>VLOOKUP($D40,'[4]1. Mesures'!$A$2:$G$116,6,0)</f>
        <v>OS 1.1</v>
      </c>
      <c r="C40" s="249" t="str">
        <f>VLOOKUP($D40,'[4]1. Mesures'!$A$2:$G$116,7,0)</f>
        <v>OO 1.1.1</v>
      </c>
      <c r="D40" s="249" t="str">
        <f t="shared" si="2"/>
        <v>M 1.2</v>
      </c>
      <c r="E40" s="250" t="s">
        <v>718</v>
      </c>
      <c r="F40" s="249" t="str">
        <f>VLOOKUP(E40,'5.2 Actions'!$A$3:$B$720,2,0)</f>
        <v>Mise en valeur des berges du Zuunbeek dans le cadre de l’aménagement du parc du Zuun - Travaux</v>
      </c>
      <c r="G40" s="251" t="str">
        <f>VLOOKUP(E40,'[4]5.2 Actions'!$A$3:$D$718,4,0)</f>
        <v>SEN</v>
      </c>
      <c r="H40" s="252">
        <f>VLOOKUP($E40,'5.1 Budget'!$A$4:$H$729,2,0)</f>
        <v>0</v>
      </c>
      <c r="I40" s="252">
        <f>VLOOKUP($E40,'5.1 Budget'!$A$4:$H$729,3,0)</f>
        <v>0</v>
      </c>
      <c r="J40" s="252">
        <f>VLOOKUP($E40,'5.1 Budget'!$A$4:$H$729,4,0)</f>
        <v>300000</v>
      </c>
      <c r="K40" s="252">
        <f>VLOOKUP($E40,'5.1 Budget'!$A$4:$H$729,5,0)</f>
        <v>0</v>
      </c>
      <c r="L40" s="252">
        <f>VLOOKUP($E40,'5.1 Budget'!$A$4:$H$729,6,0)</f>
        <v>0</v>
      </c>
      <c r="M40" s="252">
        <f>VLOOKUP($E40,'5.1 Budget'!$A$4:$H$729,7,0)</f>
        <v>0</v>
      </c>
      <c r="N40" s="252">
        <f>VLOOKUP($E40,'5.1 Budget'!$A$4:$H$729,8,0)</f>
        <v>300000</v>
      </c>
      <c r="O40" s="249"/>
      <c r="P40" s="249">
        <f>VLOOKUP($E40,'[4]5.1 Budget'!$A$4:$P$177,10,0)</f>
        <v>0</v>
      </c>
      <c r="Q40" s="249">
        <f>VLOOKUP($E40,'[4]5.1 Budget'!$A$4:$P$177,11,0)</f>
        <v>0</v>
      </c>
      <c r="R40" s="249">
        <f>VLOOKUP($E40,'[4]5.1 Budget'!$A$4:$P$177,12,0)</f>
        <v>0</v>
      </c>
      <c r="S40" s="249">
        <f>VLOOKUP($E40,'[4]5.1 Budget'!$A$4:$P$177,13,0)</f>
        <v>0</v>
      </c>
      <c r="T40" s="249">
        <f>VLOOKUP($E40,'[4]5.1 Budget'!$A$4:$P$177,14,0)</f>
        <v>0</v>
      </c>
      <c r="U40" s="249">
        <f t="shared" si="0"/>
        <v>0</v>
      </c>
      <c r="V40" t="str">
        <f>VLOOKUP(D40,'[4]1. Mesures'!$A$1:$B$116,2,0)</f>
        <v>Améliorer la qualité des berges et des lits du réseau hydrographique, créer des méandres et aménager des zones propices au développement de la faune et de la flore aquatiques</v>
      </c>
      <c r="W40" t="str">
        <f>VLOOKUP(B40,[1]HIERARCH!$A$1:$B$57,2,0)</f>
        <v>Assurer la gestion qualitative des masses d'eau de surface</v>
      </c>
      <c r="X40" t="str">
        <f>VLOOKUP(C40,[1]HIERARCH!$A$2:$B$57,2,0)</f>
        <v xml:space="preserve">Améliorer la qualité hydromorphologique et biologique des masses d'eau de surface </v>
      </c>
      <c r="Y40" t="str">
        <f t="shared" si="3"/>
        <v>Mise en valeur des berges du Zuunbeek dans le cadre de l’aménagement du parc du Zuun - Travaux…</v>
      </c>
    </row>
    <row r="41" spans="1:25" hidden="1" x14ac:dyDescent="0.25">
      <c r="A41" s="249" t="str">
        <f t="shared" si="1"/>
        <v>1</v>
      </c>
      <c r="B41" s="249" t="str">
        <f>VLOOKUP($D41,'[4]1. Mesures'!$A$2:$G$116,6,0)</f>
        <v>OS 1.1</v>
      </c>
      <c r="C41" s="249" t="str">
        <f>VLOOKUP($D41,'[4]1. Mesures'!$A$2:$G$116,7,0)</f>
        <v>OO 1.1.1</v>
      </c>
      <c r="D41" s="249" t="str">
        <f t="shared" si="2"/>
        <v>M 1.2</v>
      </c>
      <c r="E41" s="250" t="s">
        <v>719</v>
      </c>
      <c r="F41" s="249" t="str">
        <f>VLOOKUP(E41,'5.2 Actions'!$A$3:$B$720,2,0)</f>
        <v>Aménagement des berges du Molenbeek au niveau du Marais de Jette</v>
      </c>
      <c r="G41" s="251" t="str">
        <f>VLOOKUP(E41,'[4]5.2 Actions'!$A$3:$D$718,4,0)</f>
        <v>SEN</v>
      </c>
      <c r="H41" s="252">
        <f>VLOOKUP($E41,'5.1 Budget'!$A$4:$H$729,2,0)</f>
        <v>0</v>
      </c>
      <c r="I41" s="252">
        <f>VLOOKUP($E41,'5.1 Budget'!$A$4:$H$729,3,0)</f>
        <v>0</v>
      </c>
      <c r="J41" s="252">
        <f>VLOOKUP($E41,'5.1 Budget'!$A$4:$H$729,4,0)</f>
        <v>500000</v>
      </c>
      <c r="K41" s="252">
        <f>VLOOKUP($E41,'5.1 Budget'!$A$4:$H$729,5,0)</f>
        <v>0</v>
      </c>
      <c r="L41" s="252">
        <f>VLOOKUP($E41,'5.1 Budget'!$A$4:$H$729,6,0)</f>
        <v>0</v>
      </c>
      <c r="M41" s="252">
        <f>VLOOKUP($E41,'5.1 Budget'!$A$4:$H$729,7,0)</f>
        <v>0</v>
      </c>
      <c r="N41" s="252">
        <f>VLOOKUP($E41,'5.1 Budget'!$A$4:$H$729,8,0)</f>
        <v>500000</v>
      </c>
      <c r="O41" s="249"/>
      <c r="P41" s="249">
        <f>VLOOKUP($E41,'[4]5.1 Budget'!$A$4:$P$177,10,0)</f>
        <v>0</v>
      </c>
      <c r="Q41" s="249">
        <f>VLOOKUP($E41,'[4]5.1 Budget'!$A$4:$P$177,11,0)</f>
        <v>0</v>
      </c>
      <c r="R41" s="249">
        <f>VLOOKUP($E41,'[4]5.1 Budget'!$A$4:$P$177,12,0)</f>
        <v>0</v>
      </c>
      <c r="S41" s="249">
        <f>VLOOKUP($E41,'[4]5.1 Budget'!$A$4:$P$177,13,0)</f>
        <v>0</v>
      </c>
      <c r="T41" s="249">
        <f>VLOOKUP($E41,'[4]5.1 Budget'!$A$4:$P$177,14,0)</f>
        <v>0</v>
      </c>
      <c r="U41" s="249">
        <f t="shared" si="0"/>
        <v>0</v>
      </c>
      <c r="V41" t="str">
        <f>VLOOKUP(D41,'[4]1. Mesures'!$A$1:$B$116,2,0)</f>
        <v>Améliorer la qualité des berges et des lits du réseau hydrographique, créer des méandres et aménager des zones propices au développement de la faune et de la flore aquatiques</v>
      </c>
      <c r="W41" t="str">
        <f>VLOOKUP(B41,[1]HIERARCH!$A$1:$B$57,2,0)</f>
        <v>Assurer la gestion qualitative des masses d'eau de surface</v>
      </c>
      <c r="X41" t="str">
        <f>VLOOKUP(C41,[1]HIERARCH!$A$2:$B$57,2,0)</f>
        <v xml:space="preserve">Améliorer la qualité hydromorphologique et biologique des masses d'eau de surface </v>
      </c>
      <c r="Y41" t="str">
        <f t="shared" si="3"/>
        <v>Aménagement des berges du Molenbeek au niveau du Marais de Jette…</v>
      </c>
    </row>
    <row r="42" spans="1:25" hidden="1" x14ac:dyDescent="0.25">
      <c r="A42" s="249" t="str">
        <f t="shared" si="1"/>
        <v>1</v>
      </c>
      <c r="B42" s="249" t="str">
        <f>VLOOKUP($D42,'[4]1. Mesures'!$A$2:$G$116,6,0)</f>
        <v>OS 1.1</v>
      </c>
      <c r="C42" s="249" t="str">
        <f>VLOOKUP($D42,'[4]1. Mesures'!$A$2:$G$116,7,0)</f>
        <v>OO 1.1.1</v>
      </c>
      <c r="D42" s="249" t="str">
        <f t="shared" si="2"/>
        <v>M 1.2</v>
      </c>
      <c r="E42" s="250" t="s">
        <v>720</v>
      </c>
      <c r="F42" s="249" t="str">
        <f>VLOOKUP(E42,'5.2 Actions'!$A$3:$B$720,2,0)</f>
        <v>Création de zone refuge en cas d’étiage du Molenbeek au niveau du Parc Roi Baudouin</v>
      </c>
      <c r="G42" s="251" t="str">
        <f>VLOOKUP(E42,'[4]5.2 Actions'!$A$3:$D$718,4,0)</f>
        <v>SEN</v>
      </c>
      <c r="H42" s="252">
        <f>VLOOKUP($E42,'5.1 Budget'!$A$4:$H$729,2,0)</f>
        <v>0</v>
      </c>
      <c r="I42" s="252">
        <f>VLOOKUP($E42,'5.1 Budget'!$A$4:$H$729,3,0)</f>
        <v>0</v>
      </c>
      <c r="J42" s="252">
        <f>VLOOKUP($E42,'5.1 Budget'!$A$4:$H$729,4,0)</f>
        <v>0</v>
      </c>
      <c r="K42" s="252">
        <f>VLOOKUP($E42,'5.1 Budget'!$A$4:$H$729,5,0)</f>
        <v>200000</v>
      </c>
      <c r="L42" s="252">
        <f>VLOOKUP($E42,'5.1 Budget'!$A$4:$H$729,6,0)</f>
        <v>0</v>
      </c>
      <c r="M42" s="252">
        <f>VLOOKUP($E42,'5.1 Budget'!$A$4:$H$729,7,0)</f>
        <v>0</v>
      </c>
      <c r="N42" s="252">
        <f>VLOOKUP($E42,'5.1 Budget'!$A$4:$H$729,8,0)</f>
        <v>200000</v>
      </c>
      <c r="O42" s="249"/>
      <c r="P42" s="249">
        <f>VLOOKUP($E42,'[4]5.1 Budget'!$A$4:$P$177,10,0)</f>
        <v>0</v>
      </c>
      <c r="Q42" s="249">
        <f>VLOOKUP($E42,'[4]5.1 Budget'!$A$4:$P$177,11,0)</f>
        <v>0</v>
      </c>
      <c r="R42" s="249">
        <f>VLOOKUP($E42,'[4]5.1 Budget'!$A$4:$P$177,12,0)</f>
        <v>0</v>
      </c>
      <c r="S42" s="249">
        <f>VLOOKUP($E42,'[4]5.1 Budget'!$A$4:$P$177,13,0)</f>
        <v>0</v>
      </c>
      <c r="T42" s="249">
        <f>VLOOKUP($E42,'[4]5.1 Budget'!$A$4:$P$177,14,0)</f>
        <v>0</v>
      </c>
      <c r="U42" s="249">
        <f t="shared" si="0"/>
        <v>0</v>
      </c>
      <c r="V42" t="str">
        <f>VLOOKUP(D42,'[4]1. Mesures'!$A$1:$B$116,2,0)</f>
        <v>Améliorer la qualité des berges et des lits du réseau hydrographique, créer des méandres et aménager des zones propices au développement de la faune et de la flore aquatiques</v>
      </c>
      <c r="W42" t="str">
        <f>VLOOKUP(B42,[1]HIERARCH!$A$1:$B$57,2,0)</f>
        <v>Assurer la gestion qualitative des masses d'eau de surface</v>
      </c>
      <c r="X42" t="str">
        <f>VLOOKUP(C42,[1]HIERARCH!$A$2:$B$57,2,0)</f>
        <v xml:space="preserve">Améliorer la qualité hydromorphologique et biologique des masses d'eau de surface </v>
      </c>
      <c r="Y42" t="str">
        <f t="shared" si="3"/>
        <v>Création de zone refuge en cas d’étiage du Molenbeek au niveau du Parc Roi Baudouin…</v>
      </c>
    </row>
    <row r="43" spans="1:25" hidden="1" x14ac:dyDescent="0.25">
      <c r="A43" s="249" t="str">
        <f t="shared" si="1"/>
        <v>1</v>
      </c>
      <c r="B43" s="249" t="str">
        <f>VLOOKUP($D43,'[4]1. Mesures'!$A$2:$G$116,6,0)</f>
        <v>OS 1.1</v>
      </c>
      <c r="C43" s="249" t="str">
        <f>VLOOKUP($D43,'[4]1. Mesures'!$A$2:$G$116,7,0)</f>
        <v>OO 1.1.1</v>
      </c>
      <c r="D43" s="249" t="str">
        <f t="shared" si="2"/>
        <v>M 1.3</v>
      </c>
      <c r="E43" s="250" t="s">
        <v>775</v>
      </c>
      <c r="F43" s="249" t="str">
        <f>VLOOKUP(E43,'5.2 Actions'!$A$3:$B$720,2,0)</f>
        <v>Réaliser une étude de faisabilité pour l’aménagement d’une 1ère série d’obstacles sur la Woluwe (4 obstacles dans partie aval) et la Senne (action C12_1 Belini pour la Senne)</v>
      </c>
      <c r="G43" s="251" t="str">
        <f>VLOOKUP(E43,'[4]5.2 Actions'!$A$3:$D$718,4,0)</f>
        <v>WOL</v>
      </c>
      <c r="H43" s="252">
        <f>VLOOKUP($E43,'5.1 Budget'!$A$4:$H$729,2,0)</f>
        <v>50000</v>
      </c>
      <c r="I43" s="252">
        <f>VLOOKUP($E43,'5.1 Budget'!$A$4:$H$729,3,0)</f>
        <v>0</v>
      </c>
      <c r="J43" s="252">
        <f>VLOOKUP($E43,'5.1 Budget'!$A$4:$H$729,4,0)</f>
        <v>0</v>
      </c>
      <c r="K43" s="252">
        <f>VLOOKUP($E43,'5.1 Budget'!$A$4:$H$729,5,0)</f>
        <v>0</v>
      </c>
      <c r="L43" s="252">
        <f>VLOOKUP($E43,'5.1 Budget'!$A$4:$H$729,6,0)</f>
        <v>0</v>
      </c>
      <c r="M43" s="252">
        <f>VLOOKUP($E43,'5.1 Budget'!$A$4:$H$729,7,0)</f>
        <v>0</v>
      </c>
      <c r="N43" s="252">
        <f>VLOOKUP($E43,'5.1 Budget'!$A$4:$H$729,8,0)</f>
        <v>50000</v>
      </c>
      <c r="O43" s="249"/>
      <c r="P43" s="249">
        <f>VLOOKUP($E43,'[4]5.1 Budget'!$A$4:$P$177,10,0)</f>
        <v>0</v>
      </c>
      <c r="Q43" s="249">
        <f>VLOOKUP($E43,'[4]5.1 Budget'!$A$4:$P$177,11,0)</f>
        <v>0</v>
      </c>
      <c r="R43" s="249">
        <f>VLOOKUP($E43,'[4]5.1 Budget'!$A$4:$P$177,12,0)</f>
        <v>0</v>
      </c>
      <c r="S43" s="249">
        <f>VLOOKUP($E43,'[4]5.1 Budget'!$A$4:$P$177,13,0)</f>
        <v>0</v>
      </c>
      <c r="T43" s="249">
        <f>VLOOKUP($E43,'[4]5.1 Budget'!$A$4:$P$177,14,0)</f>
        <v>0</v>
      </c>
      <c r="U43" s="249">
        <f t="shared" si="0"/>
        <v>0</v>
      </c>
      <c r="V43" t="str">
        <f>VLOOKUP(D43,'[4]1. Mesures'!$A$1:$B$116,2,0)</f>
        <v>Supprimer les obstacles à la libre circulation des poissons</v>
      </c>
      <c r="W43" t="str">
        <f>VLOOKUP(B43,[1]HIERARCH!$A$1:$B$57,2,0)</f>
        <v>Assurer la gestion qualitative des masses d'eau de surface</v>
      </c>
      <c r="X43" t="str">
        <f>VLOOKUP(C43,[1]HIERARCH!$A$2:$B$57,2,0)</f>
        <v xml:space="preserve">Améliorer la qualité hydromorphologique et biologique des masses d'eau de surface </v>
      </c>
      <c r="Y43" t="str">
        <f t="shared" si="3"/>
        <v>Réaliser une étude de faisabilité pour l’aménagement d’une 1ère série d’obstacles sur la Woluwe (4 obstacles dans partie…</v>
      </c>
    </row>
    <row r="44" spans="1:25" hidden="1" x14ac:dyDescent="0.25">
      <c r="A44" s="249" t="str">
        <f t="shared" si="1"/>
        <v>1</v>
      </c>
      <c r="B44" s="249" t="str">
        <f>VLOOKUP($D44,'[4]1. Mesures'!$A$2:$G$116,6,0)</f>
        <v>OS 1.1</v>
      </c>
      <c r="C44" s="249" t="str">
        <f>VLOOKUP($D44,'[4]1. Mesures'!$A$2:$G$116,7,0)</f>
        <v>OO 1.1.1</v>
      </c>
      <c r="D44" s="249" t="str">
        <f t="shared" si="2"/>
        <v>M 1.3</v>
      </c>
      <c r="E44" s="250" t="s">
        <v>776</v>
      </c>
      <c r="F44" s="249" t="str">
        <f>VLOOKUP(E44,'5.2 Actions'!$A$3:$B$720,2,0)</f>
        <v>Mener une étude de projet pour l’aménagement d’une 1ère série de 4 obstacles sur la Woluwe (partie aval) + 1 obstacle sur la Senne</v>
      </c>
      <c r="G44" s="251" t="str">
        <f>VLOOKUP(E44,'[4]5.2 Actions'!$A$3:$D$718,4,0)</f>
        <v>WOL</v>
      </c>
      <c r="H44" s="252">
        <f>VLOOKUP($E44,'5.1 Budget'!$A$4:$H$729,2,0)</f>
        <v>0</v>
      </c>
      <c r="I44" s="252">
        <f>VLOOKUP($E44,'5.1 Budget'!$A$4:$H$729,3,0)</f>
        <v>0</v>
      </c>
      <c r="J44" s="252">
        <f>VLOOKUP($E44,'5.1 Budget'!$A$4:$H$729,4,0)</f>
        <v>50000</v>
      </c>
      <c r="K44" s="252">
        <f>VLOOKUP($E44,'5.1 Budget'!$A$4:$H$729,5,0)</f>
        <v>0</v>
      </c>
      <c r="L44" s="252">
        <f>VLOOKUP($E44,'5.1 Budget'!$A$4:$H$729,6,0)</f>
        <v>0</v>
      </c>
      <c r="M44" s="252">
        <f>VLOOKUP($E44,'5.1 Budget'!$A$4:$H$729,7,0)</f>
        <v>0</v>
      </c>
      <c r="N44" s="252">
        <f>VLOOKUP($E44,'5.1 Budget'!$A$4:$H$729,8,0)</f>
        <v>50000</v>
      </c>
      <c r="O44" s="249"/>
      <c r="P44" s="249">
        <f>VLOOKUP($E44,'[4]5.1 Budget'!$A$4:$P$177,10,0)</f>
        <v>0</v>
      </c>
      <c r="Q44" s="249">
        <f>VLOOKUP($E44,'[4]5.1 Budget'!$A$4:$P$177,11,0)</f>
        <v>0</v>
      </c>
      <c r="R44" s="249">
        <f>VLOOKUP($E44,'[4]5.1 Budget'!$A$4:$P$177,12,0)</f>
        <v>0</v>
      </c>
      <c r="S44" s="249">
        <f>VLOOKUP($E44,'[4]5.1 Budget'!$A$4:$P$177,13,0)</f>
        <v>0</v>
      </c>
      <c r="T44" s="249">
        <f>VLOOKUP($E44,'[4]5.1 Budget'!$A$4:$P$177,14,0)</f>
        <v>0</v>
      </c>
      <c r="U44" s="249">
        <f t="shared" si="0"/>
        <v>0</v>
      </c>
      <c r="V44" t="str">
        <f>VLOOKUP(D44,'[4]1. Mesures'!$A$1:$B$116,2,0)</f>
        <v>Supprimer les obstacles à la libre circulation des poissons</v>
      </c>
      <c r="W44" t="str">
        <f>VLOOKUP(B44,[1]HIERARCH!$A$1:$B$57,2,0)</f>
        <v>Assurer la gestion qualitative des masses d'eau de surface</v>
      </c>
      <c r="X44" t="str">
        <f>VLOOKUP(C44,[1]HIERARCH!$A$2:$B$57,2,0)</f>
        <v xml:space="preserve">Améliorer la qualité hydromorphologique et biologique des masses d'eau de surface </v>
      </c>
      <c r="Y44" t="str">
        <f t="shared" si="3"/>
        <v>Mener une étude de projet pour l’aménagement d’une 1ère série de 4 obstacles sur la Woluwe (partie aval) + 1 obstacle su…</v>
      </c>
    </row>
    <row r="45" spans="1:25" hidden="1" x14ac:dyDescent="0.25">
      <c r="A45" s="249" t="str">
        <f t="shared" si="1"/>
        <v>1</v>
      </c>
      <c r="B45" s="249" t="str">
        <f>VLOOKUP($D45,'[4]1. Mesures'!$A$2:$G$116,6,0)</f>
        <v>OS 1.1</v>
      </c>
      <c r="C45" s="249" t="str">
        <f>VLOOKUP($D45,'[4]1. Mesures'!$A$2:$G$116,7,0)</f>
        <v>OO 1.1.1</v>
      </c>
      <c r="D45" s="249" t="str">
        <f t="shared" si="2"/>
        <v>M 1.3</v>
      </c>
      <c r="E45" s="250" t="s">
        <v>777</v>
      </c>
      <c r="F45" s="249" t="str">
        <f>VLOOKUP(E45,'5.2 Actions'!$A$3:$B$720,2,0)</f>
        <v>Travaux d’aménagement de 2 obstacles parmi la 1ère série de 4 sur la Woluwe (partie aval)</v>
      </c>
      <c r="G45" s="251" t="str">
        <f>VLOOKUP(E45,'[4]5.2 Actions'!$A$3:$D$718,4,0)</f>
        <v>WOL</v>
      </c>
      <c r="H45" s="252">
        <f>VLOOKUP($E45,'5.1 Budget'!$A$4:$H$729,2,0)</f>
        <v>0</v>
      </c>
      <c r="I45" s="252">
        <f>VLOOKUP($E45,'5.1 Budget'!$A$4:$H$729,3,0)</f>
        <v>0</v>
      </c>
      <c r="J45" s="252">
        <f>VLOOKUP($E45,'5.1 Budget'!$A$4:$H$729,4,0)</f>
        <v>0</v>
      </c>
      <c r="K45" s="252">
        <f>VLOOKUP($E45,'5.1 Budget'!$A$4:$H$729,5,0)</f>
        <v>0</v>
      </c>
      <c r="L45" s="252">
        <f>VLOOKUP($E45,'5.1 Budget'!$A$4:$H$729,6,0)</f>
        <v>100000</v>
      </c>
      <c r="M45" s="252">
        <f>VLOOKUP($E45,'5.1 Budget'!$A$4:$H$729,7,0)</f>
        <v>0</v>
      </c>
      <c r="N45" s="252">
        <f>VLOOKUP($E45,'5.1 Budget'!$A$4:$H$729,8,0)</f>
        <v>100000</v>
      </c>
      <c r="O45" s="249"/>
      <c r="P45" s="249">
        <f>VLOOKUP($E45,'[4]5.1 Budget'!$A$4:$P$177,10,0)</f>
        <v>0</v>
      </c>
      <c r="Q45" s="249">
        <f>VLOOKUP($E45,'[4]5.1 Budget'!$A$4:$P$177,11,0)</f>
        <v>0</v>
      </c>
      <c r="R45" s="249">
        <f>VLOOKUP($E45,'[4]5.1 Budget'!$A$4:$P$177,12,0)</f>
        <v>0</v>
      </c>
      <c r="S45" s="249">
        <f>VLOOKUP($E45,'[4]5.1 Budget'!$A$4:$P$177,13,0)</f>
        <v>0</v>
      </c>
      <c r="T45" s="249">
        <f>VLOOKUP($E45,'[4]5.1 Budget'!$A$4:$P$177,14,0)</f>
        <v>0</v>
      </c>
      <c r="U45" s="249">
        <f t="shared" si="0"/>
        <v>0</v>
      </c>
      <c r="V45" t="str">
        <f>VLOOKUP(D45,'[4]1. Mesures'!$A$1:$B$116,2,0)</f>
        <v>Supprimer les obstacles à la libre circulation des poissons</v>
      </c>
      <c r="W45" t="str">
        <f>VLOOKUP(B45,[1]HIERARCH!$A$1:$B$57,2,0)</f>
        <v>Assurer la gestion qualitative des masses d'eau de surface</v>
      </c>
      <c r="X45" t="str">
        <f>VLOOKUP(C45,[1]HIERARCH!$A$2:$B$57,2,0)</f>
        <v xml:space="preserve">Améliorer la qualité hydromorphologique et biologique des masses d'eau de surface </v>
      </c>
      <c r="Y45" t="str">
        <f t="shared" si="3"/>
        <v>Travaux d’aménagement de 2 obstacles parmi la 1ère série de 4 sur la Woluwe (partie aval)…</v>
      </c>
    </row>
    <row r="46" spans="1:25" hidden="1" x14ac:dyDescent="0.25">
      <c r="A46" s="249" t="str">
        <f t="shared" si="1"/>
        <v>1</v>
      </c>
      <c r="B46" s="249" t="str">
        <f>VLOOKUP($D46,'[4]1. Mesures'!$A$2:$G$116,6,0)</f>
        <v>OS 1.1</v>
      </c>
      <c r="C46" s="249" t="str">
        <f>VLOOKUP($D46,'[4]1. Mesures'!$A$2:$G$116,7,0)</f>
        <v>OO 1.1.1</v>
      </c>
      <c r="D46" s="249" t="str">
        <f t="shared" si="2"/>
        <v>M 1.3</v>
      </c>
      <c r="E46" s="250" t="s">
        <v>778</v>
      </c>
      <c r="F46" s="249" t="str">
        <f>VLOOKUP(E46,'5.2 Actions'!$A$3:$B$720,2,0)</f>
        <v>Travaux d’aménagement des 2 derniers obstacles parmi la 1ère série de 4 sur la Woluwe (partie aval)</v>
      </c>
      <c r="G46" s="251" t="str">
        <f>VLOOKUP(E46,'[4]5.2 Actions'!$A$3:$D$718,4,0)</f>
        <v>WOL</v>
      </c>
      <c r="H46" s="252">
        <f>VLOOKUP($E46,'5.1 Budget'!$A$4:$H$729,2,0)</f>
        <v>0</v>
      </c>
      <c r="I46" s="252">
        <f>VLOOKUP($E46,'5.1 Budget'!$A$4:$H$729,3,0)</f>
        <v>0</v>
      </c>
      <c r="J46" s="252">
        <f>VLOOKUP($E46,'5.1 Budget'!$A$4:$H$729,4,0)</f>
        <v>0</v>
      </c>
      <c r="K46" s="252">
        <f>VLOOKUP($E46,'5.1 Budget'!$A$4:$H$729,5,0)</f>
        <v>0</v>
      </c>
      <c r="L46" s="252">
        <f>VLOOKUP($E46,'5.1 Budget'!$A$4:$H$729,6,0)</f>
        <v>0</v>
      </c>
      <c r="M46" s="252">
        <f>VLOOKUP($E46,'5.1 Budget'!$A$4:$H$729,7,0)</f>
        <v>0</v>
      </c>
      <c r="N46" s="252">
        <f>VLOOKUP($E46,'5.1 Budget'!$A$4:$H$729,8,0)</f>
        <v>0</v>
      </c>
      <c r="O46" s="249"/>
      <c r="P46" s="249">
        <f>VLOOKUP($E46,'[4]5.1 Budget'!$A$4:$P$177,10,0)</f>
        <v>0</v>
      </c>
      <c r="Q46" s="249">
        <f>VLOOKUP($E46,'[4]5.1 Budget'!$A$4:$P$177,11,0)</f>
        <v>0</v>
      </c>
      <c r="R46" s="249">
        <f>VLOOKUP($E46,'[4]5.1 Budget'!$A$4:$P$177,12,0)</f>
        <v>0</v>
      </c>
      <c r="S46" s="249">
        <f>VLOOKUP($E46,'[4]5.1 Budget'!$A$4:$P$177,13,0)</f>
        <v>0</v>
      </c>
      <c r="T46" s="249">
        <f>VLOOKUP($E46,'[4]5.1 Budget'!$A$4:$P$177,14,0)</f>
        <v>0</v>
      </c>
      <c r="U46" s="249">
        <f t="shared" si="0"/>
        <v>0</v>
      </c>
      <c r="V46" t="str">
        <f>VLOOKUP(D46,'[4]1. Mesures'!$A$1:$B$116,2,0)</f>
        <v>Supprimer les obstacles à la libre circulation des poissons</v>
      </c>
      <c r="W46" t="str">
        <f>VLOOKUP(B46,[1]HIERARCH!$A$1:$B$57,2,0)</f>
        <v>Assurer la gestion qualitative des masses d'eau de surface</v>
      </c>
      <c r="X46" t="str">
        <f>VLOOKUP(C46,[1]HIERARCH!$A$2:$B$57,2,0)</f>
        <v xml:space="preserve">Améliorer la qualité hydromorphologique et biologique des masses d'eau de surface </v>
      </c>
      <c r="Y46" t="str">
        <f t="shared" si="3"/>
        <v>Travaux d’aménagement des 2 derniers obstacles parmi la 1ère série de 4 sur la Woluwe (partie aval)…</v>
      </c>
    </row>
    <row r="47" spans="1:25" hidden="1" x14ac:dyDescent="0.25">
      <c r="A47" s="249" t="str">
        <f t="shared" si="1"/>
        <v>1</v>
      </c>
      <c r="B47" s="249" t="str">
        <f>VLOOKUP($D47,'[4]1. Mesures'!$A$2:$G$116,6,0)</f>
        <v>OS 1.1</v>
      </c>
      <c r="C47" s="249" t="str">
        <f>VLOOKUP($D47,'[4]1. Mesures'!$A$2:$G$116,7,0)</f>
        <v>OO 1.1.1</v>
      </c>
      <c r="D47" s="249" t="str">
        <f t="shared" si="2"/>
        <v>M 1.3</v>
      </c>
      <c r="E47" s="250" t="s">
        <v>779</v>
      </c>
      <c r="F47" s="249" t="str">
        <f>VLOOKUP(E47,'5.2 Actions'!$A$3:$B$720,2,0)</f>
        <v>Travaux d’aménagement de l’obstacle sur la Senne</v>
      </c>
      <c r="G47" s="251" t="str">
        <f>VLOOKUP(E47,'[4]5.2 Actions'!$A$3:$D$718,4,0)</f>
        <v>SEN</v>
      </c>
      <c r="H47" s="252">
        <f>VLOOKUP($E47,'5.1 Budget'!$A$4:$H$729,2,0)</f>
        <v>0</v>
      </c>
      <c r="I47" s="252">
        <f>VLOOKUP($E47,'5.1 Budget'!$A$4:$H$729,3,0)</f>
        <v>0</v>
      </c>
      <c r="J47" s="252">
        <f>VLOOKUP($E47,'5.1 Budget'!$A$4:$H$729,4,0)</f>
        <v>0</v>
      </c>
      <c r="K47" s="252">
        <f>VLOOKUP($E47,'5.1 Budget'!$A$4:$H$729,5,0)</f>
        <v>0</v>
      </c>
      <c r="L47" s="252">
        <f>VLOOKUP($E47,'5.1 Budget'!$A$4:$H$729,6,0)</f>
        <v>250000</v>
      </c>
      <c r="M47" s="252">
        <f>VLOOKUP($E47,'5.1 Budget'!$A$4:$H$729,7,0)</f>
        <v>0</v>
      </c>
      <c r="N47" s="252">
        <f>VLOOKUP($E47,'5.1 Budget'!$A$4:$H$729,8,0)</f>
        <v>250000</v>
      </c>
      <c r="O47" s="249"/>
      <c r="P47" s="249">
        <f>VLOOKUP($E47,'[4]5.1 Budget'!$A$4:$P$177,10,0)</f>
        <v>0</v>
      </c>
      <c r="Q47" s="249">
        <f>VLOOKUP($E47,'[4]5.1 Budget'!$A$4:$P$177,11,0)</f>
        <v>0</v>
      </c>
      <c r="R47" s="249">
        <f>VLOOKUP($E47,'[4]5.1 Budget'!$A$4:$P$177,12,0)</f>
        <v>0</v>
      </c>
      <c r="S47" s="249">
        <f>VLOOKUP($E47,'[4]5.1 Budget'!$A$4:$P$177,13,0)</f>
        <v>0</v>
      </c>
      <c r="T47" s="249">
        <f>VLOOKUP($E47,'[4]5.1 Budget'!$A$4:$P$177,14,0)</f>
        <v>0</v>
      </c>
      <c r="U47" s="249">
        <f t="shared" si="0"/>
        <v>0</v>
      </c>
      <c r="V47" t="str">
        <f>VLOOKUP(D47,'[4]1. Mesures'!$A$1:$B$116,2,0)</f>
        <v>Supprimer les obstacles à la libre circulation des poissons</v>
      </c>
      <c r="W47" t="str">
        <f>VLOOKUP(B47,[1]HIERARCH!$A$1:$B$57,2,0)</f>
        <v>Assurer la gestion qualitative des masses d'eau de surface</v>
      </c>
      <c r="X47" t="str">
        <f>VLOOKUP(C47,[1]HIERARCH!$A$2:$B$57,2,0)</f>
        <v xml:space="preserve">Améliorer la qualité hydromorphologique et biologique des masses d'eau de surface </v>
      </c>
      <c r="Y47" t="str">
        <f t="shared" si="3"/>
        <v>Travaux d’aménagement de l’obstacle sur la Senne…</v>
      </c>
    </row>
    <row r="48" spans="1:25" hidden="1" x14ac:dyDescent="0.25">
      <c r="A48" s="249" t="str">
        <f t="shared" si="1"/>
        <v>1</v>
      </c>
      <c r="B48" s="249" t="str">
        <f>VLOOKUP($D48,'[4]1. Mesures'!$A$2:$G$116,6,0)</f>
        <v>OS 1.1</v>
      </c>
      <c r="C48" s="249" t="str">
        <f>VLOOKUP($D48,'[4]1. Mesures'!$A$2:$G$116,7,0)</f>
        <v>OO 1.1.1</v>
      </c>
      <c r="D48" s="249" t="str">
        <f t="shared" si="2"/>
        <v>M 1.3</v>
      </c>
      <c r="E48" s="250" t="s">
        <v>780</v>
      </c>
      <c r="F48" s="249" t="str">
        <f>VLOOKUP(E48,'5.2 Actions'!$A$3:$B$720,2,0)</f>
        <v>Réaliser une étude de faisabilité pour l’aménagement d’une 2ème série de 5 obstacles sur la Woluwe (partie amont)</v>
      </c>
      <c r="G48" s="251" t="str">
        <f>VLOOKUP(E48,'[4]5.2 Actions'!$A$3:$D$718,4,0)</f>
        <v>WOL</v>
      </c>
      <c r="H48" s="252">
        <f>VLOOKUP($E48,'5.1 Budget'!$A$4:$H$729,2,0)</f>
        <v>0</v>
      </c>
      <c r="I48" s="252">
        <f>VLOOKUP($E48,'5.1 Budget'!$A$4:$H$729,3,0)</f>
        <v>0</v>
      </c>
      <c r="J48" s="252">
        <f>VLOOKUP($E48,'5.1 Budget'!$A$4:$H$729,4,0)</f>
        <v>0</v>
      </c>
      <c r="K48" s="252">
        <f>VLOOKUP($E48,'5.1 Budget'!$A$4:$H$729,5,0)</f>
        <v>0</v>
      </c>
      <c r="L48" s="252">
        <f>VLOOKUP($E48,'5.1 Budget'!$A$4:$H$729,6,0)</f>
        <v>0</v>
      </c>
      <c r="M48" s="252">
        <f>VLOOKUP($E48,'5.1 Budget'!$A$4:$H$729,7,0)</f>
        <v>0</v>
      </c>
      <c r="N48" s="252">
        <f>VLOOKUP($E48,'5.1 Budget'!$A$4:$H$729,8,0)</f>
        <v>0</v>
      </c>
      <c r="O48" s="249"/>
      <c r="P48" s="249">
        <f>VLOOKUP($E48,'[4]5.1 Budget'!$A$4:$P$177,10,0)</f>
        <v>0</v>
      </c>
      <c r="Q48" s="249">
        <f>VLOOKUP($E48,'[4]5.1 Budget'!$A$4:$P$177,11,0)</f>
        <v>0</v>
      </c>
      <c r="R48" s="249">
        <f>VLOOKUP($E48,'[4]5.1 Budget'!$A$4:$P$177,12,0)</f>
        <v>0</v>
      </c>
      <c r="S48" s="249">
        <f>VLOOKUP($E48,'[4]5.1 Budget'!$A$4:$P$177,13,0)</f>
        <v>0</v>
      </c>
      <c r="T48" s="249">
        <f>VLOOKUP($E48,'[4]5.1 Budget'!$A$4:$P$177,14,0)</f>
        <v>0</v>
      </c>
      <c r="U48" s="249">
        <f t="shared" si="0"/>
        <v>0</v>
      </c>
      <c r="V48" t="str">
        <f>VLOOKUP(D48,'[4]1. Mesures'!$A$1:$B$116,2,0)</f>
        <v>Supprimer les obstacles à la libre circulation des poissons</v>
      </c>
      <c r="W48" t="str">
        <f>VLOOKUP(B48,[1]HIERARCH!$A$1:$B$57,2,0)</f>
        <v>Assurer la gestion qualitative des masses d'eau de surface</v>
      </c>
      <c r="X48" t="str">
        <f>VLOOKUP(C48,[1]HIERARCH!$A$2:$B$57,2,0)</f>
        <v xml:space="preserve">Améliorer la qualité hydromorphologique et biologique des masses d'eau de surface </v>
      </c>
      <c r="Y48" t="str">
        <f t="shared" si="3"/>
        <v>Réaliser une étude de faisabilité pour l’aménagement d’une 2ème série de 5 obstacles sur la Woluwe (partie amont)…</v>
      </c>
    </row>
    <row r="49" spans="1:25" hidden="1" x14ac:dyDescent="0.25">
      <c r="A49" s="249" t="str">
        <f t="shared" si="1"/>
        <v>1</v>
      </c>
      <c r="B49" s="249" t="str">
        <f>VLOOKUP($D49,'[4]1. Mesures'!$A$2:$G$116,6,0)</f>
        <v>OS 1.1</v>
      </c>
      <c r="C49" s="249" t="str">
        <f>VLOOKUP($D49,'[4]1. Mesures'!$A$2:$G$116,7,0)</f>
        <v>OO 1.1.1</v>
      </c>
      <c r="D49" s="249" t="str">
        <f t="shared" si="2"/>
        <v>M 1.3</v>
      </c>
      <c r="E49" s="250" t="s">
        <v>781</v>
      </c>
      <c r="F49" s="249" t="str">
        <f>VLOOKUP(E49,'5.2 Actions'!$A$3:$B$720,2,0)</f>
        <v>Réaliser une étude de projet pour l’aménagement d’une 2ème série de 5 obstacles sur la Woluwe (partie amont)</v>
      </c>
      <c r="G49" s="251" t="str">
        <f>VLOOKUP(E49,'[4]5.2 Actions'!$A$3:$D$718,4,0)</f>
        <v>WOL</v>
      </c>
      <c r="H49" s="252">
        <f>VLOOKUP($E49,'5.1 Budget'!$A$4:$H$729,2,0)</f>
        <v>0</v>
      </c>
      <c r="I49" s="252">
        <f>VLOOKUP($E49,'5.1 Budget'!$A$4:$H$729,3,0)</f>
        <v>0</v>
      </c>
      <c r="J49" s="252">
        <f>VLOOKUP($E49,'5.1 Budget'!$A$4:$H$729,4,0)</f>
        <v>0</v>
      </c>
      <c r="K49" s="252">
        <f>VLOOKUP($E49,'5.1 Budget'!$A$4:$H$729,5,0)</f>
        <v>0</v>
      </c>
      <c r="L49" s="252">
        <f>VLOOKUP($E49,'5.1 Budget'!$A$4:$H$729,6,0)</f>
        <v>0</v>
      </c>
      <c r="M49" s="252">
        <f>VLOOKUP($E49,'5.1 Budget'!$A$4:$H$729,7,0)</f>
        <v>0</v>
      </c>
      <c r="N49" s="252">
        <f>VLOOKUP($E49,'5.1 Budget'!$A$4:$H$729,8,0)</f>
        <v>0</v>
      </c>
      <c r="O49" s="249"/>
      <c r="P49" s="249">
        <f>VLOOKUP($E49,'[4]5.1 Budget'!$A$4:$P$177,10,0)</f>
        <v>0</v>
      </c>
      <c r="Q49" s="249">
        <f>VLOOKUP($E49,'[4]5.1 Budget'!$A$4:$P$177,11,0)</f>
        <v>0</v>
      </c>
      <c r="R49" s="249">
        <f>VLOOKUP($E49,'[4]5.1 Budget'!$A$4:$P$177,12,0)</f>
        <v>0</v>
      </c>
      <c r="S49" s="249">
        <f>VLOOKUP($E49,'[4]5.1 Budget'!$A$4:$P$177,13,0)</f>
        <v>0</v>
      </c>
      <c r="T49" s="249">
        <f>VLOOKUP($E49,'[4]5.1 Budget'!$A$4:$P$177,14,0)</f>
        <v>0</v>
      </c>
      <c r="U49" s="249">
        <f t="shared" si="0"/>
        <v>0</v>
      </c>
      <c r="V49" t="str">
        <f>VLOOKUP(D49,'[4]1. Mesures'!$A$1:$B$116,2,0)</f>
        <v>Supprimer les obstacles à la libre circulation des poissons</v>
      </c>
      <c r="W49" t="str">
        <f>VLOOKUP(B49,[1]HIERARCH!$A$1:$B$57,2,0)</f>
        <v>Assurer la gestion qualitative des masses d'eau de surface</v>
      </c>
      <c r="X49" t="str">
        <f>VLOOKUP(C49,[1]HIERARCH!$A$2:$B$57,2,0)</f>
        <v xml:space="preserve">Améliorer la qualité hydromorphologique et biologique des masses d'eau de surface </v>
      </c>
      <c r="Y49" t="str">
        <f t="shared" si="3"/>
        <v>Réaliser une étude de projet pour l’aménagement d’une 2ème série de 5 obstacles sur la Woluwe (partie amont)…</v>
      </c>
    </row>
    <row r="50" spans="1:25" hidden="1" x14ac:dyDescent="0.25">
      <c r="A50" s="249" t="str">
        <f t="shared" si="1"/>
        <v>1</v>
      </c>
      <c r="B50" s="249" t="str">
        <f>VLOOKUP($D50,'[4]1. Mesures'!$A$2:$G$116,6,0)</f>
        <v>OS 1.1</v>
      </c>
      <c r="C50" s="249" t="str">
        <f>VLOOKUP($D50,'[4]1. Mesures'!$A$2:$G$116,7,0)</f>
        <v>OO 1.1.1</v>
      </c>
      <c r="D50" s="249" t="str">
        <f t="shared" si="2"/>
        <v>M 1.3</v>
      </c>
      <c r="E50" s="250" t="s">
        <v>782</v>
      </c>
      <c r="F50" s="249" t="str">
        <f>VLOOKUP(E50,'5.2 Actions'!$A$3:$B$720,2,0)</f>
        <v>Travaux d’aménagement des 5 obstacles de la 2ème série sur la Woluwe (partie amont)</v>
      </c>
      <c r="G50" s="251" t="str">
        <f>VLOOKUP(E50,'[4]5.2 Actions'!$A$3:$D$718,4,0)</f>
        <v>WOL</v>
      </c>
      <c r="H50" s="252">
        <f>VLOOKUP($E50,'5.1 Budget'!$A$4:$H$729,2,0)</f>
        <v>0</v>
      </c>
      <c r="I50" s="252">
        <f>VLOOKUP($E50,'5.1 Budget'!$A$4:$H$729,3,0)</f>
        <v>0</v>
      </c>
      <c r="J50" s="252">
        <f>VLOOKUP($E50,'5.1 Budget'!$A$4:$H$729,4,0)</f>
        <v>0</v>
      </c>
      <c r="K50" s="252">
        <f>VLOOKUP($E50,'5.1 Budget'!$A$4:$H$729,5,0)</f>
        <v>0</v>
      </c>
      <c r="L50" s="252">
        <f>VLOOKUP($E50,'5.1 Budget'!$A$4:$H$729,6,0)</f>
        <v>0</v>
      </c>
      <c r="M50" s="252">
        <f>VLOOKUP($E50,'5.1 Budget'!$A$4:$H$729,7,0)</f>
        <v>0</v>
      </c>
      <c r="N50" s="252">
        <f>VLOOKUP($E50,'5.1 Budget'!$A$4:$H$729,8,0)</f>
        <v>0</v>
      </c>
      <c r="O50" s="249"/>
      <c r="P50" s="249">
        <f>VLOOKUP($E50,'[4]5.1 Budget'!$A$4:$P$177,10,0)</f>
        <v>0</v>
      </c>
      <c r="Q50" s="249">
        <f>VLOOKUP($E50,'[4]5.1 Budget'!$A$4:$P$177,11,0)</f>
        <v>0</v>
      </c>
      <c r="R50" s="249">
        <f>VLOOKUP($E50,'[4]5.1 Budget'!$A$4:$P$177,12,0)</f>
        <v>0</v>
      </c>
      <c r="S50" s="249">
        <f>VLOOKUP($E50,'[4]5.1 Budget'!$A$4:$P$177,13,0)</f>
        <v>0</v>
      </c>
      <c r="T50" s="249">
        <f>VLOOKUP($E50,'[4]5.1 Budget'!$A$4:$P$177,14,0)</f>
        <v>0</v>
      </c>
      <c r="U50" s="249">
        <f t="shared" si="0"/>
        <v>0</v>
      </c>
      <c r="V50" t="str">
        <f>VLOOKUP(D50,'[4]1. Mesures'!$A$1:$B$116,2,0)</f>
        <v>Supprimer les obstacles à la libre circulation des poissons</v>
      </c>
      <c r="W50" t="str">
        <f>VLOOKUP(B50,[1]HIERARCH!$A$1:$B$57,2,0)</f>
        <v>Assurer la gestion qualitative des masses d'eau de surface</v>
      </c>
      <c r="X50" t="str">
        <f>VLOOKUP(C50,[1]HIERARCH!$A$2:$B$57,2,0)</f>
        <v xml:space="preserve">Améliorer la qualité hydromorphologique et biologique des masses d'eau de surface </v>
      </c>
      <c r="Y50" t="str">
        <f t="shared" si="3"/>
        <v>Travaux d’aménagement des 5 obstacles de la 2ème série sur la Woluwe (partie amont)…</v>
      </c>
    </row>
    <row r="51" spans="1:25" hidden="1" x14ac:dyDescent="0.25">
      <c r="A51" s="249" t="str">
        <f t="shared" si="1"/>
        <v>1</v>
      </c>
      <c r="B51" s="249" t="str">
        <f>VLOOKUP($D51,'[4]1. Mesures'!$A$2:$G$116,6,0)</f>
        <v>OS 1.1</v>
      </c>
      <c r="C51" s="249" t="str">
        <f>VLOOKUP($D51,'[4]1. Mesures'!$A$2:$G$116,7,0)</f>
        <v>OO 1.1.1</v>
      </c>
      <c r="D51" s="249" t="str">
        <f t="shared" si="2"/>
        <v>M 1.3</v>
      </c>
      <c r="E51" s="250" t="s">
        <v>783</v>
      </c>
      <c r="F51" s="249" t="str">
        <f>VLOOKUP(E51,'5.2 Actions'!$A$3:$B$720,2,0)</f>
        <v>Aménager les écluses du Canal de passes à poissons</v>
      </c>
      <c r="G51" s="251" t="str">
        <f>VLOOKUP(E51,'[4]5.2 Actions'!$A$3:$D$718,4,0)</f>
        <v>CAN</v>
      </c>
      <c r="H51" s="252">
        <f>VLOOKUP($E51,'5.1 Budget'!$A$4:$H$729,2,0)</f>
        <v>0</v>
      </c>
      <c r="I51" s="252">
        <f>VLOOKUP($E51,'5.1 Budget'!$A$4:$H$729,3,0)</f>
        <v>0</v>
      </c>
      <c r="J51" s="252">
        <f>VLOOKUP($E51,'5.1 Budget'!$A$4:$H$729,4,0)</f>
        <v>0</v>
      </c>
      <c r="K51" s="252">
        <f>VLOOKUP($E51,'5.1 Budget'!$A$4:$H$729,5,0)</f>
        <v>0</v>
      </c>
      <c r="L51" s="252">
        <f>VLOOKUP($E51,'5.1 Budget'!$A$4:$H$729,6,0)</f>
        <v>0</v>
      </c>
      <c r="M51" s="252">
        <f>VLOOKUP($E51,'5.1 Budget'!$A$4:$H$729,7,0)</f>
        <v>0</v>
      </c>
      <c r="N51" s="252">
        <f>VLOOKUP($E51,'5.1 Budget'!$A$4:$H$729,8,0)</f>
        <v>0</v>
      </c>
      <c r="O51" s="249"/>
      <c r="P51" s="249">
        <f>VLOOKUP($E51,'[4]5.1 Budget'!$A$4:$P$177,10,0)</f>
        <v>0</v>
      </c>
      <c r="Q51" s="249">
        <f>VLOOKUP($E51,'[4]5.1 Budget'!$A$4:$P$177,11,0)</f>
        <v>0</v>
      </c>
      <c r="R51" s="249">
        <f>VLOOKUP($E51,'[4]5.1 Budget'!$A$4:$P$177,12,0)</f>
        <v>0</v>
      </c>
      <c r="S51" s="249">
        <f>VLOOKUP($E51,'[4]5.1 Budget'!$A$4:$P$177,13,0)</f>
        <v>0</v>
      </c>
      <c r="T51" s="249">
        <f>VLOOKUP($E51,'[4]5.1 Budget'!$A$4:$P$177,14,0)</f>
        <v>0</v>
      </c>
      <c r="U51" s="249">
        <f t="shared" si="0"/>
        <v>0</v>
      </c>
      <c r="V51" t="str">
        <f>VLOOKUP(D51,'[4]1. Mesures'!$A$1:$B$116,2,0)</f>
        <v>Supprimer les obstacles à la libre circulation des poissons</v>
      </c>
      <c r="W51" t="str">
        <f>VLOOKUP(B51,[1]HIERARCH!$A$1:$B$57,2,0)</f>
        <v>Assurer la gestion qualitative des masses d'eau de surface</v>
      </c>
      <c r="X51" t="str">
        <f>VLOOKUP(C51,[1]HIERARCH!$A$2:$B$57,2,0)</f>
        <v xml:space="preserve">Améliorer la qualité hydromorphologique et biologique des masses d'eau de surface </v>
      </c>
      <c r="Y51" t="str">
        <f t="shared" si="3"/>
        <v>Aménager les écluses du Canal de passes à poissons…</v>
      </c>
    </row>
    <row r="52" spans="1:25" hidden="1" x14ac:dyDescent="0.25">
      <c r="A52" s="249" t="str">
        <f t="shared" si="1"/>
        <v>1</v>
      </c>
      <c r="B52" s="249" t="str">
        <f>VLOOKUP($D52,'[4]1. Mesures'!$A$2:$G$116,6,0)</f>
        <v>OS 1.1</v>
      </c>
      <c r="C52" s="249" t="str">
        <f>VLOOKUP($D52,'[4]1. Mesures'!$A$2:$G$116,7,0)</f>
        <v>OO 1.1.1</v>
      </c>
      <c r="D52" s="249" t="str">
        <f t="shared" si="2"/>
        <v>M 1.4</v>
      </c>
      <c r="E52" s="250" t="s">
        <v>784</v>
      </c>
      <c r="F52" s="249" t="str">
        <f>VLOOKUP(E52,'5.2 Actions'!$A$3:$B$720,2,0)</f>
        <v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v>
      </c>
      <c r="G52" s="251" t="str">
        <f>VLOOKUP(E52,'[4]5.2 Actions'!$A$3:$D$718,4,0)</f>
        <v>SEN / WOL / CAN</v>
      </c>
      <c r="H52" s="252">
        <f>VLOOKUP($E52,'5.1 Budget'!$A$4:$H$729,2,0)</f>
        <v>0</v>
      </c>
      <c r="I52" s="252">
        <f>VLOOKUP($E52,'5.1 Budget'!$A$4:$H$729,3,0)</f>
        <v>0</v>
      </c>
      <c r="J52" s="252">
        <f>VLOOKUP($E52,'5.1 Budget'!$A$4:$H$729,4,0)</f>
        <v>0</v>
      </c>
      <c r="K52" s="252">
        <f>VLOOKUP($E52,'5.1 Budget'!$A$4:$H$729,5,0)</f>
        <v>0</v>
      </c>
      <c r="L52" s="252">
        <f>VLOOKUP($E52,'5.1 Budget'!$A$4:$H$729,6,0)</f>
        <v>0</v>
      </c>
      <c r="M52" s="252">
        <f>VLOOKUP($E52,'5.1 Budget'!$A$4:$H$729,7,0)</f>
        <v>0</v>
      </c>
      <c r="N52" s="252">
        <f>VLOOKUP($E52,'5.1 Budget'!$A$4:$H$729,8,0)</f>
        <v>0</v>
      </c>
      <c r="O52" s="249"/>
      <c r="P52" s="249"/>
      <c r="Q52" s="249"/>
      <c r="R52" s="249"/>
      <c r="S52" s="249"/>
      <c r="T52" s="249"/>
      <c r="U52" s="253"/>
      <c r="V52" t="str">
        <f>VLOOKUP(D52,'[4]1. Mesures'!$A$1:$B$116,2,0)</f>
        <v>Lutter contre les espèces invasives qui portent atteinte ou présentent un risque pour le bon potentiel écologique des masses d'eau de surface</v>
      </c>
      <c r="W52" t="str">
        <f>VLOOKUP(B52,[1]HIERARCH!$A$1:$B$57,2,0)</f>
        <v>Assurer la gestion qualitative des masses d'eau de surface</v>
      </c>
      <c r="X52" t="str">
        <f>VLOOKUP(C52,[1]HIERARCH!$A$2:$B$57,2,0)</f>
        <v xml:space="preserve">Améliorer la qualité hydromorphologique et biologique des masses d'eau de surface </v>
      </c>
      <c r="Y52" t="str">
        <f t="shared" si="3"/>
        <v>Réaliser un diagnostic global de l’état d’invasion et risque d’invasion des milieux aquatiques et ripariens dans la régi…</v>
      </c>
    </row>
    <row r="53" spans="1:25" hidden="1" x14ac:dyDescent="0.25">
      <c r="A53" s="249" t="str">
        <f t="shared" si="1"/>
        <v>1</v>
      </c>
      <c r="B53" s="249" t="str">
        <f>VLOOKUP($D53,'[4]1. Mesures'!$A$2:$G$116,6,0)</f>
        <v>OS 1.1</v>
      </c>
      <c r="C53" s="249" t="str">
        <f>VLOOKUP($D53,'[4]1. Mesures'!$A$2:$G$116,7,0)</f>
        <v>OO 1.1.1</v>
      </c>
      <c r="D53" s="249" t="str">
        <f t="shared" si="2"/>
        <v>M 1.4</v>
      </c>
      <c r="E53" s="250" t="s">
        <v>789</v>
      </c>
      <c r="F53" s="249" t="str">
        <f>VLOOKUP(E53,'5.2 Actions'!$A$3:$B$720,2,0)</f>
        <v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v>
      </c>
      <c r="G53" s="251" t="str">
        <f>VLOOKUP(E53,'[4]5.2 Actions'!$A$3:$D$718,4,0)</f>
        <v>SEN / WOL / CAN</v>
      </c>
      <c r="H53" s="252">
        <f>VLOOKUP($E53,'5.1 Budget'!$A$4:$H$729,2,0)</f>
        <v>0</v>
      </c>
      <c r="I53" s="252">
        <f>VLOOKUP($E53,'5.1 Budget'!$A$4:$H$729,3,0)</f>
        <v>0</v>
      </c>
      <c r="J53" s="252">
        <f>VLOOKUP($E53,'5.1 Budget'!$A$4:$H$729,4,0)</f>
        <v>0</v>
      </c>
      <c r="K53" s="252">
        <f>VLOOKUP($E53,'5.1 Budget'!$A$4:$H$729,5,0)</f>
        <v>0</v>
      </c>
      <c r="L53" s="252">
        <f>VLOOKUP($E53,'5.1 Budget'!$A$4:$H$729,6,0)</f>
        <v>0</v>
      </c>
      <c r="M53" s="252">
        <f>VLOOKUP($E53,'5.1 Budget'!$A$4:$H$729,7,0)</f>
        <v>0</v>
      </c>
      <c r="N53" s="252">
        <f>VLOOKUP($E53,'5.1 Budget'!$A$4:$H$729,8,0)</f>
        <v>0</v>
      </c>
      <c r="O53" s="249"/>
      <c r="P53" s="249"/>
      <c r="Q53" s="249"/>
      <c r="R53" s="249"/>
      <c r="S53" s="249"/>
      <c r="T53" s="249"/>
      <c r="U53" s="253"/>
      <c r="V53" t="str">
        <f>VLOOKUP(D53,'[4]1. Mesures'!$A$1:$B$116,2,0)</f>
        <v>Lutter contre les espèces invasives qui portent atteinte ou présentent un risque pour le bon potentiel écologique des masses d'eau de surface</v>
      </c>
      <c r="W53" t="str">
        <f>VLOOKUP(B53,[1]HIERARCH!$A$1:$B$57,2,0)</f>
        <v>Assurer la gestion qualitative des masses d'eau de surface</v>
      </c>
      <c r="X53" t="str">
        <f>VLOOKUP(C53,[1]HIERARCH!$A$2:$B$57,2,0)</f>
        <v xml:space="preserve">Améliorer la qualité hydromorphologique et biologique des masses d'eau de surface </v>
      </c>
      <c r="Y53" t="str">
        <f t="shared" si="3"/>
        <v>Élaboration d’une stratégie de gestion des EEE :
- rassembler des informations bibliographiques pour chaque EEE sur les …</v>
      </c>
    </row>
    <row r="54" spans="1:25" hidden="1" x14ac:dyDescent="0.25">
      <c r="A54" s="249" t="str">
        <f t="shared" si="1"/>
        <v>1</v>
      </c>
      <c r="B54" s="249" t="str">
        <f>VLOOKUP($D54,'[4]1. Mesures'!$A$2:$G$116,6,0)</f>
        <v>OS 1.1</v>
      </c>
      <c r="C54" s="249" t="str">
        <f>VLOOKUP($D54,'[4]1. Mesures'!$A$2:$G$116,7,0)</f>
        <v>OO 1.1.1</v>
      </c>
      <c r="D54" s="249" t="str">
        <f t="shared" si="2"/>
        <v>M 1.4</v>
      </c>
      <c r="E54" s="250" t="s">
        <v>790</v>
      </c>
      <c r="F54" s="249" t="str">
        <f>VLOOKUP(E54,'5.2 Actions'!$A$3:$B$720,2,0)</f>
        <v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v>
      </c>
      <c r="G54" s="251" t="str">
        <f>VLOOKUP(E54,'[4]5.2 Actions'!$A$3:$D$718,4,0)</f>
        <v>SEN / WOL / CAN</v>
      </c>
      <c r="H54" s="252">
        <f>VLOOKUP($E54,'5.1 Budget'!$A$4:$H$729,2,0)</f>
        <v>0</v>
      </c>
      <c r="I54" s="252">
        <f>VLOOKUP($E54,'5.1 Budget'!$A$4:$H$729,3,0)</f>
        <v>0</v>
      </c>
      <c r="J54" s="252">
        <f>VLOOKUP($E54,'5.1 Budget'!$A$4:$H$729,4,0)</f>
        <v>0</v>
      </c>
      <c r="K54" s="252">
        <f>VLOOKUP($E54,'5.1 Budget'!$A$4:$H$729,5,0)</f>
        <v>0</v>
      </c>
      <c r="L54" s="252">
        <f>VLOOKUP($E54,'5.1 Budget'!$A$4:$H$729,6,0)</f>
        <v>0</v>
      </c>
      <c r="M54" s="252">
        <f>VLOOKUP($E54,'5.1 Budget'!$A$4:$H$729,7,0)</f>
        <v>0</v>
      </c>
      <c r="N54" s="252">
        <f>VLOOKUP($E54,'5.1 Budget'!$A$4:$H$729,8,0)</f>
        <v>0</v>
      </c>
      <c r="O54" s="249"/>
      <c r="P54" s="249"/>
      <c r="Q54" s="249"/>
      <c r="R54" s="249"/>
      <c r="S54" s="249"/>
      <c r="T54" s="249"/>
      <c r="U54" s="253"/>
      <c r="V54" t="str">
        <f>VLOOKUP(D54,'[4]1. Mesures'!$A$1:$B$116,2,0)</f>
        <v>Lutter contre les espèces invasives qui portent atteinte ou présentent un risque pour le bon potentiel écologique des masses d'eau de surface</v>
      </c>
      <c r="W54" t="str">
        <f>VLOOKUP(B54,[1]HIERARCH!$A$1:$B$57,2,0)</f>
        <v>Assurer la gestion qualitative des masses d'eau de surface</v>
      </c>
      <c r="X54" t="str">
        <f>VLOOKUP(C54,[1]HIERARCH!$A$2:$B$57,2,0)</f>
        <v xml:space="preserve">Améliorer la qualité hydromorphologique et biologique des masses d'eau de surface </v>
      </c>
      <c r="Y54" t="str">
        <f t="shared" si="3"/>
        <v>Mise en place d’une stratégie de surveillance des EEE liées à l’eau et de signalement précoce (early warning) de l’appar…</v>
      </c>
    </row>
    <row r="55" spans="1:25" hidden="1" x14ac:dyDescent="0.25">
      <c r="A55" s="249" t="str">
        <f t="shared" si="1"/>
        <v>1</v>
      </c>
      <c r="B55" s="249" t="str">
        <f>VLOOKUP($D55,'[4]1. Mesures'!$A$2:$G$116,6,0)</f>
        <v>OS 1.1</v>
      </c>
      <c r="C55" s="249" t="str">
        <f>VLOOKUP($D55,'[4]1. Mesures'!$A$2:$G$116,7,0)</f>
        <v>OO 1.1.1</v>
      </c>
      <c r="D55" s="249" t="str">
        <f t="shared" si="2"/>
        <v>M 1.4</v>
      </c>
      <c r="E55" s="250" t="s">
        <v>791</v>
      </c>
      <c r="F55" s="249" t="str">
        <f>VLOOKUP(E55,'5.2 Actions'!$A$3:$B$720,2,0)</f>
        <v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v>
      </c>
      <c r="G55" s="251" t="str">
        <f>VLOOKUP(E55,'[4]5.2 Actions'!$A$3:$D$718,4,0)</f>
        <v>SEN / WOL / CAN</v>
      </c>
      <c r="H55" s="252">
        <f>VLOOKUP($E55,'5.1 Budget'!$A$4:$H$729,2,0)</f>
        <v>0</v>
      </c>
      <c r="I55" s="252">
        <f>VLOOKUP($E55,'5.1 Budget'!$A$4:$H$729,3,0)</f>
        <v>0</v>
      </c>
      <c r="J55" s="252">
        <f>VLOOKUP($E55,'5.1 Budget'!$A$4:$H$729,4,0)</f>
        <v>0</v>
      </c>
      <c r="K55" s="252">
        <f>VLOOKUP($E55,'5.1 Budget'!$A$4:$H$729,5,0)</f>
        <v>0</v>
      </c>
      <c r="L55" s="252">
        <f>VLOOKUP($E55,'5.1 Budget'!$A$4:$H$729,6,0)</f>
        <v>0</v>
      </c>
      <c r="M55" s="252">
        <f>VLOOKUP($E55,'5.1 Budget'!$A$4:$H$729,7,0)</f>
        <v>0</v>
      </c>
      <c r="N55" s="252">
        <f>VLOOKUP($E55,'5.1 Budget'!$A$4:$H$729,8,0)</f>
        <v>0</v>
      </c>
      <c r="O55" s="249"/>
      <c r="P55" s="249"/>
      <c r="Q55" s="249"/>
      <c r="R55" s="249"/>
      <c r="S55" s="249"/>
      <c r="T55" s="249"/>
      <c r="U55" s="253"/>
      <c r="V55" t="str">
        <f>VLOOKUP(D55,'[4]1. Mesures'!$A$1:$B$116,2,0)</f>
        <v>Lutter contre les espèces invasives qui portent atteinte ou présentent un risque pour le bon potentiel écologique des masses d'eau de surface</v>
      </c>
      <c r="W55" t="str">
        <f>VLOOKUP(B55,[1]HIERARCH!$A$1:$B$57,2,0)</f>
        <v>Assurer la gestion qualitative des masses d'eau de surface</v>
      </c>
      <c r="X55" t="str">
        <f>VLOOKUP(C55,[1]HIERARCH!$A$2:$B$57,2,0)</f>
        <v xml:space="preserve">Améliorer la qualité hydromorphologique et biologique des masses d'eau de surface </v>
      </c>
      <c r="Y55" t="str">
        <f t="shared" si="3"/>
        <v>Appliquer les techniques de prévention usuelles :
    - respecter des clauses bio-sanitaires spécifiques selon les espèc…</v>
      </c>
    </row>
    <row r="56" spans="1:25" hidden="1" x14ac:dyDescent="0.25">
      <c r="A56" s="249" t="str">
        <f t="shared" si="1"/>
        <v>1</v>
      </c>
      <c r="B56" s="249" t="str">
        <f>VLOOKUP($D56,'[4]1. Mesures'!$A$2:$G$116,6,0)</f>
        <v>OS 1.1</v>
      </c>
      <c r="C56" s="249" t="str">
        <f>VLOOKUP($D56,'[4]1. Mesures'!$A$2:$G$116,7,0)</f>
        <v>OO 1.1.1</v>
      </c>
      <c r="D56" s="249" t="str">
        <f t="shared" si="2"/>
        <v>M 1.4</v>
      </c>
      <c r="E56" s="250" t="s">
        <v>792</v>
      </c>
      <c r="F56" s="249" t="str">
        <f>VLOOKUP(E56,'5.2 Actions'!$A$3:$B$720,2,0)</f>
        <v xml:space="preserve">Développer et valider des « zones-tests » afin d’expérimenter des techniques nouvelles :
- d’éradication précoce,
- de contrôle (notamment biologique),
- de confinement.
Ex : pièges à écrevisses, plantation de plantes indigènes compétitrices, éco-pâturage
</v>
      </c>
      <c r="G56" s="251" t="str">
        <f>VLOOKUP(E56,'[4]5.2 Actions'!$A$3:$D$718,4,0)</f>
        <v>SEN / WOL / CAN</v>
      </c>
      <c r="H56" s="252">
        <f>VLOOKUP($E56,'5.1 Budget'!$A$4:$H$729,2,0)</f>
        <v>0</v>
      </c>
      <c r="I56" s="252">
        <f>VLOOKUP($E56,'5.1 Budget'!$A$4:$H$729,3,0)</f>
        <v>0</v>
      </c>
      <c r="J56" s="252">
        <f>VLOOKUP($E56,'5.1 Budget'!$A$4:$H$729,4,0)</f>
        <v>0</v>
      </c>
      <c r="K56" s="252">
        <f>VLOOKUP($E56,'5.1 Budget'!$A$4:$H$729,5,0)</f>
        <v>0</v>
      </c>
      <c r="L56" s="252">
        <f>VLOOKUP($E56,'5.1 Budget'!$A$4:$H$729,6,0)</f>
        <v>0</v>
      </c>
      <c r="M56" s="252">
        <f>VLOOKUP($E56,'5.1 Budget'!$A$4:$H$729,7,0)</f>
        <v>0</v>
      </c>
      <c r="N56" s="252">
        <f>VLOOKUP($E56,'5.1 Budget'!$A$4:$H$729,8,0)</f>
        <v>0</v>
      </c>
      <c r="O56" s="249"/>
      <c r="P56" s="249"/>
      <c r="Q56" s="249"/>
      <c r="R56" s="249"/>
      <c r="S56" s="249"/>
      <c r="T56" s="249"/>
      <c r="U56" s="253"/>
      <c r="V56" t="str">
        <f>VLOOKUP(D56,'[4]1. Mesures'!$A$1:$B$116,2,0)</f>
        <v>Lutter contre les espèces invasives qui portent atteinte ou présentent un risque pour le bon potentiel écologique des masses d'eau de surface</v>
      </c>
      <c r="W56" t="str">
        <f>VLOOKUP(B56,[1]HIERARCH!$A$1:$B$57,2,0)</f>
        <v>Assurer la gestion qualitative des masses d'eau de surface</v>
      </c>
      <c r="X56" t="str">
        <f>VLOOKUP(C56,[1]HIERARCH!$A$2:$B$57,2,0)</f>
        <v xml:space="preserve">Améliorer la qualité hydromorphologique et biologique des masses d'eau de surface </v>
      </c>
      <c r="Y56" t="str">
        <f t="shared" si="3"/>
        <v>Développer et valider des « zones-tests » afin d’expérimenter des techniques nouvelles :
- d’éradication précoce,
- de c…</v>
      </c>
    </row>
    <row r="57" spans="1:25" hidden="1" x14ac:dyDescent="0.25">
      <c r="A57" s="249" t="str">
        <f t="shared" si="1"/>
        <v>1</v>
      </c>
      <c r="B57" s="249" t="str">
        <f>VLOOKUP($D57,'[4]1. Mesures'!$A$2:$G$116,6,0)</f>
        <v>OS 1.1</v>
      </c>
      <c r="C57" s="249" t="str">
        <f>VLOOKUP($D57,'[4]1. Mesures'!$A$2:$G$116,7,0)</f>
        <v>OO 1.1.1</v>
      </c>
      <c r="D57" s="249" t="str">
        <f t="shared" si="2"/>
        <v>M 1.4</v>
      </c>
      <c r="E57" s="250" t="s">
        <v>793</v>
      </c>
      <c r="F57" s="249" t="str">
        <f>VLOOKUP(E57,'5.2 Actions'!$A$3:$B$720,2,0)</f>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v>
      </c>
      <c r="G57" s="251" t="str">
        <f>VLOOKUP(E57,'[4]5.2 Actions'!$A$3:$D$718,4,0)</f>
        <v>SEN / WOL / CAN</v>
      </c>
      <c r="H57" s="252">
        <f>VLOOKUP($E57,'5.1 Budget'!$A$4:$H$729,2,0)</f>
        <v>0</v>
      </c>
      <c r="I57" s="252">
        <f>VLOOKUP($E57,'5.1 Budget'!$A$4:$H$729,3,0)</f>
        <v>0</v>
      </c>
      <c r="J57" s="252">
        <f>VLOOKUP($E57,'5.1 Budget'!$A$4:$H$729,4,0)</f>
        <v>0</v>
      </c>
      <c r="K57" s="252">
        <f>VLOOKUP($E57,'5.1 Budget'!$A$4:$H$729,5,0)</f>
        <v>0</v>
      </c>
      <c r="L57" s="252">
        <f>VLOOKUP($E57,'5.1 Budget'!$A$4:$H$729,6,0)</f>
        <v>0</v>
      </c>
      <c r="M57" s="252">
        <f>VLOOKUP($E57,'5.1 Budget'!$A$4:$H$729,7,0)</f>
        <v>0</v>
      </c>
      <c r="N57" s="252">
        <f>VLOOKUP($E57,'5.1 Budget'!$A$4:$H$729,8,0)</f>
        <v>0</v>
      </c>
      <c r="O57" s="249"/>
      <c r="P57" s="249"/>
      <c r="Q57" s="249"/>
      <c r="R57" s="249"/>
      <c r="S57" s="249"/>
      <c r="T57" s="249"/>
      <c r="U57" s="253"/>
      <c r="V57" t="str">
        <f>VLOOKUP(D57,'[4]1. Mesures'!$A$1:$B$116,2,0)</f>
        <v>Lutter contre les espèces invasives qui portent atteinte ou présentent un risque pour le bon potentiel écologique des masses d'eau de surface</v>
      </c>
      <c r="W57" t="str">
        <f>VLOOKUP(B57,[1]HIERARCH!$A$1:$B$57,2,0)</f>
        <v>Assurer la gestion qualitative des masses d'eau de surface</v>
      </c>
      <c r="X57" t="str">
        <f>VLOOKUP(C57,[1]HIERARCH!$A$2:$B$57,2,0)</f>
        <v xml:space="preserve">Améliorer la qualité hydromorphologique et biologique des masses d'eau de surface </v>
      </c>
      <c r="Y57" t="str">
        <f t="shared" si="3"/>
        <v>Pour les techniques de gestion déjà connues pour être efficaces, poursuivre les opérations de régulation visant à élimin…</v>
      </c>
    </row>
    <row r="58" spans="1:25" hidden="1" x14ac:dyDescent="0.25">
      <c r="A58" s="249" t="str">
        <f t="shared" si="1"/>
        <v>1</v>
      </c>
      <c r="B58" s="249" t="str">
        <f>VLOOKUP($D58,'[4]1. Mesures'!$A$2:$G$116,6,0)</f>
        <v>OS 1.1</v>
      </c>
      <c r="C58" s="249" t="str">
        <f>VLOOKUP($D58,'[4]1. Mesures'!$A$2:$G$116,7,0)</f>
        <v>OO 1.1.1</v>
      </c>
      <c r="D58" s="249" t="str">
        <f t="shared" si="2"/>
        <v>M 1.4</v>
      </c>
      <c r="E58" s="250" t="s">
        <v>794</v>
      </c>
      <c r="F58" s="249" t="str">
        <f>VLOOKUP(E58,'5.2 Actions'!$A$3:$B$720,2,0)</f>
        <v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v>
      </c>
      <c r="G58" s="251" t="str">
        <f>VLOOKUP(E58,'[4]5.2 Actions'!$A$3:$D$718,4,0)</f>
        <v>SEN / WOL / CAN</v>
      </c>
      <c r="H58" s="252">
        <f>VLOOKUP($E58,'5.1 Budget'!$A$4:$H$729,2,0)</f>
        <v>0</v>
      </c>
      <c r="I58" s="252">
        <f>VLOOKUP($E58,'5.1 Budget'!$A$4:$H$729,3,0)</f>
        <v>0</v>
      </c>
      <c r="J58" s="252">
        <f>VLOOKUP($E58,'5.1 Budget'!$A$4:$H$729,4,0)</f>
        <v>0</v>
      </c>
      <c r="K58" s="252">
        <f>VLOOKUP($E58,'5.1 Budget'!$A$4:$H$729,5,0)</f>
        <v>0</v>
      </c>
      <c r="L58" s="252">
        <f>VLOOKUP($E58,'5.1 Budget'!$A$4:$H$729,6,0)</f>
        <v>0</v>
      </c>
      <c r="M58" s="252">
        <f>VLOOKUP($E58,'5.1 Budget'!$A$4:$H$729,7,0)</f>
        <v>0</v>
      </c>
      <c r="N58" s="252">
        <f>VLOOKUP($E58,'5.1 Budget'!$A$4:$H$729,8,0)</f>
        <v>0</v>
      </c>
      <c r="O58" s="249"/>
      <c r="P58" s="249"/>
      <c r="Q58" s="249"/>
      <c r="R58" s="249"/>
      <c r="S58" s="249"/>
      <c r="T58" s="249"/>
      <c r="U58" s="253"/>
      <c r="V58" t="str">
        <f>VLOOKUP(D58,'[4]1. Mesures'!$A$1:$B$116,2,0)</f>
        <v>Lutter contre les espèces invasives qui portent atteinte ou présentent un risque pour le bon potentiel écologique des masses d'eau de surface</v>
      </c>
      <c r="W58" t="str">
        <f>VLOOKUP(B58,[1]HIERARCH!$A$1:$B$57,2,0)</f>
        <v>Assurer la gestion qualitative des masses d'eau de surface</v>
      </c>
      <c r="X58" t="str">
        <f>VLOOKUP(C58,[1]HIERARCH!$A$2:$B$57,2,0)</f>
        <v xml:space="preserve">Améliorer la qualité hydromorphologique et biologique des masses d'eau de surface </v>
      </c>
      <c r="Y58" t="str">
        <f t="shared" si="3"/>
        <v>Coopérer avec les régions flamande et wallonne dans la lutte contre les EEE aquatiques et ripariennes
- comparer les tec…</v>
      </c>
    </row>
    <row r="59" spans="1:25" hidden="1" x14ac:dyDescent="0.25">
      <c r="A59" s="249" t="str">
        <f t="shared" si="1"/>
        <v>1</v>
      </c>
      <c r="B59" s="249" t="str">
        <f>VLOOKUP($D59,'[4]1. Mesures'!$A$2:$G$116,6,0)</f>
        <v>OS 1.1</v>
      </c>
      <c r="C59" s="249" t="str">
        <f>VLOOKUP($D59,'[4]1. Mesures'!$A$2:$G$116,7,0)</f>
        <v>OO 1.1.1</v>
      </c>
      <c r="D59" s="249" t="str">
        <f t="shared" si="2"/>
        <v>M 1.4</v>
      </c>
      <c r="E59" s="250" t="s">
        <v>795</v>
      </c>
      <c r="F59" s="249" t="str">
        <f>VLOOKUP(E59,'5.2 Actions'!$A$3:$B$720,2,0)</f>
        <v>Etendre les mesures de lutte contre les EEE aquatiques sur le territoire de la région en fonction des résultats des zones-tests</v>
      </c>
      <c r="G59" s="251" t="str">
        <f>VLOOKUP(E59,'[4]5.2 Actions'!$A$3:$D$718,4,0)</f>
        <v>SEN / WOL / CAN</v>
      </c>
      <c r="H59" s="252">
        <f>VLOOKUP($E59,'5.1 Budget'!$A$4:$H$729,2,0)</f>
        <v>40000</v>
      </c>
      <c r="I59" s="252">
        <f>VLOOKUP($E59,'5.1 Budget'!$A$4:$H$729,3,0)</f>
        <v>40000</v>
      </c>
      <c r="J59" s="252">
        <f>VLOOKUP($E59,'5.1 Budget'!$A$4:$H$729,4,0)</f>
        <v>40000</v>
      </c>
      <c r="K59" s="252">
        <f>VLOOKUP($E59,'5.1 Budget'!$A$4:$H$729,5,0)</f>
        <v>45000</v>
      </c>
      <c r="L59" s="252">
        <f>VLOOKUP($E59,'5.1 Budget'!$A$4:$H$729,6,0)</f>
        <v>0</v>
      </c>
      <c r="M59" s="252">
        <f>VLOOKUP($E59,'5.1 Budget'!$A$4:$H$729,7,0)</f>
        <v>0</v>
      </c>
      <c r="N59" s="252">
        <f>VLOOKUP($E59,'5.1 Budget'!$A$4:$H$729,8,0)</f>
        <v>165000</v>
      </c>
      <c r="O59" s="249"/>
      <c r="P59" s="249"/>
      <c r="Q59" s="249"/>
      <c r="R59" s="249"/>
      <c r="S59" s="249"/>
      <c r="T59" s="249"/>
      <c r="U59" s="253"/>
      <c r="V59" t="str">
        <f>VLOOKUP(D59,'[4]1. Mesures'!$A$1:$B$116,2,0)</f>
        <v>Lutter contre les espèces invasives qui portent atteinte ou présentent un risque pour le bon potentiel écologique des masses d'eau de surface</v>
      </c>
      <c r="W59" t="str">
        <f>VLOOKUP(B59,[1]HIERARCH!$A$1:$B$57,2,0)</f>
        <v>Assurer la gestion qualitative des masses d'eau de surface</v>
      </c>
      <c r="X59" t="str">
        <f>VLOOKUP(C59,[1]HIERARCH!$A$2:$B$57,2,0)</f>
        <v xml:space="preserve">Améliorer la qualité hydromorphologique et biologique des masses d'eau de surface </v>
      </c>
      <c r="Y59" t="str">
        <f t="shared" si="3"/>
        <v>Etendre les mesures de lutte contre les EEE aquatiques sur le territoire de la région en fonction des résultats des zone…</v>
      </c>
    </row>
    <row r="60" spans="1:25" hidden="1" x14ac:dyDescent="0.25">
      <c r="A60" s="249" t="str">
        <f t="shared" si="1"/>
        <v>1</v>
      </c>
      <c r="B60" s="249" t="str">
        <f>VLOOKUP($D60,'[4]1. Mesures'!$A$2:$G$116,6,0)</f>
        <v>OS 1.1</v>
      </c>
      <c r="C60" s="249" t="str">
        <f>VLOOKUP($D60,'[4]1. Mesures'!$A$2:$G$116,7,0)</f>
        <v>OO 1.1.1</v>
      </c>
      <c r="D60" s="249" t="str">
        <f t="shared" si="2"/>
        <v>M 1.4</v>
      </c>
      <c r="E60" s="250" t="s">
        <v>796</v>
      </c>
      <c r="F60" s="249" t="str">
        <f>VLOOKUP(E60,'5.2 Actions'!$A$3:$B$720,2,0)</f>
        <v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v>
      </c>
      <c r="G60" s="251" t="str">
        <f>VLOOKUP(E60,'[4]5.2 Actions'!$A$3:$D$718,4,0)</f>
        <v>SEN / WOL / CAN</v>
      </c>
      <c r="H60" s="252">
        <f>VLOOKUP($E60,'5.1 Budget'!$A$4:$H$729,2,0)</f>
        <v>0</v>
      </c>
      <c r="I60" s="252">
        <f>VLOOKUP($E60,'5.1 Budget'!$A$4:$H$729,3,0)</f>
        <v>0</v>
      </c>
      <c r="J60" s="252">
        <f>VLOOKUP($E60,'5.1 Budget'!$A$4:$H$729,4,0)</f>
        <v>0</v>
      </c>
      <c r="K60" s="252">
        <f>VLOOKUP($E60,'5.1 Budget'!$A$4:$H$729,5,0)</f>
        <v>0</v>
      </c>
      <c r="L60" s="252">
        <f>VLOOKUP($E60,'5.1 Budget'!$A$4:$H$729,6,0)</f>
        <v>0</v>
      </c>
      <c r="M60" s="252">
        <f>VLOOKUP($E60,'5.1 Budget'!$A$4:$H$729,7,0)</f>
        <v>0</v>
      </c>
      <c r="N60" s="252">
        <f>VLOOKUP($E60,'5.1 Budget'!$A$4:$H$729,8,0)</f>
        <v>0</v>
      </c>
      <c r="O60" s="249"/>
      <c r="P60" s="249"/>
      <c r="Q60" s="249"/>
      <c r="R60" s="249"/>
      <c r="S60" s="249"/>
      <c r="T60" s="249"/>
      <c r="U60" s="253"/>
      <c r="V60" t="str">
        <f>VLOOKUP(D60,'[4]1. Mesures'!$A$1:$B$116,2,0)</f>
        <v>Lutter contre les espèces invasives qui portent atteinte ou présentent un risque pour le bon potentiel écologique des masses d'eau de surface</v>
      </c>
      <c r="W60" t="str">
        <f>VLOOKUP(B60,[1]HIERARCH!$A$1:$B$57,2,0)</f>
        <v>Assurer la gestion qualitative des masses d'eau de surface</v>
      </c>
      <c r="X60" t="str">
        <f>VLOOKUP(C60,[1]HIERARCH!$A$2:$B$57,2,0)</f>
        <v xml:space="preserve">Améliorer la qualité hydromorphologique et biologique des masses d'eau de surface </v>
      </c>
      <c r="Y60" t="str">
        <f t="shared" si="3"/>
        <v>Identifier les structures d’accueil pour les tortues de Floride (et éventuellement d’autres EEE) extraits de l’environne…</v>
      </c>
    </row>
    <row r="61" spans="1:25" hidden="1" x14ac:dyDescent="0.25">
      <c r="A61" s="249" t="str">
        <f t="shared" si="1"/>
        <v>1</v>
      </c>
      <c r="B61" s="249" t="str">
        <f>VLOOKUP($D61,'[4]1. Mesures'!$A$2:$G$116,6,0)</f>
        <v>OS 1.1</v>
      </c>
      <c r="C61" s="249" t="str">
        <f>VLOOKUP($D61,'[4]1. Mesures'!$A$2:$G$116,7,0)</f>
        <v>OO 1.1.1</v>
      </c>
      <c r="D61" s="249" t="str">
        <f t="shared" si="2"/>
        <v>M 1.4</v>
      </c>
      <c r="E61" s="250" t="s">
        <v>785</v>
      </c>
      <c r="F61" s="249" t="str">
        <f>VLOOKUP(E61,'5.2 Actions'!$A$3:$B$720,2,0)</f>
        <v>Porter  auprès des instances compétentes la problématique de la vente des EEE (pépinières, animaleries, etc.) de la liste européenne pour réaliser les contrôles nécessaires à faire appliquer l’interdiction. Sensibiliser les commerces quant à cette interdiction</v>
      </c>
      <c r="G61" s="251" t="str">
        <f>VLOOKUP(E61,'[4]5.2 Actions'!$A$3:$D$718,4,0)</f>
        <v>SEN / WOL / CAN</v>
      </c>
      <c r="H61" s="252">
        <f>VLOOKUP($E61,'5.1 Budget'!$A$4:$H$729,2,0)</f>
        <v>0</v>
      </c>
      <c r="I61" s="252">
        <f>VLOOKUP($E61,'5.1 Budget'!$A$4:$H$729,3,0)</f>
        <v>0</v>
      </c>
      <c r="J61" s="252">
        <f>VLOOKUP($E61,'5.1 Budget'!$A$4:$H$729,4,0)</f>
        <v>0</v>
      </c>
      <c r="K61" s="252">
        <f>VLOOKUP($E61,'5.1 Budget'!$A$4:$H$729,5,0)</f>
        <v>0</v>
      </c>
      <c r="L61" s="252">
        <f>VLOOKUP($E61,'5.1 Budget'!$A$4:$H$729,6,0)</f>
        <v>0</v>
      </c>
      <c r="M61" s="252">
        <f>VLOOKUP($E61,'5.1 Budget'!$A$4:$H$729,7,0)</f>
        <v>0</v>
      </c>
      <c r="N61" s="252">
        <f>VLOOKUP($E61,'5.1 Budget'!$A$4:$H$729,8,0)</f>
        <v>0</v>
      </c>
      <c r="O61" s="249"/>
      <c r="P61" s="249"/>
      <c r="Q61" s="249"/>
      <c r="R61" s="249"/>
      <c r="S61" s="249"/>
      <c r="T61" s="249"/>
      <c r="U61" s="253"/>
      <c r="V61" t="str">
        <f>VLOOKUP(D61,'[4]1. Mesures'!$A$1:$B$116,2,0)</f>
        <v>Lutter contre les espèces invasives qui portent atteinte ou présentent un risque pour le bon potentiel écologique des masses d'eau de surface</v>
      </c>
      <c r="W61" t="str">
        <f>VLOOKUP(B61,[1]HIERARCH!$A$1:$B$57,2,0)</f>
        <v>Assurer la gestion qualitative des masses d'eau de surface</v>
      </c>
      <c r="X61" t="str">
        <f>VLOOKUP(C61,[1]HIERARCH!$A$2:$B$57,2,0)</f>
        <v xml:space="preserve">Améliorer la qualité hydromorphologique et biologique des masses d'eau de surface </v>
      </c>
      <c r="Y61" t="str">
        <f t="shared" si="3"/>
        <v>Porter  auprès des instances compétentes la problématique de la vente des EEE (pépinières, animaleries, etc.) de la list…</v>
      </c>
    </row>
    <row r="62" spans="1:25" hidden="1" x14ac:dyDescent="0.25">
      <c r="A62" s="249" t="str">
        <f t="shared" si="1"/>
        <v>1</v>
      </c>
      <c r="B62" s="249" t="str">
        <f>VLOOKUP($D62,'[4]1. Mesures'!$A$2:$G$116,6,0)</f>
        <v>OS 1.1</v>
      </c>
      <c r="C62" s="249" t="str">
        <f>VLOOKUP($D62,'[4]1. Mesures'!$A$2:$G$116,7,0)</f>
        <v>OO 1.1.1</v>
      </c>
      <c r="D62" s="249" t="str">
        <f t="shared" si="2"/>
        <v>M 1.4</v>
      </c>
      <c r="E62" s="250" t="s">
        <v>786</v>
      </c>
      <c r="F62" s="249" t="str">
        <f>VLOOKUP(E62,'5.2 Actions'!$A$3:$B$720,2,0)</f>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v>
      </c>
      <c r="G62" s="251" t="str">
        <f>VLOOKUP(E62,'[4]5.2 Actions'!$A$3:$D$718,4,0)</f>
        <v>SEN / WOL / CAN</v>
      </c>
      <c r="H62" s="252">
        <f>VLOOKUP($E62,'5.1 Budget'!$A$4:$H$729,2,0)</f>
        <v>0</v>
      </c>
      <c r="I62" s="252">
        <f>VLOOKUP($E62,'5.1 Budget'!$A$4:$H$729,3,0)</f>
        <v>0</v>
      </c>
      <c r="J62" s="252">
        <f>VLOOKUP($E62,'5.1 Budget'!$A$4:$H$729,4,0)</f>
        <v>0</v>
      </c>
      <c r="K62" s="252">
        <f>VLOOKUP($E62,'5.1 Budget'!$A$4:$H$729,5,0)</f>
        <v>0</v>
      </c>
      <c r="L62" s="252">
        <f>VLOOKUP($E62,'5.1 Budget'!$A$4:$H$729,6,0)</f>
        <v>0</v>
      </c>
      <c r="M62" s="252">
        <f>VLOOKUP($E62,'5.1 Budget'!$A$4:$H$729,7,0)</f>
        <v>0</v>
      </c>
      <c r="N62" s="252">
        <f>VLOOKUP($E62,'5.1 Budget'!$A$4:$H$729,8,0)</f>
        <v>0</v>
      </c>
      <c r="O62" s="254"/>
      <c r="V62" t="str">
        <f>VLOOKUP(D62,'[4]1. Mesures'!$A$1:$B$116,2,0)</f>
        <v>Lutter contre les espèces invasives qui portent atteinte ou présentent un risque pour le bon potentiel écologique des masses d'eau de surface</v>
      </c>
      <c r="W62" t="str">
        <f>VLOOKUP(B62,[1]HIERARCH!$A$1:$B$57,2,0)</f>
        <v>Assurer la gestion qualitative des masses d'eau de surface</v>
      </c>
      <c r="X62" t="str">
        <f>VLOOKUP(C62,[1]HIERARCH!$A$2:$B$57,2,0)</f>
        <v xml:space="preserve">Améliorer la qualité hydromorphologique et biologique des masses d'eau de surface </v>
      </c>
      <c r="Y62" t="str">
        <f t="shared" si="3"/>
        <v>Sensibiliser les Bruxellois quant aux impacts des EEE dans l’environnement aquatique et à ce qu’il faut faire s'ils iden…</v>
      </c>
    </row>
    <row r="63" spans="1:25" hidden="1" x14ac:dyDescent="0.25">
      <c r="A63" s="249" t="str">
        <f t="shared" si="1"/>
        <v>1</v>
      </c>
      <c r="B63" s="249" t="str">
        <f>VLOOKUP($D63,'[4]1. Mesures'!$A$2:$G$116,6,0)</f>
        <v>OS 1.1</v>
      </c>
      <c r="C63" s="249" t="str">
        <f>VLOOKUP($D63,'[4]1. Mesures'!$A$2:$G$116,7,0)</f>
        <v>OO 1.1.1</v>
      </c>
      <c r="D63" s="249" t="str">
        <f t="shared" si="2"/>
        <v>M 1.4</v>
      </c>
      <c r="E63" s="250" t="s">
        <v>787</v>
      </c>
      <c r="F63" s="249" t="str">
        <f>VLOOKUP(E63,'5.2 Actions'!$A$3:$B$720,2,0)</f>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v>
      </c>
      <c r="G63" s="251" t="str">
        <f>VLOOKUP(E63,'[4]5.2 Actions'!$A$3:$D$718,4,0)</f>
        <v>SEN / WOL / CAN</v>
      </c>
      <c r="H63" s="252">
        <f>VLOOKUP($E63,'5.1 Budget'!$A$4:$H$729,2,0)</f>
        <v>0</v>
      </c>
      <c r="I63" s="252">
        <f>VLOOKUP($E63,'5.1 Budget'!$A$4:$H$729,3,0)</f>
        <v>0</v>
      </c>
      <c r="J63" s="252">
        <f>VLOOKUP($E63,'5.1 Budget'!$A$4:$H$729,4,0)</f>
        <v>0</v>
      </c>
      <c r="K63" s="252">
        <f>VLOOKUP($E63,'5.1 Budget'!$A$4:$H$729,5,0)</f>
        <v>0</v>
      </c>
      <c r="L63" s="252">
        <f>VLOOKUP($E63,'5.1 Budget'!$A$4:$H$729,6,0)</f>
        <v>0</v>
      </c>
      <c r="M63" s="252">
        <f>VLOOKUP($E63,'5.1 Budget'!$A$4:$H$729,7,0)</f>
        <v>0</v>
      </c>
      <c r="N63" s="252">
        <f>VLOOKUP($E63,'5.1 Budget'!$A$4:$H$729,8,0)</f>
        <v>0</v>
      </c>
      <c r="O63" s="254"/>
      <c r="V63" t="str">
        <f>VLOOKUP(D63,'[4]1. Mesures'!$A$1:$B$116,2,0)</f>
        <v>Lutter contre les espèces invasives qui portent atteinte ou présentent un risque pour le bon potentiel écologique des masses d'eau de surface</v>
      </c>
      <c r="W63" t="str">
        <f>VLOOKUP(B63,[1]HIERARCH!$A$1:$B$57,2,0)</f>
        <v>Assurer la gestion qualitative des masses d'eau de surface</v>
      </c>
      <c r="X63" t="str">
        <f>VLOOKUP(C63,[1]HIERARCH!$A$2:$B$57,2,0)</f>
        <v xml:space="preserve">Améliorer la qualité hydromorphologique et biologique des masses d'eau de surface </v>
      </c>
      <c r="Y63" t="str">
        <f t="shared" si="3"/>
        <v>Sensibiliser les entités publiques susceptibles de faire des plantations (structures régionales, fédérales, communales) …</v>
      </c>
    </row>
    <row r="64" spans="1:25" hidden="1" x14ac:dyDescent="0.25">
      <c r="A64" s="249" t="str">
        <f t="shared" si="1"/>
        <v>1</v>
      </c>
      <c r="B64" s="249" t="str">
        <f>VLOOKUP($D64,'[4]1. Mesures'!$A$2:$G$116,6,0)</f>
        <v>OS 1.1</v>
      </c>
      <c r="C64" s="249" t="str">
        <f>VLOOKUP($D64,'[4]1. Mesures'!$A$2:$G$116,7,0)</f>
        <v>OO 1.1.1</v>
      </c>
      <c r="D64" s="249" t="str">
        <f t="shared" si="2"/>
        <v>M 1.4</v>
      </c>
      <c r="E64" s="250" t="s">
        <v>788</v>
      </c>
      <c r="F64" s="249" t="str">
        <f>VLOOKUP(E64,'5.2 Actions'!$A$3:$B$720,2,0)</f>
        <v xml:space="preserve">Actions de confinement de certaines plantes aquatiques et ripicoles envahissantes dans des zones spécifiques </v>
      </c>
      <c r="G64" s="251" t="str">
        <f>VLOOKUP(E64,'[4]5.2 Actions'!$A$3:$D$718,4,0)</f>
        <v>SEN / WOL / CAN</v>
      </c>
      <c r="H64" s="252">
        <f>VLOOKUP($E64,'5.1 Budget'!$A$4:$H$729,2,0)</f>
        <v>0</v>
      </c>
      <c r="I64" s="252">
        <f>VLOOKUP($E64,'5.1 Budget'!$A$4:$H$729,3,0)</f>
        <v>55000</v>
      </c>
      <c r="J64" s="252">
        <f>VLOOKUP($E64,'5.1 Budget'!$A$4:$H$729,4,0)</f>
        <v>55000</v>
      </c>
      <c r="K64" s="252">
        <f>VLOOKUP($E64,'5.1 Budget'!$A$4:$H$729,5,0)</f>
        <v>55000</v>
      </c>
      <c r="L64" s="252">
        <f>VLOOKUP($E64,'5.1 Budget'!$A$4:$H$729,6,0)</f>
        <v>0</v>
      </c>
      <c r="M64" s="252">
        <f>VLOOKUP($E64,'5.1 Budget'!$A$4:$H$729,7,0)</f>
        <v>0</v>
      </c>
      <c r="N64" s="252">
        <f>VLOOKUP($E64,'5.1 Budget'!$A$4:$H$729,8,0)</f>
        <v>165000</v>
      </c>
      <c r="O64" s="254"/>
      <c r="V64" t="str">
        <f>VLOOKUP(D64,'[4]1. Mesures'!$A$1:$B$116,2,0)</f>
        <v>Lutter contre les espèces invasives qui portent atteinte ou présentent un risque pour le bon potentiel écologique des masses d'eau de surface</v>
      </c>
      <c r="W64" t="str">
        <f>VLOOKUP(B64,[1]HIERARCH!$A$1:$B$57,2,0)</f>
        <v>Assurer la gestion qualitative des masses d'eau de surface</v>
      </c>
      <c r="X64" t="str">
        <f>VLOOKUP(C64,[1]HIERARCH!$A$2:$B$57,2,0)</f>
        <v xml:space="preserve">Améliorer la qualité hydromorphologique et biologique des masses d'eau de surface </v>
      </c>
      <c r="Y64" t="str">
        <f t="shared" si="3"/>
        <v>Actions de confinement de certaines plantes aquatiques et ripicoles envahissantes dans des zones spécifiques …</v>
      </c>
    </row>
    <row r="65" spans="1:25" hidden="1" x14ac:dyDescent="0.25">
      <c r="A65" s="249" t="str">
        <f t="shared" si="1"/>
        <v>1</v>
      </c>
      <c r="B65" s="249" t="str">
        <f>VLOOKUP($D65,'[4]1. Mesures'!$A$2:$G$116,6,0)</f>
        <v>OS 1.1</v>
      </c>
      <c r="C65" s="249" t="str">
        <f>VLOOKUP($D65,'[4]1. Mesures'!$A$2:$G$116,7,0)</f>
        <v>OO 1.1.1</v>
      </c>
      <c r="D65" s="249" t="str">
        <f t="shared" si="2"/>
        <v>M 1.4</v>
      </c>
      <c r="E65" s="250" t="s">
        <v>797</v>
      </c>
      <c r="F65" s="249" t="str">
        <f>VLOOKUP(E65,'5.2 Actions'!$A$3:$B$720,2,0)</f>
        <v>Sensibiliser et contrôler l’interdiction de nourrissage des animaux sauvages (oiseaux, poissons) à proximité des étangs et du Canal, car le nourrissage favorise les espèces invasives (= M 5.22.2)</v>
      </c>
      <c r="G65" s="251" t="str">
        <f>VLOOKUP(E65,'[4]5.2 Actions'!$A$3:$D$718,4,0)</f>
        <v>SEN / WOL / CAN</v>
      </c>
      <c r="H65" s="252">
        <f>VLOOKUP($E65,'5.1 Budget'!$A$4:$H$729,2,0)</f>
        <v>0</v>
      </c>
      <c r="I65" s="252">
        <f>VLOOKUP($E65,'5.1 Budget'!$A$4:$H$729,3,0)</f>
        <v>0</v>
      </c>
      <c r="J65" s="252">
        <f>VLOOKUP($E65,'5.1 Budget'!$A$4:$H$729,4,0)</f>
        <v>0</v>
      </c>
      <c r="K65" s="252">
        <f>VLOOKUP($E65,'5.1 Budget'!$A$4:$H$729,5,0)</f>
        <v>0</v>
      </c>
      <c r="L65" s="252">
        <f>VLOOKUP($E65,'5.1 Budget'!$A$4:$H$729,6,0)</f>
        <v>0</v>
      </c>
      <c r="M65" s="252">
        <f>VLOOKUP($E65,'5.1 Budget'!$A$4:$H$729,7,0)</f>
        <v>0</v>
      </c>
      <c r="N65" s="252">
        <f>VLOOKUP($E65,'5.1 Budget'!$A$4:$H$729,8,0)</f>
        <v>0</v>
      </c>
      <c r="O65" s="254"/>
      <c r="V65" t="str">
        <f>VLOOKUP(D65,'[4]1. Mesures'!$A$1:$B$116,2,0)</f>
        <v>Lutter contre les espèces invasives qui portent atteinte ou présentent un risque pour le bon potentiel écologique des masses d'eau de surface</v>
      </c>
      <c r="W65" t="str">
        <f>VLOOKUP(B65,[1]HIERARCH!$A$1:$B$57,2,0)</f>
        <v>Assurer la gestion qualitative des masses d'eau de surface</v>
      </c>
      <c r="X65" t="str">
        <f>VLOOKUP(C65,[1]HIERARCH!$A$2:$B$57,2,0)</f>
        <v xml:space="preserve">Améliorer la qualité hydromorphologique et biologique des masses d'eau de surface </v>
      </c>
      <c r="Y65" t="str">
        <f t="shared" si="3"/>
        <v>Sensibiliser et contrôler l’interdiction de nourrissage des animaux sauvages (oiseaux, poissons) à proximité des étangs …</v>
      </c>
    </row>
    <row r="66" spans="1:25" hidden="1" x14ac:dyDescent="0.25">
      <c r="A66" s="249" t="str">
        <f t="shared" ref="A66:A129" si="4">LEFT(E66,1)</f>
        <v>1</v>
      </c>
      <c r="B66" s="249" t="str">
        <f>VLOOKUP($D66,'[4]1. Mesures'!$A$2:$G$116,6,0)</f>
        <v>OS 1.1</v>
      </c>
      <c r="C66" s="249" t="str">
        <f>VLOOKUP($D66,'[4]1. Mesures'!$A$2:$G$116,7,0)</f>
        <v>OO 1.1.2</v>
      </c>
      <c r="D66" s="249" t="str">
        <f t="shared" ref="D66:D119" si="5">"M"&amp;" "&amp;LEFT(E66,3)</f>
        <v>M 1.5</v>
      </c>
      <c r="E66" s="250" t="s">
        <v>798</v>
      </c>
      <c r="F66" s="249" t="str">
        <f>VLOOKUP(E66,'5.2 Actions'!$A$3:$B$720,2,0)</f>
        <v xml:space="preserve">Définir les informations à récolter par point de rejet et créer un format permettant l’encodage dans la base de données géographique BE des rejets </v>
      </c>
      <c r="G66" s="251" t="str">
        <f>VLOOKUP(E66,'[4]5.2 Actions'!$A$3:$D$718,4,0)</f>
        <v>SEN / WOL / CAN</v>
      </c>
      <c r="H66" s="252">
        <f>VLOOKUP($E66,'5.1 Budget'!$A$4:$H$729,2,0)</f>
        <v>0</v>
      </c>
      <c r="I66" s="252">
        <f>VLOOKUP($E66,'5.1 Budget'!$A$4:$H$729,3,0)</f>
        <v>0</v>
      </c>
      <c r="J66" s="252">
        <f>VLOOKUP($E66,'5.1 Budget'!$A$4:$H$729,4,0)</f>
        <v>0</v>
      </c>
      <c r="K66" s="252">
        <f>VLOOKUP($E66,'5.1 Budget'!$A$4:$H$729,5,0)</f>
        <v>0</v>
      </c>
      <c r="L66" s="252">
        <f>VLOOKUP($E66,'5.1 Budget'!$A$4:$H$729,6,0)</f>
        <v>0</v>
      </c>
      <c r="M66" s="252">
        <f>VLOOKUP($E66,'5.1 Budget'!$A$4:$H$729,7,0)</f>
        <v>0</v>
      </c>
      <c r="N66" s="252">
        <f>VLOOKUP($E66,'5.1 Budget'!$A$4:$H$729,8,0)</f>
        <v>0</v>
      </c>
      <c r="O66" s="254"/>
      <c r="V66" t="str">
        <f>VLOOKUP(D66,'[4]1. Mesures'!$A$1:$B$116,2,0)</f>
        <v xml:space="preserve"> Inventorier les rejets directs dans une base de données dynamique </v>
      </c>
      <c r="W66" t="str">
        <f>VLOOKUP(B66,[1]HIERARCH!$A$1:$B$57,2,0)</f>
        <v>Assurer la gestion qualitative des masses d'eau de surface</v>
      </c>
      <c r="X66" t="str">
        <f>VLOOKUP(C66,[1]HIERARCH!$A$2:$B$57,2,0)</f>
        <v>Réduire les rejets directs dans les masses d'eau</v>
      </c>
      <c r="Y66" t="str">
        <f t="shared" ref="Y66:Y129" si="6">LEFT(F66,120)&amp;"…"</f>
        <v>Définir les informations à récolter par point de rejet et créer un format permettant l’encodage dans la base de données …</v>
      </c>
    </row>
    <row r="67" spans="1:25" hidden="1" x14ac:dyDescent="0.25">
      <c r="A67" s="249" t="str">
        <f t="shared" si="4"/>
        <v>1</v>
      </c>
      <c r="B67" s="249" t="str">
        <f>VLOOKUP($D67,'[4]1. Mesures'!$A$2:$G$116,6,0)</f>
        <v>OS 1.1</v>
      </c>
      <c r="C67" s="249" t="str">
        <f>VLOOKUP($D67,'[4]1. Mesures'!$A$2:$G$116,7,0)</f>
        <v>OO 1.1.2</v>
      </c>
      <c r="D67" s="249" t="str">
        <f t="shared" si="5"/>
        <v>M 1.5</v>
      </c>
      <c r="E67" s="250" t="s">
        <v>809</v>
      </c>
      <c r="F67" s="249" t="str">
        <f>VLOOKUP(E67,'5.2 Actions'!$A$3:$B$720,2,0)</f>
        <v>Récupérer les données complémentaires disponibles auprès des opérateurs (chainons manquants, zones non raccordées…)</v>
      </c>
      <c r="G67" s="251" t="str">
        <f>VLOOKUP(E67,'[4]5.2 Actions'!$A$3:$D$718,4,0)</f>
        <v>SEN / WOL / CAN</v>
      </c>
      <c r="H67" s="252">
        <f>VLOOKUP($E67,'5.1 Budget'!$A$4:$H$729,2,0)</f>
        <v>0</v>
      </c>
      <c r="I67" s="252">
        <f>VLOOKUP($E67,'5.1 Budget'!$A$4:$H$729,3,0)</f>
        <v>0</v>
      </c>
      <c r="J67" s="252">
        <f>VLOOKUP($E67,'5.1 Budget'!$A$4:$H$729,4,0)</f>
        <v>0</v>
      </c>
      <c r="K67" s="252">
        <f>VLOOKUP($E67,'5.1 Budget'!$A$4:$H$729,5,0)</f>
        <v>0</v>
      </c>
      <c r="L67" s="252">
        <f>VLOOKUP($E67,'5.1 Budget'!$A$4:$H$729,6,0)</f>
        <v>0</v>
      </c>
      <c r="M67" s="252">
        <f>VLOOKUP($E67,'5.1 Budget'!$A$4:$H$729,7,0)</f>
        <v>0</v>
      </c>
      <c r="N67" s="252">
        <f>VLOOKUP($E67,'5.1 Budget'!$A$4:$H$729,8,0)</f>
        <v>0</v>
      </c>
      <c r="O67" s="254"/>
      <c r="V67" t="str">
        <f>VLOOKUP(D67,'[4]1. Mesures'!$A$1:$B$116,2,0)</f>
        <v xml:space="preserve"> Inventorier les rejets directs dans une base de données dynamique </v>
      </c>
      <c r="W67" t="str">
        <f>VLOOKUP(B67,[1]HIERARCH!$A$1:$B$57,2,0)</f>
        <v>Assurer la gestion qualitative des masses d'eau de surface</v>
      </c>
      <c r="X67" t="str">
        <f>VLOOKUP(C67,[1]HIERARCH!$A$2:$B$57,2,0)</f>
        <v>Réduire les rejets directs dans les masses d'eau</v>
      </c>
      <c r="Y67" t="str">
        <f t="shared" si="6"/>
        <v>Récupérer les données complémentaires disponibles auprès des opérateurs (chainons manquants, zones non raccordées…)…</v>
      </c>
    </row>
    <row r="68" spans="1:25" hidden="1" x14ac:dyDescent="0.25">
      <c r="A68" s="249" t="str">
        <f t="shared" si="4"/>
        <v>1</v>
      </c>
      <c r="B68" s="249" t="str">
        <f>VLOOKUP($D68,'[4]1. Mesures'!$A$2:$G$116,6,0)</f>
        <v>OS 1.1</v>
      </c>
      <c r="C68" s="249" t="str">
        <f>VLOOKUP($D68,'[4]1. Mesures'!$A$2:$G$116,7,0)</f>
        <v>OO 1.1.2</v>
      </c>
      <c r="D68" s="249" t="str">
        <f t="shared" si="5"/>
        <v>M 1.5</v>
      </c>
      <c r="E68" s="250" t="s">
        <v>814</v>
      </c>
      <c r="F68" s="249" t="str">
        <f>VLOOKUP(E68,'5.2 Actions'!$A$3:$B$720,2,0)</f>
        <v xml:space="preserve">Dresser une carte des rejets avec les informations de la base de données </v>
      </c>
      <c r="G68" s="251" t="str">
        <f>VLOOKUP(E68,'[4]5.2 Actions'!$A$3:$D$718,4,0)</f>
        <v>SEN / WOL / CAN</v>
      </c>
      <c r="H68" s="252">
        <f>VLOOKUP($E68,'5.1 Budget'!$A$4:$H$729,2,0)</f>
        <v>0</v>
      </c>
      <c r="I68" s="252">
        <f>VLOOKUP($E68,'5.1 Budget'!$A$4:$H$729,3,0)</f>
        <v>0</v>
      </c>
      <c r="J68" s="252">
        <f>VLOOKUP($E68,'5.1 Budget'!$A$4:$H$729,4,0)</f>
        <v>0</v>
      </c>
      <c r="K68" s="252">
        <f>VLOOKUP($E68,'5.1 Budget'!$A$4:$H$729,5,0)</f>
        <v>0</v>
      </c>
      <c r="L68" s="252">
        <f>VLOOKUP($E68,'5.1 Budget'!$A$4:$H$729,6,0)</f>
        <v>0</v>
      </c>
      <c r="M68" s="252">
        <f>VLOOKUP($E68,'5.1 Budget'!$A$4:$H$729,7,0)</f>
        <v>0</v>
      </c>
      <c r="N68" s="252">
        <f>VLOOKUP($E68,'5.1 Budget'!$A$4:$H$729,8,0)</f>
        <v>0</v>
      </c>
      <c r="O68" s="254"/>
      <c r="V68" t="str">
        <f>VLOOKUP(D68,'[4]1. Mesures'!$A$1:$B$116,2,0)</f>
        <v xml:space="preserve"> Inventorier les rejets directs dans une base de données dynamique </v>
      </c>
      <c r="W68" t="str">
        <f>VLOOKUP(B68,[1]HIERARCH!$A$1:$B$57,2,0)</f>
        <v>Assurer la gestion qualitative des masses d'eau de surface</v>
      </c>
      <c r="X68" t="str">
        <f>VLOOKUP(C68,[1]HIERARCH!$A$2:$B$57,2,0)</f>
        <v>Réduire les rejets directs dans les masses d'eau</v>
      </c>
      <c r="Y68" t="str">
        <f t="shared" si="6"/>
        <v>Dresser une carte des rejets avec les informations de la base de données …</v>
      </c>
    </row>
    <row r="69" spans="1:25" hidden="1" x14ac:dyDescent="0.25">
      <c r="A69" s="249" t="str">
        <f t="shared" si="4"/>
        <v>1</v>
      </c>
      <c r="B69" s="249" t="str">
        <f>VLOOKUP($D69,'[4]1. Mesures'!$A$2:$G$116,6,0)</f>
        <v>OS 1.1</v>
      </c>
      <c r="C69" s="249" t="str">
        <f>VLOOKUP($D69,'[4]1. Mesures'!$A$2:$G$116,7,0)</f>
        <v>OO 1.1.2</v>
      </c>
      <c r="D69" s="249" t="str">
        <f t="shared" si="5"/>
        <v>M 1.5</v>
      </c>
      <c r="E69" s="250" t="s">
        <v>815</v>
      </c>
      <c r="F69" s="249" t="str">
        <f>VLOOKUP(E69,'5.2 Actions'!$A$3:$B$720,2,0)</f>
        <v>Mettre la carte des rejets et les résultats à disposition du Port, de VVQ et de la SBGE</v>
      </c>
      <c r="G69" s="251" t="str">
        <f>VLOOKUP(E69,'[4]5.2 Actions'!$A$3:$D$718,4,0)</f>
        <v>SEN / WOL / CAN</v>
      </c>
      <c r="H69" s="252">
        <f>VLOOKUP($E69,'5.1 Budget'!$A$4:$H$729,2,0)</f>
        <v>0</v>
      </c>
      <c r="I69" s="252">
        <f>VLOOKUP($E69,'5.1 Budget'!$A$4:$H$729,3,0)</f>
        <v>0</v>
      </c>
      <c r="J69" s="252">
        <f>VLOOKUP($E69,'5.1 Budget'!$A$4:$H$729,4,0)</f>
        <v>0</v>
      </c>
      <c r="K69" s="252">
        <f>VLOOKUP($E69,'5.1 Budget'!$A$4:$H$729,5,0)</f>
        <v>0</v>
      </c>
      <c r="L69" s="252">
        <f>VLOOKUP($E69,'5.1 Budget'!$A$4:$H$729,6,0)</f>
        <v>0</v>
      </c>
      <c r="M69" s="252">
        <f>VLOOKUP($E69,'5.1 Budget'!$A$4:$H$729,7,0)</f>
        <v>0</v>
      </c>
      <c r="N69" s="252">
        <f>VLOOKUP($E69,'5.1 Budget'!$A$4:$H$729,8,0)</f>
        <v>0</v>
      </c>
      <c r="O69" s="254"/>
      <c r="V69" t="str">
        <f>VLOOKUP(D69,'[4]1. Mesures'!$A$1:$B$116,2,0)</f>
        <v xml:space="preserve"> Inventorier les rejets directs dans une base de données dynamique </v>
      </c>
      <c r="W69" t="str">
        <f>VLOOKUP(B69,[1]HIERARCH!$A$1:$B$57,2,0)</f>
        <v>Assurer la gestion qualitative des masses d'eau de surface</v>
      </c>
      <c r="X69" t="str">
        <f>VLOOKUP(C69,[1]HIERARCH!$A$2:$B$57,2,0)</f>
        <v>Réduire les rejets directs dans les masses d'eau</v>
      </c>
      <c r="Y69" t="str">
        <f t="shared" si="6"/>
        <v>Mettre la carte des rejets et les résultats à disposition du Port, de VVQ et de la SBGE…</v>
      </c>
    </row>
    <row r="70" spans="1:25" hidden="1" x14ac:dyDescent="0.25">
      <c r="A70" s="249" t="str">
        <f t="shared" si="4"/>
        <v>1</v>
      </c>
      <c r="B70" s="249" t="str">
        <f>VLOOKUP($D70,'[4]1. Mesures'!$A$2:$G$116,6,0)</f>
        <v>OS 1.1</v>
      </c>
      <c r="C70" s="249" t="str">
        <f>VLOOKUP($D70,'[4]1. Mesures'!$A$2:$G$116,7,0)</f>
        <v>OO 1.1.2</v>
      </c>
      <c r="D70" s="249" t="str">
        <f t="shared" si="5"/>
        <v>M 1.5</v>
      </c>
      <c r="E70" s="250" t="s">
        <v>816</v>
      </c>
      <c r="F70" s="249" t="str">
        <f>VLOOKUP(E70,'5.2 Actions'!$A$3:$B$720,2,0)</f>
        <v>Mettre à disposition les données pertinentes (masse d’eau réceptrice, localisation du point de rejet, source/propriétaire, éléments permettant d’estimer la charge et le débit de rejet, traitement d’épuration éventuel) des autorisations de rejet vers les eaux de surface</v>
      </c>
      <c r="G70" s="251" t="str">
        <f>VLOOKUP(E70,'[4]5.2 Actions'!$A$3:$D$718,4,0)</f>
        <v>SEN / WOL / CAN</v>
      </c>
      <c r="H70" s="252">
        <f>VLOOKUP($E70,'5.1 Budget'!$A$4:$H$729,2,0)</f>
        <v>0</v>
      </c>
      <c r="I70" s="252">
        <f>VLOOKUP($E70,'5.1 Budget'!$A$4:$H$729,3,0)</f>
        <v>0</v>
      </c>
      <c r="J70" s="252">
        <f>VLOOKUP($E70,'5.1 Budget'!$A$4:$H$729,4,0)</f>
        <v>0</v>
      </c>
      <c r="K70" s="252">
        <f>VLOOKUP($E70,'5.1 Budget'!$A$4:$H$729,5,0)</f>
        <v>0</v>
      </c>
      <c r="L70" s="252">
        <f>VLOOKUP($E70,'5.1 Budget'!$A$4:$H$729,6,0)</f>
        <v>0</v>
      </c>
      <c r="M70" s="252">
        <f>VLOOKUP($E70,'5.1 Budget'!$A$4:$H$729,7,0)</f>
        <v>0</v>
      </c>
      <c r="N70" s="252">
        <f>VLOOKUP($E70,'5.1 Budget'!$A$4:$H$729,8,0)</f>
        <v>0</v>
      </c>
      <c r="O70" s="254"/>
      <c r="V70" t="str">
        <f>VLOOKUP(D70,'[4]1. Mesures'!$A$1:$B$116,2,0)</f>
        <v xml:space="preserve"> Inventorier les rejets directs dans une base de données dynamique </v>
      </c>
      <c r="W70" t="str">
        <f>VLOOKUP(B70,[1]HIERARCH!$A$1:$B$57,2,0)</f>
        <v>Assurer la gestion qualitative des masses d'eau de surface</v>
      </c>
      <c r="X70" t="str">
        <f>VLOOKUP(C70,[1]HIERARCH!$A$2:$B$57,2,0)</f>
        <v>Réduire les rejets directs dans les masses d'eau</v>
      </c>
      <c r="Y70" t="str">
        <f t="shared" si="6"/>
        <v>Mettre à disposition les données pertinentes (masse d’eau réceptrice, localisation du point de rejet, source/propriétair…</v>
      </c>
    </row>
    <row r="71" spans="1:25" hidden="1" x14ac:dyDescent="0.25">
      <c r="A71" s="249" t="str">
        <f t="shared" si="4"/>
        <v>1</v>
      </c>
      <c r="B71" s="249" t="str">
        <f>VLOOKUP($D71,'[4]1. Mesures'!$A$2:$G$116,6,0)</f>
        <v>OS 1.1</v>
      </c>
      <c r="C71" s="249" t="str">
        <f>VLOOKUP($D71,'[4]1. Mesures'!$A$2:$G$116,7,0)</f>
        <v>OO 1.1.2</v>
      </c>
      <c r="D71" s="249" t="str">
        <f t="shared" si="5"/>
        <v>M 1.5</v>
      </c>
      <c r="E71" s="250" t="s">
        <v>817</v>
      </c>
      <c r="F71" s="249" t="str">
        <f>VLOOKUP(E71,'5.2 Actions'!$A$3:$B$720,2,0)</f>
        <v>Mener des investigations sur l’origine des rejets non identifiés en remontant les tuyaux</v>
      </c>
      <c r="G71" s="251" t="str">
        <f>VLOOKUP(E71,'[4]5.2 Actions'!$A$3:$D$718,4,0)</f>
        <v>SEN / WOL / CAN</v>
      </c>
      <c r="H71" s="252">
        <f>VLOOKUP($E71,'5.1 Budget'!$A$4:$H$729,2,0)</f>
        <v>0</v>
      </c>
      <c r="I71" s="252">
        <f>VLOOKUP($E71,'5.1 Budget'!$A$4:$H$729,3,0)</f>
        <v>0</v>
      </c>
      <c r="J71" s="252">
        <f>VLOOKUP($E71,'5.1 Budget'!$A$4:$H$729,4,0)</f>
        <v>0</v>
      </c>
      <c r="K71" s="252">
        <f>VLOOKUP($E71,'5.1 Budget'!$A$4:$H$729,5,0)</f>
        <v>0</v>
      </c>
      <c r="L71" s="252">
        <f>VLOOKUP($E71,'5.1 Budget'!$A$4:$H$729,6,0)</f>
        <v>0</v>
      </c>
      <c r="M71" s="252">
        <f>VLOOKUP($E71,'5.1 Budget'!$A$4:$H$729,7,0)</f>
        <v>0</v>
      </c>
      <c r="N71" s="252">
        <f>VLOOKUP($E71,'5.1 Budget'!$A$4:$H$729,8,0)</f>
        <v>0</v>
      </c>
      <c r="O71" s="254"/>
      <c r="V71" t="str">
        <f>VLOOKUP(D71,'[4]1. Mesures'!$A$1:$B$116,2,0)</f>
        <v xml:space="preserve"> Inventorier les rejets directs dans une base de données dynamique </v>
      </c>
      <c r="W71" t="str">
        <f>VLOOKUP(B71,[1]HIERARCH!$A$1:$B$57,2,0)</f>
        <v>Assurer la gestion qualitative des masses d'eau de surface</v>
      </c>
      <c r="X71" t="str">
        <f>VLOOKUP(C71,[1]HIERARCH!$A$2:$B$57,2,0)</f>
        <v>Réduire les rejets directs dans les masses d'eau</v>
      </c>
      <c r="Y71" t="str">
        <f t="shared" si="6"/>
        <v>Mener des investigations sur l’origine des rejets non identifiés en remontant les tuyaux…</v>
      </c>
    </row>
    <row r="72" spans="1:25" hidden="1" x14ac:dyDescent="0.25">
      <c r="A72" s="249" t="str">
        <f t="shared" si="4"/>
        <v>1</v>
      </c>
      <c r="B72" s="249" t="str">
        <f>VLOOKUP($D72,'[4]1. Mesures'!$A$2:$G$116,6,0)</f>
        <v>OS 1.1</v>
      </c>
      <c r="C72" s="249" t="str">
        <f>VLOOKUP($D72,'[4]1. Mesures'!$A$2:$G$116,7,0)</f>
        <v>OO 1.1.2</v>
      </c>
      <c r="D72" s="249" t="str">
        <f t="shared" si="5"/>
        <v>M 1.5</v>
      </c>
      <c r="E72" s="250" t="s">
        <v>818</v>
      </c>
      <c r="F72" s="249" t="str">
        <f>VLOOKUP(E72,'5.2 Actions'!$A$3:$B$720,2,0)</f>
        <v>Caractériser la qualité d'effluents/rejets quand cela s’avère nécessaire pour déterminer la solution à privilégier pour le traiter</v>
      </c>
      <c r="G72" s="251" t="str">
        <f>VLOOKUP(E72,'[4]5.2 Actions'!$A$3:$D$718,4,0)</f>
        <v>SEN / WOL / CAN</v>
      </c>
      <c r="H72" s="252">
        <f>VLOOKUP($E72,'5.1 Budget'!$A$4:$H$729,2,0)</f>
        <v>0</v>
      </c>
      <c r="I72" s="252">
        <f>VLOOKUP($E72,'5.1 Budget'!$A$4:$H$729,3,0)</f>
        <v>0</v>
      </c>
      <c r="J72" s="252">
        <f>VLOOKUP($E72,'5.1 Budget'!$A$4:$H$729,4,0)</f>
        <v>0</v>
      </c>
      <c r="K72" s="252">
        <f>VLOOKUP($E72,'5.1 Budget'!$A$4:$H$729,5,0)</f>
        <v>0</v>
      </c>
      <c r="L72" s="252">
        <f>VLOOKUP($E72,'5.1 Budget'!$A$4:$H$729,6,0)</f>
        <v>0</v>
      </c>
      <c r="M72" s="252">
        <f>VLOOKUP($E72,'5.1 Budget'!$A$4:$H$729,7,0)</f>
        <v>0</v>
      </c>
      <c r="N72" s="252">
        <f>VLOOKUP($E72,'5.1 Budget'!$A$4:$H$729,8,0)</f>
        <v>0</v>
      </c>
      <c r="O72" s="254"/>
      <c r="V72" t="str">
        <f>VLOOKUP(D72,'[4]1. Mesures'!$A$1:$B$116,2,0)</f>
        <v xml:space="preserve"> Inventorier les rejets directs dans une base de données dynamique </v>
      </c>
      <c r="W72" t="str">
        <f>VLOOKUP(B72,[1]HIERARCH!$A$1:$B$57,2,0)</f>
        <v>Assurer la gestion qualitative des masses d'eau de surface</v>
      </c>
      <c r="X72" t="str">
        <f>VLOOKUP(C72,[1]HIERARCH!$A$2:$B$57,2,0)</f>
        <v>Réduire les rejets directs dans les masses d'eau</v>
      </c>
      <c r="Y72" t="str">
        <f t="shared" si="6"/>
        <v>Caractériser la qualité d'effluents/rejets quand cela s’avère nécessaire pour déterminer la solution à privilégier pour …</v>
      </c>
    </row>
    <row r="73" spans="1:25" hidden="1" x14ac:dyDescent="0.25">
      <c r="A73" s="249" t="str">
        <f t="shared" si="4"/>
        <v>1</v>
      </c>
      <c r="B73" s="249" t="str">
        <f>VLOOKUP($D73,'[4]1. Mesures'!$A$2:$G$116,6,0)</f>
        <v>OS 1.1</v>
      </c>
      <c r="C73" s="249" t="str">
        <f>VLOOKUP($D73,'[4]1. Mesures'!$A$2:$G$116,7,0)</f>
        <v>OO 1.1.2</v>
      </c>
      <c r="D73" s="249" t="str">
        <f t="shared" si="5"/>
        <v>M 1.5</v>
      </c>
      <c r="E73" s="250" t="s">
        <v>819</v>
      </c>
      <c r="F73" s="249" t="str">
        <f>VLOOKUP(E73,'5.2 Actions'!$A$3:$B$720,2,0)</f>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
      <c r="G73" s="251" t="str">
        <f>VLOOKUP(E73,'[4]5.2 Actions'!$A$3:$D$718,4,0)</f>
        <v>SEN / WOL / CAN</v>
      </c>
      <c r="H73" s="252">
        <f>VLOOKUP($E73,'5.1 Budget'!$A$4:$H$729,2,0)</f>
        <v>0</v>
      </c>
      <c r="I73" s="252">
        <f>VLOOKUP($E73,'5.1 Budget'!$A$4:$H$729,3,0)</f>
        <v>0</v>
      </c>
      <c r="J73" s="252">
        <f>VLOOKUP($E73,'5.1 Budget'!$A$4:$H$729,4,0)</f>
        <v>0</v>
      </c>
      <c r="K73" s="252">
        <f>VLOOKUP($E73,'5.1 Budget'!$A$4:$H$729,5,0)</f>
        <v>0</v>
      </c>
      <c r="L73" s="252">
        <f>VLOOKUP($E73,'5.1 Budget'!$A$4:$H$729,6,0)</f>
        <v>0</v>
      </c>
      <c r="M73" s="252">
        <f>VLOOKUP($E73,'5.1 Budget'!$A$4:$H$729,7,0)</f>
        <v>0</v>
      </c>
      <c r="N73" s="252">
        <f>VLOOKUP($E73,'5.1 Budget'!$A$4:$H$729,8,0)</f>
        <v>0</v>
      </c>
      <c r="O73" s="254"/>
      <c r="V73" t="str">
        <f>VLOOKUP(D73,'[4]1. Mesures'!$A$1:$B$116,2,0)</f>
        <v xml:space="preserve"> Inventorier les rejets directs dans une base de données dynamique </v>
      </c>
      <c r="W73" t="str">
        <f>VLOOKUP(B73,[1]HIERARCH!$A$1:$B$57,2,0)</f>
        <v>Assurer la gestion qualitative des masses d'eau de surface</v>
      </c>
      <c r="X73" t="str">
        <f>VLOOKUP(C73,[1]HIERARCH!$A$2:$B$57,2,0)</f>
        <v>Réduire les rejets directs dans les masses d'eau</v>
      </c>
      <c r="Y73" t="str">
        <f t="shared" si="6"/>
        <v>Implémenter les rejets ponctuels de la base de données géographique BE dans l’inventaire BE des émissions polluantes ver…</v>
      </c>
    </row>
    <row r="74" spans="1:25" hidden="1" x14ac:dyDescent="0.25">
      <c r="A74" s="249" t="str">
        <f t="shared" si="4"/>
        <v>1</v>
      </c>
      <c r="B74" s="249" t="str">
        <f>VLOOKUP($D74,'[4]1. Mesures'!$A$2:$G$116,6,0)</f>
        <v>OS 1.1</v>
      </c>
      <c r="C74" s="249" t="str">
        <f>VLOOKUP($D74,'[4]1. Mesures'!$A$2:$G$116,7,0)</f>
        <v>OO 1.1.2</v>
      </c>
      <c r="D74" s="249" t="str">
        <f t="shared" si="5"/>
        <v>M 1.5</v>
      </c>
      <c r="E74" s="250" t="s">
        <v>820</v>
      </c>
      <c r="F74" s="249" t="str">
        <f>VLOOKUP(E74,'5.2 Actions'!$A$3:$B$720,2,0)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
      <c r="G74" s="251" t="str">
        <f>VLOOKUP(E74,'[4]5.2 Actions'!$A$3:$D$718,4,0)</f>
        <v>SEN</v>
      </c>
      <c r="H74" s="252">
        <f>VLOOKUP($E74,'5.1 Budget'!$A$4:$H$729,2,0)</f>
        <v>25000</v>
      </c>
      <c r="I74" s="252">
        <f>VLOOKUP($E74,'5.1 Budget'!$A$4:$H$729,3,0)</f>
        <v>0</v>
      </c>
      <c r="J74" s="252">
        <f>VLOOKUP($E74,'5.1 Budget'!$A$4:$H$729,4,0)</f>
        <v>0</v>
      </c>
      <c r="K74" s="252">
        <f>VLOOKUP($E74,'5.1 Budget'!$A$4:$H$729,5,0)</f>
        <v>0</v>
      </c>
      <c r="L74" s="252">
        <f>VLOOKUP($E74,'5.1 Budget'!$A$4:$H$729,6,0)</f>
        <v>0</v>
      </c>
      <c r="M74" s="252">
        <f>VLOOKUP($E74,'5.1 Budget'!$A$4:$H$729,7,0)</f>
        <v>0</v>
      </c>
      <c r="N74" s="252">
        <f>VLOOKUP($E74,'5.1 Budget'!$A$4:$H$729,8,0)</f>
        <v>25000</v>
      </c>
      <c r="O74" s="254"/>
      <c r="V74" t="str">
        <f>VLOOKUP(D74,'[4]1. Mesures'!$A$1:$B$116,2,0)</f>
        <v xml:space="preserve"> Inventorier les rejets directs dans une base de données dynamique </v>
      </c>
      <c r="W74" t="str">
        <f>VLOOKUP(B74,[1]HIERARCH!$A$1:$B$57,2,0)</f>
        <v>Assurer la gestion qualitative des masses d'eau de surface</v>
      </c>
      <c r="X74" t="str">
        <f>VLOOKUP(C74,[1]HIERARCH!$A$2:$B$57,2,0)</f>
        <v>Réduire les rejets directs dans les masses d'eau</v>
      </c>
      <c r="Y74" t="str">
        <f t="shared" si="6"/>
        <v>Inventorier le réseau d'écoulement (égouts/réseau séparatif/rejets vers le Canal ou la Senne) sur les parcelles privées …</v>
      </c>
    </row>
    <row r="75" spans="1:25" hidden="1" x14ac:dyDescent="0.25">
      <c r="A75" s="249" t="str">
        <f t="shared" si="4"/>
        <v>1</v>
      </c>
      <c r="B75" s="249" t="str">
        <f>VLOOKUP($D75,'[4]1. Mesures'!$A$2:$G$116,6,0)</f>
        <v>OS 1.1</v>
      </c>
      <c r="C75" s="249" t="str">
        <f>VLOOKUP($D75,'[4]1. Mesures'!$A$2:$G$116,7,0)</f>
        <v>OO 1.1.2</v>
      </c>
      <c r="D75" s="249" t="str">
        <f t="shared" si="5"/>
        <v>M 1.5</v>
      </c>
      <c r="E75" s="250" t="s">
        <v>799</v>
      </c>
      <c r="F75" s="249" t="str">
        <f>VLOOKUP(E75,'5.2 Actions'!$A$3:$B$720,2,0)</f>
        <v xml:space="preserve">Compiler les données relatives au réseau d’écoulement des parcelles privées du domaine portuaire et les fournir à BE afin qu’elles soient intégrées dans la base de données BE des rejets </v>
      </c>
      <c r="G75" s="251" t="str">
        <f>VLOOKUP(E75,'[4]5.2 Actions'!$A$3:$D$718,4,0)</f>
        <v>SEN</v>
      </c>
      <c r="H75" s="252">
        <f>VLOOKUP($E75,'5.1 Budget'!$A$4:$H$729,2,0)</f>
        <v>0</v>
      </c>
      <c r="I75" s="252">
        <f>VLOOKUP($E75,'5.1 Budget'!$A$4:$H$729,3,0)</f>
        <v>0</v>
      </c>
      <c r="J75" s="252">
        <f>VLOOKUP($E75,'5.1 Budget'!$A$4:$H$729,4,0)</f>
        <v>0</v>
      </c>
      <c r="K75" s="252">
        <f>VLOOKUP($E75,'5.1 Budget'!$A$4:$H$729,5,0)</f>
        <v>0</v>
      </c>
      <c r="L75" s="252">
        <f>VLOOKUP($E75,'5.1 Budget'!$A$4:$H$729,6,0)</f>
        <v>0</v>
      </c>
      <c r="M75" s="252">
        <f>VLOOKUP($E75,'5.1 Budget'!$A$4:$H$729,7,0)</f>
        <v>0</v>
      </c>
      <c r="N75" s="252">
        <f>VLOOKUP($E75,'5.1 Budget'!$A$4:$H$729,8,0)</f>
        <v>0</v>
      </c>
      <c r="O75" s="254"/>
      <c r="V75" t="str">
        <f>VLOOKUP(D75,'[4]1. Mesures'!$A$1:$B$116,2,0)</f>
        <v xml:space="preserve"> Inventorier les rejets directs dans une base de données dynamique </v>
      </c>
      <c r="W75" t="str">
        <f>VLOOKUP(B75,[1]HIERARCH!$A$1:$B$57,2,0)</f>
        <v>Assurer la gestion qualitative des masses d'eau de surface</v>
      </c>
      <c r="X75" t="str">
        <f>VLOOKUP(C75,[1]HIERARCH!$A$2:$B$57,2,0)</f>
        <v>Réduire les rejets directs dans les masses d'eau</v>
      </c>
      <c r="Y75" t="str">
        <f t="shared" si="6"/>
        <v>Compiler les données relatives au réseau d’écoulement des parcelles privées du domaine portuaire et les fournir à BE afi…</v>
      </c>
    </row>
    <row r="76" spans="1:25" hidden="1" x14ac:dyDescent="0.25">
      <c r="A76" s="249" t="str">
        <f t="shared" si="4"/>
        <v>1</v>
      </c>
      <c r="B76" s="249" t="str">
        <f>VLOOKUP($D76,'[4]1. Mesures'!$A$2:$G$116,6,0)</f>
        <v>OS 1.1</v>
      </c>
      <c r="C76" s="249" t="str">
        <f>VLOOKUP($D76,'[4]1. Mesures'!$A$2:$G$116,7,0)</f>
        <v>OO 1.1.2</v>
      </c>
      <c r="D76" s="249" t="str">
        <f t="shared" si="5"/>
        <v>M 1.5</v>
      </c>
      <c r="E76" s="250" t="s">
        <v>800</v>
      </c>
      <c r="F76" s="249" t="str">
        <f>VLOOKUP(E76,'5.2 Actions'!$A$3:$B$720,2,0)</f>
        <v>Étudier la possibilité de caractériser un point noir (débit, charge EH, sources potentielles, photos…)</v>
      </c>
      <c r="G76" s="251" t="str">
        <f>VLOOKUP(E76,'[4]5.2 Actions'!$A$3:$D$718,4,0)</f>
        <v>SEN</v>
      </c>
      <c r="H76" s="252">
        <f>VLOOKUP($E76,'5.1 Budget'!$A$4:$H$729,2,0)</f>
        <v>0</v>
      </c>
      <c r="I76" s="252">
        <f>VLOOKUP($E76,'5.1 Budget'!$A$4:$H$729,3,0)</f>
        <v>0</v>
      </c>
      <c r="J76" s="252">
        <f>VLOOKUP($E76,'5.1 Budget'!$A$4:$H$729,4,0)</f>
        <v>0</v>
      </c>
      <c r="K76" s="252">
        <f>VLOOKUP($E76,'5.1 Budget'!$A$4:$H$729,5,0)</f>
        <v>0</v>
      </c>
      <c r="L76" s="252">
        <f>VLOOKUP($E76,'5.1 Budget'!$A$4:$H$729,6,0)</f>
        <v>0</v>
      </c>
      <c r="M76" s="252">
        <f>VLOOKUP($E76,'5.1 Budget'!$A$4:$H$729,7,0)</f>
        <v>0</v>
      </c>
      <c r="N76" s="252">
        <f>VLOOKUP($E76,'5.1 Budget'!$A$4:$H$729,8,0)</f>
        <v>0</v>
      </c>
      <c r="O76" s="254"/>
      <c r="V76" t="str">
        <f>VLOOKUP(D76,'[4]1. Mesures'!$A$1:$B$116,2,0)</f>
        <v xml:space="preserve"> Inventorier les rejets directs dans une base de données dynamique </v>
      </c>
      <c r="W76" t="str">
        <f>VLOOKUP(B76,[1]HIERARCH!$A$1:$B$57,2,0)</f>
        <v>Assurer la gestion qualitative des masses d'eau de surface</v>
      </c>
      <c r="X76" t="str">
        <f>VLOOKUP(C76,[1]HIERARCH!$A$2:$B$57,2,0)</f>
        <v>Réduire les rejets directs dans les masses d'eau</v>
      </c>
      <c r="Y76" t="str">
        <f t="shared" si="6"/>
        <v>Étudier la possibilité de caractériser un point noir (débit, charge EH, sources potentielles, photos…)…</v>
      </c>
    </row>
    <row r="77" spans="1:25" hidden="1" x14ac:dyDescent="0.25">
      <c r="A77" s="249" t="str">
        <f t="shared" si="4"/>
        <v>1</v>
      </c>
      <c r="B77" s="249" t="str">
        <f>VLOOKUP($D77,'[4]1. Mesures'!$A$2:$G$116,6,0)</f>
        <v>OS 1.1</v>
      </c>
      <c r="C77" s="249" t="str">
        <f>VLOOKUP($D77,'[4]1. Mesures'!$A$2:$G$116,7,0)</f>
        <v>OO 1.1.2</v>
      </c>
      <c r="D77" s="249" t="str">
        <f t="shared" si="5"/>
        <v>M 1.5</v>
      </c>
      <c r="E77" s="250" t="s">
        <v>801</v>
      </c>
      <c r="F77" s="249" t="str">
        <f>VLOOKUP(E77,'5.2 Actions'!$A$3:$B$720,2,0)</f>
        <v>Mise à jour du relevé sur terrain des rejets vers la Senne, notamment en s’aidant des connaissances déjà disponibles, et les compiler dans la base de données BE des rejets</v>
      </c>
      <c r="G77" s="251" t="str">
        <f>VLOOKUP(E77,'[4]5.2 Actions'!$A$3:$D$718,4,0)</f>
        <v>SEN</v>
      </c>
      <c r="H77" s="252">
        <f>VLOOKUP($E77,'5.1 Budget'!$A$4:$H$729,2,0)</f>
        <v>0</v>
      </c>
      <c r="I77" s="252">
        <f>VLOOKUP($E77,'5.1 Budget'!$A$4:$H$729,3,0)</f>
        <v>0</v>
      </c>
      <c r="J77" s="252">
        <f>VLOOKUP($E77,'5.1 Budget'!$A$4:$H$729,4,0)</f>
        <v>0</v>
      </c>
      <c r="K77" s="252">
        <f>VLOOKUP($E77,'5.1 Budget'!$A$4:$H$729,5,0)</f>
        <v>0</v>
      </c>
      <c r="L77" s="252">
        <f>VLOOKUP($E77,'5.1 Budget'!$A$4:$H$729,6,0)</f>
        <v>0</v>
      </c>
      <c r="M77" s="252">
        <f>VLOOKUP($E77,'5.1 Budget'!$A$4:$H$729,7,0)</f>
        <v>0</v>
      </c>
      <c r="N77" s="252">
        <f>VLOOKUP($E77,'5.1 Budget'!$A$4:$H$729,8,0)</f>
        <v>0</v>
      </c>
      <c r="O77" s="254"/>
      <c r="V77" t="str">
        <f>VLOOKUP(D77,'[4]1. Mesures'!$A$1:$B$116,2,0)</f>
        <v xml:space="preserve"> Inventorier les rejets directs dans une base de données dynamique </v>
      </c>
      <c r="W77" t="str">
        <f>VLOOKUP(B77,[1]HIERARCH!$A$1:$B$57,2,0)</f>
        <v>Assurer la gestion qualitative des masses d'eau de surface</v>
      </c>
      <c r="X77" t="str">
        <f>VLOOKUP(C77,[1]HIERARCH!$A$2:$B$57,2,0)</f>
        <v>Réduire les rejets directs dans les masses d'eau</v>
      </c>
      <c r="Y77" t="str">
        <f t="shared" si="6"/>
        <v>Mise à jour du relevé sur terrain des rejets vers la Senne, notamment en s’aidant des connaissances déjà disponibles, et…</v>
      </c>
    </row>
    <row r="78" spans="1:25" hidden="1" x14ac:dyDescent="0.25">
      <c r="A78" s="249" t="str">
        <f t="shared" si="4"/>
        <v>1</v>
      </c>
      <c r="B78" s="249" t="str">
        <f>VLOOKUP($D78,'[4]1. Mesures'!$A$2:$G$116,6,0)</f>
        <v>OS 1.1</v>
      </c>
      <c r="C78" s="249" t="str">
        <f>VLOOKUP($D78,'[4]1. Mesures'!$A$2:$G$116,7,0)</f>
        <v>OO 1.1.2</v>
      </c>
      <c r="D78" s="249" t="str">
        <f t="shared" si="5"/>
        <v>M 1.5</v>
      </c>
      <c r="E78" s="250" t="s">
        <v>802</v>
      </c>
      <c r="F78" s="249" t="str">
        <f>VLOOKUP(E78,'5.2 Actions'!$A$3:$B$720,2,0)</f>
        <v>Faire un relevé sur terrain des rejets vers le Hollebeek, notamment en s’aidant des connaissances déjà disponibles, et les compiler dans la base de données BE des rejets</v>
      </c>
      <c r="G78" s="251" t="str">
        <f>VLOOKUP(E78,'[4]5.2 Actions'!$A$3:$D$718,4,0)</f>
        <v>SEN</v>
      </c>
      <c r="H78" s="252">
        <f>VLOOKUP($E78,'5.1 Budget'!$A$4:$H$729,2,0)</f>
        <v>0</v>
      </c>
      <c r="I78" s="252">
        <f>VLOOKUP($E78,'5.1 Budget'!$A$4:$H$729,3,0)</f>
        <v>0</v>
      </c>
      <c r="J78" s="252">
        <f>VLOOKUP($E78,'5.1 Budget'!$A$4:$H$729,4,0)</f>
        <v>0</v>
      </c>
      <c r="K78" s="252">
        <f>VLOOKUP($E78,'5.1 Budget'!$A$4:$H$729,5,0)</f>
        <v>0</v>
      </c>
      <c r="L78" s="252">
        <f>VLOOKUP($E78,'5.1 Budget'!$A$4:$H$729,6,0)</f>
        <v>0</v>
      </c>
      <c r="M78" s="252">
        <f>VLOOKUP($E78,'5.1 Budget'!$A$4:$H$729,7,0)</f>
        <v>0</v>
      </c>
      <c r="N78" s="252">
        <f>VLOOKUP($E78,'5.1 Budget'!$A$4:$H$729,8,0)</f>
        <v>0</v>
      </c>
      <c r="O78" s="254"/>
      <c r="V78" t="str">
        <f>VLOOKUP(D78,'[4]1. Mesures'!$A$1:$B$116,2,0)</f>
        <v xml:space="preserve"> Inventorier les rejets directs dans une base de données dynamique </v>
      </c>
      <c r="W78" t="str">
        <f>VLOOKUP(B78,[1]HIERARCH!$A$1:$B$57,2,0)</f>
        <v>Assurer la gestion qualitative des masses d'eau de surface</v>
      </c>
      <c r="X78" t="str">
        <f>VLOOKUP(C78,[1]HIERARCH!$A$2:$B$57,2,0)</f>
        <v>Réduire les rejets directs dans les masses d'eau</v>
      </c>
      <c r="Y78" t="str">
        <f t="shared" si="6"/>
        <v>Faire un relevé sur terrain des rejets vers le Hollebeek, notamment en s’aidant des connaissances déjà disponibles, et l…</v>
      </c>
    </row>
    <row r="79" spans="1:25" hidden="1" x14ac:dyDescent="0.25">
      <c r="A79" s="249" t="str">
        <f t="shared" si="4"/>
        <v>1</v>
      </c>
      <c r="B79" s="249" t="str">
        <f>VLOOKUP($D79,'[4]1. Mesures'!$A$2:$G$116,6,0)</f>
        <v>OS 1.1</v>
      </c>
      <c r="C79" s="249" t="str">
        <f>VLOOKUP($D79,'[4]1. Mesures'!$A$2:$G$116,7,0)</f>
        <v>OO 1.1.2</v>
      </c>
      <c r="D79" s="249" t="str">
        <f t="shared" si="5"/>
        <v>M 1.5</v>
      </c>
      <c r="E79" s="250" t="s">
        <v>803</v>
      </c>
      <c r="F79" s="249" t="str">
        <f>VLOOKUP(E79,'5.2 Actions'!$A$3:$B$720,2,0)</f>
        <v>Faire un relevé sur terrain des rejets vers le Vogelzangbeek, notamment en s’aidant des connaissances déjà disponibles, et les compiler dans la base de données BE des rejets</v>
      </c>
      <c r="G79" s="251" t="str">
        <f>VLOOKUP(E79,'[4]5.2 Actions'!$A$3:$D$718,4,0)</f>
        <v>SEN</v>
      </c>
      <c r="H79" s="252">
        <f>VLOOKUP($E79,'5.1 Budget'!$A$4:$H$729,2,0)</f>
        <v>0</v>
      </c>
      <c r="I79" s="252">
        <f>VLOOKUP($E79,'5.1 Budget'!$A$4:$H$729,3,0)</f>
        <v>0</v>
      </c>
      <c r="J79" s="252">
        <f>VLOOKUP($E79,'5.1 Budget'!$A$4:$H$729,4,0)</f>
        <v>0</v>
      </c>
      <c r="K79" s="252">
        <f>VLOOKUP($E79,'5.1 Budget'!$A$4:$H$729,5,0)</f>
        <v>0</v>
      </c>
      <c r="L79" s="252">
        <f>VLOOKUP($E79,'5.1 Budget'!$A$4:$H$729,6,0)</f>
        <v>0</v>
      </c>
      <c r="M79" s="252">
        <f>VLOOKUP($E79,'5.1 Budget'!$A$4:$H$729,7,0)</f>
        <v>0</v>
      </c>
      <c r="N79" s="252">
        <f>VLOOKUP($E79,'5.1 Budget'!$A$4:$H$729,8,0)</f>
        <v>0</v>
      </c>
      <c r="O79" s="254"/>
      <c r="V79" t="str">
        <f>VLOOKUP(D79,'[4]1. Mesures'!$A$1:$B$116,2,0)</f>
        <v xml:space="preserve"> Inventorier les rejets directs dans une base de données dynamique </v>
      </c>
      <c r="W79" t="str">
        <f>VLOOKUP(B79,[1]HIERARCH!$A$1:$B$57,2,0)</f>
        <v>Assurer la gestion qualitative des masses d'eau de surface</v>
      </c>
      <c r="X79" t="str">
        <f>VLOOKUP(C79,[1]HIERARCH!$A$2:$B$57,2,0)</f>
        <v>Réduire les rejets directs dans les masses d'eau</v>
      </c>
      <c r="Y79" t="str">
        <f t="shared" si="6"/>
        <v>Faire un relevé sur terrain des rejets vers le Vogelzangbeek, notamment en s’aidant des connaissances déjà disponibles, …</v>
      </c>
    </row>
    <row r="80" spans="1:25" hidden="1" x14ac:dyDescent="0.25">
      <c r="A80" s="249" t="str">
        <f t="shared" si="4"/>
        <v>1</v>
      </c>
      <c r="B80" s="249" t="str">
        <f>VLOOKUP($D80,'[4]1. Mesures'!$A$2:$G$116,6,0)</f>
        <v>OS 1.1</v>
      </c>
      <c r="C80" s="249" t="str">
        <f>VLOOKUP($D80,'[4]1. Mesures'!$A$2:$G$116,7,0)</f>
        <v>OO 1.1.2</v>
      </c>
      <c r="D80" s="249" t="str">
        <f t="shared" si="5"/>
        <v>M 1.5</v>
      </c>
      <c r="E80" s="250" t="s">
        <v>804</v>
      </c>
      <c r="F80" s="249" t="str">
        <f>VLOOKUP(E80,'5.2 Actions'!$A$3:$B$720,2,0)</f>
        <v>Faire un relevé sur terrain des rejets vers le Verrewinkelbeek, notamment en s’aidant des connaissances déjà disponibles, et les compiler dans la base de données BE des rejets</v>
      </c>
      <c r="G80" s="251" t="str">
        <f>VLOOKUP(E80,'[4]5.2 Actions'!$A$3:$D$718,4,0)</f>
        <v>SEN</v>
      </c>
      <c r="H80" s="252">
        <f>VLOOKUP($E80,'5.1 Budget'!$A$4:$H$729,2,0)</f>
        <v>0</v>
      </c>
      <c r="I80" s="252">
        <f>VLOOKUP($E80,'5.1 Budget'!$A$4:$H$729,3,0)</f>
        <v>0</v>
      </c>
      <c r="J80" s="252">
        <f>VLOOKUP($E80,'5.1 Budget'!$A$4:$H$729,4,0)</f>
        <v>0</v>
      </c>
      <c r="K80" s="252">
        <f>VLOOKUP($E80,'5.1 Budget'!$A$4:$H$729,5,0)</f>
        <v>0</v>
      </c>
      <c r="L80" s="252">
        <f>VLOOKUP($E80,'5.1 Budget'!$A$4:$H$729,6,0)</f>
        <v>0</v>
      </c>
      <c r="M80" s="252">
        <f>VLOOKUP($E80,'5.1 Budget'!$A$4:$H$729,7,0)</f>
        <v>0</v>
      </c>
      <c r="N80" s="252">
        <f>VLOOKUP($E80,'5.1 Budget'!$A$4:$H$729,8,0)</f>
        <v>0</v>
      </c>
      <c r="O80" s="254"/>
      <c r="V80" t="str">
        <f>VLOOKUP(D80,'[4]1. Mesures'!$A$1:$B$116,2,0)</f>
        <v xml:space="preserve"> Inventorier les rejets directs dans une base de données dynamique </v>
      </c>
      <c r="W80" t="str">
        <f>VLOOKUP(B80,[1]HIERARCH!$A$1:$B$57,2,0)</f>
        <v>Assurer la gestion qualitative des masses d'eau de surface</v>
      </c>
      <c r="X80" t="str">
        <f>VLOOKUP(C80,[1]HIERARCH!$A$2:$B$57,2,0)</f>
        <v>Réduire les rejets directs dans les masses d'eau</v>
      </c>
      <c r="Y80" t="str">
        <f t="shared" si="6"/>
        <v>Faire un relevé sur terrain des rejets vers le Verrewinkelbeek, notamment en s’aidant des connaissances déjà disponibles…</v>
      </c>
    </row>
    <row r="81" spans="1:25" hidden="1" x14ac:dyDescent="0.25">
      <c r="A81" s="249" t="str">
        <f t="shared" si="4"/>
        <v>1</v>
      </c>
      <c r="B81" s="249" t="str">
        <f>VLOOKUP($D81,'[4]1. Mesures'!$A$2:$G$116,6,0)</f>
        <v>OS 1.1</v>
      </c>
      <c r="C81" s="249" t="str">
        <f>VLOOKUP($D81,'[4]1. Mesures'!$A$2:$G$116,7,0)</f>
        <v>OO 1.1.2</v>
      </c>
      <c r="D81" s="249" t="str">
        <f t="shared" si="5"/>
        <v>M 1.5</v>
      </c>
      <c r="E81" s="250" t="s">
        <v>805</v>
      </c>
      <c r="F81" s="249" t="str">
        <f>VLOOKUP(E81,'5.2 Actions'!$A$3:$B$720,2,0)</f>
        <v>Mise à jour du relevé sur terrain des rejets vers le Neerpedebeek, notamment en s’aidant des connaissances déjà disponibles, et les compiler dans la base de données BE des rejets</v>
      </c>
      <c r="G81" s="251" t="str">
        <f>VLOOKUP(E81,'[4]5.2 Actions'!$A$3:$D$718,4,0)</f>
        <v>SEN</v>
      </c>
      <c r="H81" s="252">
        <f>VLOOKUP($E81,'5.1 Budget'!$A$4:$H$729,2,0)</f>
        <v>0</v>
      </c>
      <c r="I81" s="252">
        <f>VLOOKUP($E81,'5.1 Budget'!$A$4:$H$729,3,0)</f>
        <v>0</v>
      </c>
      <c r="J81" s="252">
        <f>VLOOKUP($E81,'5.1 Budget'!$A$4:$H$729,4,0)</f>
        <v>0</v>
      </c>
      <c r="K81" s="252">
        <f>VLOOKUP($E81,'5.1 Budget'!$A$4:$H$729,5,0)</f>
        <v>0</v>
      </c>
      <c r="L81" s="252">
        <f>VLOOKUP($E81,'5.1 Budget'!$A$4:$H$729,6,0)</f>
        <v>0</v>
      </c>
      <c r="M81" s="252">
        <f>VLOOKUP($E81,'5.1 Budget'!$A$4:$H$729,7,0)</f>
        <v>0</v>
      </c>
      <c r="N81" s="252">
        <f>VLOOKUP($E81,'5.1 Budget'!$A$4:$H$729,8,0)</f>
        <v>0</v>
      </c>
      <c r="O81" s="254"/>
      <c r="V81" t="str">
        <f>VLOOKUP(D81,'[4]1. Mesures'!$A$1:$B$116,2,0)</f>
        <v xml:space="preserve"> Inventorier les rejets directs dans une base de données dynamique </v>
      </c>
      <c r="W81" t="str">
        <f>VLOOKUP(B81,[1]HIERARCH!$A$1:$B$57,2,0)</f>
        <v>Assurer la gestion qualitative des masses d'eau de surface</v>
      </c>
      <c r="X81" t="str">
        <f>VLOOKUP(C81,[1]HIERARCH!$A$2:$B$57,2,0)</f>
        <v>Réduire les rejets directs dans les masses d'eau</v>
      </c>
      <c r="Y81" t="str">
        <f t="shared" si="6"/>
        <v>Mise à jour du relevé sur terrain des rejets vers le Neerpedebeek, notamment en s’aidant des connaissances déjà disponib…</v>
      </c>
    </row>
    <row r="82" spans="1:25" hidden="1" x14ac:dyDescent="0.25">
      <c r="A82" s="249" t="str">
        <f t="shared" si="4"/>
        <v>1</v>
      </c>
      <c r="B82" s="249" t="str">
        <f>VLOOKUP($D82,'[4]1. Mesures'!$A$2:$G$116,6,0)</f>
        <v>OS 1.1</v>
      </c>
      <c r="C82" s="249" t="str">
        <f>VLOOKUP($D82,'[4]1. Mesures'!$A$2:$G$116,7,0)</f>
        <v>OO 1.1.2</v>
      </c>
      <c r="D82" s="249" t="str">
        <f t="shared" si="5"/>
        <v>M 1.5</v>
      </c>
      <c r="E82" s="250" t="s">
        <v>806</v>
      </c>
      <c r="F82" s="249" t="str">
        <f>VLOOKUP(E82,'5.2 Actions'!$A$3:$B$720,2,0)</f>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
      <c r="G82" s="251" t="str">
        <f>VLOOKUP(E82,'[4]5.2 Actions'!$A$3:$D$718,4,0)</f>
        <v>CAN</v>
      </c>
      <c r="H82" s="252">
        <f>VLOOKUP($E82,'5.1 Budget'!$A$4:$H$729,2,0)</f>
        <v>17000</v>
      </c>
      <c r="I82" s="252">
        <f>VLOOKUP($E82,'5.1 Budget'!$A$4:$H$729,3,0)</f>
        <v>0</v>
      </c>
      <c r="J82" s="252">
        <f>VLOOKUP($E82,'5.1 Budget'!$A$4:$H$729,4,0)</f>
        <v>0</v>
      </c>
      <c r="K82" s="252">
        <f>VLOOKUP($E82,'5.1 Budget'!$A$4:$H$729,5,0)</f>
        <v>0</v>
      </c>
      <c r="L82" s="252">
        <f>VLOOKUP($E82,'5.1 Budget'!$A$4:$H$729,6,0)</f>
        <v>0</v>
      </c>
      <c r="M82" s="252">
        <f>VLOOKUP($E82,'5.1 Budget'!$A$4:$H$729,7,0)</f>
        <v>0</v>
      </c>
      <c r="N82" s="252">
        <f>VLOOKUP($E82,'5.1 Budget'!$A$4:$H$729,8,0)</f>
        <v>17000</v>
      </c>
      <c r="O82" s="254"/>
      <c r="V82" t="str">
        <f>VLOOKUP(D82,'[4]1. Mesures'!$A$1:$B$116,2,0)</f>
        <v xml:space="preserve"> Inventorier les rejets directs dans une base de données dynamique </v>
      </c>
      <c r="W82" t="str">
        <f>VLOOKUP(B82,[1]HIERARCH!$A$1:$B$57,2,0)</f>
        <v>Assurer la gestion qualitative des masses d'eau de surface</v>
      </c>
      <c r="X82" t="str">
        <f>VLOOKUP(C82,[1]HIERARCH!$A$2:$B$57,2,0)</f>
        <v>Réduire les rejets directs dans les masses d'eau</v>
      </c>
      <c r="Y82" t="str">
        <f t="shared" si="6"/>
        <v>Réaliser une enquête, auprès des usagers de toutes les catégories de bateaux/navires empruntant le canal en RBC (l’ensem…</v>
      </c>
    </row>
    <row r="83" spans="1:25" hidden="1" x14ac:dyDescent="0.25">
      <c r="A83" s="249" t="str">
        <f t="shared" si="4"/>
        <v>1</v>
      </c>
      <c r="B83" s="249" t="str">
        <f>VLOOKUP($D83,'[4]1. Mesures'!$A$2:$G$116,6,0)</f>
        <v>OS 1.1</v>
      </c>
      <c r="C83" s="249" t="str">
        <f>VLOOKUP($D83,'[4]1. Mesures'!$A$2:$G$116,7,0)</f>
        <v>OO 1.1.2</v>
      </c>
      <c r="D83" s="249" t="str">
        <f t="shared" si="5"/>
        <v>M 1.5</v>
      </c>
      <c r="E83" s="250" t="s">
        <v>807</v>
      </c>
      <c r="F83" s="249" t="str">
        <f>VLOOKUP(E83,'5.2 Actions'!$A$3:$B$720,2,0)</f>
        <v xml:space="preserve">Compiler les données des points de rejets des bateaux/navires permanents dans la base de données BE des rejets </v>
      </c>
      <c r="G83" s="251" t="str">
        <f>VLOOKUP(E83,'[4]5.2 Actions'!$A$3:$D$718,4,0)</f>
        <v>CAN</v>
      </c>
      <c r="H83" s="252">
        <f>VLOOKUP($E83,'5.1 Budget'!$A$4:$H$729,2,0)</f>
        <v>0</v>
      </c>
      <c r="I83" s="252">
        <f>VLOOKUP($E83,'5.1 Budget'!$A$4:$H$729,3,0)</f>
        <v>0</v>
      </c>
      <c r="J83" s="252">
        <f>VLOOKUP($E83,'5.1 Budget'!$A$4:$H$729,4,0)</f>
        <v>0</v>
      </c>
      <c r="K83" s="252">
        <f>VLOOKUP($E83,'5.1 Budget'!$A$4:$H$729,5,0)</f>
        <v>0</v>
      </c>
      <c r="L83" s="252">
        <f>VLOOKUP($E83,'5.1 Budget'!$A$4:$H$729,6,0)</f>
        <v>0</v>
      </c>
      <c r="M83" s="252">
        <f>VLOOKUP($E83,'5.1 Budget'!$A$4:$H$729,7,0)</f>
        <v>0</v>
      </c>
      <c r="N83" s="252">
        <f>VLOOKUP($E83,'5.1 Budget'!$A$4:$H$729,8,0)</f>
        <v>0</v>
      </c>
      <c r="O83" s="254"/>
      <c r="V83" t="str">
        <f>VLOOKUP(D83,'[4]1. Mesures'!$A$1:$B$116,2,0)</f>
        <v xml:space="preserve"> Inventorier les rejets directs dans une base de données dynamique </v>
      </c>
      <c r="W83" t="str">
        <f>VLOOKUP(B83,[1]HIERARCH!$A$1:$B$57,2,0)</f>
        <v>Assurer la gestion qualitative des masses d'eau de surface</v>
      </c>
      <c r="X83" t="str">
        <f>VLOOKUP(C83,[1]HIERARCH!$A$2:$B$57,2,0)</f>
        <v>Réduire les rejets directs dans les masses d'eau</v>
      </c>
      <c r="Y83" t="str">
        <f t="shared" si="6"/>
        <v>Compiler les données des points de rejets des bateaux/navires permanents dans la base de données BE des rejets …</v>
      </c>
    </row>
    <row r="84" spans="1:25" hidden="1" x14ac:dyDescent="0.25">
      <c r="A84" s="249" t="str">
        <f t="shared" si="4"/>
        <v>1</v>
      </c>
      <c r="B84" s="249" t="str">
        <f>VLOOKUP($D84,'[4]1. Mesures'!$A$2:$G$116,6,0)</f>
        <v>OS 1.1</v>
      </c>
      <c r="C84" s="249" t="str">
        <f>VLOOKUP($D84,'[4]1. Mesures'!$A$2:$G$116,7,0)</f>
        <v>OO 1.1.2</v>
      </c>
      <c r="D84" s="249" t="str">
        <f t="shared" si="5"/>
        <v>M 1.5</v>
      </c>
      <c r="E84" s="250" t="s">
        <v>808</v>
      </c>
      <c r="F84" s="249" t="str">
        <f>VLOOKUP(E84,'5.2 Actions'!$A$3:$B$720,2,0)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
      <c r="G84" s="251" t="str">
        <f>VLOOKUP(E84,'[4]5.2 Actions'!$A$3:$D$718,4,0)</f>
        <v>CAN</v>
      </c>
      <c r="H84" s="252">
        <f>VLOOKUP($E84,'5.1 Budget'!$A$4:$H$729,2,0)</f>
        <v>25000</v>
      </c>
      <c r="I84" s="252">
        <f>VLOOKUP($E84,'5.1 Budget'!$A$4:$H$729,3,0)</f>
        <v>0</v>
      </c>
      <c r="J84" s="252">
        <f>VLOOKUP($E84,'5.1 Budget'!$A$4:$H$729,4,0)</f>
        <v>0</v>
      </c>
      <c r="K84" s="252">
        <f>VLOOKUP($E84,'5.1 Budget'!$A$4:$H$729,5,0)</f>
        <v>0</v>
      </c>
      <c r="L84" s="252">
        <f>VLOOKUP($E84,'5.1 Budget'!$A$4:$H$729,6,0)</f>
        <v>0</v>
      </c>
      <c r="M84" s="252">
        <f>VLOOKUP($E84,'5.1 Budget'!$A$4:$H$729,7,0)</f>
        <v>0</v>
      </c>
      <c r="N84" s="252">
        <f>VLOOKUP($E84,'5.1 Budget'!$A$4:$H$729,8,0)</f>
        <v>25000</v>
      </c>
      <c r="O84" s="254"/>
      <c r="V84" t="str">
        <f>VLOOKUP(D84,'[4]1. Mesures'!$A$1:$B$116,2,0)</f>
        <v xml:space="preserve"> Inventorier les rejets directs dans une base de données dynamique </v>
      </c>
      <c r="W84" t="str">
        <f>VLOOKUP(B84,[1]HIERARCH!$A$1:$B$57,2,0)</f>
        <v>Assurer la gestion qualitative des masses d'eau de surface</v>
      </c>
      <c r="X84" t="str">
        <f>VLOOKUP(C84,[1]HIERARCH!$A$2:$B$57,2,0)</f>
        <v>Réduire les rejets directs dans les masses d'eau</v>
      </c>
      <c r="Y84" t="str">
        <f t="shared" si="6"/>
        <v>Inventorier le réseau d'écoulement (égouts/réseau séparatif/rejets vers le Canal ou la Senne) sur les parcelles privées …</v>
      </c>
    </row>
    <row r="85" spans="1:25" hidden="1" x14ac:dyDescent="0.25">
      <c r="A85" s="249" t="str">
        <f t="shared" si="4"/>
        <v>1</v>
      </c>
      <c r="B85" s="249" t="str">
        <f>VLOOKUP($D85,'[4]1. Mesures'!$A$2:$G$116,6,0)</f>
        <v>OS 1.1</v>
      </c>
      <c r="C85" s="249" t="str">
        <f>VLOOKUP($D85,'[4]1. Mesures'!$A$2:$G$116,7,0)</f>
        <v>OO 1.1.2</v>
      </c>
      <c r="D85" s="249" t="str">
        <f t="shared" si="5"/>
        <v>M 1.5</v>
      </c>
      <c r="E85" s="250" t="s">
        <v>810</v>
      </c>
      <c r="F85" s="249" t="str">
        <f>VLOOKUP(E85,'5.2 Actions'!$A$3:$B$720,2,0)</f>
        <v xml:space="preserve">Compiler les données relatives au réseau d’écoulement des parcelles privées du domaine portuaire dans la base de données BE des rejets </v>
      </c>
      <c r="G85" s="251" t="str">
        <f>VLOOKUP(E85,'[4]5.2 Actions'!$A$3:$D$718,4,0)</f>
        <v>CAN</v>
      </c>
      <c r="H85" s="252">
        <f>VLOOKUP($E85,'5.1 Budget'!$A$4:$H$729,2,0)</f>
        <v>0</v>
      </c>
      <c r="I85" s="252">
        <f>VLOOKUP($E85,'5.1 Budget'!$A$4:$H$729,3,0)</f>
        <v>0</v>
      </c>
      <c r="J85" s="252">
        <f>VLOOKUP($E85,'5.1 Budget'!$A$4:$H$729,4,0)</f>
        <v>0</v>
      </c>
      <c r="K85" s="252">
        <f>VLOOKUP($E85,'5.1 Budget'!$A$4:$H$729,5,0)</f>
        <v>0</v>
      </c>
      <c r="L85" s="252">
        <f>VLOOKUP($E85,'5.1 Budget'!$A$4:$H$729,6,0)</f>
        <v>0</v>
      </c>
      <c r="M85" s="252">
        <f>VLOOKUP($E85,'5.1 Budget'!$A$4:$H$729,7,0)</f>
        <v>0</v>
      </c>
      <c r="N85" s="252">
        <f>VLOOKUP($E85,'5.1 Budget'!$A$4:$H$729,8,0)</f>
        <v>0</v>
      </c>
      <c r="O85" s="254"/>
      <c r="V85" t="str">
        <f>VLOOKUP(D85,'[4]1. Mesures'!$A$1:$B$116,2,0)</f>
        <v xml:space="preserve"> Inventorier les rejets directs dans une base de données dynamique </v>
      </c>
      <c r="W85" t="str">
        <f>VLOOKUP(B85,[1]HIERARCH!$A$1:$B$57,2,0)</f>
        <v>Assurer la gestion qualitative des masses d'eau de surface</v>
      </c>
      <c r="X85" t="str">
        <f>VLOOKUP(C85,[1]HIERARCH!$A$2:$B$57,2,0)</f>
        <v>Réduire les rejets directs dans les masses d'eau</v>
      </c>
      <c r="Y85" t="str">
        <f t="shared" si="6"/>
        <v>Compiler les données relatives au réseau d’écoulement des parcelles privées du domaine portuaire dans la base de données…</v>
      </c>
    </row>
    <row r="86" spans="1:25" hidden="1" x14ac:dyDescent="0.25">
      <c r="A86" s="249" t="str">
        <f t="shared" si="4"/>
        <v>1</v>
      </c>
      <c r="B86" s="249" t="str">
        <f>VLOOKUP($D86,'[4]1. Mesures'!$A$2:$G$116,6,0)</f>
        <v>OS 1.1</v>
      </c>
      <c r="C86" s="249" t="str">
        <f>VLOOKUP($D86,'[4]1. Mesures'!$A$2:$G$116,7,0)</f>
        <v>OO 1.1.2</v>
      </c>
      <c r="D86" s="249" t="str">
        <f t="shared" si="5"/>
        <v>M 1.5</v>
      </c>
      <c r="E86" s="250" t="s">
        <v>811</v>
      </c>
      <c r="F86" s="249" t="str">
        <f>VLOOKUP(E86,'5.2 Actions'!$A$3:$B$720,2,0)</f>
        <v>Compiler les données du Port relatives aux autorisations de rejet dans le Canal dans la base de données BE des rejets</v>
      </c>
      <c r="G86" s="251" t="str">
        <f>VLOOKUP(E86,'[4]5.2 Actions'!$A$3:$D$718,4,0)</f>
        <v>CAN</v>
      </c>
      <c r="H86" s="252">
        <f>VLOOKUP($E86,'5.1 Budget'!$A$4:$H$729,2,0)</f>
        <v>0</v>
      </c>
      <c r="I86" s="252">
        <f>VLOOKUP($E86,'5.1 Budget'!$A$4:$H$729,3,0)</f>
        <v>0</v>
      </c>
      <c r="J86" s="252">
        <f>VLOOKUP($E86,'5.1 Budget'!$A$4:$H$729,4,0)</f>
        <v>0</v>
      </c>
      <c r="K86" s="252">
        <f>VLOOKUP($E86,'5.1 Budget'!$A$4:$H$729,5,0)</f>
        <v>0</v>
      </c>
      <c r="L86" s="252">
        <f>VLOOKUP($E86,'5.1 Budget'!$A$4:$H$729,6,0)</f>
        <v>0</v>
      </c>
      <c r="M86" s="252">
        <f>VLOOKUP($E86,'5.1 Budget'!$A$4:$H$729,7,0)</f>
        <v>0</v>
      </c>
      <c r="N86" s="252">
        <f>VLOOKUP($E86,'5.1 Budget'!$A$4:$H$729,8,0)</f>
        <v>0</v>
      </c>
      <c r="O86" s="254"/>
      <c r="V86" t="str">
        <f>VLOOKUP(D86,'[4]1. Mesures'!$A$1:$B$116,2,0)</f>
        <v xml:space="preserve"> Inventorier les rejets directs dans une base de données dynamique </v>
      </c>
      <c r="W86" t="str">
        <f>VLOOKUP(B86,[1]HIERARCH!$A$1:$B$57,2,0)</f>
        <v>Assurer la gestion qualitative des masses d'eau de surface</v>
      </c>
      <c r="X86" t="str">
        <f>VLOOKUP(C86,[1]HIERARCH!$A$2:$B$57,2,0)</f>
        <v>Réduire les rejets directs dans les masses d'eau</v>
      </c>
      <c r="Y86" t="str">
        <f t="shared" si="6"/>
        <v>Compiler les données du Port relatives aux autorisations de rejet dans le Canal dans la base de données BE des rejets…</v>
      </c>
    </row>
    <row r="87" spans="1:25" hidden="1" x14ac:dyDescent="0.25">
      <c r="A87" s="249" t="str">
        <f t="shared" si="4"/>
        <v>1</v>
      </c>
      <c r="B87" s="249" t="str">
        <f>VLOOKUP($D87,'[4]1. Mesures'!$A$2:$G$116,6,0)</f>
        <v>OS 1.1</v>
      </c>
      <c r="C87" s="249" t="str">
        <f>VLOOKUP($D87,'[4]1. Mesures'!$A$2:$G$116,7,0)</f>
        <v>OO 1.1.2</v>
      </c>
      <c r="D87" s="249" t="str">
        <f t="shared" si="5"/>
        <v>M 1.5</v>
      </c>
      <c r="E87" s="250" t="s">
        <v>812</v>
      </c>
      <c r="F87" s="249" t="str">
        <f>VLOOKUP(E87,'5.2 Actions'!$A$3:$B$720,2,0)</f>
        <v>Faire un relevé sur terrain des rejets vers la Woluwe et les étangs de la Woluwe (y compris l’égout qui déborderait ponctuellement au Parc des Sources), notamment en s’aidant des connaissances déjà disponibles, et les compiler dans la base de données BE des rejets</v>
      </c>
      <c r="G87" s="251" t="str">
        <f>VLOOKUP(E87,'[4]5.2 Actions'!$A$3:$D$718,4,0)</f>
        <v>WOL</v>
      </c>
      <c r="H87" s="252">
        <f>VLOOKUP($E87,'5.1 Budget'!$A$4:$H$729,2,0)</f>
        <v>0</v>
      </c>
      <c r="I87" s="252">
        <f>VLOOKUP($E87,'5.1 Budget'!$A$4:$H$729,3,0)</f>
        <v>0</v>
      </c>
      <c r="J87" s="252">
        <f>VLOOKUP($E87,'5.1 Budget'!$A$4:$H$729,4,0)</f>
        <v>0</v>
      </c>
      <c r="K87" s="252">
        <f>VLOOKUP($E87,'5.1 Budget'!$A$4:$H$729,5,0)</f>
        <v>0</v>
      </c>
      <c r="L87" s="252">
        <f>VLOOKUP($E87,'5.1 Budget'!$A$4:$H$729,6,0)</f>
        <v>0</v>
      </c>
      <c r="M87" s="252">
        <f>VLOOKUP($E87,'5.1 Budget'!$A$4:$H$729,7,0)</f>
        <v>0</v>
      </c>
      <c r="N87" s="252">
        <f>VLOOKUP($E87,'5.1 Budget'!$A$4:$H$729,8,0)</f>
        <v>0</v>
      </c>
      <c r="O87" s="254"/>
      <c r="V87" t="str">
        <f>VLOOKUP(D87,'[4]1. Mesures'!$A$1:$B$116,2,0)</f>
        <v xml:space="preserve"> Inventorier les rejets directs dans une base de données dynamique </v>
      </c>
      <c r="W87" t="str">
        <f>VLOOKUP(B87,[1]HIERARCH!$A$1:$B$57,2,0)</f>
        <v>Assurer la gestion qualitative des masses d'eau de surface</v>
      </c>
      <c r="X87" t="str">
        <f>VLOOKUP(C87,[1]HIERARCH!$A$2:$B$57,2,0)</f>
        <v>Réduire les rejets directs dans les masses d'eau</v>
      </c>
      <c r="Y87" t="str">
        <f t="shared" si="6"/>
        <v>Faire un relevé sur terrain des rejets vers la Woluwe et les étangs de la Woluwe (y compris l’égout qui déborderait ponc…</v>
      </c>
    </row>
    <row r="88" spans="1:25" hidden="1" x14ac:dyDescent="0.25">
      <c r="A88" s="249" t="str">
        <f t="shared" si="4"/>
        <v>1</v>
      </c>
      <c r="B88" s="249" t="str">
        <f>VLOOKUP($D88,'[4]1. Mesures'!$A$2:$G$116,6,0)</f>
        <v>OS 1.1</v>
      </c>
      <c r="C88" s="249" t="str">
        <f>VLOOKUP($D88,'[4]1. Mesures'!$A$2:$G$116,7,0)</f>
        <v>OO 1.1.2</v>
      </c>
      <c r="D88" s="249" t="str">
        <f t="shared" si="5"/>
        <v>M 1.5</v>
      </c>
      <c r="E88" s="250" t="s">
        <v>813</v>
      </c>
      <c r="F88" s="249" t="str">
        <f>VLOOKUP(E88,'5.2 Actions'!$A$3:$B$720,2,0)</f>
        <v>Finir les investigations des sources des rejets vers le Zwanewijdebeek qui ont été relevés sur terrain et les compiler dans la base de données BE des rejets</v>
      </c>
      <c r="G88" s="251" t="str">
        <f>VLOOKUP(E88,'[4]5.2 Actions'!$A$3:$D$718,4,0)</f>
        <v>WOL</v>
      </c>
      <c r="H88" s="252">
        <f>VLOOKUP($E88,'5.1 Budget'!$A$4:$H$729,2,0)</f>
        <v>0</v>
      </c>
      <c r="I88" s="252">
        <f>VLOOKUP($E88,'5.1 Budget'!$A$4:$H$729,3,0)</f>
        <v>0</v>
      </c>
      <c r="J88" s="252">
        <f>VLOOKUP($E88,'5.1 Budget'!$A$4:$H$729,4,0)</f>
        <v>0</v>
      </c>
      <c r="K88" s="252">
        <f>VLOOKUP($E88,'5.1 Budget'!$A$4:$H$729,5,0)</f>
        <v>0</v>
      </c>
      <c r="L88" s="252">
        <f>VLOOKUP($E88,'5.1 Budget'!$A$4:$H$729,6,0)</f>
        <v>0</v>
      </c>
      <c r="M88" s="252">
        <f>VLOOKUP($E88,'5.1 Budget'!$A$4:$H$729,7,0)</f>
        <v>0</v>
      </c>
      <c r="N88" s="252">
        <f>VLOOKUP($E88,'5.1 Budget'!$A$4:$H$729,8,0)</f>
        <v>0</v>
      </c>
      <c r="O88" s="254"/>
      <c r="V88" t="str">
        <f>VLOOKUP(D88,'[4]1. Mesures'!$A$1:$B$116,2,0)</f>
        <v xml:space="preserve"> Inventorier les rejets directs dans une base de données dynamique </v>
      </c>
      <c r="W88" t="str">
        <f>VLOOKUP(B88,[1]HIERARCH!$A$1:$B$57,2,0)</f>
        <v>Assurer la gestion qualitative des masses d'eau de surface</v>
      </c>
      <c r="X88" t="str">
        <f>VLOOKUP(C88,[1]HIERARCH!$A$2:$B$57,2,0)</f>
        <v>Réduire les rejets directs dans les masses d'eau</v>
      </c>
      <c r="Y88" t="str">
        <f t="shared" si="6"/>
        <v>Finir les investigations des sources des rejets vers le Zwanewijdebeek qui ont été relevés sur terrain et les compiler d…</v>
      </c>
    </row>
    <row r="89" spans="1:25" hidden="1" x14ac:dyDescent="0.25">
      <c r="A89" s="249" t="str">
        <f t="shared" si="4"/>
        <v>1</v>
      </c>
      <c r="B89" s="249" t="str">
        <f>VLOOKUP($D89,'[4]1. Mesures'!$A$2:$G$116,6,0)</f>
        <v>OS 1.1</v>
      </c>
      <c r="C89" s="249" t="str">
        <f>VLOOKUP($D89,'[4]1. Mesures'!$A$2:$G$116,7,0)</f>
        <v>OO 1.1.2</v>
      </c>
      <c r="D89" s="249" t="str">
        <f t="shared" si="5"/>
        <v>M 1.6</v>
      </c>
      <c r="E89" s="250" t="s">
        <v>821</v>
      </c>
      <c r="F89" s="249" t="str">
        <f>VLOOKUP(E89,'5.2 Actions'!$A$3:$B$720,2,0)</f>
        <v xml:space="preserve">Identifier et prioriser les travaux d’extension et de raccordement au réseau d’égouttage sur base de l’inventaire visé par la M  1.5 et de la cartographie des zones égouttables et des opportunités </v>
      </c>
      <c r="G89" s="251" t="str">
        <f>VLOOKUP(E89,'[4]5.2 Actions'!$A$3:$D$718,4,0)</f>
        <v>SEN / WOL / CAN</v>
      </c>
      <c r="H89" s="252">
        <f>VLOOKUP($E89,'5.1 Budget'!$A$4:$H$729,2,0)</f>
        <v>0</v>
      </c>
      <c r="I89" s="252">
        <f>VLOOKUP($E89,'5.1 Budget'!$A$4:$H$729,3,0)</f>
        <v>0</v>
      </c>
      <c r="J89" s="252">
        <f>VLOOKUP($E89,'5.1 Budget'!$A$4:$H$729,4,0)</f>
        <v>0</v>
      </c>
      <c r="K89" s="252">
        <f>VLOOKUP($E89,'5.1 Budget'!$A$4:$H$729,5,0)</f>
        <v>0</v>
      </c>
      <c r="L89" s="252">
        <f>VLOOKUP($E89,'5.1 Budget'!$A$4:$H$729,6,0)</f>
        <v>0</v>
      </c>
      <c r="M89" s="252">
        <f>VLOOKUP($E89,'5.1 Budget'!$A$4:$H$729,7,0)</f>
        <v>0</v>
      </c>
      <c r="N89" s="252">
        <f>VLOOKUP($E89,'5.1 Budget'!$A$4:$H$729,8,0)</f>
        <v>0</v>
      </c>
      <c r="O89" s="254"/>
      <c r="V89" t="str">
        <f>VLOOKUP(D89,'[4]1. Mesures'!$A$1:$B$116,2,0)</f>
        <v xml:space="preserve">Assurer le raccordement effectif des points de rejet d’eaux usées domestiques et non domestiques vers le réseau d’égouttage </v>
      </c>
      <c r="W89" t="str">
        <f>VLOOKUP(B89,[1]HIERARCH!$A$1:$B$57,2,0)</f>
        <v>Assurer la gestion qualitative des masses d'eau de surface</v>
      </c>
      <c r="X89" t="str">
        <f>VLOOKUP(C89,[1]HIERARCH!$A$2:$B$57,2,0)</f>
        <v>Réduire les rejets directs dans les masses d'eau</v>
      </c>
      <c r="Y89" t="str">
        <f t="shared" si="6"/>
        <v>Identifier et prioriser les travaux d’extension et de raccordement au réseau d’égouttage sur base de l’inventaire visé p…</v>
      </c>
    </row>
    <row r="90" spans="1:25" hidden="1" x14ac:dyDescent="0.25">
      <c r="A90" s="249" t="str">
        <f t="shared" si="4"/>
        <v>1</v>
      </c>
      <c r="B90" s="249" t="str">
        <f>VLOOKUP($D90,'[4]1. Mesures'!$A$2:$G$116,6,0)</f>
        <v>OS 1.1</v>
      </c>
      <c r="C90" s="249" t="str">
        <f>VLOOKUP($D90,'[4]1. Mesures'!$A$2:$G$116,7,0)</f>
        <v>OO 1.1.2</v>
      </c>
      <c r="D90" s="249" t="str">
        <f t="shared" si="5"/>
        <v>M 1.6</v>
      </c>
      <c r="E90" s="250" t="s">
        <v>822</v>
      </c>
      <c r="F90" s="249" t="str">
        <f>VLOOKUP(E90,'5.2 Actions'!$A$3:$B$720,2,0)</f>
        <v>Identifier et prioriser les travaux d’extension et de raccordement au réseau d’égouttage  sur les parcelles privées du domaine portuaire sur base de l’inventaire visé par la M  1.5 pour les concessions du Port de Bruxelles</v>
      </c>
      <c r="G90" s="251" t="str">
        <f>VLOOKUP(E90,'[4]5.2 Actions'!$A$3:$D$718,4,0)</f>
        <v>CAN</v>
      </c>
      <c r="H90" s="252">
        <f>VLOOKUP($E90,'5.1 Budget'!$A$4:$H$729,2,0)</f>
        <v>100000</v>
      </c>
      <c r="I90" s="252">
        <f>VLOOKUP($E90,'5.1 Budget'!$A$4:$H$729,3,0)</f>
        <v>0</v>
      </c>
      <c r="J90" s="252">
        <f>VLOOKUP($E90,'5.1 Budget'!$A$4:$H$729,4,0)</f>
        <v>0</v>
      </c>
      <c r="K90" s="252">
        <f>VLOOKUP($E90,'5.1 Budget'!$A$4:$H$729,5,0)</f>
        <v>100000</v>
      </c>
      <c r="L90" s="252">
        <f>VLOOKUP($E90,'5.1 Budget'!$A$4:$H$729,6,0)</f>
        <v>0</v>
      </c>
      <c r="M90" s="252">
        <f>VLOOKUP($E90,'5.1 Budget'!$A$4:$H$729,7,0)</f>
        <v>0</v>
      </c>
      <c r="N90" s="252">
        <f>VLOOKUP($E90,'5.1 Budget'!$A$4:$H$729,8,0)</f>
        <v>200000</v>
      </c>
      <c r="O90" s="254"/>
      <c r="V90" t="str">
        <f>VLOOKUP(D90,'[4]1. Mesures'!$A$1:$B$116,2,0)</f>
        <v xml:space="preserve">Assurer le raccordement effectif des points de rejet d’eaux usées domestiques et non domestiques vers le réseau d’égouttage </v>
      </c>
      <c r="W90" t="str">
        <f>VLOOKUP(B90,[1]HIERARCH!$A$1:$B$57,2,0)</f>
        <v>Assurer la gestion qualitative des masses d'eau de surface</v>
      </c>
      <c r="X90" t="str">
        <f>VLOOKUP(C90,[1]HIERARCH!$A$2:$B$57,2,0)</f>
        <v>Réduire les rejets directs dans les masses d'eau</v>
      </c>
      <c r="Y90" t="str">
        <f t="shared" si="6"/>
        <v>Identifier et prioriser les travaux d’extension et de raccordement au réseau d’égouttage  sur les parcelles privées du d…</v>
      </c>
    </row>
    <row r="91" spans="1:25" hidden="1" x14ac:dyDescent="0.25">
      <c r="A91" s="249" t="str">
        <f t="shared" si="4"/>
        <v>1</v>
      </c>
      <c r="B91" s="249" t="str">
        <f>VLOOKUP($D91,'[4]1. Mesures'!$A$2:$G$116,6,0)</f>
        <v>OS 1.1</v>
      </c>
      <c r="C91" s="249" t="str">
        <f>VLOOKUP($D91,'[4]1. Mesures'!$A$2:$G$116,7,0)</f>
        <v>OO 1.1.2</v>
      </c>
      <c r="D91" s="249" t="str">
        <f t="shared" si="5"/>
        <v>M 1.6</v>
      </c>
      <c r="E91" s="250" t="s">
        <v>823</v>
      </c>
      <c r="F91" s="249" t="str">
        <f>VLOOKUP(E91,'5.2 Actions'!$A$3:$B$720,2,0)</f>
        <v>Sur base de la DB reprenant les rejets directs d’eaux usées dans les cours d’eau (M1.5) procéder, lorsque c’est possible au niveau du cours d’eau, aux correctifs pour remédier à ces mauvaises connexions</v>
      </c>
      <c r="G91" s="251" t="str">
        <f>VLOOKUP(E91,'[4]5.2 Actions'!$A$3:$D$718,4,0)</f>
        <v>SEN / WOL / CAN</v>
      </c>
      <c r="H91" s="252">
        <f>VLOOKUP($E91,'5.1 Budget'!$A$4:$H$729,2,0)</f>
        <v>0</v>
      </c>
      <c r="I91" s="252">
        <f>VLOOKUP($E91,'5.1 Budget'!$A$4:$H$729,3,0)</f>
        <v>0</v>
      </c>
      <c r="J91" s="252">
        <f>VLOOKUP($E91,'5.1 Budget'!$A$4:$H$729,4,0)</f>
        <v>0</v>
      </c>
      <c r="K91" s="252">
        <f>VLOOKUP($E91,'5.1 Budget'!$A$4:$H$729,5,0)</f>
        <v>0</v>
      </c>
      <c r="L91" s="252">
        <f>VLOOKUP($E91,'5.1 Budget'!$A$4:$H$729,6,0)</f>
        <v>0</v>
      </c>
      <c r="M91" s="252">
        <f>VLOOKUP($E91,'5.1 Budget'!$A$4:$H$729,7,0)</f>
        <v>0</v>
      </c>
      <c r="N91" s="252">
        <f>VLOOKUP($E91,'5.1 Budget'!$A$4:$H$729,8,0)</f>
        <v>0</v>
      </c>
      <c r="O91" s="254"/>
      <c r="V91" t="str">
        <f>VLOOKUP(D91,'[4]1. Mesures'!$A$1:$B$116,2,0)</f>
        <v xml:space="preserve">Assurer le raccordement effectif des points de rejet d’eaux usées domestiques et non domestiques vers le réseau d’égouttage </v>
      </c>
      <c r="W91" t="str">
        <f>VLOOKUP(B91,[1]HIERARCH!$A$1:$B$57,2,0)</f>
        <v>Assurer la gestion qualitative des masses d'eau de surface</v>
      </c>
      <c r="X91" t="str">
        <f>VLOOKUP(C91,[1]HIERARCH!$A$2:$B$57,2,0)</f>
        <v>Réduire les rejets directs dans les masses d'eau</v>
      </c>
      <c r="Y91" t="str">
        <f t="shared" si="6"/>
        <v>Sur base de la DB reprenant les rejets directs d’eaux usées dans les cours d’eau (M1.5) procéder, lorsque c’est possible…</v>
      </c>
    </row>
    <row r="92" spans="1:25" hidden="1" x14ac:dyDescent="0.25">
      <c r="A92" s="249" t="str">
        <f t="shared" si="4"/>
        <v>1</v>
      </c>
      <c r="B92" s="249" t="str">
        <f>VLOOKUP($D92,'[4]1. Mesures'!$A$2:$G$116,6,0)</f>
        <v>OS 1.1</v>
      </c>
      <c r="C92" s="249" t="str">
        <f>VLOOKUP($D92,'[4]1. Mesures'!$A$2:$G$116,7,0)</f>
        <v>OO 1.1.2</v>
      </c>
      <c r="D92" s="249" t="str">
        <f t="shared" si="5"/>
        <v>M 1.6</v>
      </c>
      <c r="E92" s="250" t="s">
        <v>824</v>
      </c>
      <c r="F92" s="249" t="str">
        <f>VLOOKUP(E92,'5.2 Actions'!$A$3:$B$720,2,0)</f>
        <v>Définir et mettre en place une procédure de « raccordement »  permettant de coordonner les actions de chaque acteur et d’en clarifier les responsabilités</v>
      </c>
      <c r="G92" s="251" t="str">
        <f>VLOOKUP(E92,'[4]5.2 Actions'!$A$3:$D$718,4,0)</f>
        <v>SEN / WOL / CAN</v>
      </c>
      <c r="H92" s="252">
        <f>VLOOKUP($E92,'5.1 Budget'!$A$4:$H$729,2,0)</f>
        <v>0</v>
      </c>
      <c r="I92" s="252">
        <f>VLOOKUP($E92,'5.1 Budget'!$A$4:$H$729,3,0)</f>
        <v>0</v>
      </c>
      <c r="J92" s="252">
        <f>VLOOKUP($E92,'5.1 Budget'!$A$4:$H$729,4,0)</f>
        <v>0</v>
      </c>
      <c r="K92" s="252">
        <f>VLOOKUP($E92,'5.1 Budget'!$A$4:$H$729,5,0)</f>
        <v>0</v>
      </c>
      <c r="L92" s="252">
        <f>VLOOKUP($E92,'5.1 Budget'!$A$4:$H$729,6,0)</f>
        <v>0</v>
      </c>
      <c r="M92" s="252">
        <f>VLOOKUP($E92,'5.1 Budget'!$A$4:$H$729,7,0)</f>
        <v>0</v>
      </c>
      <c r="N92" s="252">
        <f>VLOOKUP($E92,'5.1 Budget'!$A$4:$H$729,8,0)</f>
        <v>0</v>
      </c>
      <c r="O92" s="254"/>
      <c r="V92" t="str">
        <f>VLOOKUP(D92,'[4]1. Mesures'!$A$1:$B$116,2,0)</f>
        <v xml:space="preserve">Assurer le raccordement effectif des points de rejet d’eaux usées domestiques et non domestiques vers le réseau d’égouttage </v>
      </c>
      <c r="W92" t="str">
        <f>VLOOKUP(B92,[1]HIERARCH!$A$1:$B$57,2,0)</f>
        <v>Assurer la gestion qualitative des masses d'eau de surface</v>
      </c>
      <c r="X92" t="str">
        <f>VLOOKUP(C92,[1]HIERARCH!$A$2:$B$57,2,0)</f>
        <v>Réduire les rejets directs dans les masses d'eau</v>
      </c>
      <c r="Y92" t="str">
        <f t="shared" si="6"/>
        <v>Définir et mettre en place une procédure de « raccordement »  permettant de coordonner les actions de chaque acteur et d…</v>
      </c>
    </row>
    <row r="93" spans="1:25" hidden="1" x14ac:dyDescent="0.25">
      <c r="A93" s="249" t="str">
        <f t="shared" si="4"/>
        <v>1</v>
      </c>
      <c r="B93" s="249" t="str">
        <f>VLOOKUP($D93,'[4]1. Mesures'!$A$2:$G$116,6,0)</f>
        <v>OS 1.1</v>
      </c>
      <c r="C93" s="249" t="str">
        <f>VLOOKUP($D93,'[4]1. Mesures'!$A$2:$G$116,7,0)</f>
        <v>OO 1.1.2</v>
      </c>
      <c r="D93" s="249" t="str">
        <f t="shared" si="5"/>
        <v>M 1.6</v>
      </c>
      <c r="E93" s="250" t="s">
        <v>825</v>
      </c>
      <c r="F93" s="249" t="str">
        <f>VLOOKUP(E93,'5.2 Actions'!$A$3:$B$720,2,0)</f>
        <v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v>
      </c>
      <c r="G93" s="251" t="str">
        <f>VLOOKUP(E93,'[4]5.2 Actions'!$A$3:$D$718,4,0)</f>
        <v>SEN / CAN</v>
      </c>
      <c r="H93" s="252">
        <f>VLOOKUP($E93,'5.1 Budget'!$A$4:$H$729,2,0)</f>
        <v>0</v>
      </c>
      <c r="I93" s="252">
        <f>VLOOKUP($E93,'5.1 Budget'!$A$4:$H$729,3,0)</f>
        <v>0</v>
      </c>
      <c r="J93" s="252">
        <f>VLOOKUP($E93,'5.1 Budget'!$A$4:$H$729,4,0)</f>
        <v>0</v>
      </c>
      <c r="K93" s="252">
        <f>VLOOKUP($E93,'5.1 Budget'!$A$4:$H$729,5,0)</f>
        <v>0</v>
      </c>
      <c r="L93" s="252">
        <f>VLOOKUP($E93,'5.1 Budget'!$A$4:$H$729,6,0)</f>
        <v>0</v>
      </c>
      <c r="M93" s="252">
        <f>VLOOKUP($E93,'5.1 Budget'!$A$4:$H$729,7,0)</f>
        <v>0</v>
      </c>
      <c r="N93" s="252">
        <f>VLOOKUP($E93,'5.1 Budget'!$A$4:$H$729,8,0)</f>
        <v>0</v>
      </c>
      <c r="O93" s="254"/>
      <c r="V93" t="str">
        <f>VLOOKUP(D93,'[4]1. Mesures'!$A$1:$B$116,2,0)</f>
        <v xml:space="preserve">Assurer le raccordement effectif des points de rejet d’eaux usées domestiques et non domestiques vers le réseau d’égouttage </v>
      </c>
      <c r="W93" t="str">
        <f>VLOOKUP(B93,[1]HIERARCH!$A$1:$B$57,2,0)</f>
        <v>Assurer la gestion qualitative des masses d'eau de surface</v>
      </c>
      <c r="X93" t="str">
        <f>VLOOKUP(C93,[1]HIERARCH!$A$2:$B$57,2,0)</f>
        <v>Réduire les rejets directs dans les masses d'eau</v>
      </c>
      <c r="Y93" t="str">
        <f t="shared" si="6"/>
        <v>Informer les habitants, les entreprises et promoteurs immobiliers (qui déversent actuellement dans les eaux de surface),…</v>
      </c>
    </row>
    <row r="94" spans="1:25" hidden="1" x14ac:dyDescent="0.25">
      <c r="A94" s="249" t="str">
        <f t="shared" si="4"/>
        <v>1</v>
      </c>
      <c r="B94" s="249" t="str">
        <f>VLOOKUP($D94,'[4]1. Mesures'!$A$2:$G$116,6,0)</f>
        <v>OS 1.1</v>
      </c>
      <c r="C94" s="249" t="str">
        <f>VLOOKUP($D94,'[4]1. Mesures'!$A$2:$G$116,7,0)</f>
        <v>OO 1.1.2</v>
      </c>
      <c r="D94" s="249" t="str">
        <f t="shared" si="5"/>
        <v>M 1.6</v>
      </c>
      <c r="E94" s="250" t="s">
        <v>826</v>
      </c>
      <c r="F94" s="249" t="str">
        <f>VLOOKUP(E94,'5.2 Actions'!$A$3:$B$720,2,0)</f>
        <v>Actualiser la carte des zones égouttées raccordées aux stations d’épuration dans l’inventaire des émissions polluantes vers les eaux de surface (WEISS)</v>
      </c>
      <c r="G94" s="251" t="str">
        <f>VLOOKUP(E94,'[4]5.2 Actions'!$A$3:$D$718,4,0)</f>
        <v>SEN / WOL / CAN</v>
      </c>
      <c r="H94" s="252">
        <f>VLOOKUP($E94,'5.1 Budget'!$A$4:$H$729,2,0)</f>
        <v>0</v>
      </c>
      <c r="I94" s="252">
        <f>VLOOKUP($E94,'5.1 Budget'!$A$4:$H$729,3,0)</f>
        <v>0</v>
      </c>
      <c r="J94" s="252">
        <f>VLOOKUP($E94,'5.1 Budget'!$A$4:$H$729,4,0)</f>
        <v>0</v>
      </c>
      <c r="K94" s="252">
        <f>VLOOKUP($E94,'5.1 Budget'!$A$4:$H$729,5,0)</f>
        <v>0</v>
      </c>
      <c r="L94" s="252">
        <f>VLOOKUP($E94,'5.1 Budget'!$A$4:$H$729,6,0)</f>
        <v>0</v>
      </c>
      <c r="M94" s="252">
        <f>VLOOKUP($E94,'5.1 Budget'!$A$4:$H$729,7,0)</f>
        <v>0</v>
      </c>
      <c r="N94" s="252">
        <f>VLOOKUP($E94,'5.1 Budget'!$A$4:$H$729,8,0)</f>
        <v>0</v>
      </c>
      <c r="O94" s="254"/>
      <c r="V94" t="str">
        <f>VLOOKUP(D94,'[4]1. Mesures'!$A$1:$B$116,2,0)</f>
        <v xml:space="preserve">Assurer le raccordement effectif des points de rejet d’eaux usées domestiques et non domestiques vers le réseau d’égouttage </v>
      </c>
      <c r="W94" t="str">
        <f>VLOOKUP(B94,[1]HIERARCH!$A$1:$B$57,2,0)</f>
        <v>Assurer la gestion qualitative des masses d'eau de surface</v>
      </c>
      <c r="X94" t="str">
        <f>VLOOKUP(C94,[1]HIERARCH!$A$2:$B$57,2,0)</f>
        <v>Réduire les rejets directs dans les masses d'eau</v>
      </c>
      <c r="Y94" t="str">
        <f t="shared" si="6"/>
        <v>Actualiser la carte des zones égouttées raccordées aux stations d’épuration dans l’inventaire des émissions polluantes v…</v>
      </c>
    </row>
    <row r="95" spans="1:25" hidden="1" x14ac:dyDescent="0.25">
      <c r="A95" s="249" t="str">
        <f t="shared" si="4"/>
        <v>1</v>
      </c>
      <c r="B95" s="249" t="str">
        <f>VLOOKUP($D95,'[4]1. Mesures'!$A$2:$G$116,6,0)</f>
        <v>OS 1.1</v>
      </c>
      <c r="C95" s="249" t="str">
        <f>VLOOKUP($D95,'[4]1. Mesures'!$A$2:$G$116,7,0)</f>
        <v>OO 1.1.2</v>
      </c>
      <c r="D95" s="249" t="str">
        <f t="shared" si="5"/>
        <v>M 1.6</v>
      </c>
      <c r="E95" s="250" t="s">
        <v>827</v>
      </c>
      <c r="F95" s="249" t="str">
        <f>VLOOKUP(E95,'5.2 Actions'!$A$3:$B$720,2,0)</f>
        <v xml:space="preserve">Etudier l’opportunité de mettre en place un système de certification des installations privées à l’instar du système PEB existant pour l’énergie </v>
      </c>
      <c r="G95" s="251" t="str">
        <f>VLOOKUP(E95,'[4]5.2 Actions'!$A$3:$D$718,4,0)</f>
        <v>SEN / WOL / CAN</v>
      </c>
      <c r="H95" s="252">
        <f>VLOOKUP($E95,'5.1 Budget'!$A$4:$H$729,2,0)</f>
        <v>0</v>
      </c>
      <c r="I95" s="252">
        <f>VLOOKUP($E95,'5.1 Budget'!$A$4:$H$729,3,0)</f>
        <v>0</v>
      </c>
      <c r="J95" s="252">
        <f>VLOOKUP($E95,'5.1 Budget'!$A$4:$H$729,4,0)</f>
        <v>0</v>
      </c>
      <c r="K95" s="252">
        <f>VLOOKUP($E95,'5.1 Budget'!$A$4:$H$729,5,0)</f>
        <v>0</v>
      </c>
      <c r="L95" s="252">
        <f>VLOOKUP($E95,'5.1 Budget'!$A$4:$H$729,6,0)</f>
        <v>0</v>
      </c>
      <c r="M95" s="252">
        <f>VLOOKUP($E95,'5.1 Budget'!$A$4:$H$729,7,0)</f>
        <v>0</v>
      </c>
      <c r="N95" s="252">
        <f>VLOOKUP($E95,'5.1 Budget'!$A$4:$H$729,8,0)</f>
        <v>0</v>
      </c>
      <c r="O95" s="254"/>
      <c r="V95" t="str">
        <f>VLOOKUP(D95,'[4]1. Mesures'!$A$1:$B$116,2,0)</f>
        <v xml:space="preserve">Assurer le raccordement effectif des points de rejet d’eaux usées domestiques et non domestiques vers le réseau d’égouttage </v>
      </c>
      <c r="W95" t="str">
        <f>VLOOKUP(B95,[1]HIERARCH!$A$1:$B$57,2,0)</f>
        <v>Assurer la gestion qualitative des masses d'eau de surface</v>
      </c>
      <c r="X95" t="str">
        <f>VLOOKUP(C95,[1]HIERARCH!$A$2:$B$57,2,0)</f>
        <v>Réduire les rejets directs dans les masses d'eau</v>
      </c>
      <c r="Y95" t="str">
        <f t="shared" si="6"/>
        <v>Etudier l’opportunité de mettre en place un système de certification des installations privées à l’instar du système PEB…</v>
      </c>
    </row>
    <row r="96" spans="1:25" hidden="1" x14ac:dyDescent="0.25">
      <c r="A96" s="249" t="str">
        <f t="shared" si="4"/>
        <v>1</v>
      </c>
      <c r="B96" s="249" t="str">
        <f>VLOOKUP($D96,'[4]1. Mesures'!$A$2:$G$116,6,0)</f>
        <v>OS 1.1</v>
      </c>
      <c r="C96" s="249" t="str">
        <f>VLOOKUP($D96,'[4]1. Mesures'!$A$2:$G$116,7,0)</f>
        <v>OO 1.1.2</v>
      </c>
      <c r="D96" s="249" t="str">
        <f t="shared" si="5"/>
        <v>M 1.7</v>
      </c>
      <c r="E96" s="250" t="s">
        <v>828</v>
      </c>
      <c r="F96" s="249" t="str">
        <f>VLOOKUP(E96,'5.2 Actions'!$A$3:$B$720,2,0)</f>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v>
      </c>
      <c r="G96" s="251" t="str">
        <f>VLOOKUP(E96,'[4]5.2 Actions'!$A$3:$D$718,4,0)</f>
        <v>SEN / WOL / CAN</v>
      </c>
      <c r="H96" s="252">
        <f>VLOOKUP($E96,'5.1 Budget'!$A$4:$H$729,2,0)</f>
        <v>0</v>
      </c>
      <c r="I96" s="252">
        <f>VLOOKUP($E96,'5.1 Budget'!$A$4:$H$729,3,0)</f>
        <v>0</v>
      </c>
      <c r="J96" s="252">
        <f>VLOOKUP($E96,'5.1 Budget'!$A$4:$H$729,4,0)</f>
        <v>0</v>
      </c>
      <c r="K96" s="252">
        <f>VLOOKUP($E96,'5.1 Budget'!$A$4:$H$729,5,0)</f>
        <v>0</v>
      </c>
      <c r="L96" s="252">
        <f>VLOOKUP($E96,'5.1 Budget'!$A$4:$H$729,6,0)</f>
        <v>0</v>
      </c>
      <c r="M96" s="252">
        <f>VLOOKUP($E96,'5.1 Budget'!$A$4:$H$729,7,0)</f>
        <v>0</v>
      </c>
      <c r="N96" s="252">
        <f>VLOOKUP($E96,'5.1 Budget'!$A$4:$H$729,8,0)</f>
        <v>0</v>
      </c>
      <c r="O96" s="254"/>
      <c r="V96" t="str">
        <f>VLOOKUP(D96,'[4]1. Mesures'!$A$1:$B$116,2,0)</f>
        <v xml:space="preserve"> Gérer les rejets non raccordables aux stations d'épuration collectives</v>
      </c>
      <c r="W96" t="str">
        <f>VLOOKUP(B96,[1]HIERARCH!$A$1:$B$57,2,0)</f>
        <v>Assurer la gestion qualitative des masses d'eau de surface</v>
      </c>
      <c r="X96" t="str">
        <f>VLOOKUP(C96,[1]HIERARCH!$A$2:$B$57,2,0)</f>
        <v>Réduire les rejets directs dans les masses d'eau</v>
      </c>
      <c r="Y96" t="str">
        <f t="shared" si="6"/>
        <v>Informer les communes quant à l’obligation d’installation et de contrôle  d’une épuration autonome pour les habitations …</v>
      </c>
    </row>
    <row r="97" spans="1:25" hidden="1" x14ac:dyDescent="0.25">
      <c r="A97" s="249" t="str">
        <f t="shared" si="4"/>
        <v>1</v>
      </c>
      <c r="B97" s="249" t="str">
        <f>VLOOKUP($D97,'[4]1. Mesures'!$A$2:$G$116,6,0)</f>
        <v>OS 1.1</v>
      </c>
      <c r="C97" s="249" t="str">
        <f>VLOOKUP($D97,'[4]1. Mesures'!$A$2:$G$116,7,0)</f>
        <v>OO 1.1.2</v>
      </c>
      <c r="D97" s="249" t="str">
        <f t="shared" si="5"/>
        <v>M 1.7</v>
      </c>
      <c r="E97" s="250" t="s">
        <v>829</v>
      </c>
      <c r="F97" s="249" t="str">
        <f>VLOOKUP(E97,'5.2 Actions'!$A$3:$B$720,2,0)</f>
        <v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v>
      </c>
      <c r="G97" s="251" t="str">
        <f>VLOOKUP(E97,'[4]5.2 Actions'!$A$3:$D$718,4,0)</f>
        <v>SEN / WOL / CAN</v>
      </c>
      <c r="H97" s="252">
        <f>VLOOKUP($E97,'5.1 Budget'!$A$4:$H$729,2,0)</f>
        <v>0</v>
      </c>
      <c r="I97" s="252">
        <f>VLOOKUP($E97,'5.1 Budget'!$A$4:$H$729,3,0)</f>
        <v>0</v>
      </c>
      <c r="J97" s="252">
        <f>VLOOKUP($E97,'5.1 Budget'!$A$4:$H$729,4,0)</f>
        <v>0</v>
      </c>
      <c r="K97" s="252">
        <f>VLOOKUP($E97,'5.1 Budget'!$A$4:$H$729,5,0)</f>
        <v>0</v>
      </c>
      <c r="L97" s="252">
        <f>VLOOKUP($E97,'5.1 Budget'!$A$4:$H$729,6,0)</f>
        <v>0</v>
      </c>
      <c r="M97" s="252">
        <f>VLOOKUP($E97,'5.1 Budget'!$A$4:$H$729,7,0)</f>
        <v>0</v>
      </c>
      <c r="N97" s="252">
        <f>VLOOKUP($E97,'5.1 Budget'!$A$4:$H$729,8,0)</f>
        <v>0</v>
      </c>
      <c r="O97" s="254"/>
      <c r="V97" t="str">
        <f>VLOOKUP(D97,'[4]1. Mesures'!$A$1:$B$116,2,0)</f>
        <v xml:space="preserve"> Gérer les rejets non raccordables aux stations d'épuration collectives</v>
      </c>
      <c r="W97" t="str">
        <f>VLOOKUP(B97,[1]HIERARCH!$A$1:$B$57,2,0)</f>
        <v>Assurer la gestion qualitative des masses d'eau de surface</v>
      </c>
      <c r="X97" t="str">
        <f>VLOOKUP(C97,[1]HIERARCH!$A$2:$B$57,2,0)</f>
        <v>Réduire les rejets directs dans les masses d'eau</v>
      </c>
      <c r="Y97" t="str">
        <f t="shared" si="6"/>
        <v>Informer les habitants, entreprises et promoteurs immobiliers de leurs obligations en termes d’installation d’un système…</v>
      </c>
    </row>
    <row r="98" spans="1:25" hidden="1" x14ac:dyDescent="0.25">
      <c r="A98" s="249" t="str">
        <f t="shared" si="4"/>
        <v>1</v>
      </c>
      <c r="B98" s="249" t="str">
        <f>VLOOKUP($D98,'[4]1. Mesures'!$A$2:$G$116,6,0)</f>
        <v>OS 1.1</v>
      </c>
      <c r="C98" s="249" t="str">
        <f>VLOOKUP($D98,'[4]1. Mesures'!$A$2:$G$116,7,0)</f>
        <v>OO 1.1.2</v>
      </c>
      <c r="D98" s="249" t="str">
        <f t="shared" si="5"/>
        <v>M 1.7</v>
      </c>
      <c r="E98" s="250" t="s">
        <v>830</v>
      </c>
      <c r="F98" s="249" t="str">
        <f>VLOOKUP(E98,'5.2 Actions'!$A$3:$B$720,2,0)</f>
        <v>Assurer le contrôle des systèmes d’épuration individuels</v>
      </c>
      <c r="G98" s="251" t="str">
        <f>VLOOKUP(E98,'[4]5.2 Actions'!$A$3:$D$718,4,0)</f>
        <v>SEN / WOL / CAN</v>
      </c>
      <c r="H98" s="252">
        <f>VLOOKUP($E98,'5.1 Budget'!$A$4:$H$729,2,0)</f>
        <v>0</v>
      </c>
      <c r="I98" s="252">
        <f>VLOOKUP($E98,'5.1 Budget'!$A$4:$H$729,3,0)</f>
        <v>0</v>
      </c>
      <c r="J98" s="252">
        <f>VLOOKUP($E98,'5.1 Budget'!$A$4:$H$729,4,0)</f>
        <v>0</v>
      </c>
      <c r="K98" s="252">
        <f>VLOOKUP($E98,'5.1 Budget'!$A$4:$H$729,5,0)</f>
        <v>0</v>
      </c>
      <c r="L98" s="252">
        <f>VLOOKUP($E98,'5.1 Budget'!$A$4:$H$729,6,0)</f>
        <v>0</v>
      </c>
      <c r="M98" s="252">
        <f>VLOOKUP($E98,'5.1 Budget'!$A$4:$H$729,7,0)</f>
        <v>0</v>
      </c>
      <c r="N98" s="252">
        <f>VLOOKUP($E98,'5.1 Budget'!$A$4:$H$729,8,0)</f>
        <v>0</v>
      </c>
      <c r="O98" s="254"/>
      <c r="V98" t="str">
        <f>VLOOKUP(D98,'[4]1. Mesures'!$A$1:$B$116,2,0)</f>
        <v xml:space="preserve"> Gérer les rejets non raccordables aux stations d'épuration collectives</v>
      </c>
      <c r="W98" t="str">
        <f>VLOOKUP(B98,[1]HIERARCH!$A$1:$B$57,2,0)</f>
        <v>Assurer la gestion qualitative des masses d'eau de surface</v>
      </c>
      <c r="X98" t="str">
        <f>VLOOKUP(C98,[1]HIERARCH!$A$2:$B$57,2,0)</f>
        <v>Réduire les rejets directs dans les masses d'eau</v>
      </c>
      <c r="Y98" t="str">
        <f t="shared" si="6"/>
        <v>Assurer le contrôle des systèmes d’épuration individuels…</v>
      </c>
    </row>
    <row r="99" spans="1:25" hidden="1" x14ac:dyDescent="0.25">
      <c r="A99" s="249" t="str">
        <f t="shared" si="4"/>
        <v>1</v>
      </c>
      <c r="B99" s="249" t="str">
        <f>VLOOKUP($D99,'[4]1. Mesures'!$A$2:$G$116,6,0)</f>
        <v>OS 1.1</v>
      </c>
      <c r="C99" s="249" t="str">
        <f>VLOOKUP($D99,'[4]1. Mesures'!$A$2:$G$116,7,0)</f>
        <v>OO 1.1.2</v>
      </c>
      <c r="D99" s="249" t="str">
        <f t="shared" si="5"/>
        <v>M 1.7</v>
      </c>
      <c r="E99" s="250" t="s">
        <v>831</v>
      </c>
      <c r="F99" s="249" t="str">
        <f>VLOOKUP(E99,'5.2 Actions'!$A$3:$B$720,2,0)</f>
        <v>Offrir un soutien technique aux communes dans le cadre de la mise en œuvre de cette mesure M1.7</v>
      </c>
      <c r="G99" s="251" t="str">
        <f>VLOOKUP(E99,'[4]5.2 Actions'!$A$3:$D$718,4,0)</f>
        <v>SEN / WOL / CAN</v>
      </c>
      <c r="H99" s="252">
        <f>VLOOKUP($E99,'5.1 Budget'!$A$4:$H$729,2,0)</f>
        <v>0</v>
      </c>
      <c r="I99" s="252">
        <f>VLOOKUP($E99,'5.1 Budget'!$A$4:$H$729,3,0)</f>
        <v>0</v>
      </c>
      <c r="J99" s="252">
        <f>VLOOKUP($E99,'5.1 Budget'!$A$4:$H$729,4,0)</f>
        <v>0</v>
      </c>
      <c r="K99" s="252">
        <f>VLOOKUP($E99,'5.1 Budget'!$A$4:$H$729,5,0)</f>
        <v>0</v>
      </c>
      <c r="L99" s="252">
        <f>VLOOKUP($E99,'5.1 Budget'!$A$4:$H$729,6,0)</f>
        <v>0</v>
      </c>
      <c r="M99" s="252">
        <f>VLOOKUP($E99,'5.1 Budget'!$A$4:$H$729,7,0)</f>
        <v>0</v>
      </c>
      <c r="N99" s="252">
        <f>VLOOKUP($E99,'5.1 Budget'!$A$4:$H$729,8,0)</f>
        <v>0</v>
      </c>
      <c r="O99" s="254"/>
      <c r="V99" t="str">
        <f>VLOOKUP(D99,'[4]1. Mesures'!$A$1:$B$116,2,0)</f>
        <v xml:space="preserve"> Gérer les rejets non raccordables aux stations d'épuration collectives</v>
      </c>
      <c r="W99" t="str">
        <f>VLOOKUP(B99,[1]HIERARCH!$A$1:$B$57,2,0)</f>
        <v>Assurer la gestion qualitative des masses d'eau de surface</v>
      </c>
      <c r="X99" t="str">
        <f>VLOOKUP(C99,[1]HIERARCH!$A$2:$B$57,2,0)</f>
        <v>Réduire les rejets directs dans les masses d'eau</v>
      </c>
      <c r="Y99" t="str">
        <f t="shared" si="6"/>
        <v>Offrir un soutien technique aux communes dans le cadre de la mise en œuvre de cette mesure M1.7…</v>
      </c>
    </row>
    <row r="100" spans="1:25" hidden="1" x14ac:dyDescent="0.25">
      <c r="A100" s="249" t="str">
        <f t="shared" si="4"/>
        <v>1</v>
      </c>
      <c r="B100" s="249" t="str">
        <f>VLOOKUP($D100,'[4]1. Mesures'!$A$2:$G$116,6,0)</f>
        <v>OS 1.1</v>
      </c>
      <c r="C100" s="249" t="str">
        <f>VLOOKUP($D100,'[4]1. Mesures'!$A$2:$G$116,7,0)</f>
        <v>OO 1.1.2</v>
      </c>
      <c r="D100" s="249" t="str">
        <f t="shared" si="5"/>
        <v>M 1.7</v>
      </c>
      <c r="E100" s="250" t="s">
        <v>832</v>
      </c>
      <c r="F100" s="249" t="str">
        <f>VLOOKUP(E100,'5.2 Actions'!$A$3:$B$720,2,0)</f>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v>
      </c>
      <c r="G100" s="251" t="str">
        <f>VLOOKUP(E100,'[4]5.2 Actions'!$A$3:$D$718,4,0)</f>
        <v>CAN</v>
      </c>
      <c r="H100" s="252">
        <f>VLOOKUP($E100,'5.1 Budget'!$A$4:$H$729,2,0)</f>
        <v>0</v>
      </c>
      <c r="I100" s="252">
        <f>VLOOKUP($E100,'5.1 Budget'!$A$4:$H$729,3,0)</f>
        <v>40000</v>
      </c>
      <c r="J100" s="252">
        <f>VLOOKUP($E100,'5.1 Budget'!$A$4:$H$729,4,0)</f>
        <v>35000</v>
      </c>
      <c r="K100" s="252">
        <f>VLOOKUP($E100,'5.1 Budget'!$A$4:$H$729,5,0)</f>
        <v>0</v>
      </c>
      <c r="L100" s="252">
        <f>VLOOKUP($E100,'5.1 Budget'!$A$4:$H$729,6,0)</f>
        <v>0</v>
      </c>
      <c r="M100" s="252">
        <f>VLOOKUP($E100,'5.1 Budget'!$A$4:$H$729,7,0)</f>
        <v>0</v>
      </c>
      <c r="N100" s="252">
        <f>VLOOKUP($E100,'5.1 Budget'!$A$4:$H$729,8,0)</f>
        <v>75000</v>
      </c>
      <c r="O100" s="254"/>
      <c r="V100" t="str">
        <f>VLOOKUP(D100,'[4]1. Mesures'!$A$1:$B$116,2,0)</f>
        <v xml:space="preserve"> Gérer les rejets non raccordables aux stations d'épuration collectives</v>
      </c>
      <c r="W100" t="str">
        <f>VLOOKUP(B100,[1]HIERARCH!$A$1:$B$57,2,0)</f>
        <v>Assurer la gestion qualitative des masses d'eau de surface</v>
      </c>
      <c r="X100" t="str">
        <f>VLOOKUP(C100,[1]HIERARCH!$A$2:$B$57,2,0)</f>
        <v>Réduire les rejets directs dans les masses d'eau</v>
      </c>
      <c r="Y100" t="str">
        <f t="shared" si="6"/>
        <v>Suite à l’étude visée dans la mesure M 1.5, mettre en place les solutions et/ou infrastructures retenues pour permettre …</v>
      </c>
    </row>
    <row r="101" spans="1:25" hidden="1" x14ac:dyDescent="0.25">
      <c r="A101" s="249" t="str">
        <f t="shared" si="4"/>
        <v>1</v>
      </c>
      <c r="B101" s="249" t="str">
        <f>VLOOKUP($D101,'[4]1. Mesures'!$A$2:$G$116,6,0)</f>
        <v>OS 1.1</v>
      </c>
      <c r="C101" s="249" t="str">
        <f>VLOOKUP($D101,'[4]1. Mesures'!$A$2:$G$116,7,0)</f>
        <v>OO 1.1.2</v>
      </c>
      <c r="D101" s="249" t="str">
        <f t="shared" si="5"/>
        <v>M 1.7</v>
      </c>
      <c r="E101" s="250" t="s">
        <v>833</v>
      </c>
      <c r="F101" s="249" t="str">
        <f>VLOOKUP(E101,'5.2 Actions'!$A$3:$B$720,2,0)</f>
        <v>Actualiser la carte des zones non égouttées soumises à épuration autonome dans l’inventaire BE des émissions polluantes vers les eaux de surface (WEISS), y compris les rejets ponctuels des bateaux/navires</v>
      </c>
      <c r="G101" s="251" t="str">
        <f>VLOOKUP(E101,'[4]5.2 Actions'!$A$3:$D$718,4,0)</f>
        <v>SEN / WOL / CAN</v>
      </c>
      <c r="H101" s="252">
        <f>VLOOKUP($E101,'5.1 Budget'!$A$4:$H$729,2,0)</f>
        <v>0</v>
      </c>
      <c r="I101" s="252">
        <f>VLOOKUP($E101,'5.1 Budget'!$A$4:$H$729,3,0)</f>
        <v>0</v>
      </c>
      <c r="J101" s="252">
        <f>VLOOKUP($E101,'5.1 Budget'!$A$4:$H$729,4,0)</f>
        <v>0</v>
      </c>
      <c r="K101" s="252">
        <f>VLOOKUP($E101,'5.1 Budget'!$A$4:$H$729,5,0)</f>
        <v>0</v>
      </c>
      <c r="L101" s="252">
        <f>VLOOKUP($E101,'5.1 Budget'!$A$4:$H$729,6,0)</f>
        <v>0</v>
      </c>
      <c r="M101" s="252">
        <f>VLOOKUP($E101,'5.1 Budget'!$A$4:$H$729,7,0)</f>
        <v>0</v>
      </c>
      <c r="N101" s="252">
        <f>VLOOKUP($E101,'5.1 Budget'!$A$4:$H$729,8,0)</f>
        <v>0</v>
      </c>
      <c r="O101" s="254"/>
      <c r="V101" t="str">
        <f>VLOOKUP(D101,'[4]1. Mesures'!$A$1:$B$116,2,0)</f>
        <v xml:space="preserve"> Gérer les rejets non raccordables aux stations d'épuration collectives</v>
      </c>
      <c r="W101" t="str">
        <f>VLOOKUP(B101,[1]HIERARCH!$A$1:$B$57,2,0)</f>
        <v>Assurer la gestion qualitative des masses d'eau de surface</v>
      </c>
      <c r="X101" t="str">
        <f>VLOOKUP(C101,[1]HIERARCH!$A$2:$B$57,2,0)</f>
        <v>Réduire les rejets directs dans les masses d'eau</v>
      </c>
      <c r="Y101" t="str">
        <f t="shared" si="6"/>
        <v>Actualiser la carte des zones non égouttées soumises à épuration autonome dans l’inventaire BE des émissions polluantes …</v>
      </c>
    </row>
    <row r="102" spans="1:25" hidden="1" x14ac:dyDescent="0.25">
      <c r="A102" s="249" t="str">
        <f t="shared" si="4"/>
        <v>1</v>
      </c>
      <c r="B102" s="249" t="str">
        <f>VLOOKUP($D102,'[4]1. Mesures'!$A$2:$G$116,6,0)</f>
        <v>OS 1.1</v>
      </c>
      <c r="C102" s="249" t="str">
        <f>VLOOKUP($D102,'[4]1. Mesures'!$A$2:$G$116,7,0)</f>
        <v>OO 1.1.3</v>
      </c>
      <c r="D102" s="249" t="str">
        <f t="shared" si="5"/>
        <v>M 1.8</v>
      </c>
      <c r="E102" s="250" t="s">
        <v>834</v>
      </c>
      <c r="F102" s="249" t="str">
        <f>VLOOKUP(E102,'5.2 Actions'!$A$3:$B$720,2,0)</f>
        <v>Réaliser les plans des déversoirs d’orage principaux sous gestion de Vivaqua</v>
      </c>
      <c r="G102" s="251" t="str">
        <f>VLOOKUP(E102,'[4]5.2 Actions'!$A$3:$D$718,4,0)</f>
        <v>SEN / WOL / CAN</v>
      </c>
      <c r="H102" s="252">
        <f>VLOOKUP($E102,'5.1 Budget'!$A$4:$H$729,2,0)</f>
        <v>15000</v>
      </c>
      <c r="I102" s="252">
        <f>VLOOKUP($E102,'5.1 Budget'!$A$4:$H$729,3,0)</f>
        <v>0</v>
      </c>
      <c r="J102" s="252">
        <f>VLOOKUP($E102,'5.1 Budget'!$A$4:$H$729,4,0)</f>
        <v>0</v>
      </c>
      <c r="K102" s="252">
        <f>VLOOKUP($E102,'5.1 Budget'!$A$4:$H$729,5,0)</f>
        <v>0</v>
      </c>
      <c r="L102" s="252">
        <f>VLOOKUP($E102,'5.1 Budget'!$A$4:$H$729,6,0)</f>
        <v>0</v>
      </c>
      <c r="M102" s="252">
        <f>VLOOKUP($E102,'5.1 Budget'!$A$4:$H$729,7,0)</f>
        <v>0</v>
      </c>
      <c r="N102" s="252">
        <f>VLOOKUP($E102,'5.1 Budget'!$A$4:$H$729,8,0)</f>
        <v>15000</v>
      </c>
      <c r="O102" s="254"/>
      <c r="V102" t="str">
        <f>VLOOKUP(D102,'[4]1. Mesures'!$A$1:$B$116,2,0)</f>
        <v>Réaliser l'état de l'art des déversoirs d'orages actuels et optimaliser leur conception pour réduire le transfert de polluants vers les masses d’eau de surface</v>
      </c>
      <c r="W102" t="str">
        <f>VLOOKUP(B102,[1]HIERARCH!$A$1:$B$57,2,0)</f>
        <v>Assurer la gestion qualitative des masses d'eau de surface</v>
      </c>
      <c r="X102" t="str">
        <f>VLOOKUP(C102,[1]HIERARCH!$A$2:$B$57,2,0)</f>
        <v>Réduire l’impact du réseau d’assainissement sur la qualité des masses d’eau de surface</v>
      </c>
      <c r="Y102" t="str">
        <f t="shared" si="6"/>
        <v>Réaliser les plans des déversoirs d’orage principaux sous gestion de Vivaqua…</v>
      </c>
    </row>
    <row r="103" spans="1:25" hidden="1" x14ac:dyDescent="0.25">
      <c r="A103" s="249" t="str">
        <f t="shared" si="4"/>
        <v>1</v>
      </c>
      <c r="B103" s="249" t="str">
        <f>VLOOKUP($D103,'[4]1. Mesures'!$A$2:$G$116,6,0)</f>
        <v>OS 1.1</v>
      </c>
      <c r="C103" s="249" t="str">
        <f>VLOOKUP($D103,'[4]1. Mesures'!$A$2:$G$116,7,0)</f>
        <v>OO 1.1.3</v>
      </c>
      <c r="D103" s="249" t="str">
        <f t="shared" si="5"/>
        <v>M 1.8</v>
      </c>
      <c r="E103" s="250" t="s">
        <v>835</v>
      </c>
      <c r="F103" s="249" t="str">
        <f>VLOOKUP(E103,'5.2 Actions'!$A$3:$B$720,2,0)</f>
        <v>Réaliser les plans des déversoirs d’orage principaux sous gestion de la SBGE</v>
      </c>
      <c r="G103" s="251" t="str">
        <f>VLOOKUP(E103,'[4]5.2 Actions'!$A$3:$D$718,4,0)</f>
        <v>SEN / WOL / CAN</v>
      </c>
      <c r="H103" s="252">
        <f>VLOOKUP($E103,'5.1 Budget'!$A$4:$H$729,2,0)</f>
        <v>15000</v>
      </c>
      <c r="I103" s="252">
        <f>VLOOKUP($E103,'5.1 Budget'!$A$4:$H$729,3,0)</f>
        <v>0</v>
      </c>
      <c r="J103" s="252">
        <f>VLOOKUP($E103,'5.1 Budget'!$A$4:$H$729,4,0)</f>
        <v>0</v>
      </c>
      <c r="K103" s="252">
        <f>VLOOKUP($E103,'5.1 Budget'!$A$4:$H$729,5,0)</f>
        <v>0</v>
      </c>
      <c r="L103" s="252">
        <f>VLOOKUP($E103,'5.1 Budget'!$A$4:$H$729,6,0)</f>
        <v>0</v>
      </c>
      <c r="M103" s="252">
        <f>VLOOKUP($E103,'5.1 Budget'!$A$4:$H$729,7,0)</f>
        <v>0</v>
      </c>
      <c r="N103" s="252">
        <f>VLOOKUP($E103,'5.1 Budget'!$A$4:$H$729,8,0)</f>
        <v>15000</v>
      </c>
      <c r="O103" s="254"/>
      <c r="V103" t="str">
        <f>VLOOKUP(D103,'[4]1. Mesures'!$A$1:$B$116,2,0)</f>
        <v>Réaliser l'état de l'art des déversoirs d'orages actuels et optimaliser leur conception pour réduire le transfert de polluants vers les masses d’eau de surface</v>
      </c>
      <c r="W103" t="str">
        <f>VLOOKUP(B103,[1]HIERARCH!$A$1:$B$57,2,0)</f>
        <v>Assurer la gestion qualitative des masses d'eau de surface</v>
      </c>
      <c r="X103" t="str">
        <f>VLOOKUP(C103,[1]HIERARCH!$A$2:$B$57,2,0)</f>
        <v>Réduire l’impact du réseau d’assainissement sur la qualité des masses d’eau de surface</v>
      </c>
      <c r="Y103" t="str">
        <f t="shared" si="6"/>
        <v>Réaliser les plans des déversoirs d’orage principaux sous gestion de la SBGE…</v>
      </c>
    </row>
    <row r="104" spans="1:25" hidden="1" x14ac:dyDescent="0.25">
      <c r="A104" s="249" t="str">
        <f t="shared" si="4"/>
        <v>1</v>
      </c>
      <c r="B104" s="249" t="str">
        <f>VLOOKUP($D104,'[4]1. Mesures'!$A$2:$G$116,6,0)</f>
        <v>OS 1.1</v>
      </c>
      <c r="C104" s="249" t="str">
        <f>VLOOKUP($D104,'[4]1. Mesures'!$A$2:$G$116,7,0)</f>
        <v>OO 1.1.3</v>
      </c>
      <c r="D104" s="249" t="str">
        <f t="shared" si="5"/>
        <v>M 1.8</v>
      </c>
      <c r="E104" s="250" t="s">
        <v>836</v>
      </c>
      <c r="F104" s="249" t="str">
        <f>VLOOKUP(E104,'5.2 Actions'!$A$3:$B$720,2,0)</f>
        <v>Installer des capteurs de fréquence ou de débit sur les déversoirs principaux et les ajouter à Flowbru (voir la mesure M1.22)</v>
      </c>
      <c r="G104" s="251" t="str">
        <f>VLOOKUP(E104,'[4]5.2 Actions'!$A$3:$D$718,4,0)</f>
        <v>SEN / WOL / CAN</v>
      </c>
      <c r="H104" s="252">
        <f>VLOOKUP($E104,'5.1 Budget'!$A$4:$H$729,2,0)</f>
        <v>0</v>
      </c>
      <c r="I104" s="252">
        <f>VLOOKUP($E104,'5.1 Budget'!$A$4:$H$729,3,0)</f>
        <v>0</v>
      </c>
      <c r="J104" s="252">
        <f>VLOOKUP($E104,'5.1 Budget'!$A$4:$H$729,4,0)</f>
        <v>0</v>
      </c>
      <c r="K104" s="252">
        <f>VLOOKUP($E104,'5.1 Budget'!$A$4:$H$729,5,0)</f>
        <v>0</v>
      </c>
      <c r="L104" s="252">
        <f>VLOOKUP($E104,'5.1 Budget'!$A$4:$H$729,6,0)</f>
        <v>0</v>
      </c>
      <c r="M104" s="252">
        <f>VLOOKUP($E104,'5.1 Budget'!$A$4:$H$729,7,0)</f>
        <v>0</v>
      </c>
      <c r="N104" s="252">
        <f>VLOOKUP($E104,'5.1 Budget'!$A$4:$H$729,8,0)</f>
        <v>0</v>
      </c>
      <c r="O104" s="254"/>
      <c r="V104" t="str">
        <f>VLOOKUP(D104,'[4]1. Mesures'!$A$1:$B$116,2,0)</f>
        <v>Réaliser l'état de l'art des déversoirs d'orages actuels et optimaliser leur conception pour réduire le transfert de polluants vers les masses d’eau de surface</v>
      </c>
      <c r="W104" t="str">
        <f>VLOOKUP(B104,[1]HIERARCH!$A$1:$B$57,2,0)</f>
        <v>Assurer la gestion qualitative des masses d'eau de surface</v>
      </c>
      <c r="X104" t="str">
        <f>VLOOKUP(C104,[1]HIERARCH!$A$2:$B$57,2,0)</f>
        <v>Réduire l’impact du réseau d’assainissement sur la qualité des masses d’eau de surface</v>
      </c>
      <c r="Y104" t="str">
        <f t="shared" si="6"/>
        <v>Installer des capteurs de fréquence ou de débit sur les déversoirs principaux et les ajouter à Flowbru (voir la mesure M…</v>
      </c>
    </row>
    <row r="105" spans="1:25" hidden="1" x14ac:dyDescent="0.25">
      <c r="A105" s="249" t="str">
        <f t="shared" si="4"/>
        <v>1</v>
      </c>
      <c r="B105" s="249" t="str">
        <f>VLOOKUP($D105,'[4]1. Mesures'!$A$2:$G$116,6,0)</f>
        <v>OS 1.1</v>
      </c>
      <c r="C105" s="249" t="str">
        <f>VLOOKUP($D105,'[4]1. Mesures'!$A$2:$G$116,7,0)</f>
        <v>OO 1.1.3</v>
      </c>
      <c r="D105" s="249" t="str">
        <f t="shared" si="5"/>
        <v>M 1.8</v>
      </c>
      <c r="E105" s="250" t="s">
        <v>837</v>
      </c>
      <c r="F105" s="249" t="str">
        <f>VLOOKUP(E105,'5.2 Actions'!$A$3:$B$720,2,0)</f>
        <v>Calculer les fréquences et débit de déversements</v>
      </c>
      <c r="G105" s="251" t="str">
        <f>VLOOKUP(E105,'[4]5.2 Actions'!$A$3:$D$718,4,0)</f>
        <v>SEN / WOL / CAN</v>
      </c>
      <c r="H105" s="252">
        <f>VLOOKUP($E105,'5.1 Budget'!$A$4:$H$729,2,0)</f>
        <v>0</v>
      </c>
      <c r="I105" s="252">
        <f>VLOOKUP($E105,'5.1 Budget'!$A$4:$H$729,3,0)</f>
        <v>10000</v>
      </c>
      <c r="J105" s="252">
        <f>VLOOKUP($E105,'5.1 Budget'!$A$4:$H$729,4,0)</f>
        <v>0</v>
      </c>
      <c r="K105" s="252">
        <f>VLOOKUP($E105,'5.1 Budget'!$A$4:$H$729,5,0)</f>
        <v>0</v>
      </c>
      <c r="L105" s="252">
        <f>VLOOKUP($E105,'5.1 Budget'!$A$4:$H$729,6,0)</f>
        <v>0</v>
      </c>
      <c r="M105" s="252">
        <f>VLOOKUP($E105,'5.1 Budget'!$A$4:$H$729,7,0)</f>
        <v>0</v>
      </c>
      <c r="N105" s="252">
        <f>VLOOKUP($E105,'5.1 Budget'!$A$4:$H$729,8,0)</f>
        <v>10000</v>
      </c>
      <c r="O105" s="254"/>
      <c r="V105" t="str">
        <f>VLOOKUP(D105,'[4]1. Mesures'!$A$1:$B$116,2,0)</f>
        <v>Réaliser l'état de l'art des déversoirs d'orages actuels et optimaliser leur conception pour réduire le transfert de polluants vers les masses d’eau de surface</v>
      </c>
      <c r="W105" t="str">
        <f>VLOOKUP(B105,[1]HIERARCH!$A$1:$B$57,2,0)</f>
        <v>Assurer la gestion qualitative des masses d'eau de surface</v>
      </c>
      <c r="X105" t="str">
        <f>VLOOKUP(C105,[1]HIERARCH!$A$2:$B$57,2,0)</f>
        <v>Réduire l’impact du réseau d’assainissement sur la qualité des masses d’eau de surface</v>
      </c>
      <c r="Y105" t="str">
        <f t="shared" si="6"/>
        <v>Calculer les fréquences et débit de déversements…</v>
      </c>
    </row>
    <row r="106" spans="1:25" hidden="1" x14ac:dyDescent="0.25">
      <c r="A106" s="249" t="str">
        <f t="shared" si="4"/>
        <v>1</v>
      </c>
      <c r="B106" s="249" t="str">
        <f>VLOOKUP($D106,'[4]1. Mesures'!$A$2:$G$116,6,0)</f>
        <v>OS 1.1</v>
      </c>
      <c r="C106" s="249" t="str">
        <f>VLOOKUP($D106,'[4]1. Mesures'!$A$2:$G$116,7,0)</f>
        <v>OO 1.1.3</v>
      </c>
      <c r="D106" s="249" t="str">
        <f t="shared" si="5"/>
        <v>M 1.8</v>
      </c>
      <c r="E106" s="250" t="s">
        <v>838</v>
      </c>
      <c r="F106" s="249" t="str">
        <f>VLOOKUP(E106,'5.2 Actions'!$A$3:$B$720,2,0)</f>
        <v>Déterminer les niveaux idéaux des seuils de déversements des déversoirs sous gestion de Vivaqua et procéder à leur rehausse et/ou optimisation par la mise en place de vannes modulables et siphons/barrières aux flottants</v>
      </c>
      <c r="G106" s="251" t="str">
        <f>VLOOKUP(E106,'[4]5.2 Actions'!$A$3:$D$718,4,0)</f>
        <v>SEN</v>
      </c>
      <c r="H106" s="252">
        <f>VLOOKUP($E106,'5.1 Budget'!$A$4:$H$729,2,0)</f>
        <v>0</v>
      </c>
      <c r="I106" s="252">
        <f>VLOOKUP($E106,'5.1 Budget'!$A$4:$H$729,3,0)</f>
        <v>200000</v>
      </c>
      <c r="J106" s="252">
        <f>VLOOKUP($E106,'5.1 Budget'!$A$4:$H$729,4,0)</f>
        <v>200000</v>
      </c>
      <c r="K106" s="252">
        <f>VLOOKUP($E106,'5.1 Budget'!$A$4:$H$729,5,0)</f>
        <v>200000</v>
      </c>
      <c r="L106" s="252">
        <f>VLOOKUP($E106,'5.1 Budget'!$A$4:$H$729,6,0)</f>
        <v>200000</v>
      </c>
      <c r="M106" s="252">
        <f>VLOOKUP($E106,'5.1 Budget'!$A$4:$H$729,7,0)</f>
        <v>200000</v>
      </c>
      <c r="N106" s="252">
        <f>VLOOKUP($E106,'5.1 Budget'!$A$4:$H$729,8,0)</f>
        <v>1000000</v>
      </c>
      <c r="O106" s="254"/>
      <c r="V106" t="str">
        <f>VLOOKUP(D106,'[4]1. Mesures'!$A$1:$B$116,2,0)</f>
        <v>Réaliser l'état de l'art des déversoirs d'orages actuels et optimaliser leur conception pour réduire le transfert de polluants vers les masses d’eau de surface</v>
      </c>
      <c r="W106" t="str">
        <f>VLOOKUP(B106,[1]HIERARCH!$A$1:$B$57,2,0)</f>
        <v>Assurer la gestion qualitative des masses d'eau de surface</v>
      </c>
      <c r="X106" t="str">
        <f>VLOOKUP(C106,[1]HIERARCH!$A$2:$B$57,2,0)</f>
        <v>Réduire l’impact du réseau d’assainissement sur la qualité des masses d’eau de surface</v>
      </c>
      <c r="Y106" t="str">
        <f t="shared" si="6"/>
        <v>Déterminer les niveaux idéaux des seuils de déversements des déversoirs sous gestion de Vivaqua et procéder à leur rehau…</v>
      </c>
    </row>
    <row r="107" spans="1:25" hidden="1" x14ac:dyDescent="0.25">
      <c r="A107" s="249" t="str">
        <f t="shared" si="4"/>
        <v>1</v>
      </c>
      <c r="B107" s="249" t="str">
        <f>VLOOKUP($D107,'[4]1. Mesures'!$A$2:$G$116,6,0)</f>
        <v>OS 1.1</v>
      </c>
      <c r="C107" s="249" t="str">
        <f>VLOOKUP($D107,'[4]1. Mesures'!$A$2:$G$116,7,0)</f>
        <v>OO 1.1.3</v>
      </c>
      <c r="D107" s="249" t="str">
        <f t="shared" si="5"/>
        <v>M 1.8</v>
      </c>
      <c r="E107" s="250" t="s">
        <v>839</v>
      </c>
      <c r="F107" s="249" t="str">
        <f>VLOOKUP(E107,'5.2 Actions'!$A$3:$B$720,2,0)</f>
        <v>Déterminer les niveaux idéaux des seuils de déversements des déversoirs sous gestion de SBGE  et procéder à leur rehausse  et/ou optimisation par la mise en place de vannes modulables et  siphons/barrières aux flottants</v>
      </c>
      <c r="G107" s="251" t="str">
        <f>VLOOKUP(E107,'[4]5.2 Actions'!$A$3:$D$718,4,0)</f>
        <v>SEN</v>
      </c>
      <c r="H107" s="252">
        <f>VLOOKUP($E107,'5.1 Budget'!$A$4:$H$729,2,0)</f>
        <v>0</v>
      </c>
      <c r="I107" s="252">
        <f>VLOOKUP($E107,'5.1 Budget'!$A$4:$H$729,3,0)</f>
        <v>0</v>
      </c>
      <c r="J107" s="252">
        <f>VLOOKUP($E107,'5.1 Budget'!$A$4:$H$729,4,0)</f>
        <v>200000</v>
      </c>
      <c r="K107" s="252">
        <f>VLOOKUP($E107,'5.1 Budget'!$A$4:$H$729,5,0)</f>
        <v>200000</v>
      </c>
      <c r="L107" s="252">
        <f>VLOOKUP($E107,'5.1 Budget'!$A$4:$H$729,6,0)</f>
        <v>200000</v>
      </c>
      <c r="M107" s="252">
        <f>VLOOKUP($E107,'5.1 Budget'!$A$4:$H$729,7,0)</f>
        <v>200000</v>
      </c>
      <c r="N107" s="252">
        <f>VLOOKUP($E107,'5.1 Budget'!$A$4:$H$729,8,0)</f>
        <v>800000</v>
      </c>
      <c r="O107" s="254"/>
      <c r="V107" t="str">
        <f>VLOOKUP(D107,'[4]1. Mesures'!$A$1:$B$116,2,0)</f>
        <v>Réaliser l'état de l'art des déversoirs d'orages actuels et optimaliser leur conception pour réduire le transfert de polluants vers les masses d’eau de surface</v>
      </c>
      <c r="W107" t="str">
        <f>VLOOKUP(B107,[1]HIERARCH!$A$1:$B$57,2,0)</f>
        <v>Assurer la gestion qualitative des masses d'eau de surface</v>
      </c>
      <c r="X107" t="str">
        <f>VLOOKUP(C107,[1]HIERARCH!$A$2:$B$57,2,0)</f>
        <v>Réduire l’impact du réseau d’assainissement sur la qualité des masses d’eau de surface</v>
      </c>
      <c r="Y107" t="str">
        <f t="shared" si="6"/>
        <v>Déterminer les niveaux idéaux des seuils de déversements des déversoirs sous gestion de SBGE  et procéder à leur rehauss…</v>
      </c>
    </row>
    <row r="108" spans="1:25" hidden="1" x14ac:dyDescent="0.25">
      <c r="A108" s="249" t="str">
        <f t="shared" si="4"/>
        <v>1</v>
      </c>
      <c r="B108" s="249" t="str">
        <f>VLOOKUP($D108,'[4]1. Mesures'!$A$2:$G$116,6,0)</f>
        <v>OS 1.1</v>
      </c>
      <c r="C108" s="249" t="str">
        <f>VLOOKUP($D108,'[4]1. Mesures'!$A$2:$G$116,7,0)</f>
        <v>OO 1.1.3</v>
      </c>
      <c r="D108" s="249" t="str">
        <f t="shared" si="5"/>
        <v>M 1.8</v>
      </c>
      <c r="E108" s="250" t="s">
        <v>840</v>
      </c>
      <c r="F108" s="249" t="str">
        <f>VLOOKUP(E108,'5.2 Actions'!$A$3:$B$720,2,0)</f>
        <v>Adaptation des interceptions orifices limitant l’évacuation des flux vers les STEPS  dans le cadre de l’optimisation des déversoirs.</v>
      </c>
      <c r="G108" s="251" t="str">
        <f>VLOOKUP(E108,'[4]5.2 Actions'!$A$3:$D$718,4,0)</f>
        <v>SEN</v>
      </c>
      <c r="H108" s="252">
        <f>VLOOKUP($E108,'5.1 Budget'!$A$4:$H$729,2,0)</f>
        <v>50000</v>
      </c>
      <c r="I108" s="252">
        <f>VLOOKUP($E108,'5.1 Budget'!$A$4:$H$729,3,0)</f>
        <v>50000</v>
      </c>
      <c r="J108" s="252">
        <f>VLOOKUP($E108,'5.1 Budget'!$A$4:$H$729,4,0)</f>
        <v>50000</v>
      </c>
      <c r="K108" s="252">
        <f>VLOOKUP($E108,'5.1 Budget'!$A$4:$H$729,5,0)</f>
        <v>50000</v>
      </c>
      <c r="L108" s="252">
        <f>VLOOKUP($E108,'5.1 Budget'!$A$4:$H$729,6,0)</f>
        <v>50000</v>
      </c>
      <c r="M108" s="252">
        <f>VLOOKUP($E108,'5.1 Budget'!$A$4:$H$729,7,0)</f>
        <v>50000</v>
      </c>
      <c r="N108" s="252">
        <f>VLOOKUP($E108,'5.1 Budget'!$A$4:$H$729,8,0)</f>
        <v>300000</v>
      </c>
      <c r="O108" s="254"/>
      <c r="V108" t="str">
        <f>VLOOKUP(D108,'[4]1. Mesures'!$A$1:$B$116,2,0)</f>
        <v>Réaliser l'état de l'art des déversoirs d'orages actuels et optimaliser leur conception pour réduire le transfert de polluants vers les masses d’eau de surface</v>
      </c>
      <c r="W108" t="str">
        <f>VLOOKUP(B108,[1]HIERARCH!$A$1:$B$57,2,0)</f>
        <v>Assurer la gestion qualitative des masses d'eau de surface</v>
      </c>
      <c r="X108" t="str">
        <f>VLOOKUP(C108,[1]HIERARCH!$A$2:$B$57,2,0)</f>
        <v>Réduire l’impact du réseau d’assainissement sur la qualité des masses d’eau de surface</v>
      </c>
      <c r="Y108" t="str">
        <f t="shared" si="6"/>
        <v>Adaptation des interceptions orifices limitant l’évacuation des flux vers les STEPS  dans le cadre de l’optimisation des…</v>
      </c>
    </row>
    <row r="109" spans="1:25" hidden="1" x14ac:dyDescent="0.25">
      <c r="A109" s="249" t="str">
        <f t="shared" si="4"/>
        <v>1</v>
      </c>
      <c r="B109" s="249" t="str">
        <f>VLOOKUP($D109,'[4]1. Mesures'!$A$2:$G$116,6,0)</f>
        <v>OS 1.1</v>
      </c>
      <c r="C109" s="249" t="str">
        <f>VLOOKUP($D109,'[4]1. Mesures'!$A$2:$G$116,7,0)</f>
        <v>OO 1.1.3</v>
      </c>
      <c r="D109" s="249" t="str">
        <f t="shared" si="5"/>
        <v>M 1.8</v>
      </c>
      <c r="E109" s="250" t="s">
        <v>841</v>
      </c>
      <c r="F109" s="249" t="str">
        <f>VLOOKUP(E109,'5.2 Actions'!$A$3:$B$720,2,0)</f>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v>
      </c>
      <c r="G109" s="251" t="str">
        <f>VLOOKUP(E109,'[4]5.2 Actions'!$A$3:$D$718,4,0)</f>
        <v>SEN</v>
      </c>
      <c r="H109" s="252">
        <f>VLOOKUP($E109,'5.1 Budget'!$A$4:$H$729,2,0)</f>
        <v>20000</v>
      </c>
      <c r="I109" s="252">
        <f>VLOOKUP($E109,'5.1 Budget'!$A$4:$H$729,3,0)</f>
        <v>20000</v>
      </c>
      <c r="J109" s="252">
        <f>VLOOKUP($E109,'5.1 Budget'!$A$4:$H$729,4,0)</f>
        <v>20000</v>
      </c>
      <c r="K109" s="252">
        <f>VLOOKUP($E109,'5.1 Budget'!$A$4:$H$729,5,0)</f>
        <v>20000</v>
      </c>
      <c r="L109" s="252">
        <f>VLOOKUP($E109,'5.1 Budget'!$A$4:$H$729,6,0)</f>
        <v>20000</v>
      </c>
      <c r="M109" s="252">
        <f>VLOOKUP($E109,'5.1 Budget'!$A$4:$H$729,7,0)</f>
        <v>20000</v>
      </c>
      <c r="N109" s="252">
        <f>VLOOKUP($E109,'5.1 Budget'!$A$4:$H$729,8,0)</f>
        <v>120000</v>
      </c>
      <c r="O109" s="254"/>
      <c r="V109" t="str">
        <f>VLOOKUP(D109,'[4]1. Mesures'!$A$1:$B$116,2,0)</f>
        <v>Réaliser l'état de l'art des déversoirs d'orages actuels et optimaliser leur conception pour réduire le transfert de polluants vers les masses d’eau de surface</v>
      </c>
      <c r="W109" t="str">
        <f>VLOOKUP(B109,[1]HIERARCH!$A$1:$B$57,2,0)</f>
        <v>Assurer la gestion qualitative des masses d'eau de surface</v>
      </c>
      <c r="X109" t="str">
        <f>VLOOKUP(C109,[1]HIERARCH!$A$2:$B$57,2,0)</f>
        <v>Réduire l’impact du réseau d’assainissement sur la qualité des masses d’eau de surface</v>
      </c>
      <c r="Y109" t="str">
        <f t="shared" si="6"/>
        <v>Réévaluer l’impact, sur le milieu récepteur, de l’activation des déversoirs après optimisation (en parallèle de l’implém…</v>
      </c>
    </row>
    <row r="110" spans="1:25" hidden="1" x14ac:dyDescent="0.25">
      <c r="A110" s="249" t="str">
        <f t="shared" si="4"/>
        <v>1</v>
      </c>
      <c r="B110" s="249" t="str">
        <f>VLOOKUP($D110,'[4]1. Mesures'!$A$2:$G$116,6,0)</f>
        <v>OS 1.1</v>
      </c>
      <c r="C110" s="249" t="str">
        <f>VLOOKUP($D110,'[4]1. Mesures'!$A$2:$G$116,7,0)</f>
        <v>OO 1.1.3</v>
      </c>
      <c r="D110" s="249" t="str">
        <f t="shared" si="5"/>
        <v>M 1.8</v>
      </c>
      <c r="E110" s="250" t="s">
        <v>842</v>
      </c>
      <c r="F110" s="249" t="str">
        <f>VLOOKUP(E110,'5.2 Actions'!$A$3:$B$720,2,0)</f>
        <v>Réaménager les déversoirs en "déversoirs améliorés" pour retenir le maximum de charge polluante à l’aval des  déversoirs (création de zone de rétention des sédiments et des flottants).   Scénario maximaliste</v>
      </c>
      <c r="G110" s="251" t="str">
        <f>VLOOKUP(E110,'[4]5.2 Actions'!$A$3:$D$718,4,0)</f>
        <v>SEN / CAN</v>
      </c>
      <c r="H110" s="252">
        <f>VLOOKUP($E110,'5.1 Budget'!$A$4:$H$729,2,0)</f>
        <v>0</v>
      </c>
      <c r="I110" s="252">
        <f>VLOOKUP($E110,'5.1 Budget'!$A$4:$H$729,3,0)</f>
        <v>0</v>
      </c>
      <c r="J110" s="252">
        <f>VLOOKUP($E110,'5.1 Budget'!$A$4:$H$729,4,0)</f>
        <v>0</v>
      </c>
      <c r="K110" s="252">
        <f>VLOOKUP($E110,'5.1 Budget'!$A$4:$H$729,5,0)</f>
        <v>0</v>
      </c>
      <c r="L110" s="252">
        <f>VLOOKUP($E110,'5.1 Budget'!$A$4:$H$729,6,0)</f>
        <v>0</v>
      </c>
      <c r="M110" s="252">
        <f>VLOOKUP($E110,'5.1 Budget'!$A$4:$H$729,7,0)</f>
        <v>0</v>
      </c>
      <c r="N110" s="252">
        <f>VLOOKUP($E110,'5.1 Budget'!$A$4:$H$729,8,0)</f>
        <v>0</v>
      </c>
      <c r="O110" s="254"/>
      <c r="V110" t="str">
        <f>VLOOKUP(D110,'[4]1. Mesures'!$A$1:$B$116,2,0)</f>
        <v>Réaliser l'état de l'art des déversoirs d'orages actuels et optimaliser leur conception pour réduire le transfert de polluants vers les masses d’eau de surface</v>
      </c>
      <c r="W110" t="str">
        <f>VLOOKUP(B110,[1]HIERARCH!$A$1:$B$57,2,0)</f>
        <v>Assurer la gestion qualitative des masses d'eau de surface</v>
      </c>
      <c r="X110" t="str">
        <f>VLOOKUP(C110,[1]HIERARCH!$A$2:$B$57,2,0)</f>
        <v>Réduire l’impact du réseau d’assainissement sur la qualité des masses d’eau de surface</v>
      </c>
      <c r="Y110" t="str">
        <f t="shared" si="6"/>
        <v>Réaménager les déversoirs en "déversoirs améliorés" pour retenir le maximum de charge polluante à l’aval des  déversoirs…</v>
      </c>
    </row>
    <row r="111" spans="1:25" hidden="1" x14ac:dyDescent="0.25">
      <c r="A111" s="249" t="str">
        <f t="shared" si="4"/>
        <v>1</v>
      </c>
      <c r="B111" s="249" t="str">
        <f>VLOOKUP($D111,'[4]1. Mesures'!$A$2:$G$116,6,0)</f>
        <v>OS 1.1</v>
      </c>
      <c r="C111" s="249" t="str">
        <f>VLOOKUP($D111,'[4]1. Mesures'!$A$2:$G$116,7,0)</f>
        <v>OO 1.1.3</v>
      </c>
      <c r="D111" s="249" t="str">
        <f t="shared" si="5"/>
        <v>M 1.9</v>
      </c>
      <c r="E111" s="250" t="s">
        <v>843</v>
      </c>
      <c r="F111" s="249" t="str">
        <f>VLOOKUP(E111,'5.2 Actions'!$A$3:$B$720,2,0)</f>
        <v xml:space="preserve">Coordonner les acteurs de l'eau autour de cette thématique </v>
      </c>
      <c r="G111" s="251" t="str">
        <f>VLOOKUP(E111,'[4]5.2 Actions'!$A$3:$D$718,4,0)</f>
        <v>SEN / WOL / CAN</v>
      </c>
      <c r="H111" s="252">
        <f>VLOOKUP($E111,'5.1 Budget'!$A$4:$H$729,2,0)</f>
        <v>0</v>
      </c>
      <c r="I111" s="252">
        <f>VLOOKUP($E111,'5.1 Budget'!$A$4:$H$729,3,0)</f>
        <v>0</v>
      </c>
      <c r="J111" s="252">
        <f>VLOOKUP($E111,'5.1 Budget'!$A$4:$H$729,4,0)</f>
        <v>0</v>
      </c>
      <c r="K111" s="252">
        <f>VLOOKUP($E111,'5.1 Budget'!$A$4:$H$729,5,0)</f>
        <v>0</v>
      </c>
      <c r="L111" s="252">
        <f>VLOOKUP($E111,'5.1 Budget'!$A$4:$H$729,6,0)</f>
        <v>0</v>
      </c>
      <c r="M111" s="252">
        <f>VLOOKUP($E111,'5.1 Budget'!$A$4:$H$729,7,0)</f>
        <v>0</v>
      </c>
      <c r="N111" s="252">
        <f>VLOOKUP($E111,'5.1 Budget'!$A$4:$H$729,8,0)</f>
        <v>0</v>
      </c>
      <c r="O111" s="254"/>
      <c r="V111" t="str">
        <f>VLOOKUP(D111,'[4]1. Mesures'!$A$1:$B$116,2,0)</f>
        <v>Mettre en place un système de régulation des débits circulant dans le réseau d’assainissement pour réduire la fréquence des déversements au niveau des déversoirs d’orage et assurer un meilleur traitement des eaux usées</v>
      </c>
      <c r="W111" t="str">
        <f>VLOOKUP(B111,[1]HIERARCH!$A$1:$B$57,2,0)</f>
        <v>Assurer la gestion qualitative des masses d'eau de surface</v>
      </c>
      <c r="X111" t="str">
        <f>VLOOKUP(C111,[1]HIERARCH!$A$2:$B$57,2,0)</f>
        <v>Réduire l’impact du réseau d’assainissement sur la qualité des masses d’eau de surface</v>
      </c>
      <c r="Y111" t="str">
        <f t="shared" si="6"/>
        <v>Coordonner les acteurs de l'eau autour de cette thématique …</v>
      </c>
    </row>
    <row r="112" spans="1:25" hidden="1" x14ac:dyDescent="0.25">
      <c r="A112" s="249" t="str">
        <f t="shared" si="4"/>
        <v>1</v>
      </c>
      <c r="B112" s="249" t="str">
        <f>VLOOKUP($D112,'[4]1. Mesures'!$A$2:$G$116,6,0)</f>
        <v>OS 1.1</v>
      </c>
      <c r="C112" s="249" t="str">
        <f>VLOOKUP($D112,'[4]1. Mesures'!$A$2:$G$116,7,0)</f>
        <v>OO 1.1.3</v>
      </c>
      <c r="D112" s="249" t="str">
        <f t="shared" si="5"/>
        <v>M 1.9</v>
      </c>
      <c r="E112" s="250" t="s">
        <v>844</v>
      </c>
      <c r="F112" s="249" t="str">
        <f>VLOOKUP(E112,'5.2 Actions'!$A$3:$B$720,2,0)</f>
        <v>Analyser les modifications des règles de fonctionnement des bassins d'orage</v>
      </c>
      <c r="G112" s="251" t="str">
        <f>VLOOKUP(E112,'[4]5.2 Actions'!$A$3:$D$718,4,0)</f>
        <v>SEN / WOL</v>
      </c>
      <c r="H112" s="252">
        <f>VLOOKUP($E112,'5.1 Budget'!$A$4:$H$729,2,0)</f>
        <v>0</v>
      </c>
      <c r="I112" s="252">
        <f>VLOOKUP($E112,'5.1 Budget'!$A$4:$H$729,3,0)</f>
        <v>0</v>
      </c>
      <c r="J112" s="252">
        <f>VLOOKUP($E112,'5.1 Budget'!$A$4:$H$729,4,0)</f>
        <v>0</v>
      </c>
      <c r="K112" s="252">
        <f>VLOOKUP($E112,'5.1 Budget'!$A$4:$H$729,5,0)</f>
        <v>0</v>
      </c>
      <c r="L112" s="252">
        <f>VLOOKUP($E112,'5.1 Budget'!$A$4:$H$729,6,0)</f>
        <v>0</v>
      </c>
      <c r="M112" s="252">
        <f>VLOOKUP($E112,'5.1 Budget'!$A$4:$H$729,7,0)</f>
        <v>0</v>
      </c>
      <c r="N112" s="252">
        <f>VLOOKUP($E112,'5.1 Budget'!$A$4:$H$729,8,0)</f>
        <v>0</v>
      </c>
      <c r="O112" s="254"/>
      <c r="V112" t="str">
        <f>VLOOKUP(D112,'[4]1. Mesures'!$A$1:$B$116,2,0)</f>
        <v>Mettre en place un système de régulation des débits circulant dans le réseau d’assainissement pour réduire la fréquence des déversements au niveau des déversoirs d’orage et assurer un meilleur traitement des eaux usées</v>
      </c>
      <c r="W112" t="str">
        <f>VLOOKUP(B112,[1]HIERARCH!$A$1:$B$57,2,0)</f>
        <v>Assurer la gestion qualitative des masses d'eau de surface</v>
      </c>
      <c r="X112" t="str">
        <f>VLOOKUP(C112,[1]HIERARCH!$A$2:$B$57,2,0)</f>
        <v>Réduire l’impact du réseau d’assainissement sur la qualité des masses d’eau de surface</v>
      </c>
      <c r="Y112" t="str">
        <f t="shared" si="6"/>
        <v>Analyser les modifications des règles de fonctionnement des bassins d'orage…</v>
      </c>
    </row>
    <row r="113" spans="1:25" hidden="1" x14ac:dyDescent="0.25">
      <c r="A113" s="249" t="str">
        <f t="shared" si="4"/>
        <v>1</v>
      </c>
      <c r="B113" s="249" t="str">
        <f>VLOOKUP($D113,'[4]1. Mesures'!$A$2:$G$116,6,0)</f>
        <v>OS 1.1</v>
      </c>
      <c r="C113" s="249" t="str">
        <f>VLOOKUP($D113,'[4]1. Mesures'!$A$2:$G$116,7,0)</f>
        <v>OO 1.1.3</v>
      </c>
      <c r="D113" s="249" t="str">
        <f t="shared" si="5"/>
        <v>M 1.9</v>
      </c>
      <c r="E113" s="250" t="s">
        <v>845</v>
      </c>
      <c r="F113" s="249" t="str">
        <f>VLOOKUP(E113,'5.2 Actions'!$A$3:$B$720,2,0)</f>
        <v xml:space="preserve">Procéder à la mise en œuvre d’un projet-pilote dans la vallée du Maelbeek </v>
      </c>
      <c r="G113" s="251" t="str">
        <f>VLOOKUP(E113,'[4]5.2 Actions'!$A$3:$D$718,4,0)</f>
        <v>SEN</v>
      </c>
      <c r="H113" s="252">
        <f>VLOOKUP($E113,'5.1 Budget'!$A$4:$H$729,2,0)</f>
        <v>500000</v>
      </c>
      <c r="I113" s="252">
        <f>VLOOKUP($E113,'5.1 Budget'!$A$4:$H$729,3,0)</f>
        <v>900000</v>
      </c>
      <c r="J113" s="252">
        <f>VLOOKUP($E113,'5.1 Budget'!$A$4:$H$729,4,0)</f>
        <v>0</v>
      </c>
      <c r="K113" s="252">
        <f>VLOOKUP($E113,'5.1 Budget'!$A$4:$H$729,5,0)</f>
        <v>0</v>
      </c>
      <c r="L113" s="252">
        <f>VLOOKUP($E113,'5.1 Budget'!$A$4:$H$729,6,0)</f>
        <v>0</v>
      </c>
      <c r="M113" s="252">
        <f>VLOOKUP($E113,'5.1 Budget'!$A$4:$H$729,7,0)</f>
        <v>0</v>
      </c>
      <c r="N113" s="252">
        <f>VLOOKUP($E113,'5.1 Budget'!$A$4:$H$729,8,0)</f>
        <v>1400000</v>
      </c>
      <c r="O113" s="254"/>
      <c r="V113" t="str">
        <f>VLOOKUP(D113,'[4]1. Mesures'!$A$1:$B$116,2,0)</f>
        <v>Mettre en place un système de régulation des débits circulant dans le réseau d’assainissement pour réduire la fréquence des déversements au niveau des déversoirs d’orage et assurer un meilleur traitement des eaux usées</v>
      </c>
      <c r="W113" t="str">
        <f>VLOOKUP(B113,[1]HIERARCH!$A$1:$B$57,2,0)</f>
        <v>Assurer la gestion qualitative des masses d'eau de surface</v>
      </c>
      <c r="X113" t="str">
        <f>VLOOKUP(C113,[1]HIERARCH!$A$2:$B$57,2,0)</f>
        <v>Réduire l’impact du réseau d’assainissement sur la qualité des masses d’eau de surface</v>
      </c>
      <c r="Y113" t="str">
        <f t="shared" si="6"/>
        <v>Procéder à la mise en œuvre d’un projet-pilote dans la vallée du Maelbeek …</v>
      </c>
    </row>
    <row r="114" spans="1:25" hidden="1" x14ac:dyDescent="0.25">
      <c r="A114" s="249" t="str">
        <f t="shared" si="4"/>
        <v>1</v>
      </c>
      <c r="B114" s="249" t="str">
        <f>VLOOKUP($D114,'[4]1. Mesures'!$A$2:$G$116,6,0)</f>
        <v>OS 1.1</v>
      </c>
      <c r="C114" s="249" t="str">
        <f>VLOOKUP($D114,'[4]1. Mesures'!$A$2:$G$116,7,0)</f>
        <v>OO 1.1.3</v>
      </c>
      <c r="D114" s="249" t="str">
        <f t="shared" si="5"/>
        <v>M 1.9</v>
      </c>
      <c r="E114" s="250" t="s">
        <v>846</v>
      </c>
      <c r="F114" s="249" t="str">
        <f>VLOOKUP(E114,'5.2 Actions'!$A$3:$B$720,2,0)</f>
        <v>Assurer la surveillance et le bon fonctionnement du système mis place (1.9.4), établir un retour d’expérience pour l’élargir à d’autres vallées</v>
      </c>
      <c r="G114" s="251" t="str">
        <f>VLOOKUP(E114,'[4]5.2 Actions'!$A$3:$D$718,4,0)</f>
        <v>SEN</v>
      </c>
      <c r="H114" s="252">
        <f>VLOOKUP($E114,'5.1 Budget'!$A$4:$H$729,2,0)</f>
        <v>0</v>
      </c>
      <c r="I114" s="252">
        <f>VLOOKUP($E114,'5.1 Budget'!$A$4:$H$729,3,0)</f>
        <v>100000</v>
      </c>
      <c r="J114" s="252">
        <f>VLOOKUP($E114,'5.1 Budget'!$A$4:$H$729,4,0)</f>
        <v>0</v>
      </c>
      <c r="K114" s="252">
        <f>VLOOKUP($E114,'5.1 Budget'!$A$4:$H$729,5,0)</f>
        <v>0</v>
      </c>
      <c r="L114" s="252">
        <f>VLOOKUP($E114,'5.1 Budget'!$A$4:$H$729,6,0)</f>
        <v>0</v>
      </c>
      <c r="M114" s="252">
        <f>VLOOKUP($E114,'5.1 Budget'!$A$4:$H$729,7,0)</f>
        <v>0</v>
      </c>
      <c r="N114" s="252">
        <f>VLOOKUP($E114,'5.1 Budget'!$A$4:$H$729,8,0)</f>
        <v>100000</v>
      </c>
      <c r="O114" s="254"/>
      <c r="V114" t="str">
        <f>VLOOKUP(D114,'[4]1. Mesures'!$A$1:$B$116,2,0)</f>
        <v>Mettre en place un système de régulation des débits circulant dans le réseau d’assainissement pour réduire la fréquence des déversements au niveau des déversoirs d’orage et assurer un meilleur traitement des eaux usées</v>
      </c>
      <c r="W114" t="str">
        <f>VLOOKUP(B114,[1]HIERARCH!$A$1:$B$57,2,0)</f>
        <v>Assurer la gestion qualitative des masses d'eau de surface</v>
      </c>
      <c r="X114" t="str">
        <f>VLOOKUP(C114,[1]HIERARCH!$A$2:$B$57,2,0)</f>
        <v>Réduire l’impact du réseau d’assainissement sur la qualité des masses d’eau de surface</v>
      </c>
      <c r="Y114" t="str">
        <f t="shared" si="6"/>
        <v>Assurer la surveillance et le bon fonctionnement du système mis place (1.9.4), établir un retour d’expérience pour l’éla…</v>
      </c>
    </row>
    <row r="115" spans="1:25" hidden="1" x14ac:dyDescent="0.25">
      <c r="A115" s="249" t="str">
        <f t="shared" si="4"/>
        <v>1</v>
      </c>
      <c r="B115" s="249" t="str">
        <f>VLOOKUP($D115,'[4]1. Mesures'!$A$2:$G$116,6,0)</f>
        <v>OS 1.1</v>
      </c>
      <c r="C115" s="249" t="str">
        <f>VLOOKUP($D115,'[4]1. Mesures'!$A$2:$G$116,7,0)</f>
        <v>OO 1.1.3</v>
      </c>
      <c r="D115" s="249" t="str">
        <f t="shared" si="5"/>
        <v>M 1.9</v>
      </c>
      <c r="E115" s="250" t="s">
        <v>847</v>
      </c>
      <c r="F115" s="249" t="str">
        <f>VLOOKUP(E115,'5.2 Actions'!$A$3:$B$720,2,0)</f>
        <v>Etudier et élaborer un système de prévisions du comportement du réseau et une stratégie de régulation des débits dans la vallée de la Senne (Bruxelles-centre)</v>
      </c>
      <c r="G115" s="251" t="str">
        <f>VLOOKUP(E115,'[4]5.2 Actions'!$A$3:$D$718,4,0)</f>
        <v>SEN</v>
      </c>
      <c r="H115" s="252">
        <f>VLOOKUP($E115,'5.1 Budget'!$A$4:$H$729,2,0)</f>
        <v>100000</v>
      </c>
      <c r="I115" s="252">
        <f>VLOOKUP($E115,'5.1 Budget'!$A$4:$H$729,3,0)</f>
        <v>0</v>
      </c>
      <c r="J115" s="252">
        <f>VLOOKUP($E115,'5.1 Budget'!$A$4:$H$729,4,0)</f>
        <v>0</v>
      </c>
      <c r="K115" s="252">
        <f>VLOOKUP($E115,'5.1 Budget'!$A$4:$H$729,5,0)</f>
        <v>0</v>
      </c>
      <c r="L115" s="252">
        <f>VLOOKUP($E115,'5.1 Budget'!$A$4:$H$729,6,0)</f>
        <v>0</v>
      </c>
      <c r="M115" s="252">
        <f>VLOOKUP($E115,'5.1 Budget'!$A$4:$H$729,7,0)</f>
        <v>0</v>
      </c>
      <c r="N115" s="252">
        <f>VLOOKUP($E115,'5.1 Budget'!$A$4:$H$729,8,0)</f>
        <v>100000</v>
      </c>
      <c r="O115" s="254"/>
      <c r="V115" t="str">
        <f>VLOOKUP(D115,'[4]1. Mesures'!$A$1:$B$116,2,0)</f>
        <v>Mettre en place un système de régulation des débits circulant dans le réseau d’assainissement pour réduire la fréquence des déversements au niveau des déversoirs d’orage et assurer un meilleur traitement des eaux usées</v>
      </c>
      <c r="W115" t="str">
        <f>VLOOKUP(B115,[1]HIERARCH!$A$1:$B$57,2,0)</f>
        <v>Assurer la gestion qualitative des masses d'eau de surface</v>
      </c>
      <c r="X115" t="str">
        <f>VLOOKUP(C115,[1]HIERARCH!$A$2:$B$57,2,0)</f>
        <v>Réduire l’impact du réseau d’assainissement sur la qualité des masses d’eau de surface</v>
      </c>
      <c r="Y115" t="str">
        <f t="shared" si="6"/>
        <v>Etudier et élaborer un système de prévisions du comportement du réseau et une stratégie de régulation des débits dans la…</v>
      </c>
    </row>
    <row r="116" spans="1:25" hidden="1" x14ac:dyDescent="0.25">
      <c r="A116" s="249" t="str">
        <f t="shared" si="4"/>
        <v>1</v>
      </c>
      <c r="B116" s="249" t="str">
        <f>VLOOKUP($D116,'[4]1. Mesures'!$A$2:$G$116,6,0)</f>
        <v>OS 1.1</v>
      </c>
      <c r="C116" s="249" t="str">
        <f>VLOOKUP($D116,'[4]1. Mesures'!$A$2:$G$116,7,0)</f>
        <v>OO 1.1.3</v>
      </c>
      <c r="D116" s="249" t="str">
        <f t="shared" si="5"/>
        <v>M 1.9</v>
      </c>
      <c r="E116" s="250" t="s">
        <v>848</v>
      </c>
      <c r="F116" s="249" t="str">
        <f>VLOOKUP(E116,'5.2 Actions'!$A$3:$B$720,2,0)</f>
        <v>Mettre en place des dispositifs de contrôle des débits  (Projet-pilote dans la vallée de la Senne (Bruxelles-centre)</v>
      </c>
      <c r="G116" s="251" t="str">
        <f>VLOOKUP(E116,'[4]5.2 Actions'!$A$3:$D$718,4,0)</f>
        <v>SEN</v>
      </c>
      <c r="H116" s="252">
        <f>VLOOKUP($E116,'5.1 Budget'!$A$4:$H$729,2,0)</f>
        <v>0</v>
      </c>
      <c r="I116" s="252">
        <f>VLOOKUP($E116,'5.1 Budget'!$A$4:$H$729,3,0)</f>
        <v>150000</v>
      </c>
      <c r="J116" s="252">
        <f>VLOOKUP($E116,'5.1 Budget'!$A$4:$H$729,4,0)</f>
        <v>150000</v>
      </c>
      <c r="K116" s="252">
        <f>VLOOKUP($E116,'5.1 Budget'!$A$4:$H$729,5,0)</f>
        <v>0</v>
      </c>
      <c r="L116" s="252">
        <f>VLOOKUP($E116,'5.1 Budget'!$A$4:$H$729,6,0)</f>
        <v>0</v>
      </c>
      <c r="M116" s="252">
        <f>VLOOKUP($E116,'5.1 Budget'!$A$4:$H$729,7,0)</f>
        <v>0</v>
      </c>
      <c r="N116" s="252">
        <f>VLOOKUP($E116,'5.1 Budget'!$A$4:$H$729,8,0)</f>
        <v>300000</v>
      </c>
      <c r="O116" s="254"/>
      <c r="V116" t="str">
        <f>VLOOKUP(D116,'[4]1. Mesures'!$A$1:$B$116,2,0)</f>
        <v>Mettre en place un système de régulation des débits circulant dans le réseau d’assainissement pour réduire la fréquence des déversements au niveau des déversoirs d’orage et assurer un meilleur traitement des eaux usées</v>
      </c>
      <c r="W116" t="str">
        <f>VLOOKUP(B116,[1]HIERARCH!$A$1:$B$57,2,0)</f>
        <v>Assurer la gestion qualitative des masses d'eau de surface</v>
      </c>
      <c r="X116" t="str">
        <f>VLOOKUP(C116,[1]HIERARCH!$A$2:$B$57,2,0)</f>
        <v>Réduire l’impact du réseau d’assainissement sur la qualité des masses d’eau de surface</v>
      </c>
      <c r="Y116" t="str">
        <f t="shared" si="6"/>
        <v>Mettre en place des dispositifs de contrôle des débits  (Projet-pilote dans la vallée de la Senne (Bruxelles-centre)…</v>
      </c>
    </row>
    <row r="117" spans="1:25" hidden="1" x14ac:dyDescent="0.25">
      <c r="A117" s="249" t="str">
        <f t="shared" si="4"/>
        <v>1</v>
      </c>
      <c r="B117" s="249" t="str">
        <f>VLOOKUP($D117,'[4]1. Mesures'!$A$2:$G$116,6,0)</f>
        <v>OS 1.1</v>
      </c>
      <c r="C117" s="249" t="str">
        <f>VLOOKUP($D117,'[4]1. Mesures'!$A$2:$G$116,7,0)</f>
        <v>OO 1.1.3</v>
      </c>
      <c r="D117" s="249" t="str">
        <f t="shared" si="5"/>
        <v>M 1.9</v>
      </c>
      <c r="E117" s="250" t="s">
        <v>849</v>
      </c>
      <c r="F117" s="249" t="str">
        <f>VLOOKUP(E117,'5.2 Actions'!$A$3:$B$720,2,0)</f>
        <v>Assurer la surveillance et le bon fonctionnement du système mis en place (1.9.7), établir un retour d’expérience pour l’élargir à d’autres vallées</v>
      </c>
      <c r="G117" s="251" t="str">
        <f>VLOOKUP(E117,'[4]5.2 Actions'!$A$3:$D$718,4,0)</f>
        <v>SEN</v>
      </c>
      <c r="H117" s="252">
        <f>VLOOKUP($E117,'5.1 Budget'!$A$4:$H$729,2,0)</f>
        <v>0</v>
      </c>
      <c r="I117" s="252">
        <f>VLOOKUP($E117,'5.1 Budget'!$A$4:$H$729,3,0)</f>
        <v>0</v>
      </c>
      <c r="J117" s="252">
        <f>VLOOKUP($E117,'5.1 Budget'!$A$4:$H$729,4,0)</f>
        <v>0</v>
      </c>
      <c r="K117" s="252">
        <f>VLOOKUP($E117,'5.1 Budget'!$A$4:$H$729,5,0)</f>
        <v>20000</v>
      </c>
      <c r="L117" s="252">
        <f>VLOOKUP($E117,'5.1 Budget'!$A$4:$H$729,6,0)</f>
        <v>0</v>
      </c>
      <c r="M117" s="252">
        <f>VLOOKUP($E117,'5.1 Budget'!$A$4:$H$729,7,0)</f>
        <v>0</v>
      </c>
      <c r="N117" s="252">
        <f>VLOOKUP($E117,'5.1 Budget'!$A$4:$H$729,8,0)</f>
        <v>20000</v>
      </c>
      <c r="O117" s="254"/>
      <c r="V117" t="str">
        <f>VLOOKUP(D117,'[4]1. Mesures'!$A$1:$B$116,2,0)</f>
        <v>Mettre en place un système de régulation des débits circulant dans le réseau d’assainissement pour réduire la fréquence des déversements au niveau des déversoirs d’orage et assurer un meilleur traitement des eaux usées</v>
      </c>
      <c r="W117" t="str">
        <f>VLOOKUP(B117,[1]HIERARCH!$A$1:$B$57,2,0)</f>
        <v>Assurer la gestion qualitative des masses d'eau de surface</v>
      </c>
      <c r="X117" t="str">
        <f>VLOOKUP(C117,[1]HIERARCH!$A$2:$B$57,2,0)</f>
        <v>Réduire l’impact du réseau d’assainissement sur la qualité des masses d’eau de surface</v>
      </c>
      <c r="Y117" t="str">
        <f t="shared" si="6"/>
        <v>Assurer la surveillance et le bon fonctionnement du système mis en place (1.9.7), établir un retour d’expérience pour l’…</v>
      </c>
    </row>
    <row r="118" spans="1:25" hidden="1" x14ac:dyDescent="0.25">
      <c r="A118" s="249" t="str">
        <f t="shared" si="4"/>
        <v>1</v>
      </c>
      <c r="B118" s="249" t="str">
        <f>VLOOKUP($D118,'[4]1. Mesures'!$A$2:$G$116,6,0)</f>
        <v>OS 1.1</v>
      </c>
      <c r="C118" s="249" t="str">
        <f>VLOOKUP($D118,'[4]1. Mesures'!$A$2:$G$116,7,0)</f>
        <v>OO 1.1.3</v>
      </c>
      <c r="D118" s="249" t="str">
        <f t="shared" si="5"/>
        <v>M 1.9</v>
      </c>
      <c r="E118" s="250" t="s">
        <v>850</v>
      </c>
      <c r="F118" s="249" t="str">
        <f>VLOOKUP(E118,'5.2 Actions'!$A$3:$B$720,2,0)</f>
        <v>Procéder à la mise en œuvre dans d’autres vallées sur base du retour d’expérience dans la vallée du Maelbeek (si pertinent)</v>
      </c>
      <c r="G118" s="251" t="str">
        <f>VLOOKUP(E118,'[4]5.2 Actions'!$A$3:$D$718,4,0)</f>
        <v>SEN / WOL</v>
      </c>
      <c r="H118" s="252">
        <f>VLOOKUP($E118,'5.1 Budget'!$A$4:$H$729,2,0)</f>
        <v>0</v>
      </c>
      <c r="I118" s="252">
        <f>VLOOKUP($E118,'5.1 Budget'!$A$4:$H$729,3,0)</f>
        <v>0</v>
      </c>
      <c r="J118" s="252">
        <f>VLOOKUP($E118,'5.1 Budget'!$A$4:$H$729,4,0)</f>
        <v>1500000</v>
      </c>
      <c r="K118" s="252">
        <f>VLOOKUP($E118,'5.1 Budget'!$A$4:$H$729,5,0)</f>
        <v>1150000</v>
      </c>
      <c r="L118" s="252">
        <f>VLOOKUP($E118,'5.1 Budget'!$A$4:$H$729,6,0)</f>
        <v>150000</v>
      </c>
      <c r="M118" s="252">
        <f>VLOOKUP($E118,'5.1 Budget'!$A$4:$H$729,7,0)</f>
        <v>150000</v>
      </c>
      <c r="N118" s="252">
        <f>VLOOKUP($E118,'5.1 Budget'!$A$4:$H$729,8,0)</f>
        <v>2950000</v>
      </c>
      <c r="O118" s="254"/>
      <c r="V118" t="str">
        <f>VLOOKUP(D118,'[4]1. Mesures'!$A$1:$B$116,2,0)</f>
        <v>Mettre en place un système de régulation des débits circulant dans le réseau d’assainissement pour réduire la fréquence des déversements au niveau des déversoirs d’orage et assurer un meilleur traitement des eaux usées</v>
      </c>
      <c r="W118" t="str">
        <f>VLOOKUP(B118,[1]HIERARCH!$A$1:$B$57,2,0)</f>
        <v>Assurer la gestion qualitative des masses d'eau de surface</v>
      </c>
      <c r="X118" t="str">
        <f>VLOOKUP(C118,[1]HIERARCH!$A$2:$B$57,2,0)</f>
        <v>Réduire l’impact du réseau d’assainissement sur la qualité des masses d’eau de surface</v>
      </c>
      <c r="Y118" t="str">
        <f t="shared" si="6"/>
        <v>Procéder à la mise en œuvre dans d’autres vallées sur base du retour d’expérience dans la vallée du Maelbeek (si pertine…</v>
      </c>
    </row>
    <row r="119" spans="1:25" hidden="1" x14ac:dyDescent="0.25">
      <c r="A119" s="249" t="str">
        <f t="shared" si="4"/>
        <v>1</v>
      </c>
      <c r="B119" s="249" t="str">
        <f>VLOOKUP($D119,'[4]1. Mesures'!$A$2:$G$116,6,0)</f>
        <v>OS 1.1</v>
      </c>
      <c r="C119" s="249" t="str">
        <f>VLOOKUP($D119,'[4]1. Mesures'!$A$2:$G$116,7,0)</f>
        <v>OO 1.1.3</v>
      </c>
      <c r="D119" s="249" t="str">
        <f t="shared" si="5"/>
        <v>M 1.9</v>
      </c>
      <c r="E119" s="250" t="s">
        <v>851</v>
      </c>
      <c r="F119" s="249" t="str">
        <f>VLOOKUP(E119,'5.2 Actions'!$A$3:$B$720,2,0)</f>
        <v>Etudier le fonctionnement des réseaux et leurs interactions, par le biais d’actions de modélisation (cf. M 5.29)</v>
      </c>
      <c r="G119" s="251" t="str">
        <f>VLOOKUP(E119,'[4]5.2 Actions'!$A$3:$D$718,4,0)</f>
        <v>SEN / WOL / CAN</v>
      </c>
      <c r="H119" s="252">
        <f>VLOOKUP($E119,'5.1 Budget'!$A$4:$H$729,2,0)</f>
        <v>0</v>
      </c>
      <c r="I119" s="252">
        <f>VLOOKUP($E119,'5.1 Budget'!$A$4:$H$729,3,0)</f>
        <v>0</v>
      </c>
      <c r="J119" s="252">
        <f>VLOOKUP($E119,'5.1 Budget'!$A$4:$H$729,4,0)</f>
        <v>0</v>
      </c>
      <c r="K119" s="252">
        <f>VLOOKUP($E119,'5.1 Budget'!$A$4:$H$729,5,0)</f>
        <v>0</v>
      </c>
      <c r="L119" s="252">
        <f>VLOOKUP($E119,'5.1 Budget'!$A$4:$H$729,6,0)</f>
        <v>0</v>
      </c>
      <c r="M119" s="252">
        <f>VLOOKUP($E119,'5.1 Budget'!$A$4:$H$729,7,0)</f>
        <v>0</v>
      </c>
      <c r="N119" s="252">
        <f>VLOOKUP($E119,'5.1 Budget'!$A$4:$H$729,8,0)</f>
        <v>0</v>
      </c>
      <c r="O119" s="254"/>
      <c r="V119" t="str">
        <f>VLOOKUP(D119,'[4]1. Mesures'!$A$1:$B$116,2,0)</f>
        <v>Mettre en place un système de régulation des débits circulant dans le réseau d’assainissement pour réduire la fréquence des déversements au niveau des déversoirs d’orage et assurer un meilleur traitement des eaux usées</v>
      </c>
      <c r="W119" t="str">
        <f>VLOOKUP(B119,[1]HIERARCH!$A$1:$B$57,2,0)</f>
        <v>Assurer la gestion qualitative des masses d'eau de surface</v>
      </c>
      <c r="X119" t="str">
        <f>VLOOKUP(C119,[1]HIERARCH!$A$2:$B$57,2,0)</f>
        <v>Réduire l’impact du réseau d’assainissement sur la qualité des masses d’eau de surface</v>
      </c>
      <c r="Y119" t="str">
        <f t="shared" si="6"/>
        <v>Etudier le fonctionnement des réseaux et leurs interactions, par le biais d’actions de modélisation (cf. M 5.29)…</v>
      </c>
    </row>
    <row r="120" spans="1:25" hidden="1" x14ac:dyDescent="0.25">
      <c r="A120" s="249" t="str">
        <f t="shared" si="4"/>
        <v>1</v>
      </c>
      <c r="B120" s="249" t="str">
        <f>VLOOKUP($D120,'[4]1. Mesures'!$A$2:$G$116,6,0)</f>
        <v>OS 1.1</v>
      </c>
      <c r="C120" s="249" t="str">
        <f>VLOOKUP($D120,'[4]1. Mesures'!$A$2:$G$116,7,0)</f>
        <v>OO 1.1.3</v>
      </c>
      <c r="D120" s="249" t="str">
        <f>"M"&amp;" "&amp;LEFT(E120,4)</f>
        <v>M 1.10</v>
      </c>
      <c r="E120" s="250" t="s">
        <v>650</v>
      </c>
      <c r="F120" s="249" t="str">
        <f>VLOOKUP(E120,'5.2 Actions'!$A$3:$B$720,2,0)</f>
        <v>Pour les 4 points de rejets identifiés, procéder à la finalisation des études, à l’obtention des autorisations et aux travaux de raccordement de ces égouts orphelins aux réseaux d’égouttage connectés aux STEPs</v>
      </c>
      <c r="G120" s="251" t="str">
        <f>VLOOKUP(E120,'[4]5.2 Actions'!$A$3:$D$718,4,0)</f>
        <v>SEN</v>
      </c>
      <c r="H120" s="252">
        <f>VLOOKUP($E120,'5.1 Budget'!$A$4:$H$729,2,0)</f>
        <v>800000</v>
      </c>
      <c r="I120" s="252">
        <f>VLOOKUP($E120,'5.1 Budget'!$A$4:$H$729,3,0)</f>
        <v>300000</v>
      </c>
      <c r="J120" s="252">
        <f>VLOOKUP($E120,'5.1 Budget'!$A$4:$H$729,4,0)</f>
        <v>300000</v>
      </c>
      <c r="K120" s="252">
        <f>VLOOKUP($E120,'5.1 Budget'!$A$4:$H$729,5,0)</f>
        <v>0</v>
      </c>
      <c r="L120" s="252">
        <f>VLOOKUP($E120,'5.1 Budget'!$A$4:$H$729,6,0)</f>
        <v>0</v>
      </c>
      <c r="M120" s="252">
        <f>VLOOKUP($E120,'5.1 Budget'!$A$4:$H$729,7,0)</f>
        <v>0</v>
      </c>
      <c r="N120" s="252">
        <f>VLOOKUP($E120,'5.1 Budget'!$A$4:$H$729,8,0)</f>
        <v>1400000</v>
      </c>
      <c r="O120" s="254"/>
      <c r="V120" t="str">
        <f>VLOOKUP(D120,'[4]1. Mesures'!$A$1:$B$116,2,0)</f>
        <v xml:space="preserve"> Réaliser les raccordements manquants entre le réseau d’égouttage et les collecteurs</v>
      </c>
      <c r="W120" t="str">
        <f>VLOOKUP(B120,[1]HIERARCH!$A$1:$B$57,2,0)</f>
        <v>Assurer la gestion qualitative des masses d'eau de surface</v>
      </c>
      <c r="X120" t="str">
        <f>VLOOKUP(C120,[1]HIERARCH!$A$2:$B$57,2,0)</f>
        <v>Réduire l’impact du réseau d’assainissement sur la qualité des masses d’eau de surface</v>
      </c>
      <c r="Y120" t="str">
        <f t="shared" si="6"/>
        <v>Pour les 4 points de rejets identifiés, procéder à la finalisation des études, à l’obtention des autorisations et aux tr…</v>
      </c>
    </row>
    <row r="121" spans="1:25" hidden="1" x14ac:dyDescent="0.25">
      <c r="A121" s="249" t="str">
        <f t="shared" si="4"/>
        <v>1</v>
      </c>
      <c r="B121" s="249" t="str">
        <f>VLOOKUP($D121,'[4]1. Mesures'!$A$2:$G$116,6,0)</f>
        <v>OS 1.1</v>
      </c>
      <c r="C121" s="249" t="str">
        <f>VLOOKUP($D121,'[4]1. Mesures'!$A$2:$G$116,7,0)</f>
        <v>OO 1.1.3</v>
      </c>
      <c r="D121" s="249" t="str">
        <f t="shared" ref="D121:D211" si="7">"M"&amp;" "&amp;LEFT(E121,4)</f>
        <v>M 1.10</v>
      </c>
      <c r="E121" s="250" t="s">
        <v>651</v>
      </c>
      <c r="F121" s="249" t="str">
        <f>VLOOKUP(E121,'5.2 Actions'!$A$3:$B$720,2,0)</f>
        <v xml:space="preserve"> Identifier d’autres chainons manquants du réseau d’assainissement public (« égouts orphelins ») sur base de pollution éventuelle et de la mesure M1.5</v>
      </c>
      <c r="G121" s="251" t="str">
        <f>VLOOKUP(E121,'[4]5.2 Actions'!$A$3:$D$718,4,0)</f>
        <v>SEN / CAN</v>
      </c>
      <c r="H121" s="252">
        <f>VLOOKUP($E121,'5.1 Budget'!$A$4:$H$729,2,0)</f>
        <v>0</v>
      </c>
      <c r="I121" s="252">
        <f>VLOOKUP($E121,'5.1 Budget'!$A$4:$H$729,3,0)</f>
        <v>0</v>
      </c>
      <c r="J121" s="252">
        <f>VLOOKUP($E121,'5.1 Budget'!$A$4:$H$729,4,0)</f>
        <v>0</v>
      </c>
      <c r="K121" s="252">
        <f>VLOOKUP($E121,'5.1 Budget'!$A$4:$H$729,5,0)</f>
        <v>0</v>
      </c>
      <c r="L121" s="252">
        <f>VLOOKUP($E121,'5.1 Budget'!$A$4:$H$729,6,0)</f>
        <v>0</v>
      </c>
      <c r="M121" s="252">
        <f>VLOOKUP($E121,'5.1 Budget'!$A$4:$H$729,7,0)</f>
        <v>0</v>
      </c>
      <c r="N121" s="252">
        <f>VLOOKUP($E121,'5.1 Budget'!$A$4:$H$729,8,0)</f>
        <v>0</v>
      </c>
      <c r="O121" s="254"/>
      <c r="V121" t="str">
        <f>VLOOKUP(D121,'[4]1. Mesures'!$A$1:$B$116,2,0)</f>
        <v xml:space="preserve"> Réaliser les raccordements manquants entre le réseau d’égouttage et les collecteurs</v>
      </c>
      <c r="W121" t="str">
        <f>VLOOKUP(B121,[1]HIERARCH!$A$1:$B$57,2,0)</f>
        <v>Assurer la gestion qualitative des masses d'eau de surface</v>
      </c>
      <c r="X121" t="str">
        <f>VLOOKUP(C121,[1]HIERARCH!$A$2:$B$57,2,0)</f>
        <v>Réduire l’impact du réseau d’assainissement sur la qualité des masses d’eau de surface</v>
      </c>
      <c r="Y121" t="str">
        <f t="shared" si="6"/>
        <v xml:space="preserve"> Identifier d’autres chainons manquants du réseau d’assainissement public (« égouts orphelins ») sur base de pollution é…</v>
      </c>
    </row>
    <row r="122" spans="1:25" hidden="1" x14ac:dyDescent="0.25">
      <c r="A122" s="249" t="str">
        <f t="shared" si="4"/>
        <v>1</v>
      </c>
      <c r="B122" s="249" t="str">
        <f>VLOOKUP($D122,'[4]1. Mesures'!$A$2:$G$116,6,0)</f>
        <v>OS 1.1</v>
      </c>
      <c r="C122" s="249" t="str">
        <f>VLOOKUP($D122,'[4]1. Mesures'!$A$2:$G$116,7,0)</f>
        <v>OO 1.1.3</v>
      </c>
      <c r="D122" s="249" t="str">
        <f t="shared" si="7"/>
        <v>M 1.10</v>
      </c>
      <c r="E122" s="250" t="s">
        <v>652</v>
      </c>
      <c r="F122" s="249" t="str">
        <f>VLOOKUP(E122,'5.2 Actions'!$A$3:$B$720,2,0)</f>
        <v>Procéder aux études et travaux de raccordement  aux réseaux d’égouttage connectés aux STEPs d’autres égouts orphelins qui auraient été identifiés</v>
      </c>
      <c r="G122" s="251" t="str">
        <f>VLOOKUP(E122,'[4]5.2 Actions'!$A$3:$D$718,4,0)</f>
        <v>SEN / CAN</v>
      </c>
      <c r="H122" s="252">
        <f>VLOOKUP($E122,'5.1 Budget'!$A$4:$H$729,2,0)</f>
        <v>0</v>
      </c>
      <c r="I122" s="252">
        <f>VLOOKUP($E122,'5.1 Budget'!$A$4:$H$729,3,0)</f>
        <v>0</v>
      </c>
      <c r="J122" s="252">
        <f>VLOOKUP($E122,'5.1 Budget'!$A$4:$H$729,4,0)</f>
        <v>0</v>
      </c>
      <c r="K122" s="252">
        <f>VLOOKUP($E122,'5.1 Budget'!$A$4:$H$729,5,0)</f>
        <v>300000</v>
      </c>
      <c r="L122" s="252">
        <f>VLOOKUP($E122,'5.1 Budget'!$A$4:$H$729,6,0)</f>
        <v>300000</v>
      </c>
      <c r="M122" s="252">
        <f>VLOOKUP($E122,'5.1 Budget'!$A$4:$H$729,7,0)</f>
        <v>300000</v>
      </c>
      <c r="N122" s="252">
        <f>VLOOKUP($E122,'5.1 Budget'!$A$4:$H$729,8,0)</f>
        <v>900000</v>
      </c>
      <c r="O122" s="254"/>
      <c r="V122" t="str">
        <f>VLOOKUP(D122,'[4]1. Mesures'!$A$1:$B$116,2,0)</f>
        <v xml:space="preserve"> Réaliser les raccordements manquants entre le réseau d’égouttage et les collecteurs</v>
      </c>
      <c r="W122" t="str">
        <f>VLOOKUP(B122,[1]HIERARCH!$A$1:$B$57,2,0)</f>
        <v>Assurer la gestion qualitative des masses d'eau de surface</v>
      </c>
      <c r="X122" t="str">
        <f>VLOOKUP(C122,[1]HIERARCH!$A$2:$B$57,2,0)</f>
        <v>Réduire l’impact du réseau d’assainissement sur la qualité des masses d’eau de surface</v>
      </c>
      <c r="Y122" t="str">
        <f t="shared" si="6"/>
        <v>Procéder aux études et travaux de raccordement  aux réseaux d’égouttage connectés aux STEPs d’autres égouts orphelins qu…</v>
      </c>
    </row>
    <row r="123" spans="1:25" hidden="1" x14ac:dyDescent="0.25">
      <c r="A123" s="249" t="str">
        <f t="shared" si="4"/>
        <v>1</v>
      </c>
      <c r="B123" s="249" t="str">
        <f>VLOOKUP($D123,'[4]1. Mesures'!$A$2:$G$116,6,0)</f>
        <v>OS 1.1</v>
      </c>
      <c r="C123" s="249" t="str">
        <f>VLOOKUP($D123,'[4]1. Mesures'!$A$2:$G$116,7,0)</f>
        <v>OO 1.1.3</v>
      </c>
      <c r="D123" s="249" t="str">
        <f t="shared" si="7"/>
        <v>M 1.10</v>
      </c>
      <c r="E123" s="250" t="s">
        <v>653</v>
      </c>
      <c r="F123" s="249" t="str">
        <f>VLOOKUP(E123,'5.2 Actions'!$A$3:$B$720,2,0)</f>
        <v>Actualiser la carte des zones égouttées, mais non raccordées aux stations d’épuration dans l’inventaire BE des émissions polluantes vers les eaux de surface (WEISS)</v>
      </c>
      <c r="G123" s="251" t="str">
        <f>VLOOKUP(E123,'[4]5.2 Actions'!$A$3:$D$718,4,0)</f>
        <v>SEN / WOL / CAN</v>
      </c>
      <c r="H123" s="252">
        <f>VLOOKUP($E123,'5.1 Budget'!$A$4:$H$729,2,0)</f>
        <v>0</v>
      </c>
      <c r="I123" s="252">
        <f>VLOOKUP($E123,'5.1 Budget'!$A$4:$H$729,3,0)</f>
        <v>0</v>
      </c>
      <c r="J123" s="252">
        <f>VLOOKUP($E123,'5.1 Budget'!$A$4:$H$729,4,0)</f>
        <v>0</v>
      </c>
      <c r="K123" s="252">
        <f>VLOOKUP($E123,'5.1 Budget'!$A$4:$H$729,5,0)</f>
        <v>0</v>
      </c>
      <c r="L123" s="252">
        <f>VLOOKUP($E123,'5.1 Budget'!$A$4:$H$729,6,0)</f>
        <v>0</v>
      </c>
      <c r="M123" s="252">
        <f>VLOOKUP($E123,'5.1 Budget'!$A$4:$H$729,7,0)</f>
        <v>0</v>
      </c>
      <c r="N123" s="252">
        <f>VLOOKUP($E123,'5.1 Budget'!$A$4:$H$729,8,0)</f>
        <v>0</v>
      </c>
      <c r="O123" s="254"/>
      <c r="V123" t="str">
        <f>VLOOKUP(D123,'[4]1. Mesures'!$A$1:$B$116,2,0)</f>
        <v xml:space="preserve"> Réaliser les raccordements manquants entre le réseau d’égouttage et les collecteurs</v>
      </c>
      <c r="W123" t="str">
        <f>VLOOKUP(B123,[1]HIERARCH!$A$1:$B$57,2,0)</f>
        <v>Assurer la gestion qualitative des masses d'eau de surface</v>
      </c>
      <c r="X123" t="str">
        <f>VLOOKUP(C123,[1]HIERARCH!$A$2:$B$57,2,0)</f>
        <v>Réduire l’impact du réseau d’assainissement sur la qualité des masses d’eau de surface</v>
      </c>
      <c r="Y123" t="str">
        <f t="shared" si="6"/>
        <v>Actualiser la carte des zones égouttées, mais non raccordées aux stations d’épuration dans l’inventaire BE des émissions…</v>
      </c>
    </row>
    <row r="124" spans="1:25" hidden="1" x14ac:dyDescent="0.25">
      <c r="A124" s="249" t="str">
        <f t="shared" si="4"/>
        <v>1</v>
      </c>
      <c r="B124" s="249" t="str">
        <f>VLOOKUP($D124,'[4]1. Mesures'!$A$2:$G$116,6,0)</f>
        <v>OS 1.1</v>
      </c>
      <c r="C124" s="249" t="str">
        <f>VLOOKUP($D124,'[4]1. Mesures'!$A$2:$G$116,7,0)</f>
        <v>OO 1.1.3</v>
      </c>
      <c r="D124" s="249" t="str">
        <f t="shared" si="7"/>
        <v>M 1.11</v>
      </c>
      <c r="E124" s="250" t="s">
        <v>654</v>
      </c>
      <c r="F124" s="249" t="str">
        <f>VLOOKUP(E124,'5.2 Actions'!$A$3:$B$720,2,0)</f>
        <v>Poursuivre le nettoyage régulier des macro-déchets flottants du Canal au moyen des bateaux et des litter traps, et des éventuels nouveaux dispositifs installés au niveau du Canal</v>
      </c>
      <c r="G124" s="251" t="str">
        <f>VLOOKUP(E124,'[4]5.2 Actions'!$A$3:$D$718,4,0)</f>
        <v>CAN</v>
      </c>
      <c r="H124" s="252">
        <f>VLOOKUP($E124,'5.1 Budget'!$A$4:$H$729,2,0)</f>
        <v>0</v>
      </c>
      <c r="I124" s="252">
        <f>VLOOKUP($E124,'5.1 Budget'!$A$4:$H$729,3,0)</f>
        <v>0</v>
      </c>
      <c r="J124" s="252">
        <f>VLOOKUP($E124,'5.1 Budget'!$A$4:$H$729,4,0)</f>
        <v>0</v>
      </c>
      <c r="K124" s="252">
        <f>VLOOKUP($E124,'5.1 Budget'!$A$4:$H$729,5,0)</f>
        <v>0</v>
      </c>
      <c r="L124" s="252">
        <f>VLOOKUP($E124,'5.1 Budget'!$A$4:$H$729,6,0)</f>
        <v>0</v>
      </c>
      <c r="M124" s="252">
        <f>VLOOKUP($E124,'5.1 Budget'!$A$4:$H$729,7,0)</f>
        <v>0</v>
      </c>
      <c r="N124" s="252">
        <f>VLOOKUP($E124,'5.1 Budget'!$A$4:$H$729,8,0)</f>
        <v>0</v>
      </c>
      <c r="O124" s="254"/>
      <c r="V124" t="str">
        <f>VLOOKUP(D124,'[4]1. Mesures'!$A$1:$B$116,2,0)</f>
        <v>Assurer la gestion des déchets flottants dans les masses d'eau, en particulier après les épisodes de déversement</v>
      </c>
      <c r="W124" t="str">
        <f>VLOOKUP(B124,[1]HIERARCH!$A$1:$B$57,2,0)</f>
        <v>Assurer la gestion qualitative des masses d'eau de surface</v>
      </c>
      <c r="X124" t="str">
        <f>VLOOKUP(C124,[1]HIERARCH!$A$2:$B$57,2,0)</f>
        <v>Réduire l’impact du réseau d’assainissement sur la qualité des masses d’eau de surface</v>
      </c>
      <c r="Y124" t="str">
        <f t="shared" si="6"/>
        <v>Poursuivre le nettoyage régulier des macro-déchets flottants du Canal au moyen des bateaux et des litter traps, et des é…</v>
      </c>
    </row>
    <row r="125" spans="1:25" hidden="1" x14ac:dyDescent="0.25">
      <c r="A125" s="249" t="str">
        <f t="shared" si="4"/>
        <v>1</v>
      </c>
      <c r="B125" s="249" t="str">
        <f>VLOOKUP($D125,'[4]1. Mesures'!$A$2:$G$116,6,0)</f>
        <v>OS 1.1</v>
      </c>
      <c r="C125" s="249" t="str">
        <f>VLOOKUP($D125,'[4]1. Mesures'!$A$2:$G$116,7,0)</f>
        <v>OO 1.1.3</v>
      </c>
      <c r="D125" s="249" t="str">
        <f t="shared" si="7"/>
        <v>M 1.11</v>
      </c>
      <c r="E125" s="250" t="s">
        <v>657</v>
      </c>
      <c r="F125" s="249" t="str">
        <f>VLOOKUP(E125,'5.2 Actions'!$A$3:$B$720,2,0)</f>
        <v>Identifier les zones d’accumulation de macro-déchets flottants dans le Canal, et des conditions et voies d’entrée principales</v>
      </c>
      <c r="G125" s="251" t="str">
        <f>VLOOKUP(E125,'[4]5.2 Actions'!$A$3:$D$718,4,0)</f>
        <v>CAN</v>
      </c>
      <c r="H125" s="252">
        <f>VLOOKUP($E125,'5.1 Budget'!$A$4:$H$729,2,0)</f>
        <v>0</v>
      </c>
      <c r="I125" s="252">
        <f>VLOOKUP($E125,'5.1 Budget'!$A$4:$H$729,3,0)</f>
        <v>0</v>
      </c>
      <c r="J125" s="252">
        <f>VLOOKUP($E125,'5.1 Budget'!$A$4:$H$729,4,0)</f>
        <v>0</v>
      </c>
      <c r="K125" s="252">
        <f>VLOOKUP($E125,'5.1 Budget'!$A$4:$H$729,5,0)</f>
        <v>0</v>
      </c>
      <c r="L125" s="252">
        <f>VLOOKUP($E125,'5.1 Budget'!$A$4:$H$729,6,0)</f>
        <v>0</v>
      </c>
      <c r="M125" s="252">
        <f>VLOOKUP($E125,'5.1 Budget'!$A$4:$H$729,7,0)</f>
        <v>0</v>
      </c>
      <c r="N125" s="252">
        <f>VLOOKUP($E125,'5.1 Budget'!$A$4:$H$729,8,0)</f>
        <v>0</v>
      </c>
      <c r="O125" s="254"/>
      <c r="V125" t="str">
        <f>VLOOKUP(D125,'[4]1. Mesures'!$A$1:$B$116,2,0)</f>
        <v>Assurer la gestion des déchets flottants dans les masses d'eau, en particulier après les épisodes de déversement</v>
      </c>
      <c r="W125" t="str">
        <f>VLOOKUP(B125,[1]HIERARCH!$A$1:$B$57,2,0)</f>
        <v>Assurer la gestion qualitative des masses d'eau de surface</v>
      </c>
      <c r="X125" t="str">
        <f>VLOOKUP(C125,[1]HIERARCH!$A$2:$B$57,2,0)</f>
        <v>Réduire l’impact du réseau d’assainissement sur la qualité des masses d’eau de surface</v>
      </c>
      <c r="Y125" t="str">
        <f t="shared" si="6"/>
        <v>Identifier les zones d’accumulation de macro-déchets flottants dans le Canal, et des conditions et voies d’entrée princi…</v>
      </c>
    </row>
    <row r="126" spans="1:25" hidden="1" x14ac:dyDescent="0.25">
      <c r="A126" s="249" t="str">
        <f t="shared" si="4"/>
        <v>1</v>
      </c>
      <c r="B126" s="249" t="str">
        <f>VLOOKUP($D126,'[4]1. Mesures'!$A$2:$G$116,6,0)</f>
        <v>OS 1.1</v>
      </c>
      <c r="C126" s="249" t="str">
        <f>VLOOKUP($D126,'[4]1. Mesures'!$A$2:$G$116,7,0)</f>
        <v>OO 1.1.3</v>
      </c>
      <c r="D126" s="249" t="str">
        <f t="shared" si="7"/>
        <v>M 1.11</v>
      </c>
      <c r="E126" s="250" t="s">
        <v>658</v>
      </c>
      <c r="F126" s="249" t="str">
        <f>VLOOKUP(E126,'5.2 Actions'!$A$3:$B$720,2,0)</f>
        <v>Réaliser une étude sur la gestion actuelle des macro-déchets flottants dans le Canal (évaluation sur une éventuelle optimisation de cette gestion par de nouveaux dispositifs et le choix de ceux-ci)</v>
      </c>
      <c r="G126" s="251" t="str">
        <f>VLOOKUP(E126,'[4]5.2 Actions'!$A$3:$D$718,4,0)</f>
        <v>CAN</v>
      </c>
      <c r="H126" s="252">
        <f>VLOOKUP($E126,'5.1 Budget'!$A$4:$H$729,2,0)</f>
        <v>22000</v>
      </c>
      <c r="I126" s="252">
        <f>VLOOKUP($E126,'5.1 Budget'!$A$4:$H$729,3,0)</f>
        <v>0</v>
      </c>
      <c r="J126" s="252">
        <f>VLOOKUP($E126,'5.1 Budget'!$A$4:$H$729,4,0)</f>
        <v>0</v>
      </c>
      <c r="K126" s="252">
        <f>VLOOKUP($E126,'5.1 Budget'!$A$4:$H$729,5,0)</f>
        <v>0</v>
      </c>
      <c r="L126" s="252">
        <f>VLOOKUP($E126,'5.1 Budget'!$A$4:$H$729,6,0)</f>
        <v>0</v>
      </c>
      <c r="M126" s="252">
        <f>VLOOKUP($E126,'5.1 Budget'!$A$4:$H$729,7,0)</f>
        <v>0</v>
      </c>
      <c r="N126" s="252">
        <f>VLOOKUP($E126,'5.1 Budget'!$A$4:$H$729,8,0)</f>
        <v>22000</v>
      </c>
      <c r="O126" s="254"/>
      <c r="V126" t="str">
        <f>VLOOKUP(D126,'[4]1. Mesures'!$A$1:$B$116,2,0)</f>
        <v>Assurer la gestion des déchets flottants dans les masses d'eau, en particulier après les épisodes de déversement</v>
      </c>
      <c r="W126" t="str">
        <f>VLOOKUP(B126,[1]HIERARCH!$A$1:$B$57,2,0)</f>
        <v>Assurer la gestion qualitative des masses d'eau de surface</v>
      </c>
      <c r="X126" t="str">
        <f>VLOOKUP(C126,[1]HIERARCH!$A$2:$B$57,2,0)</f>
        <v>Réduire l’impact du réseau d’assainissement sur la qualité des masses d’eau de surface</v>
      </c>
      <c r="Y126" t="str">
        <f t="shared" si="6"/>
        <v>Réaliser une étude sur la gestion actuelle des macro-déchets flottants dans le Canal (évaluation sur une éventuelle opti…</v>
      </c>
    </row>
    <row r="127" spans="1:25" hidden="1" x14ac:dyDescent="0.25">
      <c r="A127" s="249" t="str">
        <f t="shared" si="4"/>
        <v>1</v>
      </c>
      <c r="B127" s="249" t="str">
        <f>VLOOKUP($D127,'[4]1. Mesures'!$A$2:$G$116,6,0)</f>
        <v>OS 1.1</v>
      </c>
      <c r="C127" s="249" t="str">
        <f>VLOOKUP($D127,'[4]1. Mesures'!$A$2:$G$116,7,0)</f>
        <v>OO 1.1.3</v>
      </c>
      <c r="D127" s="249" t="str">
        <f t="shared" si="7"/>
        <v>M 1.11</v>
      </c>
      <c r="E127" s="250" t="s">
        <v>659</v>
      </c>
      <c r="F127" s="249" t="str">
        <f>VLOOKUP(E127,'5.2 Actions'!$A$3:$B$720,2,0)</f>
        <v>Installer de nouveaux dispositifs de capture des macro-déchets flottants au niveau du Canal et mettre en œuvre de nouvelles mesures de gestion, suivant les recommandations de l’étude (1.11.3)</v>
      </c>
      <c r="G127" s="251" t="str">
        <f>VLOOKUP(E127,'[4]5.2 Actions'!$A$3:$D$718,4,0)</f>
        <v>CAN</v>
      </c>
      <c r="H127" s="252">
        <f>VLOOKUP($E127,'5.1 Budget'!$A$4:$H$729,2,0)</f>
        <v>0</v>
      </c>
      <c r="I127" s="252">
        <f>VLOOKUP($E127,'5.1 Budget'!$A$4:$H$729,3,0)</f>
        <v>200000</v>
      </c>
      <c r="J127" s="252">
        <f>VLOOKUP($E127,'5.1 Budget'!$A$4:$H$729,4,0)</f>
        <v>0</v>
      </c>
      <c r="K127" s="252">
        <f>VLOOKUP($E127,'5.1 Budget'!$A$4:$H$729,5,0)</f>
        <v>0</v>
      </c>
      <c r="L127" s="252">
        <f>VLOOKUP($E127,'5.1 Budget'!$A$4:$H$729,6,0)</f>
        <v>0</v>
      </c>
      <c r="M127" s="252">
        <f>VLOOKUP($E127,'5.1 Budget'!$A$4:$H$729,7,0)</f>
        <v>0</v>
      </c>
      <c r="N127" s="252">
        <f>VLOOKUP($E127,'5.1 Budget'!$A$4:$H$729,8,0)</f>
        <v>200000</v>
      </c>
      <c r="O127" s="254"/>
      <c r="V127" t="str">
        <f>VLOOKUP(D127,'[4]1. Mesures'!$A$1:$B$116,2,0)</f>
        <v>Assurer la gestion des déchets flottants dans les masses d'eau, en particulier après les épisodes de déversement</v>
      </c>
      <c r="W127" t="str">
        <f>VLOOKUP(B127,[1]HIERARCH!$A$1:$B$57,2,0)</f>
        <v>Assurer la gestion qualitative des masses d'eau de surface</v>
      </c>
      <c r="X127" t="str">
        <f>VLOOKUP(C127,[1]HIERARCH!$A$2:$B$57,2,0)</f>
        <v>Réduire l’impact du réseau d’assainissement sur la qualité des masses d’eau de surface</v>
      </c>
      <c r="Y127" t="str">
        <f t="shared" si="6"/>
        <v>Installer de nouveaux dispositifs de capture des macro-déchets flottants au niveau du Canal et mettre en œuvre de nouvel…</v>
      </c>
    </row>
    <row r="128" spans="1:25" hidden="1" x14ac:dyDescent="0.25">
      <c r="A128" s="249" t="str">
        <f t="shared" si="4"/>
        <v>1</v>
      </c>
      <c r="B128" s="249" t="str">
        <f>VLOOKUP($D128,'[4]1. Mesures'!$A$2:$G$116,6,0)</f>
        <v>OS 1.1</v>
      </c>
      <c r="C128" s="249" t="str">
        <f>VLOOKUP($D128,'[4]1. Mesures'!$A$2:$G$116,7,0)</f>
        <v>OO 1.1.3</v>
      </c>
      <c r="D128" s="249" t="str">
        <f t="shared" si="7"/>
        <v>M 1.11</v>
      </c>
      <c r="E128" s="250" t="s">
        <v>660</v>
      </c>
      <c r="F128" s="249" t="str">
        <f>VLOOKUP(E128,'5.2 Actions'!$A$3:$B$720,2,0)</f>
        <v>Faire l’acquisition d’un troisième bateau de ramassage de déchets</v>
      </c>
      <c r="G128" s="251" t="str">
        <f>VLOOKUP(E128,'[4]5.2 Actions'!$A$3:$D$718,4,0)</f>
        <v>CAN</v>
      </c>
      <c r="H128" s="252">
        <f>VLOOKUP($E128,'5.1 Budget'!$A$4:$H$729,2,0)</f>
        <v>0</v>
      </c>
      <c r="I128" s="252">
        <f>VLOOKUP($E128,'5.1 Budget'!$A$4:$H$729,3,0)</f>
        <v>0</v>
      </c>
      <c r="J128" s="252">
        <f>VLOOKUP($E128,'5.1 Budget'!$A$4:$H$729,4,0)</f>
        <v>0</v>
      </c>
      <c r="K128" s="252">
        <f>VLOOKUP($E128,'5.1 Budget'!$A$4:$H$729,5,0)</f>
        <v>0</v>
      </c>
      <c r="L128" s="252">
        <f>VLOOKUP($E128,'5.1 Budget'!$A$4:$H$729,6,0)</f>
        <v>0</v>
      </c>
      <c r="M128" s="252">
        <f>VLOOKUP($E128,'5.1 Budget'!$A$4:$H$729,7,0)</f>
        <v>0</v>
      </c>
      <c r="N128" s="252">
        <f>VLOOKUP($E128,'5.1 Budget'!$A$4:$H$729,8,0)</f>
        <v>0</v>
      </c>
      <c r="O128" s="254"/>
      <c r="V128" t="str">
        <f>VLOOKUP(D128,'[4]1. Mesures'!$A$1:$B$116,2,0)</f>
        <v>Assurer la gestion des déchets flottants dans les masses d'eau, en particulier après les épisodes de déversement</v>
      </c>
      <c r="W128" t="str">
        <f>VLOOKUP(B128,[1]HIERARCH!$A$1:$B$57,2,0)</f>
        <v>Assurer la gestion qualitative des masses d'eau de surface</v>
      </c>
      <c r="X128" t="str">
        <f>VLOOKUP(C128,[1]HIERARCH!$A$2:$B$57,2,0)</f>
        <v>Réduire l’impact du réseau d’assainissement sur la qualité des masses d’eau de surface</v>
      </c>
      <c r="Y128" t="str">
        <f t="shared" si="6"/>
        <v>Faire l’acquisition d’un troisième bateau de ramassage de déchets…</v>
      </c>
    </row>
    <row r="129" spans="1:25" hidden="1" x14ac:dyDescent="0.25">
      <c r="A129" s="249" t="str">
        <f t="shared" si="4"/>
        <v>1</v>
      </c>
      <c r="B129" s="249" t="str">
        <f>VLOOKUP($D129,'[4]1. Mesures'!$A$2:$G$116,6,0)</f>
        <v>OS 1.1</v>
      </c>
      <c r="C129" s="249" t="str">
        <f>VLOOKUP($D129,'[4]1. Mesures'!$A$2:$G$116,7,0)</f>
        <v>OO 1.1.3</v>
      </c>
      <c r="D129" s="249" t="str">
        <f t="shared" si="7"/>
        <v>M 1.11</v>
      </c>
      <c r="E129" s="250" t="s">
        <v>661</v>
      </c>
      <c r="F129" s="249" t="str">
        <f>VLOOKUP(E129,'5.2 Actions'!$A$3:$B$720,2,0)</f>
        <v>Créer un pool de nettoyage à l’écluse d’Anderlecht</v>
      </c>
      <c r="G129" s="251" t="str">
        <f>VLOOKUP(E129,'[4]5.2 Actions'!$A$3:$D$718,4,0)</f>
        <v>CAN</v>
      </c>
      <c r="H129" s="252">
        <f>VLOOKUP($E129,'5.1 Budget'!$A$4:$H$729,2,0)</f>
        <v>0</v>
      </c>
      <c r="I129" s="252">
        <f>VLOOKUP($E129,'5.1 Budget'!$A$4:$H$729,3,0)</f>
        <v>0</v>
      </c>
      <c r="J129" s="252">
        <f>VLOOKUP($E129,'5.1 Budget'!$A$4:$H$729,4,0)</f>
        <v>0</v>
      </c>
      <c r="K129" s="252">
        <f>VLOOKUP($E129,'5.1 Budget'!$A$4:$H$729,5,0)</f>
        <v>0</v>
      </c>
      <c r="L129" s="252">
        <f>VLOOKUP($E129,'5.1 Budget'!$A$4:$H$729,6,0)</f>
        <v>0</v>
      </c>
      <c r="M129" s="252">
        <f>VLOOKUP($E129,'5.1 Budget'!$A$4:$H$729,7,0)</f>
        <v>0</v>
      </c>
      <c r="N129" s="252">
        <f>VLOOKUP($E129,'5.1 Budget'!$A$4:$H$729,8,0)</f>
        <v>0</v>
      </c>
      <c r="O129" s="254"/>
      <c r="V129" t="str">
        <f>VLOOKUP(D129,'[4]1. Mesures'!$A$1:$B$116,2,0)</f>
        <v>Assurer la gestion des déchets flottants dans les masses d'eau, en particulier après les épisodes de déversement</v>
      </c>
      <c r="W129" t="str">
        <f>VLOOKUP(B129,[1]HIERARCH!$A$1:$B$57,2,0)</f>
        <v>Assurer la gestion qualitative des masses d'eau de surface</v>
      </c>
      <c r="X129" t="str">
        <f>VLOOKUP(C129,[1]HIERARCH!$A$2:$B$57,2,0)</f>
        <v>Réduire l’impact du réseau d’assainissement sur la qualité des masses d’eau de surface</v>
      </c>
      <c r="Y129" t="str">
        <f t="shared" si="6"/>
        <v>Créer un pool de nettoyage à l’écluse d’Anderlecht…</v>
      </c>
    </row>
    <row r="130" spans="1:25" hidden="1" x14ac:dyDescent="0.25">
      <c r="A130" s="249" t="str">
        <f t="shared" ref="A130:A223" si="8">LEFT(E130,1)</f>
        <v>1</v>
      </c>
      <c r="B130" s="249" t="str">
        <f>VLOOKUP($D130,'[4]1. Mesures'!$A$2:$G$116,6,0)</f>
        <v>OS 1.1</v>
      </c>
      <c r="C130" s="249" t="str">
        <f>VLOOKUP($D130,'[4]1. Mesures'!$A$2:$G$116,7,0)</f>
        <v>OO 1.1.3</v>
      </c>
      <c r="D130" s="249" t="str">
        <f t="shared" si="7"/>
        <v>M 1.11</v>
      </c>
      <c r="E130" s="250" t="s">
        <v>662</v>
      </c>
      <c r="F130" s="249" t="str">
        <f>VLOOKUP(E130,'5.2 Actions'!$A$3:$B$720,2,0)</f>
        <v>Assurer le dégrillage des eaux du Neerpedebeek en amont de sa confluence avec le Canal</v>
      </c>
      <c r="G130" s="251" t="str">
        <f>VLOOKUP(E130,'[4]5.2 Actions'!$A$3:$D$718,4,0)</f>
        <v>CAN</v>
      </c>
      <c r="H130" s="252">
        <f>VLOOKUP($E130,'5.1 Budget'!$A$4:$H$729,2,0)</f>
        <v>0</v>
      </c>
      <c r="I130" s="252">
        <f>VLOOKUP($E130,'5.1 Budget'!$A$4:$H$729,3,0)</f>
        <v>0</v>
      </c>
      <c r="J130" s="252">
        <f>VLOOKUP($E130,'5.1 Budget'!$A$4:$H$729,4,0)</f>
        <v>0</v>
      </c>
      <c r="K130" s="252">
        <f>VLOOKUP($E130,'5.1 Budget'!$A$4:$H$729,5,0)</f>
        <v>0</v>
      </c>
      <c r="L130" s="252">
        <f>VLOOKUP($E130,'5.1 Budget'!$A$4:$H$729,6,0)</f>
        <v>0</v>
      </c>
      <c r="M130" s="252">
        <f>VLOOKUP($E130,'5.1 Budget'!$A$4:$H$729,7,0)</f>
        <v>0</v>
      </c>
      <c r="N130" s="252">
        <f>VLOOKUP($E130,'5.1 Budget'!$A$4:$H$729,8,0)</f>
        <v>0</v>
      </c>
      <c r="O130" s="254"/>
      <c r="V130" t="str">
        <f>VLOOKUP(D130,'[4]1. Mesures'!$A$1:$B$116,2,0)</f>
        <v>Assurer la gestion des déchets flottants dans les masses d'eau, en particulier après les épisodes de déversement</v>
      </c>
      <c r="W130" t="str">
        <f>VLOOKUP(B130,[1]HIERARCH!$A$1:$B$57,2,0)</f>
        <v>Assurer la gestion qualitative des masses d'eau de surface</v>
      </c>
      <c r="X130" t="str">
        <f>VLOOKUP(C130,[1]HIERARCH!$A$2:$B$57,2,0)</f>
        <v>Réduire l’impact du réseau d’assainissement sur la qualité des masses d’eau de surface</v>
      </c>
      <c r="Y130" t="str">
        <f t="shared" ref="Y130:Y223" si="9">LEFT(F130,120)&amp;"…"</f>
        <v>Assurer le dégrillage des eaux du Neerpedebeek en amont de sa confluence avec le Canal…</v>
      </c>
    </row>
    <row r="131" spans="1:25" hidden="1" x14ac:dyDescent="0.25">
      <c r="A131" s="249" t="str">
        <f t="shared" si="8"/>
        <v>1</v>
      </c>
      <c r="B131" s="249" t="str">
        <f>VLOOKUP($D131,'[4]1. Mesures'!$A$2:$G$116,6,0)</f>
        <v>OS 1.1</v>
      </c>
      <c r="C131" s="249" t="str">
        <f>VLOOKUP($D131,'[4]1. Mesures'!$A$2:$G$116,7,0)</f>
        <v>OO 1.1.3</v>
      </c>
      <c r="D131" s="249" t="str">
        <f t="shared" si="7"/>
        <v>M 1.11</v>
      </c>
      <c r="E131" s="250" t="s">
        <v>665</v>
      </c>
      <c r="F131" s="249" t="str">
        <f>VLOOKUP(E131,'5.2 Actions'!$A$3:$B$720,2,0)</f>
        <v>Etudier la possibilité de reconnecter le Neerpedebeek à la Senne via un siphon existant (cf. M 1.27).</v>
      </c>
      <c r="G131" s="251" t="str">
        <f>VLOOKUP(E131,'[4]5.2 Actions'!$A$3:$D$718,4,0)</f>
        <v>SEN</v>
      </c>
      <c r="H131" s="252">
        <f>VLOOKUP($E131,'5.1 Budget'!$A$4:$H$729,2,0)</f>
        <v>0</v>
      </c>
      <c r="I131" s="252">
        <f>VLOOKUP($E131,'5.1 Budget'!$A$4:$H$729,3,0)</f>
        <v>0</v>
      </c>
      <c r="J131" s="252">
        <f>VLOOKUP($E131,'5.1 Budget'!$A$4:$H$729,4,0)</f>
        <v>0</v>
      </c>
      <c r="K131" s="252">
        <f>VLOOKUP($E131,'5.1 Budget'!$A$4:$H$729,5,0)</f>
        <v>0</v>
      </c>
      <c r="L131" s="252">
        <f>VLOOKUP($E131,'5.1 Budget'!$A$4:$H$729,6,0)</f>
        <v>0</v>
      </c>
      <c r="M131" s="252">
        <f>VLOOKUP($E131,'5.1 Budget'!$A$4:$H$729,7,0)</f>
        <v>0</v>
      </c>
      <c r="N131" s="252">
        <f>VLOOKUP($E131,'5.1 Budget'!$A$4:$H$729,8,0)</f>
        <v>0</v>
      </c>
      <c r="O131" s="254"/>
      <c r="V131" t="str">
        <f>VLOOKUP(D131,'[4]1. Mesures'!$A$1:$B$116,2,0)</f>
        <v>Assurer la gestion des déchets flottants dans les masses d'eau, en particulier après les épisodes de déversement</v>
      </c>
      <c r="W131" t="str">
        <f>VLOOKUP(B131,[1]HIERARCH!$A$1:$B$57,2,0)</f>
        <v>Assurer la gestion qualitative des masses d'eau de surface</v>
      </c>
      <c r="X131" t="str">
        <f>VLOOKUP(C131,[1]HIERARCH!$A$2:$B$57,2,0)</f>
        <v>Réduire l’impact du réseau d’assainissement sur la qualité des masses d’eau de surface</v>
      </c>
      <c r="Y131" t="str">
        <f t="shared" si="9"/>
        <v>Etudier la possibilité de reconnecter le Neerpedebeek à la Senne via un siphon existant (cf. M 1.27).…</v>
      </c>
    </row>
    <row r="132" spans="1:25" hidden="1" x14ac:dyDescent="0.25">
      <c r="A132" s="249" t="str">
        <f t="shared" si="8"/>
        <v>1</v>
      </c>
      <c r="B132" s="249" t="str">
        <f>VLOOKUP($D132,'[4]1. Mesures'!$A$2:$G$116,6,0)</f>
        <v>OS 1.1</v>
      </c>
      <c r="C132" s="249" t="str">
        <f>VLOOKUP($D132,'[4]1. Mesures'!$A$2:$G$116,7,0)</f>
        <v>OO 1.1.3</v>
      </c>
      <c r="D132" s="249" t="str">
        <f t="shared" si="7"/>
        <v>M 1.11</v>
      </c>
      <c r="E132" s="250" t="s">
        <v>663</v>
      </c>
      <c r="F132" s="249" t="str">
        <f>VLOOKUP(E132,'5.2 Actions'!$A$3:$B$720,2,0)</f>
        <v>Etudier les meilleures solutions de rétention ou de collecte des macro-déchets flottants au niveau des déversoirs</v>
      </c>
      <c r="G132" s="251" t="str">
        <f>VLOOKUP(E132,'[4]5.2 Actions'!$A$3:$D$718,4,0)</f>
        <v>SEN / CAN</v>
      </c>
      <c r="H132" s="252">
        <f>VLOOKUP($E132,'5.1 Budget'!$A$4:$H$729,2,0)</f>
        <v>0</v>
      </c>
      <c r="I132" s="252">
        <f>VLOOKUP($E132,'5.1 Budget'!$A$4:$H$729,3,0)</f>
        <v>0</v>
      </c>
      <c r="J132" s="252">
        <f>VLOOKUP($E132,'5.1 Budget'!$A$4:$H$729,4,0)</f>
        <v>0</v>
      </c>
      <c r="K132" s="252">
        <f>VLOOKUP($E132,'5.1 Budget'!$A$4:$H$729,5,0)</f>
        <v>0</v>
      </c>
      <c r="L132" s="252">
        <f>VLOOKUP($E132,'5.1 Budget'!$A$4:$H$729,6,0)</f>
        <v>0</v>
      </c>
      <c r="M132" s="252">
        <f>VLOOKUP($E132,'5.1 Budget'!$A$4:$H$729,7,0)</f>
        <v>0</v>
      </c>
      <c r="N132" s="252">
        <f>VLOOKUP($E132,'5.1 Budget'!$A$4:$H$729,8,0)</f>
        <v>0</v>
      </c>
      <c r="O132" s="254"/>
      <c r="V132" t="str">
        <f>VLOOKUP(D132,'[4]1. Mesures'!$A$1:$B$116,2,0)</f>
        <v>Assurer la gestion des déchets flottants dans les masses d'eau, en particulier après les épisodes de déversement</v>
      </c>
      <c r="W132" t="str">
        <f>VLOOKUP(B132,[1]HIERARCH!$A$1:$B$57,2,0)</f>
        <v>Assurer la gestion qualitative des masses d'eau de surface</v>
      </c>
      <c r="X132" t="str">
        <f>VLOOKUP(C132,[1]HIERARCH!$A$2:$B$57,2,0)</f>
        <v>Réduire l’impact du réseau d’assainissement sur la qualité des masses d’eau de surface</v>
      </c>
      <c r="Y132" t="str">
        <f t="shared" si="9"/>
        <v>Etudier les meilleures solutions de rétention ou de collecte des macro-déchets flottants au niveau des déversoirs…</v>
      </c>
    </row>
    <row r="133" spans="1:25" hidden="1" x14ac:dyDescent="0.25">
      <c r="A133" s="249" t="str">
        <f t="shared" si="8"/>
        <v>1</v>
      </c>
      <c r="B133" s="249" t="str">
        <f>VLOOKUP($D133,'[4]1. Mesures'!$A$2:$G$116,6,0)</f>
        <v>OS 1.1</v>
      </c>
      <c r="C133" s="249" t="str">
        <f>VLOOKUP($D133,'[4]1. Mesures'!$A$2:$G$116,7,0)</f>
        <v>OO 1.1.3</v>
      </c>
      <c r="D133" s="249" t="str">
        <f t="shared" si="7"/>
        <v>M 1.11</v>
      </c>
      <c r="E133" s="250" t="s">
        <v>664</v>
      </c>
      <c r="F133" s="249" t="str">
        <f>VLOOKUP(E133,'5.2 Actions'!$A$3:$B$720,2,0)</f>
        <v>Équiper les déversoirs des dispositifs retenus (lien vers la mesure M 1.8)</v>
      </c>
      <c r="G133" s="251" t="str">
        <f>VLOOKUP(E133,'[4]5.2 Actions'!$A$3:$D$718,4,0)</f>
        <v>SEN / CAN</v>
      </c>
      <c r="H133" s="252">
        <f>VLOOKUP($E133,'5.1 Budget'!$A$4:$H$729,2,0)</f>
        <v>0</v>
      </c>
      <c r="I133" s="252">
        <f>VLOOKUP($E133,'5.1 Budget'!$A$4:$H$729,3,0)</f>
        <v>0</v>
      </c>
      <c r="J133" s="252">
        <f>VLOOKUP($E133,'5.1 Budget'!$A$4:$H$729,4,0)</f>
        <v>0</v>
      </c>
      <c r="K133" s="252">
        <f>VLOOKUP($E133,'5.1 Budget'!$A$4:$H$729,5,0)</f>
        <v>0</v>
      </c>
      <c r="L133" s="252">
        <f>VLOOKUP($E133,'5.1 Budget'!$A$4:$H$729,6,0)</f>
        <v>0</v>
      </c>
      <c r="M133" s="252">
        <f>VLOOKUP($E133,'5.1 Budget'!$A$4:$H$729,7,0)</f>
        <v>0</v>
      </c>
      <c r="N133" s="252">
        <f>VLOOKUP($E133,'5.1 Budget'!$A$4:$H$729,8,0)</f>
        <v>0</v>
      </c>
      <c r="O133" s="254"/>
      <c r="V133" t="str">
        <f>VLOOKUP(D133,'[4]1. Mesures'!$A$1:$B$116,2,0)</f>
        <v>Assurer la gestion des déchets flottants dans les masses d'eau, en particulier après les épisodes de déversement</v>
      </c>
      <c r="W133" t="str">
        <f>VLOOKUP(B133,[1]HIERARCH!$A$1:$B$57,2,0)</f>
        <v>Assurer la gestion qualitative des masses d'eau de surface</v>
      </c>
      <c r="X133" t="str">
        <f>VLOOKUP(C133,[1]HIERARCH!$A$2:$B$57,2,0)</f>
        <v>Réduire l’impact du réseau d’assainissement sur la qualité des masses d’eau de surface</v>
      </c>
      <c r="Y133" t="str">
        <f t="shared" si="9"/>
        <v>Équiper les déversoirs des dispositifs retenus (lien vers la mesure M 1.8)…</v>
      </c>
    </row>
    <row r="134" spans="1:25" hidden="1" x14ac:dyDescent="0.25">
      <c r="A134" s="249" t="str">
        <f t="shared" si="8"/>
        <v>1</v>
      </c>
      <c r="B134" s="249" t="str">
        <f>VLOOKUP($D134,'[4]1. Mesures'!$A$2:$G$116,6,0)</f>
        <v>OS 1.1</v>
      </c>
      <c r="C134" s="249" t="str">
        <f>VLOOKUP($D134,'[4]1. Mesures'!$A$2:$G$116,7,0)</f>
        <v>OO 1.1.3</v>
      </c>
      <c r="D134" s="249" t="str">
        <f t="shared" si="7"/>
        <v>M 1.11</v>
      </c>
      <c r="E134" s="250" t="s">
        <v>655</v>
      </c>
      <c r="F134" s="249" t="str">
        <f>VLOOKUP(E134,'5.2 Actions'!$A$3:$B$720,2,0)</f>
        <v>Entretenir le système de dégrillage de la Senne au niveau de la rue des Vétérinaires à Anderlecht</v>
      </c>
      <c r="G134" s="251" t="str">
        <f>VLOOKUP(E134,'[4]5.2 Actions'!$A$3:$D$718,4,0)</f>
        <v>SEN</v>
      </c>
      <c r="H134" s="252">
        <f>VLOOKUP($E134,'5.1 Budget'!$A$4:$H$729,2,0)</f>
        <v>35000</v>
      </c>
      <c r="I134" s="252">
        <f>VLOOKUP($E134,'5.1 Budget'!$A$4:$H$729,3,0)</f>
        <v>35000</v>
      </c>
      <c r="J134" s="252">
        <f>VLOOKUP($E134,'5.1 Budget'!$A$4:$H$729,4,0)</f>
        <v>35000</v>
      </c>
      <c r="K134" s="252">
        <f>VLOOKUP($E134,'5.1 Budget'!$A$4:$H$729,5,0)</f>
        <v>35000</v>
      </c>
      <c r="L134" s="252">
        <f>VLOOKUP($E134,'5.1 Budget'!$A$4:$H$729,6,0)</f>
        <v>35000</v>
      </c>
      <c r="M134" s="252">
        <f>VLOOKUP($E134,'5.1 Budget'!$A$4:$H$729,7,0)</f>
        <v>35000</v>
      </c>
      <c r="N134" s="252">
        <f>VLOOKUP($E134,'5.1 Budget'!$A$4:$H$729,8,0)</f>
        <v>210000</v>
      </c>
      <c r="O134" s="254"/>
      <c r="V134" t="str">
        <f>VLOOKUP(D134,'[4]1. Mesures'!$A$1:$B$116,2,0)</f>
        <v>Assurer la gestion des déchets flottants dans les masses d'eau, en particulier après les épisodes de déversement</v>
      </c>
      <c r="W134" t="str">
        <f>VLOOKUP(B134,[1]HIERARCH!$A$1:$B$57,2,0)</f>
        <v>Assurer la gestion qualitative des masses d'eau de surface</v>
      </c>
      <c r="X134" t="str">
        <f>VLOOKUP(C134,[1]HIERARCH!$A$2:$B$57,2,0)</f>
        <v>Réduire l’impact du réseau d’assainissement sur la qualité des masses d’eau de surface</v>
      </c>
      <c r="Y134" t="str">
        <f t="shared" si="9"/>
        <v>Entretenir le système de dégrillage de la Senne au niveau de la rue des Vétérinaires à Anderlecht…</v>
      </c>
    </row>
    <row r="135" spans="1:25" hidden="1" x14ac:dyDescent="0.25">
      <c r="A135" s="249" t="str">
        <f t="shared" si="8"/>
        <v>1</v>
      </c>
      <c r="B135" s="249" t="str">
        <f>VLOOKUP($D135,'[4]1. Mesures'!$A$2:$G$116,6,0)</f>
        <v>OS 1.1</v>
      </c>
      <c r="C135" s="249" t="str">
        <f>VLOOKUP($D135,'[4]1. Mesures'!$A$2:$G$116,7,0)</f>
        <v>OO 1.1.3</v>
      </c>
      <c r="D135" s="249" t="str">
        <f t="shared" si="7"/>
        <v>M 1.11</v>
      </c>
      <c r="E135" s="250" t="s">
        <v>656</v>
      </c>
      <c r="F135" s="249" t="str">
        <f>VLOOKUP(E135,'5.2 Actions'!$A$3:$B$720,2,0)</f>
        <v xml:space="preserve">Etudier et expérimenter la mise en place de systèmes de rétention des macro-déchets flottants sur les affluents de la Senne, en coordination avec les éco-cantonniers de BE </v>
      </c>
      <c r="G135" s="251" t="str">
        <f>VLOOKUP(E135,'[4]5.2 Actions'!$A$3:$D$718,4,0)</f>
        <v>SEN</v>
      </c>
      <c r="H135" s="252">
        <f>VLOOKUP($E135,'5.1 Budget'!$A$4:$H$729,2,0)</f>
        <v>0</v>
      </c>
      <c r="I135" s="252">
        <f>VLOOKUP($E135,'5.1 Budget'!$A$4:$H$729,3,0)</f>
        <v>5000</v>
      </c>
      <c r="J135" s="252">
        <f>VLOOKUP($E135,'5.1 Budget'!$A$4:$H$729,4,0)</f>
        <v>5000</v>
      </c>
      <c r="K135" s="252">
        <f>VLOOKUP($E135,'5.1 Budget'!$A$4:$H$729,5,0)</f>
        <v>5000</v>
      </c>
      <c r="L135" s="252">
        <f>VLOOKUP($E135,'5.1 Budget'!$A$4:$H$729,6,0)</f>
        <v>5000</v>
      </c>
      <c r="M135" s="252">
        <f>VLOOKUP($E135,'5.1 Budget'!$A$4:$H$729,7,0)</f>
        <v>5000</v>
      </c>
      <c r="N135" s="252">
        <f>VLOOKUP($E135,'5.1 Budget'!$A$4:$H$729,8,0)</f>
        <v>25000</v>
      </c>
      <c r="O135" s="254"/>
      <c r="V135" t="str">
        <f>VLOOKUP(D135,'[4]1. Mesures'!$A$1:$B$116,2,0)</f>
        <v>Assurer la gestion des déchets flottants dans les masses d'eau, en particulier après les épisodes de déversement</v>
      </c>
      <c r="W135" t="str">
        <f>VLOOKUP(B135,[1]HIERARCH!$A$1:$B$57,2,0)</f>
        <v>Assurer la gestion qualitative des masses d'eau de surface</v>
      </c>
      <c r="X135" t="str">
        <f>VLOOKUP(C135,[1]HIERARCH!$A$2:$B$57,2,0)</f>
        <v>Réduire l’impact du réseau d’assainissement sur la qualité des masses d’eau de surface</v>
      </c>
      <c r="Y135" t="str">
        <f t="shared" si="9"/>
        <v>Etudier et expérimenter la mise en place de systèmes de rétention des macro-déchets flottants sur les affluents de la Se…</v>
      </c>
    </row>
    <row r="136" spans="1:25" hidden="1" x14ac:dyDescent="0.25">
      <c r="A136" s="249" t="str">
        <f t="shared" si="8"/>
        <v>1</v>
      </c>
      <c r="B136" s="249" t="str">
        <f>VLOOKUP($D136,'[4]1. Mesures'!$A$2:$G$116,6,0)</f>
        <v>OS 1.1</v>
      </c>
      <c r="C136" s="249" t="str">
        <f>VLOOKUP($D136,'[4]1. Mesures'!$A$2:$G$116,7,0)</f>
        <v>OO 1.1.3</v>
      </c>
      <c r="D136" s="249" t="str">
        <f t="shared" si="7"/>
        <v>M 1.11</v>
      </c>
      <c r="E136" s="250" t="s">
        <v>666</v>
      </c>
      <c r="F136" s="249" t="str">
        <f>VLOOKUP(E136,'5.2 Actions'!$A$3:$B$720,2,0)</f>
        <v>Installer un système de dégrillage en aval de la Senne (au niveau de la STEP Nord) pour diminuer la quantité de macro-déchets flottants sur la Senne en aval des déversoirs principaux de la région</v>
      </c>
      <c r="G136" s="251" t="str">
        <f>VLOOKUP(E136,'[4]5.2 Actions'!$A$3:$D$718,4,0)</f>
        <v>SEN</v>
      </c>
      <c r="H136" s="252">
        <f>VLOOKUP($E136,'5.1 Budget'!$A$4:$H$729,2,0)</f>
        <v>0</v>
      </c>
      <c r="I136" s="252">
        <f>VLOOKUP($E136,'5.1 Budget'!$A$4:$H$729,3,0)</f>
        <v>0</v>
      </c>
      <c r="J136" s="252">
        <f>VLOOKUP($E136,'5.1 Budget'!$A$4:$H$729,4,0)</f>
        <v>0</v>
      </c>
      <c r="K136" s="252">
        <f>VLOOKUP($E136,'5.1 Budget'!$A$4:$H$729,5,0)</f>
        <v>0</v>
      </c>
      <c r="L136" s="252">
        <f>VLOOKUP($E136,'5.1 Budget'!$A$4:$H$729,6,0)</f>
        <v>0</v>
      </c>
      <c r="M136" s="252">
        <f>VLOOKUP($E136,'5.1 Budget'!$A$4:$H$729,7,0)</f>
        <v>0</v>
      </c>
      <c r="N136" s="252">
        <f>VLOOKUP($E136,'5.1 Budget'!$A$4:$H$729,8,0)</f>
        <v>0</v>
      </c>
      <c r="O136" s="254"/>
      <c r="V136" t="str">
        <f>VLOOKUP(D136,'[4]1. Mesures'!$A$1:$B$116,2,0)</f>
        <v>Assurer la gestion des déchets flottants dans les masses d'eau, en particulier après les épisodes de déversement</v>
      </c>
      <c r="W136" t="str">
        <f>VLOOKUP(B136,[1]HIERARCH!$A$1:$B$57,2,0)</f>
        <v>Assurer la gestion qualitative des masses d'eau de surface</v>
      </c>
      <c r="X136" t="str">
        <f>VLOOKUP(C136,[1]HIERARCH!$A$2:$B$57,2,0)</f>
        <v>Réduire l’impact du réseau d’assainissement sur la qualité des masses d’eau de surface</v>
      </c>
      <c r="Y136" t="str">
        <f t="shared" si="9"/>
        <v>Installer un système de dégrillage en aval de la Senne (au niveau de la STEP Nord) pour diminuer la quantité de macro-dé…</v>
      </c>
    </row>
    <row r="137" spans="1:25" hidden="1" x14ac:dyDescent="0.25">
      <c r="A137" s="249" t="str">
        <f t="shared" si="8"/>
        <v>1</v>
      </c>
      <c r="B137" s="249" t="str">
        <f>VLOOKUP($D137,'[4]1. Mesures'!$A$2:$G$116,6,0)</f>
        <v>OS 1.1</v>
      </c>
      <c r="C137" s="249" t="str">
        <f>VLOOKUP($D137,'[4]1. Mesures'!$A$2:$G$116,7,0)</f>
        <v>OO 1.1.3</v>
      </c>
      <c r="D137" s="249" t="str">
        <f t="shared" si="7"/>
        <v>M 1.11</v>
      </c>
      <c r="E137" s="250" t="s">
        <v>667</v>
      </c>
      <c r="F137" s="249" t="str">
        <f>VLOOKUP(E137,'5.2 Actions'!$A$3:$B$720,2,0)</f>
        <v>Continuer la sensibilisation des citoyens pour limiter l’abandon des déchets (cf. M 1.25)</v>
      </c>
      <c r="G137" s="251" t="str">
        <f>VLOOKUP(E137,'[4]5.2 Actions'!$A$3:$D$718,4,0)</f>
        <v>SEN / WOL / CAN</v>
      </c>
      <c r="H137" s="252">
        <f>VLOOKUP($E137,'5.1 Budget'!$A$4:$H$729,2,0)</f>
        <v>0</v>
      </c>
      <c r="I137" s="252">
        <f>VLOOKUP($E137,'5.1 Budget'!$A$4:$H$729,3,0)</f>
        <v>0</v>
      </c>
      <c r="J137" s="252">
        <f>VLOOKUP($E137,'5.1 Budget'!$A$4:$H$729,4,0)</f>
        <v>0</v>
      </c>
      <c r="K137" s="252">
        <f>VLOOKUP($E137,'5.1 Budget'!$A$4:$H$729,5,0)</f>
        <v>0</v>
      </c>
      <c r="L137" s="252">
        <f>VLOOKUP($E137,'5.1 Budget'!$A$4:$H$729,6,0)</f>
        <v>0</v>
      </c>
      <c r="M137" s="252">
        <f>VLOOKUP($E137,'5.1 Budget'!$A$4:$H$729,7,0)</f>
        <v>0</v>
      </c>
      <c r="N137" s="252">
        <f>VLOOKUP($E137,'5.1 Budget'!$A$4:$H$729,8,0)</f>
        <v>0</v>
      </c>
      <c r="O137" s="254"/>
      <c r="V137" t="str">
        <f>VLOOKUP(D137,'[4]1. Mesures'!$A$1:$B$116,2,0)</f>
        <v>Assurer la gestion des déchets flottants dans les masses d'eau, en particulier après les épisodes de déversement</v>
      </c>
      <c r="W137" t="str">
        <f>VLOOKUP(B137,[1]HIERARCH!$A$1:$B$57,2,0)</f>
        <v>Assurer la gestion qualitative des masses d'eau de surface</v>
      </c>
      <c r="X137" t="str">
        <f>VLOOKUP(C137,[1]HIERARCH!$A$2:$B$57,2,0)</f>
        <v>Réduire l’impact du réseau d’assainissement sur la qualité des masses d’eau de surface</v>
      </c>
      <c r="Y137" t="str">
        <f t="shared" si="9"/>
        <v>Continuer la sensibilisation des citoyens pour limiter l’abandon des déchets (cf. M 1.25)…</v>
      </c>
    </row>
    <row r="138" spans="1:25" hidden="1" x14ac:dyDescent="0.25">
      <c r="A138" s="249" t="str">
        <f t="shared" si="8"/>
        <v>1</v>
      </c>
      <c r="B138" s="249" t="str">
        <f>VLOOKUP($D138,'[4]1. Mesures'!$A$2:$G$116,6,0)</f>
        <v>OS 1.1</v>
      </c>
      <c r="C138" s="249" t="str">
        <f>VLOOKUP($D138,'[4]1. Mesures'!$A$2:$G$116,7,0)</f>
        <v>OO 1.1.3</v>
      </c>
      <c r="D138" s="249" t="str">
        <f t="shared" si="7"/>
        <v>M 1.12</v>
      </c>
      <c r="E138" s="250" t="s">
        <v>668</v>
      </c>
      <c r="F138" s="249" t="str">
        <f>VLOOKUP(E138,'5.2 Actions'!$A$3:$B$720,2,0)</f>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
      <c r="G138" s="251" t="str">
        <f>VLOOKUP(E138,'[4]5.2 Actions'!$A$3:$D$718,4,0)</f>
        <v>SEN</v>
      </c>
      <c r="H138" s="252">
        <f>VLOOKUP($E138,'5.1 Budget'!$A$4:$H$729,2,0)</f>
        <v>0</v>
      </c>
      <c r="I138" s="252">
        <f>VLOOKUP($E138,'5.1 Budget'!$A$4:$H$729,3,0)</f>
        <v>0</v>
      </c>
      <c r="J138" s="252">
        <f>VLOOKUP($E138,'5.1 Budget'!$A$4:$H$729,4,0)</f>
        <v>0</v>
      </c>
      <c r="K138" s="252">
        <f>VLOOKUP($E138,'5.1 Budget'!$A$4:$H$729,5,0)</f>
        <v>0</v>
      </c>
      <c r="L138" s="252">
        <f>VLOOKUP($E138,'5.1 Budget'!$A$4:$H$729,6,0)</f>
        <v>0</v>
      </c>
      <c r="M138" s="252">
        <f>VLOOKUP($E138,'5.1 Budget'!$A$4:$H$729,7,0)</f>
        <v>0</v>
      </c>
      <c r="N138" s="252">
        <f>VLOOKUP($E138,'5.1 Budget'!$A$4:$H$729,8,0)</f>
        <v>0</v>
      </c>
      <c r="O138" s="254"/>
      <c r="V138" t="str">
        <f>VLOOKUP(D138,'[4]1. Mesures'!$A$1:$B$116,2,0)</f>
        <v xml:space="preserve"> Améliorer le rendement épuratoire des stations d'épuration</v>
      </c>
      <c r="W138" t="str">
        <f>VLOOKUP(B138,[1]HIERARCH!$A$1:$B$57,2,0)</f>
        <v>Assurer la gestion qualitative des masses d'eau de surface</v>
      </c>
      <c r="X138" t="str">
        <f>VLOOKUP(C138,[1]HIERARCH!$A$2:$B$57,2,0)</f>
        <v>Réduire l’impact du réseau d’assainissement sur la qualité des masses d’eau de surface</v>
      </c>
      <c r="Y138" t="str">
        <f t="shared" si="9"/>
        <v>Etablir une liste de paramètres à étudier sur base de leur caractère problématique pour les eaux de surface (notamment c…</v>
      </c>
    </row>
    <row r="139" spans="1:25" hidden="1" x14ac:dyDescent="0.25">
      <c r="A139" s="249" t="str">
        <f t="shared" si="8"/>
        <v>1</v>
      </c>
      <c r="B139" s="249" t="str">
        <f>VLOOKUP($D139,'[4]1. Mesures'!$A$2:$G$116,6,0)</f>
        <v>OS 1.1</v>
      </c>
      <c r="C139" s="249" t="str">
        <f>VLOOKUP($D139,'[4]1. Mesures'!$A$2:$G$116,7,0)</f>
        <v>OO 1.1.3</v>
      </c>
      <c r="D139" s="249" t="str">
        <f t="shared" si="7"/>
        <v>M 1.12</v>
      </c>
      <c r="E139" s="250" t="s">
        <v>668</v>
      </c>
      <c r="F139" s="249" t="str">
        <f>VLOOKUP(E139,'5.2 Actions'!$A$3:$B$720,2,0)</f>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
      <c r="G139" s="251" t="str">
        <f>VLOOKUP(E139,'[4]5.2 Actions'!$A$3:$D$718,4,0)</f>
        <v>SEN</v>
      </c>
      <c r="H139" s="252">
        <f>VLOOKUP($E139,'5.1 Budget'!$A$4:$H$729,2,0)</f>
        <v>0</v>
      </c>
      <c r="I139" s="252">
        <f>VLOOKUP($E139,'5.1 Budget'!$A$4:$H$729,3,0)</f>
        <v>0</v>
      </c>
      <c r="J139" s="252">
        <f>VLOOKUP($E139,'5.1 Budget'!$A$4:$H$729,4,0)</f>
        <v>0</v>
      </c>
      <c r="K139" s="252">
        <f>VLOOKUP($E139,'5.1 Budget'!$A$4:$H$729,5,0)</f>
        <v>0</v>
      </c>
      <c r="L139" s="252">
        <f>VLOOKUP($E139,'5.1 Budget'!$A$4:$H$729,6,0)</f>
        <v>0</v>
      </c>
      <c r="M139" s="252">
        <f>VLOOKUP($E139,'5.1 Budget'!$A$4:$H$729,7,0)</f>
        <v>0</v>
      </c>
      <c r="N139" s="252">
        <f>VLOOKUP($E139,'5.1 Budget'!$A$4:$H$729,8,0)</f>
        <v>0</v>
      </c>
      <c r="O139" s="254"/>
      <c r="V139" t="str">
        <f>VLOOKUP(D139,'[4]1. Mesures'!$A$1:$B$116,2,0)</f>
        <v xml:space="preserve"> Améliorer le rendement épuratoire des stations d'épuration</v>
      </c>
      <c r="W139" t="str">
        <f>VLOOKUP(B139,[1]HIERARCH!$A$1:$B$57,2,0)</f>
        <v>Assurer la gestion qualitative des masses d'eau de surface</v>
      </c>
      <c r="X139" t="str">
        <f>VLOOKUP(C139,[1]HIERARCH!$A$2:$B$57,2,0)</f>
        <v>Réduire l’impact du réseau d’assainissement sur la qualité des masses d’eau de surface</v>
      </c>
      <c r="Y139" t="str">
        <f t="shared" si="9"/>
        <v>Etablir une liste de paramètres à étudier sur base de leur caractère problématique pour les eaux de surface (notamment c…</v>
      </c>
    </row>
    <row r="140" spans="1:25" hidden="1" x14ac:dyDescent="0.25">
      <c r="A140" s="249" t="str">
        <f t="shared" si="8"/>
        <v>1</v>
      </c>
      <c r="B140" s="249" t="str">
        <f>VLOOKUP($D140,'[4]1. Mesures'!$A$2:$G$116,6,0)</f>
        <v>OS 1.1</v>
      </c>
      <c r="C140" s="249" t="str">
        <f>VLOOKUP($D140,'[4]1. Mesures'!$A$2:$G$116,7,0)</f>
        <v>OO 1.1.3</v>
      </c>
      <c r="D140" s="249" t="str">
        <f t="shared" si="7"/>
        <v>M 1.12</v>
      </c>
      <c r="E140" s="250" t="s">
        <v>669</v>
      </c>
      <c r="F140" s="249" t="str">
        <f>VLOOKUP(E140,'5.2 Actions'!$A$3:$B$720,2,0)</f>
        <v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v>
      </c>
      <c r="G140" s="251" t="str">
        <f>VLOOKUP(E140,'[4]5.2 Actions'!$A$3:$D$718,4,0)</f>
        <v>SEN</v>
      </c>
      <c r="H140" s="252">
        <f>VLOOKUP($E140,'5.1 Budget'!$A$4:$H$729,2,0)</f>
        <v>0</v>
      </c>
      <c r="I140" s="252">
        <f>VLOOKUP($E140,'5.1 Budget'!$A$4:$H$729,3,0)</f>
        <v>0</v>
      </c>
      <c r="J140" s="252">
        <f>VLOOKUP($E140,'5.1 Budget'!$A$4:$H$729,4,0)</f>
        <v>0</v>
      </c>
      <c r="K140" s="252">
        <f>VLOOKUP($E140,'5.1 Budget'!$A$4:$H$729,5,0)</f>
        <v>0</v>
      </c>
      <c r="L140" s="252">
        <f>VLOOKUP($E140,'5.1 Budget'!$A$4:$H$729,6,0)</f>
        <v>0</v>
      </c>
      <c r="M140" s="252">
        <f>VLOOKUP($E140,'5.1 Budget'!$A$4:$H$729,7,0)</f>
        <v>0</v>
      </c>
      <c r="N140" s="252">
        <f>VLOOKUP($E140,'5.1 Budget'!$A$4:$H$729,8,0)</f>
        <v>0</v>
      </c>
      <c r="O140" s="254"/>
      <c r="V140" t="str">
        <f>VLOOKUP(D140,'[4]1. Mesures'!$A$1:$B$116,2,0)</f>
        <v xml:space="preserve"> Améliorer le rendement épuratoire des stations d'épuration</v>
      </c>
      <c r="W140" t="str">
        <f>VLOOKUP(B140,[1]HIERARCH!$A$1:$B$57,2,0)</f>
        <v>Assurer la gestion qualitative des masses d'eau de surface</v>
      </c>
      <c r="X140" t="str">
        <f>VLOOKUP(C140,[1]HIERARCH!$A$2:$B$57,2,0)</f>
        <v>Réduire l’impact du réseau d’assainissement sur la qualité des masses d’eau de surface</v>
      </c>
      <c r="Y140" t="str">
        <f t="shared" si="9"/>
        <v>Réaliser une étude indépendante de faisabilité de l’amélioration du rendement épuratoire des STEPs Bruxelles-Nord et Sud…</v>
      </c>
    </row>
    <row r="141" spans="1:25" hidden="1" x14ac:dyDescent="0.25">
      <c r="A141" s="249" t="str">
        <f t="shared" si="8"/>
        <v>1</v>
      </c>
      <c r="B141" s="249" t="str">
        <f>VLOOKUP($D141,'[4]1. Mesures'!$A$2:$G$116,6,0)</f>
        <v>OS 1.1</v>
      </c>
      <c r="C141" s="249" t="str">
        <f>VLOOKUP($D141,'[4]1. Mesures'!$A$2:$G$116,7,0)</f>
        <v>OO 1.1.3</v>
      </c>
      <c r="D141" s="249" t="str">
        <f t="shared" si="7"/>
        <v>M 1.12</v>
      </c>
      <c r="E141" s="250" t="s">
        <v>670</v>
      </c>
      <c r="F141" s="249" t="str">
        <f>VLOOKUP(E141,'5.2 Actions'!$A$3:$B$720,2,0)</f>
        <v>Evaluer l’impact de la mise en œuvre des solutions proposées sur le prix de l’eau</v>
      </c>
      <c r="G141" s="251" t="str">
        <f>VLOOKUP(E141,'[4]5.2 Actions'!$A$3:$D$718,4,0)</f>
        <v>SEN</v>
      </c>
      <c r="H141" s="252">
        <f>VLOOKUP($E141,'5.1 Budget'!$A$4:$H$729,2,0)</f>
        <v>0</v>
      </c>
      <c r="I141" s="252">
        <f>VLOOKUP($E141,'5.1 Budget'!$A$4:$H$729,3,0)</f>
        <v>0</v>
      </c>
      <c r="J141" s="252">
        <f>VLOOKUP($E141,'5.1 Budget'!$A$4:$H$729,4,0)</f>
        <v>0</v>
      </c>
      <c r="K141" s="252">
        <f>VLOOKUP($E141,'5.1 Budget'!$A$4:$H$729,5,0)</f>
        <v>0</v>
      </c>
      <c r="L141" s="252">
        <f>VLOOKUP($E141,'5.1 Budget'!$A$4:$H$729,6,0)</f>
        <v>0</v>
      </c>
      <c r="M141" s="252">
        <f>VLOOKUP($E141,'5.1 Budget'!$A$4:$H$729,7,0)</f>
        <v>0</v>
      </c>
      <c r="N141" s="252">
        <f>VLOOKUP($E141,'5.1 Budget'!$A$4:$H$729,8,0)</f>
        <v>0</v>
      </c>
      <c r="O141" s="254"/>
      <c r="V141" t="str">
        <f>VLOOKUP(D141,'[4]1. Mesures'!$A$1:$B$116,2,0)</f>
        <v xml:space="preserve"> Améliorer le rendement épuratoire des stations d'épuration</v>
      </c>
      <c r="W141" t="str">
        <f>VLOOKUP(B141,[1]HIERARCH!$A$1:$B$57,2,0)</f>
        <v>Assurer la gestion qualitative des masses d'eau de surface</v>
      </c>
      <c r="X141" t="str">
        <f>VLOOKUP(C141,[1]HIERARCH!$A$2:$B$57,2,0)</f>
        <v>Réduire l’impact du réseau d’assainissement sur la qualité des masses d’eau de surface</v>
      </c>
      <c r="Y141" t="str">
        <f t="shared" si="9"/>
        <v>Evaluer l’impact de la mise en œuvre des solutions proposées sur le prix de l’eau…</v>
      </c>
    </row>
    <row r="142" spans="1:25" hidden="1" x14ac:dyDescent="0.25">
      <c r="A142" s="249" t="str">
        <f t="shared" si="8"/>
        <v>1</v>
      </c>
      <c r="B142" s="249" t="str">
        <f>VLOOKUP($D142,'[4]1. Mesures'!$A$2:$G$116,6,0)</f>
        <v>OS 1.1</v>
      </c>
      <c r="C142" s="249" t="str">
        <f>VLOOKUP($D142,'[4]1. Mesures'!$A$2:$G$116,7,0)</f>
        <v>OO 1.1.3</v>
      </c>
      <c r="D142" s="249" t="str">
        <f t="shared" si="7"/>
        <v>M 1.12</v>
      </c>
      <c r="E142" s="250" t="s">
        <v>671</v>
      </c>
      <c r="F142" s="249" t="str">
        <f>VLOOKUP(E142,'5.2 Actions'!$A$3:$B$720,2,0)</f>
        <v>Etude de définition de détails et rédaction du cahier des charges des travaux</v>
      </c>
      <c r="G142" s="251" t="str">
        <f>VLOOKUP(E142,'[4]5.2 Actions'!$A$3:$D$718,4,0)</f>
        <v>SEN</v>
      </c>
      <c r="H142" s="252">
        <f>VLOOKUP($E142,'5.1 Budget'!$A$4:$H$729,2,0)</f>
        <v>0</v>
      </c>
      <c r="I142" s="252">
        <f>VLOOKUP($E142,'5.1 Budget'!$A$4:$H$729,3,0)</f>
        <v>0</v>
      </c>
      <c r="J142" s="252">
        <f>VLOOKUP($E142,'5.1 Budget'!$A$4:$H$729,4,0)</f>
        <v>0</v>
      </c>
      <c r="K142" s="252">
        <f>VLOOKUP($E142,'5.1 Budget'!$A$4:$H$729,5,0)</f>
        <v>0</v>
      </c>
      <c r="L142" s="252">
        <f>VLOOKUP($E142,'5.1 Budget'!$A$4:$H$729,6,0)</f>
        <v>0</v>
      </c>
      <c r="M142" s="252">
        <f>VLOOKUP($E142,'5.1 Budget'!$A$4:$H$729,7,0)</f>
        <v>0</v>
      </c>
      <c r="N142" s="252">
        <f>VLOOKUP($E142,'5.1 Budget'!$A$4:$H$729,8,0)</f>
        <v>0</v>
      </c>
      <c r="O142" s="254"/>
      <c r="V142" t="str">
        <f>VLOOKUP(D142,'[4]1. Mesures'!$A$1:$B$116,2,0)</f>
        <v xml:space="preserve"> Améliorer le rendement épuratoire des stations d'épuration</v>
      </c>
      <c r="W142" t="str">
        <f>VLOOKUP(B142,[1]HIERARCH!$A$1:$B$57,2,0)</f>
        <v>Assurer la gestion qualitative des masses d'eau de surface</v>
      </c>
      <c r="X142" t="str">
        <f>VLOOKUP(C142,[1]HIERARCH!$A$2:$B$57,2,0)</f>
        <v>Réduire l’impact du réseau d’assainissement sur la qualité des masses d’eau de surface</v>
      </c>
      <c r="Y142" t="str">
        <f t="shared" si="9"/>
        <v>Etude de définition de détails et rédaction du cahier des charges des travaux…</v>
      </c>
    </row>
    <row r="143" spans="1:25" hidden="1" x14ac:dyDescent="0.25">
      <c r="A143" s="249" t="str">
        <f t="shared" si="8"/>
        <v>1</v>
      </c>
      <c r="B143" s="249" t="str">
        <f>VLOOKUP($D143,'[4]1. Mesures'!$A$2:$G$116,6,0)</f>
        <v>OS 1.1</v>
      </c>
      <c r="C143" s="249" t="str">
        <f>VLOOKUP($D143,'[4]1. Mesures'!$A$2:$G$116,7,0)</f>
        <v>OO 1.1.3</v>
      </c>
      <c r="D143" s="249" t="str">
        <f t="shared" si="7"/>
        <v>M 1.12</v>
      </c>
      <c r="E143" s="250" t="s">
        <v>672</v>
      </c>
      <c r="F143" s="249" t="str">
        <f>VLOOKUP(E143,'5.2 Actions'!$A$3:$B$720,2,0)</f>
        <v>Procédure d’obtention des permis d’environnement et d’urbanisme associés au projet</v>
      </c>
      <c r="G143" s="251" t="str">
        <f>VLOOKUP(E143,'[4]5.2 Actions'!$A$3:$D$718,4,0)</f>
        <v>SEN</v>
      </c>
      <c r="H143" s="252">
        <f>VLOOKUP($E143,'5.1 Budget'!$A$4:$H$729,2,0)</f>
        <v>0</v>
      </c>
      <c r="I143" s="252">
        <f>VLOOKUP($E143,'5.1 Budget'!$A$4:$H$729,3,0)</f>
        <v>0</v>
      </c>
      <c r="J143" s="252">
        <f>VLOOKUP($E143,'5.1 Budget'!$A$4:$H$729,4,0)</f>
        <v>0</v>
      </c>
      <c r="K143" s="252">
        <f>VLOOKUP($E143,'5.1 Budget'!$A$4:$H$729,5,0)</f>
        <v>0</v>
      </c>
      <c r="L143" s="252">
        <f>VLOOKUP($E143,'5.1 Budget'!$A$4:$H$729,6,0)</f>
        <v>0</v>
      </c>
      <c r="M143" s="252">
        <f>VLOOKUP($E143,'5.1 Budget'!$A$4:$H$729,7,0)</f>
        <v>0</v>
      </c>
      <c r="N143" s="252">
        <f>VLOOKUP($E143,'5.1 Budget'!$A$4:$H$729,8,0)</f>
        <v>0</v>
      </c>
      <c r="O143" s="254"/>
      <c r="V143" t="str">
        <f>VLOOKUP(D143,'[4]1. Mesures'!$A$1:$B$116,2,0)</f>
        <v xml:space="preserve"> Améliorer le rendement épuratoire des stations d'épuration</v>
      </c>
      <c r="W143" t="str">
        <f>VLOOKUP(B143,[1]HIERARCH!$A$1:$B$57,2,0)</f>
        <v>Assurer la gestion qualitative des masses d'eau de surface</v>
      </c>
      <c r="X143" t="str">
        <f>VLOOKUP(C143,[1]HIERARCH!$A$2:$B$57,2,0)</f>
        <v>Réduire l’impact du réseau d’assainissement sur la qualité des masses d’eau de surface</v>
      </c>
      <c r="Y143" t="str">
        <f t="shared" si="9"/>
        <v>Procédure d’obtention des permis d’environnement et d’urbanisme associés au projet…</v>
      </c>
    </row>
    <row r="144" spans="1:25" hidden="1" x14ac:dyDescent="0.25">
      <c r="A144" s="249" t="str">
        <f t="shared" si="8"/>
        <v>1</v>
      </c>
      <c r="B144" s="249" t="str">
        <f>VLOOKUP($D144,'[4]1. Mesures'!$A$2:$G$116,6,0)</f>
        <v>OS 1.1</v>
      </c>
      <c r="C144" s="249" t="str">
        <f>VLOOKUP($D144,'[4]1. Mesures'!$A$2:$G$116,7,0)</f>
        <v>OO 1.1.3</v>
      </c>
      <c r="D144" s="249" t="str">
        <f t="shared" si="7"/>
        <v>M 1.12</v>
      </c>
      <c r="E144" s="250" t="s">
        <v>673</v>
      </c>
      <c r="F144" s="249" t="str">
        <f>VLOOKUP(E144,'5.2 Actions'!$A$3:$B$720,2,0)</f>
        <v>Attribution du marché de travaux</v>
      </c>
      <c r="G144" s="251" t="str">
        <f>VLOOKUP(E144,'[4]5.2 Actions'!$A$3:$D$718,4,0)</f>
        <v>SEN</v>
      </c>
      <c r="H144" s="252">
        <f>VLOOKUP($E144,'5.1 Budget'!$A$4:$H$729,2,0)</f>
        <v>0</v>
      </c>
      <c r="I144" s="252">
        <f>VLOOKUP($E144,'5.1 Budget'!$A$4:$H$729,3,0)</f>
        <v>0</v>
      </c>
      <c r="J144" s="252">
        <f>VLOOKUP($E144,'5.1 Budget'!$A$4:$H$729,4,0)</f>
        <v>0</v>
      </c>
      <c r="K144" s="252">
        <f>VLOOKUP($E144,'5.1 Budget'!$A$4:$H$729,5,0)</f>
        <v>0</v>
      </c>
      <c r="L144" s="252">
        <f>VLOOKUP($E144,'5.1 Budget'!$A$4:$H$729,6,0)</f>
        <v>0</v>
      </c>
      <c r="M144" s="252">
        <f>VLOOKUP($E144,'5.1 Budget'!$A$4:$H$729,7,0)</f>
        <v>0</v>
      </c>
      <c r="N144" s="252">
        <f>VLOOKUP($E144,'5.1 Budget'!$A$4:$H$729,8,0)</f>
        <v>0</v>
      </c>
      <c r="O144" s="254"/>
      <c r="V144" t="str">
        <f>VLOOKUP(D144,'[4]1. Mesures'!$A$1:$B$116,2,0)</f>
        <v xml:space="preserve"> Améliorer le rendement épuratoire des stations d'épuration</v>
      </c>
      <c r="W144" t="str">
        <f>VLOOKUP(B144,[1]HIERARCH!$A$1:$B$57,2,0)</f>
        <v>Assurer la gestion qualitative des masses d'eau de surface</v>
      </c>
      <c r="X144" t="str">
        <f>VLOOKUP(C144,[1]HIERARCH!$A$2:$B$57,2,0)</f>
        <v>Réduire l’impact du réseau d’assainissement sur la qualité des masses d’eau de surface</v>
      </c>
      <c r="Y144" t="str">
        <f t="shared" si="9"/>
        <v>Attribution du marché de travaux…</v>
      </c>
    </row>
    <row r="145" spans="1:25" hidden="1" x14ac:dyDescent="0.25">
      <c r="A145" s="249" t="str">
        <f t="shared" si="8"/>
        <v>1</v>
      </c>
      <c r="B145" s="249" t="str">
        <f>VLOOKUP($D145,'[4]1. Mesures'!$A$2:$G$116,6,0)</f>
        <v>OS 1.1</v>
      </c>
      <c r="C145" s="249" t="str">
        <f>VLOOKUP($D145,'[4]1. Mesures'!$A$2:$G$116,7,0)</f>
        <v>OO 1.1.3</v>
      </c>
      <c r="D145" s="249" t="str">
        <f t="shared" si="7"/>
        <v>M 1.12</v>
      </c>
      <c r="E145" s="250" t="s">
        <v>674</v>
      </c>
      <c r="F145" s="249" t="str">
        <f>VLOOKUP(E145,'5.2 Actions'!$A$3:$B$720,2,0)</f>
        <v>Réalisation des travaux sur l’usine en fonctionnement</v>
      </c>
      <c r="G145" s="251" t="str">
        <f>VLOOKUP(E145,'[4]5.2 Actions'!$A$3:$D$718,4,0)</f>
        <v>SEN</v>
      </c>
      <c r="H145" s="252">
        <f>VLOOKUP($E145,'5.1 Budget'!$A$4:$H$729,2,0)</f>
        <v>0</v>
      </c>
      <c r="I145" s="252">
        <f>VLOOKUP($E145,'5.1 Budget'!$A$4:$H$729,3,0)</f>
        <v>0</v>
      </c>
      <c r="J145" s="252">
        <f>VLOOKUP($E145,'5.1 Budget'!$A$4:$H$729,4,0)</f>
        <v>0</v>
      </c>
      <c r="K145" s="252">
        <f>VLOOKUP($E145,'5.1 Budget'!$A$4:$H$729,5,0)</f>
        <v>0</v>
      </c>
      <c r="L145" s="252">
        <f>VLOOKUP($E145,'5.1 Budget'!$A$4:$H$729,6,0)</f>
        <v>0</v>
      </c>
      <c r="M145" s="252">
        <f>VLOOKUP($E145,'5.1 Budget'!$A$4:$H$729,7,0)</f>
        <v>0</v>
      </c>
      <c r="N145" s="252">
        <f>VLOOKUP($E145,'5.1 Budget'!$A$4:$H$729,8,0)</f>
        <v>0</v>
      </c>
      <c r="O145" s="254"/>
      <c r="V145" t="str">
        <f>VLOOKUP(D145,'[4]1. Mesures'!$A$1:$B$116,2,0)</f>
        <v xml:space="preserve"> Améliorer le rendement épuratoire des stations d'épuration</v>
      </c>
      <c r="W145" t="str">
        <f>VLOOKUP(B145,[1]HIERARCH!$A$1:$B$57,2,0)</f>
        <v>Assurer la gestion qualitative des masses d'eau de surface</v>
      </c>
      <c r="X145" t="str">
        <f>VLOOKUP(C145,[1]HIERARCH!$A$2:$B$57,2,0)</f>
        <v>Réduire l’impact du réseau d’assainissement sur la qualité des masses d’eau de surface</v>
      </c>
      <c r="Y145" t="str">
        <f t="shared" si="9"/>
        <v>Réalisation des travaux sur l’usine en fonctionnement…</v>
      </c>
    </row>
    <row r="146" spans="1:25" hidden="1" x14ac:dyDescent="0.25">
      <c r="A146" s="249" t="str">
        <f t="shared" si="8"/>
        <v>1</v>
      </c>
      <c r="B146" s="249" t="str">
        <f>VLOOKUP($D146,'[4]1. Mesures'!$A$2:$G$116,6,0)</f>
        <v>OS 1.1</v>
      </c>
      <c r="C146" s="249" t="str">
        <f>VLOOKUP($D146,'[4]1. Mesures'!$A$2:$G$116,7,0)</f>
        <v>OO 1.1.4</v>
      </c>
      <c r="D146" s="249" t="str">
        <f t="shared" si="7"/>
        <v>M 1.13</v>
      </c>
      <c r="E146" s="250" t="s">
        <v>2572</v>
      </c>
      <c r="F146" s="249" t="str">
        <f>VLOOKUP(E146,'5.2 Actions'!$A$3:$B$720,2,0)</f>
        <v>Réaliser un benchmarking des conditions générales et sectorielles de déversement d’eaux usées en Flandre et en Wallonie</v>
      </c>
      <c r="G146" s="251" t="str">
        <f>VLOOKUP(E146,'[4]5.2 Actions'!$A$3:$D$718,4,0)</f>
        <v>?</v>
      </c>
      <c r="H146" s="252">
        <f>VLOOKUP($E146,'5.1 Budget'!$A$4:$H$729,2,0)</f>
        <v>0</v>
      </c>
      <c r="I146" s="252">
        <f>VLOOKUP($E146,'5.1 Budget'!$A$4:$H$729,3,0)</f>
        <v>0</v>
      </c>
      <c r="J146" s="252">
        <f>VLOOKUP($E146,'5.1 Budget'!$A$4:$H$729,4,0)</f>
        <v>0</v>
      </c>
      <c r="K146" s="252">
        <f>VLOOKUP($E146,'5.1 Budget'!$A$4:$H$729,5,0)</f>
        <v>0</v>
      </c>
      <c r="L146" s="252">
        <f>VLOOKUP($E146,'5.1 Budget'!$A$4:$H$729,6,0)</f>
        <v>0</v>
      </c>
      <c r="M146" s="252">
        <f>VLOOKUP($E146,'5.1 Budget'!$A$4:$H$729,7,0)</f>
        <v>0</v>
      </c>
      <c r="N146" s="252">
        <f>VLOOKUP($E146,'5.1 Budget'!$A$4:$H$729,8,0)</f>
        <v>0</v>
      </c>
      <c r="O146" s="254"/>
      <c r="V146" t="str">
        <f>VLOOKUP(D146,'[4]1. Mesures'!$A$1:$B$116,2,0)</f>
        <v xml:space="preserve">Actualiser les conditions de déversement d’eaux usées </v>
      </c>
      <c r="W146" t="str">
        <f>VLOOKUP(B146,[1]HIERARCH!$A$1:$B$57,2,0)</f>
        <v>Assurer la gestion qualitative des masses d'eau de surface</v>
      </c>
    </row>
    <row r="147" spans="1:25" hidden="1" x14ac:dyDescent="0.25">
      <c r="A147" s="249" t="str">
        <f t="shared" si="8"/>
        <v>1</v>
      </c>
      <c r="B147" s="249" t="str">
        <f>VLOOKUP($D147,'[4]1. Mesures'!$A$2:$G$116,6,0)</f>
        <v>OS 1.1</v>
      </c>
      <c r="C147" s="249" t="str">
        <f>VLOOKUP($D147,'[4]1. Mesures'!$A$2:$G$116,7,0)</f>
        <v>OO 1.1.4</v>
      </c>
      <c r="D147" s="249" t="str">
        <f t="shared" si="7"/>
        <v>M 1.13</v>
      </c>
      <c r="E147" s="250" t="s">
        <v>2574</v>
      </c>
      <c r="F147" s="249" t="str">
        <f>VLOOKUP(E147,'5.2 Actions'!$A$3:$B$720,2,0)</f>
        <v xml:space="preserve">Réaliser une campagne de mesures des polluants problématiques (pour une large gamme de paramètres, connus et potentiels) émis dans les eaux usées par les principaux secteurs d’activités de la Région, dont les secteurs industriels et les hôpitaux. </v>
      </c>
      <c r="G147" s="251" t="str">
        <f>VLOOKUP(E147,'[4]5.2 Actions'!$A$3:$D$718,4,0)</f>
        <v>?</v>
      </c>
      <c r="H147" s="252">
        <f>VLOOKUP($E147,'5.1 Budget'!$A$4:$H$729,2,0)</f>
        <v>100000</v>
      </c>
      <c r="I147" s="252">
        <f>VLOOKUP($E147,'5.1 Budget'!$A$4:$H$729,3,0)</f>
        <v>0</v>
      </c>
      <c r="J147" s="252">
        <f>VLOOKUP($E147,'5.1 Budget'!$A$4:$H$729,4,0)</f>
        <v>0</v>
      </c>
      <c r="K147" s="252">
        <f>VLOOKUP($E147,'5.1 Budget'!$A$4:$H$729,5,0)</f>
        <v>0</v>
      </c>
      <c r="L147" s="252">
        <f>VLOOKUP($E147,'5.1 Budget'!$A$4:$H$729,6,0)</f>
        <v>0</v>
      </c>
      <c r="M147" s="252">
        <f>VLOOKUP($E147,'5.1 Budget'!$A$4:$H$729,7,0)</f>
        <v>0</v>
      </c>
      <c r="N147" s="252">
        <f>VLOOKUP($E147,'5.1 Budget'!$A$4:$H$729,8,0)</f>
        <v>100000</v>
      </c>
      <c r="O147" s="254"/>
      <c r="V147" t="str">
        <f>VLOOKUP(D147,'[4]1. Mesures'!$A$1:$B$116,2,0)</f>
        <v xml:space="preserve">Actualiser les conditions de déversement d’eaux usées </v>
      </c>
      <c r="W147" t="str">
        <f>VLOOKUP(B147,[1]HIERARCH!$A$1:$B$57,2,0)</f>
        <v>Assurer la gestion qualitative des masses d'eau de surface</v>
      </c>
    </row>
    <row r="148" spans="1:25" hidden="1" x14ac:dyDescent="0.25">
      <c r="A148" s="249" t="str">
        <f t="shared" si="8"/>
        <v>1</v>
      </c>
      <c r="B148" s="249" t="str">
        <f>VLOOKUP($D148,'[4]1. Mesures'!$A$2:$G$116,6,0)</f>
        <v>OS 1.1</v>
      </c>
      <c r="C148" s="249" t="str">
        <f>VLOOKUP($D148,'[4]1. Mesures'!$A$2:$G$116,7,0)</f>
        <v>OO 1.1.4</v>
      </c>
      <c r="D148" s="249" t="str">
        <f t="shared" si="7"/>
        <v>M 1.13</v>
      </c>
      <c r="E148" s="250" t="s">
        <v>2576</v>
      </c>
      <c r="F148" s="249" t="str">
        <f>VLOOKUP(E148,'5.2 Actions'!$A$3:$B$720,2,0)</f>
        <v xml:space="preserve">Sur base des résultats de l’action 1.13.2, analyser les possibilités de réduction à la source pour l’utilisation et le rejet de certaines substances et évaluer les améliorations possibles de leur traitement  pour fixer des normes acceptables environnementalement et pouvant être respectées techniquement </v>
      </c>
      <c r="G148" s="251" t="str">
        <f>VLOOKUP(E148,'[4]5.2 Actions'!$A$3:$D$718,4,0)</f>
        <v>?</v>
      </c>
      <c r="H148" s="252">
        <f>VLOOKUP($E148,'5.1 Budget'!$A$4:$H$729,2,0)</f>
        <v>0</v>
      </c>
      <c r="I148" s="252">
        <f>VLOOKUP($E148,'5.1 Budget'!$A$4:$H$729,3,0)</f>
        <v>100000</v>
      </c>
      <c r="J148" s="252">
        <f>VLOOKUP($E148,'5.1 Budget'!$A$4:$H$729,4,0)</f>
        <v>0</v>
      </c>
      <c r="K148" s="252">
        <f>VLOOKUP($E148,'5.1 Budget'!$A$4:$H$729,5,0)</f>
        <v>0</v>
      </c>
      <c r="L148" s="252">
        <f>VLOOKUP($E148,'5.1 Budget'!$A$4:$H$729,6,0)</f>
        <v>0</v>
      </c>
      <c r="M148" s="252">
        <f>VLOOKUP($E148,'5.1 Budget'!$A$4:$H$729,7,0)</f>
        <v>0</v>
      </c>
      <c r="N148" s="252">
        <f>VLOOKUP($E148,'5.1 Budget'!$A$4:$H$729,8,0)</f>
        <v>100000</v>
      </c>
      <c r="O148" s="254"/>
      <c r="V148" t="str">
        <f>VLOOKUP(D148,'[4]1. Mesures'!$A$1:$B$116,2,0)</f>
        <v xml:space="preserve">Actualiser les conditions de déversement d’eaux usées </v>
      </c>
      <c r="W148" t="str">
        <f>VLOOKUP(B148,[1]HIERARCH!$A$1:$B$57,2,0)</f>
        <v>Assurer la gestion qualitative des masses d'eau de surface</v>
      </c>
    </row>
    <row r="149" spans="1:25" hidden="1" x14ac:dyDescent="0.25">
      <c r="A149" s="249" t="str">
        <f t="shared" si="8"/>
        <v>1</v>
      </c>
      <c r="B149" s="249" t="str">
        <f>VLOOKUP($D149,'[4]1. Mesures'!$A$2:$G$116,6,0)</f>
        <v>OS 1.1</v>
      </c>
      <c r="C149" s="249" t="str">
        <f>VLOOKUP($D149,'[4]1. Mesures'!$A$2:$G$116,7,0)</f>
        <v>OO 1.1.4</v>
      </c>
      <c r="D149" s="249" t="str">
        <f t="shared" si="7"/>
        <v>M 1.13</v>
      </c>
      <c r="E149" s="250" t="s">
        <v>2578</v>
      </c>
      <c r="F149" s="249" t="str">
        <f>VLOOKUP(E149,'5.2 Actions'!$A$3:$B$720,2,0)</f>
        <v>Proposer un arrêté du Gouvernement actualisant les conditions générales de déversement d’eaux usées, en établissant un lien avec les objectifs de qualité des eaux de surface lorsque le rejet a lieu dans une eau de surface</v>
      </c>
      <c r="G149" s="251" t="str">
        <f>VLOOKUP(E149,'[4]5.2 Actions'!$A$3:$D$718,4,0)</f>
        <v>?</v>
      </c>
      <c r="H149" s="252">
        <f>VLOOKUP($E149,'5.1 Budget'!$A$4:$H$729,2,0)</f>
        <v>0</v>
      </c>
      <c r="I149" s="252">
        <f>VLOOKUP($E149,'5.1 Budget'!$A$4:$H$729,3,0)</f>
        <v>0</v>
      </c>
      <c r="J149" s="252">
        <f>VLOOKUP($E149,'5.1 Budget'!$A$4:$H$729,4,0)</f>
        <v>0</v>
      </c>
      <c r="K149" s="252">
        <f>VLOOKUP($E149,'5.1 Budget'!$A$4:$H$729,5,0)</f>
        <v>0</v>
      </c>
      <c r="L149" s="252">
        <f>VLOOKUP($E149,'5.1 Budget'!$A$4:$H$729,6,0)</f>
        <v>0</v>
      </c>
      <c r="M149" s="252">
        <f>VLOOKUP($E149,'5.1 Budget'!$A$4:$H$729,7,0)</f>
        <v>0</v>
      </c>
      <c r="N149" s="252">
        <f>VLOOKUP($E149,'5.1 Budget'!$A$4:$H$729,8,0)</f>
        <v>0</v>
      </c>
      <c r="O149" s="254"/>
      <c r="V149" t="str">
        <f>VLOOKUP(D149,'[4]1. Mesures'!$A$1:$B$116,2,0)</f>
        <v xml:space="preserve">Actualiser les conditions de déversement d’eaux usées </v>
      </c>
      <c r="W149" t="str">
        <f>VLOOKUP(B149,[1]HIERARCH!$A$1:$B$57,2,0)</f>
        <v>Assurer la gestion qualitative des masses d'eau de surface</v>
      </c>
    </row>
    <row r="150" spans="1:25" hidden="1" x14ac:dyDescent="0.25">
      <c r="A150" s="249" t="str">
        <f t="shared" si="8"/>
        <v>1</v>
      </c>
      <c r="B150" s="249" t="str">
        <f>VLOOKUP($D150,'[4]1. Mesures'!$A$2:$G$116,6,0)</f>
        <v>OS 1.1</v>
      </c>
      <c r="C150" s="249" t="str">
        <f>VLOOKUP($D150,'[4]1. Mesures'!$A$2:$G$116,7,0)</f>
        <v>OO 1.1.4</v>
      </c>
      <c r="D150" s="249" t="str">
        <f t="shared" si="7"/>
        <v>M 1.13</v>
      </c>
      <c r="E150" s="250" t="s">
        <v>2580</v>
      </c>
      <c r="F150" s="249" t="str">
        <f>VLOOKUP(E150,'5.2 Actions'!$A$3:$B$720,2,0)</f>
        <v>Actualiser les normes de rejet spécifiques dans le cadre des permis d’environnement et inclure l’obligation d’un automonitoring des eaux usées déversées dans les permis d’environnement pour certaines substances et industries pertinentes</v>
      </c>
      <c r="G150" s="251" t="str">
        <f>VLOOKUP(E150,'[4]5.2 Actions'!$A$3:$D$718,4,0)</f>
        <v>?</v>
      </c>
      <c r="H150" s="252">
        <f>VLOOKUP($E150,'5.1 Budget'!$A$4:$H$729,2,0)</f>
        <v>0</v>
      </c>
      <c r="I150" s="252">
        <f>VLOOKUP($E150,'5.1 Budget'!$A$4:$H$729,3,0)</f>
        <v>0</v>
      </c>
      <c r="J150" s="252">
        <f>VLOOKUP($E150,'5.1 Budget'!$A$4:$H$729,4,0)</f>
        <v>0</v>
      </c>
      <c r="K150" s="252">
        <f>VLOOKUP($E150,'5.1 Budget'!$A$4:$H$729,5,0)</f>
        <v>0</v>
      </c>
      <c r="L150" s="252">
        <f>VLOOKUP($E150,'5.1 Budget'!$A$4:$H$729,6,0)</f>
        <v>0</v>
      </c>
      <c r="M150" s="252">
        <f>VLOOKUP($E150,'5.1 Budget'!$A$4:$H$729,7,0)</f>
        <v>0</v>
      </c>
      <c r="N150" s="252">
        <f>VLOOKUP($E150,'5.1 Budget'!$A$4:$H$729,8,0)</f>
        <v>0</v>
      </c>
      <c r="O150" s="254"/>
      <c r="V150" t="str">
        <f>VLOOKUP(D150,'[4]1. Mesures'!$A$1:$B$116,2,0)</f>
        <v xml:space="preserve">Actualiser les conditions de déversement d’eaux usées </v>
      </c>
      <c r="W150" t="str">
        <f>VLOOKUP(B150,[1]HIERARCH!$A$1:$B$57,2,0)</f>
        <v>Assurer la gestion qualitative des masses d'eau de surface</v>
      </c>
    </row>
    <row r="151" spans="1:25" hidden="1" x14ac:dyDescent="0.25">
      <c r="A151" s="249" t="str">
        <f t="shared" si="8"/>
        <v>1</v>
      </c>
      <c r="B151" s="249" t="str">
        <f>VLOOKUP($D151,'[4]1. Mesures'!$A$2:$G$116,6,0)</f>
        <v>OS 1.1</v>
      </c>
      <c r="C151" s="249" t="str">
        <f>VLOOKUP($D151,'[4]1. Mesures'!$A$2:$G$116,7,0)</f>
        <v>OO 1.1.4</v>
      </c>
      <c r="D151" s="249" t="str">
        <f t="shared" si="7"/>
        <v>M 1.14</v>
      </c>
      <c r="E151" s="250" t="s">
        <v>675</v>
      </c>
      <c r="F151" s="249" t="str">
        <f>VLOOKUP(E151,'5.2 Actions'!$A$3:$B$720,2,0)</f>
        <v>Identifier les entreprises qui rejettent directement des eaux non domestiques dans les eaux de surface et encoder l’information dans la base de données des permis d’environnement</v>
      </c>
      <c r="G151" s="251" t="str">
        <f>VLOOKUP(E151,'[4]5.2 Actions'!$A$3:$D$718,4,0)</f>
        <v>SEN / WOL / CAN</v>
      </c>
      <c r="H151" s="252">
        <f>VLOOKUP($E151,'5.1 Budget'!$A$4:$H$729,2,0)</f>
        <v>0</v>
      </c>
      <c r="I151" s="252">
        <f>VLOOKUP($E151,'5.1 Budget'!$A$4:$H$729,3,0)</f>
        <v>0</v>
      </c>
      <c r="J151" s="252">
        <f>VLOOKUP($E151,'5.1 Budget'!$A$4:$H$729,4,0)</f>
        <v>0</v>
      </c>
      <c r="K151" s="252">
        <f>VLOOKUP($E151,'5.1 Budget'!$A$4:$H$729,5,0)</f>
        <v>0</v>
      </c>
      <c r="L151" s="252">
        <f>VLOOKUP($E151,'5.1 Budget'!$A$4:$H$729,6,0)</f>
        <v>0</v>
      </c>
      <c r="M151" s="252">
        <f>VLOOKUP($E151,'5.1 Budget'!$A$4:$H$729,7,0)</f>
        <v>0</v>
      </c>
      <c r="N151" s="252">
        <f>VLOOKUP($E151,'5.1 Budget'!$A$4:$H$729,8,0)</f>
        <v>0</v>
      </c>
      <c r="O151" s="254"/>
      <c r="V151" t="str">
        <f>VLOOKUP(D151,'[4]1. Mesures'!$A$1:$B$116,2,0)</f>
        <v>Assurer un contrôle réglementaire sur le respect des normes de rejet en eaux de surface et en égout</v>
      </c>
      <c r="W151" t="str">
        <f>VLOOKUP(B151,[1]HIERARCH!$A$1:$B$57,2,0)</f>
        <v>Assurer la gestion qualitative des masses d'eau de surface</v>
      </c>
      <c r="X151" t="str">
        <f>VLOOKUP(C151,[1]HIERARCH!$A$2:$B$57,2,0)</f>
        <v>Réduire les émissions de polluants à la source (sources ponctuelles et diffuses)</v>
      </c>
      <c r="Y151" t="str">
        <f t="shared" si="9"/>
        <v>Identifier les entreprises qui rejettent directement des eaux non domestiques dans les eaux de surface et encoder l’info…</v>
      </c>
    </row>
    <row r="152" spans="1:25" hidden="1" x14ac:dyDescent="0.25">
      <c r="A152" s="249" t="str">
        <f t="shared" si="8"/>
        <v>1</v>
      </c>
      <c r="B152" s="249" t="str">
        <f>VLOOKUP($D152,'[4]1. Mesures'!$A$2:$G$116,6,0)</f>
        <v>OS 1.1</v>
      </c>
      <c r="C152" s="249" t="str">
        <f>VLOOKUP($D152,'[4]1. Mesures'!$A$2:$G$116,7,0)</f>
        <v>OO 1.1.4</v>
      </c>
      <c r="D152" s="249" t="str">
        <f t="shared" si="7"/>
        <v>M 1.14</v>
      </c>
      <c r="E152" s="250" t="s">
        <v>678</v>
      </c>
      <c r="F152" s="249" t="str">
        <f>VLOOKUP(E152,'5.2 Actions'!$A$3:$B$720,2,0)</f>
        <v>Sur base des résultats de l’analyse de secteurs (mesure 1.13.2), sélection des secteurs les plus problématiques et proposition de priorisation par secteur</v>
      </c>
      <c r="G152" s="251" t="str">
        <f>VLOOKUP(E152,'[4]5.2 Actions'!$A$3:$D$718,4,0)</f>
        <v>SEN / WOL / CAN</v>
      </c>
      <c r="H152" s="252">
        <f>VLOOKUP($E152,'5.1 Budget'!$A$4:$H$729,2,0)</f>
        <v>0</v>
      </c>
      <c r="I152" s="252">
        <f>VLOOKUP($E152,'5.1 Budget'!$A$4:$H$729,3,0)</f>
        <v>0</v>
      </c>
      <c r="J152" s="252">
        <f>VLOOKUP($E152,'5.1 Budget'!$A$4:$H$729,4,0)</f>
        <v>0</v>
      </c>
      <c r="K152" s="252">
        <f>VLOOKUP($E152,'5.1 Budget'!$A$4:$H$729,5,0)</f>
        <v>0</v>
      </c>
      <c r="L152" s="252">
        <f>VLOOKUP($E152,'5.1 Budget'!$A$4:$H$729,6,0)</f>
        <v>0</v>
      </c>
      <c r="M152" s="252">
        <f>VLOOKUP($E152,'5.1 Budget'!$A$4:$H$729,7,0)</f>
        <v>0</v>
      </c>
      <c r="N152" s="252">
        <f>VLOOKUP($E152,'5.1 Budget'!$A$4:$H$729,8,0)</f>
        <v>0</v>
      </c>
      <c r="O152" s="254"/>
      <c r="V152" t="str">
        <f>VLOOKUP(D152,'[4]1. Mesures'!$A$1:$B$116,2,0)</f>
        <v>Assurer un contrôle réglementaire sur le respect des normes de rejet en eaux de surface et en égout</v>
      </c>
      <c r="W152" t="str">
        <f>VLOOKUP(B152,[1]HIERARCH!$A$1:$B$57,2,0)</f>
        <v>Assurer la gestion qualitative des masses d'eau de surface</v>
      </c>
      <c r="X152" t="str">
        <f>VLOOKUP(C152,[1]HIERARCH!$A$2:$B$57,2,0)</f>
        <v>Réduire les émissions de polluants à la source (sources ponctuelles et diffuses)</v>
      </c>
      <c r="Y152" t="str">
        <f t="shared" si="9"/>
        <v>Sur base des résultats de l’analyse de secteurs (mesure 1.13.2), sélection des secteurs les plus problématiques et propo…</v>
      </c>
    </row>
    <row r="153" spans="1:25" hidden="1" x14ac:dyDescent="0.25">
      <c r="A153" s="249" t="str">
        <f t="shared" si="8"/>
        <v>1</v>
      </c>
      <c r="B153" s="249" t="str">
        <f>VLOOKUP($D153,'[4]1. Mesures'!$A$2:$G$116,6,0)</f>
        <v>OS 1.1</v>
      </c>
      <c r="C153" s="249" t="str">
        <f>VLOOKUP($D153,'[4]1. Mesures'!$A$2:$G$116,7,0)</f>
        <v>OO 1.1.4</v>
      </c>
      <c r="D153" s="249" t="str">
        <f t="shared" si="7"/>
        <v>M 1.14</v>
      </c>
      <c r="E153" s="250" t="s">
        <v>676</v>
      </c>
      <c r="F153" s="249" t="str">
        <f>VLOOKUP(E153,'5.2 Actions'!$A$3:$B$720,2,0)</f>
        <v xml:space="preserve">Recenser, dans la base de données des permis d’environnement, les installations classées dont les rejets sont potentiellement problématiques au regard des objectifs de qualité des eaux de surface afin de permettre un contrôle ciblé de celles-ci.  </v>
      </c>
      <c r="G153" s="251" t="str">
        <f>VLOOKUP(E153,'[4]5.2 Actions'!$A$3:$D$718,4,0)</f>
        <v>SEN / WOL / CAN</v>
      </c>
      <c r="H153" s="252">
        <f>VLOOKUP($E153,'5.1 Budget'!$A$4:$H$729,2,0)</f>
        <v>0</v>
      </c>
      <c r="I153" s="252">
        <f>VLOOKUP($E153,'5.1 Budget'!$A$4:$H$729,3,0)</f>
        <v>0</v>
      </c>
      <c r="J153" s="252">
        <f>VLOOKUP($E153,'5.1 Budget'!$A$4:$H$729,4,0)</f>
        <v>0</v>
      </c>
      <c r="K153" s="252">
        <f>VLOOKUP($E153,'5.1 Budget'!$A$4:$H$729,5,0)</f>
        <v>0</v>
      </c>
      <c r="L153" s="252">
        <f>VLOOKUP($E153,'5.1 Budget'!$A$4:$H$729,6,0)</f>
        <v>0</v>
      </c>
      <c r="M153" s="252">
        <f>VLOOKUP($E153,'5.1 Budget'!$A$4:$H$729,7,0)</f>
        <v>0</v>
      </c>
      <c r="N153" s="252">
        <f>VLOOKUP($E153,'5.1 Budget'!$A$4:$H$729,8,0)</f>
        <v>0</v>
      </c>
      <c r="O153" s="254"/>
      <c r="V153" t="str">
        <f>VLOOKUP(D153,'[4]1. Mesures'!$A$1:$B$116,2,0)</f>
        <v>Assurer un contrôle réglementaire sur le respect des normes de rejet en eaux de surface et en égout</v>
      </c>
      <c r="W153" t="str">
        <f>VLOOKUP(B153,[1]HIERARCH!$A$1:$B$57,2,0)</f>
        <v>Assurer la gestion qualitative des masses d'eau de surface</v>
      </c>
      <c r="X153" t="str">
        <f>VLOOKUP(C153,[1]HIERARCH!$A$2:$B$57,2,0)</f>
        <v>Réduire les émissions de polluants à la source (sources ponctuelles et diffuses)</v>
      </c>
      <c r="Y153" t="str">
        <f t="shared" si="9"/>
        <v>Recenser, dans la base de données des permis d’environnement, les installations classées dont les rejets sont potentiell…</v>
      </c>
    </row>
    <row r="154" spans="1:25" hidden="1" x14ac:dyDescent="0.25">
      <c r="A154" s="249" t="str">
        <f t="shared" si="8"/>
        <v>1</v>
      </c>
      <c r="B154" s="249" t="str">
        <f>VLOOKUP($D154,'[4]1. Mesures'!$A$2:$G$116,6,0)</f>
        <v>OS 1.1</v>
      </c>
      <c r="C154" s="249" t="str">
        <f>VLOOKUP($D154,'[4]1. Mesures'!$A$2:$G$116,7,0)</f>
        <v>OO 1.1.4</v>
      </c>
      <c r="D154" s="249" t="str">
        <f t="shared" si="7"/>
        <v>M 1.14</v>
      </c>
      <c r="E154" s="250" t="s">
        <v>677</v>
      </c>
      <c r="F154" s="249" t="str">
        <f>VLOOKUP(E154,'5.2 Actions'!$A$3:$B$720,2,0)</f>
        <v>Etablissement d’un programme d’inspection spécifique pour ces installations classées en tenant compte des priorités proposées et réalise progressivement le contrôle les rejets.</v>
      </c>
      <c r="G154" s="251" t="str">
        <f>VLOOKUP(E154,'[4]5.2 Actions'!$A$3:$D$718,4,0)</f>
        <v>SEN / WOL / CAN</v>
      </c>
      <c r="H154" s="252">
        <f>VLOOKUP($E154,'5.1 Budget'!$A$4:$H$729,2,0)</f>
        <v>15000</v>
      </c>
      <c r="I154" s="252">
        <f>VLOOKUP($E154,'5.1 Budget'!$A$4:$H$729,3,0)</f>
        <v>15000</v>
      </c>
      <c r="J154" s="252">
        <f>VLOOKUP($E154,'5.1 Budget'!$A$4:$H$729,4,0)</f>
        <v>15000</v>
      </c>
      <c r="K154" s="252">
        <f>VLOOKUP($E154,'5.1 Budget'!$A$4:$H$729,5,0)</f>
        <v>15000</v>
      </c>
      <c r="L154" s="252">
        <f>VLOOKUP($E154,'5.1 Budget'!$A$4:$H$729,6,0)</f>
        <v>15000</v>
      </c>
      <c r="M154" s="252">
        <f>VLOOKUP($E154,'5.1 Budget'!$A$4:$H$729,7,0)</f>
        <v>15000</v>
      </c>
      <c r="N154" s="252">
        <f>VLOOKUP($E154,'5.1 Budget'!$A$4:$H$729,8,0)</f>
        <v>90000</v>
      </c>
      <c r="O154" s="254"/>
      <c r="V154" t="str">
        <f>VLOOKUP(D154,'[4]1. Mesures'!$A$1:$B$116,2,0)</f>
        <v>Assurer un contrôle réglementaire sur le respect des normes de rejet en eaux de surface et en égout</v>
      </c>
      <c r="W154" t="str">
        <f>VLOOKUP(B154,[1]HIERARCH!$A$1:$B$57,2,0)</f>
        <v>Assurer la gestion qualitative des masses d'eau de surface</v>
      </c>
      <c r="X154" t="str">
        <f>VLOOKUP(C154,[1]HIERARCH!$A$2:$B$57,2,0)</f>
        <v>Réduire les émissions de polluants à la source (sources ponctuelles et diffuses)</v>
      </c>
      <c r="Y154" t="str">
        <f t="shared" si="9"/>
        <v>Etablissement d’un programme d’inspection spécifique pour ces installations classées en tenant compte des priorités prop…</v>
      </c>
    </row>
    <row r="155" spans="1:25" hidden="1" x14ac:dyDescent="0.25">
      <c r="A155" s="249" t="str">
        <f t="shared" si="8"/>
        <v>1</v>
      </c>
      <c r="B155" s="249" t="str">
        <f>VLOOKUP($D155,'[4]1. Mesures'!$A$2:$G$116,6,0)</f>
        <v>OS 1.1</v>
      </c>
      <c r="C155" s="249" t="str">
        <f>VLOOKUP($D155,'[4]1. Mesures'!$A$2:$G$116,7,0)</f>
        <v>OO 1.1.4</v>
      </c>
      <c r="D155" s="249" t="str">
        <f t="shared" si="7"/>
        <v>M 1.15</v>
      </c>
      <c r="E155" s="250" t="s">
        <v>2797</v>
      </c>
      <c r="F155" s="249" t="str">
        <f>VLOOKUP(E155,'5.2 Actions'!$A$3:$B$720,2,0)</f>
        <v xml:space="preserve">Dans le cadre de REACH : 
• Mise en œuvre de la législation REACH : Contrôle et encadrement de l’utilisation/stockage des substances reprises à l’annexe 14 de REACH dans le cadre des permis d’environnement ;
• Identifier les données des permis d’environnement, notamment pour les substances suivantes : Anthracène ; Benzo(a)pyrène ; Benzo(g,h,i)perylène ; Fluoranthène ; Pyrène ; Plomb ; 4-n-nonylphénol ;Di(2-ethylhexyle)-phthalate ; Cadmium ; 1,2,5,6,9,10-hexabromocyclododécane (= alpha- + bêta- + gamma-HBCDD) ; procéder systématiquement à une analyse de risque et fixer les conditions adéquates dans les nouveaux permis ou prolongation de permis.
</v>
      </c>
      <c r="G155" s="251" t="str">
        <f>VLOOKUP(E155,'[4]5.2 Actions'!$A$3:$D$718,4,0)</f>
        <v>?</v>
      </c>
      <c r="H155" s="252">
        <f>VLOOKUP($E155,'5.1 Budget'!$A$4:$H$729,2,0)</f>
        <v>0</v>
      </c>
      <c r="I155" s="252">
        <f>VLOOKUP($E155,'5.1 Budget'!$A$4:$H$729,3,0)</f>
        <v>0</v>
      </c>
      <c r="J155" s="252">
        <f>VLOOKUP($E155,'5.1 Budget'!$A$4:$H$729,4,0)</f>
        <v>0</v>
      </c>
      <c r="K155" s="252">
        <f>VLOOKUP($E155,'5.1 Budget'!$A$4:$H$729,5,0)</f>
        <v>0</v>
      </c>
      <c r="L155" s="252">
        <f>VLOOKUP($E155,'5.1 Budget'!$A$4:$H$729,6,0)</f>
        <v>0</v>
      </c>
      <c r="M155" s="252">
        <f>VLOOKUP($E155,'5.1 Budget'!$A$4:$H$729,7,0)</f>
        <v>0</v>
      </c>
      <c r="N155" s="252">
        <f>VLOOKUP($E155,'5.1 Budget'!$A$4:$H$729,8,0)</f>
        <v>0</v>
      </c>
      <c r="O155" s="254"/>
      <c r="V155" t="str">
        <f>VLOOKUP(D155,'[4]1. Mesures'!$A$1:$B$116,2,0)</f>
        <v xml:space="preserve"> Mettre en œuvre à l’échelle régionale les plans d’actions visant des substances polluantes, émergentes ou non </v>
      </c>
      <c r="W155" t="str">
        <f>VLOOKUP(B155,[1]HIERARCH!$A$1:$B$57,2,0)</f>
        <v>Assurer la gestion qualitative des masses d'eau de surface</v>
      </c>
    </row>
    <row r="156" spans="1:25" hidden="1" x14ac:dyDescent="0.25">
      <c r="A156" s="249" t="str">
        <f t="shared" si="8"/>
        <v>1</v>
      </c>
      <c r="B156" s="249" t="str">
        <f>VLOOKUP($D156,'[4]1. Mesures'!$A$2:$G$116,6,0)</f>
        <v>OS 1.1</v>
      </c>
      <c r="C156" s="249" t="str">
        <f>VLOOKUP($D156,'[4]1. Mesures'!$A$2:$G$116,7,0)</f>
        <v>OO 1.1.4</v>
      </c>
      <c r="D156" s="249" t="str">
        <f t="shared" si="7"/>
        <v>M 1.15</v>
      </c>
      <c r="E156" s="250" t="s">
        <v>2799</v>
      </c>
      <c r="F156" s="249" t="str">
        <f>VLOOKUP(E156,'5.2 Actions'!$A$3:$B$720,2,0)</f>
        <v xml:space="preserve">Dans le cadre du NAPED : 
• Mise en œuvre des mesures du NAPED qui sont du ressort de la Région (lorsqu’il sera adopté). 
• Veiller plus précisément à celles concernant le nonylphénols et le di(2-ethylhexyle)-phthalate 
</v>
      </c>
      <c r="G156" s="251" t="str">
        <f>VLOOKUP(E156,'[4]5.2 Actions'!$A$3:$D$718,4,0)</f>
        <v>?</v>
      </c>
      <c r="H156" s="252">
        <f>VLOOKUP($E156,'5.1 Budget'!$A$4:$H$729,2,0)</f>
        <v>0</v>
      </c>
      <c r="I156" s="252">
        <f>VLOOKUP($E156,'5.1 Budget'!$A$4:$H$729,3,0)</f>
        <v>0</v>
      </c>
      <c r="J156" s="252">
        <f>VLOOKUP($E156,'5.1 Budget'!$A$4:$H$729,4,0)</f>
        <v>0</v>
      </c>
      <c r="K156" s="252">
        <f>VLOOKUP($E156,'5.1 Budget'!$A$4:$H$729,5,0)</f>
        <v>0</v>
      </c>
      <c r="L156" s="252">
        <f>VLOOKUP($E156,'5.1 Budget'!$A$4:$H$729,6,0)</f>
        <v>0</v>
      </c>
      <c r="M156" s="252">
        <f>VLOOKUP($E156,'5.1 Budget'!$A$4:$H$729,7,0)</f>
        <v>0</v>
      </c>
      <c r="N156" s="252">
        <f>VLOOKUP($E156,'5.1 Budget'!$A$4:$H$729,8,0)</f>
        <v>0</v>
      </c>
      <c r="O156" s="254"/>
      <c r="V156" t="str">
        <f>VLOOKUP(D156,'[4]1. Mesures'!$A$1:$B$116,2,0)</f>
        <v xml:space="preserve"> Mettre en œuvre à l’échelle régionale les plans d’actions visant des substances polluantes, émergentes ou non </v>
      </c>
      <c r="W156" t="str">
        <f>VLOOKUP(B156,[1]HIERARCH!$A$1:$B$57,2,0)</f>
        <v>Assurer la gestion qualitative des masses d'eau de surface</v>
      </c>
    </row>
    <row r="157" spans="1:25" hidden="1" x14ac:dyDescent="0.25">
      <c r="A157" s="249" t="str">
        <f t="shared" si="8"/>
        <v>1</v>
      </c>
      <c r="B157" s="249" t="str">
        <f>VLOOKUP($D157,'[4]1. Mesures'!$A$2:$G$116,6,0)</f>
        <v>OS 1.1</v>
      </c>
      <c r="C157" s="249" t="str">
        <f>VLOOKUP($D157,'[4]1. Mesures'!$A$2:$G$116,7,0)</f>
        <v>OO 1.1.4</v>
      </c>
      <c r="D157" s="249" t="str">
        <f t="shared" si="7"/>
        <v>M 1.15</v>
      </c>
      <c r="E157" s="250" t="s">
        <v>2801</v>
      </c>
      <c r="F157" s="249" t="str">
        <f>VLOOKUP(E157,'5.2 Actions'!$A$3:$B$720,2,0)</f>
        <v xml:space="preserve">Dans le cadre de la Convention de Stockholm et du règlement UE en matière de POP et du NIP belge : 
• Soutenir et appliquer les mesures de la convention par le biais des permis d’environnement et des inventaires des émissions (E-PRTR). 
• Veiller plus précisément à celles concernant l’heptachlore et époxyde d’heptachlore ; l’acide perfluorooctane-sulfonique et ses dérivés PCB ; les diphényléthers bromés (= PBDE28 + 47 + 99 + 100 + 153 + 154) ; 1,2,5,6,9,10-l’hexabromocyclododécane (= alpha- + bêta- + gamma-HBCDD) et les dioxines et composés de type dioxine.
</v>
      </c>
      <c r="G157" s="251" t="str">
        <f>VLOOKUP(E157,'[4]5.2 Actions'!$A$3:$D$718,4,0)</f>
        <v>?</v>
      </c>
      <c r="H157" s="252">
        <f>VLOOKUP($E157,'5.1 Budget'!$A$4:$H$729,2,0)</f>
        <v>0</v>
      </c>
      <c r="I157" s="252">
        <f>VLOOKUP($E157,'5.1 Budget'!$A$4:$H$729,3,0)</f>
        <v>0</v>
      </c>
      <c r="J157" s="252">
        <f>VLOOKUP($E157,'5.1 Budget'!$A$4:$H$729,4,0)</f>
        <v>0</v>
      </c>
      <c r="K157" s="252">
        <f>VLOOKUP($E157,'5.1 Budget'!$A$4:$H$729,5,0)</f>
        <v>0</v>
      </c>
      <c r="L157" s="252">
        <f>VLOOKUP($E157,'5.1 Budget'!$A$4:$H$729,6,0)</f>
        <v>0</v>
      </c>
      <c r="M157" s="252">
        <f>VLOOKUP($E157,'5.1 Budget'!$A$4:$H$729,7,0)</f>
        <v>0</v>
      </c>
      <c r="N157" s="252">
        <f>VLOOKUP($E157,'5.1 Budget'!$A$4:$H$729,8,0)</f>
        <v>0</v>
      </c>
      <c r="O157" s="254"/>
      <c r="V157" t="str">
        <f>VLOOKUP(D157,'[4]1. Mesures'!$A$1:$B$116,2,0)</f>
        <v xml:space="preserve"> Mettre en œuvre à l’échelle régionale les plans d’actions visant des substances polluantes, émergentes ou non </v>
      </c>
      <c r="W157" t="str">
        <f>VLOOKUP(B157,[1]HIERARCH!$A$1:$B$57,2,0)</f>
        <v>Assurer la gestion qualitative des masses d'eau de surface</v>
      </c>
    </row>
    <row r="158" spans="1:25" hidden="1" x14ac:dyDescent="0.25">
      <c r="A158" s="249" t="str">
        <f t="shared" si="8"/>
        <v>1</v>
      </c>
      <c r="B158" s="249" t="str">
        <f>VLOOKUP($D158,'[4]1. Mesures'!$A$2:$G$116,6,0)</f>
        <v>OS 1.1</v>
      </c>
      <c r="C158" s="249" t="str">
        <f>VLOOKUP($D158,'[4]1. Mesures'!$A$2:$G$116,7,0)</f>
        <v>OO 1.1.4</v>
      </c>
      <c r="D158" s="249" t="str">
        <f t="shared" si="7"/>
        <v>M 1.15</v>
      </c>
      <c r="E158" s="250" t="s">
        <v>2803</v>
      </c>
      <c r="F158" s="249" t="str">
        <f>VLOOKUP(E158,'5.2 Actions'!$A$3:$B$720,2,0)</f>
        <v xml:space="preserve">Dans le cadre du NAP-AMR : 
• Mise en œuvre des mesures du NAP-AMR. 
</v>
      </c>
      <c r="G158" s="251" t="str">
        <f>VLOOKUP(E158,'[4]5.2 Actions'!$A$3:$D$718,4,0)</f>
        <v>?</v>
      </c>
      <c r="H158" s="252">
        <f>VLOOKUP($E158,'5.1 Budget'!$A$4:$H$729,2,0)</f>
        <v>0</v>
      </c>
      <c r="I158" s="252">
        <f>VLOOKUP($E158,'5.1 Budget'!$A$4:$H$729,3,0)</f>
        <v>0</v>
      </c>
      <c r="J158" s="252">
        <f>VLOOKUP($E158,'5.1 Budget'!$A$4:$H$729,4,0)</f>
        <v>0</v>
      </c>
      <c r="K158" s="252">
        <f>VLOOKUP($E158,'5.1 Budget'!$A$4:$H$729,5,0)</f>
        <v>0</v>
      </c>
      <c r="L158" s="252">
        <f>VLOOKUP($E158,'5.1 Budget'!$A$4:$H$729,6,0)</f>
        <v>0</v>
      </c>
      <c r="M158" s="252">
        <f>VLOOKUP($E158,'5.1 Budget'!$A$4:$H$729,7,0)</f>
        <v>0</v>
      </c>
      <c r="N158" s="252">
        <f>VLOOKUP($E158,'5.1 Budget'!$A$4:$H$729,8,0)</f>
        <v>0</v>
      </c>
      <c r="O158" s="254"/>
      <c r="V158" t="str">
        <f>VLOOKUP(D158,'[4]1. Mesures'!$A$1:$B$116,2,0)</f>
        <v xml:space="preserve"> Mettre en œuvre à l’échelle régionale les plans d’actions visant des substances polluantes, émergentes ou non </v>
      </c>
      <c r="W158" t="str">
        <f>VLOOKUP(B158,[1]HIERARCH!$A$1:$B$57,2,0)</f>
        <v>Assurer la gestion qualitative des masses d'eau de surface</v>
      </c>
    </row>
    <row r="159" spans="1:25" hidden="1" x14ac:dyDescent="0.25">
      <c r="A159" s="249" t="str">
        <f t="shared" si="8"/>
        <v>1</v>
      </c>
      <c r="B159" s="249" t="str">
        <f>VLOOKUP($D159,'[4]1. Mesures'!$A$2:$G$116,6,0)</f>
        <v>OS 1.1</v>
      </c>
      <c r="C159" s="249" t="str">
        <f>VLOOKUP($D159,'[4]1. Mesures'!$A$2:$G$116,7,0)</f>
        <v>OO 1.1.4</v>
      </c>
      <c r="D159" s="249" t="str">
        <f t="shared" si="7"/>
        <v>M 1.15</v>
      </c>
      <c r="E159" s="250" t="s">
        <v>2805</v>
      </c>
      <c r="F159" s="249" t="str">
        <f>VLOOKUP(E159,'5.2 Actions'!$A$3:$B$720,2,0)</f>
        <v xml:space="preserve">Dans le cadre du PRRP et du NAPAN : 
• Mise en œuvre des mesures du PRRP et NAPAN (cf. aussi M 3.6)
• Définition d’une stratégie de monitoring et mise en œuvre d’une campagne de mesure spécifique:
• Définition d’une liste de substances à analyser, au-delà des listes de substances prioritaires et de vigilance européennes faisant déjà l’objet de monitoring, notamment au regard des données disponibles dans les autres régions ;
• Définition des sites les plus à risque (proximité des zones agricoles, proximité des voies ferrées, proximité de terrains de sport engazonnés, etc.)
• Définition du protocole d’échantillonnage (périodes de prélèvement, répétition dans le temps,…)
En cas de pollutions constatées dans les eaux souterraines ou de surface, les causes de celles-ci seront recherchées afin de proposer d’éventuelles mesures de remédiation.
</v>
      </c>
      <c r="G159" s="251" t="str">
        <f>VLOOKUP(E159,'[4]5.2 Actions'!$A$3:$D$718,4,0)</f>
        <v>?</v>
      </c>
      <c r="H159" s="252">
        <f>VLOOKUP($E159,'5.1 Budget'!$A$4:$H$729,2,0)</f>
        <v>0</v>
      </c>
      <c r="I159" s="252">
        <f>VLOOKUP($E159,'5.1 Budget'!$A$4:$H$729,3,0)</f>
        <v>0</v>
      </c>
      <c r="J159" s="252">
        <f>VLOOKUP($E159,'5.1 Budget'!$A$4:$H$729,4,0)</f>
        <v>0</v>
      </c>
      <c r="K159" s="252">
        <f>VLOOKUP($E159,'5.1 Budget'!$A$4:$H$729,5,0)</f>
        <v>0</v>
      </c>
      <c r="L159" s="252">
        <f>VLOOKUP($E159,'5.1 Budget'!$A$4:$H$729,6,0)</f>
        <v>0</v>
      </c>
      <c r="M159" s="252">
        <f>VLOOKUP($E159,'5.1 Budget'!$A$4:$H$729,7,0)</f>
        <v>0</v>
      </c>
      <c r="N159" s="252">
        <f>VLOOKUP($E159,'5.1 Budget'!$A$4:$H$729,8,0)</f>
        <v>0</v>
      </c>
      <c r="O159" s="254"/>
      <c r="V159" t="str">
        <f>VLOOKUP(D159,'[4]1. Mesures'!$A$1:$B$116,2,0)</f>
        <v xml:space="preserve"> Mettre en œuvre à l’échelle régionale les plans d’actions visant des substances polluantes, émergentes ou non </v>
      </c>
      <c r="W159" t="str">
        <f>VLOOKUP(B159,[1]HIERARCH!$A$1:$B$57,2,0)</f>
        <v>Assurer la gestion qualitative des masses d'eau de surface</v>
      </c>
    </row>
    <row r="160" spans="1:25" hidden="1" x14ac:dyDescent="0.25">
      <c r="A160" s="249" t="str">
        <f t="shared" si="8"/>
        <v>1</v>
      </c>
      <c r="B160" s="249" t="str">
        <f>VLOOKUP($D160,'[4]1. Mesures'!$A$2:$G$116,6,0)</f>
        <v>OS 1.1</v>
      </c>
      <c r="C160" s="249" t="str">
        <f>VLOOKUP($D160,'[4]1. Mesures'!$A$2:$G$116,7,0)</f>
        <v>OO 1.1.4</v>
      </c>
      <c r="D160" s="249" t="str">
        <f t="shared" si="7"/>
        <v>M 1.15</v>
      </c>
      <c r="E160" s="250" t="s">
        <v>2807</v>
      </c>
      <c r="F160" s="249" t="str">
        <f>VLOOKUP(E160,'5.2 Actions'!$A$3:$B$720,2,0)</f>
        <v xml:space="preserve">Dans le cadre du PRRP et du NAPAN : 
• Géolocaliser les données d’utilisation des pesticides 
• Analyser ces données avec celles des concentrations dans les eaux
</v>
      </c>
      <c r="G160" s="251" t="str">
        <f>VLOOKUP(E160,'[4]5.2 Actions'!$A$3:$D$718,4,0)</f>
        <v>?</v>
      </c>
      <c r="H160" s="252">
        <f>VLOOKUP($E160,'5.1 Budget'!$A$4:$H$729,2,0)</f>
        <v>0</v>
      </c>
      <c r="I160" s="252">
        <f>VLOOKUP($E160,'5.1 Budget'!$A$4:$H$729,3,0)</f>
        <v>0</v>
      </c>
      <c r="J160" s="252">
        <f>VLOOKUP($E160,'5.1 Budget'!$A$4:$H$729,4,0)</f>
        <v>0</v>
      </c>
      <c r="K160" s="252">
        <f>VLOOKUP($E160,'5.1 Budget'!$A$4:$H$729,5,0)</f>
        <v>0</v>
      </c>
      <c r="L160" s="252">
        <f>VLOOKUP($E160,'5.1 Budget'!$A$4:$H$729,6,0)</f>
        <v>0</v>
      </c>
      <c r="M160" s="252">
        <f>VLOOKUP($E160,'5.1 Budget'!$A$4:$H$729,7,0)</f>
        <v>0</v>
      </c>
      <c r="N160" s="252">
        <f>VLOOKUP($E160,'5.1 Budget'!$A$4:$H$729,8,0)</f>
        <v>0</v>
      </c>
      <c r="O160" s="254"/>
      <c r="V160" t="str">
        <f>VLOOKUP(D160,'[4]1. Mesures'!$A$1:$B$116,2,0)</f>
        <v xml:space="preserve"> Mettre en œuvre à l’échelle régionale les plans d’actions visant des substances polluantes, émergentes ou non </v>
      </c>
      <c r="W160" t="str">
        <f>VLOOKUP(B160,[1]HIERARCH!$A$1:$B$57,2,0)</f>
        <v>Assurer la gestion qualitative des masses d'eau de surface</v>
      </c>
    </row>
    <row r="161" spans="1:25" hidden="1" x14ac:dyDescent="0.25">
      <c r="A161" s="249" t="str">
        <f t="shared" si="8"/>
        <v>1</v>
      </c>
      <c r="B161" s="249" t="str">
        <f>VLOOKUP($D161,'[4]1. Mesures'!$A$2:$G$116,6,0)</f>
        <v>OS 1.1</v>
      </c>
      <c r="C161" s="249" t="str">
        <f>VLOOKUP($D161,'[4]1. Mesures'!$A$2:$G$116,7,0)</f>
        <v>OO 1.1.4</v>
      </c>
      <c r="D161" s="249" t="str">
        <f t="shared" si="7"/>
        <v>M 1.15</v>
      </c>
      <c r="E161" s="250" t="s">
        <v>2809</v>
      </c>
      <c r="F161" s="249" t="str">
        <f>VLOOKUP(E161,'5.2 Actions'!$A$3:$B$720,2,0)</f>
        <v xml:space="preserve">Dans le cadre du PRRP et du NAPAN : 
• Analyser des données scientifiques récentes sur l’efficacité de différentes modalités de zones tampons pour la protection du milieu aquatique ;
• Evaluer des mesures applicables dans d’autres pays et régions ; 
• Uniformiser, dans la mesure du possible, les mesures de réduction du risque pour les organismes aquatiques non cibles à l’échelle du pays, conformément à l’action belge 3.6.1 du NAPAN (Charte pour la lutte contre les dépassements des valeurs de référence des produits phytopharmaceutiques dans les eaux de surface en Belgique, mise en œuvre par le secteur de plans de réduction des émissions (PRE) pour certaines substances actives ;
• Évaluer la pertinence des zones tampons régionales actuellement d’application pour la protection du milieu aquatique pour les adapter, le cas échéant. (en complément de l’action belge 3.6.2 du NAPAN)
</v>
      </c>
      <c r="G161" s="251" t="str">
        <f>VLOOKUP(E161,'[4]5.2 Actions'!$A$3:$D$718,4,0)</f>
        <v>?</v>
      </c>
      <c r="H161" s="252">
        <f>VLOOKUP($E161,'5.1 Budget'!$A$4:$H$729,2,0)</f>
        <v>0</v>
      </c>
      <c r="I161" s="252">
        <f>VLOOKUP($E161,'5.1 Budget'!$A$4:$H$729,3,0)</f>
        <v>0</v>
      </c>
      <c r="J161" s="252">
        <f>VLOOKUP($E161,'5.1 Budget'!$A$4:$H$729,4,0)</f>
        <v>0</v>
      </c>
      <c r="K161" s="252">
        <f>VLOOKUP($E161,'5.1 Budget'!$A$4:$H$729,5,0)</f>
        <v>0</v>
      </c>
      <c r="L161" s="252">
        <f>VLOOKUP($E161,'5.1 Budget'!$A$4:$H$729,6,0)</f>
        <v>0</v>
      </c>
      <c r="M161" s="252">
        <f>VLOOKUP($E161,'5.1 Budget'!$A$4:$H$729,7,0)</f>
        <v>0</v>
      </c>
      <c r="N161" s="252">
        <f>VLOOKUP($E161,'5.1 Budget'!$A$4:$H$729,8,0)</f>
        <v>0</v>
      </c>
      <c r="O161" s="254"/>
      <c r="V161" t="str">
        <f>VLOOKUP(D161,'[4]1. Mesures'!$A$1:$B$116,2,0)</f>
        <v xml:space="preserve"> Mettre en œuvre à l’échelle régionale les plans d’actions visant des substances polluantes, émergentes ou non </v>
      </c>
      <c r="W161" t="str">
        <f>VLOOKUP(B161,[1]HIERARCH!$A$1:$B$57,2,0)</f>
        <v>Assurer la gestion qualitative des masses d'eau de surface</v>
      </c>
    </row>
    <row r="162" spans="1:25" hidden="1" x14ac:dyDescent="0.25">
      <c r="A162" s="249" t="str">
        <f t="shared" si="8"/>
        <v>1</v>
      </c>
      <c r="B162" s="249" t="str">
        <f>VLOOKUP($D162,'[4]1. Mesures'!$A$2:$G$116,6,0)</f>
        <v>OS 1.1</v>
      </c>
      <c r="C162" s="249" t="str">
        <f>VLOOKUP($D162,'[4]1. Mesures'!$A$2:$G$116,7,0)</f>
        <v>OO 1.1.4</v>
      </c>
      <c r="D162" s="249" t="str">
        <f t="shared" si="7"/>
        <v>M 1.15</v>
      </c>
      <c r="E162" s="250" t="s">
        <v>2811</v>
      </c>
      <c r="F162" s="249" t="str">
        <f>VLOOKUP(E162,'5.2 Actions'!$A$3:$B$720,2,0)</f>
        <v xml:space="preserve">Dans le cadre du Plan Climat Energie bruxellois:
• Faire le suivi de la mise en œuvre quant à l’impact sur la qualité des masses d’eau
• Réduire sur le territoire régional la combustion de pétrole (essence, diesel, mazout), de charbon et de bois ou encore l’incinération de déchets - contribuera à réduire les émissions de substances déclassant l’état chimique : les HAPs (Benzo(g,h,i)perylène, le fluoranthène, le benzo(a)pyrène, l'anthracène et le pyrène) et les métaux lourds (cadmium, plomb, nickel, cadmium, zinc) 
En addition de ce Plan Climat Energie, une analyse croisée des données de l’inventaire des émissions atmosphériques couvrant la période 1990-2019 réalisé par le département Evaluation Air Climat Energie et de celles de la qualité des eaux de surface pourrait être réalisée.
</v>
      </c>
      <c r="G162" s="251" t="str">
        <f>VLOOKUP(E162,'[4]5.2 Actions'!$A$3:$D$718,4,0)</f>
        <v>?</v>
      </c>
      <c r="H162" s="252">
        <f>VLOOKUP($E162,'5.1 Budget'!$A$4:$H$729,2,0)</f>
        <v>0</v>
      </c>
      <c r="I162" s="252">
        <f>VLOOKUP($E162,'5.1 Budget'!$A$4:$H$729,3,0)</f>
        <v>0</v>
      </c>
      <c r="J162" s="252">
        <f>VLOOKUP($E162,'5.1 Budget'!$A$4:$H$729,4,0)</f>
        <v>0</v>
      </c>
      <c r="K162" s="252">
        <f>VLOOKUP($E162,'5.1 Budget'!$A$4:$H$729,5,0)</f>
        <v>0</v>
      </c>
      <c r="L162" s="252">
        <f>VLOOKUP($E162,'5.1 Budget'!$A$4:$H$729,6,0)</f>
        <v>0</v>
      </c>
      <c r="M162" s="252">
        <f>VLOOKUP($E162,'5.1 Budget'!$A$4:$H$729,7,0)</f>
        <v>0</v>
      </c>
      <c r="N162" s="252">
        <f>VLOOKUP($E162,'5.1 Budget'!$A$4:$H$729,8,0)</f>
        <v>0</v>
      </c>
      <c r="O162" s="254"/>
      <c r="V162" t="str">
        <f>VLOOKUP(D162,'[4]1. Mesures'!$A$1:$B$116,2,0)</f>
        <v xml:space="preserve"> Mettre en œuvre à l’échelle régionale les plans d’actions visant des substances polluantes, émergentes ou non </v>
      </c>
      <c r="W162" t="str">
        <f>VLOOKUP(B162,[1]HIERARCH!$A$1:$B$57,2,0)</f>
        <v>Assurer la gestion qualitative des masses d'eau de surface</v>
      </c>
    </row>
    <row r="163" spans="1:25" hidden="1" x14ac:dyDescent="0.25">
      <c r="A163" s="249" t="str">
        <f t="shared" si="8"/>
        <v>1</v>
      </c>
      <c r="B163" s="249" t="str">
        <f>VLOOKUP($D163,'[4]1. Mesures'!$A$2:$G$116,6,0)</f>
        <v>OS 1.1</v>
      </c>
      <c r="C163" s="249" t="str">
        <f>VLOOKUP($D163,'[4]1. Mesures'!$A$2:$G$116,7,0)</f>
        <v>OO 1.1.4</v>
      </c>
      <c r="D163" s="249" t="str">
        <f t="shared" si="7"/>
        <v>M 1.15</v>
      </c>
      <c r="E163" s="250" t="s">
        <v>2813</v>
      </c>
      <c r="F163" s="249" t="str">
        <f>VLOOKUP(E163,'5.2 Actions'!$A$3:$B$720,2,0)</f>
        <v xml:space="preserve">Dans le cadre du règlement UE sur le mercure
Si à ce jour, aucune activité industrielle présente sur le territoire bruxellois n’est sujette au règlement UE, il y a lieu de suivre l’exploitation de l’incinérateur de déchets urbains au niveau des émissions et des meilleures techniques disponibles au sens de l’article 8 de la Convention de Minamata.
</v>
      </c>
      <c r="G163" s="251" t="str">
        <f>VLOOKUP(E163,'[4]5.2 Actions'!$A$3:$D$718,4,0)</f>
        <v>?</v>
      </c>
      <c r="H163" s="252">
        <f>VLOOKUP($E163,'5.1 Budget'!$A$4:$H$729,2,0)</f>
        <v>0</v>
      </c>
      <c r="I163" s="252">
        <f>VLOOKUP($E163,'5.1 Budget'!$A$4:$H$729,3,0)</f>
        <v>0</v>
      </c>
      <c r="J163" s="252">
        <f>VLOOKUP($E163,'5.1 Budget'!$A$4:$H$729,4,0)</f>
        <v>0</v>
      </c>
      <c r="K163" s="252">
        <f>VLOOKUP($E163,'5.1 Budget'!$A$4:$H$729,5,0)</f>
        <v>0</v>
      </c>
      <c r="L163" s="252">
        <f>VLOOKUP($E163,'5.1 Budget'!$A$4:$H$729,6,0)</f>
        <v>0</v>
      </c>
      <c r="M163" s="252">
        <f>VLOOKUP($E163,'5.1 Budget'!$A$4:$H$729,7,0)</f>
        <v>0</v>
      </c>
      <c r="N163" s="252">
        <f>VLOOKUP($E163,'5.1 Budget'!$A$4:$H$729,8,0)</f>
        <v>0</v>
      </c>
      <c r="O163" s="254"/>
      <c r="V163" t="str">
        <f>VLOOKUP(D163,'[4]1. Mesures'!$A$1:$B$116,2,0)</f>
        <v xml:space="preserve"> Mettre en œuvre à l’échelle régionale les plans d’actions visant des substances polluantes, émergentes ou non </v>
      </c>
      <c r="W163" t="str">
        <f>VLOOKUP(B163,[1]HIERARCH!$A$1:$B$57,2,0)</f>
        <v>Assurer la gestion qualitative des masses d'eau de surface</v>
      </c>
    </row>
    <row r="164" spans="1:25" hidden="1" x14ac:dyDescent="0.25">
      <c r="A164" s="249" t="str">
        <f>LEFT(E164,1)</f>
        <v>1</v>
      </c>
      <c r="B164" s="249" t="str">
        <f>VLOOKUP($D164,'[4]1. Mesures'!$A$2:$G$116,6,0)</f>
        <v>OS 1.1</v>
      </c>
      <c r="C164" s="249" t="str">
        <f>VLOOKUP($D164,'[4]1. Mesures'!$A$2:$G$116,7,0)</f>
        <v>OO 1.1.4</v>
      </c>
      <c r="D164" s="249" t="str">
        <f>"M"&amp;" "&amp;LEFT(E164,4)</f>
        <v>M 1.16</v>
      </c>
      <c r="E164" s="250" t="s">
        <v>679</v>
      </c>
      <c r="F164" s="249" t="str">
        <f>VLOOKUP(E164,'5.2 Actions'!$A$3:$B$720,2,0)</f>
        <v>Mener une étude des sédiments présents sur les 2 tronçons de la Senne qui n’ont pas encore été curés : Aquiris et Buda (bathymétrie et qualité des sédiments)</v>
      </c>
      <c r="G164" s="251" t="str">
        <f>VLOOKUP(E164,'[4]5.2 Actions'!$A$3:$D$718,4,0)</f>
        <v>SEN</v>
      </c>
      <c r="H164" s="252">
        <f>VLOOKUP($E164,'5.1 Budget'!$A$4:$H$729,2,0)</f>
        <v>0</v>
      </c>
      <c r="I164" s="252">
        <f>VLOOKUP($E164,'5.1 Budget'!$A$4:$H$729,3,0)</f>
        <v>0</v>
      </c>
      <c r="J164" s="252">
        <f>VLOOKUP($E164,'5.1 Budget'!$A$4:$H$729,4,0)</f>
        <v>0</v>
      </c>
      <c r="K164" s="252">
        <f>VLOOKUP($E164,'5.1 Budget'!$A$4:$H$729,5,0)</f>
        <v>50000</v>
      </c>
      <c r="L164" s="252">
        <f>VLOOKUP($E164,'5.1 Budget'!$A$4:$H$729,6,0)</f>
        <v>0</v>
      </c>
      <c r="M164" s="252">
        <f>VLOOKUP($E164,'5.1 Budget'!$A$4:$H$729,7,0)</f>
        <v>0</v>
      </c>
      <c r="N164" s="252">
        <f>VLOOKUP($E164,'5.1 Budget'!$A$4:$H$729,8,0)</f>
        <v>50000</v>
      </c>
      <c r="O164" s="254"/>
      <c r="V164" t="str">
        <f>VLOOKUP(D164,'[4]1. Mesures'!$A$1:$B$116,2,0)</f>
        <v xml:space="preserve"> Réaliser le curage sur les derniers tronçons du réseau hydrographique pour enlever la pollution «historique »</v>
      </c>
      <c r="W164" t="str">
        <f>VLOOKUP(B164,[1]HIERARCH!$A$1:$B$57,2,0)</f>
        <v>Assurer la gestion qualitative des masses d'eau de surface</v>
      </c>
      <c r="X164" t="str">
        <f>VLOOKUP(C164,[1]HIERARCH!$A$2:$B$57,2,0)</f>
        <v>Réduire les émissions de polluants à la source (sources ponctuelles et diffuses)</v>
      </c>
      <c r="Y164" t="str">
        <f>LEFT(F164,120)&amp;"…"</f>
        <v>Mener une étude des sédiments présents sur les 2 tronçons de la Senne qui n’ont pas encore été curés : Aquiris et Buda (…</v>
      </c>
    </row>
    <row r="165" spans="1:25" hidden="1" x14ac:dyDescent="0.25">
      <c r="A165" s="249" t="str">
        <f>LEFT(E165,1)</f>
        <v>1</v>
      </c>
      <c r="B165" s="249" t="str">
        <f>VLOOKUP($D165,'[4]1. Mesures'!$A$2:$G$116,6,0)</f>
        <v>OS 1.1</v>
      </c>
      <c r="C165" s="249" t="str">
        <f>VLOOKUP($D165,'[4]1. Mesures'!$A$2:$G$116,7,0)</f>
        <v>OO 1.1.4</v>
      </c>
      <c r="D165" s="249" t="str">
        <f>"M"&amp;" "&amp;LEFT(E165,4)</f>
        <v>M 1.16</v>
      </c>
      <c r="E165" s="250" t="s">
        <v>680</v>
      </c>
      <c r="F165" s="249" t="str">
        <f>VLOOKUP(E165,'5.2 Actions'!$A$3:$B$720,2,0)</f>
        <v>Curer le tronçon ‘Aquiris’ et éliminer les boues polluées (Senne)</v>
      </c>
      <c r="G165" s="251" t="str">
        <f>VLOOKUP(E165,'[4]5.2 Actions'!$A$3:$D$718,4,0)</f>
        <v>SEN</v>
      </c>
      <c r="H165" s="252">
        <f>VLOOKUP($E165,'5.1 Budget'!$A$4:$H$729,2,0)</f>
        <v>0</v>
      </c>
      <c r="I165" s="252">
        <f>VLOOKUP($E165,'5.1 Budget'!$A$4:$H$729,3,0)</f>
        <v>0</v>
      </c>
      <c r="J165" s="252">
        <f>VLOOKUP($E165,'5.1 Budget'!$A$4:$H$729,4,0)</f>
        <v>0</v>
      </c>
      <c r="K165" s="252">
        <f>VLOOKUP($E165,'5.1 Budget'!$A$4:$H$729,5,0)</f>
        <v>0</v>
      </c>
      <c r="L165" s="252">
        <f>VLOOKUP($E165,'5.1 Budget'!$A$4:$H$729,6,0)</f>
        <v>750000</v>
      </c>
      <c r="M165" s="252">
        <f>VLOOKUP($E165,'5.1 Budget'!$A$4:$H$729,7,0)</f>
        <v>0</v>
      </c>
      <c r="N165" s="252">
        <f>VLOOKUP($E165,'5.1 Budget'!$A$4:$H$729,8,0)</f>
        <v>750000</v>
      </c>
      <c r="O165" s="254"/>
      <c r="V165" t="str">
        <f>VLOOKUP(D165,'[4]1. Mesures'!$A$1:$B$116,2,0)</f>
        <v xml:space="preserve"> Réaliser le curage sur les derniers tronçons du réseau hydrographique pour enlever la pollution «historique »</v>
      </c>
      <c r="W165" t="str">
        <f>VLOOKUP(B165,[1]HIERARCH!$A$1:$B$57,2,0)</f>
        <v>Assurer la gestion qualitative des masses d'eau de surface</v>
      </c>
      <c r="X165" t="str">
        <f>VLOOKUP(C165,[1]HIERARCH!$A$2:$B$57,2,0)</f>
        <v>Réduire les émissions de polluants à la source (sources ponctuelles et diffuses)</v>
      </c>
      <c r="Y165" t="str">
        <f>LEFT(F165,120)&amp;"…"</f>
        <v>Curer le tronçon ‘Aquiris’ et éliminer les boues polluées (Senne)…</v>
      </c>
    </row>
    <row r="166" spans="1:25" hidden="1" x14ac:dyDescent="0.25">
      <c r="A166" s="249" t="str">
        <f>LEFT(E166,1)</f>
        <v>1</v>
      </c>
      <c r="B166" s="249" t="str">
        <f>VLOOKUP($D166,'[4]1. Mesures'!$A$2:$G$116,6,0)</f>
        <v>OS 1.1</v>
      </c>
      <c r="C166" s="249" t="str">
        <f>VLOOKUP($D166,'[4]1. Mesures'!$A$2:$G$116,7,0)</f>
        <v>OO 1.1.4</v>
      </c>
      <c r="D166" s="249" t="str">
        <f>"M"&amp;" "&amp;LEFT(E166,4)</f>
        <v>M 1.16</v>
      </c>
      <c r="E166" s="250" t="s">
        <v>681</v>
      </c>
      <c r="F166" s="249" t="str">
        <f>VLOOKUP(E166,'5.2 Actions'!$A$3:$B$720,2,0)</f>
        <v>Curer le tronçon ‘Buda’ et éliminer les boues polluées (Senne)</v>
      </c>
      <c r="G166" s="251" t="str">
        <f>VLOOKUP(E166,'[4]5.2 Actions'!$A$3:$D$718,4,0)</f>
        <v>SEN</v>
      </c>
      <c r="H166" s="252">
        <f>VLOOKUP($E166,'5.1 Budget'!$A$4:$H$729,2,0)</f>
        <v>0</v>
      </c>
      <c r="I166" s="252">
        <f>VLOOKUP($E166,'5.1 Budget'!$A$4:$H$729,3,0)</f>
        <v>0</v>
      </c>
      <c r="J166" s="252">
        <f>VLOOKUP($E166,'5.1 Budget'!$A$4:$H$729,4,0)</f>
        <v>0</v>
      </c>
      <c r="K166" s="252">
        <f>VLOOKUP($E166,'5.1 Budget'!$A$4:$H$729,5,0)</f>
        <v>0</v>
      </c>
      <c r="L166" s="252">
        <f>VLOOKUP($E166,'5.1 Budget'!$A$4:$H$729,6,0)</f>
        <v>850000</v>
      </c>
      <c r="M166" s="252">
        <f>VLOOKUP($E166,'5.1 Budget'!$A$4:$H$729,7,0)</f>
        <v>0</v>
      </c>
      <c r="N166" s="252">
        <f>VLOOKUP($E166,'5.1 Budget'!$A$4:$H$729,8,0)</f>
        <v>850000</v>
      </c>
      <c r="O166" s="254"/>
      <c r="V166" t="str">
        <f>VLOOKUP(D166,'[4]1. Mesures'!$A$1:$B$116,2,0)</f>
        <v xml:space="preserve"> Réaliser le curage sur les derniers tronçons du réseau hydrographique pour enlever la pollution «historique »</v>
      </c>
      <c r="W166" t="str">
        <f>VLOOKUP(B166,[1]HIERARCH!$A$1:$B$57,2,0)</f>
        <v>Assurer la gestion qualitative des masses d'eau de surface</v>
      </c>
      <c r="X166" t="str">
        <f>VLOOKUP(C166,[1]HIERARCH!$A$2:$B$57,2,0)</f>
        <v>Réduire les émissions de polluants à la source (sources ponctuelles et diffuses)</v>
      </c>
      <c r="Y166" t="str">
        <f>LEFT(F166,120)&amp;"…"</f>
        <v>Curer le tronçon ‘Buda’ et éliminer les boues polluées (Senne)…</v>
      </c>
    </row>
    <row r="167" spans="1:25" hidden="1" x14ac:dyDescent="0.25">
      <c r="A167" s="249" t="str">
        <f>LEFT(E167,1)</f>
        <v>1</v>
      </c>
      <c r="B167" s="249" t="str">
        <f>VLOOKUP($D167,'[4]1. Mesures'!$A$2:$G$116,6,0)</f>
        <v>OS 1.1</v>
      </c>
      <c r="C167" s="249" t="str">
        <f>VLOOKUP($D167,'[4]1. Mesures'!$A$2:$G$116,7,0)</f>
        <v>OO 1.1.4</v>
      </c>
      <c r="D167" s="249" t="str">
        <f>"M"&amp;" "&amp;LEFT(E167,4)</f>
        <v>M 1.16</v>
      </c>
      <c r="E167" s="250" t="s">
        <v>682</v>
      </c>
      <c r="F167" s="249" t="str">
        <f>VLOOKUP(E167,'5.2 Actions'!$A$3:$B$720,2,0)</f>
        <v>Etablir une base de données des curages réalisés (en tant qu’outil de planification future)</v>
      </c>
      <c r="G167" s="251" t="str">
        <f>VLOOKUP(E167,'[4]5.2 Actions'!$A$3:$D$718,4,0)</f>
        <v>SEN / WOL / CAN</v>
      </c>
      <c r="H167" s="252">
        <f>VLOOKUP($E167,'5.1 Budget'!$A$4:$H$729,2,0)</f>
        <v>0</v>
      </c>
      <c r="I167" s="252">
        <f>VLOOKUP($E167,'5.1 Budget'!$A$4:$H$729,3,0)</f>
        <v>0</v>
      </c>
      <c r="J167" s="252">
        <f>VLOOKUP($E167,'5.1 Budget'!$A$4:$H$729,4,0)</f>
        <v>0</v>
      </c>
      <c r="K167" s="252">
        <f>VLOOKUP($E167,'5.1 Budget'!$A$4:$H$729,5,0)</f>
        <v>0</v>
      </c>
      <c r="L167" s="252">
        <f>VLOOKUP($E167,'5.1 Budget'!$A$4:$H$729,6,0)</f>
        <v>0</v>
      </c>
      <c r="M167" s="252">
        <f>VLOOKUP($E167,'5.1 Budget'!$A$4:$H$729,7,0)</f>
        <v>0</v>
      </c>
      <c r="N167" s="252">
        <f>VLOOKUP($E167,'5.1 Budget'!$A$4:$H$729,8,0)</f>
        <v>0</v>
      </c>
      <c r="O167" s="254"/>
      <c r="V167" t="str">
        <f>VLOOKUP(D167,'[4]1. Mesures'!$A$1:$B$116,2,0)</f>
        <v xml:space="preserve"> Réaliser le curage sur les derniers tronçons du réseau hydrographique pour enlever la pollution «historique »</v>
      </c>
      <c r="W167" t="str">
        <f>VLOOKUP(B167,[1]HIERARCH!$A$1:$B$57,2,0)</f>
        <v>Assurer la gestion qualitative des masses d'eau de surface</v>
      </c>
      <c r="X167" t="str">
        <f>VLOOKUP(C167,[1]HIERARCH!$A$2:$B$57,2,0)</f>
        <v>Réduire les émissions de polluants à la source (sources ponctuelles et diffuses)</v>
      </c>
      <c r="Y167" t="str">
        <f>LEFT(F167,120)&amp;"…"</f>
        <v>Etablir une base de données des curages réalisés (en tant qu’outil de planification future)…</v>
      </c>
    </row>
    <row r="168" spans="1:25" hidden="1" x14ac:dyDescent="0.25">
      <c r="A168" s="249" t="str">
        <f t="shared" si="8"/>
        <v>1</v>
      </c>
      <c r="B168" s="249" t="str">
        <f>VLOOKUP($D168,'[4]1. Mesures'!$A$2:$G$116,6,0)</f>
        <v>OS 1.1</v>
      </c>
      <c r="C168" s="249" t="str">
        <f>VLOOKUP($D168,'[4]1. Mesures'!$A$2:$G$116,7,0)</f>
        <v>OO 1.1.4</v>
      </c>
      <c r="D168" s="249" t="str">
        <f t="shared" si="7"/>
        <v>M 1.17</v>
      </c>
      <c r="E168" s="250" t="s">
        <v>683</v>
      </c>
      <c r="F168" s="249" t="str">
        <f>VLOOKUP(E168,'5.2 Actions'!$A$3:$B$720,2,0)</f>
        <v>Évaluer le besoin réel de déviation d’eau de la Senne vers le Canal, déterminer les règles d’activation des vannes en tenant compte des risques d’inondation (lien avec la M5.8) et de la surveillance des paramètres principaux (niveau d’eau)</v>
      </c>
      <c r="G168" s="251" t="str">
        <f>VLOOKUP(E168,'[4]5.2 Actions'!$A$3:$D$718,4,0)</f>
        <v>CAN</v>
      </c>
      <c r="H168" s="252">
        <f>VLOOKUP($E168,'5.1 Budget'!$A$4:$H$729,2,0)</f>
        <v>10000</v>
      </c>
      <c r="I168" s="252">
        <f>VLOOKUP($E168,'5.1 Budget'!$A$4:$H$729,3,0)</f>
        <v>10000</v>
      </c>
      <c r="J168" s="252">
        <f>VLOOKUP($E168,'5.1 Budget'!$A$4:$H$729,4,0)</f>
        <v>0</v>
      </c>
      <c r="K168" s="252">
        <f>VLOOKUP($E168,'5.1 Budget'!$A$4:$H$729,5,0)</f>
        <v>0</v>
      </c>
      <c r="L168" s="252">
        <f>VLOOKUP($E168,'5.1 Budget'!$A$4:$H$729,6,0)</f>
        <v>0</v>
      </c>
      <c r="M168" s="252">
        <f>VLOOKUP($E168,'5.1 Budget'!$A$4:$H$729,7,0)</f>
        <v>0</v>
      </c>
      <c r="N168" s="252">
        <f>VLOOKUP($E168,'5.1 Budget'!$A$4:$H$729,8,0)</f>
        <v>20000</v>
      </c>
      <c r="O168" s="254"/>
      <c r="V168" t="str">
        <f>VLOOKUP(D168,'[4]1. Mesures'!$A$1:$B$116,2,0)</f>
        <v xml:space="preserve"> Diminuer les sources de matières en suspension vers le canal par l’optimisation de la dérivation d’Aa</v>
      </c>
      <c r="W168" t="str">
        <f>VLOOKUP(B168,[1]HIERARCH!$A$1:$B$57,2,0)</f>
        <v>Assurer la gestion qualitative des masses d'eau de surface</v>
      </c>
      <c r="X168" t="str">
        <f>VLOOKUP(C168,[1]HIERARCH!$A$2:$B$57,2,0)</f>
        <v>Réduire les émissions de polluants à la source (sources ponctuelles et diffuses)</v>
      </c>
      <c r="Y168" t="str">
        <f t="shared" si="9"/>
        <v>Évaluer le besoin réel de déviation d’eau de la Senne vers le Canal, déterminer les règles d’activation des vannes en te…</v>
      </c>
    </row>
    <row r="169" spans="1:25" hidden="1" x14ac:dyDescent="0.25">
      <c r="A169" s="249" t="str">
        <f t="shared" si="8"/>
        <v>1</v>
      </c>
      <c r="B169" s="249" t="str">
        <f>VLOOKUP($D169,'[4]1. Mesures'!$A$2:$G$116,6,0)</f>
        <v>OS 1.1</v>
      </c>
      <c r="C169" s="249" t="str">
        <f>VLOOKUP($D169,'[4]1. Mesures'!$A$2:$G$116,7,0)</f>
        <v>OO 1.1.4</v>
      </c>
      <c r="D169" s="249" t="str">
        <f t="shared" si="7"/>
        <v>M 1.17</v>
      </c>
      <c r="E169" s="250" t="s">
        <v>684</v>
      </c>
      <c r="F169" s="249" t="str">
        <f>VLOOKUP(E169,'5.2 Actions'!$A$3:$B$720,2,0)</f>
        <v>Remplacer les vannes en bois par des vannes métalliques</v>
      </c>
      <c r="G169" s="251" t="str">
        <f>VLOOKUP(E169,'[4]5.2 Actions'!$A$3:$D$718,4,0)</f>
        <v>CAN</v>
      </c>
      <c r="H169" s="252">
        <f>VLOOKUP($E169,'5.1 Budget'!$A$4:$H$729,2,0)</f>
        <v>40000</v>
      </c>
      <c r="I169" s="252">
        <f>VLOOKUP($E169,'5.1 Budget'!$A$4:$H$729,3,0)</f>
        <v>0</v>
      </c>
      <c r="J169" s="252">
        <f>VLOOKUP($E169,'5.1 Budget'!$A$4:$H$729,4,0)</f>
        <v>0</v>
      </c>
      <c r="K169" s="252">
        <f>VLOOKUP($E169,'5.1 Budget'!$A$4:$H$729,5,0)</f>
        <v>0</v>
      </c>
      <c r="L169" s="252">
        <f>VLOOKUP($E169,'5.1 Budget'!$A$4:$H$729,6,0)</f>
        <v>0</v>
      </c>
      <c r="M169" s="252">
        <f>VLOOKUP($E169,'5.1 Budget'!$A$4:$H$729,7,0)</f>
        <v>0</v>
      </c>
      <c r="N169" s="252">
        <f>VLOOKUP($E169,'5.1 Budget'!$A$4:$H$729,8,0)</f>
        <v>40000</v>
      </c>
      <c r="O169" s="254"/>
      <c r="V169" t="str">
        <f>VLOOKUP(D169,'[4]1. Mesures'!$A$1:$B$116,2,0)</f>
        <v xml:space="preserve"> Diminuer les sources de matières en suspension vers le canal par l’optimisation de la dérivation d’Aa</v>
      </c>
      <c r="W169" t="str">
        <f>VLOOKUP(B169,[1]HIERARCH!$A$1:$B$57,2,0)</f>
        <v>Assurer la gestion qualitative des masses d'eau de surface</v>
      </c>
      <c r="X169" t="str">
        <f>VLOOKUP(C169,[1]HIERARCH!$A$2:$B$57,2,0)</f>
        <v>Réduire les émissions de polluants à la source (sources ponctuelles et diffuses)</v>
      </c>
      <c r="Y169" t="str">
        <f t="shared" si="9"/>
        <v>Remplacer les vannes en bois par des vannes métalliques…</v>
      </c>
    </row>
    <row r="170" spans="1:25" hidden="1" x14ac:dyDescent="0.25">
      <c r="A170" s="249" t="str">
        <f t="shared" si="8"/>
        <v>1</v>
      </c>
      <c r="B170" s="249" t="str">
        <f>VLOOKUP($D170,'[4]1. Mesures'!$A$2:$G$116,6,0)</f>
        <v>OS 1.1</v>
      </c>
      <c r="C170" s="249" t="str">
        <f>VLOOKUP($D170,'[4]1. Mesures'!$A$2:$G$116,7,0)</f>
        <v>OO 1.1.4</v>
      </c>
      <c r="D170" s="249" t="str">
        <f t="shared" si="7"/>
        <v>M 1.17</v>
      </c>
      <c r="E170" s="250" t="s">
        <v>685</v>
      </c>
      <c r="F170" s="249" t="str">
        <f>VLOOKUP(E170,'5.2 Actions'!$A$3:$B$720,2,0)</f>
        <v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v>
      </c>
      <c r="G170" s="251" t="str">
        <f>VLOOKUP(E170,'[4]5.2 Actions'!$A$3:$D$718,4,0)</f>
        <v>CAN</v>
      </c>
      <c r="H170" s="252">
        <f>VLOOKUP($E170,'5.1 Budget'!$A$4:$H$729,2,0)</f>
        <v>0</v>
      </c>
      <c r="I170" s="252">
        <f>VLOOKUP($E170,'5.1 Budget'!$A$4:$H$729,3,0)</f>
        <v>50000</v>
      </c>
      <c r="J170" s="252">
        <f>VLOOKUP($E170,'5.1 Budget'!$A$4:$H$729,4,0)</f>
        <v>0</v>
      </c>
      <c r="K170" s="252">
        <f>VLOOKUP($E170,'5.1 Budget'!$A$4:$H$729,5,0)</f>
        <v>0</v>
      </c>
      <c r="L170" s="252">
        <f>VLOOKUP($E170,'5.1 Budget'!$A$4:$H$729,6,0)</f>
        <v>0</v>
      </c>
      <c r="M170" s="252">
        <f>VLOOKUP($E170,'5.1 Budget'!$A$4:$H$729,7,0)</f>
        <v>0</v>
      </c>
      <c r="N170" s="252">
        <f>VLOOKUP($E170,'5.1 Budget'!$A$4:$H$729,8,0)</f>
        <v>50000</v>
      </c>
      <c r="O170" s="254"/>
      <c r="V170" t="str">
        <f>VLOOKUP(D170,'[4]1. Mesures'!$A$1:$B$116,2,0)</f>
        <v xml:space="preserve"> Diminuer les sources de matières en suspension vers le canal par l’optimisation de la dérivation d’Aa</v>
      </c>
      <c r="W170" t="str">
        <f>VLOOKUP(B170,[1]HIERARCH!$A$1:$B$57,2,0)</f>
        <v>Assurer la gestion qualitative des masses d'eau de surface</v>
      </c>
      <c r="X170" t="str">
        <f>VLOOKUP(C170,[1]HIERARCH!$A$2:$B$57,2,0)</f>
        <v>Réduire les émissions de polluants à la source (sources ponctuelles et diffuses)</v>
      </c>
      <c r="Y170" t="str">
        <f t="shared" si="9"/>
        <v>Installation des systèmes de surveillance des paramètres principaux sur base des résultats de l’étude hydraulique (nivea…</v>
      </c>
    </row>
    <row r="171" spans="1:25" hidden="1" x14ac:dyDescent="0.25">
      <c r="A171" s="249" t="str">
        <f t="shared" si="8"/>
        <v>1</v>
      </c>
      <c r="B171" s="249" t="str">
        <f>VLOOKUP($D171,'[4]1. Mesures'!$A$2:$G$116,6,0)</f>
        <v>OS 1.1</v>
      </c>
      <c r="C171" s="249" t="str">
        <f>VLOOKUP($D171,'[4]1. Mesures'!$A$2:$G$116,7,0)</f>
        <v>OO 1.1.4</v>
      </c>
      <c r="D171" s="249" t="str">
        <f t="shared" si="7"/>
        <v>M 1.17</v>
      </c>
      <c r="E171" s="250" t="s">
        <v>686</v>
      </c>
      <c r="F171" s="249" t="str">
        <f>VLOOKUP(E171,'5.2 Actions'!$A$3:$B$720,2,0)</f>
        <v>Aménager les vannes et implémenter les nouvelles règles de déviation d’eaux en fonction des étapes M 1.17.1 à M1.17.3</v>
      </c>
      <c r="G171" s="251" t="str">
        <f>VLOOKUP(E171,'[4]5.2 Actions'!$A$3:$D$718,4,0)</f>
        <v>CAN</v>
      </c>
      <c r="H171" s="252">
        <f>VLOOKUP($E171,'5.1 Budget'!$A$4:$H$729,2,0)</f>
        <v>0</v>
      </c>
      <c r="I171" s="252">
        <f>VLOOKUP($E171,'5.1 Budget'!$A$4:$H$729,3,0)</f>
        <v>0</v>
      </c>
      <c r="J171" s="252">
        <f>VLOOKUP($E171,'5.1 Budget'!$A$4:$H$729,4,0)</f>
        <v>100000</v>
      </c>
      <c r="K171" s="252">
        <f>VLOOKUP($E171,'5.1 Budget'!$A$4:$H$729,5,0)</f>
        <v>0</v>
      </c>
      <c r="L171" s="252">
        <f>VLOOKUP($E171,'5.1 Budget'!$A$4:$H$729,6,0)</f>
        <v>0</v>
      </c>
      <c r="M171" s="252">
        <f>VLOOKUP($E171,'5.1 Budget'!$A$4:$H$729,7,0)</f>
        <v>0</v>
      </c>
      <c r="N171" s="252">
        <f>VLOOKUP($E171,'5.1 Budget'!$A$4:$H$729,8,0)</f>
        <v>100000</v>
      </c>
      <c r="O171" s="254"/>
      <c r="V171" t="str">
        <f>VLOOKUP(D171,'[4]1. Mesures'!$A$1:$B$116,2,0)</f>
        <v xml:space="preserve"> Diminuer les sources de matières en suspension vers le canal par l’optimisation de la dérivation d’Aa</v>
      </c>
      <c r="W171" t="str">
        <f>VLOOKUP(B171,[1]HIERARCH!$A$1:$B$57,2,0)</f>
        <v>Assurer la gestion qualitative des masses d'eau de surface</v>
      </c>
      <c r="X171" t="str">
        <f>VLOOKUP(C171,[1]HIERARCH!$A$2:$B$57,2,0)</f>
        <v>Réduire les émissions de polluants à la source (sources ponctuelles et diffuses)</v>
      </c>
      <c r="Y171" t="str">
        <f t="shared" si="9"/>
        <v>Aménager les vannes et implémenter les nouvelles règles de déviation d’eaux en fonction des étapes M 1.17.1 à M1.17.3…</v>
      </c>
    </row>
    <row r="172" spans="1:25" hidden="1" x14ac:dyDescent="0.25">
      <c r="A172" s="249" t="str">
        <f t="shared" si="8"/>
        <v>1</v>
      </c>
      <c r="B172" s="249" t="str">
        <f>VLOOKUP($D172,'[4]1. Mesures'!$A$2:$G$116,6,0)</f>
        <v>OS 1.1</v>
      </c>
      <c r="C172" s="249" t="str">
        <f>VLOOKUP($D172,'[4]1. Mesures'!$A$2:$G$116,7,0)</f>
        <v>OO 1.1.4</v>
      </c>
      <c r="D172" s="249" t="str">
        <f t="shared" si="7"/>
        <v>M 1.17</v>
      </c>
      <c r="E172" s="250" t="s">
        <v>687</v>
      </c>
      <c r="F172" s="249" t="str">
        <f>VLOOKUP(E172,'5.2 Actions'!$A$3:$B$720,2,0)</f>
        <v>Assurer la veille des niveaux d’eau
Mesures de sécurité additionnelle à prendre en compte</v>
      </c>
      <c r="G172" s="251" t="str">
        <f>VLOOKUP(E172,'[4]5.2 Actions'!$A$3:$D$718,4,0)</f>
        <v>SEN</v>
      </c>
      <c r="H172" s="252">
        <f>VLOOKUP($E172,'5.1 Budget'!$A$4:$H$729,2,0)</f>
        <v>3000</v>
      </c>
      <c r="I172" s="252">
        <f>VLOOKUP($E172,'5.1 Budget'!$A$4:$H$729,3,0)</f>
        <v>3000</v>
      </c>
      <c r="J172" s="252">
        <f>VLOOKUP($E172,'5.1 Budget'!$A$4:$H$729,4,0)</f>
        <v>3000</v>
      </c>
      <c r="K172" s="252">
        <f>VLOOKUP($E172,'5.1 Budget'!$A$4:$H$729,5,0)</f>
        <v>3000</v>
      </c>
      <c r="L172" s="252">
        <f>VLOOKUP($E172,'5.1 Budget'!$A$4:$H$729,6,0)</f>
        <v>3000</v>
      </c>
      <c r="M172" s="252">
        <f>VLOOKUP($E172,'5.1 Budget'!$A$4:$H$729,7,0)</f>
        <v>3000</v>
      </c>
      <c r="N172" s="252">
        <f>VLOOKUP($E172,'5.1 Budget'!$A$4:$H$729,8,0)</f>
        <v>18000</v>
      </c>
      <c r="O172" s="254"/>
      <c r="V172" t="str">
        <f>VLOOKUP(D172,'[4]1. Mesures'!$A$1:$B$116,2,0)</f>
        <v xml:space="preserve"> Diminuer les sources de matières en suspension vers le canal par l’optimisation de la dérivation d’Aa</v>
      </c>
      <c r="W172" t="str">
        <f>VLOOKUP(B172,[1]HIERARCH!$A$1:$B$57,2,0)</f>
        <v>Assurer la gestion qualitative des masses d'eau de surface</v>
      </c>
      <c r="X172" t="str">
        <f>VLOOKUP(C172,[1]HIERARCH!$A$2:$B$57,2,0)</f>
        <v>Réduire les émissions de polluants à la source (sources ponctuelles et diffuses)</v>
      </c>
      <c r="Y172" t="str">
        <f t="shared" si="9"/>
        <v>Assurer la veille des niveaux d’eau
Mesures de sécurité additionnelle à prendre en compte…</v>
      </c>
    </row>
    <row r="173" spans="1:25" hidden="1" x14ac:dyDescent="0.25">
      <c r="A173" s="249" t="str">
        <f t="shared" si="8"/>
        <v>1</v>
      </c>
      <c r="B173" s="249" t="str">
        <f>VLOOKUP($D173,'[4]1. Mesures'!$A$2:$G$116,6,0)</f>
        <v>OS 1.1</v>
      </c>
      <c r="C173" s="249" t="str">
        <f>VLOOKUP($D173,'[4]1. Mesures'!$A$2:$G$116,7,0)</f>
        <v>OO 1.1.4</v>
      </c>
      <c r="D173" s="249" t="str">
        <f t="shared" si="7"/>
        <v>M 1.17</v>
      </c>
      <c r="E173" s="250" t="s">
        <v>688</v>
      </c>
      <c r="F173" s="249" t="str">
        <f>VLOOKUP(E173,'5.2 Actions'!$A$3:$B$720,2,0)</f>
        <v>Assurer le fonctionnement des vannes</v>
      </c>
      <c r="G173" s="251" t="str">
        <f>VLOOKUP(E173,'[4]5.2 Actions'!$A$3:$D$718,4,0)</f>
        <v>SEN / CAN</v>
      </c>
      <c r="H173" s="252">
        <f>VLOOKUP($E173,'5.1 Budget'!$A$4:$H$729,2,0)</f>
        <v>0</v>
      </c>
      <c r="I173" s="252">
        <f>VLOOKUP($E173,'5.1 Budget'!$A$4:$H$729,3,0)</f>
        <v>0</v>
      </c>
      <c r="J173" s="252">
        <f>VLOOKUP($E173,'5.1 Budget'!$A$4:$H$729,4,0)</f>
        <v>0</v>
      </c>
      <c r="K173" s="252">
        <f>VLOOKUP($E173,'5.1 Budget'!$A$4:$H$729,5,0)</f>
        <v>0</v>
      </c>
      <c r="L173" s="252">
        <f>VLOOKUP($E173,'5.1 Budget'!$A$4:$H$729,6,0)</f>
        <v>0</v>
      </c>
      <c r="M173" s="252">
        <f>VLOOKUP($E173,'5.1 Budget'!$A$4:$H$729,7,0)</f>
        <v>0</v>
      </c>
      <c r="N173" s="252">
        <f>VLOOKUP($E173,'5.1 Budget'!$A$4:$H$729,8,0)</f>
        <v>0</v>
      </c>
      <c r="O173" s="254"/>
      <c r="V173" t="str">
        <f>VLOOKUP(D173,'[4]1. Mesures'!$A$1:$B$116,2,0)</f>
        <v xml:space="preserve"> Diminuer les sources de matières en suspension vers le canal par l’optimisation de la dérivation d’Aa</v>
      </c>
      <c r="W173" t="str">
        <f>VLOOKUP(B173,[1]HIERARCH!$A$1:$B$57,2,0)</f>
        <v>Assurer la gestion qualitative des masses d'eau de surface</v>
      </c>
      <c r="X173" t="str">
        <f>VLOOKUP(C173,[1]HIERARCH!$A$2:$B$57,2,0)</f>
        <v>Réduire les émissions de polluants à la source (sources ponctuelles et diffuses)</v>
      </c>
      <c r="Y173" t="str">
        <f t="shared" si="9"/>
        <v>Assurer le fonctionnement des vannes…</v>
      </c>
    </row>
    <row r="174" spans="1:25" hidden="1" x14ac:dyDescent="0.25">
      <c r="A174" s="249" t="str">
        <f t="shared" si="8"/>
        <v>1</v>
      </c>
      <c r="B174" s="249" t="str">
        <f>VLOOKUP($D174,'[4]1. Mesures'!$A$2:$G$116,6,0)</f>
        <v>OS 1.1</v>
      </c>
      <c r="C174" s="249" t="str">
        <f>VLOOKUP($D174,'[4]1. Mesures'!$A$2:$G$116,7,0)</f>
        <v>OO 1.1.4</v>
      </c>
      <c r="D174" s="249" t="str">
        <f t="shared" si="7"/>
        <v>M 1.18</v>
      </c>
      <c r="E174" s="250" t="s">
        <v>689</v>
      </c>
      <c r="F174" s="249" t="str">
        <f>VLOOKUP(E174,'5.2 Actions'!$A$3:$B$720,2,0)</f>
        <v>Bathymétrie, localisation et mesure du volume de boue</v>
      </c>
      <c r="G174" s="251" t="str">
        <f>VLOOKUP(E174,'[4]5.2 Actions'!$A$3:$D$718,4,0)</f>
        <v>CAN</v>
      </c>
      <c r="H174" s="252">
        <f>VLOOKUP($E174,'5.1 Budget'!$A$4:$H$729,2,0)</f>
        <v>25580</v>
      </c>
      <c r="I174" s="252">
        <f>VLOOKUP($E174,'5.1 Budget'!$A$4:$H$729,3,0)</f>
        <v>25580</v>
      </c>
      <c r="J174" s="252">
        <f>VLOOKUP($E174,'5.1 Budget'!$A$4:$H$729,4,0)</f>
        <v>25580</v>
      </c>
      <c r="K174" s="252">
        <f>VLOOKUP($E174,'5.1 Budget'!$A$4:$H$729,5,0)</f>
        <v>25580</v>
      </c>
      <c r="L174" s="252">
        <f>VLOOKUP($E174,'5.1 Budget'!$A$4:$H$729,6,0)</f>
        <v>25580</v>
      </c>
      <c r="M174" s="252">
        <f>VLOOKUP($E174,'5.1 Budget'!$A$4:$H$729,7,0)</f>
        <v>25580</v>
      </c>
      <c r="N174" s="252">
        <f>VLOOKUP($E174,'5.1 Budget'!$A$4:$H$729,8,0)</f>
        <v>153480</v>
      </c>
      <c r="O174" s="254"/>
      <c r="V174" t="str">
        <f>VLOOKUP(D174,'[4]1. Mesures'!$A$1:$B$116,2,0)</f>
        <v xml:space="preserve">Lutter contre les décharges de matériaux dans le Canal et poursuivre le dragage et l'élimination des sédiments pollués </v>
      </c>
      <c r="W174" t="str">
        <f>VLOOKUP(B174,[1]HIERARCH!$A$1:$B$57,2,0)</f>
        <v>Assurer la gestion qualitative des masses d'eau de surface</v>
      </c>
      <c r="X174" t="str">
        <f>VLOOKUP(C174,[1]HIERARCH!$A$2:$B$57,2,0)</f>
        <v>Réduire les émissions de polluants à la source (sources ponctuelles et diffuses)</v>
      </c>
      <c r="Y174" t="str">
        <f t="shared" si="9"/>
        <v>Bathymétrie, localisation et mesure du volume de boue…</v>
      </c>
    </row>
    <row r="175" spans="1:25" hidden="1" x14ac:dyDescent="0.25">
      <c r="A175" s="249" t="str">
        <f t="shared" si="8"/>
        <v>1</v>
      </c>
      <c r="B175" s="249" t="str">
        <f>VLOOKUP($D175,'[4]1. Mesures'!$A$2:$G$116,6,0)</f>
        <v>OS 1.1</v>
      </c>
      <c r="C175" s="249" t="str">
        <f>VLOOKUP($D175,'[4]1. Mesures'!$A$2:$G$116,7,0)</f>
        <v>OO 1.1.4</v>
      </c>
      <c r="D175" s="249" t="str">
        <f t="shared" si="7"/>
        <v>M 1.18</v>
      </c>
      <c r="E175" s="250" t="s">
        <v>691</v>
      </c>
      <c r="F175" s="249" t="str">
        <f>VLOOKUP(E175,'5.2 Actions'!$A$3:$B$720,2,0)</f>
        <v>Poursuivre le dragage mécanique et l'élimination des sédiments pollués du Canal</v>
      </c>
      <c r="G175" s="251" t="str">
        <f>VLOOKUP(E175,'[4]5.2 Actions'!$A$3:$D$718,4,0)</f>
        <v>CAN</v>
      </c>
      <c r="H175" s="252">
        <f>VLOOKUP($E175,'5.1 Budget'!$A$4:$H$729,2,0)</f>
        <v>1816000</v>
      </c>
      <c r="I175" s="252">
        <f>VLOOKUP($E175,'5.1 Budget'!$A$4:$H$729,3,0)</f>
        <v>1816000</v>
      </c>
      <c r="J175" s="252">
        <f>VLOOKUP($E175,'5.1 Budget'!$A$4:$H$729,4,0)</f>
        <v>1816000</v>
      </c>
      <c r="K175" s="252">
        <f>VLOOKUP($E175,'5.1 Budget'!$A$4:$H$729,5,0)</f>
        <v>1816000</v>
      </c>
      <c r="L175" s="252">
        <f>VLOOKUP($E175,'5.1 Budget'!$A$4:$H$729,6,0)</f>
        <v>1816000</v>
      </c>
      <c r="M175" s="252">
        <f>VLOOKUP($E175,'5.1 Budget'!$A$4:$H$729,7,0)</f>
        <v>1816000</v>
      </c>
      <c r="N175" s="252">
        <f>VLOOKUP($E175,'5.1 Budget'!$A$4:$H$729,8,0)</f>
        <v>10896000</v>
      </c>
      <c r="O175" s="254"/>
      <c r="V175" t="str">
        <f>VLOOKUP(D175,'[4]1. Mesures'!$A$1:$B$116,2,0)</f>
        <v xml:space="preserve">Lutter contre les décharges de matériaux dans le Canal et poursuivre le dragage et l'élimination des sédiments pollués </v>
      </c>
      <c r="W175" t="str">
        <f>VLOOKUP(B175,[1]HIERARCH!$A$1:$B$57,2,0)</f>
        <v>Assurer la gestion qualitative des masses d'eau de surface</v>
      </c>
      <c r="X175" t="str">
        <f>VLOOKUP(C175,[1]HIERARCH!$A$2:$B$57,2,0)</f>
        <v>Réduire les émissions de polluants à la source (sources ponctuelles et diffuses)</v>
      </c>
      <c r="Y175" t="str">
        <f t="shared" si="9"/>
        <v>Poursuivre le dragage mécanique et l'élimination des sédiments pollués du Canal…</v>
      </c>
    </row>
    <row r="176" spans="1:25" hidden="1" x14ac:dyDescent="0.25">
      <c r="A176" s="249" t="str">
        <f t="shared" si="8"/>
        <v>1</v>
      </c>
      <c r="B176" s="249" t="str">
        <f>VLOOKUP($D176,'[4]1. Mesures'!$A$2:$G$116,6,0)</f>
        <v>OS 1.1</v>
      </c>
      <c r="C176" s="249" t="str">
        <f>VLOOKUP($D176,'[4]1. Mesures'!$A$2:$G$116,7,0)</f>
        <v>OO 1.1.4</v>
      </c>
      <c r="D176" s="249" t="str">
        <f t="shared" si="7"/>
        <v>M 1.18</v>
      </c>
      <c r="E176" s="250" t="s">
        <v>692</v>
      </c>
      <c r="F176" s="249" t="str">
        <f>VLOOKUP(E176,'5.2 Actions'!$A$3:$B$720,2,0)</f>
        <v>Mettre en évidence des zones préférentielles d’accumulation des sédiments pour en faciliter le curage, et pour alimenter l’étude des zones privilégiées d’accumulation des pollutions afin d’aider à identifier les sources et voies d’entrée des polluants dans le Canal</v>
      </c>
      <c r="G176" s="251" t="str">
        <f>VLOOKUP(E176,'[4]5.2 Actions'!$A$3:$D$718,4,0)</f>
        <v>CAN</v>
      </c>
      <c r="H176" s="252">
        <f>VLOOKUP($E176,'5.1 Budget'!$A$4:$H$729,2,0)</f>
        <v>0</v>
      </c>
      <c r="I176" s="252">
        <f>VLOOKUP($E176,'5.1 Budget'!$A$4:$H$729,3,0)</f>
        <v>0</v>
      </c>
      <c r="J176" s="252">
        <f>VLOOKUP($E176,'5.1 Budget'!$A$4:$H$729,4,0)</f>
        <v>0</v>
      </c>
      <c r="K176" s="252">
        <f>VLOOKUP($E176,'5.1 Budget'!$A$4:$H$729,5,0)</f>
        <v>0</v>
      </c>
      <c r="L176" s="252">
        <f>VLOOKUP($E176,'5.1 Budget'!$A$4:$H$729,6,0)</f>
        <v>0</v>
      </c>
      <c r="M176" s="252">
        <f>VLOOKUP($E176,'5.1 Budget'!$A$4:$H$729,7,0)</f>
        <v>0</v>
      </c>
      <c r="N176" s="252">
        <f>VLOOKUP($E176,'5.1 Budget'!$A$4:$H$729,8,0)</f>
        <v>0</v>
      </c>
      <c r="O176" s="254"/>
      <c r="V176" t="str">
        <f>VLOOKUP(D176,'[4]1. Mesures'!$A$1:$B$116,2,0)</f>
        <v xml:space="preserve">Lutter contre les décharges de matériaux dans le Canal et poursuivre le dragage et l'élimination des sédiments pollués </v>
      </c>
      <c r="W176" t="str">
        <f>VLOOKUP(B176,[1]HIERARCH!$A$1:$B$57,2,0)</f>
        <v>Assurer la gestion qualitative des masses d'eau de surface</v>
      </c>
      <c r="X176" t="str">
        <f>VLOOKUP(C176,[1]HIERARCH!$A$2:$B$57,2,0)</f>
        <v>Réduire les émissions de polluants à la source (sources ponctuelles et diffuses)</v>
      </c>
      <c r="Y176" t="str">
        <f t="shared" si="9"/>
        <v>Mettre en évidence des zones préférentielles d’accumulation des sédiments pour en faciliter le curage, et pour alimenter…</v>
      </c>
    </row>
    <row r="177" spans="1:25" hidden="1" x14ac:dyDescent="0.25">
      <c r="A177" s="249" t="str">
        <f t="shared" si="8"/>
        <v>1</v>
      </c>
      <c r="B177" s="249" t="str">
        <f>VLOOKUP($D177,'[4]1. Mesures'!$A$2:$G$116,6,0)</f>
        <v>OS 1.1</v>
      </c>
      <c r="C177" s="249" t="str">
        <f>VLOOKUP($D177,'[4]1. Mesures'!$A$2:$G$116,7,0)</f>
        <v>OO 1.1.4</v>
      </c>
      <c r="D177" s="249" t="str">
        <f t="shared" si="7"/>
        <v>M 1.18</v>
      </c>
      <c r="E177" s="250" t="s">
        <v>693</v>
      </c>
      <c r="F177" s="249" t="str">
        <f>VLOOKUP(E177,'5.2 Actions'!$A$3:$B$720,2,0)</f>
        <v>Suivre la problématique des sédiments et de leur curage dans la voie navigable du Canal Bruxelles-Escaut avec les régions flamande et wallonne pour une gestion cohérente de part et d’autre des frontières</v>
      </c>
      <c r="G177" s="251" t="str">
        <f>VLOOKUP(E177,'[4]5.2 Actions'!$A$3:$D$718,4,0)</f>
        <v>CAN</v>
      </c>
      <c r="H177" s="252">
        <f>VLOOKUP($E177,'5.1 Budget'!$A$4:$H$729,2,0)</f>
        <v>0</v>
      </c>
      <c r="I177" s="252">
        <f>VLOOKUP($E177,'5.1 Budget'!$A$4:$H$729,3,0)</f>
        <v>0</v>
      </c>
      <c r="J177" s="252">
        <f>VLOOKUP($E177,'5.1 Budget'!$A$4:$H$729,4,0)</f>
        <v>0</v>
      </c>
      <c r="K177" s="252">
        <f>VLOOKUP($E177,'5.1 Budget'!$A$4:$H$729,5,0)</f>
        <v>0</v>
      </c>
      <c r="L177" s="252">
        <f>VLOOKUP($E177,'5.1 Budget'!$A$4:$H$729,6,0)</f>
        <v>0</v>
      </c>
      <c r="M177" s="252">
        <f>VLOOKUP($E177,'5.1 Budget'!$A$4:$H$729,7,0)</f>
        <v>0</v>
      </c>
      <c r="N177" s="252">
        <f>VLOOKUP($E177,'5.1 Budget'!$A$4:$H$729,8,0)</f>
        <v>0</v>
      </c>
      <c r="O177" s="254"/>
      <c r="V177" t="str">
        <f>VLOOKUP(D177,'[4]1. Mesures'!$A$1:$B$116,2,0)</f>
        <v xml:space="preserve">Lutter contre les décharges de matériaux dans le Canal et poursuivre le dragage et l'élimination des sédiments pollués </v>
      </c>
      <c r="W177" t="str">
        <f>VLOOKUP(B177,[1]HIERARCH!$A$1:$B$57,2,0)</f>
        <v>Assurer la gestion qualitative des masses d'eau de surface</v>
      </c>
      <c r="X177" t="str">
        <f>VLOOKUP(C177,[1]HIERARCH!$A$2:$B$57,2,0)</f>
        <v>Réduire les émissions de polluants à la source (sources ponctuelles et diffuses)</v>
      </c>
      <c r="Y177" t="str">
        <f t="shared" si="9"/>
        <v>Suivre la problématique des sédiments et de leur curage dans la voie navigable du Canal Bruxelles-Escaut avec les région…</v>
      </c>
    </row>
    <row r="178" spans="1:25" hidden="1" x14ac:dyDescent="0.25">
      <c r="A178" s="249" t="str">
        <f t="shared" si="8"/>
        <v>1</v>
      </c>
      <c r="B178" s="249" t="str">
        <f>VLOOKUP($D178,'[4]1. Mesures'!$A$2:$G$116,6,0)</f>
        <v>OS 1.1</v>
      </c>
      <c r="C178" s="249" t="str">
        <f>VLOOKUP($D178,'[4]1. Mesures'!$A$2:$G$116,7,0)</f>
        <v>OO 1.1.4</v>
      </c>
      <c r="D178" s="249" t="str">
        <f t="shared" si="7"/>
        <v>M 1.18</v>
      </c>
      <c r="E178" s="250" t="s">
        <v>694</v>
      </c>
      <c r="F178" s="249" t="str">
        <f>VLOOKUP(E178,'5.2 Actions'!$A$3:$B$720,2,0)</f>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v>
      </c>
      <c r="G178" s="251" t="str">
        <f>VLOOKUP(E178,'[4]5.2 Actions'!$A$3:$D$718,4,0)</f>
        <v>CAN</v>
      </c>
      <c r="H178" s="252">
        <f>VLOOKUP($E178,'5.1 Budget'!$A$4:$H$729,2,0)</f>
        <v>0</v>
      </c>
      <c r="I178" s="252">
        <f>VLOOKUP($E178,'5.1 Budget'!$A$4:$H$729,3,0)</f>
        <v>30000</v>
      </c>
      <c r="J178" s="252">
        <f>VLOOKUP($E178,'5.1 Budget'!$A$4:$H$729,4,0)</f>
        <v>0</v>
      </c>
      <c r="K178" s="252">
        <f>VLOOKUP($E178,'5.1 Budget'!$A$4:$H$729,5,0)</f>
        <v>0</v>
      </c>
      <c r="L178" s="252">
        <f>VLOOKUP($E178,'5.1 Budget'!$A$4:$H$729,6,0)</f>
        <v>0</v>
      </c>
      <c r="M178" s="252">
        <f>VLOOKUP($E178,'5.1 Budget'!$A$4:$H$729,7,0)</f>
        <v>0</v>
      </c>
      <c r="N178" s="252">
        <f>VLOOKUP($E178,'5.1 Budget'!$A$4:$H$729,8,0)</f>
        <v>30000</v>
      </c>
      <c r="O178" s="254"/>
      <c r="V178" t="str">
        <f>VLOOKUP(D178,'[4]1. Mesures'!$A$1:$B$116,2,0)</f>
        <v xml:space="preserve">Lutter contre les décharges de matériaux dans le Canal et poursuivre le dragage et l'élimination des sédiments pollués </v>
      </c>
      <c r="W178" t="str">
        <f>VLOOKUP(B178,[1]HIERARCH!$A$1:$B$57,2,0)</f>
        <v>Assurer la gestion qualitative des masses d'eau de surface</v>
      </c>
      <c r="X178" t="str">
        <f>VLOOKUP(C178,[1]HIERARCH!$A$2:$B$57,2,0)</f>
        <v>Réduire les émissions de polluants à la source (sources ponctuelles et diffuses)</v>
      </c>
      <c r="Y178" t="str">
        <f t="shared" si="9"/>
        <v>Etude de l'efficacité de méthodes alternatives au curage mécanique (ex. : bio-dragage, précipitation du phosphore sous f…</v>
      </c>
    </row>
    <row r="179" spans="1:25" hidden="1" x14ac:dyDescent="0.25">
      <c r="A179" s="249" t="str">
        <f t="shared" si="8"/>
        <v>1</v>
      </c>
      <c r="B179" s="249" t="str">
        <f>VLOOKUP($D179,'[4]1. Mesures'!$A$2:$G$116,6,0)</f>
        <v>OS 1.1</v>
      </c>
      <c r="C179" s="249" t="str">
        <f>VLOOKUP($D179,'[4]1. Mesures'!$A$2:$G$116,7,0)</f>
        <v>OO 1.1.4</v>
      </c>
      <c r="D179" s="249" t="str">
        <f t="shared" si="7"/>
        <v>M 1.18</v>
      </c>
      <c r="E179" s="250" t="s">
        <v>695</v>
      </c>
      <c r="F179" s="249" t="str">
        <f>VLOOKUP(E179,'5.2 Actions'!$A$3:$B$720,2,0)</f>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v>
      </c>
      <c r="G179" s="251" t="str">
        <f>VLOOKUP(E179,'[4]5.2 Actions'!$A$3:$D$718,4,0)</f>
        <v>CAN</v>
      </c>
      <c r="H179" s="252">
        <f>VLOOKUP($E179,'5.1 Budget'!$A$4:$H$729,2,0)</f>
        <v>0</v>
      </c>
      <c r="I179" s="252">
        <f>VLOOKUP($E179,'5.1 Budget'!$A$4:$H$729,3,0)</f>
        <v>0</v>
      </c>
      <c r="J179" s="252">
        <f>VLOOKUP($E179,'5.1 Budget'!$A$4:$H$729,4,0)</f>
        <v>15000</v>
      </c>
      <c r="K179" s="252">
        <f>VLOOKUP($E179,'5.1 Budget'!$A$4:$H$729,5,0)</f>
        <v>15000</v>
      </c>
      <c r="L179" s="252">
        <f>VLOOKUP($E179,'5.1 Budget'!$A$4:$H$729,6,0)</f>
        <v>0</v>
      </c>
      <c r="M179" s="252">
        <f>VLOOKUP($E179,'5.1 Budget'!$A$4:$H$729,7,0)</f>
        <v>0</v>
      </c>
      <c r="N179" s="252">
        <f>VLOOKUP($E179,'5.1 Budget'!$A$4:$H$729,8,0)</f>
        <v>30000</v>
      </c>
      <c r="O179" s="254"/>
      <c r="V179" t="str">
        <f>VLOOKUP(D179,'[4]1. Mesures'!$A$1:$B$116,2,0)</f>
        <v xml:space="preserve">Lutter contre les décharges de matériaux dans le Canal et poursuivre le dragage et l'élimination des sédiments pollués </v>
      </c>
      <c r="W179" t="str">
        <f>VLOOKUP(B179,[1]HIERARCH!$A$1:$B$57,2,0)</f>
        <v>Assurer la gestion qualitative des masses d'eau de surface</v>
      </c>
      <c r="X179" t="str">
        <f>VLOOKUP(C179,[1]HIERARCH!$A$2:$B$57,2,0)</f>
        <v>Réduire les émissions de polluants à la source (sources ponctuelles et diffuses)</v>
      </c>
      <c r="Y179" t="str">
        <f t="shared" si="9"/>
        <v>Valoriser les données de bathymétrie ainsi que les données de pollution des boues curées du Port et les données de monit…</v>
      </c>
    </row>
    <row r="180" spans="1:25" hidden="1" x14ac:dyDescent="0.25">
      <c r="A180" s="249" t="str">
        <f t="shared" si="8"/>
        <v>1</v>
      </c>
      <c r="B180" s="249" t="str">
        <f>VLOOKUP($D180,'[4]1. Mesures'!$A$2:$G$116,6,0)</f>
        <v>OS 1.1</v>
      </c>
      <c r="C180" s="249" t="str">
        <f>VLOOKUP($D180,'[4]1. Mesures'!$A$2:$G$116,7,0)</f>
        <v>OO 1.1.4</v>
      </c>
      <c r="D180" s="249" t="str">
        <f t="shared" si="7"/>
        <v>M 1.18</v>
      </c>
      <c r="E180" s="250" t="s">
        <v>699</v>
      </c>
      <c r="F180" s="249" t="str">
        <f>VLOOKUP(E180,'5.2 Actions'!$A$3:$B$720,2,0)</f>
        <v>Curer la totalité des sédiments du Canal pour retirer la pollution historique. Scénario Maximaliste</v>
      </c>
      <c r="G180" s="251" t="str">
        <f>VLOOKUP(E180,'[4]5.2 Actions'!$A$3:$D$718,4,0)</f>
        <v>CAN</v>
      </c>
      <c r="H180" s="252">
        <f>VLOOKUP($E180,'5.1 Budget'!$A$4:$H$729,2,0)</f>
        <v>0</v>
      </c>
      <c r="I180" s="252">
        <f>VLOOKUP($E180,'5.1 Budget'!$A$4:$H$729,3,0)</f>
        <v>0</v>
      </c>
      <c r="J180" s="252">
        <f>VLOOKUP($E180,'5.1 Budget'!$A$4:$H$729,4,0)</f>
        <v>0</v>
      </c>
      <c r="K180" s="252">
        <f>VLOOKUP($E180,'5.1 Budget'!$A$4:$H$729,5,0)</f>
        <v>0</v>
      </c>
      <c r="L180" s="252">
        <f>VLOOKUP($E180,'5.1 Budget'!$A$4:$H$729,6,0)</f>
        <v>0</v>
      </c>
      <c r="M180" s="252">
        <f>VLOOKUP($E180,'5.1 Budget'!$A$4:$H$729,7,0)</f>
        <v>0</v>
      </c>
      <c r="N180" s="252">
        <f>VLOOKUP($E180,'5.1 Budget'!$A$4:$H$729,8,0)</f>
        <v>0</v>
      </c>
      <c r="O180" s="254"/>
      <c r="V180" t="str">
        <f>VLOOKUP(D180,'[4]1. Mesures'!$A$1:$B$116,2,0)</f>
        <v xml:space="preserve">Lutter contre les décharges de matériaux dans le Canal et poursuivre le dragage et l'élimination des sédiments pollués </v>
      </c>
      <c r="W180" t="str">
        <f>VLOOKUP(B180,[1]HIERARCH!$A$1:$B$57,2,0)</f>
        <v>Assurer la gestion qualitative des masses d'eau de surface</v>
      </c>
      <c r="X180" t="str">
        <f>VLOOKUP(C180,[1]HIERARCH!$A$2:$B$57,2,0)</f>
        <v>Réduire les émissions de polluants à la source (sources ponctuelles et diffuses)</v>
      </c>
      <c r="Y180" t="str">
        <f t="shared" si="9"/>
        <v>Curer la totalité des sédiments du Canal pour retirer la pollution historique. Scénario Maximaliste…</v>
      </c>
    </row>
    <row r="181" spans="1:25" hidden="1" x14ac:dyDescent="0.25">
      <c r="A181" s="249" t="str">
        <f t="shared" si="8"/>
        <v>1</v>
      </c>
      <c r="B181" s="249" t="str">
        <f>VLOOKUP($D181,'[4]1. Mesures'!$A$2:$G$116,6,0)</f>
        <v>OS 1.1</v>
      </c>
      <c r="C181" s="249" t="str">
        <f>VLOOKUP($D181,'[4]1. Mesures'!$A$2:$G$116,7,0)</f>
        <v>OO 1.1.4</v>
      </c>
      <c r="D181" s="249" t="str">
        <f t="shared" si="7"/>
        <v>M 1.18</v>
      </c>
      <c r="E181" s="250" t="s">
        <v>696</v>
      </c>
      <c r="F181" s="249" t="str">
        <f>VLOOKUP(E181,'5.2 Actions'!$A$3:$B$720,2,0)</f>
        <v>Sensibiliser les usagers quant aux pollutions diffuses des navires et bateaux caractérisées dans la mesure M1.5</v>
      </c>
      <c r="G181" s="251" t="str">
        <f>VLOOKUP(E181,'[4]5.2 Actions'!$A$3:$D$718,4,0)</f>
        <v>CAN</v>
      </c>
      <c r="H181" s="252">
        <f>VLOOKUP($E181,'5.1 Budget'!$A$4:$H$729,2,0)</f>
        <v>0</v>
      </c>
      <c r="I181" s="252">
        <f>VLOOKUP($E181,'5.1 Budget'!$A$4:$H$729,3,0)</f>
        <v>0</v>
      </c>
      <c r="J181" s="252">
        <f>VLOOKUP($E181,'5.1 Budget'!$A$4:$H$729,4,0)</f>
        <v>0</v>
      </c>
      <c r="K181" s="252">
        <f>VLOOKUP($E181,'5.1 Budget'!$A$4:$H$729,5,0)</f>
        <v>0</v>
      </c>
      <c r="L181" s="252">
        <f>VLOOKUP($E181,'5.1 Budget'!$A$4:$H$729,6,0)</f>
        <v>0</v>
      </c>
      <c r="M181" s="252">
        <f>VLOOKUP($E181,'5.1 Budget'!$A$4:$H$729,7,0)</f>
        <v>0</v>
      </c>
      <c r="N181" s="252">
        <f>VLOOKUP($E181,'5.1 Budget'!$A$4:$H$729,8,0)</f>
        <v>0</v>
      </c>
      <c r="O181" s="254"/>
      <c r="V181" t="str">
        <f>VLOOKUP(D181,'[4]1. Mesures'!$A$1:$B$116,2,0)</f>
        <v xml:space="preserve">Lutter contre les décharges de matériaux dans le Canal et poursuivre le dragage et l'élimination des sédiments pollués </v>
      </c>
      <c r="W181" t="str">
        <f>VLOOKUP(B181,[1]HIERARCH!$A$1:$B$57,2,0)</f>
        <v>Assurer la gestion qualitative des masses d'eau de surface</v>
      </c>
      <c r="X181" t="str">
        <f>VLOOKUP(C181,[1]HIERARCH!$A$2:$B$57,2,0)</f>
        <v>Réduire les émissions de polluants à la source (sources ponctuelles et diffuses)</v>
      </c>
      <c r="Y181" t="str">
        <f t="shared" si="9"/>
        <v>Sensibiliser les usagers quant aux pollutions diffuses des navires et bateaux caractérisées dans la mesure M1.5…</v>
      </c>
    </row>
    <row r="182" spans="1:25" hidden="1" x14ac:dyDescent="0.25">
      <c r="A182" s="249" t="str">
        <f t="shared" si="8"/>
        <v>1</v>
      </c>
      <c r="B182" s="249" t="str">
        <f>VLOOKUP($D182,'[4]1. Mesures'!$A$2:$G$116,6,0)</f>
        <v>OS 1.1</v>
      </c>
      <c r="C182" s="249" t="str">
        <f>VLOOKUP($D182,'[4]1. Mesures'!$A$2:$G$116,7,0)</f>
        <v>OO 1.1.4</v>
      </c>
      <c r="D182" s="249" t="str">
        <f t="shared" si="7"/>
        <v>M 1.18</v>
      </c>
      <c r="E182" s="250" t="s">
        <v>697</v>
      </c>
      <c r="F182" s="249" t="str">
        <f>VLOOKUP(E182,'5.2 Actions'!$A$3:$B$720,2,0)</f>
        <v>Émettre des recommandations pour limiter les pollutions diffuses des navires et bateaux caractérisées dans la mesure M1.5</v>
      </c>
      <c r="G182" s="251" t="str">
        <f>VLOOKUP(E182,'[4]5.2 Actions'!$A$3:$D$718,4,0)</f>
        <v>CAN</v>
      </c>
      <c r="H182" s="252">
        <f>VLOOKUP($E182,'5.1 Budget'!$A$4:$H$729,2,0)</f>
        <v>0</v>
      </c>
      <c r="I182" s="252">
        <f>VLOOKUP($E182,'5.1 Budget'!$A$4:$H$729,3,0)</f>
        <v>0</v>
      </c>
      <c r="J182" s="252">
        <f>VLOOKUP($E182,'5.1 Budget'!$A$4:$H$729,4,0)</f>
        <v>0</v>
      </c>
      <c r="K182" s="252">
        <f>VLOOKUP($E182,'5.1 Budget'!$A$4:$H$729,5,0)</f>
        <v>0</v>
      </c>
      <c r="L182" s="252">
        <f>VLOOKUP($E182,'5.1 Budget'!$A$4:$H$729,6,0)</f>
        <v>0</v>
      </c>
      <c r="M182" s="252">
        <f>VLOOKUP($E182,'5.1 Budget'!$A$4:$H$729,7,0)</f>
        <v>0</v>
      </c>
      <c r="N182" s="252">
        <f>VLOOKUP($E182,'5.1 Budget'!$A$4:$H$729,8,0)</f>
        <v>0</v>
      </c>
      <c r="O182" s="254"/>
      <c r="V182" t="str">
        <f>VLOOKUP(D182,'[4]1. Mesures'!$A$1:$B$116,2,0)</f>
        <v xml:space="preserve">Lutter contre les décharges de matériaux dans le Canal et poursuivre le dragage et l'élimination des sédiments pollués </v>
      </c>
      <c r="W182" t="str">
        <f>VLOOKUP(B182,[1]HIERARCH!$A$1:$B$57,2,0)</f>
        <v>Assurer la gestion qualitative des masses d'eau de surface</v>
      </c>
      <c r="X182" t="str">
        <f>VLOOKUP(C182,[1]HIERARCH!$A$2:$B$57,2,0)</f>
        <v>Réduire les émissions de polluants à la source (sources ponctuelles et diffuses)</v>
      </c>
      <c r="Y182" t="str">
        <f t="shared" si="9"/>
        <v>Émettre des recommandations pour limiter les pollutions diffuses des navires et bateaux caractérisées dans la mesure M1.…</v>
      </c>
    </row>
    <row r="183" spans="1:25" hidden="1" x14ac:dyDescent="0.25">
      <c r="A183" s="249" t="str">
        <f t="shared" si="8"/>
        <v>1</v>
      </c>
      <c r="B183" s="249" t="str">
        <f>VLOOKUP($D183,'[4]1. Mesures'!$A$2:$G$116,6,0)</f>
        <v>OS 1.1</v>
      </c>
      <c r="C183" s="249" t="str">
        <f>VLOOKUP($D183,'[4]1. Mesures'!$A$2:$G$116,7,0)</f>
        <v>OO 1.1.4</v>
      </c>
      <c r="D183" s="249" t="str">
        <f t="shared" si="7"/>
        <v>M 1.18</v>
      </c>
      <c r="E183" s="250" t="s">
        <v>698</v>
      </c>
      <c r="F183" s="249" t="str">
        <f>VLOOKUP(E183,'5.2 Actions'!$A$3:$B$720,2,0)</f>
        <v>Contrôler le respect de l'arrêté pour le transport et la manutention des marchandises dangereuses ou non dans le Canal</v>
      </c>
      <c r="G183" s="251" t="str">
        <f>VLOOKUP(E183,'[4]5.2 Actions'!$A$3:$D$718,4,0)</f>
        <v>CAN</v>
      </c>
      <c r="H183" s="252">
        <f>VLOOKUP($E183,'5.1 Budget'!$A$4:$H$729,2,0)</f>
        <v>0</v>
      </c>
      <c r="I183" s="252">
        <f>VLOOKUP($E183,'5.1 Budget'!$A$4:$H$729,3,0)</f>
        <v>0</v>
      </c>
      <c r="J183" s="252">
        <f>VLOOKUP($E183,'5.1 Budget'!$A$4:$H$729,4,0)</f>
        <v>0</v>
      </c>
      <c r="K183" s="252">
        <f>VLOOKUP($E183,'5.1 Budget'!$A$4:$H$729,5,0)</f>
        <v>0</v>
      </c>
      <c r="L183" s="252">
        <f>VLOOKUP($E183,'5.1 Budget'!$A$4:$H$729,6,0)</f>
        <v>0</v>
      </c>
      <c r="M183" s="252">
        <f>VLOOKUP($E183,'5.1 Budget'!$A$4:$H$729,7,0)</f>
        <v>0</v>
      </c>
      <c r="N183" s="252">
        <f>VLOOKUP($E183,'5.1 Budget'!$A$4:$H$729,8,0)</f>
        <v>0</v>
      </c>
      <c r="O183" s="254"/>
      <c r="V183" t="str">
        <f>VLOOKUP(D183,'[4]1. Mesures'!$A$1:$B$116,2,0)</f>
        <v xml:space="preserve">Lutter contre les décharges de matériaux dans le Canal et poursuivre le dragage et l'élimination des sédiments pollués </v>
      </c>
      <c r="W183" t="str">
        <f>VLOOKUP(B183,[1]HIERARCH!$A$1:$B$57,2,0)</f>
        <v>Assurer la gestion qualitative des masses d'eau de surface</v>
      </c>
      <c r="X183" t="str">
        <f>VLOOKUP(C183,[1]HIERARCH!$A$2:$B$57,2,0)</f>
        <v>Réduire les émissions de polluants à la source (sources ponctuelles et diffuses)</v>
      </c>
      <c r="Y183" t="str">
        <f t="shared" si="9"/>
        <v>Contrôler le respect de l'arrêté pour le transport et la manutention des marchandises dangereuses ou non dans le Canal…</v>
      </c>
    </row>
    <row r="184" spans="1:25" hidden="1" x14ac:dyDescent="0.25">
      <c r="A184" s="249" t="str">
        <f t="shared" si="8"/>
        <v>1</v>
      </c>
      <c r="B184" s="249" t="str">
        <f>VLOOKUP($D184,'[4]1. Mesures'!$A$2:$G$116,6,0)</f>
        <v>OS 1.1</v>
      </c>
      <c r="C184" s="249" t="str">
        <f>VLOOKUP($D184,'[4]1. Mesures'!$A$2:$G$116,7,0)</f>
        <v>OO 1.1.4</v>
      </c>
      <c r="D184" s="249" t="str">
        <f t="shared" si="7"/>
        <v>M 1.18</v>
      </c>
      <c r="E184" s="250" t="s">
        <v>690</v>
      </c>
      <c r="F184" s="249" t="str">
        <f>VLOOKUP(E184,'5.2 Actions'!$A$3:$B$720,2,0)</f>
        <v>Identifier les décharges clandestines le long du canal, les éliminer et poursuivre les auteurs, et prévenir ces décharges (ex : surveillance des zones fortement sujettes, affichages)</v>
      </c>
      <c r="G184" s="251" t="str">
        <f>VLOOKUP(E184,'[4]5.2 Actions'!$A$3:$D$718,4,0)</f>
        <v>CAN</v>
      </c>
      <c r="H184" s="252">
        <f>VLOOKUP($E184,'5.1 Budget'!$A$4:$H$729,2,0)</f>
        <v>0</v>
      </c>
      <c r="I184" s="252">
        <f>VLOOKUP($E184,'5.1 Budget'!$A$4:$H$729,3,0)</f>
        <v>0</v>
      </c>
      <c r="J184" s="252">
        <f>VLOOKUP($E184,'5.1 Budget'!$A$4:$H$729,4,0)</f>
        <v>0</v>
      </c>
      <c r="K184" s="252">
        <f>VLOOKUP($E184,'5.1 Budget'!$A$4:$H$729,5,0)</f>
        <v>0</v>
      </c>
      <c r="L184" s="252">
        <f>VLOOKUP($E184,'5.1 Budget'!$A$4:$H$729,6,0)</f>
        <v>0</v>
      </c>
      <c r="M184" s="252">
        <f>VLOOKUP($E184,'5.1 Budget'!$A$4:$H$729,7,0)</f>
        <v>0</v>
      </c>
      <c r="N184" s="252">
        <f>VLOOKUP($E184,'5.1 Budget'!$A$4:$H$729,8,0)</f>
        <v>0</v>
      </c>
      <c r="O184" s="254"/>
      <c r="V184" t="str">
        <f>VLOOKUP(D184,'[4]1. Mesures'!$A$1:$B$116,2,0)</f>
        <v xml:space="preserve">Lutter contre les décharges de matériaux dans le Canal et poursuivre le dragage et l'élimination des sédiments pollués </v>
      </c>
      <c r="W184" t="str">
        <f>VLOOKUP(B184,[1]HIERARCH!$A$1:$B$57,2,0)</f>
        <v>Assurer la gestion qualitative des masses d'eau de surface</v>
      </c>
      <c r="X184" t="str">
        <f>VLOOKUP(C184,[1]HIERARCH!$A$2:$B$57,2,0)</f>
        <v>Réduire les émissions de polluants à la source (sources ponctuelles et diffuses)</v>
      </c>
      <c r="Y184" t="str">
        <f t="shared" si="9"/>
        <v>Identifier les décharges clandestines le long du canal, les éliminer et poursuivre les auteurs, et prévenir ces décharge…</v>
      </c>
    </row>
    <row r="185" spans="1:25" hidden="1" x14ac:dyDescent="0.25">
      <c r="A185" s="249" t="str">
        <f t="shared" si="8"/>
        <v>1</v>
      </c>
      <c r="B185" s="249" t="str">
        <f>VLOOKUP($D185,'[4]1. Mesures'!$A$2:$G$116,6,0)</f>
        <v>OS 1.1</v>
      </c>
      <c r="C185" s="249" t="str">
        <f>VLOOKUP($D185,'[4]1. Mesures'!$A$2:$G$116,7,0)</f>
        <v>OO 1.1.5</v>
      </c>
      <c r="D185" s="249" t="str">
        <f t="shared" si="7"/>
        <v>M 1.19</v>
      </c>
      <c r="E185" s="250" t="s">
        <v>2815</v>
      </c>
      <c r="F185" s="249" t="str">
        <f>VLOOKUP(E185,'5.2 Actions'!$A$3:$B$720,2,0)</f>
        <v xml:space="preserve">Analyser les paramètres et normes de l’arrêté NQE devant être actualisés ou inclus (paramètres chimiques et physico-chimiques) </v>
      </c>
      <c r="G185" s="251" t="str">
        <f>VLOOKUP(E185,'[4]5.2 Actions'!$A$3:$D$718,4,0)</f>
        <v>SEN / WOL / CAN</v>
      </c>
      <c r="H185" s="252">
        <f>VLOOKUP($E185,'5.1 Budget'!$A$4:$H$729,2,0)</f>
        <v>0</v>
      </c>
      <c r="I185" s="252">
        <f>VLOOKUP($E185,'5.1 Budget'!$A$4:$H$729,3,0)</f>
        <v>0</v>
      </c>
      <c r="J185" s="252">
        <f>VLOOKUP($E185,'5.1 Budget'!$A$4:$H$729,4,0)</f>
        <v>0</v>
      </c>
      <c r="K185" s="252">
        <f>VLOOKUP($E185,'5.1 Budget'!$A$4:$H$729,5,0)</f>
        <v>0</v>
      </c>
      <c r="L185" s="252">
        <f>VLOOKUP($E185,'5.1 Budget'!$A$4:$H$729,6,0)</f>
        <v>0</v>
      </c>
      <c r="M185" s="252">
        <f>VLOOKUP($E185,'5.1 Budget'!$A$4:$H$729,7,0)</f>
        <v>0</v>
      </c>
      <c r="N185" s="252">
        <f>VLOOKUP($E185,'5.1 Budget'!$A$4:$H$729,8,0)</f>
        <v>0</v>
      </c>
      <c r="O185" s="254"/>
      <c r="V185" t="str">
        <f>VLOOKUP(D185,'[4]1. Mesures'!$A$1:$B$116,2,0)</f>
        <v xml:space="preserve">Actualiser les objectifs de qualité des eaux de surface dans l’arrêté NQE </v>
      </c>
      <c r="W185" t="str">
        <f>VLOOKUP(B185,[1]HIERARCH!$A$1:$B$57,2,0)</f>
        <v>Assurer la gestion qualitative des masses d'eau de surface</v>
      </c>
    </row>
    <row r="186" spans="1:25" hidden="1" x14ac:dyDescent="0.25">
      <c r="A186" s="249" t="str">
        <f t="shared" si="8"/>
        <v>1</v>
      </c>
      <c r="B186" s="249" t="str">
        <f>VLOOKUP($D186,'[4]1. Mesures'!$A$2:$G$116,6,0)</f>
        <v>OS 1.1</v>
      </c>
      <c r="C186" s="249" t="str">
        <f>VLOOKUP($D186,'[4]1. Mesures'!$A$2:$G$116,7,0)</f>
        <v>OO 1.1.5</v>
      </c>
      <c r="D186" s="249" t="str">
        <f t="shared" si="7"/>
        <v>M 1.19</v>
      </c>
      <c r="E186" s="250" t="s">
        <v>2817</v>
      </c>
      <c r="F186" s="249" t="str">
        <f>VLOOKUP(E186,'5.2 Actions'!$A$3:$B$720,2,0)</f>
        <v>Identifier les polluants spécifiques au bassin versant (‘river basin specific pollutants’) dans l’arrêté NQE et les normes qui leur sont applicables</v>
      </c>
      <c r="G186" s="251" t="str">
        <f>VLOOKUP(E186,'[4]5.2 Actions'!$A$3:$D$718,4,0)</f>
        <v>SEN / WOL / CAN</v>
      </c>
      <c r="H186" s="252">
        <f>VLOOKUP($E186,'5.1 Budget'!$A$4:$H$729,2,0)</f>
        <v>0</v>
      </c>
      <c r="I186" s="252">
        <f>VLOOKUP($E186,'5.1 Budget'!$A$4:$H$729,3,0)</f>
        <v>0</v>
      </c>
      <c r="J186" s="252">
        <f>VLOOKUP($E186,'5.1 Budget'!$A$4:$H$729,4,0)</f>
        <v>0</v>
      </c>
      <c r="K186" s="252">
        <f>VLOOKUP($E186,'5.1 Budget'!$A$4:$H$729,5,0)</f>
        <v>0</v>
      </c>
      <c r="L186" s="252">
        <f>VLOOKUP($E186,'5.1 Budget'!$A$4:$H$729,6,0)</f>
        <v>0</v>
      </c>
      <c r="M186" s="252">
        <f>VLOOKUP($E186,'5.1 Budget'!$A$4:$H$729,7,0)</f>
        <v>0</v>
      </c>
      <c r="N186" s="252">
        <f>VLOOKUP($E186,'5.1 Budget'!$A$4:$H$729,8,0)</f>
        <v>0</v>
      </c>
      <c r="O186" s="254"/>
      <c r="V186" t="str">
        <f>VLOOKUP(D186,'[4]1. Mesures'!$A$1:$B$116,2,0)</f>
        <v xml:space="preserve">Actualiser les objectifs de qualité des eaux de surface dans l’arrêté NQE </v>
      </c>
      <c r="W186" t="str">
        <f>VLOOKUP(B186,[1]HIERARCH!$A$1:$B$57,2,0)</f>
        <v>Assurer la gestion qualitative des masses d'eau de surface</v>
      </c>
    </row>
    <row r="187" spans="1:25" hidden="1" x14ac:dyDescent="0.25">
      <c r="A187" s="249" t="str">
        <f t="shared" si="8"/>
        <v>1</v>
      </c>
      <c r="B187" s="249" t="str">
        <f>VLOOKUP($D187,'[4]1. Mesures'!$A$2:$G$116,6,0)</f>
        <v>OS 1.1</v>
      </c>
      <c r="C187" s="249" t="str">
        <f>VLOOKUP($D187,'[4]1. Mesures'!$A$2:$G$116,7,0)</f>
        <v>OO 1.1.5</v>
      </c>
      <c r="D187" s="249" t="str">
        <f t="shared" si="7"/>
        <v>M 1.19</v>
      </c>
      <c r="E187" s="250" t="s">
        <v>2819</v>
      </c>
      <c r="F187" s="249" t="str">
        <f>VLOOKUP(E187,'5.2 Actions'!$A$3:$B$720,2,0)</f>
        <v>Intégrer les objectifs de qualité écologique dans l’arrêté NQE (en ce compris les objectifs de potentiel hydromorphologique) et y expliciter la méthode d’évaluation du potentiel écologique</v>
      </c>
      <c r="G187" s="251" t="str">
        <f>VLOOKUP(E187,'[4]5.2 Actions'!$A$3:$D$718,4,0)</f>
        <v>SEN / WOL / CAN</v>
      </c>
      <c r="H187" s="252">
        <f>VLOOKUP($E187,'5.1 Budget'!$A$4:$H$729,2,0)</f>
        <v>0</v>
      </c>
      <c r="I187" s="252">
        <f>VLOOKUP($E187,'5.1 Budget'!$A$4:$H$729,3,0)</f>
        <v>0</v>
      </c>
      <c r="J187" s="252">
        <f>VLOOKUP($E187,'5.1 Budget'!$A$4:$H$729,4,0)</f>
        <v>0</v>
      </c>
      <c r="K187" s="252">
        <f>VLOOKUP($E187,'5.1 Budget'!$A$4:$H$729,5,0)</f>
        <v>0</v>
      </c>
      <c r="L187" s="252">
        <f>VLOOKUP($E187,'5.1 Budget'!$A$4:$H$729,6,0)</f>
        <v>0</v>
      </c>
      <c r="M187" s="252">
        <f>VLOOKUP($E187,'5.1 Budget'!$A$4:$H$729,7,0)</f>
        <v>0</v>
      </c>
      <c r="N187" s="252">
        <f>VLOOKUP($E187,'5.1 Budget'!$A$4:$H$729,8,0)</f>
        <v>0</v>
      </c>
      <c r="O187" s="254"/>
      <c r="V187" t="str">
        <f>VLOOKUP(D187,'[4]1. Mesures'!$A$1:$B$116,2,0)</f>
        <v xml:space="preserve">Actualiser les objectifs de qualité des eaux de surface dans l’arrêté NQE </v>
      </c>
      <c r="W187" t="str">
        <f>VLOOKUP(B187,[1]HIERARCH!$A$1:$B$57,2,0)</f>
        <v>Assurer la gestion qualitative des masses d'eau de surface</v>
      </c>
    </row>
    <row r="188" spans="1:25" hidden="1" x14ac:dyDescent="0.25">
      <c r="A188" s="249" t="str">
        <f t="shared" si="8"/>
        <v>1</v>
      </c>
      <c r="B188" s="249" t="str">
        <f>VLOOKUP($D188,'[4]1. Mesures'!$A$2:$G$116,6,0)</f>
        <v>OS 1.1</v>
      </c>
      <c r="C188" s="249" t="str">
        <f>VLOOKUP($D188,'[4]1. Mesures'!$A$2:$G$116,7,0)</f>
        <v>OO 1.1.5</v>
      </c>
      <c r="D188" s="249" t="str">
        <f t="shared" si="7"/>
        <v>M 1.19</v>
      </c>
      <c r="E188" s="250" t="s">
        <v>2821</v>
      </c>
      <c r="F188" s="249" t="str">
        <f>VLOOKUP(E188,'5.2 Actions'!$A$3:$B$720,2,0)</f>
        <v>Rédiger un projet d’arrêté actualisant l’ensemble des objectifs de qualité applicables aux masses d’eau de surface et le soumettre aux autres régions (consultations transfrontalières au sein du CCPIE) et le faire adopter</v>
      </c>
      <c r="G188" s="251" t="str">
        <f>VLOOKUP(E188,'[4]5.2 Actions'!$A$3:$D$718,4,0)</f>
        <v>SEN / WOL / CAN</v>
      </c>
      <c r="H188" s="252">
        <f>VLOOKUP($E188,'5.1 Budget'!$A$4:$H$729,2,0)</f>
        <v>0</v>
      </c>
      <c r="I188" s="252">
        <f>VLOOKUP($E188,'5.1 Budget'!$A$4:$H$729,3,0)</f>
        <v>0</v>
      </c>
      <c r="J188" s="252">
        <f>VLOOKUP($E188,'5.1 Budget'!$A$4:$H$729,4,0)</f>
        <v>0</v>
      </c>
      <c r="K188" s="252">
        <f>VLOOKUP($E188,'5.1 Budget'!$A$4:$H$729,5,0)</f>
        <v>0</v>
      </c>
      <c r="L188" s="252">
        <f>VLOOKUP($E188,'5.1 Budget'!$A$4:$H$729,6,0)</f>
        <v>0</v>
      </c>
      <c r="M188" s="252">
        <f>VLOOKUP($E188,'5.1 Budget'!$A$4:$H$729,7,0)</f>
        <v>0</v>
      </c>
      <c r="N188" s="252">
        <f>VLOOKUP($E188,'5.1 Budget'!$A$4:$H$729,8,0)</f>
        <v>0</v>
      </c>
      <c r="O188" s="254"/>
      <c r="V188" t="str">
        <f>VLOOKUP(D188,'[4]1. Mesures'!$A$1:$B$116,2,0)</f>
        <v xml:space="preserve">Actualiser les objectifs de qualité des eaux de surface dans l’arrêté NQE </v>
      </c>
      <c r="W188" t="str">
        <f>VLOOKUP(B188,[1]HIERARCH!$A$1:$B$57,2,0)</f>
        <v>Assurer la gestion qualitative des masses d'eau de surface</v>
      </c>
    </row>
    <row r="189" spans="1:25" hidden="1" x14ac:dyDescent="0.25">
      <c r="A189" s="249" t="str">
        <f t="shared" si="8"/>
        <v>1</v>
      </c>
      <c r="B189" s="249" t="str">
        <f>VLOOKUP($D189,'[4]1. Mesures'!$A$2:$G$116,6,0)</f>
        <v>OS 1.1</v>
      </c>
      <c r="C189" s="249" t="str">
        <f>VLOOKUP($D189,'[4]1. Mesures'!$A$2:$G$116,7,0)</f>
        <v>OO 1.1.5</v>
      </c>
      <c r="D189" s="249" t="str">
        <f t="shared" si="7"/>
        <v>M 1.20</v>
      </c>
      <c r="E189" s="250" t="s">
        <v>2823</v>
      </c>
      <c r="F189" s="249" t="str">
        <f>VLOOKUP(E189,'5.2 Actions'!$A$3:$B$720,2,0)</f>
        <v xml:space="preserve">Rassembler dans une base de données les informations renseignées dans les permis d’environnement (entre autre via les directives et législations comme REACH ou IED) et les inventaires sols et de pollution de l’air concernant les sources et les quantités émises de chaque substance déclassant l’état des masses d’eau pour alimenter l’inventaire des émissions, pertes et rejets des substances prioritaires et prioritaires dangereuses et d’autres polluants.  </v>
      </c>
      <c r="G189" s="251" t="str">
        <f>VLOOKUP(E189,'[4]5.2 Actions'!$A$3:$D$718,4,0)</f>
        <v>SEN / WOL / CAN</v>
      </c>
      <c r="H189" s="252">
        <f>VLOOKUP($E189,'5.1 Budget'!$A$4:$H$729,2,0)</f>
        <v>0</v>
      </c>
      <c r="I189" s="252">
        <f>VLOOKUP($E189,'5.1 Budget'!$A$4:$H$729,3,0)</f>
        <v>0</v>
      </c>
      <c r="J189" s="252">
        <f>VLOOKUP($E189,'5.1 Budget'!$A$4:$H$729,4,0)</f>
        <v>0</v>
      </c>
      <c r="K189" s="252">
        <f>VLOOKUP($E189,'5.1 Budget'!$A$4:$H$729,5,0)</f>
        <v>0</v>
      </c>
      <c r="L189" s="252">
        <f>VLOOKUP($E189,'5.1 Budget'!$A$4:$H$729,6,0)</f>
        <v>0</v>
      </c>
      <c r="M189" s="252">
        <f>VLOOKUP($E189,'5.1 Budget'!$A$4:$H$729,7,0)</f>
        <v>0</v>
      </c>
      <c r="N189" s="252">
        <f>VLOOKUP($E189,'5.1 Budget'!$A$4:$H$729,8,0)</f>
        <v>0</v>
      </c>
      <c r="O189" s="254"/>
      <c r="V189" t="str">
        <f>VLOOKUP(D189,'[4]1. Mesures'!$A$1:$B$116,2,0)</f>
        <v>Identifier plus précisément les sources de pollution (HAP, nickel, zinc et phosphore en particulier)</v>
      </c>
      <c r="W189" t="str">
        <f>VLOOKUP(B189,[1]HIERARCH!$A$1:$B$57,2,0)</f>
        <v>Assurer la gestion qualitative des masses d'eau de surface</v>
      </c>
    </row>
    <row r="190" spans="1:25" hidden="1" x14ac:dyDescent="0.25">
      <c r="A190" s="249" t="str">
        <f t="shared" si="8"/>
        <v>1</v>
      </c>
      <c r="B190" s="249" t="str">
        <f>VLOOKUP($D190,'[4]1. Mesures'!$A$2:$G$116,6,0)</f>
        <v>OS 1.1</v>
      </c>
      <c r="C190" s="249" t="str">
        <f>VLOOKUP($D190,'[4]1. Mesures'!$A$2:$G$116,7,0)</f>
        <v>OO 1.1.5</v>
      </c>
      <c r="D190" s="249" t="str">
        <f t="shared" si="7"/>
        <v>M 1.20</v>
      </c>
      <c r="E190" s="250" t="s">
        <v>2825</v>
      </c>
      <c r="F190" s="249" t="str">
        <f>VLOOKUP(E190,'5.2 Actions'!$A$3:$B$720,2,0)</f>
        <v xml:space="preserve">Faire une analyse comparative des résultats des campagnes de mesures prévues aux M 1.12 et M 1.13 au regard de données d’E-PRTR afin de valider les émissions prédites dans WEISS </v>
      </c>
      <c r="G190" s="251" t="str">
        <f>VLOOKUP(E190,'[4]5.2 Actions'!$A$3:$D$718,4,0)</f>
        <v>SEN / WOL / CAN</v>
      </c>
      <c r="H190" s="252">
        <f>VLOOKUP($E190,'5.1 Budget'!$A$4:$H$729,2,0)</f>
        <v>0</v>
      </c>
      <c r="I190" s="252">
        <f>VLOOKUP($E190,'5.1 Budget'!$A$4:$H$729,3,0)</f>
        <v>0</v>
      </c>
      <c r="J190" s="252">
        <f>VLOOKUP($E190,'5.1 Budget'!$A$4:$H$729,4,0)</f>
        <v>0</v>
      </c>
      <c r="K190" s="252">
        <f>VLOOKUP($E190,'5.1 Budget'!$A$4:$H$729,5,0)</f>
        <v>0</v>
      </c>
      <c r="L190" s="252">
        <f>VLOOKUP($E190,'5.1 Budget'!$A$4:$H$729,6,0)</f>
        <v>0</v>
      </c>
      <c r="M190" s="252">
        <f>VLOOKUP($E190,'5.1 Budget'!$A$4:$H$729,7,0)</f>
        <v>0</v>
      </c>
      <c r="N190" s="252">
        <f>VLOOKUP($E190,'5.1 Budget'!$A$4:$H$729,8,0)</f>
        <v>0</v>
      </c>
      <c r="O190" s="254"/>
      <c r="V190" t="str">
        <f>VLOOKUP(D190,'[4]1. Mesures'!$A$1:$B$116,2,0)</f>
        <v>Identifier plus précisément les sources de pollution (HAP, nickel, zinc et phosphore en particulier)</v>
      </c>
      <c r="W190" t="str">
        <f>VLOOKUP(B190,[1]HIERARCH!$A$1:$B$57,2,0)</f>
        <v>Assurer la gestion qualitative des masses d'eau de surface</v>
      </c>
    </row>
    <row r="191" spans="1:25" hidden="1" x14ac:dyDescent="0.25">
      <c r="A191" s="249" t="str">
        <f t="shared" si="8"/>
        <v>1</v>
      </c>
      <c r="B191" s="249" t="str">
        <f>VLOOKUP($D191,'[4]1. Mesures'!$A$2:$G$116,6,0)</f>
        <v>OS 1.1</v>
      </c>
      <c r="C191" s="249" t="str">
        <f>VLOOKUP($D191,'[4]1. Mesures'!$A$2:$G$116,7,0)</f>
        <v>OO 1.1.5</v>
      </c>
      <c r="D191" s="249" t="str">
        <f t="shared" si="7"/>
        <v>M 1.20</v>
      </c>
      <c r="E191" s="250" t="s">
        <v>2827</v>
      </c>
      <c r="F191" s="249" t="str">
        <f>VLOOKUP(E191,'5.2 Actions'!$A$3:$B$720,2,0)</f>
        <v>Identifier les sources lacunaires et estimer les émissions des paramètres déclassant  via une revue de la littérature</v>
      </c>
      <c r="G191" s="251" t="str">
        <f>VLOOKUP(E191,'[4]5.2 Actions'!$A$3:$D$718,4,0)</f>
        <v>SEN / WOL / CAN</v>
      </c>
      <c r="H191" s="252">
        <f>VLOOKUP($E191,'5.1 Budget'!$A$4:$H$729,2,0)</f>
        <v>0</v>
      </c>
      <c r="I191" s="252">
        <f>VLOOKUP($E191,'5.1 Budget'!$A$4:$H$729,3,0)</f>
        <v>0</v>
      </c>
      <c r="J191" s="252">
        <f>VLOOKUP($E191,'5.1 Budget'!$A$4:$H$729,4,0)</f>
        <v>0</v>
      </c>
      <c r="K191" s="252">
        <f>VLOOKUP($E191,'5.1 Budget'!$A$4:$H$729,5,0)</f>
        <v>0</v>
      </c>
      <c r="L191" s="252">
        <f>VLOOKUP($E191,'5.1 Budget'!$A$4:$H$729,6,0)</f>
        <v>0</v>
      </c>
      <c r="M191" s="252">
        <f>VLOOKUP($E191,'5.1 Budget'!$A$4:$H$729,7,0)</f>
        <v>0</v>
      </c>
      <c r="N191" s="252">
        <f>VLOOKUP($E191,'5.1 Budget'!$A$4:$H$729,8,0)</f>
        <v>0</v>
      </c>
      <c r="O191" s="254"/>
      <c r="V191" t="str">
        <f>VLOOKUP(D191,'[4]1. Mesures'!$A$1:$B$116,2,0)</f>
        <v>Identifier plus précisément les sources de pollution (HAP, nickel, zinc et phosphore en particulier)</v>
      </c>
      <c r="W191" t="str">
        <f>VLOOKUP(B191,[1]HIERARCH!$A$1:$B$57,2,0)</f>
        <v>Assurer la gestion qualitative des masses d'eau de surface</v>
      </c>
    </row>
    <row r="192" spans="1:25" hidden="1" x14ac:dyDescent="0.25">
      <c r="A192" s="249" t="str">
        <f t="shared" si="8"/>
        <v>1</v>
      </c>
      <c r="B192" s="249" t="str">
        <f>VLOOKUP($D192,'[4]1. Mesures'!$A$2:$G$116,6,0)</f>
        <v>OS 1.1</v>
      </c>
      <c r="C192" s="249" t="str">
        <f>VLOOKUP($D192,'[4]1. Mesures'!$A$2:$G$116,7,0)</f>
        <v>OO 1.1.5</v>
      </c>
      <c r="D192" s="249" t="str">
        <f t="shared" si="7"/>
        <v>M 1.20</v>
      </c>
      <c r="E192" s="250" t="s">
        <v>2829</v>
      </c>
      <c r="F192" s="249" t="str">
        <f>VLOOKUP(E192,'5.2 Actions'!$A$3:$B$720,2,0)</f>
        <v xml:space="preserve">Identifier les sources lacunaires et estimer les émissions des métaux déclassant l’état chimique de la Senne et du Canal (plomb, nickel, mercure, cadmium, zinc) via une campagne de mesures.
Cette campagne s’intéressera à l’apport de polluants via les affluents ainsi qu’aux rejets diffus issus du lessivage des parcelles portuaires.
</v>
      </c>
      <c r="G192" s="251" t="str">
        <f>VLOOKUP(E192,'[4]5.2 Actions'!$A$3:$D$718,4,0)</f>
        <v>SEN / WOL / CAN</v>
      </c>
      <c r="H192" s="252">
        <f>VLOOKUP($E192,'5.1 Budget'!$A$4:$H$729,2,0)</f>
        <v>0</v>
      </c>
      <c r="I192" s="252">
        <f>VLOOKUP($E192,'5.1 Budget'!$A$4:$H$729,3,0)</f>
        <v>0</v>
      </c>
      <c r="J192" s="252">
        <f>VLOOKUP($E192,'5.1 Budget'!$A$4:$H$729,4,0)</f>
        <v>0</v>
      </c>
      <c r="K192" s="252">
        <f>VLOOKUP($E192,'5.1 Budget'!$A$4:$H$729,5,0)</f>
        <v>0</v>
      </c>
      <c r="L192" s="252">
        <f>VLOOKUP($E192,'5.1 Budget'!$A$4:$H$729,6,0)</f>
        <v>0</v>
      </c>
      <c r="M192" s="252">
        <f>VLOOKUP($E192,'5.1 Budget'!$A$4:$H$729,7,0)</f>
        <v>0</v>
      </c>
      <c r="N192" s="252">
        <f>VLOOKUP($E192,'5.1 Budget'!$A$4:$H$729,8,0)</f>
        <v>0</v>
      </c>
      <c r="O192" s="254"/>
      <c r="V192" t="str">
        <f>VLOOKUP(D192,'[4]1. Mesures'!$A$1:$B$116,2,0)</f>
        <v>Identifier plus précisément les sources de pollution (HAP, nickel, zinc et phosphore en particulier)</v>
      </c>
      <c r="W192" t="str">
        <f>VLOOKUP(B192,[1]HIERARCH!$A$1:$B$57,2,0)</f>
        <v>Assurer la gestion qualitative des masses d'eau de surface</v>
      </c>
    </row>
    <row r="193" spans="1:25" hidden="1" x14ac:dyDescent="0.25">
      <c r="A193" s="249" t="str">
        <f t="shared" si="8"/>
        <v>1</v>
      </c>
      <c r="B193" s="249" t="str">
        <f>VLOOKUP($D193,'[4]1. Mesures'!$A$2:$G$116,6,0)</f>
        <v>OS 1.1</v>
      </c>
      <c r="C193" s="249" t="str">
        <f>VLOOKUP($D193,'[4]1. Mesures'!$A$2:$G$116,7,0)</f>
        <v>OO 1.1.5</v>
      </c>
      <c r="D193" s="249" t="str">
        <f t="shared" si="7"/>
        <v>M 1.20</v>
      </c>
      <c r="E193" s="250" t="s">
        <v>2832</v>
      </c>
      <c r="F193" s="249" t="str">
        <f>VLOOKUP(E193,'5.2 Actions'!$A$3:$B$720,2,0)</f>
        <v>Comprendre la dynamique des nutriments et plus spécifiquement, du phosphore dans la vallée de la Woluwe via une campagne de mesures</v>
      </c>
      <c r="G193" s="251" t="str">
        <f>VLOOKUP(E193,'[4]5.2 Actions'!$A$3:$D$718,4,0)</f>
        <v>SEN / WOL / CAN</v>
      </c>
      <c r="H193" s="252">
        <f>VLOOKUP($E193,'5.1 Budget'!$A$4:$H$729,2,0)</f>
        <v>0</v>
      </c>
      <c r="I193" s="252">
        <f>VLOOKUP($E193,'5.1 Budget'!$A$4:$H$729,3,0)</f>
        <v>0</v>
      </c>
      <c r="J193" s="252">
        <f>VLOOKUP($E193,'5.1 Budget'!$A$4:$H$729,4,0)</f>
        <v>0</v>
      </c>
      <c r="K193" s="252">
        <f>VLOOKUP($E193,'5.1 Budget'!$A$4:$H$729,5,0)</f>
        <v>0</v>
      </c>
      <c r="L193" s="252">
        <f>VLOOKUP($E193,'5.1 Budget'!$A$4:$H$729,6,0)</f>
        <v>0</v>
      </c>
      <c r="M193" s="252">
        <f>VLOOKUP($E193,'5.1 Budget'!$A$4:$H$729,7,0)</f>
        <v>0</v>
      </c>
      <c r="N193" s="252">
        <f>VLOOKUP($E193,'5.1 Budget'!$A$4:$H$729,8,0)</f>
        <v>0</v>
      </c>
      <c r="O193" s="254"/>
      <c r="V193" t="str">
        <f>VLOOKUP(D193,'[4]1. Mesures'!$A$1:$B$116,2,0)</f>
        <v>Identifier plus précisément les sources de pollution (HAP, nickel, zinc et phosphore en particulier)</v>
      </c>
      <c r="W193" t="str">
        <f>VLOOKUP(B193,[1]HIERARCH!$A$1:$B$57,2,0)</f>
        <v>Assurer la gestion qualitative des masses d'eau de surface</v>
      </c>
    </row>
    <row r="194" spans="1:25" hidden="1" x14ac:dyDescent="0.25">
      <c r="A194" s="249" t="str">
        <f t="shared" si="8"/>
        <v>1</v>
      </c>
      <c r="B194" s="249" t="str">
        <f>VLOOKUP($D194,'[4]1. Mesures'!$A$2:$G$116,6,0)</f>
        <v>OS 1.1</v>
      </c>
      <c r="C194" s="249" t="str">
        <f>VLOOKUP($D194,'[4]1. Mesures'!$A$2:$G$116,7,0)</f>
        <v>OO 1.1.5</v>
      </c>
      <c r="D194" s="249" t="str">
        <f t="shared" si="7"/>
        <v>M 1.20</v>
      </c>
      <c r="E194" s="250" t="s">
        <v>2835</v>
      </c>
      <c r="F194" s="249" t="str">
        <f>VLOOKUP(E194,'5.2 Actions'!$A$3:$B$720,2,0)</f>
        <v>Actualiser er améliorer l’outil de modélisation des émissions « WEISS »</v>
      </c>
      <c r="G194" s="251" t="str">
        <f>VLOOKUP(E194,'[4]5.2 Actions'!$A$3:$D$718,4,0)</f>
        <v>SEN / WOL / CAN</v>
      </c>
      <c r="H194" s="252">
        <f>VLOOKUP($E194,'5.1 Budget'!$A$4:$H$729,2,0)</f>
        <v>0</v>
      </c>
      <c r="I194" s="252">
        <f>VLOOKUP($E194,'5.1 Budget'!$A$4:$H$729,3,0)</f>
        <v>0</v>
      </c>
      <c r="J194" s="252">
        <f>VLOOKUP($E194,'5.1 Budget'!$A$4:$H$729,4,0)</f>
        <v>60000</v>
      </c>
      <c r="K194" s="252">
        <f>VLOOKUP($E194,'5.1 Budget'!$A$4:$H$729,5,0)</f>
        <v>60000</v>
      </c>
      <c r="L194" s="252">
        <f>VLOOKUP($E194,'5.1 Budget'!$A$4:$H$729,6,0)</f>
        <v>0</v>
      </c>
      <c r="M194" s="252">
        <f>VLOOKUP($E194,'5.1 Budget'!$A$4:$H$729,7,0)</f>
        <v>0</v>
      </c>
      <c r="N194" s="252">
        <f>VLOOKUP($E194,'5.1 Budget'!$A$4:$H$729,8,0)</f>
        <v>120000</v>
      </c>
      <c r="O194" s="254"/>
      <c r="V194" t="str">
        <f>VLOOKUP(D194,'[4]1. Mesures'!$A$1:$B$116,2,0)</f>
        <v>Identifier plus précisément les sources de pollution (HAP, nickel, zinc et phosphore en particulier)</v>
      </c>
      <c r="W194" t="str">
        <f>VLOOKUP(B194,[1]HIERARCH!$A$1:$B$57,2,0)</f>
        <v>Assurer la gestion qualitative des masses d'eau de surface</v>
      </c>
    </row>
    <row r="195" spans="1:25" hidden="1" x14ac:dyDescent="0.25">
      <c r="A195" s="249" t="str">
        <f t="shared" si="8"/>
        <v>1</v>
      </c>
      <c r="B195" s="249" t="str">
        <f>VLOOKUP($D195,'[4]1. Mesures'!$A$2:$G$116,6,0)</f>
        <v>OS 1.1</v>
      </c>
      <c r="C195" s="249" t="str">
        <f>VLOOKUP($D195,'[4]1. Mesures'!$A$2:$G$116,7,0)</f>
        <v>OO 1.1.5</v>
      </c>
      <c r="D195" s="249" t="str">
        <f t="shared" si="7"/>
        <v>M 1.20</v>
      </c>
      <c r="E195" s="250" t="s">
        <v>2837</v>
      </c>
      <c r="F195" s="249" t="str">
        <f>VLOOKUP(E195,'5.2 Actions'!$A$3:$B$720,2,0)</f>
        <v>Valider les données physico-chimiques et chimiques des eaux de surface de 2000 à 2027 et les analyser spatio-temporellement</v>
      </c>
      <c r="G195" s="251" t="str">
        <f>VLOOKUP(E195,'[4]5.2 Actions'!$A$3:$D$718,4,0)</f>
        <v>SEN / WOL / CAN</v>
      </c>
      <c r="H195" s="252">
        <f>VLOOKUP($E195,'5.1 Budget'!$A$4:$H$729,2,0)</f>
        <v>0</v>
      </c>
      <c r="I195" s="252">
        <f>VLOOKUP($E195,'5.1 Budget'!$A$4:$H$729,3,0)</f>
        <v>0</v>
      </c>
      <c r="J195" s="252">
        <f>VLOOKUP($E195,'5.1 Budget'!$A$4:$H$729,4,0)</f>
        <v>0</v>
      </c>
      <c r="K195" s="252">
        <f>VLOOKUP($E195,'5.1 Budget'!$A$4:$H$729,5,0)</f>
        <v>0</v>
      </c>
      <c r="L195" s="252">
        <f>VLOOKUP($E195,'5.1 Budget'!$A$4:$H$729,6,0)</f>
        <v>0</v>
      </c>
      <c r="M195" s="252">
        <f>VLOOKUP($E195,'5.1 Budget'!$A$4:$H$729,7,0)</f>
        <v>0</v>
      </c>
      <c r="N195" s="252">
        <f>VLOOKUP($E195,'5.1 Budget'!$A$4:$H$729,8,0)</f>
        <v>0</v>
      </c>
      <c r="O195" s="254"/>
      <c r="V195" t="str">
        <f>VLOOKUP(D195,'[4]1. Mesures'!$A$1:$B$116,2,0)</f>
        <v>Identifier plus précisément les sources de pollution (HAP, nickel, zinc et phosphore en particulier)</v>
      </c>
      <c r="W195" t="str">
        <f>VLOOKUP(B195,[1]HIERARCH!$A$1:$B$57,2,0)</f>
        <v>Assurer la gestion qualitative des masses d'eau de surface</v>
      </c>
    </row>
    <row r="196" spans="1:25" hidden="1" x14ac:dyDescent="0.25">
      <c r="A196" s="249" t="str">
        <f t="shared" si="8"/>
        <v>1</v>
      </c>
      <c r="B196" s="249" t="str">
        <f>VLOOKUP($D196,'[4]1. Mesures'!$A$2:$G$116,6,0)</f>
        <v>OS 1.1</v>
      </c>
      <c r="C196" s="249" t="str">
        <f>VLOOKUP($D196,'[4]1. Mesures'!$A$2:$G$116,7,0)</f>
        <v>OO 1.1.5</v>
      </c>
      <c r="D196" s="249" t="str">
        <f t="shared" si="7"/>
        <v>M 1.20</v>
      </c>
      <c r="E196" s="250" t="s">
        <v>2839</v>
      </c>
      <c r="F196" s="249" t="str">
        <f>VLOOKUP(E196,'5.2 Actions'!$A$3:$B$720,2,0)</f>
        <v>Identifier les leviers d’action afin de diminuer les concentrations des paramètres déclassant l’état physico-chimique et chimique des masses d’eau de surface</v>
      </c>
      <c r="G196" s="251" t="str">
        <f>VLOOKUP(E196,'[4]5.2 Actions'!$A$3:$D$718,4,0)</f>
        <v>SEN / WOL / CAN</v>
      </c>
      <c r="H196" s="252">
        <f>VLOOKUP($E196,'5.1 Budget'!$A$4:$H$729,2,0)</f>
        <v>0</v>
      </c>
      <c r="I196" s="252">
        <f>VLOOKUP($E196,'5.1 Budget'!$A$4:$H$729,3,0)</f>
        <v>0</v>
      </c>
      <c r="J196" s="252">
        <f>VLOOKUP($E196,'5.1 Budget'!$A$4:$H$729,4,0)</f>
        <v>0</v>
      </c>
      <c r="K196" s="252">
        <f>VLOOKUP($E196,'5.1 Budget'!$A$4:$H$729,5,0)</f>
        <v>0</v>
      </c>
      <c r="L196" s="252">
        <f>VLOOKUP($E196,'5.1 Budget'!$A$4:$H$729,6,0)</f>
        <v>0</v>
      </c>
      <c r="M196" s="252">
        <f>VLOOKUP($E196,'5.1 Budget'!$A$4:$H$729,7,0)</f>
        <v>0</v>
      </c>
      <c r="N196" s="252">
        <f>VLOOKUP($E196,'5.1 Budget'!$A$4:$H$729,8,0)</f>
        <v>0</v>
      </c>
      <c r="O196" s="254"/>
      <c r="V196" t="str">
        <f>VLOOKUP(D196,'[4]1. Mesures'!$A$1:$B$116,2,0)</f>
        <v>Identifier plus précisément les sources de pollution (HAP, nickel, zinc et phosphore en particulier)</v>
      </c>
      <c r="W196" t="str">
        <f>VLOOKUP(B196,[1]HIERARCH!$A$1:$B$57,2,0)</f>
        <v>Assurer la gestion qualitative des masses d'eau de surface</v>
      </c>
    </row>
    <row r="197" spans="1:25" hidden="1" x14ac:dyDescent="0.25">
      <c r="A197" s="249" t="str">
        <f t="shared" si="8"/>
        <v>1</v>
      </c>
      <c r="B197" s="249" t="str">
        <f>VLOOKUP($D197,'[4]1. Mesures'!$A$2:$G$116,6,0)</f>
        <v>OS 1.1</v>
      </c>
      <c r="C197" s="249" t="str">
        <f>VLOOKUP($D197,'[4]1. Mesures'!$A$2:$G$116,7,0)</f>
        <v>OO 1.1.5</v>
      </c>
      <c r="D197" s="249" t="str">
        <f t="shared" si="7"/>
        <v>M 1.20</v>
      </c>
      <c r="E197" s="250" t="s">
        <v>2841</v>
      </c>
      <c r="F197" s="249" t="str">
        <f>VLOOKUP(E197,'5.2 Actions'!$A$3:$B$720,2,0)</f>
        <v>Valoriser l’étude réalisée durant le PGE 2016-2021 portant sur la qualité des eaux de ruissellement (voiries, chemins de fer, trams, toitures)</v>
      </c>
      <c r="G197" s="251" t="str">
        <f>VLOOKUP(E197,'[4]5.2 Actions'!$A$3:$D$718,4,0)</f>
        <v>SEN / WOL / CAN</v>
      </c>
      <c r="H197" s="252">
        <f>VLOOKUP($E197,'5.1 Budget'!$A$4:$H$729,2,0)</f>
        <v>0</v>
      </c>
      <c r="I197" s="252">
        <f>VLOOKUP($E197,'5.1 Budget'!$A$4:$H$729,3,0)</f>
        <v>0</v>
      </c>
      <c r="J197" s="252">
        <f>VLOOKUP($E197,'5.1 Budget'!$A$4:$H$729,4,0)</f>
        <v>0</v>
      </c>
      <c r="K197" s="252">
        <f>VLOOKUP($E197,'5.1 Budget'!$A$4:$H$729,5,0)</f>
        <v>0</v>
      </c>
      <c r="L197" s="252">
        <f>VLOOKUP($E197,'5.1 Budget'!$A$4:$H$729,6,0)</f>
        <v>0</v>
      </c>
      <c r="M197" s="252">
        <f>VLOOKUP($E197,'5.1 Budget'!$A$4:$H$729,7,0)</f>
        <v>0</v>
      </c>
      <c r="N197" s="252">
        <f>VLOOKUP($E197,'5.1 Budget'!$A$4:$H$729,8,0)</f>
        <v>0</v>
      </c>
      <c r="O197" s="254"/>
      <c r="V197" t="str">
        <f>VLOOKUP(D197,'[4]1. Mesures'!$A$1:$B$116,2,0)</f>
        <v>Identifier plus précisément les sources de pollution (HAP, nickel, zinc et phosphore en particulier)</v>
      </c>
      <c r="W197" t="str">
        <f>VLOOKUP(B197,[1]HIERARCH!$A$1:$B$57,2,0)</f>
        <v>Assurer la gestion qualitative des masses d'eau de surface</v>
      </c>
    </row>
    <row r="198" spans="1:25" hidden="1" x14ac:dyDescent="0.25">
      <c r="A198" s="249" t="str">
        <f t="shared" si="8"/>
        <v>1</v>
      </c>
      <c r="B198" s="249" t="str">
        <f>VLOOKUP($D198,'[4]1. Mesures'!$A$2:$G$116,6,0)</f>
        <v>OS 1.1</v>
      </c>
      <c r="C198" s="249" t="str">
        <f>VLOOKUP($D198,'[4]1. Mesures'!$A$2:$G$116,7,0)</f>
        <v>OO 1.1.5</v>
      </c>
      <c r="D198" s="249" t="str">
        <f t="shared" si="7"/>
        <v>M 1.21</v>
      </c>
      <c r="E198" s="250" t="s">
        <v>728</v>
      </c>
      <c r="F198" s="249" t="str">
        <f>VLOOKUP(E198,'5.2 Actions'!$A$3:$B$720,2,0)</f>
        <v>Monitoring biologique dans les cours d'eau et étangs</v>
      </c>
      <c r="G198" s="251" t="str">
        <f>VLOOKUP(E198,'[4]5.2 Actions'!$A$3:$D$718,4,0)</f>
        <v>SEN / WOL / CAN</v>
      </c>
      <c r="H198" s="252">
        <f>VLOOKUP($E198,'5.1 Budget'!$A$4:$H$729,2,0)</f>
        <v>0</v>
      </c>
      <c r="I198" s="252">
        <f>VLOOKUP($E198,'5.1 Budget'!$A$4:$H$729,3,0)</f>
        <v>169000</v>
      </c>
      <c r="J198" s="252">
        <f>VLOOKUP($E198,'5.1 Budget'!$A$4:$H$729,4,0)</f>
        <v>0</v>
      </c>
      <c r="K198" s="252">
        <f>VLOOKUP($E198,'5.1 Budget'!$A$4:$H$729,5,0)</f>
        <v>0</v>
      </c>
      <c r="L198" s="252">
        <f>VLOOKUP($E198,'5.1 Budget'!$A$4:$H$729,6,0)</f>
        <v>163500</v>
      </c>
      <c r="M198" s="252">
        <f>VLOOKUP($E198,'5.1 Budget'!$A$4:$H$729,7,0)</f>
        <v>0</v>
      </c>
      <c r="N198" s="252">
        <f>VLOOKUP($E198,'5.1 Budget'!$A$4:$H$729,8,0)</f>
        <v>332500</v>
      </c>
      <c r="O198" s="254"/>
      <c r="V198" t="str">
        <f>VLOOKUP(D198,'[4]1. Mesures'!$A$1:$B$116,2,0)</f>
        <v>Assurer la surveillance de la qualité de colonne d’eau, des sédiments, du biote, de la biologie et de l’hydromorphologie</v>
      </c>
      <c r="W198" t="str">
        <f>VLOOKUP(B198,[1]HIERARCH!$A$1:$B$57,2,0)</f>
        <v>Assurer la gestion qualitative des masses d'eau de surface</v>
      </c>
      <c r="X198" t="str">
        <f>VLOOKUP(C198,[1]HIERARCH!$A$2:$B$57,2,0)</f>
        <v>Améliorer les connaissances et adapter la règlementation en vue de pouvoir proposer des mesures adéquates de réduction et/ou de suppression des rejets problématiques et sensibiliser les Bruxellois.es afin de diminuer ces pollutions</v>
      </c>
      <c r="Y198" t="str">
        <f t="shared" si="9"/>
        <v>Monitoring biologique dans les cours d'eau et étangs…</v>
      </c>
    </row>
    <row r="199" spans="1:25" hidden="1" x14ac:dyDescent="0.25">
      <c r="A199" s="249" t="str">
        <f t="shared" si="8"/>
        <v>1</v>
      </c>
      <c r="B199" s="249" t="str">
        <f>VLOOKUP($D199,'[4]1. Mesures'!$A$2:$G$116,6,0)</f>
        <v>OS 1.1</v>
      </c>
      <c r="C199" s="249" t="str">
        <f>VLOOKUP($D199,'[4]1. Mesures'!$A$2:$G$116,7,0)</f>
        <v>OO 1.1.5</v>
      </c>
      <c r="D199" s="249" t="str">
        <f t="shared" si="7"/>
        <v>M 1.21</v>
      </c>
      <c r="E199" s="250" t="s">
        <v>730</v>
      </c>
      <c r="F199" s="249" t="str">
        <f>VLOOKUP(E199,'5.2 Actions'!$A$3:$B$720,2,0)</f>
        <v>Monitoring mensuel de la qualité de la colonne d'eau des eaux de surface</v>
      </c>
      <c r="G199" s="251" t="str">
        <f>VLOOKUP(E199,'[4]5.2 Actions'!$A$3:$D$718,4,0)</f>
        <v>SEN / WOL / CAN</v>
      </c>
      <c r="H199" s="252">
        <f>VLOOKUP($E199,'5.1 Budget'!$A$4:$H$729,2,0)</f>
        <v>262000</v>
      </c>
      <c r="I199" s="252">
        <f>VLOOKUP($E199,'5.1 Budget'!$A$4:$H$729,3,0)</f>
        <v>262000</v>
      </c>
      <c r="J199" s="252">
        <f>VLOOKUP($E199,'5.1 Budget'!$A$4:$H$729,4,0)</f>
        <v>192000</v>
      </c>
      <c r="K199" s="252">
        <f>VLOOKUP($E199,'5.1 Budget'!$A$4:$H$729,5,0)</f>
        <v>192000</v>
      </c>
      <c r="L199" s="252">
        <f>VLOOKUP($E199,'5.1 Budget'!$A$4:$H$729,6,0)</f>
        <v>192000</v>
      </c>
      <c r="M199" s="252">
        <f>VLOOKUP($E199,'5.1 Budget'!$A$4:$H$729,7,0)</f>
        <v>192000</v>
      </c>
      <c r="N199" s="252">
        <f>VLOOKUP($E199,'5.1 Budget'!$A$4:$H$729,8,0)</f>
        <v>1292000</v>
      </c>
      <c r="O199" s="254"/>
      <c r="V199" t="str">
        <f>VLOOKUP(D199,'[4]1. Mesures'!$A$1:$B$116,2,0)</f>
        <v>Assurer la surveillance de la qualité de colonne d’eau, des sédiments, du biote, de la biologie et de l’hydromorphologie</v>
      </c>
      <c r="W199" t="str">
        <f>VLOOKUP(B199,[1]HIERARCH!$A$1:$B$57,2,0)</f>
        <v>Assurer la gestion qualitative des masses d'eau de surface</v>
      </c>
      <c r="X199" t="str">
        <f>VLOOKUP(C199,[1]HIERARCH!$A$2:$B$57,2,0)</f>
        <v>Améliorer les connaissances et adapter la règlementation en vue de pouvoir proposer des mesures adéquates de réduction et/ou de suppression des rejets problématiques et sensibiliser les Bruxellois.es afin de diminuer ces pollutions</v>
      </c>
      <c r="Y199" t="str">
        <f t="shared" si="9"/>
        <v>Monitoring mensuel de la qualité de la colonne d'eau des eaux de surface…</v>
      </c>
    </row>
    <row r="200" spans="1:25" hidden="1" x14ac:dyDescent="0.25">
      <c r="A200" s="249" t="str">
        <f t="shared" si="8"/>
        <v>1</v>
      </c>
      <c r="B200" s="249" t="str">
        <f>VLOOKUP($D200,'[4]1. Mesures'!$A$2:$G$116,6,0)</f>
        <v>OS 1.1</v>
      </c>
      <c r="C200" s="249" t="str">
        <f>VLOOKUP($D200,'[4]1. Mesures'!$A$2:$G$116,7,0)</f>
        <v>OO 1.1.5</v>
      </c>
      <c r="D200" s="249" t="str">
        <f t="shared" si="7"/>
        <v>M 1.21</v>
      </c>
      <c r="E200" s="250" t="s">
        <v>731</v>
      </c>
      <c r="F200" s="249" t="str">
        <f>VLOOKUP(E200,'5.2 Actions'!$A$3:$B$720,2,0)</f>
        <v xml:space="preserve">Monitoring de la qualité des sédiments des eaux de surface </v>
      </c>
      <c r="G200" s="251" t="str">
        <f>VLOOKUP(E200,'[4]5.2 Actions'!$A$3:$D$718,4,0)</f>
        <v>SEN / WOL / CAN</v>
      </c>
      <c r="H200" s="252">
        <f>VLOOKUP($E200,'5.1 Budget'!$A$4:$H$729,2,0)</f>
        <v>0</v>
      </c>
      <c r="I200" s="252">
        <f>VLOOKUP($E200,'5.1 Budget'!$A$4:$H$729,3,0)</f>
        <v>95000</v>
      </c>
      <c r="J200" s="252">
        <f>VLOOKUP($E200,'5.1 Budget'!$A$4:$H$729,4,0)</f>
        <v>0</v>
      </c>
      <c r="K200" s="252">
        <f>VLOOKUP($E200,'5.1 Budget'!$A$4:$H$729,5,0)</f>
        <v>0</v>
      </c>
      <c r="L200" s="252">
        <f>VLOOKUP($E200,'5.1 Budget'!$A$4:$H$729,6,0)</f>
        <v>0</v>
      </c>
      <c r="M200" s="252">
        <f>VLOOKUP($E200,'5.1 Budget'!$A$4:$H$729,7,0)</f>
        <v>0</v>
      </c>
      <c r="N200" s="252">
        <f>VLOOKUP($E200,'5.1 Budget'!$A$4:$H$729,8,0)</f>
        <v>95000</v>
      </c>
      <c r="O200" s="254"/>
      <c r="V200" t="str">
        <f>VLOOKUP(D200,'[4]1. Mesures'!$A$1:$B$116,2,0)</f>
        <v>Assurer la surveillance de la qualité de colonne d’eau, des sédiments, du biote, de la biologie et de l’hydromorphologie</v>
      </c>
      <c r="W200" t="str">
        <f>VLOOKUP(B200,[1]HIERARCH!$A$1:$B$57,2,0)</f>
        <v>Assurer la gestion qualitative des masses d'eau de surface</v>
      </c>
      <c r="X200" t="str">
        <f>VLOOKUP(C200,[1]HIERARCH!$A$2:$B$57,2,0)</f>
        <v>Améliorer les connaissances et adapter la règlementation en vue de pouvoir proposer des mesures adéquates de réduction et/ou de suppression des rejets problématiques et sensibiliser les Bruxellois.es afin de diminuer ces pollutions</v>
      </c>
      <c r="Y200" t="str">
        <f t="shared" si="9"/>
        <v>Monitoring de la qualité des sédiments des eaux de surface …</v>
      </c>
    </row>
    <row r="201" spans="1:25" hidden="1" x14ac:dyDescent="0.25">
      <c r="A201" s="249" t="str">
        <f t="shared" si="8"/>
        <v>1</v>
      </c>
      <c r="B201" s="249" t="str">
        <f>VLOOKUP($D201,'[4]1. Mesures'!$A$2:$G$116,6,0)</f>
        <v>OS 1.1</v>
      </c>
      <c r="C201" s="249" t="str">
        <f>VLOOKUP($D201,'[4]1. Mesures'!$A$2:$G$116,7,0)</f>
        <v>OO 1.1.5</v>
      </c>
      <c r="D201" s="249" t="str">
        <f t="shared" si="7"/>
        <v>M 1.21</v>
      </c>
      <c r="E201" s="250" t="s">
        <v>732</v>
      </c>
      <c r="F201" s="249" t="str">
        <f>VLOOKUP(E201,'5.2 Actions'!$A$3:$B$720,2,0)</f>
        <v>Monitoring de la qualité du biote des eaux de surface</v>
      </c>
      <c r="G201" s="251" t="str">
        <f>VLOOKUP(E201,'[4]5.2 Actions'!$A$3:$D$718,4,0)</f>
        <v>SEN / WOL / CAN</v>
      </c>
      <c r="H201" s="252">
        <f>VLOOKUP($E201,'5.1 Budget'!$A$4:$H$729,2,0)</f>
        <v>0</v>
      </c>
      <c r="I201" s="252">
        <f>VLOOKUP($E201,'5.1 Budget'!$A$4:$H$729,3,0)</f>
        <v>0</v>
      </c>
      <c r="J201" s="252">
        <f>VLOOKUP($E201,'5.1 Budget'!$A$4:$H$729,4,0)</f>
        <v>50000</v>
      </c>
      <c r="K201" s="252">
        <f>VLOOKUP($E201,'5.1 Budget'!$A$4:$H$729,5,0)</f>
        <v>0</v>
      </c>
      <c r="L201" s="252">
        <f>VLOOKUP($E201,'5.1 Budget'!$A$4:$H$729,6,0)</f>
        <v>0</v>
      </c>
      <c r="M201" s="252">
        <f>VLOOKUP($E201,'5.1 Budget'!$A$4:$H$729,7,0)</f>
        <v>0</v>
      </c>
      <c r="N201" s="252">
        <f>VLOOKUP($E201,'5.1 Budget'!$A$4:$H$729,8,0)</f>
        <v>50000</v>
      </c>
      <c r="O201" s="254"/>
      <c r="V201" t="str">
        <f>VLOOKUP(D201,'[4]1. Mesures'!$A$1:$B$116,2,0)</f>
        <v>Assurer la surveillance de la qualité de colonne d’eau, des sédiments, du biote, de la biologie et de l’hydromorphologie</v>
      </c>
      <c r="W201" t="str">
        <f>VLOOKUP(B201,[1]HIERARCH!$A$1:$B$57,2,0)</f>
        <v>Assurer la gestion qualitative des masses d'eau de surface</v>
      </c>
      <c r="X201" t="str">
        <f>VLOOKUP(C201,[1]HIERARCH!$A$2:$B$57,2,0)</f>
        <v>Améliorer les connaissances et adapter la règlementation en vue de pouvoir proposer des mesures adéquates de réduction et/ou de suppression des rejets problématiques et sensibiliser les Bruxellois.es afin de diminuer ces pollutions</v>
      </c>
      <c r="Y201" t="str">
        <f t="shared" si="9"/>
        <v>Monitoring de la qualité du biote des eaux de surface…</v>
      </c>
    </row>
    <row r="202" spans="1:25" hidden="1" x14ac:dyDescent="0.25">
      <c r="A202" s="249" t="str">
        <f t="shared" si="8"/>
        <v>1</v>
      </c>
      <c r="B202" s="249" t="str">
        <f>VLOOKUP($D202,'[4]1. Mesures'!$A$2:$G$116,6,0)</f>
        <v>OS 1.1</v>
      </c>
      <c r="C202" s="249" t="str">
        <f>VLOOKUP($D202,'[4]1. Mesures'!$A$2:$G$116,7,0)</f>
        <v>OO 1.1.5</v>
      </c>
      <c r="D202" s="249" t="str">
        <f t="shared" si="7"/>
        <v>M 1.21</v>
      </c>
      <c r="E202" s="250" t="s">
        <v>733</v>
      </c>
      <c r="F202" s="249" t="str">
        <f>VLOOKUP(E202,'5.2 Actions'!$A$3:$B$720,2,0)</f>
        <v>Intégrer et valider les données de chaque nouvelle année de qualité de la colonne d'eau dans la base de données des eaux de surface</v>
      </c>
      <c r="G202" s="251" t="str">
        <f>VLOOKUP(E202,'[4]5.2 Actions'!$A$3:$D$718,4,0)</f>
        <v>SEN / WOL / CAN</v>
      </c>
      <c r="H202" s="252">
        <f>VLOOKUP($E202,'5.1 Budget'!$A$4:$H$729,2,0)</f>
        <v>0</v>
      </c>
      <c r="I202" s="252">
        <f>VLOOKUP($E202,'5.1 Budget'!$A$4:$H$729,3,0)</f>
        <v>0</v>
      </c>
      <c r="J202" s="252">
        <f>VLOOKUP($E202,'5.1 Budget'!$A$4:$H$729,4,0)</f>
        <v>0</v>
      </c>
      <c r="K202" s="252">
        <f>VLOOKUP($E202,'5.1 Budget'!$A$4:$H$729,5,0)</f>
        <v>0</v>
      </c>
      <c r="L202" s="252">
        <f>VLOOKUP($E202,'5.1 Budget'!$A$4:$H$729,6,0)</f>
        <v>0</v>
      </c>
      <c r="M202" s="252">
        <f>VLOOKUP($E202,'5.1 Budget'!$A$4:$H$729,7,0)</f>
        <v>0</v>
      </c>
      <c r="N202" s="252">
        <f>VLOOKUP($E202,'5.1 Budget'!$A$4:$H$729,8,0)</f>
        <v>0</v>
      </c>
      <c r="O202" s="254"/>
      <c r="V202" t="str">
        <f>VLOOKUP(D202,'[4]1. Mesures'!$A$1:$B$116,2,0)</f>
        <v>Assurer la surveillance de la qualité de colonne d’eau, des sédiments, du biote, de la biologie et de l’hydromorphologie</v>
      </c>
      <c r="W202" t="str">
        <f>VLOOKUP(B202,[1]HIERARCH!$A$1:$B$57,2,0)</f>
        <v>Assurer la gestion qualitative des masses d'eau de surface</v>
      </c>
      <c r="X202" t="str">
        <f>VLOOKUP(C202,[1]HIERARCH!$A$2:$B$57,2,0)</f>
        <v>Améliorer les connaissances et adapter la règlementation en vue de pouvoir proposer des mesures adéquates de réduction et/ou de suppression des rejets problématiques et sensibiliser les Bruxellois.es afin de diminuer ces pollutions</v>
      </c>
      <c r="Y202" t="str">
        <f t="shared" si="9"/>
        <v>Intégrer et valider les données de chaque nouvelle année de qualité de la colonne d'eau dans la base de données des eaux…</v>
      </c>
    </row>
    <row r="203" spans="1:25" hidden="1" x14ac:dyDescent="0.25">
      <c r="A203" s="249" t="str">
        <f t="shared" si="8"/>
        <v>1</v>
      </c>
      <c r="B203" s="249" t="str">
        <f>VLOOKUP($D203,'[4]1. Mesures'!$A$2:$G$116,6,0)</f>
        <v>OS 1.1</v>
      </c>
      <c r="C203" s="249" t="str">
        <f>VLOOKUP($D203,'[4]1. Mesures'!$A$2:$G$116,7,0)</f>
        <v>OO 1.1.5</v>
      </c>
      <c r="D203" s="249" t="str">
        <f t="shared" si="7"/>
        <v>M 1.21</v>
      </c>
      <c r="E203" s="250" t="s">
        <v>734</v>
      </c>
      <c r="F203" s="249" t="str">
        <f>VLOOKUP(E203,'5.2 Actions'!$A$3:$B$720,2,0)</f>
        <v>Intégrer les données de qualité des sédiments et les données de qualité du biote dans la base de données des eaux de surface</v>
      </c>
      <c r="G203" s="251" t="str">
        <f>VLOOKUP(E203,'[4]5.2 Actions'!$A$3:$D$718,4,0)</f>
        <v>SEN / WOL / CAN</v>
      </c>
      <c r="H203" s="252">
        <f>VLOOKUP($E203,'5.1 Budget'!$A$4:$H$729,2,0)</f>
        <v>0</v>
      </c>
      <c r="I203" s="252">
        <f>VLOOKUP($E203,'5.1 Budget'!$A$4:$H$729,3,0)</f>
        <v>0</v>
      </c>
      <c r="J203" s="252">
        <f>VLOOKUP($E203,'5.1 Budget'!$A$4:$H$729,4,0)</f>
        <v>0</v>
      </c>
      <c r="K203" s="252">
        <f>VLOOKUP($E203,'5.1 Budget'!$A$4:$H$729,5,0)</f>
        <v>0</v>
      </c>
      <c r="L203" s="252">
        <f>VLOOKUP($E203,'5.1 Budget'!$A$4:$H$729,6,0)</f>
        <v>0</v>
      </c>
      <c r="M203" s="252">
        <f>VLOOKUP($E203,'5.1 Budget'!$A$4:$H$729,7,0)</f>
        <v>0</v>
      </c>
      <c r="N203" s="252">
        <f>VLOOKUP($E203,'5.1 Budget'!$A$4:$H$729,8,0)</f>
        <v>0</v>
      </c>
      <c r="O203" s="254"/>
      <c r="V203" t="str">
        <f>VLOOKUP(D203,'[4]1. Mesures'!$A$1:$B$116,2,0)</f>
        <v>Assurer la surveillance de la qualité de colonne d’eau, des sédiments, du biote, de la biologie et de l’hydromorphologie</v>
      </c>
      <c r="W203" t="str">
        <f>VLOOKUP(B203,[1]HIERARCH!$A$1:$B$57,2,0)</f>
        <v>Assurer la gestion qualitative des masses d'eau de surface</v>
      </c>
      <c r="X203" t="str">
        <f>VLOOKUP(C203,[1]HIERARCH!$A$2:$B$57,2,0)</f>
        <v>Améliorer les connaissances et adapter la règlementation en vue de pouvoir proposer des mesures adéquates de réduction et/ou de suppression des rejets problématiques et sensibiliser les Bruxellois.es afin de diminuer ces pollutions</v>
      </c>
      <c r="Y203" t="str">
        <f t="shared" si="9"/>
        <v>Intégrer les données de qualité des sédiments et les données de qualité du biote dans la base de données des eaux de sur…</v>
      </c>
    </row>
    <row r="204" spans="1:25" hidden="1" x14ac:dyDescent="0.25">
      <c r="A204" s="249" t="str">
        <f t="shared" si="8"/>
        <v>1</v>
      </c>
      <c r="B204" s="249" t="str">
        <f>VLOOKUP($D204,'[4]1. Mesures'!$A$2:$G$116,6,0)</f>
        <v>OS 1.1</v>
      </c>
      <c r="C204" s="249" t="str">
        <f>VLOOKUP($D204,'[4]1. Mesures'!$A$2:$G$116,7,0)</f>
        <v>OO 1.1.5</v>
      </c>
      <c r="D204" s="249" t="str">
        <f t="shared" si="7"/>
        <v>M 1.21</v>
      </c>
      <c r="E204" s="250" t="s">
        <v>735</v>
      </c>
      <c r="F204" s="249" t="str">
        <f>VLOOKUP(E204,'5.2 Actions'!$A$3:$B$720,2,0)</f>
        <v>Diffuser librement les données de surveillance de la qualité de l'eau</v>
      </c>
      <c r="G204" s="251" t="str">
        <f>VLOOKUP(E204,'[4]5.2 Actions'!$A$3:$D$718,4,0)</f>
        <v>SEN / WOL / CAN</v>
      </c>
      <c r="H204" s="252">
        <f>VLOOKUP($E204,'5.1 Budget'!$A$4:$H$729,2,0)</f>
        <v>0</v>
      </c>
      <c r="I204" s="252">
        <f>VLOOKUP($E204,'5.1 Budget'!$A$4:$H$729,3,0)</f>
        <v>0</v>
      </c>
      <c r="J204" s="252">
        <f>VLOOKUP($E204,'5.1 Budget'!$A$4:$H$729,4,0)</f>
        <v>0</v>
      </c>
      <c r="K204" s="252">
        <f>VLOOKUP($E204,'5.1 Budget'!$A$4:$H$729,5,0)</f>
        <v>0</v>
      </c>
      <c r="L204" s="252">
        <f>VLOOKUP($E204,'5.1 Budget'!$A$4:$H$729,6,0)</f>
        <v>0</v>
      </c>
      <c r="M204" s="252">
        <f>VLOOKUP($E204,'5.1 Budget'!$A$4:$H$729,7,0)</f>
        <v>0</v>
      </c>
      <c r="N204" s="252">
        <f>VLOOKUP($E204,'5.1 Budget'!$A$4:$H$729,8,0)</f>
        <v>0</v>
      </c>
      <c r="O204" s="254"/>
      <c r="V204" t="str">
        <f>VLOOKUP(D204,'[4]1. Mesures'!$A$1:$B$116,2,0)</f>
        <v>Assurer la surveillance de la qualité de colonne d’eau, des sédiments, du biote, de la biologie et de l’hydromorphologie</v>
      </c>
      <c r="W204" t="str">
        <f>VLOOKUP(B204,[1]HIERARCH!$A$1:$B$57,2,0)</f>
        <v>Assurer la gestion qualitative des masses d'eau de surface</v>
      </c>
      <c r="X204" t="str">
        <f>VLOOKUP(C204,[1]HIERARCH!$A$2:$B$57,2,0)</f>
        <v>Améliorer les connaissances et adapter la règlementation en vue de pouvoir proposer des mesures adéquates de réduction et/ou de suppression des rejets problématiques et sensibiliser les Bruxellois.es afin de diminuer ces pollutions</v>
      </c>
      <c r="Y204" t="str">
        <f t="shared" si="9"/>
        <v>Diffuser librement les données de surveillance de la qualité de l'eau…</v>
      </c>
    </row>
    <row r="205" spans="1:25" hidden="1" x14ac:dyDescent="0.25">
      <c r="A205" s="249" t="str">
        <f t="shared" si="8"/>
        <v>1</v>
      </c>
      <c r="B205" s="249" t="str">
        <f>VLOOKUP($D205,'[4]1. Mesures'!$A$2:$G$116,6,0)</f>
        <v>OS 1.1</v>
      </c>
      <c r="C205" s="249" t="str">
        <f>VLOOKUP($D205,'[4]1. Mesures'!$A$2:$G$116,7,0)</f>
        <v>OO 1.1.5</v>
      </c>
      <c r="D205" s="249" t="str">
        <f t="shared" si="7"/>
        <v>M 1.21</v>
      </c>
      <c r="E205" s="250" t="s">
        <v>736</v>
      </c>
      <c r="F205" s="249" t="str">
        <f>VLOOKUP(E205,'5.2 Actions'!$A$3:$B$720,2,0)</f>
        <v>Inventorier les modifications hydromorphologiques des eaux de surface</v>
      </c>
      <c r="G205" s="251" t="str">
        <f>VLOOKUP(E205,'[4]5.2 Actions'!$A$3:$D$718,4,0)</f>
        <v>SEN / WOL / CAN</v>
      </c>
      <c r="H205" s="252">
        <f>VLOOKUP($E205,'5.1 Budget'!$A$4:$H$729,2,0)</f>
        <v>0</v>
      </c>
      <c r="I205" s="252">
        <f>VLOOKUP($E205,'5.1 Budget'!$A$4:$H$729,3,0)</f>
        <v>0</v>
      </c>
      <c r="J205" s="252">
        <f>VLOOKUP($E205,'5.1 Budget'!$A$4:$H$729,4,0)</f>
        <v>0</v>
      </c>
      <c r="K205" s="252">
        <f>VLOOKUP($E205,'5.1 Budget'!$A$4:$H$729,5,0)</f>
        <v>0</v>
      </c>
      <c r="L205" s="252">
        <f>VLOOKUP($E205,'5.1 Budget'!$A$4:$H$729,6,0)</f>
        <v>0</v>
      </c>
      <c r="M205" s="252">
        <f>VLOOKUP($E205,'5.1 Budget'!$A$4:$H$729,7,0)</f>
        <v>0</v>
      </c>
      <c r="N205" s="252">
        <f>VLOOKUP($E205,'5.1 Budget'!$A$4:$H$729,8,0)</f>
        <v>0</v>
      </c>
      <c r="O205" s="254"/>
      <c r="V205" t="str">
        <f>VLOOKUP(D205,'[4]1. Mesures'!$A$1:$B$116,2,0)</f>
        <v>Assurer la surveillance de la qualité de colonne d’eau, des sédiments, du biote, de la biologie et de l’hydromorphologie</v>
      </c>
      <c r="W205" t="str">
        <f>VLOOKUP(B205,[1]HIERARCH!$A$1:$B$57,2,0)</f>
        <v>Assurer la gestion qualitative des masses d'eau de surface</v>
      </c>
      <c r="X205" t="str">
        <f>VLOOKUP(C205,[1]HIERARCH!$A$2:$B$57,2,0)</f>
        <v>Améliorer les connaissances et adapter la règlementation en vue de pouvoir proposer des mesures adéquates de réduction et/ou de suppression des rejets problématiques et sensibiliser les Bruxellois.es afin de diminuer ces pollutions</v>
      </c>
      <c r="Y205" t="str">
        <f t="shared" si="9"/>
        <v>Inventorier les modifications hydromorphologiques des eaux de surface…</v>
      </c>
    </row>
    <row r="206" spans="1:25" hidden="1" x14ac:dyDescent="0.25">
      <c r="A206" s="249" t="str">
        <f t="shared" si="8"/>
        <v>1</v>
      </c>
      <c r="B206" s="249" t="str">
        <f>VLOOKUP($D206,'[4]1. Mesures'!$A$2:$G$116,6,0)</f>
        <v>OS 1.1</v>
      </c>
      <c r="C206" s="249" t="str">
        <f>VLOOKUP($D206,'[4]1. Mesures'!$A$2:$G$116,7,0)</f>
        <v>OO 1.1.5</v>
      </c>
      <c r="D206" s="249" t="str">
        <f t="shared" si="7"/>
        <v>M 1.21</v>
      </c>
      <c r="E206" s="250" t="s">
        <v>737</v>
      </c>
      <c r="F206" s="249" t="str">
        <f>VLOOKUP(E206,'5.2 Actions'!$A$3:$B$720,2,0)</f>
        <v>Communiquer sur les états biologiques et hydromorphologiques via des publications de l'état de l'environnement</v>
      </c>
      <c r="G206" s="251" t="str">
        <f>VLOOKUP(E206,'[4]5.2 Actions'!$A$3:$D$718,4,0)</f>
        <v>SEN / WOL / CAN</v>
      </c>
      <c r="H206" s="252">
        <f>VLOOKUP($E206,'5.1 Budget'!$A$4:$H$729,2,0)</f>
        <v>0</v>
      </c>
      <c r="I206" s="252">
        <f>VLOOKUP($E206,'5.1 Budget'!$A$4:$H$729,3,0)</f>
        <v>0</v>
      </c>
      <c r="J206" s="252">
        <f>VLOOKUP($E206,'5.1 Budget'!$A$4:$H$729,4,0)</f>
        <v>0</v>
      </c>
      <c r="K206" s="252">
        <f>VLOOKUP($E206,'5.1 Budget'!$A$4:$H$729,5,0)</f>
        <v>0</v>
      </c>
      <c r="L206" s="252">
        <f>VLOOKUP($E206,'5.1 Budget'!$A$4:$H$729,6,0)</f>
        <v>0</v>
      </c>
      <c r="M206" s="252">
        <f>VLOOKUP($E206,'5.1 Budget'!$A$4:$H$729,7,0)</f>
        <v>0</v>
      </c>
      <c r="N206" s="252">
        <f>VLOOKUP($E206,'5.1 Budget'!$A$4:$H$729,8,0)</f>
        <v>0</v>
      </c>
      <c r="O206" s="254"/>
      <c r="V206" t="str">
        <f>VLOOKUP(D206,'[4]1. Mesures'!$A$1:$B$116,2,0)</f>
        <v>Assurer la surveillance de la qualité de colonne d’eau, des sédiments, du biote, de la biologie et de l’hydromorphologie</v>
      </c>
      <c r="W206" t="str">
        <f>VLOOKUP(B206,[1]HIERARCH!$A$1:$B$57,2,0)</f>
        <v>Assurer la gestion qualitative des masses d'eau de surface</v>
      </c>
      <c r="X206" t="str">
        <f>VLOOKUP(C206,[1]HIERARCH!$A$2:$B$57,2,0)</f>
        <v>Améliorer les connaissances et adapter la règlementation en vue de pouvoir proposer des mesures adéquates de réduction et/ou de suppression des rejets problématiques et sensibiliser les Bruxellois.es afin de diminuer ces pollutions</v>
      </c>
      <c r="Y206" t="str">
        <f t="shared" si="9"/>
        <v>Communiquer sur les états biologiques et hydromorphologiques via des publications de l'état de l'environnement…</v>
      </c>
    </row>
    <row r="207" spans="1:25" hidden="1" x14ac:dyDescent="0.25">
      <c r="A207" s="249" t="str">
        <f t="shared" si="8"/>
        <v>1</v>
      </c>
      <c r="B207" s="249" t="str">
        <f>VLOOKUP($D207,'[4]1. Mesures'!$A$2:$G$116,6,0)</f>
        <v>OS 1.1</v>
      </c>
      <c r="C207" s="249" t="str">
        <f>VLOOKUP($D207,'[4]1. Mesures'!$A$2:$G$116,7,0)</f>
        <v>OO 1.1.5</v>
      </c>
      <c r="D207" s="249" t="str">
        <f t="shared" si="7"/>
        <v>M 1.21</v>
      </c>
      <c r="E207" s="250" t="s">
        <v>729</v>
      </c>
      <c r="F207" s="249" t="str">
        <f>VLOOKUP(E207,'5.2 Actions'!$A$3:$B$720,2,0)</f>
        <v>Actualisation du potentiel écologique et de l'état chimique des eaux de surface</v>
      </c>
      <c r="G207" s="251" t="str">
        <f>VLOOKUP(E207,'[4]5.2 Actions'!$A$3:$D$718,4,0)</f>
        <v>SEN / WOL / CAN</v>
      </c>
      <c r="H207" s="252">
        <f>VLOOKUP($E207,'5.1 Budget'!$A$4:$H$729,2,0)</f>
        <v>0</v>
      </c>
      <c r="I207" s="252">
        <f>VLOOKUP($E207,'5.1 Budget'!$A$4:$H$729,3,0)</f>
        <v>0</v>
      </c>
      <c r="J207" s="252">
        <f>VLOOKUP($E207,'5.1 Budget'!$A$4:$H$729,4,0)</f>
        <v>0</v>
      </c>
      <c r="K207" s="252">
        <f>VLOOKUP($E207,'5.1 Budget'!$A$4:$H$729,5,0)</f>
        <v>0</v>
      </c>
      <c r="L207" s="252">
        <f>VLOOKUP($E207,'5.1 Budget'!$A$4:$H$729,6,0)</f>
        <v>0</v>
      </c>
      <c r="M207" s="252">
        <f>VLOOKUP($E207,'5.1 Budget'!$A$4:$H$729,7,0)</f>
        <v>0</v>
      </c>
      <c r="N207" s="252">
        <f>VLOOKUP($E207,'5.1 Budget'!$A$4:$H$729,8,0)</f>
        <v>0</v>
      </c>
      <c r="O207" s="254"/>
      <c r="V207" t="str">
        <f>VLOOKUP(D207,'[4]1. Mesures'!$A$1:$B$116,2,0)</f>
        <v>Assurer la surveillance de la qualité de colonne d’eau, des sédiments, du biote, de la biologie et de l’hydromorphologie</v>
      </c>
      <c r="W207" t="str">
        <f>VLOOKUP(B207,[1]HIERARCH!$A$1:$B$57,2,0)</f>
        <v>Assurer la gestion qualitative des masses d'eau de surface</v>
      </c>
      <c r="X207" t="str">
        <f>VLOOKUP(C207,[1]HIERARCH!$A$2:$B$57,2,0)</f>
        <v>Améliorer les connaissances et adapter la règlementation en vue de pouvoir proposer des mesures adéquates de réduction et/ou de suppression des rejets problématiques et sensibiliser les Bruxellois.es afin de diminuer ces pollutions</v>
      </c>
      <c r="Y207" t="str">
        <f t="shared" si="9"/>
        <v>Actualisation du potentiel écologique et de l'état chimique des eaux de surface…</v>
      </c>
    </row>
    <row r="208" spans="1:25" hidden="1" x14ac:dyDescent="0.25">
      <c r="A208" s="249" t="str">
        <f t="shared" si="8"/>
        <v>1</v>
      </c>
      <c r="B208" s="249" t="str">
        <f>VLOOKUP($D208,'[4]1. Mesures'!$A$2:$G$116,6,0)</f>
        <v>OS 1.1</v>
      </c>
      <c r="C208" s="249" t="str">
        <f>VLOOKUP($D208,'[4]1. Mesures'!$A$2:$G$116,7,0)</f>
        <v>OO 1.1.5</v>
      </c>
      <c r="D208" s="249" t="str">
        <f t="shared" si="7"/>
        <v>M 1.22</v>
      </c>
      <c r="E208" s="250" t="s">
        <v>738</v>
      </c>
      <c r="F208" s="249" t="str">
        <f>VLOOKUP(E208,'5.2 Actions'!$A$3:$B$720,2,0)</f>
        <v>Entretien et réparation/remplacement des sondes du réseau Flowbru existantes et nouvellement installées</v>
      </c>
      <c r="G208" s="251" t="str">
        <f>VLOOKUP(E208,'[4]5.2 Actions'!$A$3:$D$718,4,0)</f>
        <v>SEN / WOL / CAN</v>
      </c>
      <c r="H208" s="252">
        <f>VLOOKUP($E208,'5.1 Budget'!$A$4:$H$729,2,0)</f>
        <v>250000</v>
      </c>
      <c r="I208" s="252">
        <f>VLOOKUP($E208,'5.1 Budget'!$A$4:$H$729,3,0)</f>
        <v>350000</v>
      </c>
      <c r="J208" s="252">
        <f>VLOOKUP($E208,'5.1 Budget'!$A$4:$H$729,4,0)</f>
        <v>350000</v>
      </c>
      <c r="K208" s="252">
        <f>VLOOKUP($E208,'5.1 Budget'!$A$4:$H$729,5,0)</f>
        <v>350000</v>
      </c>
      <c r="L208" s="252">
        <f>VLOOKUP($E208,'5.1 Budget'!$A$4:$H$729,6,0)</f>
        <v>350000</v>
      </c>
      <c r="M208" s="252">
        <f>VLOOKUP($E208,'5.1 Budget'!$A$4:$H$729,7,0)</f>
        <v>350000</v>
      </c>
      <c r="N208" s="252">
        <f>VLOOKUP($E208,'5.1 Budget'!$A$4:$H$729,8,0)</f>
        <v>2000000</v>
      </c>
      <c r="O208" s="254"/>
      <c r="V208" t="str">
        <f>VLOOKUP(D208,'[4]1. Mesures'!$A$1:$B$116,2,0)</f>
        <v>Assurer et développer le réseau de monitoring qualitatif et quantitatif en continu FlowBru</v>
      </c>
      <c r="W208" t="str">
        <f>VLOOKUP(B208,[1]HIERARCH!$A$1:$B$57,2,0)</f>
        <v>Assurer la gestion qualitative des masses d'eau de surface</v>
      </c>
      <c r="X208" t="str">
        <f>VLOOKUP(C208,[1]HIERARCH!$A$2:$B$57,2,0)</f>
        <v>Améliorer les connaissances et adapter la règlementation en vue de pouvoir proposer des mesures adéquates de réduction et/ou de suppression des rejets problématiques et sensibiliser les Bruxellois.es afin de diminuer ces pollutions</v>
      </c>
      <c r="Y208" t="str">
        <f t="shared" si="9"/>
        <v>Entretien et réparation/remplacement des sondes du réseau Flowbru existantes et nouvellement installées…</v>
      </c>
    </row>
    <row r="209" spans="1:25" hidden="1" x14ac:dyDescent="0.25">
      <c r="A209" s="249" t="str">
        <f t="shared" si="8"/>
        <v>1</v>
      </c>
      <c r="B209" s="249" t="str">
        <f>VLOOKUP($D209,'[4]1. Mesures'!$A$2:$G$116,6,0)</f>
        <v>OS 1.1</v>
      </c>
      <c r="C209" s="249" t="str">
        <f>VLOOKUP($D209,'[4]1. Mesures'!$A$2:$G$116,7,0)</f>
        <v>OO 1.1.5</v>
      </c>
      <c r="D209" s="249" t="str">
        <f t="shared" si="7"/>
        <v>M 1.22</v>
      </c>
      <c r="E209" s="250" t="s">
        <v>742</v>
      </c>
      <c r="F209" s="249" t="str">
        <f>VLOOKUP(E209,'5.2 Actions'!$A$3:$B$720,2,0)</f>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v>
      </c>
      <c r="G209" s="251" t="str">
        <f>VLOOKUP(E209,'[4]5.2 Actions'!$A$3:$D$718,4,0)</f>
        <v>SEN / WOL / CAN</v>
      </c>
      <c r="H209" s="252">
        <f>VLOOKUP($E209,'5.1 Budget'!$A$4:$H$729,2,0)</f>
        <v>125000</v>
      </c>
      <c r="I209" s="252">
        <f>VLOOKUP($E209,'5.1 Budget'!$A$4:$H$729,3,0)</f>
        <v>125000</v>
      </c>
      <c r="J209" s="252">
        <f>VLOOKUP($E209,'5.1 Budget'!$A$4:$H$729,4,0)</f>
        <v>85000</v>
      </c>
      <c r="K209" s="252">
        <f>VLOOKUP($E209,'5.1 Budget'!$A$4:$H$729,5,0)</f>
        <v>0</v>
      </c>
      <c r="L209" s="252">
        <f>VLOOKUP($E209,'5.1 Budget'!$A$4:$H$729,6,0)</f>
        <v>0</v>
      </c>
      <c r="M209" s="252">
        <f>VLOOKUP($E209,'5.1 Budget'!$A$4:$H$729,7,0)</f>
        <v>0</v>
      </c>
      <c r="N209" s="252">
        <f>VLOOKUP($E209,'5.1 Budget'!$A$4:$H$729,8,0)</f>
        <v>335000</v>
      </c>
      <c r="O209" s="254"/>
      <c r="V209" t="str">
        <f>VLOOKUP(D209,'[4]1. Mesures'!$A$1:$B$116,2,0)</f>
        <v>Assurer et développer le réseau de monitoring qualitatif et quantitatif en continu FlowBru</v>
      </c>
      <c r="W209" t="str">
        <f>VLOOKUP(B209,[1]HIERARCH!$A$1:$B$57,2,0)</f>
        <v>Assurer la gestion qualitative des masses d'eau de surface</v>
      </c>
      <c r="X209" t="str">
        <f>VLOOKUP(C209,[1]HIERARCH!$A$2:$B$57,2,0)</f>
        <v>Améliorer les connaissances et adapter la règlementation en vue de pouvoir proposer des mesures adéquates de réduction et/ou de suppression des rejets problématiques et sensibiliser les Bruxellois.es afin de diminuer ces pollutions</v>
      </c>
      <c r="Y209" t="str">
        <f t="shared" si="9"/>
        <v>Extension du réseau Flowbru avec le déploiement de sondes (débit, hauteur d'eau, fréquence) surveillant en continu (via …</v>
      </c>
    </row>
    <row r="210" spans="1:25" hidden="1" x14ac:dyDescent="0.25">
      <c r="A210" s="249" t="str">
        <f t="shared" si="8"/>
        <v>1</v>
      </c>
      <c r="B210" s="249" t="str">
        <f>VLOOKUP($D210,'[4]1. Mesures'!$A$2:$G$116,6,0)</f>
        <v>OS 1.1</v>
      </c>
      <c r="C210" s="249" t="str">
        <f>VLOOKUP($D210,'[4]1. Mesures'!$A$2:$G$116,7,0)</f>
        <v>OO 1.1.5</v>
      </c>
      <c r="D210" s="249" t="str">
        <f t="shared" si="7"/>
        <v>M 1.22</v>
      </c>
      <c r="E210" s="250" t="s">
        <v>743</v>
      </c>
      <c r="F210" s="249" t="str">
        <f>VLOOKUP(E210,'5.2 Actions'!$A$3:$B$720,2,0)</f>
        <v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v>
      </c>
      <c r="G210" s="251" t="str">
        <f>VLOOKUP(E210,'[4]5.2 Actions'!$A$3:$D$718,4,0)</f>
        <v>SEN / CAN</v>
      </c>
      <c r="H210" s="252">
        <f>VLOOKUP($E210,'5.1 Budget'!$A$4:$H$729,2,0)</f>
        <v>140000</v>
      </c>
      <c r="I210" s="252">
        <f>VLOOKUP($E210,'5.1 Budget'!$A$4:$H$729,3,0)</f>
        <v>70000</v>
      </c>
      <c r="J210" s="252">
        <f>VLOOKUP($E210,'5.1 Budget'!$A$4:$H$729,4,0)</f>
        <v>70000</v>
      </c>
      <c r="K210" s="252">
        <f>VLOOKUP($E210,'5.1 Budget'!$A$4:$H$729,5,0)</f>
        <v>0</v>
      </c>
      <c r="L210" s="252">
        <f>VLOOKUP($E210,'5.1 Budget'!$A$4:$H$729,6,0)</f>
        <v>0</v>
      </c>
      <c r="M210" s="252">
        <f>VLOOKUP($E210,'5.1 Budget'!$A$4:$H$729,7,0)</f>
        <v>0</v>
      </c>
      <c r="N210" s="252">
        <f>VLOOKUP($E210,'5.1 Budget'!$A$4:$H$729,8,0)</f>
        <v>280000</v>
      </c>
      <c r="O210" s="254"/>
      <c r="V210" t="str">
        <f>VLOOKUP(D210,'[4]1. Mesures'!$A$1:$B$116,2,0)</f>
        <v>Assurer et développer le réseau de monitoring qualitatif et quantitatif en continu FlowBru</v>
      </c>
      <c r="W210" t="str">
        <f>VLOOKUP(B210,[1]HIERARCH!$A$1:$B$57,2,0)</f>
        <v>Assurer la gestion qualitative des masses d'eau de surface</v>
      </c>
      <c r="X210" t="str">
        <f>VLOOKUP(C210,[1]HIERARCH!$A$2:$B$57,2,0)</f>
        <v>Améliorer les connaissances et adapter la règlementation en vue de pouvoir proposer des mesures adéquates de réduction et/ou de suppression des rejets problématiques et sensibiliser les Bruxellois.es afin de diminuer ces pollutions</v>
      </c>
      <c r="Y210" t="str">
        <f t="shared" si="9"/>
        <v>Extension du réseau Flowbru avec le déploiement/renouvellement de sondes de mesures en continu (via un FTP ou webservice…</v>
      </c>
    </row>
    <row r="211" spans="1:25" hidden="1" x14ac:dyDescent="0.25">
      <c r="A211" s="249" t="str">
        <f t="shared" si="8"/>
        <v>1</v>
      </c>
      <c r="B211" s="249" t="str">
        <f>VLOOKUP($D211,'[4]1. Mesures'!$A$2:$G$116,6,0)</f>
        <v>OS 1.1</v>
      </c>
      <c r="C211" s="249" t="str">
        <f>VLOOKUP($D211,'[4]1. Mesures'!$A$2:$G$116,7,0)</f>
        <v>OO 1.1.5</v>
      </c>
      <c r="D211" s="249" t="str">
        <f t="shared" si="7"/>
        <v>M 1.22</v>
      </c>
      <c r="E211" s="250" t="s">
        <v>744</v>
      </c>
      <c r="F211" s="249" t="str">
        <f>VLOOKUP(E211,'5.2 Actions'!$A$3:$B$720,2,0)</f>
        <v>Intégration des sondes déployées dans le site web de diffusion des données Flowbru et diffusion des données de toutes les sondes</v>
      </c>
      <c r="G211" s="251" t="str">
        <f>VLOOKUP(E211,'[4]5.2 Actions'!$A$3:$D$718,4,0)</f>
        <v>SEN / WOL / CAN</v>
      </c>
      <c r="H211" s="252">
        <f>VLOOKUP($E211,'5.1 Budget'!$A$4:$H$729,2,0)</f>
        <v>5000</v>
      </c>
      <c r="I211" s="252">
        <f>VLOOKUP($E211,'5.1 Budget'!$A$4:$H$729,3,0)</f>
        <v>5000</v>
      </c>
      <c r="J211" s="252">
        <f>VLOOKUP($E211,'5.1 Budget'!$A$4:$H$729,4,0)</f>
        <v>5000</v>
      </c>
      <c r="K211" s="252">
        <f>VLOOKUP($E211,'5.1 Budget'!$A$4:$H$729,5,0)</f>
        <v>5000</v>
      </c>
      <c r="L211" s="252">
        <f>VLOOKUP($E211,'5.1 Budget'!$A$4:$H$729,6,0)</f>
        <v>5000</v>
      </c>
      <c r="M211" s="252">
        <f>VLOOKUP($E211,'5.1 Budget'!$A$4:$H$729,7,0)</f>
        <v>5000</v>
      </c>
      <c r="N211" s="252">
        <f>VLOOKUP($E211,'5.1 Budget'!$A$4:$H$729,8,0)</f>
        <v>30000</v>
      </c>
      <c r="O211" s="254"/>
      <c r="V211" t="str">
        <f>VLOOKUP(D211,'[4]1. Mesures'!$A$1:$B$116,2,0)</f>
        <v>Assurer et développer le réseau de monitoring qualitatif et quantitatif en continu FlowBru</v>
      </c>
      <c r="W211" t="str">
        <f>VLOOKUP(B211,[1]HIERARCH!$A$1:$B$57,2,0)</f>
        <v>Assurer la gestion qualitative des masses d'eau de surface</v>
      </c>
      <c r="X211" t="str">
        <f>VLOOKUP(C211,[1]HIERARCH!$A$2:$B$57,2,0)</f>
        <v>Améliorer les connaissances et adapter la règlementation en vue de pouvoir proposer des mesures adéquates de réduction et/ou de suppression des rejets problématiques et sensibiliser les Bruxellois.es afin de diminuer ces pollutions</v>
      </c>
      <c r="Y211" t="str">
        <f t="shared" si="9"/>
        <v>Intégration des sondes déployées dans le site web de diffusion des données Flowbru et diffusion des données de toutes le…</v>
      </c>
    </row>
    <row r="212" spans="1:25" hidden="1" x14ac:dyDescent="0.25">
      <c r="A212" s="249" t="str">
        <f t="shared" si="8"/>
        <v>1</v>
      </c>
      <c r="B212" s="249" t="str">
        <f>VLOOKUP($D212,'[4]1. Mesures'!$A$2:$G$116,6,0)</f>
        <v>OS 1.1</v>
      </c>
      <c r="C212" s="249" t="str">
        <f>VLOOKUP($D212,'[4]1. Mesures'!$A$2:$G$116,7,0)</f>
        <v>OO 1.1.5</v>
      </c>
      <c r="D212" s="249" t="str">
        <f t="shared" ref="D212:D255" si="10">"M"&amp;" "&amp;LEFT(E212,4)</f>
        <v>M 1.22</v>
      </c>
      <c r="E212" s="250" t="s">
        <v>745</v>
      </c>
      <c r="F212" s="249" t="str">
        <f>VLOOKUP(E212,'5.2 Actions'!$A$3:$B$720,2,0)</f>
        <v>Poursuivre la validation des nouvelles données pluviométriques, poursuivre la validation des données</v>
      </c>
      <c r="G212" s="251" t="str">
        <f>VLOOKUP(E212,'[4]5.2 Actions'!$A$3:$D$718,4,0)</f>
        <v>SEN / WOL / CAN</v>
      </c>
      <c r="H212" s="252">
        <f>VLOOKUP($E212,'5.1 Budget'!$A$4:$H$729,2,0)</f>
        <v>5000</v>
      </c>
      <c r="I212" s="252">
        <f>VLOOKUP($E212,'5.1 Budget'!$A$4:$H$729,3,0)</f>
        <v>5000</v>
      </c>
      <c r="J212" s="252">
        <f>VLOOKUP($E212,'5.1 Budget'!$A$4:$H$729,4,0)</f>
        <v>5000</v>
      </c>
      <c r="K212" s="252">
        <f>VLOOKUP($E212,'5.1 Budget'!$A$4:$H$729,5,0)</f>
        <v>5000</v>
      </c>
      <c r="L212" s="252">
        <f>VLOOKUP($E212,'5.1 Budget'!$A$4:$H$729,6,0)</f>
        <v>5000</v>
      </c>
      <c r="M212" s="252">
        <f>VLOOKUP($E212,'5.1 Budget'!$A$4:$H$729,7,0)</f>
        <v>5000</v>
      </c>
      <c r="N212" s="252">
        <f>VLOOKUP($E212,'5.1 Budget'!$A$4:$H$729,8,0)</f>
        <v>30000</v>
      </c>
      <c r="O212" s="254"/>
      <c r="V212" t="str">
        <f>VLOOKUP(D212,'[4]1. Mesures'!$A$1:$B$116,2,0)</f>
        <v>Assurer et développer le réseau de monitoring qualitatif et quantitatif en continu FlowBru</v>
      </c>
      <c r="W212" t="str">
        <f>VLOOKUP(B212,[1]HIERARCH!$A$1:$B$57,2,0)</f>
        <v>Assurer la gestion qualitative des masses d'eau de surface</v>
      </c>
      <c r="X212" t="str">
        <f>VLOOKUP(C212,[1]HIERARCH!$A$2:$B$57,2,0)</f>
        <v>Améliorer les connaissances et adapter la règlementation en vue de pouvoir proposer des mesures adéquates de réduction et/ou de suppression des rejets problématiques et sensibiliser les Bruxellois.es afin de diminuer ces pollutions</v>
      </c>
      <c r="Y212" t="str">
        <f t="shared" si="9"/>
        <v>Poursuivre la validation des nouvelles données pluviométriques, poursuivre la validation des données…</v>
      </c>
    </row>
    <row r="213" spans="1:25" hidden="1" x14ac:dyDescent="0.25">
      <c r="A213" s="249" t="str">
        <f t="shared" si="8"/>
        <v>1</v>
      </c>
      <c r="B213" s="249" t="str">
        <f>VLOOKUP($D213,'[4]1. Mesures'!$A$2:$G$116,6,0)</f>
        <v>OS 1.1</v>
      </c>
      <c r="C213" s="249" t="str">
        <f>VLOOKUP($D213,'[4]1. Mesures'!$A$2:$G$116,7,0)</f>
        <v>OO 1.1.5</v>
      </c>
      <c r="D213" s="249" t="str">
        <f t="shared" si="10"/>
        <v>M 1.22</v>
      </c>
      <c r="E213" s="250" t="s">
        <v>746</v>
      </c>
      <c r="F213" s="249" t="str">
        <f>VLOOKUP(E213,'5.2 Actions'!$A$3:$B$720,2,0)</f>
        <v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v>
      </c>
      <c r="G213" s="251" t="str">
        <f>VLOOKUP(E213,'[4]5.2 Actions'!$A$3:$D$718,4,0)</f>
        <v>SEN / CAN</v>
      </c>
      <c r="H213" s="252">
        <f>VLOOKUP($E213,'5.1 Budget'!$A$4:$H$729,2,0)</f>
        <v>0</v>
      </c>
      <c r="I213" s="252">
        <f>VLOOKUP($E213,'5.1 Budget'!$A$4:$H$729,3,0)</f>
        <v>0</v>
      </c>
      <c r="J213" s="252">
        <f>VLOOKUP($E213,'5.1 Budget'!$A$4:$H$729,4,0)</f>
        <v>0</v>
      </c>
      <c r="K213" s="252">
        <f>VLOOKUP($E213,'5.1 Budget'!$A$4:$H$729,5,0)</f>
        <v>0</v>
      </c>
      <c r="L213" s="252">
        <f>VLOOKUP($E213,'5.1 Budget'!$A$4:$H$729,6,0)</f>
        <v>0</v>
      </c>
      <c r="M213" s="252">
        <f>VLOOKUP($E213,'5.1 Budget'!$A$4:$H$729,7,0)</f>
        <v>0</v>
      </c>
      <c r="N213" s="252">
        <f>VLOOKUP($E213,'5.1 Budget'!$A$4:$H$729,8,0)</f>
        <v>0</v>
      </c>
      <c r="O213" s="254"/>
      <c r="V213" t="str">
        <f>VLOOKUP(D213,'[4]1. Mesures'!$A$1:$B$116,2,0)</f>
        <v>Assurer et développer le réseau de monitoring qualitatif et quantitatif en continu FlowBru</v>
      </c>
      <c r="W213" t="str">
        <f>VLOOKUP(B213,[1]HIERARCH!$A$1:$B$57,2,0)</f>
        <v>Assurer la gestion qualitative des masses d'eau de surface</v>
      </c>
      <c r="X213" t="str">
        <f>VLOOKUP(C213,[1]HIERARCH!$A$2:$B$57,2,0)</f>
        <v>Améliorer les connaissances et adapter la règlementation en vue de pouvoir proposer des mesures adéquates de réduction et/ou de suppression des rejets problématiques et sensibiliser les Bruxellois.es afin de diminuer ces pollutions</v>
      </c>
      <c r="Y213" t="str">
        <f t="shared" si="9"/>
        <v>Etude, au moyen de sondes mobiles (de qualité température-conductivité au niveau de déversoirs et de leurs points de con…</v>
      </c>
    </row>
    <row r="214" spans="1:25" hidden="1" x14ac:dyDescent="0.25">
      <c r="A214" s="249" t="str">
        <f t="shared" si="8"/>
        <v>1</v>
      </c>
      <c r="B214" s="249" t="str">
        <f>VLOOKUP($D214,'[4]1. Mesures'!$A$2:$G$116,6,0)</f>
        <v>OS 1.1</v>
      </c>
      <c r="C214" s="249" t="str">
        <f>VLOOKUP($D214,'[4]1. Mesures'!$A$2:$G$116,7,0)</f>
        <v>OO 1.1.5</v>
      </c>
      <c r="D214" s="249" t="str">
        <f t="shared" si="10"/>
        <v>M 1.22</v>
      </c>
      <c r="E214" s="250" t="s">
        <v>747</v>
      </c>
      <c r="F214" s="249" t="str">
        <f>VLOOKUP(E214,'5.2 Actions'!$A$3:$B$720,2,0)</f>
        <v>Etude d'utilisation des données du réseau Flowbru afin d'améliorer la prédiction de la maintenance des sondes et la gestion dynamique.</v>
      </c>
      <c r="G214" s="251" t="str">
        <f>VLOOKUP(E214,'[4]5.2 Actions'!$A$3:$D$718,4,0)</f>
        <v>SEN / WOL / CAN</v>
      </c>
      <c r="H214" s="252">
        <f>VLOOKUP($E214,'5.1 Budget'!$A$4:$H$729,2,0)</f>
        <v>105000</v>
      </c>
      <c r="I214" s="252">
        <f>VLOOKUP($E214,'5.1 Budget'!$A$4:$H$729,3,0)</f>
        <v>105000</v>
      </c>
      <c r="J214" s="252">
        <f>VLOOKUP($E214,'5.1 Budget'!$A$4:$H$729,4,0)</f>
        <v>105000</v>
      </c>
      <c r="K214" s="252">
        <f>VLOOKUP($E214,'5.1 Budget'!$A$4:$H$729,5,0)</f>
        <v>0</v>
      </c>
      <c r="L214" s="252">
        <f>VLOOKUP($E214,'5.1 Budget'!$A$4:$H$729,6,0)</f>
        <v>0</v>
      </c>
      <c r="M214" s="252">
        <f>VLOOKUP($E214,'5.1 Budget'!$A$4:$H$729,7,0)</f>
        <v>0</v>
      </c>
      <c r="N214" s="252">
        <f>VLOOKUP($E214,'5.1 Budget'!$A$4:$H$729,8,0)</f>
        <v>315000</v>
      </c>
      <c r="O214" s="254"/>
      <c r="V214" t="str">
        <f>VLOOKUP(D214,'[4]1. Mesures'!$A$1:$B$116,2,0)</f>
        <v>Assurer et développer le réseau de monitoring qualitatif et quantitatif en continu FlowBru</v>
      </c>
      <c r="W214" t="str">
        <f>VLOOKUP(B214,[1]HIERARCH!$A$1:$B$57,2,0)</f>
        <v>Assurer la gestion qualitative des masses d'eau de surface</v>
      </c>
      <c r="X214" t="str">
        <f>VLOOKUP(C214,[1]HIERARCH!$A$2:$B$57,2,0)</f>
        <v>Améliorer les connaissances et adapter la règlementation en vue de pouvoir proposer des mesures adéquates de réduction et/ou de suppression des rejets problématiques et sensibiliser les Bruxellois.es afin de diminuer ces pollutions</v>
      </c>
      <c r="Y214" t="str">
        <f t="shared" si="9"/>
        <v>Etude d'utilisation des données du réseau Flowbru afin d'améliorer la prédiction de la maintenance des sondes et la gest…</v>
      </c>
    </row>
    <row r="215" spans="1:25" hidden="1" x14ac:dyDescent="0.25">
      <c r="A215" s="249" t="str">
        <f t="shared" si="8"/>
        <v>1</v>
      </c>
      <c r="B215" s="249" t="str">
        <f>VLOOKUP($D215,'[4]1. Mesures'!$A$2:$G$116,6,0)</f>
        <v>OS 1.1</v>
      </c>
      <c r="C215" s="249" t="str">
        <f>VLOOKUP($D215,'[4]1. Mesures'!$A$2:$G$116,7,0)</f>
        <v>OO 1.1.5</v>
      </c>
      <c r="D215" s="249" t="str">
        <f t="shared" si="10"/>
        <v>M 1.22</v>
      </c>
      <c r="E215" s="250" t="s">
        <v>748</v>
      </c>
      <c r="F215" s="249" t="str">
        <f>VLOOKUP(E215,'5.2 Actions'!$A$3:$B$720,2,0)</f>
        <v>Amélioration du site web de diffusion des données mesurées Flowbru (https://www.Flowbru.be/fr) et développement d'une application mobile.</v>
      </c>
      <c r="G215" s="251" t="str">
        <f>VLOOKUP(E215,'[4]5.2 Actions'!$A$3:$D$718,4,0)</f>
        <v>SEN / WOL / CAN</v>
      </c>
      <c r="H215" s="252">
        <f>VLOOKUP($E215,'5.1 Budget'!$A$4:$H$729,2,0)</f>
        <v>20000</v>
      </c>
      <c r="I215" s="252">
        <f>VLOOKUP($E215,'5.1 Budget'!$A$4:$H$729,3,0)</f>
        <v>20000</v>
      </c>
      <c r="J215" s="252">
        <f>VLOOKUP($E215,'5.1 Budget'!$A$4:$H$729,4,0)</f>
        <v>20000</v>
      </c>
      <c r="K215" s="252">
        <f>VLOOKUP($E215,'5.1 Budget'!$A$4:$H$729,5,0)</f>
        <v>0</v>
      </c>
      <c r="L215" s="252">
        <f>VLOOKUP($E215,'5.1 Budget'!$A$4:$H$729,6,0)</f>
        <v>0</v>
      </c>
      <c r="M215" s="252">
        <f>VLOOKUP($E215,'5.1 Budget'!$A$4:$H$729,7,0)</f>
        <v>0</v>
      </c>
      <c r="N215" s="252">
        <f>VLOOKUP($E215,'5.1 Budget'!$A$4:$H$729,8,0)</f>
        <v>60000</v>
      </c>
      <c r="O215" s="254"/>
      <c r="V215" t="str">
        <f>VLOOKUP(D215,'[4]1. Mesures'!$A$1:$B$116,2,0)</f>
        <v>Assurer et développer le réseau de monitoring qualitatif et quantitatif en continu FlowBru</v>
      </c>
      <c r="W215" t="str">
        <f>VLOOKUP(B215,[1]HIERARCH!$A$1:$B$57,2,0)</f>
        <v>Assurer la gestion qualitative des masses d'eau de surface</v>
      </c>
      <c r="X215" t="str">
        <f>VLOOKUP(C215,[1]HIERARCH!$A$2:$B$57,2,0)</f>
        <v>Améliorer les connaissances et adapter la règlementation en vue de pouvoir proposer des mesures adéquates de réduction et/ou de suppression des rejets problématiques et sensibiliser les Bruxellois.es afin de diminuer ces pollutions</v>
      </c>
      <c r="Y215" t="str">
        <f t="shared" si="9"/>
        <v>Amélioration du site web de diffusion des données mesurées Flowbru (https://www.Flowbru.be/fr) et développement d'une ap…</v>
      </c>
    </row>
    <row r="216" spans="1:25" hidden="1" x14ac:dyDescent="0.25">
      <c r="A216" s="249" t="str">
        <f t="shared" si="8"/>
        <v>1</v>
      </c>
      <c r="B216" s="249" t="str">
        <f>VLOOKUP($D216,'[4]1. Mesures'!$A$2:$G$116,6,0)</f>
        <v>OS 1.1</v>
      </c>
      <c r="C216" s="249" t="str">
        <f>VLOOKUP($D216,'[4]1. Mesures'!$A$2:$G$116,7,0)</f>
        <v>OO 1.1.5</v>
      </c>
      <c r="D216" s="249" t="str">
        <f t="shared" si="10"/>
        <v>M 1.22</v>
      </c>
      <c r="E216" s="250" t="s">
        <v>749</v>
      </c>
      <c r="F216" s="249" t="str">
        <f>VLOOKUP(E216,'5.2 Actions'!$A$3:$B$720,2,0)</f>
        <v>Développement d'une API du site Flowbru pour faciliter la diffusion des données</v>
      </c>
      <c r="G216" s="251" t="str">
        <f>VLOOKUP(E216,'[4]5.2 Actions'!$A$3:$D$718,4,0)</f>
        <v>SEN / WOL / CAN</v>
      </c>
      <c r="H216" s="252">
        <f>VLOOKUP($E216,'5.1 Budget'!$A$4:$H$729,2,0)</f>
        <v>20000</v>
      </c>
      <c r="I216" s="252">
        <f>VLOOKUP($E216,'5.1 Budget'!$A$4:$H$729,3,0)</f>
        <v>0</v>
      </c>
      <c r="J216" s="252">
        <f>VLOOKUP($E216,'5.1 Budget'!$A$4:$H$729,4,0)</f>
        <v>0</v>
      </c>
      <c r="K216" s="252">
        <f>VLOOKUP($E216,'5.1 Budget'!$A$4:$H$729,5,0)</f>
        <v>0</v>
      </c>
      <c r="L216" s="252">
        <f>VLOOKUP($E216,'5.1 Budget'!$A$4:$H$729,6,0)</f>
        <v>0</v>
      </c>
      <c r="M216" s="252">
        <f>VLOOKUP($E216,'5.1 Budget'!$A$4:$H$729,7,0)</f>
        <v>0</v>
      </c>
      <c r="N216" s="252">
        <f>VLOOKUP($E216,'5.1 Budget'!$A$4:$H$729,8,0)</f>
        <v>20000</v>
      </c>
      <c r="O216" s="254"/>
      <c r="V216" t="str">
        <f>VLOOKUP(D216,'[4]1. Mesures'!$A$1:$B$116,2,0)</f>
        <v>Assurer et développer le réseau de monitoring qualitatif et quantitatif en continu FlowBru</v>
      </c>
      <c r="W216" t="str">
        <f>VLOOKUP(B216,[1]HIERARCH!$A$1:$B$57,2,0)</f>
        <v>Assurer la gestion qualitative des masses d'eau de surface</v>
      </c>
      <c r="X216" t="str">
        <f>VLOOKUP(C216,[1]HIERARCH!$A$2:$B$57,2,0)</f>
        <v>Améliorer les connaissances et adapter la règlementation en vue de pouvoir proposer des mesures adéquates de réduction et/ou de suppression des rejets problématiques et sensibiliser les Bruxellois.es afin de diminuer ces pollutions</v>
      </c>
      <c r="Y216" t="str">
        <f t="shared" si="9"/>
        <v>Développement d'une API du site Flowbru pour faciliter la diffusion des données…</v>
      </c>
    </row>
    <row r="217" spans="1:25" hidden="1" x14ac:dyDescent="0.25">
      <c r="A217" s="249" t="str">
        <f t="shared" si="8"/>
        <v>1</v>
      </c>
      <c r="B217" s="249" t="str">
        <f>VLOOKUP($D217,'[4]1. Mesures'!$A$2:$G$116,6,0)</f>
        <v>OS 1.1</v>
      </c>
      <c r="C217" s="249" t="str">
        <f>VLOOKUP($D217,'[4]1. Mesures'!$A$2:$G$116,7,0)</f>
        <v>OO 1.1.5</v>
      </c>
      <c r="D217" s="249" t="str">
        <f t="shared" si="10"/>
        <v>M 1.22</v>
      </c>
      <c r="E217" s="250" t="s">
        <v>739</v>
      </c>
      <c r="F217" s="249" t="str">
        <f>VLOOKUP(E217,'5.2 Actions'!$A$3:$B$720,2,0)</f>
        <v>Développer des alertes automatiques pour une liste de contacts (dont SBGE, Port, BE) en cas de modification alarmante de paramètres mesurés par les sondes Flowbru, en particulier concernant des chutes d'oxygène, ou hausses de conductivité ou de pigments de cyanobactéries</v>
      </c>
      <c r="G217" s="251" t="str">
        <f>VLOOKUP(E217,'[4]5.2 Actions'!$A$3:$D$718,4,0)</f>
        <v>SEN / CAN</v>
      </c>
      <c r="H217" s="252">
        <f>VLOOKUP($E217,'5.1 Budget'!$A$4:$H$729,2,0)</f>
        <v>0</v>
      </c>
      <c r="I217" s="252">
        <f>VLOOKUP($E217,'5.1 Budget'!$A$4:$H$729,3,0)</f>
        <v>0</v>
      </c>
      <c r="J217" s="252">
        <f>VLOOKUP($E217,'5.1 Budget'!$A$4:$H$729,4,0)</f>
        <v>0</v>
      </c>
      <c r="K217" s="252">
        <f>VLOOKUP($E217,'5.1 Budget'!$A$4:$H$729,5,0)</f>
        <v>0</v>
      </c>
      <c r="L217" s="252">
        <f>VLOOKUP($E217,'5.1 Budget'!$A$4:$H$729,6,0)</f>
        <v>0</v>
      </c>
      <c r="M217" s="252">
        <f>VLOOKUP($E217,'5.1 Budget'!$A$4:$H$729,7,0)</f>
        <v>0</v>
      </c>
      <c r="N217" s="252">
        <f>VLOOKUP($E217,'5.1 Budget'!$A$4:$H$729,8,0)</f>
        <v>0</v>
      </c>
      <c r="O217" s="254"/>
      <c r="V217" t="str">
        <f>VLOOKUP(D217,'[4]1. Mesures'!$A$1:$B$116,2,0)</f>
        <v>Assurer et développer le réseau de monitoring qualitatif et quantitatif en continu FlowBru</v>
      </c>
      <c r="W217" t="str">
        <f>VLOOKUP(B217,[1]HIERARCH!$A$1:$B$57,2,0)</f>
        <v>Assurer la gestion qualitative des masses d'eau de surface</v>
      </c>
      <c r="X217" t="str">
        <f>VLOOKUP(C217,[1]HIERARCH!$A$2:$B$57,2,0)</f>
        <v>Améliorer les connaissances et adapter la règlementation en vue de pouvoir proposer des mesures adéquates de réduction et/ou de suppression des rejets problématiques et sensibiliser les Bruxellois.es afin de diminuer ces pollutions</v>
      </c>
      <c r="Y217" t="str">
        <f t="shared" si="9"/>
        <v>Développer des alertes automatiques pour une liste de contacts (dont SBGE, Port, BE) en cas de modification alarmante de…</v>
      </c>
    </row>
    <row r="218" spans="1:25" hidden="1" x14ac:dyDescent="0.25">
      <c r="A218" s="249" t="str">
        <f t="shared" si="8"/>
        <v>1</v>
      </c>
      <c r="B218" s="249" t="str">
        <f>VLOOKUP($D218,'[4]1. Mesures'!$A$2:$G$116,6,0)</f>
        <v>OS 1.1</v>
      </c>
      <c r="C218" s="249" t="str">
        <f>VLOOKUP($D218,'[4]1. Mesures'!$A$2:$G$116,7,0)</f>
        <v>OO 1.1.5</v>
      </c>
      <c r="D218" s="249" t="str">
        <f t="shared" si="10"/>
        <v>M 1.22</v>
      </c>
      <c r="E218" s="250" t="s">
        <v>740</v>
      </c>
      <c r="F218" s="249" t="str">
        <f>VLOOKUP(E218,'5.2 Actions'!$A$3:$B$720,2,0)</f>
        <v>Déployer 1-2 sondes supplémentaires, en amont/aval de la première sonde (prévue au niveau du bassin Béco), si celle-ci démontre que cela s'avère utile (dans la M 1.22.3)</v>
      </c>
      <c r="G218" s="251" t="str">
        <f>VLOOKUP(E218,'[4]5.2 Actions'!$A$3:$D$718,4,0)</f>
        <v>CAN</v>
      </c>
      <c r="H218" s="252">
        <f>VLOOKUP($E218,'5.1 Budget'!$A$4:$H$729,2,0)</f>
        <v>0</v>
      </c>
      <c r="I218" s="252">
        <f>VLOOKUP($E218,'5.1 Budget'!$A$4:$H$729,3,0)</f>
        <v>20000</v>
      </c>
      <c r="J218" s="252">
        <f>VLOOKUP($E218,'5.1 Budget'!$A$4:$H$729,4,0)</f>
        <v>0</v>
      </c>
      <c r="K218" s="252">
        <f>VLOOKUP($E218,'5.1 Budget'!$A$4:$H$729,5,0)</f>
        <v>0</v>
      </c>
      <c r="L218" s="252">
        <f>VLOOKUP($E218,'5.1 Budget'!$A$4:$H$729,6,0)</f>
        <v>0</v>
      </c>
      <c r="M218" s="252">
        <f>VLOOKUP($E218,'5.1 Budget'!$A$4:$H$729,7,0)</f>
        <v>0</v>
      </c>
      <c r="N218" s="252">
        <f>VLOOKUP($E218,'5.1 Budget'!$A$4:$H$729,8,0)</f>
        <v>20000</v>
      </c>
      <c r="O218" s="254"/>
      <c r="V218" t="str">
        <f>VLOOKUP(D218,'[4]1. Mesures'!$A$1:$B$116,2,0)</f>
        <v>Assurer et développer le réseau de monitoring qualitatif et quantitatif en continu FlowBru</v>
      </c>
      <c r="W218" t="str">
        <f>VLOOKUP(B218,[1]HIERARCH!$A$1:$B$57,2,0)</f>
        <v>Assurer la gestion qualitative des masses d'eau de surface</v>
      </c>
      <c r="X218" t="str">
        <f>VLOOKUP(C218,[1]HIERARCH!$A$2:$B$57,2,0)</f>
        <v>Améliorer les connaissances et adapter la règlementation en vue de pouvoir proposer des mesures adéquates de réduction et/ou de suppression des rejets problématiques et sensibiliser les Bruxellois.es afin de diminuer ces pollutions</v>
      </c>
      <c r="Y218" t="str">
        <f t="shared" si="9"/>
        <v>Déployer 1-2 sondes supplémentaires, en amont/aval de la première sonde (prévue au niveau du bassin Béco), si celle-ci d…</v>
      </c>
    </row>
    <row r="219" spans="1:25" hidden="1" x14ac:dyDescent="0.25">
      <c r="A219" s="249" t="str">
        <f t="shared" si="8"/>
        <v>1</v>
      </c>
      <c r="B219" s="249" t="str">
        <f>VLOOKUP($D219,'[4]1. Mesures'!$A$2:$G$116,6,0)</f>
        <v>OS 1.1</v>
      </c>
      <c r="C219" s="249" t="str">
        <f>VLOOKUP($D219,'[4]1. Mesures'!$A$2:$G$116,7,0)</f>
        <v>OO 1.1.5</v>
      </c>
      <c r="D219" s="249" t="str">
        <f t="shared" si="10"/>
        <v>M 1.22</v>
      </c>
      <c r="E219" s="250" t="s">
        <v>1597</v>
      </c>
      <c r="F219" s="249" t="str">
        <f>VLOOKUP(E219,'5.2 Actions'!$A$3:$B$720,2,0)</f>
        <v>Analyser les données recueillies et les mettre à disposition du Port pour communiquer vers les usagers du Canal.</v>
      </c>
      <c r="G219" s="251" t="s">
        <v>414</v>
      </c>
      <c r="H219" s="252">
        <f>VLOOKUP($E219,'5.1 Budget'!$A$4:$H$729,2,0)</f>
        <v>0</v>
      </c>
      <c r="I219" s="252">
        <f>VLOOKUP($E219,'5.1 Budget'!$A$4:$H$729,3,0)</f>
        <v>0</v>
      </c>
      <c r="J219" s="252">
        <f>VLOOKUP($E219,'5.1 Budget'!$A$4:$H$729,4,0)</f>
        <v>0</v>
      </c>
      <c r="K219" s="252">
        <f>VLOOKUP($E219,'5.1 Budget'!$A$4:$H$729,5,0)</f>
        <v>0</v>
      </c>
      <c r="L219" s="252">
        <f>VLOOKUP($E219,'5.1 Budget'!$A$4:$H$729,6,0)</f>
        <v>0</v>
      </c>
      <c r="M219" s="252">
        <f>VLOOKUP($E219,'5.1 Budget'!$A$4:$H$729,7,0)</f>
        <v>0</v>
      </c>
      <c r="N219" s="252">
        <f>VLOOKUP($E219,'5.1 Budget'!$A$4:$H$729,8,0)</f>
        <v>0</v>
      </c>
      <c r="O219" s="254"/>
      <c r="V219" t="str">
        <f>VLOOKUP(D219,'[4]1. Mesures'!$A$1:$B$116,2,0)</f>
        <v>Assurer et développer le réseau de monitoring qualitatif et quantitatif en continu FlowBru</v>
      </c>
      <c r="W219" t="str">
        <f>VLOOKUP(B219,[1]HIERARCH!$A$1:$B$57,2,0)</f>
        <v>Assurer la gestion qualitative des masses d'eau de surface</v>
      </c>
      <c r="X219" t="str">
        <f>VLOOKUP(C219,[1]HIERARCH!$A$2:$B$57,2,0)</f>
        <v>Améliorer les connaissances et adapter la règlementation en vue de pouvoir proposer des mesures adéquates de réduction et/ou de suppression des rejets problématiques et sensibiliser les Bruxellois.es afin de diminuer ces pollutions</v>
      </c>
      <c r="Y219" t="str">
        <f t="shared" si="9"/>
        <v>Analyser les données recueillies et les mettre à disposition du Port pour communiquer vers les usagers du Canal.…</v>
      </c>
    </row>
    <row r="220" spans="1:25" hidden="1" x14ac:dyDescent="0.25">
      <c r="A220" s="249" t="str">
        <f t="shared" si="8"/>
        <v>1</v>
      </c>
      <c r="B220" s="249" t="str">
        <f>VLOOKUP($D220,'[4]1. Mesures'!$A$2:$G$116,6,0)</f>
        <v>OS 1.1</v>
      </c>
      <c r="C220" s="249" t="str">
        <f>VLOOKUP($D220,'[4]1. Mesures'!$A$2:$G$116,7,0)</f>
        <v>OO 1.1.5</v>
      </c>
      <c r="D220" s="249" t="str">
        <f t="shared" si="10"/>
        <v>M 1.23</v>
      </c>
      <c r="E220" s="250" t="s">
        <v>2599</v>
      </c>
      <c r="F220" s="249" t="str">
        <f>VLOOKUP(E220,'5.2 Actions'!$A$3:$B$720,2,0)</f>
        <v>Réaliser une caractérisation fine des entrées de polluants physico-chimique dans la Senne</v>
      </c>
      <c r="G220" s="251" t="s">
        <v>414</v>
      </c>
      <c r="H220" s="252">
        <f>VLOOKUP($E220,'5.1 Budget'!$A$4:$H$729,2,0)</f>
        <v>0</v>
      </c>
      <c r="I220" s="252">
        <f>VLOOKUP($E220,'5.1 Budget'!$A$4:$H$729,3,0)</f>
        <v>0</v>
      </c>
      <c r="J220" s="252">
        <f>VLOOKUP($E220,'5.1 Budget'!$A$4:$H$729,4,0)</f>
        <v>0</v>
      </c>
      <c r="K220" s="252">
        <f>VLOOKUP($E220,'5.1 Budget'!$A$4:$H$729,5,0)</f>
        <v>0</v>
      </c>
      <c r="L220" s="252">
        <f>VLOOKUP($E220,'5.1 Budget'!$A$4:$H$729,6,0)</f>
        <v>0</v>
      </c>
      <c r="M220" s="252">
        <f>VLOOKUP($E220,'5.1 Budget'!$A$4:$H$729,7,0)</f>
        <v>0</v>
      </c>
      <c r="N220" s="252">
        <f>VLOOKUP($E220,'5.1 Budget'!$A$4:$H$729,8,0)</f>
        <v>0</v>
      </c>
      <c r="O220" s="254"/>
      <c r="V220" t="str">
        <f>VLOOKUP(D220,'[4]1. Mesures'!$A$1:$B$116,2,0)</f>
        <v xml:space="preserve"> Développer un modèle de qualité physico-chimique de la Senne pour déterminer les objectifs réalisables à long terme pour cette masse d’eau</v>
      </c>
      <c r="W220" t="str">
        <f>VLOOKUP(B220,[1]HIERARCH!$A$1:$B$57,2,0)</f>
        <v>Assurer la gestion qualitative des masses d'eau de surface</v>
      </c>
    </row>
    <row r="221" spans="1:25" hidden="1" x14ac:dyDescent="0.25">
      <c r="A221" s="249" t="str">
        <f t="shared" si="8"/>
        <v>1</v>
      </c>
      <c r="B221" s="249" t="str">
        <f>VLOOKUP($D221,'[4]1. Mesures'!$A$2:$G$116,6,0)</f>
        <v>OS 1.1</v>
      </c>
      <c r="C221" s="249" t="str">
        <f>VLOOKUP($D221,'[4]1. Mesures'!$A$2:$G$116,7,0)</f>
        <v>OO 1.1.5</v>
      </c>
      <c r="D221" s="249" t="str">
        <f t="shared" si="10"/>
        <v>M 1.23</v>
      </c>
      <c r="E221" s="250" t="s">
        <v>2600</v>
      </c>
      <c r="F221" s="249" t="str">
        <f>VLOOKUP(E221,'5.2 Actions'!$A$3:$B$720,2,0)</f>
        <v>Utiliser un modèle biogéochimique adapté pour la Senne en collaboration avec la VMM</v>
      </c>
      <c r="G221" s="251" t="s">
        <v>414</v>
      </c>
      <c r="H221" s="252">
        <f>VLOOKUP($E221,'5.1 Budget'!$A$4:$H$729,2,0)</f>
        <v>0</v>
      </c>
      <c r="I221" s="252">
        <f>VLOOKUP($E221,'5.1 Budget'!$A$4:$H$729,3,0)</f>
        <v>0</v>
      </c>
      <c r="J221" s="252">
        <f>VLOOKUP($E221,'5.1 Budget'!$A$4:$H$729,4,0)</f>
        <v>0</v>
      </c>
      <c r="K221" s="252">
        <f>VLOOKUP($E221,'5.1 Budget'!$A$4:$H$729,5,0)</f>
        <v>0</v>
      </c>
      <c r="L221" s="252">
        <f>VLOOKUP($E221,'5.1 Budget'!$A$4:$H$729,6,0)</f>
        <v>0</v>
      </c>
      <c r="M221" s="252">
        <f>VLOOKUP($E221,'5.1 Budget'!$A$4:$H$729,7,0)</f>
        <v>0</v>
      </c>
      <c r="N221" s="252">
        <f>VLOOKUP($E221,'5.1 Budget'!$A$4:$H$729,8,0)</f>
        <v>0</v>
      </c>
      <c r="O221" s="254"/>
      <c r="V221" t="str">
        <f>VLOOKUP(D221,'[4]1. Mesures'!$A$1:$B$116,2,0)</f>
        <v xml:space="preserve"> Développer un modèle de qualité physico-chimique de la Senne pour déterminer les objectifs réalisables à long terme pour cette masse d’eau</v>
      </c>
      <c r="W221" t="str">
        <f>VLOOKUP(B221,[1]HIERARCH!$A$1:$B$57,2,0)</f>
        <v>Assurer la gestion qualitative des masses d'eau de surface</v>
      </c>
    </row>
    <row r="222" spans="1:25" hidden="1" x14ac:dyDescent="0.25">
      <c r="A222" s="249" t="str">
        <f t="shared" si="8"/>
        <v>1</v>
      </c>
      <c r="B222" s="249" t="str">
        <f>VLOOKUP($D222,'[4]1. Mesures'!$A$2:$G$116,6,0)</f>
        <v>OS 1.1</v>
      </c>
      <c r="C222" s="249" t="str">
        <f>VLOOKUP($D222,'[4]1. Mesures'!$A$2:$G$116,7,0)</f>
        <v>OO 1.1.5</v>
      </c>
      <c r="D222" s="249" t="str">
        <f t="shared" si="10"/>
        <v>M 1.23</v>
      </c>
      <c r="E222" s="250" t="s">
        <v>2601</v>
      </c>
      <c r="F222" s="249" t="str">
        <f>VLOOKUP(E222,'5.2 Actions'!$A$3:$B$720,2,0)</f>
        <v>Analyser les scénarios permettant d’améliorer la qualité physico-chimique de la Senne en collaboration avec la VMM et, le cas échéant, entamer l’argumentaire pour la formulation d’éventuels objectifs moins stricts)</v>
      </c>
      <c r="G222" s="251" t="s">
        <v>414</v>
      </c>
      <c r="H222" s="252">
        <f>VLOOKUP($E222,'5.1 Budget'!$A$4:$H$729,2,0)</f>
        <v>0</v>
      </c>
      <c r="I222" s="252">
        <f>VLOOKUP($E222,'5.1 Budget'!$A$4:$H$729,3,0)</f>
        <v>0</v>
      </c>
      <c r="J222" s="252">
        <f>VLOOKUP($E222,'5.1 Budget'!$A$4:$H$729,4,0)</f>
        <v>0</v>
      </c>
      <c r="K222" s="252">
        <f>VLOOKUP($E222,'5.1 Budget'!$A$4:$H$729,5,0)</f>
        <v>0</v>
      </c>
      <c r="L222" s="252">
        <f>VLOOKUP($E222,'5.1 Budget'!$A$4:$H$729,6,0)</f>
        <v>0</v>
      </c>
      <c r="M222" s="252">
        <f>VLOOKUP($E222,'5.1 Budget'!$A$4:$H$729,7,0)</f>
        <v>0</v>
      </c>
      <c r="N222" s="252">
        <f>VLOOKUP($E222,'5.1 Budget'!$A$4:$H$729,8,0)</f>
        <v>0</v>
      </c>
      <c r="O222" s="254"/>
      <c r="V222" t="str">
        <f>VLOOKUP(D222,'[4]1. Mesures'!$A$1:$B$116,2,0)</f>
        <v xml:space="preserve"> Développer un modèle de qualité physico-chimique de la Senne pour déterminer les objectifs réalisables à long terme pour cette masse d’eau</v>
      </c>
      <c r="W222" t="str">
        <f>VLOOKUP(B222,[1]HIERARCH!$A$1:$B$57,2,0)</f>
        <v>Assurer la gestion qualitative des masses d'eau de surface</v>
      </c>
    </row>
    <row r="223" spans="1:25" hidden="1" x14ac:dyDescent="0.25">
      <c r="A223" s="249" t="str">
        <f t="shared" si="8"/>
        <v>1</v>
      </c>
      <c r="B223" s="249" t="str">
        <f>VLOOKUP($D223,'[4]1. Mesures'!$A$2:$G$116,6,0)</f>
        <v>OS 1.1</v>
      </c>
      <c r="C223" s="249" t="str">
        <f>VLOOKUP($D223,'[4]1. Mesures'!$A$2:$G$116,7,0)</f>
        <v>OO 1.1.5</v>
      </c>
      <c r="D223" s="249" t="str">
        <f t="shared" si="10"/>
        <v>M 1.24</v>
      </c>
      <c r="E223" s="250" t="s">
        <v>750</v>
      </c>
      <c r="F223" s="249" t="str">
        <f>VLOOKUP(E223,'5.2 Actions'!$A$3:$B$720,2,0)</f>
        <v>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v>
      </c>
      <c r="G223" s="251" t="str">
        <f>VLOOKUP(E223,'[4]5.2 Actions'!$A$3:$D$718,4,0)</f>
        <v>SEN</v>
      </c>
      <c r="H223" s="252" t="str">
        <f>VLOOKUP($E223,'5.1 Budget'!$A$4:$H$729,2,0)</f>
        <v>-</v>
      </c>
      <c r="I223" s="252" t="str">
        <f>VLOOKUP($E223,'5.1 Budget'!$A$4:$H$729,3,0)</f>
        <v>-</v>
      </c>
      <c r="J223" s="252" t="str">
        <f>VLOOKUP($E223,'5.1 Budget'!$A$4:$H$729,4,0)</f>
        <v>-</v>
      </c>
      <c r="K223" s="252" t="str">
        <f>VLOOKUP($E223,'5.1 Budget'!$A$4:$H$729,5,0)</f>
        <v>-</v>
      </c>
      <c r="L223" s="252" t="str">
        <f>VLOOKUP($E223,'5.1 Budget'!$A$4:$H$729,6,0)</f>
        <v>-</v>
      </c>
      <c r="M223" s="252" t="str">
        <f>VLOOKUP($E223,'5.1 Budget'!$A$4:$H$729,7,0)</f>
        <v>-</v>
      </c>
      <c r="N223" s="252">
        <f>VLOOKUP($E223,'5.1 Budget'!$A$4:$H$729,8,0)</f>
        <v>0</v>
      </c>
      <c r="O223" s="254"/>
      <c r="V223" t="str">
        <f>VLOOKUP(D223,'[4]1. Mesures'!$A$1:$B$116,2,0)</f>
        <v xml:space="preserve"> Sensibiliser les Bruxellois.e.s à l’assainissement des eaux usées.</v>
      </c>
      <c r="W223" t="str">
        <f>VLOOKUP(B223,[1]HIERARCH!$A$1:$B$57,2,0)</f>
        <v>Assurer la gestion qualitative des masses d'eau de surface</v>
      </c>
      <c r="X223" t="str">
        <f>VLOOKUP(C223,[1]HIERARCH!$A$2:$B$57,2,0)</f>
        <v>Améliorer les connaissances et adapter la règlementation en vue de pouvoir proposer des mesures adéquates de réduction et/ou de suppression des rejets problématiques et sensibiliser les Bruxellois.es afin de diminuer ces pollutions</v>
      </c>
      <c r="Y223" t="str">
        <f t="shared" si="9"/>
        <v>Rassembler et diffuser une information claire et cohérente sur les sites internet de l’administration et des opérateurs …</v>
      </c>
    </row>
    <row r="224" spans="1:25" hidden="1" x14ac:dyDescent="0.25">
      <c r="A224" s="249" t="str">
        <f t="shared" ref="A224:A281" si="11">LEFT(E224,1)</f>
        <v>1</v>
      </c>
      <c r="B224" s="249" t="str">
        <f>VLOOKUP($D224,'[4]1. Mesures'!$A$2:$G$116,6,0)</f>
        <v>OS 1.1</v>
      </c>
      <c r="C224" s="249" t="str">
        <f>VLOOKUP($D224,'[4]1. Mesures'!$A$2:$G$116,7,0)</f>
        <v>OO 1.1.5</v>
      </c>
      <c r="D224" s="249" t="str">
        <f t="shared" si="10"/>
        <v>M 1.24</v>
      </c>
      <c r="E224" s="250" t="s">
        <v>751</v>
      </c>
      <c r="F224" s="249" t="str">
        <f>VLOOKUP(E224,'5.2 Actions'!$A$3:$B$720,2,0)</f>
        <v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v>
      </c>
      <c r="G224" s="251" t="str">
        <f>VLOOKUP(E224,'[4]5.2 Actions'!$A$3:$D$718,4,0)</f>
        <v>SEN</v>
      </c>
      <c r="H224" s="252" t="str">
        <f>VLOOKUP($E224,'5.1 Budget'!$A$4:$H$729,2,0)</f>
        <v>-</v>
      </c>
      <c r="I224" s="252" t="str">
        <f>VLOOKUP($E224,'5.1 Budget'!$A$4:$H$729,3,0)</f>
        <v>-</v>
      </c>
      <c r="J224" s="252" t="str">
        <f>VLOOKUP($E224,'5.1 Budget'!$A$4:$H$729,4,0)</f>
        <v>-</v>
      </c>
      <c r="K224" s="252" t="str">
        <f>VLOOKUP($E224,'5.1 Budget'!$A$4:$H$729,5,0)</f>
        <v>-</v>
      </c>
      <c r="L224" s="252" t="str">
        <f>VLOOKUP($E224,'5.1 Budget'!$A$4:$H$729,6,0)</f>
        <v>-</v>
      </c>
      <c r="M224" s="252" t="str">
        <f>VLOOKUP($E224,'5.1 Budget'!$A$4:$H$729,7,0)</f>
        <v>-</v>
      </c>
      <c r="N224" s="252">
        <f>VLOOKUP($E224,'5.1 Budget'!$A$4:$H$729,8,0)</f>
        <v>0</v>
      </c>
      <c r="O224" s="254"/>
      <c r="V224" t="str">
        <f>VLOOKUP(D224,'[4]1. Mesures'!$A$1:$B$116,2,0)</f>
        <v xml:space="preserve"> Sensibiliser les Bruxellois.e.s à l’assainissement des eaux usées.</v>
      </c>
      <c r="W224" t="str">
        <f>VLOOKUP(B224,[1]HIERARCH!$A$1:$B$57,2,0)</f>
        <v>Assurer la gestion qualitative des masses d'eau de surface</v>
      </c>
      <c r="X224" t="str">
        <f>VLOOKUP(C224,[1]HIERARCH!$A$2:$B$57,2,0)</f>
        <v>Améliorer les connaissances et adapter la règlementation en vue de pouvoir proposer des mesures adéquates de réduction et/ou de suppression des rejets problématiques et sensibiliser les Bruxellois.es afin de diminuer ces pollutions</v>
      </c>
      <c r="Y224" t="str">
        <f t="shared" ref="Y224:Y281" si="12">LEFT(F224,120)&amp;"…"</f>
        <v>Mener des campagnes d’information et de sensibilisation pour faire évoluer les pratiques et les comportements permettant…</v>
      </c>
    </row>
    <row r="225" spans="1:25" hidden="1" x14ac:dyDescent="0.25">
      <c r="A225" s="249" t="str">
        <f t="shared" si="11"/>
        <v>1</v>
      </c>
      <c r="B225" s="249" t="str">
        <f>VLOOKUP($D225,'[4]1. Mesures'!$A$2:$G$116,6,0)</f>
        <v>OS 1.1</v>
      </c>
      <c r="C225" s="249" t="str">
        <f>VLOOKUP($D225,'[4]1. Mesures'!$A$2:$G$116,7,0)</f>
        <v>OO 1.1.5</v>
      </c>
      <c r="D225" s="249" t="str">
        <f t="shared" si="10"/>
        <v>M 1.24</v>
      </c>
      <c r="E225" s="250" t="s">
        <v>752</v>
      </c>
      <c r="F225" s="249" t="str">
        <f>VLOOKUP(E225,'5.2 Actions'!$A$3:$B$720,2,0)</f>
        <v>Fournir des informations au Musée des égouts (et autres lieux culturels relayant la préservation de l’environnement) en tant que lieu de sensibilisation</v>
      </c>
      <c r="G225" s="251" t="str">
        <f>VLOOKUP(E225,'[4]5.2 Actions'!$A$3:$D$718,4,0)</f>
        <v>SEN</v>
      </c>
      <c r="H225" s="252" t="str">
        <f>VLOOKUP($E225,'5.1 Budget'!$A$4:$H$729,2,0)</f>
        <v>-</v>
      </c>
      <c r="I225" s="252" t="str">
        <f>VLOOKUP($E225,'5.1 Budget'!$A$4:$H$729,3,0)</f>
        <v>-</v>
      </c>
      <c r="J225" s="252" t="str">
        <f>VLOOKUP($E225,'5.1 Budget'!$A$4:$H$729,4,0)</f>
        <v>-</v>
      </c>
      <c r="K225" s="252" t="str">
        <f>VLOOKUP($E225,'5.1 Budget'!$A$4:$H$729,5,0)</f>
        <v>-</v>
      </c>
      <c r="L225" s="252" t="str">
        <f>VLOOKUP($E225,'5.1 Budget'!$A$4:$H$729,6,0)</f>
        <v>-</v>
      </c>
      <c r="M225" s="252" t="str">
        <f>VLOOKUP($E225,'5.1 Budget'!$A$4:$H$729,7,0)</f>
        <v>-</v>
      </c>
      <c r="N225" s="252">
        <f>VLOOKUP($E225,'5.1 Budget'!$A$4:$H$729,8,0)</f>
        <v>0</v>
      </c>
      <c r="O225" s="254"/>
      <c r="V225" t="str">
        <f>VLOOKUP(D225,'[4]1. Mesures'!$A$1:$B$116,2,0)</f>
        <v xml:space="preserve"> Sensibiliser les Bruxellois.e.s à l’assainissement des eaux usées.</v>
      </c>
      <c r="W225" t="str">
        <f>VLOOKUP(B225,[1]HIERARCH!$A$1:$B$57,2,0)</f>
        <v>Assurer la gestion qualitative des masses d'eau de surface</v>
      </c>
      <c r="X225" t="str">
        <f>VLOOKUP(C225,[1]HIERARCH!$A$2:$B$57,2,0)</f>
        <v>Améliorer les connaissances et adapter la règlementation en vue de pouvoir proposer des mesures adéquates de réduction et/ou de suppression des rejets problématiques et sensibiliser les Bruxellois.es afin de diminuer ces pollutions</v>
      </c>
      <c r="Y225" t="str">
        <f t="shared" si="12"/>
        <v>Fournir des informations au Musée des égouts (et autres lieux culturels relayant la préservation de l’environnement) en …</v>
      </c>
    </row>
    <row r="226" spans="1:25" hidden="1" x14ac:dyDescent="0.25">
      <c r="A226" s="249" t="str">
        <f t="shared" si="11"/>
        <v>1</v>
      </c>
      <c r="B226" s="249" t="str">
        <f>VLOOKUP($D226,'[4]1. Mesures'!$A$2:$G$116,6,0)</f>
        <v>OS 1.1</v>
      </c>
      <c r="C226" s="249" t="str">
        <f>VLOOKUP($D226,'[4]1. Mesures'!$A$2:$G$116,7,0)</f>
        <v>OO 1.1.5</v>
      </c>
      <c r="D226" s="249" t="str">
        <f t="shared" si="10"/>
        <v>M 1.24</v>
      </c>
      <c r="E226" s="250" t="s">
        <v>753</v>
      </c>
      <c r="F226" s="249" t="str">
        <f>VLOOKUP(E226,'5.2 Actions'!$A$3:$B$720,2,0)</f>
        <v>Promouvoir l’interdiction d’utilisation des objets en plastique à usage unique et favoriser les alternatives réutilisables/durables.
Cette mesure s’établira en synergie également avec la M.7.2 sur la promotion de l’eau de distribution pour les besoins potables.</v>
      </c>
      <c r="G226" s="251" t="str">
        <f>VLOOKUP(E226,'[4]5.2 Actions'!$A$3:$D$718,4,0)</f>
        <v>WOL</v>
      </c>
      <c r="H226" s="252" t="str">
        <f>VLOOKUP($E226,'5.1 Budget'!$A$4:$H$729,2,0)</f>
        <v>-</v>
      </c>
      <c r="I226" s="252" t="str">
        <f>VLOOKUP($E226,'5.1 Budget'!$A$4:$H$729,3,0)</f>
        <v>-</v>
      </c>
      <c r="J226" s="252" t="str">
        <f>VLOOKUP($E226,'5.1 Budget'!$A$4:$H$729,4,0)</f>
        <v>-</v>
      </c>
      <c r="K226" s="252" t="str">
        <f>VLOOKUP($E226,'5.1 Budget'!$A$4:$H$729,5,0)</f>
        <v>-</v>
      </c>
      <c r="L226" s="252" t="str">
        <f>VLOOKUP($E226,'5.1 Budget'!$A$4:$H$729,6,0)</f>
        <v>-</v>
      </c>
      <c r="M226" s="252" t="str">
        <f>VLOOKUP($E226,'5.1 Budget'!$A$4:$H$729,7,0)</f>
        <v>-</v>
      </c>
      <c r="N226" s="252">
        <f>VLOOKUP($E226,'5.1 Budget'!$A$4:$H$729,8,0)</f>
        <v>0</v>
      </c>
      <c r="O226" s="254"/>
      <c r="V226" t="str">
        <f>VLOOKUP(D226,'[4]1. Mesures'!$A$1:$B$116,2,0)</f>
        <v xml:space="preserve"> Sensibiliser les Bruxellois.e.s à l’assainissement des eaux usées.</v>
      </c>
      <c r="W226" t="str">
        <f>VLOOKUP(B226,[1]HIERARCH!$A$1:$B$57,2,0)</f>
        <v>Assurer la gestion qualitative des masses d'eau de surface</v>
      </c>
      <c r="X226" t="str">
        <f>VLOOKUP(C226,[1]HIERARCH!$A$2:$B$57,2,0)</f>
        <v>Améliorer les connaissances et adapter la règlementation en vue de pouvoir proposer des mesures adéquates de réduction et/ou de suppression des rejets problématiques et sensibiliser les Bruxellois.es afin de diminuer ces pollutions</v>
      </c>
      <c r="Y226" t="str">
        <f t="shared" si="12"/>
        <v>Promouvoir l’interdiction d’utilisation des objets en plastique à usage unique et favoriser les alternatives réutilisabl…</v>
      </c>
    </row>
    <row r="227" spans="1:25" hidden="1" x14ac:dyDescent="0.25">
      <c r="A227" s="253" t="str">
        <f t="shared" si="11"/>
        <v>1</v>
      </c>
      <c r="B227" s="249" t="str">
        <f>VLOOKUP($D227,'[4]1. Mesures'!$A$2:$G$116,6,0)</f>
        <v>OS 1.1</v>
      </c>
      <c r="C227" s="249" t="str">
        <f>VLOOKUP($D227,'[4]1. Mesures'!$A$2:$G$116,7,0)</f>
        <v>OO 1.1.5</v>
      </c>
      <c r="D227" s="249" t="str">
        <f t="shared" si="10"/>
        <v>M 1.24</v>
      </c>
      <c r="E227" s="250" t="s">
        <v>754</v>
      </c>
      <c r="F227" s="249" t="str">
        <f>VLOOKUP(E227,'5.2 Actions'!$A$3:$B$720,2,0)</f>
        <v xml:space="preserve">Renforcer les campagnes existantes sur la promotion de la propreté urbaine via différents outils et canaux de communication </v>
      </c>
      <c r="G227" s="251" t="str">
        <f>VLOOKUP(E227,'[4]5.2 Actions'!$A$3:$D$718,4,0)</f>
        <v>WOL</v>
      </c>
      <c r="H227" s="252" t="str">
        <f>VLOOKUP($E227,'5.1 Budget'!$A$4:$H$729,2,0)</f>
        <v>-</v>
      </c>
      <c r="I227" s="252" t="str">
        <f>VLOOKUP($E227,'5.1 Budget'!$A$4:$H$729,3,0)</f>
        <v>-</v>
      </c>
      <c r="J227" s="252" t="str">
        <f>VLOOKUP($E227,'5.1 Budget'!$A$4:$H$729,4,0)</f>
        <v>-</v>
      </c>
      <c r="K227" s="252" t="str">
        <f>VLOOKUP($E227,'5.1 Budget'!$A$4:$H$729,5,0)</f>
        <v>-</v>
      </c>
      <c r="L227" s="252" t="str">
        <f>VLOOKUP($E227,'5.1 Budget'!$A$4:$H$729,6,0)</f>
        <v>-</v>
      </c>
      <c r="M227" s="252" t="str">
        <f>VLOOKUP($E227,'5.1 Budget'!$A$4:$H$729,7,0)</f>
        <v>-</v>
      </c>
      <c r="N227" s="252">
        <f>VLOOKUP($E227,'5.1 Budget'!$A$4:$H$729,8,0)</f>
        <v>0</v>
      </c>
      <c r="O227" s="254"/>
      <c r="V227" t="str">
        <f>VLOOKUP(D227,'[4]1. Mesures'!$A$1:$B$116,2,0)</f>
        <v xml:space="preserve"> Sensibiliser les Bruxellois.e.s à l’assainissement des eaux usées.</v>
      </c>
      <c r="W227" t="str">
        <f>VLOOKUP(B227,[1]HIERARCH!$A$1:$B$57,2,0)</f>
        <v>Assurer la gestion qualitative des masses d'eau de surface</v>
      </c>
      <c r="X227" t="str">
        <f>VLOOKUP(C227,[1]HIERARCH!$A$2:$B$57,2,0)</f>
        <v>Améliorer les connaissances et adapter la règlementation en vue de pouvoir proposer des mesures adéquates de réduction et/ou de suppression des rejets problématiques et sensibiliser les Bruxellois.es afin de diminuer ces pollutions</v>
      </c>
      <c r="Y227" t="str">
        <f t="shared" si="12"/>
        <v>Renforcer les campagnes existantes sur la promotion de la propreté urbaine via différents outils et canaux de communicat…</v>
      </c>
    </row>
    <row r="228" spans="1:25" hidden="1" x14ac:dyDescent="0.25">
      <c r="A228" s="253" t="str">
        <f t="shared" si="11"/>
        <v>1</v>
      </c>
      <c r="B228" s="249" t="str">
        <f>VLOOKUP($D228,'[4]1. Mesures'!$A$2:$G$116,6,0)</f>
        <v>OS 1.1</v>
      </c>
      <c r="C228" s="249" t="str">
        <f>VLOOKUP($D228,'[4]1. Mesures'!$A$2:$G$116,7,0)</f>
        <v>OO 1.1.5</v>
      </c>
      <c r="D228" s="249" t="str">
        <f t="shared" si="10"/>
        <v>M 1.24</v>
      </c>
      <c r="E228" s="250" t="s">
        <v>2602</v>
      </c>
      <c r="F228" s="249" t="str">
        <f>VLOOKUP(E228,'5.2 Actions'!$A$3:$B$720,2,0)</f>
        <v xml:space="preserve">Poursuivre et renforcer la campagne « Ici commence la mer » tout en considérant l’opportunité d’en étendre le périmètre. </v>
      </c>
      <c r="G228" s="251" t="str">
        <f>VLOOKUP(E228,'5.2 Actions'!$A$3:$D$720,4,0)</f>
        <v>SEN / WOL / CAN</v>
      </c>
      <c r="H228" s="252" t="str">
        <f>VLOOKUP($E228,'5.1 Budget'!$A$4:$H$729,2,0)</f>
        <v>-</v>
      </c>
      <c r="I228" s="252" t="str">
        <f>VLOOKUP($E228,'5.1 Budget'!$A$4:$H$729,3,0)</f>
        <v>-</v>
      </c>
      <c r="J228" s="252" t="str">
        <f>VLOOKUP($E228,'5.1 Budget'!$A$4:$H$729,4,0)</f>
        <v>-</v>
      </c>
      <c r="K228" s="252" t="str">
        <f>VLOOKUP($E228,'5.1 Budget'!$A$4:$H$729,5,0)</f>
        <v>-</v>
      </c>
      <c r="L228" s="252" t="str">
        <f>VLOOKUP($E228,'5.1 Budget'!$A$4:$H$729,6,0)</f>
        <v>-</v>
      </c>
      <c r="M228" s="252" t="str">
        <f>VLOOKUP($E228,'5.1 Budget'!$A$4:$H$729,7,0)</f>
        <v>-</v>
      </c>
      <c r="N228" s="252">
        <f>VLOOKUP($E228,'5.1 Budget'!$A$4:$H$729,8,0)</f>
        <v>0</v>
      </c>
      <c r="O228" s="254"/>
    </row>
    <row r="229" spans="1:25" hidden="1" x14ac:dyDescent="0.25">
      <c r="A229" s="253" t="str">
        <f t="shared" si="11"/>
        <v>1</v>
      </c>
      <c r="B229" s="249" t="str">
        <f>VLOOKUP($D229,'[4]1. Mesures'!$A$2:$G$116,6,0)</f>
        <v>OS 1.1</v>
      </c>
      <c r="C229" s="249" t="str">
        <f>VLOOKUP($D229,'[4]1. Mesures'!$A$2:$G$116,7,0)</f>
        <v>OO 1.1.5</v>
      </c>
      <c r="D229" s="249" t="str">
        <f t="shared" si="10"/>
        <v>M 1.24</v>
      </c>
      <c r="E229" s="250" t="s">
        <v>2603</v>
      </c>
      <c r="F229" s="249" t="str">
        <f>VLOOKUP(E229,'5.2 Actions'!$A$3:$B$720,2,0)</f>
        <v>Développement d’une application de sensibilisation et de participation citoyenne à l’observation de pollution des eaux de surface</v>
      </c>
      <c r="G229" s="251" t="str">
        <f>VLOOKUP(E229,'5.2 Actions'!$A$3:$D$720,4,0)</f>
        <v>SEN / WOL / CAN</v>
      </c>
      <c r="H229" s="252">
        <f>VLOOKUP($E229,'5.1 Budget'!$A$4:$H$729,2,0)</f>
        <v>20000</v>
      </c>
      <c r="I229" s="252">
        <f>VLOOKUP($E229,'5.1 Budget'!$A$4:$H$729,3,0)</f>
        <v>20000</v>
      </c>
      <c r="J229" s="252">
        <f>VLOOKUP($E229,'5.1 Budget'!$A$4:$H$729,4,0)</f>
        <v>0</v>
      </c>
      <c r="K229" s="252">
        <f>VLOOKUP($E229,'5.1 Budget'!$A$4:$H$729,5,0)</f>
        <v>0</v>
      </c>
      <c r="L229" s="252">
        <f>VLOOKUP($E229,'5.1 Budget'!$A$4:$H$729,6,0)</f>
        <v>0</v>
      </c>
      <c r="M229" s="252">
        <f>VLOOKUP($E229,'5.1 Budget'!$A$4:$H$729,7,0)</f>
        <v>0</v>
      </c>
      <c r="N229" s="252">
        <f>VLOOKUP($E229,'5.1 Budget'!$A$4:$H$729,8,0)</f>
        <v>40000</v>
      </c>
      <c r="O229" s="254"/>
    </row>
    <row r="230" spans="1:25" hidden="1" x14ac:dyDescent="0.25">
      <c r="A230" s="249" t="str">
        <f t="shared" si="11"/>
        <v>1</v>
      </c>
      <c r="B230" s="249" t="str">
        <f>VLOOKUP($D230,'[4]1. Mesures'!$A$2:$G$116,6,0)</f>
        <v>OS 1.1</v>
      </c>
      <c r="C230" s="249" t="str">
        <f>VLOOKUP($D230,'[4]1. Mesures'!$A$2:$G$116,7,0)</f>
        <v>OO 1.1.5</v>
      </c>
      <c r="D230" s="249" t="str">
        <f t="shared" si="10"/>
        <v>M 1.25</v>
      </c>
      <c r="E230" s="250" t="s">
        <v>755</v>
      </c>
      <c r="F230" s="249" t="str">
        <f>VLOOKUP(E230,'5.2 Actions'!$A$3:$B$720,2,0)</f>
        <v>Intégrer les principes de gestion développés au niveau de la CIE dans les procédures de gestion de pollution au niveau bruxellois (Voir plan faitier CIE)</v>
      </c>
      <c r="G230" s="251" t="str">
        <f>VLOOKUP(E230,'[4]5.2 Actions'!$A$3:$D$718,4,0)</f>
        <v>SEN / WOL / CAN</v>
      </c>
      <c r="H230" s="252" t="str">
        <f>VLOOKUP($E230,'5.1 Budget'!$A$4:$H$729,2,0)</f>
        <v>-</v>
      </c>
      <c r="I230" s="252" t="str">
        <f>VLOOKUP($E230,'5.1 Budget'!$A$4:$H$729,3,0)</f>
        <v>-</v>
      </c>
      <c r="J230" s="252" t="str">
        <f>VLOOKUP($E230,'5.1 Budget'!$A$4:$H$729,4,0)</f>
        <v>-</v>
      </c>
      <c r="K230" s="252" t="str">
        <f>VLOOKUP($E230,'5.1 Budget'!$A$4:$H$729,5,0)</f>
        <v>-</v>
      </c>
      <c r="L230" s="252" t="str">
        <f>VLOOKUP($E230,'5.1 Budget'!$A$4:$H$729,6,0)</f>
        <v>-</v>
      </c>
      <c r="M230" s="252" t="str">
        <f>VLOOKUP($E230,'5.1 Budget'!$A$4:$H$729,7,0)</f>
        <v>-</v>
      </c>
      <c r="N230" s="252">
        <f>VLOOKUP($E230,'5.1 Budget'!$A$4:$H$729,8,0)</f>
        <v>0</v>
      </c>
      <c r="O230" s="254"/>
      <c r="V230" t="str">
        <f>VLOOKUP(D230,'[4]1. Mesures'!$A$1:$B$116,2,0)</f>
        <v>Assurer la gestion des pollutions transfrontalières</v>
      </c>
      <c r="W230" t="str">
        <f>VLOOKUP(B230,[1]HIERARCH!$A$1:$B$57,2,0)</f>
        <v>Assurer la gestion qualitative des masses d'eau de surface</v>
      </c>
      <c r="X230" t="str">
        <f>VLOOKUP(C230,[1]HIERARCH!$A$2:$B$57,2,0)</f>
        <v>Améliorer les connaissances et adapter la règlementation en vue de pouvoir proposer des mesures adéquates de réduction et/ou de suppression des rejets problématiques et sensibiliser les Bruxellois.es afin de diminuer ces pollutions</v>
      </c>
      <c r="Y230" t="str">
        <f t="shared" si="12"/>
        <v>Intégrer les principes de gestion développés au niveau de la CIE dans les procédures de gestion de pollution au niveau b…</v>
      </c>
    </row>
    <row r="231" spans="1:25" hidden="1" x14ac:dyDescent="0.25">
      <c r="A231" s="249" t="str">
        <f t="shared" si="11"/>
        <v>1</v>
      </c>
      <c r="B231" s="249" t="str">
        <f>VLOOKUP($D231,'[4]1. Mesures'!$A$2:$G$116,6,0)</f>
        <v>OS 1.1</v>
      </c>
      <c r="C231" s="249" t="str">
        <f>VLOOKUP($D231,'[4]1. Mesures'!$A$2:$G$116,7,0)</f>
        <v>OO 1.1.5</v>
      </c>
      <c r="D231" s="249" t="str">
        <f t="shared" si="10"/>
        <v>M 1.25</v>
      </c>
      <c r="E231" s="250" t="s">
        <v>756</v>
      </c>
      <c r="F231" s="249" t="str">
        <f>VLOOKUP(E231,'5.2 Actions'!$A$3:$B$720,2,0)</f>
        <v>Appliquer les recommandations délivrées par la CIE en vue d’améliorer le fonctionnement et la communication au sein du SAAE (Voir plan faitier CIE)</v>
      </c>
      <c r="G231" s="251" t="str">
        <f>VLOOKUP(E231,'[4]5.2 Actions'!$A$3:$D$718,4,0)</f>
        <v>SEN / WOL / CAN</v>
      </c>
      <c r="H231" s="252" t="str">
        <f>VLOOKUP($E231,'5.1 Budget'!$A$4:$H$729,2,0)</f>
        <v>-</v>
      </c>
      <c r="I231" s="252" t="str">
        <f>VLOOKUP($E231,'5.1 Budget'!$A$4:$H$729,3,0)</f>
        <v>-</v>
      </c>
      <c r="J231" s="252" t="str">
        <f>VLOOKUP($E231,'5.1 Budget'!$A$4:$H$729,4,0)</f>
        <v>-</v>
      </c>
      <c r="K231" s="252" t="str">
        <f>VLOOKUP($E231,'5.1 Budget'!$A$4:$H$729,5,0)</f>
        <v>-</v>
      </c>
      <c r="L231" s="252" t="str">
        <f>VLOOKUP($E231,'5.1 Budget'!$A$4:$H$729,6,0)</f>
        <v>-</v>
      </c>
      <c r="M231" s="252" t="str">
        <f>VLOOKUP($E231,'5.1 Budget'!$A$4:$H$729,7,0)</f>
        <v>-</v>
      </c>
      <c r="N231" s="252">
        <f>VLOOKUP($E231,'5.1 Budget'!$A$4:$H$729,8,0)</f>
        <v>0</v>
      </c>
      <c r="O231" s="254"/>
      <c r="V231" t="str">
        <f>VLOOKUP(D231,'[4]1. Mesures'!$A$1:$B$116,2,0)</f>
        <v>Assurer la gestion des pollutions transfrontalières</v>
      </c>
      <c r="W231" t="str">
        <f>VLOOKUP(B231,[1]HIERARCH!$A$1:$B$57,2,0)</f>
        <v>Assurer la gestion qualitative des masses d'eau de surface</v>
      </c>
      <c r="X231" t="str">
        <f>VLOOKUP(C231,[1]HIERARCH!$A$2:$B$57,2,0)</f>
        <v>Améliorer les connaissances et adapter la règlementation en vue de pouvoir proposer des mesures adéquates de réduction et/ou de suppression des rejets problématiques et sensibiliser les Bruxellois.es afin de diminuer ces pollutions</v>
      </c>
      <c r="Y231" t="str">
        <f t="shared" si="12"/>
        <v>Appliquer les recommandations délivrées par la CIE en vue d’améliorer le fonctionnement et la communication au sein du S…</v>
      </c>
    </row>
    <row r="232" spans="1:25" hidden="1" x14ac:dyDescent="0.25">
      <c r="A232" s="249" t="str">
        <f t="shared" si="11"/>
        <v>1</v>
      </c>
      <c r="B232" s="249" t="str">
        <f>VLOOKUP($D232,'[4]1. Mesures'!$A$2:$G$116,6,0)</f>
        <v>OS 1.1</v>
      </c>
      <c r="C232" s="249" t="str">
        <f>VLOOKUP($D232,'[4]1. Mesures'!$A$2:$G$116,7,0)</f>
        <v>OO 1.1.5</v>
      </c>
      <c r="D232" s="249" t="str">
        <f t="shared" si="10"/>
        <v>M 1.25</v>
      </c>
      <c r="E232" s="250" t="s">
        <v>757</v>
      </c>
      <c r="F232" s="249" t="str">
        <f>VLOOKUP(E232,'5.2 Actions'!$A$3:$B$720,2,0)</f>
        <v>Intégrer le Port de Bruxelles dans le marché de Bruxelles Environnement pour le CPA du Système d’alarme et d’alerte pour le district hydrographique de l’Escaut (Voir plan faitier CIE)</v>
      </c>
      <c r="G232" s="251" t="str">
        <f>VLOOKUP(E232,'[4]5.2 Actions'!$A$3:$D$718,4,0)</f>
        <v>SEN / WOL / CAN</v>
      </c>
      <c r="H232" s="252">
        <f>VLOOKUP($E232,'5.1 Budget'!$A$4:$H$729,2,0)</f>
        <v>3750</v>
      </c>
      <c r="I232" s="252">
        <f>VLOOKUP($E232,'5.1 Budget'!$A$4:$H$729,3,0)</f>
        <v>3800</v>
      </c>
      <c r="J232" s="252">
        <f>VLOOKUP($E232,'5.1 Budget'!$A$4:$H$729,4,0)</f>
        <v>3800</v>
      </c>
      <c r="K232" s="252">
        <f>VLOOKUP($E232,'5.1 Budget'!$A$4:$H$729,5,0)</f>
        <v>3800</v>
      </c>
      <c r="L232" s="252">
        <f>VLOOKUP($E232,'5.1 Budget'!$A$4:$H$729,6,0)</f>
        <v>3800</v>
      </c>
      <c r="M232" s="252">
        <f>VLOOKUP($E232,'5.1 Budget'!$A$4:$H$729,7,0)</f>
        <v>3850</v>
      </c>
      <c r="N232" s="252">
        <f>VLOOKUP($E232,'5.1 Budget'!$A$4:$H$729,8,0)</f>
        <v>22800</v>
      </c>
      <c r="O232" s="254"/>
      <c r="V232" t="str">
        <f>VLOOKUP(D232,'[4]1. Mesures'!$A$1:$B$116,2,0)</f>
        <v>Assurer la gestion des pollutions transfrontalières</v>
      </c>
      <c r="W232" t="str">
        <f>VLOOKUP(B232,[1]HIERARCH!$A$1:$B$57,2,0)</f>
        <v>Assurer la gestion qualitative des masses d'eau de surface</v>
      </c>
      <c r="X232" t="str">
        <f>VLOOKUP(C232,[1]HIERARCH!$A$2:$B$57,2,0)</f>
        <v>Améliorer les connaissances et adapter la règlementation en vue de pouvoir proposer des mesures adéquates de réduction et/ou de suppression des rejets problématiques et sensibiliser les Bruxellois.es afin de diminuer ces pollutions</v>
      </c>
      <c r="Y232" t="str">
        <f t="shared" si="12"/>
        <v>Intégrer le Port de Bruxelles dans le marché de Bruxelles Environnement pour le CPA du Système d’alarme et d’alerte pour…</v>
      </c>
    </row>
    <row r="233" spans="1:25" hidden="1" x14ac:dyDescent="0.25">
      <c r="A233" s="249" t="str">
        <f t="shared" si="11"/>
        <v>1</v>
      </c>
      <c r="B233" s="249" t="str">
        <f>VLOOKUP($D233,'[4]1. Mesures'!$A$2:$G$116,6,0)</f>
        <v>OS 1.1</v>
      </c>
      <c r="C233" s="249" t="str">
        <f>VLOOKUP($D233,'[4]1. Mesures'!$A$2:$G$116,7,0)</f>
        <v>OO 1.1.5</v>
      </c>
      <c r="D233" s="249" t="str">
        <f t="shared" si="10"/>
        <v>M 1.25</v>
      </c>
      <c r="E233" s="250" t="s">
        <v>758</v>
      </c>
      <c r="F233" s="249" t="str">
        <f>VLOOKUP(E233,'5.2 Actions'!$A$3:$B$720,2,0)</f>
        <v>Clarifier la procédure de gestion de crise pour prendre les mesures rapides et efficaces en cas de pollution, notamment via la Protection civile</v>
      </c>
      <c r="G233" s="251" t="str">
        <f>VLOOKUP(E233,'[4]5.2 Actions'!$A$3:$D$718,4,0)</f>
        <v>SEN / WOL / CAN</v>
      </c>
      <c r="H233" s="252" t="str">
        <f>VLOOKUP($E233,'5.1 Budget'!$A$4:$H$729,2,0)</f>
        <v>-</v>
      </c>
      <c r="I233" s="252" t="str">
        <f>VLOOKUP($E233,'5.1 Budget'!$A$4:$H$729,3,0)</f>
        <v>-</v>
      </c>
      <c r="J233" s="252" t="str">
        <f>VLOOKUP($E233,'5.1 Budget'!$A$4:$H$729,4,0)</f>
        <v>-</v>
      </c>
      <c r="K233" s="252" t="str">
        <f>VLOOKUP($E233,'5.1 Budget'!$A$4:$H$729,5,0)</f>
        <v>-</v>
      </c>
      <c r="L233" s="252" t="str">
        <f>VLOOKUP($E233,'5.1 Budget'!$A$4:$H$729,6,0)</f>
        <v>-</v>
      </c>
      <c r="M233" s="252" t="str">
        <f>VLOOKUP($E233,'5.1 Budget'!$A$4:$H$729,7,0)</f>
        <v>-</v>
      </c>
      <c r="N233" s="252">
        <f>VLOOKUP($E233,'5.1 Budget'!$A$4:$H$729,8,0)</f>
        <v>0</v>
      </c>
      <c r="O233" s="254"/>
      <c r="V233" t="str">
        <f>VLOOKUP(D233,'[4]1. Mesures'!$A$1:$B$116,2,0)</f>
        <v>Assurer la gestion des pollutions transfrontalières</v>
      </c>
      <c r="W233" t="str">
        <f>VLOOKUP(B233,[1]HIERARCH!$A$1:$B$57,2,0)</f>
        <v>Assurer la gestion qualitative des masses d'eau de surface</v>
      </c>
      <c r="X233" t="str">
        <f>VLOOKUP(C233,[1]HIERARCH!$A$2:$B$57,2,0)</f>
        <v>Améliorer les connaissances et adapter la règlementation en vue de pouvoir proposer des mesures adéquates de réduction et/ou de suppression des rejets problématiques et sensibiliser les Bruxellois.es afin de diminuer ces pollutions</v>
      </c>
      <c r="Y233" t="str">
        <f t="shared" si="12"/>
        <v>Clarifier la procédure de gestion de crise pour prendre les mesures rapides et efficaces en cas de pollution, notamment …</v>
      </c>
    </row>
    <row r="234" spans="1:25" hidden="1" x14ac:dyDescent="0.25">
      <c r="A234" s="249" t="str">
        <f t="shared" si="11"/>
        <v>1</v>
      </c>
      <c r="B234" s="249" t="str">
        <f>VLOOKUP($D234,'[4]1. Mesures'!$A$2:$G$116,6,0)</f>
        <v>OS 1.1</v>
      </c>
      <c r="C234" s="249" t="str">
        <f>VLOOKUP($D234,'[4]1. Mesures'!$A$2:$G$116,7,0)</f>
        <v>OO 1.1.5</v>
      </c>
      <c r="D234" s="249" t="str">
        <f t="shared" si="10"/>
        <v>M 1.25</v>
      </c>
      <c r="E234" s="250" t="s">
        <v>759</v>
      </c>
      <c r="F234" s="249" t="str">
        <f>VLOOKUP(E234,'5.2 Actions'!$A$3:$B$720,2,0)</f>
        <v>Etudier la faisabilité et définir les besoins de Bruxelles Environnement en vue de basculer vers un système de garde 24h/24 et 7j/7 commun aux thématiques de l’Eau et Seveso</v>
      </c>
      <c r="G234" s="251" t="str">
        <f>VLOOKUP(E234,'[4]5.2 Actions'!$A$3:$D$718,4,0)</f>
        <v>SEN / WOL / CAN</v>
      </c>
      <c r="H234" s="252" t="str">
        <f>VLOOKUP($E234,'5.1 Budget'!$A$4:$H$729,2,0)</f>
        <v>-</v>
      </c>
      <c r="I234" s="252" t="str">
        <f>VLOOKUP($E234,'5.1 Budget'!$A$4:$H$729,3,0)</f>
        <v>-</v>
      </c>
      <c r="J234" s="252" t="str">
        <f>VLOOKUP($E234,'5.1 Budget'!$A$4:$H$729,4,0)</f>
        <v>-</v>
      </c>
      <c r="K234" s="252" t="str">
        <f>VLOOKUP($E234,'5.1 Budget'!$A$4:$H$729,5,0)</f>
        <v>-</v>
      </c>
      <c r="L234" s="252" t="str">
        <f>VLOOKUP($E234,'5.1 Budget'!$A$4:$H$729,6,0)</f>
        <v>-</v>
      </c>
      <c r="M234" s="252" t="str">
        <f>VLOOKUP($E234,'5.1 Budget'!$A$4:$H$729,7,0)</f>
        <v>-</v>
      </c>
      <c r="N234" s="252">
        <f>VLOOKUP($E234,'5.1 Budget'!$A$4:$H$729,8,0)</f>
        <v>0</v>
      </c>
      <c r="O234" s="254"/>
      <c r="V234" t="str">
        <f>VLOOKUP(D234,'[4]1. Mesures'!$A$1:$B$116,2,0)</f>
        <v>Assurer la gestion des pollutions transfrontalières</v>
      </c>
      <c r="W234" t="str">
        <f>VLOOKUP(B234,[1]HIERARCH!$A$1:$B$57,2,0)</f>
        <v>Assurer la gestion qualitative des masses d'eau de surface</v>
      </c>
      <c r="X234" t="str">
        <f>VLOOKUP(C234,[1]HIERARCH!$A$2:$B$57,2,0)</f>
        <v>Améliorer les connaissances et adapter la règlementation en vue de pouvoir proposer des mesures adéquates de réduction et/ou de suppression des rejets problématiques et sensibiliser les Bruxellois.es afin de diminuer ces pollutions</v>
      </c>
      <c r="Y234" t="str">
        <f t="shared" si="12"/>
        <v>Etudier la faisabilité et définir les besoins de Bruxelles Environnement en vue de basculer vers un système de garde 24h…</v>
      </c>
    </row>
    <row r="235" spans="1:25" hidden="1" x14ac:dyDescent="0.25">
      <c r="A235" s="249" t="str">
        <f t="shared" si="11"/>
        <v>1</v>
      </c>
      <c r="B235" s="249" t="str">
        <f>VLOOKUP($D235,'[4]1. Mesures'!$A$2:$G$116,6,0)</f>
        <v>OS 1.1</v>
      </c>
      <c r="C235" s="249" t="str">
        <f>VLOOKUP($D235,'[4]1. Mesures'!$A$2:$G$116,7,0)</f>
        <v>OO 1.1.5</v>
      </c>
      <c r="D235" s="249" t="str">
        <f t="shared" si="10"/>
        <v>M 1.25</v>
      </c>
      <c r="E235" s="250" t="s">
        <v>760</v>
      </c>
      <c r="F235" s="249" t="str">
        <f>VLOOKUP(E235,'5.2 Actions'!$A$3:$B$720,2,0)</f>
        <v>Définir le cadre du service de garde en lien avec la thématique de l'eau et en coordination avec les opérateurs de l'eau</v>
      </c>
      <c r="G235" s="251" t="str">
        <f>VLOOKUP(E235,'[4]5.2 Actions'!$A$3:$D$718,4,0)</f>
        <v>SEN / WOL / CAN</v>
      </c>
      <c r="H235" s="252" t="str">
        <f>VLOOKUP($E235,'5.1 Budget'!$A$4:$H$729,2,0)</f>
        <v>-</v>
      </c>
      <c r="I235" s="252" t="str">
        <f>VLOOKUP($E235,'5.1 Budget'!$A$4:$H$729,3,0)</f>
        <v>-</v>
      </c>
      <c r="J235" s="252" t="str">
        <f>VLOOKUP($E235,'5.1 Budget'!$A$4:$H$729,4,0)</f>
        <v>-</v>
      </c>
      <c r="K235" s="252" t="str">
        <f>VLOOKUP($E235,'5.1 Budget'!$A$4:$H$729,5,0)</f>
        <v>-</v>
      </c>
      <c r="L235" s="252" t="str">
        <f>VLOOKUP($E235,'5.1 Budget'!$A$4:$H$729,6,0)</f>
        <v>-</v>
      </c>
      <c r="M235" s="252" t="str">
        <f>VLOOKUP($E235,'5.1 Budget'!$A$4:$H$729,7,0)</f>
        <v>-</v>
      </c>
      <c r="N235" s="252">
        <f>VLOOKUP($E235,'5.1 Budget'!$A$4:$H$729,8,0)</f>
        <v>0</v>
      </c>
      <c r="O235" s="254"/>
      <c r="V235" t="str">
        <f>VLOOKUP(D235,'[4]1. Mesures'!$A$1:$B$116,2,0)</f>
        <v>Assurer la gestion des pollutions transfrontalières</v>
      </c>
      <c r="W235" t="str">
        <f>VLOOKUP(B235,[1]HIERARCH!$A$1:$B$57,2,0)</f>
        <v>Assurer la gestion qualitative des masses d'eau de surface</v>
      </c>
      <c r="X235" t="str">
        <f>VLOOKUP(C235,[1]HIERARCH!$A$2:$B$57,2,0)</f>
        <v>Améliorer les connaissances et adapter la règlementation en vue de pouvoir proposer des mesures adéquates de réduction et/ou de suppression des rejets problématiques et sensibiliser les Bruxellois.es afin de diminuer ces pollutions</v>
      </c>
      <c r="Y235" t="str">
        <f t="shared" si="12"/>
        <v>Définir le cadre du service de garde en lien avec la thématique de l'eau et en coordination avec les opérateurs de l'eau…</v>
      </c>
    </row>
    <row r="236" spans="1:25" hidden="1" x14ac:dyDescent="0.25">
      <c r="A236" s="249" t="str">
        <f t="shared" si="11"/>
        <v>1</v>
      </c>
      <c r="B236" s="249" t="str">
        <f>VLOOKUP($D236,'[4]1. Mesures'!$A$2:$G$116,6,0)</f>
        <v>OS 1.1</v>
      </c>
      <c r="C236" s="249" t="str">
        <f>VLOOKUP($D236,'[4]1. Mesures'!$A$2:$G$116,7,0)</f>
        <v>OO 1.1.5</v>
      </c>
      <c r="D236" s="249" t="str">
        <f t="shared" si="10"/>
        <v>M 1.25</v>
      </c>
      <c r="E236" s="250" t="s">
        <v>761</v>
      </c>
      <c r="F236" s="249" t="str">
        <f>VLOOKUP(E236,'5.2 Actions'!$A$3:$B$720,2,0)</f>
        <v>Organiser les procédures et contacts avec les services d’urgence en collaboration avec Bruxelles Prévention et Sécurité</v>
      </c>
      <c r="G236" s="251" t="str">
        <f>VLOOKUP(E236,'[4]5.2 Actions'!$A$3:$D$718,4,0)</f>
        <v>SEN / WOL / CAN</v>
      </c>
      <c r="H236" s="252" t="str">
        <f>VLOOKUP($E236,'5.1 Budget'!$A$4:$H$729,2,0)</f>
        <v>-</v>
      </c>
      <c r="I236" s="252" t="str">
        <f>VLOOKUP($E236,'5.1 Budget'!$A$4:$H$729,3,0)</f>
        <v>-</v>
      </c>
      <c r="J236" s="252" t="str">
        <f>VLOOKUP($E236,'5.1 Budget'!$A$4:$H$729,4,0)</f>
        <v>-</v>
      </c>
      <c r="K236" s="252" t="str">
        <f>VLOOKUP($E236,'5.1 Budget'!$A$4:$H$729,5,0)</f>
        <v>-</v>
      </c>
      <c r="L236" s="252" t="str">
        <f>VLOOKUP($E236,'5.1 Budget'!$A$4:$H$729,6,0)</f>
        <v>-</v>
      </c>
      <c r="M236" s="252" t="str">
        <f>VLOOKUP($E236,'5.1 Budget'!$A$4:$H$729,7,0)</f>
        <v>-</v>
      </c>
      <c r="N236" s="252">
        <f>VLOOKUP($E236,'5.1 Budget'!$A$4:$H$729,8,0)</f>
        <v>0</v>
      </c>
      <c r="O236" s="254"/>
      <c r="V236" t="str">
        <f>VLOOKUP(D236,'[4]1. Mesures'!$A$1:$B$116,2,0)</f>
        <v>Assurer la gestion des pollutions transfrontalières</v>
      </c>
      <c r="W236" t="str">
        <f>VLOOKUP(B236,[1]HIERARCH!$A$1:$B$57,2,0)</f>
        <v>Assurer la gestion qualitative des masses d'eau de surface</v>
      </c>
      <c r="X236" t="str">
        <f>VLOOKUP(C236,[1]HIERARCH!$A$2:$B$57,2,0)</f>
        <v>Améliorer les connaissances et adapter la règlementation en vue de pouvoir proposer des mesures adéquates de réduction et/ou de suppression des rejets problématiques et sensibiliser les Bruxellois.es afin de diminuer ces pollutions</v>
      </c>
      <c r="Y236" t="str">
        <f t="shared" si="12"/>
        <v>Organiser les procédures et contacts avec les services d’urgence en collaboration avec Bruxelles Prévention et Sécurité…</v>
      </c>
    </row>
    <row r="237" spans="1:25" hidden="1" x14ac:dyDescent="0.25">
      <c r="A237" s="249" t="str">
        <f t="shared" si="11"/>
        <v>1</v>
      </c>
      <c r="B237" s="249" t="str">
        <f>VLOOKUP($D237,'[4]1. Mesures'!$A$2:$G$116,6,0)</f>
        <v>OS 1.1</v>
      </c>
      <c r="C237" s="249" t="str">
        <f>VLOOKUP($D237,'[4]1. Mesures'!$A$2:$G$116,7,0)</f>
        <v>OO 1.1.5</v>
      </c>
      <c r="D237" s="249" t="str">
        <f t="shared" si="10"/>
        <v>M 1.25</v>
      </c>
      <c r="E237" s="250" t="s">
        <v>762</v>
      </c>
      <c r="F237" s="249" t="str">
        <f>VLOOKUP(E237,'5.2 Actions'!$A$3:$B$720,2,0)</f>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
      <c r="G237" s="251" t="str">
        <f>VLOOKUP(E237,'[4]5.2 Actions'!$A$3:$D$718,4,0)</f>
        <v>SEN / WOL / CAN</v>
      </c>
      <c r="H237" s="252" t="str">
        <f>VLOOKUP($E237,'5.1 Budget'!$A$4:$H$729,2,0)</f>
        <v>-</v>
      </c>
      <c r="I237" s="252" t="str">
        <f>VLOOKUP($E237,'5.1 Budget'!$A$4:$H$729,3,0)</f>
        <v>-</v>
      </c>
      <c r="J237" s="252" t="str">
        <f>VLOOKUP($E237,'5.1 Budget'!$A$4:$H$729,4,0)</f>
        <v>-</v>
      </c>
      <c r="K237" s="252" t="str">
        <f>VLOOKUP($E237,'5.1 Budget'!$A$4:$H$729,5,0)</f>
        <v>-</v>
      </c>
      <c r="L237" s="252" t="str">
        <f>VLOOKUP($E237,'5.1 Budget'!$A$4:$H$729,6,0)</f>
        <v>-</v>
      </c>
      <c r="M237" s="252" t="str">
        <f>VLOOKUP($E237,'5.1 Budget'!$A$4:$H$729,7,0)</f>
        <v>-</v>
      </c>
      <c r="N237" s="252">
        <f>VLOOKUP($E237,'5.1 Budget'!$A$4:$H$729,8,0)</f>
        <v>0</v>
      </c>
      <c r="O237" s="254"/>
      <c r="V237" t="str">
        <f>VLOOKUP(D237,'[4]1. Mesures'!$A$1:$B$116,2,0)</f>
        <v>Assurer la gestion des pollutions transfrontalières</v>
      </c>
      <c r="W237" t="str">
        <f>VLOOKUP(B237,[1]HIERARCH!$A$1:$B$57,2,0)</f>
        <v>Assurer la gestion qualitative des masses d'eau de surface</v>
      </c>
      <c r="X237" t="str">
        <f>VLOOKUP(C237,[1]HIERARCH!$A$2:$B$57,2,0)</f>
        <v>Améliorer les connaissances et adapter la règlementation en vue de pouvoir proposer des mesures adéquates de réduction et/ou de suppression des rejets problématiques et sensibiliser les Bruxellois.es afin de diminuer ces pollutions</v>
      </c>
      <c r="Y237" t="str">
        <f t="shared" si="12"/>
        <v>Dresser des constats d’infraction
- Réaliser des analyses physico-chimiques/chimiques de l’eau/de la pollution pour véri…</v>
      </c>
    </row>
    <row r="238" spans="1:25" hidden="1" x14ac:dyDescent="0.25">
      <c r="A238" s="249" t="str">
        <f t="shared" si="11"/>
        <v>1</v>
      </c>
      <c r="B238" s="249" t="str">
        <f>VLOOKUP($D238,'[4]1. Mesures'!$A$2:$G$116,6,0)</f>
        <v>OS 1.1</v>
      </c>
      <c r="C238" s="249" t="str">
        <f>VLOOKUP($D238,'[4]1. Mesures'!$A$2:$G$116,7,0)</f>
        <v>OO 1.1.5</v>
      </c>
      <c r="D238" s="249" t="str">
        <f t="shared" si="10"/>
        <v>M 1.25</v>
      </c>
      <c r="E238" s="250" t="s">
        <v>2605</v>
      </c>
      <c r="F238" s="249" t="str">
        <f>VLOOKUP(E238,'5.2 Actions'!$A$3:$B$720,2,0)</f>
        <v xml:space="preserve">Mener des actions contre la récurrence des pollutions aux hydrocarbures dans les égouts. </v>
      </c>
      <c r="G238" s="249" t="str">
        <f>VLOOKUP($E238,'5.2 Actions'!$A$2:$D$720,4,0)</f>
        <v>SEN / CAN</v>
      </c>
      <c r="H238" s="252" t="str">
        <f>VLOOKUP($E238,'5.1 Budget'!$A$4:$H$729,2,0)</f>
        <v>-</v>
      </c>
      <c r="I238" s="252" t="str">
        <f>VLOOKUP($E238,'5.1 Budget'!$A$4:$H$729,3,0)</f>
        <v>-</v>
      </c>
      <c r="J238" s="252" t="str">
        <f>VLOOKUP($E238,'5.1 Budget'!$A$4:$H$729,4,0)</f>
        <v>-</v>
      </c>
      <c r="K238" s="252" t="str">
        <f>VLOOKUP($E238,'5.1 Budget'!$A$4:$H$729,5,0)</f>
        <v>-</v>
      </c>
      <c r="L238" s="252" t="str">
        <f>VLOOKUP($E238,'5.1 Budget'!$A$4:$H$729,6,0)</f>
        <v>-</v>
      </c>
      <c r="M238" s="252" t="str">
        <f>VLOOKUP($E238,'5.1 Budget'!$A$4:$H$729,7,0)</f>
        <v>-</v>
      </c>
      <c r="N238" s="252">
        <f>VLOOKUP($E238,'5.1 Budget'!$A$4:$H$729,8,0)</f>
        <v>0</v>
      </c>
      <c r="O238" s="254"/>
      <c r="V238" t="str">
        <f>VLOOKUP(D238,'[4]1. Mesures'!$A$1:$B$116,2,0)</f>
        <v>Assurer la gestion des pollutions transfrontalières</v>
      </c>
      <c r="W238" t="str">
        <f>VLOOKUP(B238,[1]HIERARCH!$A$1:$B$57,2,0)</f>
        <v>Assurer la gestion qualitative des masses d'eau de surface</v>
      </c>
      <c r="X238" t="str">
        <f>VLOOKUP(C238,[1]HIERARCH!$A$2:$B$57,2,0)</f>
        <v>Améliorer les connaissances et adapter la règlementation en vue de pouvoir proposer des mesures adéquates de réduction et/ou de suppression des rejets problématiques et sensibiliser les Bruxellois.es afin de diminuer ces pollutions</v>
      </c>
      <c r="Y238" t="str">
        <f t="shared" si="12"/>
        <v>Mener des actions contre la récurrence des pollutions aux hydrocarbures dans les égouts. …</v>
      </c>
    </row>
    <row r="239" spans="1:25" hidden="1" x14ac:dyDescent="0.25">
      <c r="A239" s="249" t="str">
        <f t="shared" si="11"/>
        <v>1</v>
      </c>
      <c r="B239" s="249" t="str">
        <f>VLOOKUP($D239,'[4]1. Mesures'!$A$2:$G$116,6,0)</f>
        <v>OS 1.1</v>
      </c>
      <c r="C239" s="249" t="str">
        <f>VLOOKUP($D239,'[4]1. Mesures'!$A$2:$G$116,7,0)</f>
        <v>OO 1.1.5</v>
      </c>
      <c r="D239" s="249" t="str">
        <f t="shared" si="10"/>
        <v>M 1.25</v>
      </c>
      <c r="E239" s="250" t="s">
        <v>2862</v>
      </c>
      <c r="F239" s="249" t="s">
        <v>1652</v>
      </c>
      <c r="G239" s="249" t="s">
        <v>1287</v>
      </c>
      <c r="H239" s="252">
        <f>VLOOKUP($E239,'5.1 Budget'!$A$4:$H$729,2,0)</f>
        <v>0</v>
      </c>
      <c r="I239" s="252">
        <f>VLOOKUP($E239,'5.1 Budget'!$A$4:$H$729,3,0)</f>
        <v>0</v>
      </c>
      <c r="J239" s="252">
        <f>VLOOKUP($E239,'5.1 Budget'!$A$4:$H$729,4,0)</f>
        <v>0</v>
      </c>
      <c r="K239" s="252">
        <f>VLOOKUP($E239,'5.1 Budget'!$A$4:$H$729,5,0)</f>
        <v>0</v>
      </c>
      <c r="L239" s="252">
        <f>VLOOKUP($E239,'5.1 Budget'!$A$4:$H$729,6,0)</f>
        <v>0</v>
      </c>
      <c r="M239" s="252">
        <f>VLOOKUP($E239,'5.1 Budget'!$A$4:$H$729,7,0)</f>
        <v>0</v>
      </c>
      <c r="N239" s="252">
        <f>VLOOKUP($E239,'5.1 Budget'!$A$4:$H$729,8,0)</f>
        <v>0</v>
      </c>
      <c r="O239" s="254"/>
      <c r="V239" t="str">
        <f>VLOOKUP(D239,'[4]1. Mesures'!$A$1:$B$116,2,0)</f>
        <v>Assurer la gestion des pollutions transfrontalières</v>
      </c>
      <c r="W239" t="str">
        <f>VLOOKUP(B239,[1]HIERARCH!$A$1:$B$57,2,0)</f>
        <v>Assurer la gestion qualitative des masses d'eau de surface</v>
      </c>
      <c r="X239" t="str">
        <f>VLOOKUP(C239,[1]HIERARCH!$A$2:$B$57,2,0)</f>
        <v>Améliorer les connaissances et adapter la règlementation en vue de pouvoir proposer des mesures adéquates de réduction et/ou de suppression des rejets problématiques et sensibiliser les Bruxellois.es afin de diminuer ces pollutions</v>
      </c>
      <c r="Y239" t="str">
        <f t="shared" si="12"/>
        <v>Etendre le réseau de monitoring en continu FlowBru et créer des alertes automatiques sur de potentielles pollutions/cris…</v>
      </c>
    </row>
    <row r="240" spans="1:25" hidden="1" x14ac:dyDescent="0.25">
      <c r="A240" s="249" t="str">
        <f t="shared" si="11"/>
        <v>1</v>
      </c>
      <c r="B240" s="249" t="str">
        <f>VLOOKUP($D240,'[4]1. Mesures'!$A$2:$G$116,6,0)</f>
        <v>OS 1.1</v>
      </c>
      <c r="C240" s="249" t="str">
        <f>VLOOKUP($D240,'[4]1. Mesures'!$A$2:$G$116,7,0)</f>
        <v>OO 1.1.5</v>
      </c>
      <c r="D240" s="249" t="str">
        <f t="shared" si="10"/>
        <v>M 1.25</v>
      </c>
      <c r="E240" s="250" t="s">
        <v>2861</v>
      </c>
      <c r="F240" s="249" t="str">
        <f>VLOOKUP(E240,'5.2 Actions'!$A$3:$B$720,2,0)</f>
        <v>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v>
      </c>
      <c r="G240" s="249" t="str">
        <f>VLOOKUP($E240,'5.2 Actions'!$A$2:$D$720,4,0)</f>
        <v>SEN / WOL / CAN</v>
      </c>
      <c r="H240" s="252" t="str">
        <f>VLOOKUP($E240,'5.1 Budget'!$A$4:$H$729,2,0)</f>
        <v>-</v>
      </c>
      <c r="I240" s="252" t="str">
        <f>VLOOKUP($E240,'5.1 Budget'!$A$4:$H$729,3,0)</f>
        <v>-</v>
      </c>
      <c r="J240" s="252" t="str">
        <f>VLOOKUP($E240,'5.1 Budget'!$A$4:$H$729,4,0)</f>
        <v>-</v>
      </c>
      <c r="K240" s="252" t="str">
        <f>VLOOKUP($E240,'5.1 Budget'!$A$4:$H$729,5,0)</f>
        <v>-</v>
      </c>
      <c r="L240" s="252" t="str">
        <f>VLOOKUP($E240,'5.1 Budget'!$A$4:$H$729,6,0)</f>
        <v>-</v>
      </c>
      <c r="M240" s="252" t="str">
        <f>VLOOKUP($E240,'5.1 Budget'!$A$4:$H$729,7,0)</f>
        <v>-</v>
      </c>
      <c r="N240" s="252">
        <f>VLOOKUP($E240,'5.1 Budget'!$A$4:$H$729,8,0)</f>
        <v>0</v>
      </c>
      <c r="O240" s="254"/>
      <c r="V240" t="str">
        <f>VLOOKUP(D240,'[4]1. Mesures'!$A$1:$B$116,2,0)</f>
        <v>Assurer la gestion des pollutions transfrontalières</v>
      </c>
      <c r="W240" t="str">
        <f>VLOOKUP(B240,[1]HIERARCH!$A$1:$B$57,2,0)</f>
        <v>Assurer la gestion qualitative des masses d'eau de surface</v>
      </c>
      <c r="X240" t="str">
        <f>VLOOKUP(C240,[1]HIERARCH!$A$2:$B$57,2,0)</f>
        <v>Améliorer les connaissances et adapter la règlementation en vue de pouvoir proposer des mesures adéquates de réduction et/ou de suppression des rejets problématiques et sensibiliser les Bruxellois.es afin de diminuer ces pollutions</v>
      </c>
      <c r="Y240" t="str">
        <f t="shared" si="12"/>
        <v>Optimiser et appliquer la procédure d’alerte lors d’une pollution intra-régionale :
-         Identifier le contact des …</v>
      </c>
    </row>
    <row r="241" spans="1:25" hidden="1" x14ac:dyDescent="0.25">
      <c r="A241" s="249" t="str">
        <f t="shared" si="11"/>
        <v>1</v>
      </c>
      <c r="B241" s="249" t="str">
        <f>VLOOKUP($D241,'[4]1. Mesures'!$A$2:$G$116,6,0)</f>
        <v>OS 1.1</v>
      </c>
      <c r="C241" s="249" t="str">
        <f>VLOOKUP($D241,'[4]1. Mesures'!$A$2:$G$116,7,0)</f>
        <v>OO 1.1.5</v>
      </c>
      <c r="D241" s="249" t="str">
        <f t="shared" si="10"/>
        <v>M 1.25</v>
      </c>
      <c r="E241" s="250" t="s">
        <v>2607</v>
      </c>
      <c r="F241" s="249" t="str">
        <f>VLOOKUP(E241,'5.2 Actions'!$A$3:$B$720,2,0)</f>
        <v>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v>
      </c>
      <c r="G241" s="249" t="str">
        <f>VLOOKUP($E241,'5.2 Actions'!$A$2:$D$720,4,0)</f>
        <v>SEN / WOL / CAN</v>
      </c>
      <c r="H241" s="252" t="str">
        <f>VLOOKUP($E241,'5.1 Budget'!$A$4:$H$729,2,0)</f>
        <v>-</v>
      </c>
      <c r="I241" s="252" t="str">
        <f>VLOOKUP($E241,'5.1 Budget'!$A$4:$H$729,3,0)</f>
        <v>-</v>
      </c>
      <c r="J241" s="252" t="str">
        <f>VLOOKUP($E241,'5.1 Budget'!$A$4:$H$729,4,0)</f>
        <v>-</v>
      </c>
      <c r="K241" s="252" t="str">
        <f>VLOOKUP($E241,'5.1 Budget'!$A$4:$H$729,5,0)</f>
        <v>-</v>
      </c>
      <c r="L241" s="252" t="str">
        <f>VLOOKUP($E241,'5.1 Budget'!$A$4:$H$729,6,0)</f>
        <v>-</v>
      </c>
      <c r="M241" s="252" t="str">
        <f>VLOOKUP($E241,'5.1 Budget'!$A$4:$H$729,7,0)</f>
        <v>-</v>
      </c>
      <c r="N241" s="252">
        <f>VLOOKUP($E241,'5.1 Budget'!$A$4:$H$729,8,0)</f>
        <v>0</v>
      </c>
      <c r="O241" s="254"/>
      <c r="V241" t="str">
        <f>VLOOKUP(D241,'[4]1. Mesures'!$A$1:$B$116,2,0)</f>
        <v>Assurer la gestion des pollutions transfrontalières</v>
      </c>
      <c r="W241" t="str">
        <f>VLOOKUP(B241,[1]HIERARCH!$A$1:$B$57,2,0)</f>
        <v>Assurer la gestion qualitative des masses d'eau de surface</v>
      </c>
      <c r="X241" t="str">
        <f>VLOOKUP(C241,[1]HIERARCH!$A$2:$B$57,2,0)</f>
        <v>Améliorer les connaissances et adapter la règlementation en vue de pouvoir proposer des mesures adéquates de réduction et/ou de suppression des rejets problématiques et sensibiliser les Bruxellois.es afin de diminuer ces pollutions</v>
      </c>
      <c r="Y241" t="str">
        <f t="shared" si="12"/>
        <v>Sensibiliser les services d’intervention urgente quant à la pollution potentielle de l’environnement (en particulier les…</v>
      </c>
    </row>
    <row r="242" spans="1:25" hidden="1" x14ac:dyDescent="0.25">
      <c r="A242" s="249" t="str">
        <f t="shared" si="11"/>
        <v>1</v>
      </c>
      <c r="B242" s="249" t="str">
        <f>VLOOKUP($D242,'[4]1. Mesures'!$A$2:$G$116,6,0)</f>
        <v>OS 1.1</v>
      </c>
      <c r="C242" s="249" t="str">
        <f>VLOOKUP($D242,'[4]1. Mesures'!$A$2:$G$116,7,0)</f>
        <v>OO 1.1.5</v>
      </c>
      <c r="D242" s="249" t="str">
        <f t="shared" si="10"/>
        <v>M 1.25</v>
      </c>
      <c r="E242" s="250" t="s">
        <v>2608</v>
      </c>
      <c r="F242" s="249" t="str">
        <f>VLOOKUP(E242,'5.2 Actions'!$A$3:$B$720,2,0)</f>
        <v xml:space="preserve">Mise en œuvre des mesures définies (voir 1.25.11)
</v>
      </c>
      <c r="G242" s="249" t="str">
        <f>VLOOKUP($E242,'5.2 Actions'!$A$2:$D$720,4,0)</f>
        <v>SEN / WOL / CAN</v>
      </c>
      <c r="H242" s="252" t="str">
        <f>VLOOKUP($E242,'5.1 Budget'!$A$4:$H$729,2,0)</f>
        <v>-</v>
      </c>
      <c r="I242" s="252" t="str">
        <f>VLOOKUP($E242,'5.1 Budget'!$A$4:$H$729,3,0)</f>
        <v>-</v>
      </c>
      <c r="J242" s="252" t="str">
        <f>VLOOKUP($E242,'5.1 Budget'!$A$4:$H$729,4,0)</f>
        <v>-</v>
      </c>
      <c r="K242" s="252" t="str">
        <f>VLOOKUP($E242,'5.1 Budget'!$A$4:$H$729,5,0)</f>
        <v>-</v>
      </c>
      <c r="L242" s="252" t="str">
        <f>VLOOKUP($E242,'5.1 Budget'!$A$4:$H$729,6,0)</f>
        <v>-</v>
      </c>
      <c r="M242" s="252" t="str">
        <f>VLOOKUP($E242,'5.1 Budget'!$A$4:$H$729,7,0)</f>
        <v>-</v>
      </c>
      <c r="N242" s="252">
        <f>VLOOKUP($E242,'5.1 Budget'!$A$4:$H$729,8,0)</f>
        <v>0</v>
      </c>
      <c r="O242" s="254"/>
      <c r="V242" t="str">
        <f>VLOOKUP(D242,'[4]1. Mesures'!$A$1:$B$116,2,0)</f>
        <v>Assurer la gestion des pollutions transfrontalières</v>
      </c>
      <c r="W242" t="str">
        <f>VLOOKUP(B242,[1]HIERARCH!$A$1:$B$57,2,0)</f>
        <v>Assurer la gestion qualitative des masses d'eau de surface</v>
      </c>
      <c r="X242" t="str">
        <f>VLOOKUP(C242,[1]HIERARCH!$A$2:$B$57,2,0)</f>
        <v>Améliorer les connaissances et adapter la règlementation en vue de pouvoir proposer des mesures adéquates de réduction et/ou de suppression des rejets problématiques et sensibiliser les Bruxellois.es afin de diminuer ces pollutions</v>
      </c>
      <c r="Y242" t="str">
        <f t="shared" si="12"/>
        <v>Mise en œuvre des mesures définies (voir 1.25.11)
…</v>
      </c>
    </row>
    <row r="243" spans="1:25" hidden="1" x14ac:dyDescent="0.25">
      <c r="A243" s="249" t="str">
        <f t="shared" si="11"/>
        <v>1</v>
      </c>
      <c r="B243" s="249" t="str">
        <f>VLOOKUP($D243,'[4]1. Mesures'!$A$2:$G$116,6,0)</f>
        <v>OS 1.2</v>
      </c>
      <c r="C243" s="249" t="str">
        <f>VLOOKUP($D243,'[4]1. Mesures'!$A$2:$G$116,7,0)</f>
        <v>OO 1.2.1</v>
      </c>
      <c r="D243" s="249" t="str">
        <f t="shared" si="10"/>
        <v>M 1.26</v>
      </c>
      <c r="E243" s="250" t="s">
        <v>763</v>
      </c>
      <c r="F243" s="249" t="str">
        <f>VLOOKUP(E243,'5.2 Actions'!$A$3:$B$720,2,0)</f>
        <v>Développer par vallée une vision des offres potentielles d'eau supplémentaire actuellement perdues à l'égout et des besoins des milieux récepteurs en aval qui pourraient bénéficier de ces eaux supplémentaires</v>
      </c>
      <c r="G243" s="251" t="str">
        <f>VLOOKUP(E243,'5.2 Actions'!$A$3:$D$720,4,0)</f>
        <v>SEN / WOL / CAN</v>
      </c>
      <c r="H243" s="252">
        <f>VLOOKUP($E243,'5.1 Budget'!$A$4:$H$729,2,0)</f>
        <v>0</v>
      </c>
      <c r="I243" s="252">
        <f>VLOOKUP($E243,'5.1 Budget'!$A$4:$H$729,3,0)</f>
        <v>0</v>
      </c>
      <c r="J243" s="252">
        <f>VLOOKUP($E243,'5.1 Budget'!$A$4:$H$729,4,0)</f>
        <v>0</v>
      </c>
      <c r="K243" s="252">
        <f>VLOOKUP($E243,'5.1 Budget'!$A$4:$H$729,5,0)</f>
        <v>0</v>
      </c>
      <c r="L243" s="252">
        <f>VLOOKUP($E243,'5.1 Budget'!$A$4:$H$729,6,0)</f>
        <v>0</v>
      </c>
      <c r="M243" s="252">
        <f>VLOOKUP($E243,'5.1 Budget'!$A$4:$H$729,7,0)</f>
        <v>0</v>
      </c>
      <c r="N243" s="252">
        <f>VLOOKUP($E243,'5.1 Budget'!$A$4:$H$729,8,0)</f>
        <v>0</v>
      </c>
      <c r="O243" s="254"/>
      <c r="V243" t="str">
        <f>VLOOKUP(D243,'[4]1.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3" t="e">
        <f>VLOOKUP(B243,[1]HIERARCH!$A$1:$B$57,2,0)</f>
        <v>#N/A</v>
      </c>
      <c r="X243" t="str">
        <f>VLOOKUP(C243,[1]HIERARCH!$A$2:$B$57,2,0)</f>
        <v>Assurer un débit minimum écologique des cours d'eau</v>
      </c>
      <c r="Y243" t="str">
        <f t="shared" si="12"/>
        <v>Développer par vallée une vision des offres potentielles d'eau supplémentaire actuellement perdues à l'égout et des beso…</v>
      </c>
    </row>
    <row r="244" spans="1:25" hidden="1" x14ac:dyDescent="0.25">
      <c r="A244" s="249" t="str">
        <f t="shared" si="11"/>
        <v>1</v>
      </c>
      <c r="B244" s="249" t="str">
        <f>VLOOKUP($D244,'[4]1. Mesures'!$A$2:$G$116,6,0)</f>
        <v>OS 1.2</v>
      </c>
      <c r="C244" s="249" t="str">
        <f>VLOOKUP($D244,'[4]1. Mesures'!$A$2:$G$116,7,0)</f>
        <v>OO 1.2.1</v>
      </c>
      <c r="D244" s="249" t="str">
        <f t="shared" si="10"/>
        <v>M 1.26</v>
      </c>
      <c r="E244" s="250" t="s">
        <v>767</v>
      </c>
      <c r="F244" s="249" t="str">
        <f>VLOOKUP(E244,'5.2 Actions'!$A$3:$B$720,2,0)</f>
        <v>Etude de faisabilité de reconnexion du Molenbeek à la Senne (action C13_1 Belini) + analyse du coûts-bénéfices</v>
      </c>
      <c r="G244" s="251" t="str">
        <f>VLOOKUP(E244,'5.2 Actions'!$A$3:$D$720,4,0)</f>
        <v>SEN</v>
      </c>
      <c r="H244" s="252">
        <f>VLOOKUP($E244,'5.1 Budget'!$A$4:$H$729,2,0)</f>
        <v>77000</v>
      </c>
      <c r="I244" s="252">
        <f>VLOOKUP($E244,'5.1 Budget'!$A$4:$H$729,3,0)</f>
        <v>0</v>
      </c>
      <c r="J244" s="252">
        <f>VLOOKUP($E244,'5.1 Budget'!$A$4:$H$729,4,0)</f>
        <v>0</v>
      </c>
      <c r="K244" s="252">
        <f>VLOOKUP($E244,'5.1 Budget'!$A$4:$H$729,5,0)</f>
        <v>0</v>
      </c>
      <c r="L244" s="252">
        <f>VLOOKUP($E244,'5.1 Budget'!$A$4:$H$729,6,0)</f>
        <v>0</v>
      </c>
      <c r="M244" s="252">
        <f>VLOOKUP($E244,'5.1 Budget'!$A$4:$H$729,7,0)</f>
        <v>0</v>
      </c>
      <c r="N244" s="252">
        <f>VLOOKUP($E244,'5.1 Budget'!$A$4:$H$729,8,0)</f>
        <v>77000</v>
      </c>
      <c r="O244" s="254"/>
      <c r="V244" t="str">
        <f>VLOOKUP(D244,'[4]1.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4" t="e">
        <f>VLOOKUP(B244,[1]HIERARCH!$A$1:$B$57,2,0)</f>
        <v>#N/A</v>
      </c>
      <c r="X244" t="str">
        <f>VLOOKUP(C244,[1]HIERARCH!$A$2:$B$57,2,0)</f>
        <v>Assurer un débit minimum écologique des cours d'eau</v>
      </c>
      <c r="Y244" t="str">
        <f t="shared" si="12"/>
        <v>Etude de faisabilité de reconnexion du Molenbeek à la Senne (action C13_1 Belini) + analyse du coûts-bénéfices…</v>
      </c>
    </row>
    <row r="245" spans="1:25" hidden="1" x14ac:dyDescent="0.25">
      <c r="A245" s="249" t="str">
        <f t="shared" si="11"/>
        <v>1</v>
      </c>
      <c r="B245" s="249" t="str">
        <f>VLOOKUP($D245,'[4]1. Mesures'!$A$2:$G$116,6,0)</f>
        <v>OS 1.2</v>
      </c>
      <c r="C245" s="249" t="str">
        <f>VLOOKUP($D245,'[4]1. Mesures'!$A$2:$G$116,7,0)</f>
        <v>OO 1.2.1</v>
      </c>
      <c r="D245" s="249" t="str">
        <f t="shared" si="10"/>
        <v>M 1.26</v>
      </c>
      <c r="E245" s="250" t="s">
        <v>768</v>
      </c>
      <c r="F245" s="249" t="str">
        <f>VLOOKUP(E245,'5.2 Actions'!$A$3:$B$720,2,0)</f>
        <v>Etude de faisabilité de reconnexion du Neerpedebeek à la Senne + analyse du coûts-bénéfices</v>
      </c>
      <c r="G245" s="251" t="str">
        <f>VLOOKUP(E245,'5.2 Actions'!$A$3:$D$720,4,0)</f>
        <v>SEN</v>
      </c>
      <c r="H245" s="252">
        <f>VLOOKUP($E245,'5.1 Budget'!$A$4:$H$729,2,0)</f>
        <v>50000</v>
      </c>
      <c r="I245" s="252">
        <f>VLOOKUP($E245,'5.1 Budget'!$A$4:$H$729,3,0)</f>
        <v>0</v>
      </c>
      <c r="J245" s="252">
        <f>VLOOKUP($E245,'5.1 Budget'!$A$4:$H$729,4,0)</f>
        <v>0</v>
      </c>
      <c r="K245" s="252">
        <f>VLOOKUP($E245,'5.1 Budget'!$A$4:$H$729,5,0)</f>
        <v>0</v>
      </c>
      <c r="L245" s="252">
        <f>VLOOKUP($E245,'5.1 Budget'!$A$4:$H$729,6,0)</f>
        <v>0</v>
      </c>
      <c r="M245" s="252">
        <f>VLOOKUP($E245,'5.1 Budget'!$A$4:$H$729,7,0)</f>
        <v>0</v>
      </c>
      <c r="N245" s="252">
        <f>VLOOKUP($E245,'5.1 Budget'!$A$4:$H$729,8,0)</f>
        <v>50000</v>
      </c>
      <c r="O245" s="254"/>
      <c r="V245" t="str">
        <f>VLOOKUP(D245,'[4]1.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5" t="e">
        <f>VLOOKUP(B245,[1]HIERARCH!$A$1:$B$57,2,0)</f>
        <v>#N/A</v>
      </c>
      <c r="X245" t="str">
        <f>VLOOKUP(C245,[1]HIERARCH!$A$2:$B$57,2,0)</f>
        <v>Assurer un débit minimum écologique des cours d'eau</v>
      </c>
      <c r="Y245" t="str">
        <f t="shared" si="12"/>
        <v>Etude de faisabilité de reconnexion du Neerpedebeek à la Senne + analyse du coûts-bénéfices…</v>
      </c>
    </row>
    <row r="246" spans="1:25" hidden="1" x14ac:dyDescent="0.25">
      <c r="A246" s="249" t="str">
        <f t="shared" si="11"/>
        <v>1</v>
      </c>
      <c r="B246" s="249" t="str">
        <f>VLOOKUP($D246,'[4]1. Mesures'!$A$2:$G$116,6,0)</f>
        <v>OS 1.2</v>
      </c>
      <c r="C246" s="249" t="str">
        <f>VLOOKUP($D246,'[4]1. Mesures'!$A$2:$G$116,7,0)</f>
        <v>OO 1.2.1</v>
      </c>
      <c r="D246" s="249" t="str">
        <f t="shared" si="10"/>
        <v>M 1.26</v>
      </c>
      <c r="E246" s="250" t="s">
        <v>769</v>
      </c>
      <c r="F246" s="249" t="str">
        <f>VLOOKUP(E246,'5.2 Actions'!$A$3:$B$720,2,0)</f>
        <v>Réflexions sur la reconnexion du Watermaelbeek à la Woluwe + analyse du coûts-bénéfices</v>
      </c>
      <c r="G246" s="251" t="str">
        <f>VLOOKUP(E246,'5.2 Actions'!$A$3:$D$720,4,0)</f>
        <v>WOL</v>
      </c>
      <c r="H246" s="252">
        <f>VLOOKUP($E246,'5.1 Budget'!$A$4:$H$729,2,0)</f>
        <v>0</v>
      </c>
      <c r="I246" s="252">
        <f>VLOOKUP($E246,'5.1 Budget'!$A$4:$H$729,3,0)</f>
        <v>0</v>
      </c>
      <c r="J246" s="252">
        <f>VLOOKUP($E246,'5.1 Budget'!$A$4:$H$729,4,0)</f>
        <v>40000</v>
      </c>
      <c r="K246" s="252">
        <f>VLOOKUP($E246,'5.1 Budget'!$A$4:$H$729,5,0)</f>
        <v>0</v>
      </c>
      <c r="L246" s="252">
        <f>VLOOKUP($E246,'5.1 Budget'!$A$4:$H$729,6,0)</f>
        <v>0</v>
      </c>
      <c r="M246" s="252">
        <f>VLOOKUP($E246,'5.1 Budget'!$A$4:$H$729,7,0)</f>
        <v>0</v>
      </c>
      <c r="N246" s="252">
        <f>VLOOKUP($E246,'5.1 Budget'!$A$4:$H$729,8,0)</f>
        <v>40000</v>
      </c>
      <c r="O246" s="254"/>
      <c r="V246" t="str">
        <f>VLOOKUP(D246,'[4]1.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6" t="e">
        <f>VLOOKUP(B246,[1]HIERARCH!$A$1:$B$57,2,0)</f>
        <v>#N/A</v>
      </c>
      <c r="X246" t="str">
        <f>VLOOKUP(C246,[1]HIERARCH!$A$2:$B$57,2,0)</f>
        <v>Assurer un débit minimum écologique des cours d'eau</v>
      </c>
      <c r="Y246" t="str">
        <f t="shared" si="12"/>
        <v>Réflexions sur la reconnexion du Watermaelbeek à la Woluwe + analyse du coûts-bénéfices…</v>
      </c>
    </row>
    <row r="247" spans="1:25" hidden="1" x14ac:dyDescent="0.25">
      <c r="A247" s="249" t="str">
        <f t="shared" si="11"/>
        <v>1</v>
      </c>
      <c r="B247" s="249" t="str">
        <f>VLOOKUP($D247,'[4]1. Mesures'!$A$2:$G$116,6,0)</f>
        <v>OS 1.2</v>
      </c>
      <c r="C247" s="249" t="str">
        <f>VLOOKUP($D247,'[4]1. Mesures'!$A$2:$G$116,7,0)</f>
        <v>OO 1.2.1</v>
      </c>
      <c r="D247" s="249" t="str">
        <f t="shared" si="10"/>
        <v>M 1.26</v>
      </c>
      <c r="E247" s="250" t="s">
        <v>770</v>
      </c>
      <c r="F247" s="249" t="str">
        <f>VLOOKUP(E247,'5.2 Actions'!$A$3:$B$720,2,0)</f>
        <v>Etude de faisabilité de reconnexion du Ru du Zeyp à Ganshoren (étang Rivieren et Clos des tarins) au Marais de Jette et au Molenbeek + analyse du coûts-bénéfices</v>
      </c>
      <c r="G247" s="251" t="str">
        <f>VLOOKUP(E247,'5.2 Actions'!$A$3:$D$720,4,0)</f>
        <v>SEN</v>
      </c>
      <c r="H247" s="252">
        <f>VLOOKUP($E247,'5.1 Budget'!$A$4:$H$729,2,0)</f>
        <v>0</v>
      </c>
      <c r="I247" s="252">
        <f>VLOOKUP($E247,'5.1 Budget'!$A$4:$H$729,3,0)</f>
        <v>0</v>
      </c>
      <c r="J247" s="252">
        <f>VLOOKUP($E247,'5.1 Budget'!$A$4:$H$729,4,0)</f>
        <v>0</v>
      </c>
      <c r="K247" s="252">
        <f>VLOOKUP($E247,'5.1 Budget'!$A$4:$H$729,5,0)</f>
        <v>50000</v>
      </c>
      <c r="L247" s="252">
        <f>VLOOKUP($E247,'5.1 Budget'!$A$4:$H$729,6,0)</f>
        <v>0</v>
      </c>
      <c r="M247" s="252">
        <f>VLOOKUP($E247,'5.1 Budget'!$A$4:$H$729,7,0)</f>
        <v>0</v>
      </c>
      <c r="N247" s="252">
        <f>VLOOKUP($E247,'5.1 Budget'!$A$4:$H$729,8,0)</f>
        <v>50000</v>
      </c>
      <c r="O247" s="254"/>
      <c r="V247" t="str">
        <f>VLOOKUP(D247,'[4]1.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7" t="e">
        <f>VLOOKUP(B247,[1]HIERARCH!$A$1:$B$57,2,0)</f>
        <v>#N/A</v>
      </c>
      <c r="X247" t="str">
        <f>VLOOKUP(C247,[1]HIERARCH!$A$2:$B$57,2,0)</f>
        <v>Assurer un débit minimum écologique des cours d'eau</v>
      </c>
      <c r="Y247" t="str">
        <f t="shared" si="12"/>
        <v>Etude de faisabilité de reconnexion du Ru du Zeyp à Ganshoren (étang Rivieren et Clos des tarins) au Marais de Jette et …</v>
      </c>
    </row>
    <row r="248" spans="1:25" hidden="1" x14ac:dyDescent="0.25">
      <c r="A248" s="249" t="str">
        <f t="shared" si="11"/>
        <v>1</v>
      </c>
      <c r="B248" s="249" t="str">
        <f>VLOOKUP($D248,'[4]1. Mesures'!$A$2:$G$116,6,0)</f>
        <v>OS 1.2</v>
      </c>
      <c r="C248" s="249" t="str">
        <f>VLOOKUP($D248,'[4]1. Mesures'!$A$2:$G$116,7,0)</f>
        <v>OO 1.2.1</v>
      </c>
      <c r="D248" s="249" t="str">
        <f t="shared" si="10"/>
        <v>M 1.26</v>
      </c>
      <c r="E248" s="250" t="s">
        <v>771</v>
      </c>
      <c r="F248" s="249" t="str">
        <f>VLOOKUP(E248,'5.2 Actions'!$A$3:$B$720,2,0)</f>
        <v>Investigation et Etude de faisabilité de reconnexion de l'Ukkelbeek à la Senne + analyse du coûts-bénéfices</v>
      </c>
      <c r="G248" s="251" t="str">
        <f>VLOOKUP(E248,'5.2 Actions'!$A$3:$D$720,4,0)</f>
        <v>SEN</v>
      </c>
      <c r="H248" s="252">
        <f>VLOOKUP($E248,'5.1 Budget'!$A$4:$H$729,2,0)</f>
        <v>30000</v>
      </c>
      <c r="I248" s="252">
        <f>VLOOKUP($E248,'5.1 Budget'!$A$4:$H$729,3,0)</f>
        <v>50000</v>
      </c>
      <c r="J248" s="252">
        <f>VLOOKUP($E248,'5.1 Budget'!$A$4:$H$729,4,0)</f>
        <v>0</v>
      </c>
      <c r="K248" s="252">
        <f>VLOOKUP($E248,'5.1 Budget'!$A$4:$H$729,5,0)</f>
        <v>0</v>
      </c>
      <c r="L248" s="252">
        <f>VLOOKUP($E248,'5.1 Budget'!$A$4:$H$729,6,0)</f>
        <v>0</v>
      </c>
      <c r="M248" s="252">
        <f>VLOOKUP($E248,'5.1 Budget'!$A$4:$H$729,7,0)</f>
        <v>0</v>
      </c>
      <c r="N248" s="252">
        <f>VLOOKUP($E248,'5.1 Budget'!$A$4:$H$729,8,0)</f>
        <v>80000</v>
      </c>
      <c r="O248" s="254"/>
      <c r="V248" t="str">
        <f>VLOOKUP(D248,'[4]1.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8" t="e">
        <f>VLOOKUP(B248,[1]HIERARCH!$A$1:$B$57,2,0)</f>
        <v>#N/A</v>
      </c>
      <c r="X248" t="str">
        <f>VLOOKUP(C248,[1]HIERARCH!$A$2:$B$57,2,0)</f>
        <v>Assurer un débit minimum écologique des cours d'eau</v>
      </c>
      <c r="Y248" t="str">
        <f t="shared" si="12"/>
        <v>Investigation et Etude de faisabilité de reconnexion de l'Ukkelbeek à la Senne + analyse du coûts-bénéfices…</v>
      </c>
    </row>
    <row r="249" spans="1:25" hidden="1" x14ac:dyDescent="0.25">
      <c r="A249" s="249" t="str">
        <f t="shared" si="11"/>
        <v>1</v>
      </c>
      <c r="B249" s="249" t="str">
        <f>VLOOKUP($D249,'[4]1. Mesures'!$A$2:$G$116,6,0)</f>
        <v>OS 1.2</v>
      </c>
      <c r="C249" s="249" t="str">
        <f>VLOOKUP($D249,'[4]1. Mesures'!$A$2:$G$116,7,0)</f>
        <v>OO 1.2.1</v>
      </c>
      <c r="D249" s="249" t="str">
        <f t="shared" si="10"/>
        <v>M 1.26</v>
      </c>
      <c r="E249" s="250" t="s">
        <v>772</v>
      </c>
      <c r="F249" s="249" t="str">
        <f>VLOOKUP(E249,'5.2 Actions'!$A$3:$B$720,2,0)</f>
        <v>Réflexions sur la récupération vers le réseau hydrographique des eaux claires de drainage s'infiltrant dans les collecteurs + analyse du coûts-bénéfices. (dont le collecteur passant dans le marais de Jette et Ganshoren)</v>
      </c>
      <c r="G249" s="251" t="str">
        <f>VLOOKUP(E249,'5.2 Actions'!$A$3:$D$720,4,0)</f>
        <v>SEN</v>
      </c>
      <c r="H249" s="252">
        <f>VLOOKUP($E249,'5.1 Budget'!$A$4:$H$729,2,0)</f>
        <v>0</v>
      </c>
      <c r="I249" s="252">
        <f>VLOOKUP($E249,'5.1 Budget'!$A$4:$H$729,3,0)</f>
        <v>0</v>
      </c>
      <c r="J249" s="252">
        <f>VLOOKUP($E249,'5.1 Budget'!$A$4:$H$729,4,0)</f>
        <v>0</v>
      </c>
      <c r="K249" s="252">
        <f>VLOOKUP($E249,'5.1 Budget'!$A$4:$H$729,5,0)</f>
        <v>0</v>
      </c>
      <c r="L249" s="252">
        <f>VLOOKUP($E249,'5.1 Budget'!$A$4:$H$729,6,0)</f>
        <v>0</v>
      </c>
      <c r="M249" s="252">
        <f>VLOOKUP($E249,'5.1 Budget'!$A$4:$H$729,7,0)</f>
        <v>0</v>
      </c>
      <c r="N249" s="252">
        <f>VLOOKUP($E249,'5.1 Budget'!$A$4:$H$729,8,0)</f>
        <v>0</v>
      </c>
      <c r="O249" s="254"/>
      <c r="V249" t="str">
        <f>VLOOKUP(D249,'[4]1.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49" t="e">
        <f>VLOOKUP(B249,[1]HIERARCH!$A$1:$B$57,2,0)</f>
        <v>#N/A</v>
      </c>
      <c r="X249" t="str">
        <f>VLOOKUP(C249,[1]HIERARCH!$A$2:$B$57,2,0)</f>
        <v>Assurer un débit minimum écologique des cours d'eau</v>
      </c>
      <c r="Y249" t="str">
        <f t="shared" si="12"/>
        <v>Réflexions sur la récupération vers le réseau hydrographique des eaux claires de drainage s'infiltrant dans les collecte…</v>
      </c>
    </row>
    <row r="250" spans="1:25" hidden="1" x14ac:dyDescent="0.25">
      <c r="A250" s="249" t="str">
        <f t="shared" si="11"/>
        <v>1</v>
      </c>
      <c r="B250" s="249" t="str">
        <f>VLOOKUP($D250,'[4]1. Mesures'!$A$2:$G$116,6,0)</f>
        <v>OS 1.2</v>
      </c>
      <c r="C250" s="249" t="str">
        <f>VLOOKUP($D250,'[4]1. Mesures'!$A$2:$G$116,7,0)</f>
        <v>OO 1.2.1</v>
      </c>
      <c r="D250" s="249" t="str">
        <f t="shared" si="10"/>
        <v>M 1.26</v>
      </c>
      <c r="E250" s="250" t="s">
        <v>773</v>
      </c>
      <c r="F250" s="249" t="str">
        <f>VLOOKUP(E250,'5.2 Actions'!$A$3:$B$720,2,0)</f>
        <v>Travaux de reconnexion du Molenbeek à la Senne : 
Ces travaux ne pourront être envisagés qu'après les résultats de l'étude de faisabilité (1.26.2)</v>
      </c>
      <c r="G250" s="251" t="str">
        <f>VLOOKUP(E250,'5.2 Actions'!$A$3:$D$720,4,0)</f>
        <v>SEN</v>
      </c>
      <c r="H250" s="252">
        <f>VLOOKUP($E250,'5.1 Budget'!$A$4:$H$729,2,0)</f>
        <v>0</v>
      </c>
      <c r="I250" s="252">
        <f>VLOOKUP($E250,'5.1 Budget'!$A$4:$H$729,3,0)</f>
        <v>0</v>
      </c>
      <c r="J250" s="252">
        <f>VLOOKUP($E250,'5.1 Budget'!$A$4:$H$729,4,0)</f>
        <v>500000</v>
      </c>
      <c r="K250" s="252">
        <f>VLOOKUP($E250,'5.1 Budget'!$A$4:$H$729,5,0)</f>
        <v>500000</v>
      </c>
      <c r="L250" s="252">
        <f>VLOOKUP($E250,'5.1 Budget'!$A$4:$H$729,6,0)</f>
        <v>500000</v>
      </c>
      <c r="M250" s="252">
        <f>VLOOKUP($E250,'5.1 Budget'!$A$4:$H$729,7,0)</f>
        <v>500000</v>
      </c>
      <c r="N250" s="252">
        <f>VLOOKUP($E250,'5.1 Budget'!$A$4:$H$729,8,0)</f>
        <v>2000000</v>
      </c>
      <c r="O250" s="254"/>
      <c r="V250" t="str">
        <f>VLOOKUP(D250,'[4]1.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50" t="e">
        <f>VLOOKUP(B250,[1]HIERARCH!$A$1:$B$57,2,0)</f>
        <v>#N/A</v>
      </c>
      <c r="X250" t="str">
        <f>VLOOKUP(C250,[1]HIERARCH!$A$2:$B$57,2,0)</f>
        <v>Assurer un débit minimum écologique des cours d'eau</v>
      </c>
      <c r="Y250" t="str">
        <f t="shared" si="12"/>
        <v>Travaux de reconnexion du Molenbeek à la Senne : 
Ces travaux ne pourront être envisagés qu'après les résultats de l'étu…</v>
      </c>
    </row>
    <row r="251" spans="1:25" hidden="1" x14ac:dyDescent="0.25">
      <c r="A251" s="249" t="str">
        <f t="shared" si="11"/>
        <v>1</v>
      </c>
      <c r="B251" s="249" t="str">
        <f>VLOOKUP($D251,'[4]1. Mesures'!$A$2:$G$116,6,0)</f>
        <v>OS 1.2</v>
      </c>
      <c r="C251" s="249" t="str">
        <f>VLOOKUP($D251,'[4]1. Mesures'!$A$2:$G$116,7,0)</f>
        <v>OO 1.2.1</v>
      </c>
      <c r="D251" s="249" t="str">
        <f t="shared" si="10"/>
        <v>M 1.26</v>
      </c>
      <c r="E251" s="250" t="s">
        <v>774</v>
      </c>
      <c r="F251" s="249" t="str">
        <f>VLOOKUP(E251,'5.2 Actions'!$A$3:$B$720,2,0)</f>
        <v>Travaux de reconnexion du Neerpedebeek à la Senne :
Ces travaux ne pourront être envisagés qu'après les résultats de l'étude de faisabilité (1.26.3)</v>
      </c>
      <c r="G251" s="251" t="str">
        <f>VLOOKUP(E251,'5.2 Actions'!$A$3:$D$720,4,0)</f>
        <v>SEN</v>
      </c>
      <c r="H251" s="252">
        <f>VLOOKUP($E251,'5.1 Budget'!$A$4:$H$729,2,0)</f>
        <v>0</v>
      </c>
      <c r="I251" s="252">
        <f>VLOOKUP($E251,'5.1 Budget'!$A$4:$H$729,3,0)</f>
        <v>300000</v>
      </c>
      <c r="J251" s="252">
        <f>VLOOKUP($E251,'5.1 Budget'!$A$4:$H$729,4,0)</f>
        <v>0</v>
      </c>
      <c r="K251" s="252">
        <f>VLOOKUP($E251,'5.1 Budget'!$A$4:$H$729,5,0)</f>
        <v>0</v>
      </c>
      <c r="L251" s="252">
        <f>VLOOKUP($E251,'5.1 Budget'!$A$4:$H$729,6,0)</f>
        <v>0</v>
      </c>
      <c r="M251" s="252">
        <f>VLOOKUP($E251,'5.1 Budget'!$A$4:$H$729,7,0)</f>
        <v>0</v>
      </c>
      <c r="N251" s="252">
        <f>VLOOKUP($E251,'5.1 Budget'!$A$4:$H$729,8,0)</f>
        <v>300000</v>
      </c>
      <c r="O251" s="254"/>
      <c r="V251" t="str">
        <f>VLOOKUP(D251,'[4]1.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51" t="e">
        <f>VLOOKUP(B251,[1]HIERARCH!$A$1:$B$57,2,0)</f>
        <v>#N/A</v>
      </c>
      <c r="X251" t="str">
        <f>VLOOKUP(C251,[1]HIERARCH!$A$2:$B$57,2,0)</f>
        <v>Assurer un débit minimum écologique des cours d'eau</v>
      </c>
      <c r="Y251" t="str">
        <f t="shared" si="12"/>
        <v>Travaux de reconnexion du Neerpedebeek à la Senne :
Ces travaux ne pourront être envisagés qu'après les résultats de l'é…</v>
      </c>
    </row>
    <row r="252" spans="1:25" hidden="1" x14ac:dyDescent="0.25">
      <c r="A252" s="249" t="str">
        <f t="shared" si="11"/>
        <v>1</v>
      </c>
      <c r="B252" s="249" t="str">
        <f>VLOOKUP($D252,'[4]1. Mesures'!$A$2:$G$116,6,0)</f>
        <v>OS 1.2</v>
      </c>
      <c r="C252" s="249" t="str">
        <f>VLOOKUP($D252,'[4]1. Mesures'!$A$2:$G$116,7,0)</f>
        <v>OO 1.2.1</v>
      </c>
      <c r="D252" s="249" t="str">
        <f t="shared" si="10"/>
        <v>M 1.26</v>
      </c>
      <c r="E252" s="250" t="s">
        <v>764</v>
      </c>
      <c r="F252" s="249" t="str">
        <f>VLOOKUP(E252,'5.2 Actions'!$A$3:$B$720,2,0)</f>
        <v>Travaux de reconnexion de l'Ukkelbeek à la Senne :
Ces travaux ne pourront être envisagés qu'après les résultats de l'étude de faisabilité (1.26.6)</v>
      </c>
      <c r="G252" s="251" t="str">
        <f>VLOOKUP(E252,'5.2 Actions'!$A$3:$D$720,4,0)</f>
        <v>SEN</v>
      </c>
      <c r="H252" s="252">
        <f>VLOOKUP($E252,'5.1 Budget'!$A$4:$H$729,2,0)</f>
        <v>0</v>
      </c>
      <c r="I252" s="252">
        <f>VLOOKUP($E252,'5.1 Budget'!$A$4:$H$729,3,0)</f>
        <v>0</v>
      </c>
      <c r="J252" s="252">
        <f>VLOOKUP($E252,'5.1 Budget'!$A$4:$H$729,4,0)</f>
        <v>0</v>
      </c>
      <c r="K252" s="252">
        <f>VLOOKUP($E252,'5.1 Budget'!$A$4:$H$729,5,0)</f>
        <v>0</v>
      </c>
      <c r="L252" s="252">
        <f>VLOOKUP($E252,'5.1 Budget'!$A$4:$H$729,6,0)</f>
        <v>0</v>
      </c>
      <c r="M252" s="252">
        <f>VLOOKUP($E252,'5.1 Budget'!$A$4:$H$729,7,0)</f>
        <v>0</v>
      </c>
      <c r="N252" s="252">
        <f>VLOOKUP($E252,'5.1 Budget'!$A$4:$H$729,8,0)</f>
        <v>0</v>
      </c>
      <c r="O252" s="254"/>
      <c r="V252" t="str">
        <f>VLOOKUP(D252,'[4]1.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52" t="e">
        <f>VLOOKUP(B252,[1]HIERARCH!$A$1:$B$57,2,0)</f>
        <v>#N/A</v>
      </c>
      <c r="X252" t="str">
        <f>VLOOKUP(C252,[1]HIERARCH!$A$2:$B$57,2,0)</f>
        <v>Assurer un débit minimum écologique des cours d'eau</v>
      </c>
      <c r="Y252" t="str">
        <f t="shared" si="12"/>
        <v>Travaux de reconnexion de l'Ukkelbeek à la Senne :
Ces travaux ne pourront être envisagés qu'après les résultats de l'ét…</v>
      </c>
    </row>
    <row r="253" spans="1:25" hidden="1" x14ac:dyDescent="0.25">
      <c r="A253" s="249" t="str">
        <f t="shared" si="11"/>
        <v>1</v>
      </c>
      <c r="B253" s="249" t="str">
        <f>VLOOKUP($D253,'[4]1. Mesures'!$A$2:$G$116,6,0)</f>
        <v>OS 1.2</v>
      </c>
      <c r="C253" s="249" t="str">
        <f>VLOOKUP($D253,'[4]1. Mesures'!$A$2:$G$116,7,0)</f>
        <v>OO 1.2.1</v>
      </c>
      <c r="D253" s="249" t="str">
        <f t="shared" si="10"/>
        <v>M 1.26</v>
      </c>
      <c r="E253" s="250" t="s">
        <v>765</v>
      </c>
      <c r="F253" s="249" t="str">
        <f>VLOOKUP(E253,'5.2 Actions'!$A$3:$B$720,2,0)</f>
        <v>Programme Brusseau-Bis dans la vallée du Molenbeek</v>
      </c>
      <c r="G253" s="251" t="str">
        <f>VLOOKUP(E253,'5.2 Actions'!$A$3:$D$720,4,0)</f>
        <v>SEN</v>
      </c>
      <c r="H253" s="252">
        <f>VLOOKUP($E253,'5.1 Budget'!$A$4:$H$729,2,0)</f>
        <v>0</v>
      </c>
      <c r="I253" s="252">
        <f>VLOOKUP($E253,'5.1 Budget'!$A$4:$H$729,3,0)</f>
        <v>0</v>
      </c>
      <c r="J253" s="252">
        <f>VLOOKUP($E253,'5.1 Budget'!$A$4:$H$729,4,0)</f>
        <v>0</v>
      </c>
      <c r="K253" s="252">
        <f>VLOOKUP($E253,'5.1 Budget'!$A$4:$H$729,5,0)</f>
        <v>0</v>
      </c>
      <c r="L253" s="252">
        <f>VLOOKUP($E253,'5.1 Budget'!$A$4:$H$729,6,0)</f>
        <v>0</v>
      </c>
      <c r="M253" s="252">
        <f>VLOOKUP($E253,'5.1 Budget'!$A$4:$H$729,7,0)</f>
        <v>0</v>
      </c>
      <c r="N253" s="252">
        <f>VLOOKUP($E253,'5.1 Budget'!$A$4:$H$729,8,0)</f>
        <v>0</v>
      </c>
      <c r="O253" s="254"/>
      <c r="V253" t="str">
        <f>VLOOKUP(D253,'[4]1.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53" t="e">
        <f>VLOOKUP(B253,[1]HIERARCH!$A$1:$B$57,2,0)</f>
        <v>#N/A</v>
      </c>
      <c r="X253" t="str">
        <f>VLOOKUP(C253,[1]HIERARCH!$A$2:$B$57,2,0)</f>
        <v>Assurer un débit minimum écologique des cours d'eau</v>
      </c>
      <c r="Y253" t="str">
        <f t="shared" si="12"/>
        <v>Programme Brusseau-Bis dans la vallée du Molenbeek…</v>
      </c>
    </row>
    <row r="254" spans="1:25" hidden="1" x14ac:dyDescent="0.25">
      <c r="A254" s="249" t="str">
        <f t="shared" si="11"/>
        <v>1</v>
      </c>
      <c r="B254" s="249" t="str">
        <f>VLOOKUP($D254,'[4]1. Mesures'!$A$2:$G$116,6,0)</f>
        <v>OS 1.2</v>
      </c>
      <c r="C254" s="249" t="str">
        <f>VLOOKUP($D254,'[4]1. Mesures'!$A$2:$G$116,7,0)</f>
        <v>OO 1.2.1</v>
      </c>
      <c r="D254" s="249" t="str">
        <f t="shared" si="10"/>
        <v>M 1.26</v>
      </c>
      <c r="E254" s="250" t="s">
        <v>766</v>
      </c>
      <c r="F254" s="249" t="str">
        <f>VLOOKUP(E254,'5.2 Actions'!$A$3:$B$720,2,0)</f>
        <v>Vérifier l'étanchéité des moines vers les collecteurs présents sur certains étangs spécifiques</v>
      </c>
      <c r="G254" s="251" t="str">
        <f>VLOOKUP(E254,'5.2 Actions'!$A$3:$D$720,4,0)</f>
        <v>WOL</v>
      </c>
      <c r="H254" s="252">
        <f>VLOOKUP($E254,'5.1 Budget'!$A$4:$H$729,2,0)</f>
        <v>0</v>
      </c>
      <c r="I254" s="252">
        <f>VLOOKUP($E254,'5.1 Budget'!$A$4:$H$729,3,0)</f>
        <v>0</v>
      </c>
      <c r="J254" s="252">
        <f>VLOOKUP($E254,'5.1 Budget'!$A$4:$H$729,4,0)</f>
        <v>0</v>
      </c>
      <c r="K254" s="252">
        <f>VLOOKUP($E254,'5.1 Budget'!$A$4:$H$729,5,0)</f>
        <v>0</v>
      </c>
      <c r="L254" s="252">
        <f>VLOOKUP($E254,'5.1 Budget'!$A$4:$H$729,6,0)</f>
        <v>0</v>
      </c>
      <c r="M254" s="252">
        <f>VLOOKUP($E254,'5.1 Budget'!$A$4:$H$729,7,0)</f>
        <v>0</v>
      </c>
      <c r="N254" s="252">
        <f>VLOOKUP($E254,'5.1 Budget'!$A$4:$H$729,8,0)</f>
        <v>0</v>
      </c>
      <c r="O254" s="254"/>
      <c r="V254" t="str">
        <f>VLOOKUP(D254,'[4]1.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54" t="e">
        <f>VLOOKUP(B254,[1]HIERARCH!$A$1:$B$57,2,0)</f>
        <v>#N/A</v>
      </c>
      <c r="X254" t="str">
        <f>VLOOKUP(C254,[1]HIERARCH!$A$2:$B$57,2,0)</f>
        <v>Assurer un débit minimum écologique des cours d'eau</v>
      </c>
      <c r="Y254" t="str">
        <f t="shared" si="12"/>
        <v>Vérifier l'étanchéité des moines vers les collecteurs présents sur certains étangs spécifiques…</v>
      </c>
    </row>
    <row r="255" spans="1:25" hidden="1" x14ac:dyDescent="0.25">
      <c r="A255" s="249" t="str">
        <f t="shared" si="11"/>
        <v>1</v>
      </c>
      <c r="B255" s="249" t="str">
        <f>VLOOKUP($D255,'[4]1. Mesures'!$A$2:$G$116,6,0)</f>
        <v>OS 1.2</v>
      </c>
      <c r="C255" s="249" t="str">
        <f>VLOOKUP($D255,'[4]1. Mesures'!$A$2:$G$116,7,0)</f>
        <v>OO 1.2.1</v>
      </c>
      <c r="D255" s="249" t="str">
        <f t="shared" si="10"/>
        <v>M 1.26</v>
      </c>
      <c r="E255" s="250" t="s">
        <v>1599</v>
      </c>
      <c r="F255" s="249" t="str">
        <f>VLOOKUP(E255,'5.2 Actions'!$A$3:$B$720,2,0)</f>
        <v>Établir une méthodologie de calcul des débits minimums écologiques (ecological flows), l'appliquer aux différents tronçons du réseau hydrographique</v>
      </c>
      <c r="G255" s="251" t="str">
        <f>VLOOKUP(E255,'5.2 Actions'!$A$3:$D$720,4,0)</f>
        <v>SEN / CAN / WOL</v>
      </c>
      <c r="H255" s="252">
        <f>VLOOKUP($E255,'5.1 Budget'!$A$4:$H$729,2,0)</f>
        <v>0</v>
      </c>
      <c r="I255" s="252">
        <f>VLOOKUP($E255,'5.1 Budget'!$A$4:$H$729,3,0)</f>
        <v>0</v>
      </c>
      <c r="J255" s="252">
        <f>VLOOKUP($E255,'5.1 Budget'!$A$4:$H$729,4,0)</f>
        <v>0</v>
      </c>
      <c r="K255" s="252">
        <f>VLOOKUP($E255,'5.1 Budget'!$A$4:$H$729,5,0)</f>
        <v>0</v>
      </c>
      <c r="L255" s="252">
        <f>VLOOKUP($E255,'5.1 Budget'!$A$4:$H$729,6,0)</f>
        <v>0</v>
      </c>
      <c r="M255" s="252">
        <f>VLOOKUP($E255,'5.1 Budget'!$A$4:$H$729,7,0)</f>
        <v>0</v>
      </c>
      <c r="N255" s="252">
        <f>VLOOKUP($E255,'5.1 Budget'!$A$4:$H$729,8,0)</f>
        <v>0</v>
      </c>
      <c r="O255" s="254"/>
      <c r="V255" t="str">
        <f>VLOOKUP(D255,'[4]1. Mesures'!$A$1:$B$116,2,0)</f>
        <v xml:space="preserve"> Identifier les opportunités de connexion au réseau hydrographique des eaux claires actuellement perdues par temps sec dans le réseau d’égouttage et définir un débit minimum écologique et une hauteur d'eau minimale pour les masses d'eau</v>
      </c>
      <c r="W255" t="e">
        <f>VLOOKUP(B255,[1]HIERARCH!$A$1:$B$57,2,0)</f>
        <v>#N/A</v>
      </c>
      <c r="X255" t="str">
        <f>VLOOKUP(C255,[1]HIERARCH!$A$2:$B$57,2,0)</f>
        <v>Assurer un débit minimum écologique des cours d'eau</v>
      </c>
      <c r="Y255" t="str">
        <f t="shared" si="12"/>
        <v>Établir une méthodologie de calcul des débits minimums écologiques (ecological flows), l'appliquer aux différents tronço…</v>
      </c>
    </row>
    <row r="256" spans="1:25" hidden="1" x14ac:dyDescent="0.25">
      <c r="A256" s="249" t="str">
        <f t="shared" si="11"/>
        <v>2</v>
      </c>
      <c r="B256" s="249" t="str">
        <f>VLOOKUP($D256,'[4]1. Mesures'!$A$2:$G$116,6,0)</f>
        <v>OS 2.1</v>
      </c>
      <c r="C256" s="249" t="str">
        <f>VLOOKUP($D256,'[4]1. Mesures'!$A$2:$G$116,7,0)</f>
        <v>OO 2.1.1</v>
      </c>
      <c r="D256" s="249" t="str">
        <f>"M"&amp;" "&amp;LEFT(E256,3)</f>
        <v>M 2.1</v>
      </c>
      <c r="E256" s="250" t="s">
        <v>852</v>
      </c>
      <c r="F256" s="249" t="str">
        <f>VLOOKUP(E256,'5.2 Actions'!$A$3:$B$720,2,0)</f>
        <v>Poursuivre et élargir les programmes qualitatifs  de surveillance des eaux souterraines à d’autres sites de surveillance et à d’autres paramètres</v>
      </c>
      <c r="G256" s="251">
        <f>VLOOKUP(E256,'[4]5.2 Actions'!$A$3:$D$718,4,0)</f>
        <v>0</v>
      </c>
      <c r="H256" s="252">
        <f>VLOOKUP($E256,'5.1 Budget'!$A$4:$H$729,2,0)</f>
        <v>0</v>
      </c>
      <c r="I256" s="252">
        <f>VLOOKUP($E256,'5.1 Budget'!$A$4:$H$729,3,0)</f>
        <v>0</v>
      </c>
      <c r="J256" s="252">
        <f>VLOOKUP($E256,'5.1 Budget'!$A$4:$H$729,4,0)</f>
        <v>0</v>
      </c>
      <c r="K256" s="252">
        <f>VLOOKUP($E256,'5.1 Budget'!$A$4:$H$729,5,0)</f>
        <v>0</v>
      </c>
      <c r="L256" s="252">
        <f>VLOOKUP($E256,'5.1 Budget'!$A$4:$H$729,6,0)</f>
        <v>0</v>
      </c>
      <c r="M256" s="252">
        <f>VLOOKUP($E256,'5.1 Budget'!$A$4:$H$729,7,0)</f>
        <v>0</v>
      </c>
      <c r="N256" s="252">
        <f>VLOOKUP($E256,'5.1 Budget'!$A$4:$H$729,8,0)</f>
        <v>0</v>
      </c>
      <c r="V256" t="str">
        <f>VLOOKUP(D256,'[4]1. Mesures'!$A$1:$B$116,2,0)</f>
        <v>Améliorer l'état des connaissances des masses d'eau souterraine et poursuivre l’identification des pressions anthropiques</v>
      </c>
      <c r="W256" t="str">
        <f>VLOOKUP(B256,[1]HIERARCH!$A$1:$B$57,2,0)</f>
        <v>Assurer la gestion qualitative des masses d'eau souterraine</v>
      </c>
      <c r="X256" t="str">
        <f>VLOOKUP(C256,[1]HIERARCH!$A$2:$B$57,2,0)</f>
        <v>Améliorer l'état des connaissances, adapter le programme de surveillance et modifier la réglementation</v>
      </c>
      <c r="Y256" t="str">
        <f t="shared" si="12"/>
        <v>Poursuivre et élargir les programmes qualitatifs  de surveillance des eaux souterraines à d’autres sites de surveillance…</v>
      </c>
    </row>
    <row r="257" spans="1:25" hidden="1" x14ac:dyDescent="0.25">
      <c r="A257" s="249" t="str">
        <f t="shared" si="11"/>
        <v>2</v>
      </c>
      <c r="B257" s="249" t="str">
        <f>VLOOKUP($D257,'[4]1. Mesures'!$A$2:$G$116,6,0)</f>
        <v>OS 2.1</v>
      </c>
      <c r="C257" s="249" t="str">
        <f>VLOOKUP($D257,'[4]1. Mesures'!$A$2:$G$116,7,0)</f>
        <v>OO 2.1.1</v>
      </c>
      <c r="D257" s="249" t="str">
        <f t="shared" ref="D257:D313" si="13">"M"&amp;" "&amp;LEFT(E257,3)</f>
        <v>M 2.1</v>
      </c>
      <c r="E257" s="250" t="s">
        <v>860</v>
      </c>
      <c r="F257" s="249" t="str">
        <f>VLOOKUP(E257,'5.2 Actions'!$A$3:$B$720,2,0)</f>
        <v>Améliorer l’estimation des concentrations de référence des paramètres présents naturellement dans les eaux souterraines et la compréhension aux processus chimiques influençant la composition géochimique de chacune des masses d’eau et de la présence de certains paramètres présents dans les masses d’eau souterraine, notamment pour l’ammonium, les chlorures et les sulfates des masses d’eau concernées</v>
      </c>
      <c r="G257" s="251">
        <f>VLOOKUP(E257,'[4]5.2 Actions'!$A$3:$D$718,4,0)</f>
        <v>0</v>
      </c>
      <c r="H257" s="252">
        <f>VLOOKUP($E257,'5.1 Budget'!$A$4:$H$729,2,0)</f>
        <v>0</v>
      </c>
      <c r="I257" s="252">
        <f>VLOOKUP($E257,'5.1 Budget'!$A$4:$H$729,3,0)</f>
        <v>0</v>
      </c>
      <c r="J257" s="252">
        <f>VLOOKUP($E257,'5.1 Budget'!$A$4:$H$729,4,0)</f>
        <v>0</v>
      </c>
      <c r="K257" s="252">
        <f>VLOOKUP($E257,'5.1 Budget'!$A$4:$H$729,5,0)</f>
        <v>0</v>
      </c>
      <c r="L257" s="252">
        <f>VLOOKUP($E257,'5.1 Budget'!$A$4:$H$729,6,0)</f>
        <v>0</v>
      </c>
      <c r="M257" s="252">
        <f>VLOOKUP($E257,'5.1 Budget'!$A$4:$H$729,7,0)</f>
        <v>0</v>
      </c>
      <c r="N257" s="252">
        <f>VLOOKUP($E257,'5.1 Budget'!$A$4:$H$729,8,0)</f>
        <v>0</v>
      </c>
      <c r="V257" t="str">
        <f>VLOOKUP(D257,'[4]1. Mesures'!$A$1:$B$116,2,0)</f>
        <v>Améliorer l'état des connaissances des masses d'eau souterraine et poursuivre l’identification des pressions anthropiques</v>
      </c>
      <c r="W257" t="str">
        <f>VLOOKUP(B257,[1]HIERARCH!$A$1:$B$57,2,0)</f>
        <v>Assurer la gestion qualitative des masses d'eau souterraine</v>
      </c>
      <c r="X257" t="str">
        <f>VLOOKUP(C257,[1]HIERARCH!$A$2:$B$57,2,0)</f>
        <v>Améliorer l'état des connaissances, adapter le programme de surveillance et modifier la réglementation</v>
      </c>
      <c r="Y257" t="str">
        <f t="shared" si="12"/>
        <v>Améliorer l’estimation des concentrations de référence des paramètres présents naturellement dans les eaux souterraines …</v>
      </c>
    </row>
    <row r="258" spans="1:25" hidden="1" x14ac:dyDescent="0.25">
      <c r="A258" s="249" t="str">
        <f t="shared" si="11"/>
        <v>2</v>
      </c>
      <c r="B258" s="249" t="str">
        <f>VLOOKUP($D258,'[4]1. Mesures'!$A$2:$G$116,6,0)</f>
        <v>OS 2.1</v>
      </c>
      <c r="C258" s="249" t="str">
        <f>VLOOKUP($D258,'[4]1. Mesures'!$A$2:$G$116,7,0)</f>
        <v>OO 2.1.1</v>
      </c>
      <c r="D258" s="249" t="str">
        <f t="shared" si="13"/>
        <v>M 2.1</v>
      </c>
      <c r="E258" s="250" t="s">
        <v>861</v>
      </c>
      <c r="F258" s="249" t="str">
        <f>VLOOKUP(E258,'5.2 Actions'!$A$3:$B$720,2,0)</f>
        <v>Suite à l’acquisition de nouvelles données, renforcer les conclusions de l’étude réalisée sur l’identification des sources de pollution nitrique quant aux facteurs de pollution exerçant une pression sur la masse d’eau des sables du Bruxellien et renforcer la capacité de discrimination des sources de pollution nitriques provenant des eaux usées et des fertilisants organiques.</v>
      </c>
      <c r="G258" s="251">
        <f>VLOOKUP(E258,'[4]5.2 Actions'!$A$3:$D$718,4,0)</f>
        <v>0</v>
      </c>
      <c r="H258" s="252">
        <f>VLOOKUP($E258,'5.1 Budget'!$A$4:$H$729,2,0)</f>
        <v>0</v>
      </c>
      <c r="I258" s="252">
        <f>VLOOKUP($E258,'5.1 Budget'!$A$4:$H$729,3,0)</f>
        <v>0</v>
      </c>
      <c r="J258" s="252">
        <f>VLOOKUP($E258,'5.1 Budget'!$A$4:$H$729,4,0)</f>
        <v>0</v>
      </c>
      <c r="K258" s="252">
        <f>VLOOKUP($E258,'5.1 Budget'!$A$4:$H$729,5,0)</f>
        <v>0</v>
      </c>
      <c r="L258" s="252">
        <f>VLOOKUP($E258,'5.1 Budget'!$A$4:$H$729,6,0)</f>
        <v>0</v>
      </c>
      <c r="M258" s="252">
        <f>VLOOKUP($E258,'5.1 Budget'!$A$4:$H$729,7,0)</f>
        <v>0</v>
      </c>
      <c r="N258" s="252">
        <f>VLOOKUP($E258,'5.1 Budget'!$A$4:$H$729,8,0)</f>
        <v>0</v>
      </c>
      <c r="V258" t="str">
        <f>VLOOKUP(D258,'[4]1. Mesures'!$A$1:$B$116,2,0)</f>
        <v>Améliorer l'état des connaissances des masses d'eau souterraine et poursuivre l’identification des pressions anthropiques</v>
      </c>
      <c r="W258" t="str">
        <f>VLOOKUP(B258,[1]HIERARCH!$A$1:$B$57,2,0)</f>
        <v>Assurer la gestion qualitative des masses d'eau souterraine</v>
      </c>
      <c r="X258" t="str">
        <f>VLOOKUP(C258,[1]HIERARCH!$A$2:$B$57,2,0)</f>
        <v>Améliorer l'état des connaissances, adapter le programme de surveillance et modifier la réglementation</v>
      </c>
      <c r="Y258" t="str">
        <f t="shared" si="12"/>
        <v>Suite à l’acquisition de nouvelles données, renforcer les conclusions de l’étude réalisée sur l’identification des sourc…</v>
      </c>
    </row>
    <row r="259" spans="1:25" hidden="1" x14ac:dyDescent="0.25">
      <c r="A259" s="249" t="str">
        <f t="shared" si="11"/>
        <v>2</v>
      </c>
      <c r="B259" s="249" t="str">
        <f>VLOOKUP($D259,'[4]1. Mesures'!$A$2:$G$116,6,0)</f>
        <v>OS 2.1</v>
      </c>
      <c r="C259" s="249" t="str">
        <f>VLOOKUP($D259,'[4]1. Mesures'!$A$2:$G$116,7,0)</f>
        <v>OO 2.1.1</v>
      </c>
      <c r="D259" s="249" t="str">
        <f t="shared" si="13"/>
        <v>M 2.1</v>
      </c>
      <c r="E259" s="250" t="s">
        <v>862</v>
      </c>
      <c r="F259" s="249" t="str">
        <f>VLOOKUP(E259,'5.2 Actions'!$A$3:$B$720,2,0)</f>
        <v>Identifier les sources de pollution des sites présentant des contaminations aux pesticides, en particulier ceux qui présentent des tendances à la hausse de pesticides interdits d’usage</v>
      </c>
      <c r="G259" s="251">
        <f>VLOOKUP(E259,'[4]5.2 Actions'!$A$3:$D$718,4,0)</f>
        <v>0</v>
      </c>
      <c r="H259" s="252">
        <f>VLOOKUP($E259,'5.1 Budget'!$A$4:$H$729,2,0)</f>
        <v>0</v>
      </c>
      <c r="I259" s="252">
        <f>VLOOKUP($E259,'5.1 Budget'!$A$4:$H$729,3,0)</f>
        <v>0</v>
      </c>
      <c r="J259" s="252">
        <f>VLOOKUP($E259,'5.1 Budget'!$A$4:$H$729,4,0)</f>
        <v>0</v>
      </c>
      <c r="K259" s="252">
        <f>VLOOKUP($E259,'5.1 Budget'!$A$4:$H$729,5,0)</f>
        <v>0</v>
      </c>
      <c r="L259" s="252">
        <f>VLOOKUP($E259,'5.1 Budget'!$A$4:$H$729,6,0)</f>
        <v>0</v>
      </c>
      <c r="M259" s="252">
        <f>VLOOKUP($E259,'5.1 Budget'!$A$4:$H$729,7,0)</f>
        <v>0</v>
      </c>
      <c r="N259" s="252">
        <f>VLOOKUP($E259,'5.1 Budget'!$A$4:$H$729,8,0)</f>
        <v>0</v>
      </c>
      <c r="V259" t="str">
        <f>VLOOKUP(D259,'[4]1. Mesures'!$A$1:$B$116,2,0)</f>
        <v>Améliorer l'état des connaissances des masses d'eau souterraine et poursuivre l’identification des pressions anthropiques</v>
      </c>
      <c r="W259" t="str">
        <f>VLOOKUP(B259,[1]HIERARCH!$A$1:$B$57,2,0)</f>
        <v>Assurer la gestion qualitative des masses d'eau souterraine</v>
      </c>
      <c r="X259" t="str">
        <f>VLOOKUP(C259,[1]HIERARCH!$A$2:$B$57,2,0)</f>
        <v>Améliorer l'état des connaissances, adapter le programme de surveillance et modifier la réglementation</v>
      </c>
      <c r="Y259" t="str">
        <f t="shared" si="12"/>
        <v>Identifier les sources de pollution des sites présentant des contaminations aux pesticides, en particulier ceux qui prés…</v>
      </c>
    </row>
    <row r="260" spans="1:25" hidden="1" x14ac:dyDescent="0.25">
      <c r="A260" s="249" t="str">
        <f t="shared" si="11"/>
        <v>2</v>
      </c>
      <c r="B260" s="249" t="str">
        <f>VLOOKUP($D260,'[4]1. Mesures'!$A$2:$G$116,6,0)</f>
        <v>OS 2.1</v>
      </c>
      <c r="C260" s="249" t="str">
        <f>VLOOKUP($D260,'[4]1. Mesures'!$A$2:$G$116,7,0)</f>
        <v>OO 2.1.1</v>
      </c>
      <c r="D260" s="249" t="str">
        <f t="shared" si="13"/>
        <v>M 2.1</v>
      </c>
      <c r="E260" s="250" t="s">
        <v>863</v>
      </c>
      <c r="F260" s="249" t="str">
        <f>VLOOKUP(E260,'5.2 Actions'!$A$3:$B$720,2,0)</f>
        <v>Identification les sources de la pollution au tétrachloroéthylène et autres composés organochlorés volatils (trichloroéthylène, chloroforme et chlorure de vinyl) (cf. aussi M.2.6 et M.3.2)</v>
      </c>
      <c r="G260" s="251">
        <f>VLOOKUP(E260,'[4]5.2 Actions'!$A$3:$D$718,4,0)</f>
        <v>0</v>
      </c>
      <c r="H260" s="252">
        <f>VLOOKUP($E260,'5.1 Budget'!$A$4:$H$729,2,0)</f>
        <v>0</v>
      </c>
      <c r="I260" s="252">
        <f>VLOOKUP($E260,'5.1 Budget'!$A$4:$H$729,3,0)</f>
        <v>0</v>
      </c>
      <c r="J260" s="252">
        <f>VLOOKUP($E260,'5.1 Budget'!$A$4:$H$729,4,0)</f>
        <v>0</v>
      </c>
      <c r="K260" s="252">
        <f>VLOOKUP($E260,'5.1 Budget'!$A$4:$H$729,5,0)</f>
        <v>0</v>
      </c>
      <c r="L260" s="252">
        <f>VLOOKUP($E260,'5.1 Budget'!$A$4:$H$729,6,0)</f>
        <v>0</v>
      </c>
      <c r="M260" s="252">
        <f>VLOOKUP($E260,'5.1 Budget'!$A$4:$H$729,7,0)</f>
        <v>0</v>
      </c>
      <c r="N260" s="252">
        <f>VLOOKUP($E260,'5.1 Budget'!$A$4:$H$729,8,0)</f>
        <v>0</v>
      </c>
      <c r="V260" t="str">
        <f>VLOOKUP(D260,'[4]1. Mesures'!$A$1:$B$116,2,0)</f>
        <v>Améliorer l'état des connaissances des masses d'eau souterraine et poursuivre l’identification des pressions anthropiques</v>
      </c>
      <c r="W260" t="str">
        <f>VLOOKUP(B260,[1]HIERARCH!$A$1:$B$57,2,0)</f>
        <v>Assurer la gestion qualitative des masses d'eau souterraine</v>
      </c>
      <c r="X260" t="str">
        <f>VLOOKUP(C260,[1]HIERARCH!$A$2:$B$57,2,0)</f>
        <v>Améliorer l'état des connaissances, adapter le programme de surveillance et modifier la réglementation</v>
      </c>
      <c r="Y260" t="str">
        <f t="shared" si="12"/>
        <v>Identification les sources de la pollution au tétrachloroéthylène et autres composés organochlorés volatils (trichloroét…</v>
      </c>
    </row>
    <row r="261" spans="1:25" hidden="1" x14ac:dyDescent="0.25">
      <c r="A261" s="249" t="str">
        <f t="shared" si="11"/>
        <v>2</v>
      </c>
      <c r="B261" s="249" t="str">
        <f>VLOOKUP($D261,'[4]1. Mesures'!$A$2:$G$116,6,0)</f>
        <v>OS 2.1</v>
      </c>
      <c r="C261" s="249" t="str">
        <f>VLOOKUP($D261,'[4]1. Mesures'!$A$2:$G$116,7,0)</f>
        <v>OO 2.1.1</v>
      </c>
      <c r="D261" s="249" t="str">
        <f t="shared" si="13"/>
        <v>M 2.1</v>
      </c>
      <c r="E261" s="250" t="s">
        <v>864</v>
      </c>
      <c r="F261" s="249" t="str">
        <f>VLOOKUP(E261,'5.2 Actions'!$A$3:$B$720,2,0)</f>
        <v>Identifier les pressions ayant un impact sur la salinisation de la masse d’eau souterraine des sables du Bruxellien</v>
      </c>
      <c r="G261" s="251">
        <f>VLOOKUP(E261,'[4]5.2 Actions'!$A$3:$D$718,4,0)</f>
        <v>0</v>
      </c>
      <c r="H261" s="252">
        <f>VLOOKUP($E261,'5.1 Budget'!$A$4:$H$729,2,0)</f>
        <v>0</v>
      </c>
      <c r="I261" s="252">
        <f>VLOOKUP($E261,'5.1 Budget'!$A$4:$H$729,3,0)</f>
        <v>0</v>
      </c>
      <c r="J261" s="252">
        <f>VLOOKUP($E261,'5.1 Budget'!$A$4:$H$729,4,0)</f>
        <v>0</v>
      </c>
      <c r="K261" s="252">
        <f>VLOOKUP($E261,'5.1 Budget'!$A$4:$H$729,5,0)</f>
        <v>0</v>
      </c>
      <c r="L261" s="252">
        <f>VLOOKUP($E261,'5.1 Budget'!$A$4:$H$729,6,0)</f>
        <v>0</v>
      </c>
      <c r="M261" s="252">
        <f>VLOOKUP($E261,'5.1 Budget'!$A$4:$H$729,7,0)</f>
        <v>0</v>
      </c>
      <c r="N261" s="252">
        <f>VLOOKUP($E261,'5.1 Budget'!$A$4:$H$729,8,0)</f>
        <v>0</v>
      </c>
      <c r="V261" t="str">
        <f>VLOOKUP(D261,'[4]1. Mesures'!$A$1:$B$116,2,0)</f>
        <v>Améliorer l'état des connaissances des masses d'eau souterraine et poursuivre l’identification des pressions anthropiques</v>
      </c>
      <c r="W261" t="str">
        <f>VLOOKUP(B261,[1]HIERARCH!$A$1:$B$57,2,0)</f>
        <v>Assurer la gestion qualitative des masses d'eau souterraine</v>
      </c>
      <c r="X261" t="str">
        <f>VLOOKUP(C261,[1]HIERARCH!$A$2:$B$57,2,0)</f>
        <v>Améliorer l'état des connaissances, adapter le programme de surveillance et modifier la réglementation</v>
      </c>
      <c r="Y261" t="str">
        <f t="shared" si="12"/>
        <v>Identifier les pressions ayant un impact sur la salinisation de la masse d’eau souterraine des sables du Bruxellien…</v>
      </c>
    </row>
    <row r="262" spans="1:25" hidden="1" x14ac:dyDescent="0.25">
      <c r="A262" s="249" t="str">
        <f t="shared" si="11"/>
        <v>2</v>
      </c>
      <c r="B262" s="249" t="str">
        <f>VLOOKUP($D262,'[4]1. Mesures'!$A$2:$G$116,6,0)</f>
        <v>OS 2.1</v>
      </c>
      <c r="C262" s="249" t="str">
        <f>VLOOKUP($D262,'[4]1. Mesures'!$A$2:$G$116,7,0)</f>
        <v>OO 2.1.1</v>
      </c>
      <c r="D262" s="249" t="str">
        <f t="shared" si="13"/>
        <v>M 2.1</v>
      </c>
      <c r="E262" s="250" t="s">
        <v>865</v>
      </c>
      <c r="F262" s="249" t="str">
        <f>VLOOKUP(E262,'5.2 Actions'!$A$3:$B$720,2,0)</f>
        <v>En cas de contamination mise en évidence dans les résultats des programmes de surveillance, croiser la cartographie des sols pollués avec les résultats des analyses des programmes de surveillance et identifier les activités à risque actuelles ou passées dans les zones d’influence des sites de surveillance contaminés en vue d’identifier les sources de pollutioni</v>
      </c>
      <c r="G262" s="251">
        <f>VLOOKUP(E262,'[4]5.2 Actions'!$A$3:$D$718,4,0)</f>
        <v>0</v>
      </c>
      <c r="H262" s="252">
        <f>VLOOKUP($E262,'5.1 Budget'!$A$4:$H$729,2,0)</f>
        <v>0</v>
      </c>
      <c r="I262" s="252">
        <f>VLOOKUP($E262,'5.1 Budget'!$A$4:$H$729,3,0)</f>
        <v>0</v>
      </c>
      <c r="J262" s="252">
        <f>VLOOKUP($E262,'5.1 Budget'!$A$4:$H$729,4,0)</f>
        <v>0</v>
      </c>
      <c r="K262" s="252">
        <f>VLOOKUP($E262,'5.1 Budget'!$A$4:$H$729,5,0)</f>
        <v>0</v>
      </c>
      <c r="L262" s="252">
        <f>VLOOKUP($E262,'5.1 Budget'!$A$4:$H$729,6,0)</f>
        <v>0</v>
      </c>
      <c r="M262" s="252">
        <f>VLOOKUP($E262,'5.1 Budget'!$A$4:$H$729,7,0)</f>
        <v>0</v>
      </c>
      <c r="N262" s="252">
        <f>VLOOKUP($E262,'5.1 Budget'!$A$4:$H$729,8,0)</f>
        <v>0</v>
      </c>
      <c r="V262" t="str">
        <f>VLOOKUP(D262,'[4]1. Mesures'!$A$1:$B$116,2,0)</f>
        <v>Améliorer l'état des connaissances des masses d'eau souterraine et poursuivre l’identification des pressions anthropiques</v>
      </c>
      <c r="W262" t="str">
        <f>VLOOKUP(B262,[1]HIERARCH!$A$1:$B$57,2,0)</f>
        <v>Assurer la gestion qualitative des masses d'eau souterraine</v>
      </c>
      <c r="X262" t="str">
        <f>VLOOKUP(C262,[1]HIERARCH!$A$2:$B$57,2,0)</f>
        <v>Améliorer l'état des connaissances, adapter le programme de surveillance et modifier la réglementation</v>
      </c>
      <c r="Y262" t="str">
        <f t="shared" si="12"/>
        <v>En cas de contamination mise en évidence dans les résultats des programmes de surveillance, croiser la cartographie des …</v>
      </c>
    </row>
    <row r="263" spans="1:25" hidden="1" x14ac:dyDescent="0.25">
      <c r="A263" s="249" t="str">
        <f t="shared" si="11"/>
        <v>2</v>
      </c>
      <c r="B263" s="249" t="str">
        <f>VLOOKUP($D263,'[4]1. Mesures'!$A$2:$G$116,6,0)</f>
        <v>OS 2.1</v>
      </c>
      <c r="C263" s="249" t="str">
        <f>VLOOKUP($D263,'[4]1. Mesures'!$A$2:$G$116,7,0)</f>
        <v>OO 2.1.1</v>
      </c>
      <c r="D263" s="249" t="str">
        <f t="shared" si="13"/>
        <v>M 2.1</v>
      </c>
      <c r="E263" s="250" t="s">
        <v>866</v>
      </c>
      <c r="F263" s="249" t="str">
        <f>VLOOKUP(E263,'5.2 Actions'!$A$3:$B$720,2,0)</f>
        <v>Poursuivre les études d’évaluation des risques de transfert de polluants sur sols pollués ou potentiellement non pollués par lessivage et transport latéral lors de réaffectation des sols dans le cadre de la gestion des sols pollués</v>
      </c>
      <c r="G263" s="251">
        <f>VLOOKUP(E263,'[4]5.2 Actions'!$A$3:$D$718,4,0)</f>
        <v>0</v>
      </c>
      <c r="H263" s="252">
        <f>VLOOKUP($E263,'5.1 Budget'!$A$4:$H$729,2,0)</f>
        <v>0</v>
      </c>
      <c r="I263" s="252">
        <f>VLOOKUP($E263,'5.1 Budget'!$A$4:$H$729,3,0)</f>
        <v>0</v>
      </c>
      <c r="J263" s="252">
        <f>VLOOKUP($E263,'5.1 Budget'!$A$4:$H$729,4,0)</f>
        <v>0</v>
      </c>
      <c r="K263" s="252">
        <f>VLOOKUP($E263,'5.1 Budget'!$A$4:$H$729,5,0)</f>
        <v>0</v>
      </c>
      <c r="L263" s="252">
        <f>VLOOKUP($E263,'5.1 Budget'!$A$4:$H$729,6,0)</f>
        <v>0</v>
      </c>
      <c r="M263" s="252">
        <f>VLOOKUP($E263,'5.1 Budget'!$A$4:$H$729,7,0)</f>
        <v>0</v>
      </c>
      <c r="N263" s="252">
        <f>VLOOKUP($E263,'5.1 Budget'!$A$4:$H$729,8,0)</f>
        <v>0</v>
      </c>
      <c r="V263" t="str">
        <f>VLOOKUP(D263,'[4]1. Mesures'!$A$1:$B$116,2,0)</f>
        <v>Améliorer l'état des connaissances des masses d'eau souterraine et poursuivre l’identification des pressions anthropiques</v>
      </c>
      <c r="W263" t="str">
        <f>VLOOKUP(B263,[1]HIERARCH!$A$1:$B$57,2,0)</f>
        <v>Assurer la gestion qualitative des masses d'eau souterraine</v>
      </c>
      <c r="X263" t="str">
        <f>VLOOKUP(C263,[1]HIERARCH!$A$2:$B$57,2,0)</f>
        <v>Améliorer l'état des connaissances, adapter le programme de surveillance et modifier la réglementation</v>
      </c>
      <c r="Y263" t="str">
        <f t="shared" si="12"/>
        <v>Poursuivre les études d’évaluation des risques de transfert de polluants sur sols pollués ou potentiellement non pollués…</v>
      </c>
    </row>
    <row r="264" spans="1:25" hidden="1" x14ac:dyDescent="0.25">
      <c r="A264" s="249" t="str">
        <f t="shared" si="11"/>
        <v>2</v>
      </c>
      <c r="B264" s="249" t="str">
        <f>VLOOKUP($D264,'[4]1. Mesures'!$A$2:$G$116,6,0)</f>
        <v>OS 2.1</v>
      </c>
      <c r="C264" s="249" t="str">
        <f>VLOOKUP($D264,'[4]1. Mesures'!$A$2:$G$116,7,0)</f>
        <v>OO 2.1.1</v>
      </c>
      <c r="D264" s="249" t="str">
        <f t="shared" si="13"/>
        <v>M 2.1</v>
      </c>
      <c r="E264" s="250" t="s">
        <v>867</v>
      </c>
      <c r="F264" s="249" t="str">
        <f>VLOOKUP(E264,'5.2 Actions'!$A$3:$B$720,2,0)</f>
        <v xml:space="preserve">Poursuivre la caractérisation de l’état physico-chimique des eaux pluviales et de ruissellement en l’étendant à d’autres polluants et d’autres types de surface de ruissellement, notamment les toitures </v>
      </c>
      <c r="G264" s="251">
        <f>VLOOKUP(E264,'[4]5.2 Actions'!$A$3:$D$718,4,0)</f>
        <v>0</v>
      </c>
      <c r="H264" s="252">
        <f>VLOOKUP($E264,'5.1 Budget'!$A$4:$H$729,2,0)</f>
        <v>0</v>
      </c>
      <c r="I264" s="252">
        <f>VLOOKUP($E264,'5.1 Budget'!$A$4:$H$729,3,0)</f>
        <v>0</v>
      </c>
      <c r="J264" s="252">
        <f>VLOOKUP($E264,'5.1 Budget'!$A$4:$H$729,4,0)</f>
        <v>0</v>
      </c>
      <c r="K264" s="252">
        <f>VLOOKUP($E264,'5.1 Budget'!$A$4:$H$729,5,0)</f>
        <v>0</v>
      </c>
      <c r="L264" s="252">
        <f>VLOOKUP($E264,'5.1 Budget'!$A$4:$H$729,6,0)</f>
        <v>0</v>
      </c>
      <c r="M264" s="252">
        <f>VLOOKUP($E264,'5.1 Budget'!$A$4:$H$729,7,0)</f>
        <v>0</v>
      </c>
      <c r="N264" s="252">
        <f>VLOOKUP($E264,'5.1 Budget'!$A$4:$H$729,8,0)</f>
        <v>0</v>
      </c>
      <c r="V264" t="str">
        <f>VLOOKUP(D264,'[4]1. Mesures'!$A$1:$B$116,2,0)</f>
        <v>Améliorer l'état des connaissances des masses d'eau souterraine et poursuivre l’identification des pressions anthropiques</v>
      </c>
      <c r="W264" t="str">
        <f>VLOOKUP(B264,[1]HIERARCH!$A$1:$B$57,2,0)</f>
        <v>Assurer la gestion qualitative des masses d'eau souterraine</v>
      </c>
      <c r="X264" t="str">
        <f>VLOOKUP(C264,[1]HIERARCH!$A$2:$B$57,2,0)</f>
        <v>Améliorer l'état des connaissances, adapter le programme de surveillance et modifier la réglementation</v>
      </c>
      <c r="Y264" t="str">
        <f t="shared" si="12"/>
        <v>Poursuivre la caractérisation de l’état physico-chimique des eaux pluviales et de ruissellement en l’étendant à d’autres…</v>
      </c>
    </row>
    <row r="265" spans="1:25" hidden="1" x14ac:dyDescent="0.25">
      <c r="A265" s="249" t="str">
        <f t="shared" si="11"/>
        <v>2</v>
      </c>
      <c r="B265" s="249" t="str">
        <f>VLOOKUP($D265,'[4]1. Mesures'!$A$2:$G$116,6,0)</f>
        <v>OS 2.1</v>
      </c>
      <c r="C265" s="249" t="str">
        <f>VLOOKUP($D265,'[4]1. Mesures'!$A$2:$G$116,7,0)</f>
        <v>OO 2.1.1</v>
      </c>
      <c r="D265" s="249" t="str">
        <f t="shared" si="13"/>
        <v>M 2.1</v>
      </c>
      <c r="E265" s="250" t="s">
        <v>853</v>
      </c>
      <c r="F265" s="249" t="str">
        <f>VLOOKUP(E265,'5.2 Actions'!$A$3:$B$720,2,0)</f>
        <v>Poursuivre la cartographie de la vulnérabilité intrinsèque et spécifique du système phréatique bruxellois pour les polluants pertinents pour les eaux souterraines ayant été caractérisés dans les eaux pluviales de ruissellement et dans les eaux usées domestiques</v>
      </c>
      <c r="G265" s="251">
        <f>VLOOKUP(E265,'[4]5.2 Actions'!$A$3:$D$718,4,0)</f>
        <v>0</v>
      </c>
      <c r="H265" s="252">
        <f>VLOOKUP($E265,'5.1 Budget'!$A$4:$H$729,2,0)</f>
        <v>0</v>
      </c>
      <c r="I265" s="252">
        <f>VLOOKUP($E265,'5.1 Budget'!$A$4:$H$729,3,0)</f>
        <v>0</v>
      </c>
      <c r="J265" s="252">
        <f>VLOOKUP($E265,'5.1 Budget'!$A$4:$H$729,4,0)</f>
        <v>0</v>
      </c>
      <c r="K265" s="252">
        <f>VLOOKUP($E265,'5.1 Budget'!$A$4:$H$729,5,0)</f>
        <v>0</v>
      </c>
      <c r="L265" s="252">
        <f>VLOOKUP($E265,'5.1 Budget'!$A$4:$H$729,6,0)</f>
        <v>0</v>
      </c>
      <c r="M265" s="252">
        <f>VLOOKUP($E265,'5.1 Budget'!$A$4:$H$729,7,0)</f>
        <v>0</v>
      </c>
      <c r="N265" s="252">
        <f>VLOOKUP($E265,'5.1 Budget'!$A$4:$H$729,8,0)</f>
        <v>0</v>
      </c>
      <c r="V265" t="str">
        <f>VLOOKUP(D265,'[4]1. Mesures'!$A$1:$B$116,2,0)</f>
        <v>Améliorer l'état des connaissances des masses d'eau souterraine et poursuivre l’identification des pressions anthropiques</v>
      </c>
      <c r="W265" t="str">
        <f>VLOOKUP(B265,[1]HIERARCH!$A$1:$B$57,2,0)</f>
        <v>Assurer la gestion qualitative des masses d'eau souterraine</v>
      </c>
      <c r="X265" t="str">
        <f>VLOOKUP(C265,[1]HIERARCH!$A$2:$B$57,2,0)</f>
        <v>Améliorer l'état des connaissances, adapter le programme de surveillance et modifier la réglementation</v>
      </c>
      <c r="Y265" t="str">
        <f t="shared" si="12"/>
        <v>Poursuivre la cartographie de la vulnérabilité intrinsèque et spécifique du système phréatique bruxellois pour les pollu…</v>
      </c>
    </row>
    <row r="266" spans="1:25" hidden="1" x14ac:dyDescent="0.25">
      <c r="A266" s="249" t="str">
        <f t="shared" si="11"/>
        <v>2</v>
      </c>
      <c r="B266" s="249" t="str">
        <f>VLOOKUP($D266,'[4]1. Mesures'!$A$2:$G$116,6,0)</f>
        <v>OS 2.1</v>
      </c>
      <c r="C266" s="249" t="str">
        <f>VLOOKUP($D266,'[4]1. Mesures'!$A$2:$G$116,7,0)</f>
        <v>OO 2.1.1</v>
      </c>
      <c r="D266" s="249" t="str">
        <f t="shared" si="13"/>
        <v>M 2.1</v>
      </c>
      <c r="E266" s="250" t="s">
        <v>854</v>
      </c>
      <c r="F266" s="249" t="str">
        <f>VLOOKUP(E266,'5.2 Actions'!$A$3:$B$720,2,0)</f>
        <v>Développer un modèle de transfert de risques de dissémination de la pollution par lessivage et transport latéral vers les eaux souterraines phréatiques et les écosystèmes associés pour tout dispositif d’infiltration des eaux tant des eaux pluviales que des eaux usées domestiques</v>
      </c>
      <c r="G266" s="251">
        <f>VLOOKUP(E266,'[4]5.2 Actions'!$A$3:$D$718,4,0)</f>
        <v>0</v>
      </c>
      <c r="H266" s="252">
        <f>VLOOKUP($E266,'5.1 Budget'!$A$4:$H$729,2,0)</f>
        <v>0</v>
      </c>
      <c r="I266" s="252">
        <f>VLOOKUP($E266,'5.1 Budget'!$A$4:$H$729,3,0)</f>
        <v>0</v>
      </c>
      <c r="J266" s="252">
        <f>VLOOKUP($E266,'5.1 Budget'!$A$4:$H$729,4,0)</f>
        <v>0</v>
      </c>
      <c r="K266" s="252">
        <f>VLOOKUP($E266,'5.1 Budget'!$A$4:$H$729,5,0)</f>
        <v>0</v>
      </c>
      <c r="L266" s="252">
        <f>VLOOKUP($E266,'5.1 Budget'!$A$4:$H$729,6,0)</f>
        <v>0</v>
      </c>
      <c r="M266" s="252">
        <f>VLOOKUP($E266,'5.1 Budget'!$A$4:$H$729,7,0)</f>
        <v>0</v>
      </c>
      <c r="N266" s="252">
        <f>VLOOKUP($E266,'5.1 Budget'!$A$4:$H$729,8,0)</f>
        <v>0</v>
      </c>
      <c r="V266" t="str">
        <f>VLOOKUP(D266,'[4]1. Mesures'!$A$1:$B$116,2,0)</f>
        <v>Améliorer l'état des connaissances des masses d'eau souterraine et poursuivre l’identification des pressions anthropiques</v>
      </c>
      <c r="W266" t="str">
        <f>VLOOKUP(B266,[1]HIERARCH!$A$1:$B$57,2,0)</f>
        <v>Assurer la gestion qualitative des masses d'eau souterraine</v>
      </c>
      <c r="X266" t="str">
        <f>VLOOKUP(C266,[1]HIERARCH!$A$2:$B$57,2,0)</f>
        <v>Améliorer l'état des connaissances, adapter le programme de surveillance et modifier la réglementation</v>
      </c>
      <c r="Y266" t="str">
        <f t="shared" si="12"/>
        <v>Développer un modèle de transfert de risques de dissémination de la pollution par lessivage et transport latéral vers le…</v>
      </c>
    </row>
    <row r="267" spans="1:25" hidden="1" x14ac:dyDescent="0.25">
      <c r="A267" s="249" t="str">
        <f t="shared" si="11"/>
        <v>2</v>
      </c>
      <c r="B267" s="249" t="str">
        <f>VLOOKUP($D267,'[4]1. Mesures'!$A$2:$G$116,6,0)</f>
        <v>OS 2.1</v>
      </c>
      <c r="C267" s="249" t="str">
        <f>VLOOKUP($D267,'[4]1. Mesures'!$A$2:$G$116,7,0)</f>
        <v>OO 2.1.1</v>
      </c>
      <c r="D267" s="249" t="str">
        <f t="shared" si="13"/>
        <v>M 2.1</v>
      </c>
      <c r="E267" s="250" t="s">
        <v>855</v>
      </c>
      <c r="F267" s="249" t="str">
        <f>VLOOKUP(E267,'5.2 Actions'!$A$3:$B$720,2,0)</f>
        <v>Développer la carte des sols bruxellois en tenant compte de la teneur en matière organique des sols</v>
      </c>
      <c r="G267" s="251">
        <f>VLOOKUP(E267,'[4]5.2 Actions'!$A$3:$D$718,4,0)</f>
        <v>0</v>
      </c>
      <c r="H267" s="252">
        <f>VLOOKUP($E267,'5.1 Budget'!$A$4:$H$729,2,0)</f>
        <v>0</v>
      </c>
      <c r="I267" s="252">
        <f>VLOOKUP($E267,'5.1 Budget'!$A$4:$H$729,3,0)</f>
        <v>0</v>
      </c>
      <c r="J267" s="252">
        <f>VLOOKUP($E267,'5.1 Budget'!$A$4:$H$729,4,0)</f>
        <v>0</v>
      </c>
      <c r="K267" s="252">
        <f>VLOOKUP($E267,'5.1 Budget'!$A$4:$H$729,5,0)</f>
        <v>0</v>
      </c>
      <c r="L267" s="252">
        <f>VLOOKUP($E267,'5.1 Budget'!$A$4:$H$729,6,0)</f>
        <v>0</v>
      </c>
      <c r="M267" s="252">
        <f>VLOOKUP($E267,'5.1 Budget'!$A$4:$H$729,7,0)</f>
        <v>0</v>
      </c>
      <c r="N267" s="252">
        <f>VLOOKUP($E267,'5.1 Budget'!$A$4:$H$729,8,0)</f>
        <v>0</v>
      </c>
      <c r="V267" t="str">
        <f>VLOOKUP(D267,'[4]1. Mesures'!$A$1:$B$116,2,0)</f>
        <v>Améliorer l'état des connaissances des masses d'eau souterraine et poursuivre l’identification des pressions anthropiques</v>
      </c>
      <c r="W267" t="str">
        <f>VLOOKUP(B267,[1]HIERARCH!$A$1:$B$57,2,0)</f>
        <v>Assurer la gestion qualitative des masses d'eau souterraine</v>
      </c>
      <c r="X267" t="str">
        <f>VLOOKUP(C267,[1]HIERARCH!$A$2:$B$57,2,0)</f>
        <v>Améliorer l'état des connaissances, adapter le programme de surveillance et modifier la réglementation</v>
      </c>
      <c r="Y267" t="str">
        <f t="shared" si="12"/>
        <v>Développer la carte des sols bruxellois en tenant compte de la teneur en matière organique des sols…</v>
      </c>
    </row>
    <row r="268" spans="1:25" hidden="1" x14ac:dyDescent="0.25">
      <c r="A268" s="249" t="str">
        <f t="shared" si="11"/>
        <v>2</v>
      </c>
      <c r="B268" s="249" t="str">
        <f>VLOOKUP($D268,'[4]1. Mesures'!$A$2:$G$116,6,0)</f>
        <v>OS 2.1</v>
      </c>
      <c r="C268" s="249" t="str">
        <f>VLOOKUP($D268,'[4]1. Mesures'!$A$2:$G$116,7,0)</f>
        <v>OO 2.1.1</v>
      </c>
      <c r="D268" s="249" t="str">
        <f t="shared" si="13"/>
        <v>M 2.1</v>
      </c>
      <c r="E268" s="250" t="s">
        <v>856</v>
      </c>
      <c r="F268" s="249" t="str">
        <f>VLOOKUP(E268,'5.2 Actions'!$A$3:$B$720,2,0)</f>
        <v>Mettre à jour l’inventaire des sources des émissions de la pollution, l’élargir à d’autres polluants pertinents pour les eaux souterraines et modéliser leur cheminement vers les eaux souterraines</v>
      </c>
      <c r="G268" s="251">
        <f>VLOOKUP(E268,'[4]5.2 Actions'!$A$3:$D$718,4,0)</f>
        <v>0</v>
      </c>
      <c r="H268" s="252">
        <f>VLOOKUP($E268,'5.1 Budget'!$A$4:$H$729,2,0)</f>
        <v>0</v>
      </c>
      <c r="I268" s="252">
        <f>VLOOKUP($E268,'5.1 Budget'!$A$4:$H$729,3,0)</f>
        <v>0</v>
      </c>
      <c r="J268" s="252">
        <f>VLOOKUP($E268,'5.1 Budget'!$A$4:$H$729,4,0)</f>
        <v>0</v>
      </c>
      <c r="K268" s="252">
        <f>VLOOKUP($E268,'5.1 Budget'!$A$4:$H$729,5,0)</f>
        <v>0</v>
      </c>
      <c r="L268" s="252">
        <f>VLOOKUP($E268,'5.1 Budget'!$A$4:$H$729,6,0)</f>
        <v>0</v>
      </c>
      <c r="M268" s="252">
        <f>VLOOKUP($E268,'5.1 Budget'!$A$4:$H$729,7,0)</f>
        <v>0</v>
      </c>
      <c r="N268" s="252">
        <f>VLOOKUP($E268,'5.1 Budget'!$A$4:$H$729,8,0)</f>
        <v>0</v>
      </c>
      <c r="V268" t="str">
        <f>VLOOKUP(D268,'[4]1. Mesures'!$A$1:$B$116,2,0)</f>
        <v>Améliorer l'état des connaissances des masses d'eau souterraine et poursuivre l’identification des pressions anthropiques</v>
      </c>
      <c r="W268" t="str">
        <f>VLOOKUP(B268,[1]HIERARCH!$A$1:$B$57,2,0)</f>
        <v>Assurer la gestion qualitative des masses d'eau souterraine</v>
      </c>
      <c r="X268" t="str">
        <f>VLOOKUP(C268,[1]HIERARCH!$A$2:$B$57,2,0)</f>
        <v>Améliorer l'état des connaissances, adapter le programme de surveillance et modifier la réglementation</v>
      </c>
      <c r="Y268" t="str">
        <f t="shared" si="12"/>
        <v>Mettre à jour l’inventaire des sources des émissions de la pollution, l’élargir à d’autres polluants pertinents pour les…</v>
      </c>
    </row>
    <row r="269" spans="1:25" hidden="1" x14ac:dyDescent="0.25">
      <c r="A269" s="249" t="str">
        <f t="shared" si="11"/>
        <v>2</v>
      </c>
      <c r="B269" s="249" t="str">
        <f>VLOOKUP($D269,'[4]1. Mesures'!$A$2:$G$116,6,0)</f>
        <v>OS 2.1</v>
      </c>
      <c r="C269" s="249" t="str">
        <f>VLOOKUP($D269,'[4]1. Mesures'!$A$2:$G$116,7,0)</f>
        <v>OO 2.1.1</v>
      </c>
      <c r="D269" s="249" t="str">
        <f t="shared" si="13"/>
        <v>M 2.1</v>
      </c>
      <c r="E269" s="250" t="s">
        <v>857</v>
      </c>
      <c r="F269" s="249" t="str">
        <f>VLOOKUP(E269,'5.2 Actions'!$A$3:$B$720,2,0)</f>
        <v xml:space="preserve">Evaluer les impacts d’une variation de température des eaux souterraines résultant de la présence de forte densité d’exploitations géothermiques en milieu urbain sur la qualité des eaux souterraines et les conflits d’usage susceptibles d’être engendrés. </v>
      </c>
      <c r="G269" s="251">
        <f>VLOOKUP(E269,'[4]5.2 Actions'!$A$3:$D$718,4,0)</f>
        <v>0</v>
      </c>
      <c r="H269" s="252">
        <f>VLOOKUP($E269,'5.1 Budget'!$A$4:$H$729,2,0)</f>
        <v>0</v>
      </c>
      <c r="I269" s="252">
        <f>VLOOKUP($E269,'5.1 Budget'!$A$4:$H$729,3,0)</f>
        <v>0</v>
      </c>
      <c r="J269" s="252">
        <f>VLOOKUP($E269,'5.1 Budget'!$A$4:$H$729,4,0)</f>
        <v>0</v>
      </c>
      <c r="K269" s="252">
        <f>VLOOKUP($E269,'5.1 Budget'!$A$4:$H$729,5,0)</f>
        <v>0</v>
      </c>
      <c r="L269" s="252">
        <f>VLOOKUP($E269,'5.1 Budget'!$A$4:$H$729,6,0)</f>
        <v>0</v>
      </c>
      <c r="M269" s="252">
        <f>VLOOKUP($E269,'5.1 Budget'!$A$4:$H$729,7,0)</f>
        <v>0</v>
      </c>
      <c r="N269" s="252">
        <f>VLOOKUP($E269,'5.1 Budget'!$A$4:$H$729,8,0)</f>
        <v>0</v>
      </c>
      <c r="V269" t="str">
        <f>VLOOKUP(D269,'[4]1. Mesures'!$A$1:$B$116,2,0)</f>
        <v>Améliorer l'état des connaissances des masses d'eau souterraine et poursuivre l’identification des pressions anthropiques</v>
      </c>
      <c r="W269" t="str">
        <f>VLOOKUP(B269,[1]HIERARCH!$A$1:$B$57,2,0)</f>
        <v>Assurer la gestion qualitative des masses d'eau souterraine</v>
      </c>
      <c r="X269" t="str">
        <f>VLOOKUP(C269,[1]HIERARCH!$A$2:$B$57,2,0)</f>
        <v>Améliorer l'état des connaissances, adapter le programme de surveillance et modifier la réglementation</v>
      </c>
      <c r="Y269" t="str">
        <f t="shared" si="12"/>
        <v>Evaluer les impacts d’une variation de température des eaux souterraines résultant de la présence de forte densité d’exp…</v>
      </c>
    </row>
    <row r="270" spans="1:25" hidden="1" x14ac:dyDescent="0.25">
      <c r="A270" s="249" t="str">
        <f t="shared" si="11"/>
        <v>2</v>
      </c>
      <c r="B270" s="249" t="str">
        <f>VLOOKUP($D270,'[4]1. Mesures'!$A$2:$G$116,6,0)</f>
        <v>OS 2.1</v>
      </c>
      <c r="C270" s="249" t="str">
        <f>VLOOKUP($D270,'[4]1. Mesures'!$A$2:$G$116,7,0)</f>
        <v>OO 2.1.1</v>
      </c>
      <c r="D270" s="249" t="str">
        <f t="shared" si="13"/>
        <v>M 2.1</v>
      </c>
      <c r="E270" s="250" t="s">
        <v>858</v>
      </c>
      <c r="F270" s="249" t="str">
        <f>VLOOKUP(E270,'5.2 Actions'!$A$3:$B$720,2,0)</f>
        <v>Renforcer les programmes de surveillance par l’extension des réseaux à de nouveaux sites de contrôle au sein des 5 masses d’eau et plus particulièrement au sein de la masse d’eau du système du Socle et des craies du Crétacé</v>
      </c>
      <c r="G270" s="251">
        <f>VLOOKUP(E270,'[4]5.2 Actions'!$A$3:$D$718,4,0)</f>
        <v>0</v>
      </c>
      <c r="H270" s="252">
        <f>VLOOKUP($E270,'5.1 Budget'!$A$4:$H$729,2,0)</f>
        <v>0</v>
      </c>
      <c r="I270" s="252">
        <f>VLOOKUP($E270,'5.1 Budget'!$A$4:$H$729,3,0)</f>
        <v>0</v>
      </c>
      <c r="J270" s="252">
        <f>VLOOKUP($E270,'5.1 Budget'!$A$4:$H$729,4,0)</f>
        <v>0</v>
      </c>
      <c r="K270" s="252">
        <f>VLOOKUP($E270,'5.1 Budget'!$A$4:$H$729,5,0)</f>
        <v>0</v>
      </c>
      <c r="L270" s="252">
        <f>VLOOKUP($E270,'5.1 Budget'!$A$4:$H$729,6,0)</f>
        <v>0</v>
      </c>
      <c r="M270" s="252">
        <f>VLOOKUP($E270,'5.1 Budget'!$A$4:$H$729,7,0)</f>
        <v>0</v>
      </c>
      <c r="N270" s="252">
        <f>VLOOKUP($E270,'5.1 Budget'!$A$4:$H$729,8,0)</f>
        <v>0</v>
      </c>
      <c r="V270" t="str">
        <f>VLOOKUP(D270,'[4]1. Mesures'!$A$1:$B$116,2,0)</f>
        <v>Améliorer l'état des connaissances des masses d'eau souterraine et poursuivre l’identification des pressions anthropiques</v>
      </c>
      <c r="W270" t="str">
        <f>VLOOKUP(B270,[1]HIERARCH!$A$1:$B$57,2,0)</f>
        <v>Assurer la gestion qualitative des masses d'eau souterraine</v>
      </c>
      <c r="X270" t="str">
        <f>VLOOKUP(C270,[1]HIERARCH!$A$2:$B$57,2,0)</f>
        <v>Améliorer l'état des connaissances, adapter le programme de surveillance et modifier la réglementation</v>
      </c>
      <c r="Y270" t="str">
        <f t="shared" si="12"/>
        <v>Renforcer les programmes de surveillance par l’extension des réseaux à de nouveaux sites de contrôle au sein des 5 masse…</v>
      </c>
    </row>
    <row r="271" spans="1:25" hidden="1" x14ac:dyDescent="0.25">
      <c r="A271" s="249" t="str">
        <f t="shared" si="11"/>
        <v>2</v>
      </c>
      <c r="B271" s="249" t="str">
        <f>VLOOKUP($D271,'[4]1. Mesures'!$A$2:$G$116,6,0)</f>
        <v>OS 2.1</v>
      </c>
      <c r="C271" s="249" t="str">
        <f>VLOOKUP($D271,'[4]1. Mesures'!$A$2:$G$116,7,0)</f>
        <v>OO 2.1.1</v>
      </c>
      <c r="D271" s="249" t="str">
        <f t="shared" si="13"/>
        <v>M 2.1</v>
      </c>
      <c r="E271" s="250" t="s">
        <v>859</v>
      </c>
      <c r="F271" s="249" t="str">
        <f>VLOOKUP(E271,'5.2 Actions'!$A$3:$B$720,2,0)</f>
        <v>Renforcer la pérennité des sites de contrôle existants et futurs faisant partie des programmes de surveillance de l’état chimique</v>
      </c>
      <c r="G271" s="251">
        <f>VLOOKUP(E271,'[4]5.2 Actions'!$A$3:$D$718,4,0)</f>
        <v>0</v>
      </c>
      <c r="H271" s="252">
        <f>VLOOKUP($E271,'5.1 Budget'!$A$4:$H$729,2,0)</f>
        <v>0</v>
      </c>
      <c r="I271" s="252">
        <f>VLOOKUP($E271,'5.1 Budget'!$A$4:$H$729,3,0)</f>
        <v>0</v>
      </c>
      <c r="J271" s="252">
        <f>VLOOKUP($E271,'5.1 Budget'!$A$4:$H$729,4,0)</f>
        <v>0</v>
      </c>
      <c r="K271" s="252">
        <f>VLOOKUP($E271,'5.1 Budget'!$A$4:$H$729,5,0)</f>
        <v>0</v>
      </c>
      <c r="L271" s="252">
        <f>VLOOKUP($E271,'5.1 Budget'!$A$4:$H$729,6,0)</f>
        <v>0</v>
      </c>
      <c r="M271" s="252">
        <f>VLOOKUP($E271,'5.1 Budget'!$A$4:$H$729,7,0)</f>
        <v>0</v>
      </c>
      <c r="N271" s="252">
        <f>VLOOKUP($E271,'5.1 Budget'!$A$4:$H$729,8,0)</f>
        <v>0</v>
      </c>
      <c r="V271" t="str">
        <f>VLOOKUP(D271,'[4]1. Mesures'!$A$1:$B$116,2,0)</f>
        <v>Améliorer l'état des connaissances des masses d'eau souterraine et poursuivre l’identification des pressions anthropiques</v>
      </c>
      <c r="W271" t="str">
        <f>VLOOKUP(B271,[1]HIERARCH!$A$1:$B$57,2,0)</f>
        <v>Assurer la gestion qualitative des masses d'eau souterraine</v>
      </c>
      <c r="X271" t="str">
        <f>VLOOKUP(C271,[1]HIERARCH!$A$2:$B$57,2,0)</f>
        <v>Améliorer l'état des connaissances, adapter le programme de surveillance et modifier la réglementation</v>
      </c>
      <c r="Y271" t="str">
        <f t="shared" si="12"/>
        <v>Renforcer la pérennité des sites de contrôle existants et futurs faisant partie des programmes de surveillance de l’état…</v>
      </c>
    </row>
    <row r="272" spans="1:25" hidden="1" x14ac:dyDescent="0.25">
      <c r="A272" s="249" t="str">
        <f t="shared" si="11"/>
        <v>2</v>
      </c>
      <c r="B272" s="249" t="str">
        <f>VLOOKUP($D272,'[4]1. Mesures'!$A$2:$G$116,6,0)</f>
        <v>OS 2.1</v>
      </c>
      <c r="C272" s="249" t="str">
        <f>VLOOKUP($D272,'[4]1. Mesures'!$A$2:$G$116,7,0)</f>
        <v>OO 2.1.1</v>
      </c>
      <c r="D272" s="249" t="str">
        <f t="shared" si="13"/>
        <v>M 2.2</v>
      </c>
      <c r="E272" s="250" t="s">
        <v>886</v>
      </c>
      <c r="F272" s="249" t="str">
        <f>VLOOKUP(E272,'5.2 Actions'!$A$3:$B$720,2,0)</f>
        <v>Réviser les critères d’évaluation de l’état chimique des masses d’eau souterraine de l’annexe II de l’AGRBC du 10 juin 2010 en ce qui concerne les paramètres à risque et leurs valeurs</v>
      </c>
      <c r="G272" s="251">
        <f>VLOOKUP(E272,'[4]5.2 Actions'!$A$3:$D$718,4,0)</f>
        <v>0</v>
      </c>
      <c r="H272" s="252">
        <f>VLOOKUP($E272,'5.1 Budget'!$A$4:$H$729,2,0)</f>
        <v>0</v>
      </c>
      <c r="I272" s="252">
        <f>VLOOKUP($E272,'5.1 Budget'!$A$4:$H$729,3,0)</f>
        <v>0</v>
      </c>
      <c r="J272" s="252">
        <f>VLOOKUP($E272,'5.1 Budget'!$A$4:$H$729,4,0)</f>
        <v>0</v>
      </c>
      <c r="K272" s="252">
        <f>VLOOKUP($E272,'5.1 Budget'!$A$4:$H$729,5,0)</f>
        <v>0</v>
      </c>
      <c r="L272" s="252">
        <f>VLOOKUP($E272,'5.1 Budget'!$A$4:$H$729,6,0)</f>
        <v>0</v>
      </c>
      <c r="M272" s="252">
        <f>VLOOKUP($E272,'5.1 Budget'!$A$4:$H$729,7,0)</f>
        <v>0</v>
      </c>
      <c r="N272" s="252">
        <f>VLOOKUP($E272,'5.1 Budget'!$A$4:$H$729,8,0)</f>
        <v>0</v>
      </c>
      <c r="V272" t="str">
        <f>VLOOKUP(D272,'[4]1. Mesures'!$A$1:$B$116,2,0)</f>
        <v xml:space="preserve">  Modifier la réglementation relative à la qualité des eaux souterraines</v>
      </c>
      <c r="W272" t="str">
        <f>VLOOKUP(B272,[1]HIERARCH!$A$1:$B$57,2,0)</f>
        <v>Assurer la gestion qualitative des masses d'eau souterraine</v>
      </c>
      <c r="X272" t="str">
        <f>VLOOKUP(C272,[1]HIERARCH!$A$2:$B$57,2,0)</f>
        <v>Améliorer l'état des connaissances, adapter le programme de surveillance et modifier la réglementation</v>
      </c>
      <c r="Y272" t="str">
        <f t="shared" si="12"/>
        <v>Réviser les critères d’évaluation de l’état chimique des masses d’eau souterraine de l’annexe II de l’AGRBC du 10 juin 2…</v>
      </c>
    </row>
    <row r="273" spans="1:25" hidden="1" x14ac:dyDescent="0.25">
      <c r="A273" s="249" t="str">
        <f t="shared" si="11"/>
        <v>2</v>
      </c>
      <c r="B273" s="249" t="str">
        <f>VLOOKUP($D273,'[4]1. Mesures'!$A$2:$G$116,6,0)</f>
        <v>OS 2.1</v>
      </c>
      <c r="C273" s="249" t="str">
        <f>VLOOKUP($D273,'[4]1. Mesures'!$A$2:$G$116,7,0)</f>
        <v>OO 2.1.1</v>
      </c>
      <c r="D273" s="249" t="str">
        <f t="shared" si="13"/>
        <v>M 2.2</v>
      </c>
      <c r="E273" s="250" t="s">
        <v>887</v>
      </c>
      <c r="F273" s="249" t="str">
        <f>VLOOKUP(E273,'5.2 Actions'!$A$3:$B$720,2,0)</f>
        <v>Réviser l’annexe II de l’AGRBC du 10 juin 2010 en y précisant les valeurs seuils des critères d’évaluation de qualité plus stricts considérés au sein des zones d’alimentation hydrogéologiques des écosystèmes aquatiques et terrestres associés à la masse d’eau souterraine des sables du Bruxellien pour les nitrates, chlorures et sulfates (cf. aussi M 3.8)</v>
      </c>
      <c r="G273" s="251">
        <f>VLOOKUP(E273,'[4]5.2 Actions'!$A$3:$D$718,4,0)</f>
        <v>0</v>
      </c>
      <c r="H273" s="252">
        <f>VLOOKUP($E273,'5.1 Budget'!$A$4:$H$729,2,0)</f>
        <v>0</v>
      </c>
      <c r="I273" s="252">
        <f>VLOOKUP($E273,'5.1 Budget'!$A$4:$H$729,3,0)</f>
        <v>0</v>
      </c>
      <c r="J273" s="252">
        <f>VLOOKUP($E273,'5.1 Budget'!$A$4:$H$729,4,0)</f>
        <v>0</v>
      </c>
      <c r="K273" s="252">
        <f>VLOOKUP($E273,'5.1 Budget'!$A$4:$H$729,5,0)</f>
        <v>0</v>
      </c>
      <c r="L273" s="252">
        <f>VLOOKUP($E273,'5.1 Budget'!$A$4:$H$729,6,0)</f>
        <v>0</v>
      </c>
      <c r="M273" s="252">
        <f>VLOOKUP($E273,'5.1 Budget'!$A$4:$H$729,7,0)</f>
        <v>0</v>
      </c>
      <c r="N273" s="252">
        <f>VLOOKUP($E273,'5.1 Budget'!$A$4:$H$729,8,0)</f>
        <v>0</v>
      </c>
      <c r="V273" t="str">
        <f>VLOOKUP(D273,'[4]1. Mesures'!$A$1:$B$116,2,0)</f>
        <v xml:space="preserve">  Modifier la réglementation relative à la qualité des eaux souterraines</v>
      </c>
      <c r="W273" t="str">
        <f>VLOOKUP(B273,[1]HIERARCH!$A$1:$B$57,2,0)</f>
        <v>Assurer la gestion qualitative des masses d'eau souterraine</v>
      </c>
      <c r="X273" t="str">
        <f>VLOOKUP(C273,[1]HIERARCH!$A$2:$B$57,2,0)</f>
        <v>Améliorer l'état des connaissances, adapter le programme de surveillance et modifier la réglementation</v>
      </c>
      <c r="Y273" t="str">
        <f t="shared" si="12"/>
        <v>Réviser l’annexe II de l’AGRBC du 10 juin 2010 en y précisant les valeurs seuils des critères d’évaluation de qualité pl…</v>
      </c>
    </row>
    <row r="274" spans="1:25" hidden="1" x14ac:dyDescent="0.25">
      <c r="A274" s="249" t="str">
        <f t="shared" si="11"/>
        <v>2</v>
      </c>
      <c r="B274" s="249" t="str">
        <f>VLOOKUP($D274,'[4]1. Mesures'!$A$2:$G$116,6,0)</f>
        <v>OS 2.1</v>
      </c>
      <c r="C274" s="249" t="str">
        <f>VLOOKUP($D274,'[4]1. Mesures'!$A$2:$G$116,7,0)</f>
        <v>OO 2.1.1</v>
      </c>
      <c r="D274" s="249" t="str">
        <f t="shared" si="13"/>
        <v>M 2.2</v>
      </c>
      <c r="E274" s="250" t="s">
        <v>888</v>
      </c>
      <c r="F274" s="249" t="str">
        <f>VLOOKUP(E274,'5.2 Actions'!$A$3:$B$720,2,0)</f>
        <v>Compléter l’annexe II de l’AGRBC du 10 juin 2010 en y joignant les valeurs des concentrations de référence des paramètres présents naturellement dans les masses d’eau souterraine par paramètre et par masse d’eau</v>
      </c>
      <c r="G274" s="251">
        <f>VLOOKUP(E274,'[4]5.2 Actions'!$A$3:$D$718,4,0)</f>
        <v>0</v>
      </c>
      <c r="H274" s="252">
        <f>VLOOKUP($E274,'5.1 Budget'!$A$4:$H$729,2,0)</f>
        <v>0</v>
      </c>
      <c r="I274" s="252">
        <f>VLOOKUP($E274,'5.1 Budget'!$A$4:$H$729,3,0)</f>
        <v>0</v>
      </c>
      <c r="J274" s="252">
        <f>VLOOKUP($E274,'5.1 Budget'!$A$4:$H$729,4,0)</f>
        <v>0</v>
      </c>
      <c r="K274" s="252">
        <f>VLOOKUP($E274,'5.1 Budget'!$A$4:$H$729,5,0)</f>
        <v>0</v>
      </c>
      <c r="L274" s="252">
        <f>VLOOKUP($E274,'5.1 Budget'!$A$4:$H$729,6,0)</f>
        <v>0</v>
      </c>
      <c r="M274" s="252">
        <f>VLOOKUP($E274,'5.1 Budget'!$A$4:$H$729,7,0)</f>
        <v>0</v>
      </c>
      <c r="N274" s="252">
        <f>VLOOKUP($E274,'5.1 Budget'!$A$4:$H$729,8,0)</f>
        <v>0</v>
      </c>
      <c r="V274" t="str">
        <f>VLOOKUP(D274,'[4]1. Mesures'!$A$1:$B$116,2,0)</f>
        <v xml:space="preserve">  Modifier la réglementation relative à la qualité des eaux souterraines</v>
      </c>
      <c r="W274" t="str">
        <f>VLOOKUP(B274,[1]HIERARCH!$A$1:$B$57,2,0)</f>
        <v>Assurer la gestion qualitative des masses d'eau souterraine</v>
      </c>
      <c r="X274" t="str">
        <f>VLOOKUP(C274,[1]HIERARCH!$A$2:$B$57,2,0)</f>
        <v>Améliorer l'état des connaissances, adapter le programme de surveillance et modifier la réglementation</v>
      </c>
      <c r="Y274" t="str">
        <f t="shared" si="12"/>
        <v>Compléter l’annexe II de l’AGRBC du 10 juin 2010 en y joignant les valeurs des concentrations de référence des paramètre…</v>
      </c>
    </row>
    <row r="275" spans="1:25" hidden="1" x14ac:dyDescent="0.25">
      <c r="A275" s="249" t="str">
        <f t="shared" si="11"/>
        <v>2</v>
      </c>
      <c r="B275" s="249" t="str">
        <f>VLOOKUP($D275,'[4]1. Mesures'!$A$2:$G$116,6,0)</f>
        <v>OS 2.1</v>
      </c>
      <c r="C275" s="249" t="str">
        <f>VLOOKUP($D275,'[4]1. Mesures'!$A$2:$G$116,7,0)</f>
        <v>OO 2.1.1</v>
      </c>
      <c r="D275" s="249" t="str">
        <f t="shared" si="13"/>
        <v>M 2.2</v>
      </c>
      <c r="E275" s="250" t="s">
        <v>889</v>
      </c>
      <c r="F275" s="249" t="str">
        <f>VLOOKUP(E275,'5.2 Actions'!$A$3:$B$720,2,0)</f>
        <v>Compléter l’annexe II de l’AGRBC du 10 juin 2010 en y joignant la liste des métabolites considérés comme pertinents et non-pertinents suivis dans le cadre du programme de surveillance mené au cours du Plan de Gestion (2016-2021)</v>
      </c>
      <c r="G275" s="251">
        <f>VLOOKUP(E275,'[4]5.2 Actions'!$A$3:$D$718,4,0)</f>
        <v>0</v>
      </c>
      <c r="H275" s="252">
        <f>VLOOKUP($E275,'5.1 Budget'!$A$4:$H$729,2,0)</f>
        <v>0</v>
      </c>
      <c r="I275" s="252">
        <f>VLOOKUP($E275,'5.1 Budget'!$A$4:$H$729,3,0)</f>
        <v>0</v>
      </c>
      <c r="J275" s="252">
        <f>VLOOKUP($E275,'5.1 Budget'!$A$4:$H$729,4,0)</f>
        <v>0</v>
      </c>
      <c r="K275" s="252">
        <f>VLOOKUP($E275,'5.1 Budget'!$A$4:$H$729,5,0)</f>
        <v>0</v>
      </c>
      <c r="L275" s="252">
        <f>VLOOKUP($E275,'5.1 Budget'!$A$4:$H$729,6,0)</f>
        <v>0</v>
      </c>
      <c r="M275" s="252">
        <f>VLOOKUP($E275,'5.1 Budget'!$A$4:$H$729,7,0)</f>
        <v>0</v>
      </c>
      <c r="N275" s="252">
        <f>VLOOKUP($E275,'5.1 Budget'!$A$4:$H$729,8,0)</f>
        <v>0</v>
      </c>
      <c r="V275" t="str">
        <f>VLOOKUP(D275,'[4]1. Mesures'!$A$1:$B$116,2,0)</f>
        <v xml:space="preserve">  Modifier la réglementation relative à la qualité des eaux souterraines</v>
      </c>
      <c r="W275" t="str">
        <f>VLOOKUP(B275,[1]HIERARCH!$A$1:$B$57,2,0)</f>
        <v>Assurer la gestion qualitative des masses d'eau souterraine</v>
      </c>
      <c r="X275" t="str">
        <f>VLOOKUP(C275,[1]HIERARCH!$A$2:$B$57,2,0)</f>
        <v>Améliorer l'état des connaissances, adapter le programme de surveillance et modifier la réglementation</v>
      </c>
      <c r="Y275" t="str">
        <f t="shared" si="12"/>
        <v>Compléter l’annexe II de l’AGRBC du 10 juin 2010 en y joignant la liste des métabolites considérés comme pertinents et n…</v>
      </c>
    </row>
    <row r="276" spans="1:25" hidden="1" x14ac:dyDescent="0.25">
      <c r="A276" s="249" t="str">
        <f t="shared" si="11"/>
        <v>2</v>
      </c>
      <c r="B276" s="249" t="str">
        <f>VLOOKUP($D276,'[4]1. Mesures'!$A$2:$G$116,6,0)</f>
        <v>OS 2.1</v>
      </c>
      <c r="C276" s="249" t="str">
        <f>VLOOKUP($D276,'[4]1. Mesures'!$A$2:$G$116,7,0)</f>
        <v>OO 2.1.1</v>
      </c>
      <c r="D276" s="249" t="str">
        <f t="shared" si="13"/>
        <v>M 2.2</v>
      </c>
      <c r="E276" s="250" t="s">
        <v>890</v>
      </c>
      <c r="F276" s="249" t="str">
        <f>VLOOKUP(E276,'5.2 Actions'!$A$3:$B$720,2,0)</f>
        <v>Réaliser une veille juridique et transposer en droit bruxellois, le cas échéant, les révisions qui seraient aux annexes I et/ou II de la Directive 2006/118/CE en ce qui concerne notamment l’ajout de polluants émergents (PFAS, substances pharmaceutiques, métabolites de pesticides non pertinents) et leurs valeurs</v>
      </c>
      <c r="G276" s="251">
        <f>VLOOKUP(E276,'[4]5.2 Actions'!$A$3:$D$718,4,0)</f>
        <v>0</v>
      </c>
      <c r="H276" s="252">
        <f>VLOOKUP($E276,'5.1 Budget'!$A$4:$H$729,2,0)</f>
        <v>0</v>
      </c>
      <c r="I276" s="252">
        <f>VLOOKUP($E276,'5.1 Budget'!$A$4:$H$729,3,0)</f>
        <v>0</v>
      </c>
      <c r="J276" s="252">
        <f>VLOOKUP($E276,'5.1 Budget'!$A$4:$H$729,4,0)</f>
        <v>0</v>
      </c>
      <c r="K276" s="252">
        <f>VLOOKUP($E276,'5.1 Budget'!$A$4:$H$729,5,0)</f>
        <v>0</v>
      </c>
      <c r="L276" s="252">
        <f>VLOOKUP($E276,'5.1 Budget'!$A$4:$H$729,6,0)</f>
        <v>0</v>
      </c>
      <c r="M276" s="252">
        <f>VLOOKUP($E276,'5.1 Budget'!$A$4:$H$729,7,0)</f>
        <v>0</v>
      </c>
      <c r="N276" s="252">
        <f>VLOOKUP($E276,'5.1 Budget'!$A$4:$H$729,8,0)</f>
        <v>0</v>
      </c>
      <c r="V276" t="str">
        <f>VLOOKUP(D276,'[4]1. Mesures'!$A$1:$B$116,2,0)</f>
        <v xml:space="preserve">  Modifier la réglementation relative à la qualité des eaux souterraines</v>
      </c>
      <c r="W276" t="str">
        <f>VLOOKUP(B276,[1]HIERARCH!$A$1:$B$57,2,0)</f>
        <v>Assurer la gestion qualitative des masses d'eau souterraine</v>
      </c>
      <c r="X276" t="str">
        <f>VLOOKUP(C276,[1]HIERARCH!$A$2:$B$57,2,0)</f>
        <v>Améliorer l'état des connaissances, adapter le programme de surveillance et modifier la réglementation</v>
      </c>
      <c r="Y276" t="str">
        <f t="shared" si="12"/>
        <v>Réaliser une veille juridique et transposer en droit bruxellois, le cas échéant, les révisions qui seraient aux annexes …</v>
      </c>
    </row>
    <row r="277" spans="1:25" hidden="1" x14ac:dyDescent="0.25">
      <c r="A277" s="249" t="str">
        <f t="shared" si="11"/>
        <v>2</v>
      </c>
      <c r="B277" s="249" t="str">
        <f>VLOOKUP($D277,'[4]1. Mesures'!$A$2:$G$116,6,0)</f>
        <v>OS 2.1</v>
      </c>
      <c r="C277" s="249" t="str">
        <f>VLOOKUP($D277,'[4]1. Mesures'!$A$2:$G$116,7,0)</f>
        <v>OO 2.1.1</v>
      </c>
      <c r="D277" s="249" t="str">
        <f t="shared" si="13"/>
        <v>M 2.2</v>
      </c>
      <c r="E277" s="250" t="s">
        <v>891</v>
      </c>
      <c r="F277" s="249" t="str">
        <f>VLOOKUP(E277,'5.2 Actions'!$A$3:$B$720,2,0)</f>
        <v>Réviser la liste et les valeurs seuils des critères d’évaluation de la qualité des masses d’eau de l’annexe II de l’AGRBC du 10 juin 2010 compte tenu de la révision des exigences minimales relatives aux valeurs paramétriques utilisées pour évaluer la qualité des eaux destinées à la consommation humaine</v>
      </c>
      <c r="G277" s="251">
        <f>VLOOKUP(E277,'[4]5.2 Actions'!$A$3:$D$718,4,0)</f>
        <v>0</v>
      </c>
      <c r="H277" s="252">
        <f>VLOOKUP($E277,'5.1 Budget'!$A$4:$H$729,2,0)</f>
        <v>0</v>
      </c>
      <c r="I277" s="252">
        <f>VLOOKUP($E277,'5.1 Budget'!$A$4:$H$729,3,0)</f>
        <v>0</v>
      </c>
      <c r="J277" s="252">
        <f>VLOOKUP($E277,'5.1 Budget'!$A$4:$H$729,4,0)</f>
        <v>0</v>
      </c>
      <c r="K277" s="252">
        <f>VLOOKUP($E277,'5.1 Budget'!$A$4:$H$729,5,0)</f>
        <v>0</v>
      </c>
      <c r="L277" s="252">
        <f>VLOOKUP($E277,'5.1 Budget'!$A$4:$H$729,6,0)</f>
        <v>0</v>
      </c>
      <c r="M277" s="252">
        <f>VLOOKUP($E277,'5.1 Budget'!$A$4:$H$729,7,0)</f>
        <v>0</v>
      </c>
      <c r="N277" s="252">
        <f>VLOOKUP($E277,'5.1 Budget'!$A$4:$H$729,8,0)</f>
        <v>0</v>
      </c>
      <c r="V277" t="str">
        <f>VLOOKUP(D277,'[4]1. Mesures'!$A$1:$B$116,2,0)</f>
        <v xml:space="preserve">  Modifier la réglementation relative à la qualité des eaux souterraines</v>
      </c>
      <c r="W277" t="str">
        <f>VLOOKUP(B277,[1]HIERARCH!$A$1:$B$57,2,0)</f>
        <v>Assurer la gestion qualitative des masses d'eau souterraine</v>
      </c>
      <c r="X277" t="str">
        <f>VLOOKUP(C277,[1]HIERARCH!$A$2:$B$57,2,0)</f>
        <v>Améliorer l'état des connaissances, adapter le programme de surveillance et modifier la réglementation</v>
      </c>
      <c r="Y277" t="str">
        <f t="shared" si="12"/>
        <v>Réviser la liste et les valeurs seuils des critères d’évaluation de la qualité des masses d’eau de l’annexe II de l’AGRB…</v>
      </c>
    </row>
    <row r="278" spans="1:25" hidden="1" x14ac:dyDescent="0.25">
      <c r="A278" s="249" t="str">
        <f t="shared" si="11"/>
        <v>2</v>
      </c>
      <c r="B278" s="249" t="str">
        <f>VLOOKUP($D278,'[4]1. Mesures'!$A$2:$G$116,6,0)</f>
        <v>OS 2.1</v>
      </c>
      <c r="C278" s="249" t="str">
        <f>VLOOKUP($D278,'[4]1. Mesures'!$A$2:$G$116,7,0)</f>
        <v>OO 2.1.2</v>
      </c>
      <c r="D278" s="249" t="str">
        <f t="shared" si="13"/>
        <v>M 2.3</v>
      </c>
      <c r="E278" s="250" t="s">
        <v>892</v>
      </c>
      <c r="F278" s="249" t="str">
        <f>VLOOKUP(E278,'5.2 Actions'!$A$3:$B$720,2,0)</f>
        <v>Finaliser et adopter la cartographie des zones égouttables et non égouttables prévue par l’article 40/1 de l’Ordonnance Cadre Eau</v>
      </c>
      <c r="G278" s="251" t="str">
        <f>VLOOKUP(E278,'[4]5.2 Actions'!$A$3:$D$718,4,0)</f>
        <v>SEN / WOL / CAN</v>
      </c>
      <c r="H278" s="252">
        <f>VLOOKUP($E278,'5.1 Budget'!$A$4:$H$729,2,0)</f>
        <v>0</v>
      </c>
      <c r="I278" s="252">
        <f>VLOOKUP($E278,'5.1 Budget'!$A$4:$H$729,3,0)</f>
        <v>0</v>
      </c>
      <c r="J278" s="252">
        <f>VLOOKUP($E278,'5.1 Budget'!$A$4:$H$729,4,0)</f>
        <v>0</v>
      </c>
      <c r="K278" s="252">
        <f>VLOOKUP($E278,'5.1 Budget'!$A$4:$H$729,5,0)</f>
        <v>0</v>
      </c>
      <c r="L278" s="252">
        <f>VLOOKUP($E278,'5.1 Budget'!$A$4:$H$729,6,0)</f>
        <v>0</v>
      </c>
      <c r="M278" s="252">
        <f>VLOOKUP($E278,'5.1 Budget'!$A$4:$H$729,7,0)</f>
        <v>0</v>
      </c>
      <c r="N278" s="252">
        <f>VLOOKUP($E278,'5.1 Budget'!$A$4:$H$729,8,0)</f>
        <v>0</v>
      </c>
      <c r="V278" t="str">
        <f>VLOOKUP(D278,'[4]1. Mesures'!$A$1:$B$116,2,0)</f>
        <v xml:space="preserve">Rénover et étendre le réseau d'assainissement afin de réduire les concentrations en nitrates d’origine non agricole </v>
      </c>
      <c r="W278" t="str">
        <f>VLOOKUP(B278,[1]HIERARCH!$A$1:$B$57,2,0)</f>
        <v>Assurer la gestion qualitative des masses d'eau souterraine</v>
      </c>
      <c r="X278" t="str">
        <f>VLOOKUP(C278,[1]HIERARCH!$A$2:$B$57,2,0)</f>
        <v>Restaurer la qualité chimique de la masse d’eau des sables du Bruxellien</v>
      </c>
      <c r="Y278" t="str">
        <f t="shared" si="12"/>
        <v>Finaliser et adopter la cartographie des zones égouttables et non égouttables prévue par l’article 40/1 de l’Ordonnance …</v>
      </c>
    </row>
    <row r="279" spans="1:25" hidden="1" x14ac:dyDescent="0.25">
      <c r="A279" s="249" t="str">
        <f t="shared" si="11"/>
        <v>2</v>
      </c>
      <c r="B279" s="249" t="str">
        <f>VLOOKUP($D279,'[4]1. Mesures'!$A$2:$G$116,6,0)</f>
        <v>OS 2.1</v>
      </c>
      <c r="C279" s="249" t="str">
        <f>VLOOKUP($D279,'[4]1. Mesures'!$A$2:$G$116,7,0)</f>
        <v>OO 2.1.2</v>
      </c>
      <c r="D279" s="249" t="str">
        <f t="shared" si="13"/>
        <v>M 2.3</v>
      </c>
      <c r="E279" s="250" t="s">
        <v>893</v>
      </c>
      <c r="F279" s="249" t="str">
        <f>VLOOKUP(E279,'5.2 Actions'!$A$3:$B$720,2,0)</f>
        <v>Poursuivre l’inventaire de l’état des lieux et le cartographier (projet ETAL)</v>
      </c>
      <c r="G279" s="251" t="str">
        <f>VLOOKUP(E279,'[4]5.2 Actions'!$A$3:$D$718,4,0)</f>
        <v>SEN / WOL / CAN</v>
      </c>
      <c r="H279" s="252">
        <f>VLOOKUP($E279,'5.1 Budget'!$A$4:$H$729,2,0)</f>
        <v>1768900</v>
      </c>
      <c r="I279" s="252">
        <f>VLOOKUP($E279,'5.1 Budget'!$A$4:$H$729,3,0)</f>
        <v>1955100</v>
      </c>
      <c r="J279" s="252">
        <f>VLOOKUP($E279,'5.1 Budget'!$A$4:$H$729,4,0)</f>
        <v>2048200</v>
      </c>
      <c r="K279" s="252">
        <f>VLOOKUP($E279,'5.1 Budget'!$A$4:$H$729,5,0)</f>
        <v>2048200</v>
      </c>
      <c r="L279" s="252">
        <f>VLOOKUP($E279,'5.1 Budget'!$A$4:$H$729,6,0)</f>
        <v>2048200</v>
      </c>
      <c r="M279" s="252">
        <f>VLOOKUP($E279,'5.1 Budget'!$A$4:$H$729,7,0)</f>
        <v>2048200</v>
      </c>
      <c r="N279" s="252">
        <f>VLOOKUP($E279,'5.1 Budget'!$A$4:$H$729,8,0)</f>
        <v>11916800</v>
      </c>
      <c r="V279" t="str">
        <f>VLOOKUP(D279,'[4]1. Mesures'!$A$1:$B$116,2,0)</f>
        <v xml:space="preserve">Rénover et étendre le réseau d'assainissement afin de réduire les concentrations en nitrates d’origine non agricole </v>
      </c>
      <c r="W279" t="str">
        <f>VLOOKUP(B279,[1]HIERARCH!$A$1:$B$57,2,0)</f>
        <v>Assurer la gestion qualitative des masses d'eau souterraine</v>
      </c>
      <c r="X279" t="str">
        <f>VLOOKUP(C279,[1]HIERARCH!$A$2:$B$57,2,0)</f>
        <v>Restaurer la qualité chimique de la masse d’eau des sables du Bruxellien</v>
      </c>
      <c r="Y279" t="str">
        <f t="shared" si="12"/>
        <v>Poursuivre l’inventaire de l’état des lieux et le cartographier (projet ETAL)…</v>
      </c>
    </row>
    <row r="280" spans="1:25" hidden="1" x14ac:dyDescent="0.25">
      <c r="A280" s="249" t="str">
        <f t="shared" si="11"/>
        <v>2</v>
      </c>
      <c r="B280" s="249" t="str">
        <f>VLOOKUP($D280,'[4]1. Mesures'!$A$2:$G$116,6,0)</f>
        <v>OS 2.1</v>
      </c>
      <c r="C280" s="249" t="str">
        <f>VLOOKUP($D280,'[4]1. Mesures'!$A$2:$G$116,7,0)</f>
        <v>OO 2.1.2</v>
      </c>
      <c r="D280" s="249" t="str">
        <f t="shared" si="13"/>
        <v>M 2.3</v>
      </c>
      <c r="E280" s="250" t="s">
        <v>894</v>
      </c>
      <c r="F280" s="249" t="str">
        <f>VLOOKUP(E280,'5.2 Actions'!$A$3:$B$720,2,0)</f>
        <v>Planifier les travaux de rénovation du réseau d’égouttage à l’horizon 2027 en maintenant un objectif de taux de rénovation entre 0.8% et 1.1% par an en priorisant la rénovation dans les zones de vulnérabilité élevée de la masse d’eau des sables du Bruxellien fortement urbanisée et dans les zones de protection des captages d’eau destinée à la consommation humaine</v>
      </c>
      <c r="G280" s="251" t="str">
        <f>VLOOKUP(E280,'[4]5.2 Actions'!$A$3:$D$718,4,0)</f>
        <v>SEN / WOL / CAN</v>
      </c>
      <c r="H280" s="252">
        <f>VLOOKUP($E280,'5.1 Budget'!$A$4:$H$729,2,0)</f>
        <v>0</v>
      </c>
      <c r="I280" s="252">
        <f>VLOOKUP($E280,'5.1 Budget'!$A$4:$H$729,3,0)</f>
        <v>0</v>
      </c>
      <c r="J280" s="252">
        <f>VLOOKUP($E280,'5.1 Budget'!$A$4:$H$729,4,0)</f>
        <v>0</v>
      </c>
      <c r="K280" s="252">
        <f>VLOOKUP($E280,'5.1 Budget'!$A$4:$H$729,5,0)</f>
        <v>0</v>
      </c>
      <c r="L280" s="252">
        <f>VLOOKUP($E280,'5.1 Budget'!$A$4:$H$729,6,0)</f>
        <v>0</v>
      </c>
      <c r="M280" s="252">
        <f>VLOOKUP($E280,'5.1 Budget'!$A$4:$H$729,7,0)</f>
        <v>0</v>
      </c>
      <c r="N280" s="252">
        <f>VLOOKUP($E280,'5.1 Budget'!$A$4:$H$729,8,0)</f>
        <v>0</v>
      </c>
      <c r="V280" t="str">
        <f>VLOOKUP(D280,'[4]1. Mesures'!$A$1:$B$116,2,0)</f>
        <v xml:space="preserve">Rénover et étendre le réseau d'assainissement afin de réduire les concentrations en nitrates d’origine non agricole </v>
      </c>
      <c r="W280" t="str">
        <f>VLOOKUP(B280,[1]HIERARCH!$A$1:$B$57,2,0)</f>
        <v>Assurer la gestion qualitative des masses d'eau souterraine</v>
      </c>
      <c r="X280" t="str">
        <f>VLOOKUP(C280,[1]HIERARCH!$A$2:$B$57,2,0)</f>
        <v>Restaurer la qualité chimique de la masse d’eau des sables du Bruxellien</v>
      </c>
      <c r="Y280" t="str">
        <f t="shared" si="12"/>
        <v>Planifier les travaux de rénovation du réseau d’égouttage à l’horizon 2027 en maintenant un objectif de taux de rénovati…</v>
      </c>
    </row>
    <row r="281" spans="1:25" hidden="1" x14ac:dyDescent="0.25">
      <c r="A281" s="249" t="str">
        <f t="shared" si="11"/>
        <v>2</v>
      </c>
      <c r="B281" s="249" t="str">
        <f>VLOOKUP($D281,'[4]1. Mesures'!$A$2:$G$116,6,0)</f>
        <v>OS 2.1</v>
      </c>
      <c r="C281" s="249" t="str">
        <f>VLOOKUP($D281,'[4]1. Mesures'!$A$2:$G$116,7,0)</f>
        <v>OO 2.1.2</v>
      </c>
      <c r="D281" s="249" t="str">
        <f t="shared" si="13"/>
        <v>M 2.3</v>
      </c>
      <c r="E281" s="250" t="s">
        <v>895</v>
      </c>
      <c r="F281" s="249" t="str">
        <f>VLOOKUP(E281,'5.2 Actions'!$A$3:$B$720,2,0)</f>
        <v>Réaliser les travaux de rénovation du réseau d’égouttage (à concurrence de 0.8 à 1.1% /an)</v>
      </c>
      <c r="G281" s="251" t="str">
        <f>VLOOKUP(E281,'[4]5.2 Actions'!$A$3:$D$718,4,0)</f>
        <v>SEN / WOL / CAN</v>
      </c>
      <c r="H281" s="252">
        <f>VLOOKUP($E281,'5.1 Budget'!$A$4:$H$729,2,0)</f>
        <v>50540000</v>
      </c>
      <c r="I281" s="252">
        <f>VLOOKUP($E281,'5.1 Budget'!$A$4:$H$729,3,0)</f>
        <v>55860000</v>
      </c>
      <c r="J281" s="252">
        <f>VLOOKUP($E281,'5.1 Budget'!$A$4:$H$729,4,0)</f>
        <v>58520000</v>
      </c>
      <c r="K281" s="252">
        <f>VLOOKUP($E281,'5.1 Budget'!$A$4:$H$729,5,0)</f>
        <v>58520000</v>
      </c>
      <c r="L281" s="252">
        <f>VLOOKUP($E281,'5.1 Budget'!$A$4:$H$729,6,0)</f>
        <v>58520000</v>
      </c>
      <c r="M281" s="252">
        <f>VLOOKUP($E281,'5.1 Budget'!$A$4:$H$729,7,0)</f>
        <v>58520000</v>
      </c>
      <c r="N281" s="252">
        <f>VLOOKUP($E281,'5.1 Budget'!$A$4:$H$729,8,0)</f>
        <v>340480000</v>
      </c>
      <c r="V281" t="str">
        <f>VLOOKUP(D281,'[4]1. Mesures'!$A$1:$B$116,2,0)</f>
        <v xml:space="preserve">Rénover et étendre le réseau d'assainissement afin de réduire les concentrations en nitrates d’origine non agricole </v>
      </c>
      <c r="W281" t="str">
        <f>VLOOKUP(B281,[1]HIERARCH!$A$1:$B$57,2,0)</f>
        <v>Assurer la gestion qualitative des masses d'eau souterraine</v>
      </c>
      <c r="X281" t="str">
        <f>VLOOKUP(C281,[1]HIERARCH!$A$2:$B$57,2,0)</f>
        <v>Restaurer la qualité chimique de la masse d’eau des sables du Bruxellien</v>
      </c>
      <c r="Y281" t="str">
        <f t="shared" si="12"/>
        <v>Réaliser les travaux de rénovation du réseau d’égouttage (à concurrence de 0.8 à 1.1% /an)…</v>
      </c>
    </row>
    <row r="282" spans="1:25" hidden="1" x14ac:dyDescent="0.25">
      <c r="A282" s="249" t="str">
        <f t="shared" ref="A282:A345" si="14">LEFT(E282,1)</f>
        <v>2</v>
      </c>
      <c r="B282" s="249" t="str">
        <f>VLOOKUP($D282,'[4]1. Mesures'!$A$2:$G$116,6,0)</f>
        <v>OS 2.1</v>
      </c>
      <c r="C282" s="249" t="str">
        <f>VLOOKUP($D282,'[4]1. Mesures'!$A$2:$G$116,7,0)</f>
        <v>OO 2.1.2</v>
      </c>
      <c r="D282" s="249" t="str">
        <f t="shared" si="13"/>
        <v>M 2.3</v>
      </c>
      <c r="E282" s="250" t="s">
        <v>896</v>
      </c>
      <c r="F282" s="249" t="str">
        <f>VLOOKUP(E282,'5.2 Actions'!$A$3:$B$720,2,0)</f>
        <v>Etendre le réseau d’égouttage sur base de la cartographie des zones d’assainissement collectif et autonome.</v>
      </c>
      <c r="G282" s="251" t="str">
        <f>VLOOKUP(E282,'[4]5.2 Actions'!$A$3:$D$718,4,0)</f>
        <v>SEN / WOL / CAN</v>
      </c>
      <c r="H282" s="252">
        <f>VLOOKUP($E282,'5.1 Budget'!$A$4:$H$729,2,0)</f>
        <v>2550000</v>
      </c>
      <c r="I282" s="252">
        <f>VLOOKUP($E282,'5.1 Budget'!$A$4:$H$729,3,0)</f>
        <v>2550000</v>
      </c>
      <c r="J282" s="252">
        <f>VLOOKUP($E282,'5.1 Budget'!$A$4:$H$729,4,0)</f>
        <v>2550000</v>
      </c>
      <c r="K282" s="252">
        <f>VLOOKUP($E282,'5.1 Budget'!$A$4:$H$729,5,0)</f>
        <v>2550000</v>
      </c>
      <c r="L282" s="252">
        <f>VLOOKUP($E282,'5.1 Budget'!$A$4:$H$729,6,0)</f>
        <v>2550000</v>
      </c>
      <c r="M282" s="252">
        <f>VLOOKUP($E282,'5.1 Budget'!$A$4:$H$729,7,0)</f>
        <v>2550000</v>
      </c>
      <c r="N282" s="252">
        <f>VLOOKUP($E282,'5.1 Budget'!$A$4:$H$729,8,0)</f>
        <v>15300000</v>
      </c>
      <c r="V282" t="str">
        <f>VLOOKUP(D282,'[4]1. Mesures'!$A$1:$B$116,2,0)</f>
        <v xml:space="preserve">Rénover et étendre le réseau d'assainissement afin de réduire les concentrations en nitrates d’origine non agricole </v>
      </c>
      <c r="W282" t="str">
        <f>VLOOKUP(B282,[1]HIERARCH!$A$1:$B$57,2,0)</f>
        <v>Assurer la gestion qualitative des masses d'eau souterraine</v>
      </c>
      <c r="X282" t="str">
        <f>VLOOKUP(C282,[1]HIERARCH!$A$2:$B$57,2,0)</f>
        <v>Restaurer la qualité chimique de la masse d’eau des sables du Bruxellien</v>
      </c>
      <c r="Y282" t="str">
        <f t="shared" ref="Y282:Y345" si="15">LEFT(F282,120)&amp;"…"</f>
        <v>Etendre le réseau d’égouttage sur base de la cartographie des zones d’assainissement collectif et autonome.…</v>
      </c>
    </row>
    <row r="283" spans="1:25" hidden="1" x14ac:dyDescent="0.25">
      <c r="A283" s="249" t="str">
        <f t="shared" si="14"/>
        <v>2</v>
      </c>
      <c r="B283" s="249" t="str">
        <f>VLOOKUP($D283,'[4]1. Mesures'!$A$2:$G$116,6,0)</f>
        <v>OS 2.1</v>
      </c>
      <c r="C283" s="249" t="str">
        <f>VLOOKUP($D283,'[4]1. Mesures'!$A$2:$G$116,7,0)</f>
        <v>OO 2.1.2</v>
      </c>
      <c r="D283" s="249" t="str">
        <f t="shared" si="13"/>
        <v>M 2.3</v>
      </c>
      <c r="E283" s="250" t="s">
        <v>897</v>
      </c>
      <c r="F283" s="249" t="str">
        <f>VLOOKUP(E283,'5.2 Actions'!$A$3:$B$720,2,0)</f>
        <v xml:space="preserve">Etablir une programmation des investissements pour la réhabilitation de certains collecteurs avec une priorisation dans les zones à enjeux environnementaux </v>
      </c>
      <c r="G283" s="251" t="str">
        <f>VLOOKUP(E283,'[4]5.2 Actions'!$A$3:$D$718,4,0)</f>
        <v>SEN / WOL / CAN</v>
      </c>
      <c r="H283" s="252">
        <f>VLOOKUP($E283,'5.1 Budget'!$A$4:$H$729,2,0)</f>
        <v>330000</v>
      </c>
      <c r="I283" s="252">
        <f>VLOOKUP($E283,'5.1 Budget'!$A$4:$H$729,3,0)</f>
        <v>330000</v>
      </c>
      <c r="J283" s="252">
        <f>VLOOKUP($E283,'5.1 Budget'!$A$4:$H$729,4,0)</f>
        <v>330000</v>
      </c>
      <c r="K283" s="252">
        <f>VLOOKUP($E283,'5.1 Budget'!$A$4:$H$729,5,0)</f>
        <v>330000</v>
      </c>
      <c r="L283" s="252">
        <f>VLOOKUP($E283,'5.1 Budget'!$A$4:$H$729,6,0)</f>
        <v>330000</v>
      </c>
      <c r="M283" s="252">
        <f>VLOOKUP($E283,'5.1 Budget'!$A$4:$H$729,7,0)</f>
        <v>330000</v>
      </c>
      <c r="N283" s="252">
        <f>VLOOKUP($E283,'5.1 Budget'!$A$4:$H$729,8,0)</f>
        <v>1980000</v>
      </c>
      <c r="V283" t="str">
        <f>VLOOKUP(D283,'[4]1. Mesures'!$A$1:$B$116,2,0)</f>
        <v xml:space="preserve">Rénover et étendre le réseau d'assainissement afin de réduire les concentrations en nitrates d’origine non agricole </v>
      </c>
      <c r="W283" t="str">
        <f>VLOOKUP(B283,[1]HIERARCH!$A$1:$B$57,2,0)</f>
        <v>Assurer la gestion qualitative des masses d'eau souterraine</v>
      </c>
      <c r="X283" t="str">
        <f>VLOOKUP(C283,[1]HIERARCH!$A$2:$B$57,2,0)</f>
        <v>Restaurer la qualité chimique de la masse d’eau des sables du Bruxellien</v>
      </c>
      <c r="Y283" t="str">
        <f t="shared" si="15"/>
        <v>Etablir une programmation des investissements pour la réhabilitation de certains collecteurs avec une priorisation dans …</v>
      </c>
    </row>
    <row r="284" spans="1:25" hidden="1" x14ac:dyDescent="0.25">
      <c r="A284" s="249" t="str">
        <f t="shared" si="14"/>
        <v>2</v>
      </c>
      <c r="B284" s="249" t="str">
        <f>VLOOKUP($D284,'[4]1. Mesures'!$A$2:$G$116,6,0)</f>
        <v>OS 2.1</v>
      </c>
      <c r="C284" s="249" t="str">
        <f>VLOOKUP($D284,'[4]1. Mesures'!$A$2:$G$116,7,0)</f>
        <v>OO 2.1.2</v>
      </c>
      <c r="D284" s="249" t="str">
        <f t="shared" si="13"/>
        <v>M 2.4</v>
      </c>
      <c r="E284" s="250" t="s">
        <v>898</v>
      </c>
      <c r="F284" s="249" t="str">
        <f>VLOOKUP(E284,'5.2 Actions'!$A$3:$B$720,2,0)</f>
        <v>(In)former et soutenir les communes dans leur mise à jour des règlements communaux relatifs à l’égouttage et assurer la cohérence régionale.</v>
      </c>
      <c r="G284" s="251" t="str">
        <f>VLOOKUP(E284,'[4]5.2 Actions'!$A$3:$D$718,4,0)</f>
        <v>SEN / WOL / CAN</v>
      </c>
      <c r="H284" s="252">
        <f>VLOOKUP($E284,'5.1 Budget'!$A$4:$H$729,2,0)</f>
        <v>0</v>
      </c>
      <c r="I284" s="252">
        <f>VLOOKUP($E284,'5.1 Budget'!$A$4:$H$729,3,0)</f>
        <v>0</v>
      </c>
      <c r="J284" s="252">
        <f>VLOOKUP($E284,'5.1 Budget'!$A$4:$H$729,4,0)</f>
        <v>0</v>
      </c>
      <c r="K284" s="252">
        <f>VLOOKUP($E284,'5.1 Budget'!$A$4:$H$729,5,0)</f>
        <v>0</v>
      </c>
      <c r="L284" s="252">
        <f>VLOOKUP($E284,'5.1 Budget'!$A$4:$H$729,6,0)</f>
        <v>0</v>
      </c>
      <c r="M284" s="252">
        <f>VLOOKUP($E284,'5.1 Budget'!$A$4:$H$729,7,0)</f>
        <v>0</v>
      </c>
      <c r="N284" s="252">
        <f>VLOOKUP($E284,'5.1 Budget'!$A$4:$H$729,8,0)</f>
        <v>0</v>
      </c>
      <c r="V284" t="str">
        <f>VLOOKUP(D284,'[4]1. Mesures'!$A$1:$B$116,2,0)</f>
        <v>Contraindre le raccordement au réseau d’égouttage existant ou à l'installation d'un système d'épuration  individuelle dans les zones non égouttées et renforcer le contrôle de ces obligations</v>
      </c>
      <c r="W284" t="str">
        <f>VLOOKUP(B284,[1]HIERARCH!$A$1:$B$57,2,0)</f>
        <v>Assurer la gestion qualitative des masses d'eau souterraine</v>
      </c>
      <c r="X284" t="str">
        <f>VLOOKUP(C284,[1]HIERARCH!$A$2:$B$57,2,0)</f>
        <v>Restaurer la qualité chimique de la masse d’eau des sables du Bruxellien</v>
      </c>
      <c r="Y284" t="str">
        <f t="shared" si="15"/>
        <v>(In)former et soutenir les communes dans leur mise à jour des règlements communaux relatifs à l’égouttage et assurer la …</v>
      </c>
    </row>
    <row r="285" spans="1:25" hidden="1" x14ac:dyDescent="0.25">
      <c r="A285" s="249" t="str">
        <f t="shared" si="14"/>
        <v>2</v>
      </c>
      <c r="B285" s="249" t="str">
        <f>VLOOKUP($D285,'[4]1. Mesures'!$A$2:$G$116,6,0)</f>
        <v>OS 2.1</v>
      </c>
      <c r="C285" s="249" t="str">
        <f>VLOOKUP($D285,'[4]1. Mesures'!$A$2:$G$116,7,0)</f>
        <v>OO 2.1.2</v>
      </c>
      <c r="D285" s="249" t="str">
        <f t="shared" si="13"/>
        <v>M 2.4</v>
      </c>
      <c r="E285" s="250" t="s">
        <v>899</v>
      </c>
      <c r="F285" s="249" t="str">
        <f>VLOOKUP(E285,'5.2 Actions'!$A$3:$B$720,2,0)</f>
        <v>Informer les habitants de leur obligation de raccordement, en priorité là où des tronçons d’égouttage ont été récemment installés ou sont en cours de pose, et à terme, à toute la zone d’assainissement collectif</v>
      </c>
      <c r="G285" s="251" t="str">
        <f>VLOOKUP(E285,'[4]5.2 Actions'!$A$3:$D$718,4,0)</f>
        <v>SEN / WOL / CAN</v>
      </c>
      <c r="H285" s="252">
        <f>VLOOKUP($E285,'5.1 Budget'!$A$4:$H$729,2,0)</f>
        <v>0</v>
      </c>
      <c r="I285" s="252">
        <f>VLOOKUP($E285,'5.1 Budget'!$A$4:$H$729,3,0)</f>
        <v>0</v>
      </c>
      <c r="J285" s="252">
        <f>VLOOKUP($E285,'5.1 Budget'!$A$4:$H$729,4,0)</f>
        <v>0</v>
      </c>
      <c r="K285" s="252">
        <f>VLOOKUP($E285,'5.1 Budget'!$A$4:$H$729,5,0)</f>
        <v>0</v>
      </c>
      <c r="L285" s="252">
        <f>VLOOKUP($E285,'5.1 Budget'!$A$4:$H$729,6,0)</f>
        <v>0</v>
      </c>
      <c r="M285" s="252">
        <f>VLOOKUP($E285,'5.1 Budget'!$A$4:$H$729,7,0)</f>
        <v>0</v>
      </c>
      <c r="N285" s="252">
        <f>VLOOKUP($E285,'5.1 Budget'!$A$4:$H$729,8,0)</f>
        <v>0</v>
      </c>
      <c r="V285" t="str">
        <f>VLOOKUP(D285,'[4]1. Mesures'!$A$1:$B$116,2,0)</f>
        <v>Contraindre le raccordement au réseau d’égouttage existant ou à l'installation d'un système d'épuration  individuelle dans les zones non égouttées et renforcer le contrôle de ces obligations</v>
      </c>
      <c r="W285" t="str">
        <f>VLOOKUP(B285,[1]HIERARCH!$A$1:$B$57,2,0)</f>
        <v>Assurer la gestion qualitative des masses d'eau souterraine</v>
      </c>
      <c r="X285" t="str">
        <f>VLOOKUP(C285,[1]HIERARCH!$A$2:$B$57,2,0)</f>
        <v>Restaurer la qualité chimique de la masse d’eau des sables du Bruxellien</v>
      </c>
      <c r="Y285" t="str">
        <f t="shared" si="15"/>
        <v>Informer les habitants de leur obligation de raccordement, en priorité là où des tronçons d’égouttage ont été récemment …</v>
      </c>
    </row>
    <row r="286" spans="1:25" hidden="1" x14ac:dyDescent="0.25">
      <c r="A286" s="249" t="str">
        <f t="shared" si="14"/>
        <v>2</v>
      </c>
      <c r="B286" s="249" t="str">
        <f>VLOOKUP($D286,'[4]1. Mesures'!$A$2:$G$116,6,0)</f>
        <v>OS 2.1</v>
      </c>
      <c r="C286" s="249" t="str">
        <f>VLOOKUP($D286,'[4]1. Mesures'!$A$2:$G$116,7,0)</f>
        <v>OO 2.1.2</v>
      </c>
      <c r="D286" s="249" t="str">
        <f t="shared" si="13"/>
        <v>M 2.4</v>
      </c>
      <c r="E286" s="250" t="s">
        <v>900</v>
      </c>
      <c r="F286" s="249" t="str">
        <f>VLOOKUP(E286,'5.2 Actions'!$A$3:$B$720,2,0)</f>
        <v>Contrôler le raccordement effectif au réseau d’égouttage en priorité pour les tronçons récemment égouttés et à terme pour l’ensemble du réseau d’assainissement collectif présent sur le territoire bruxellois</v>
      </c>
      <c r="G286" s="251" t="str">
        <f>VLOOKUP(E286,'[4]5.2 Actions'!$A$3:$D$718,4,0)</f>
        <v>SEN / WOL / CAN</v>
      </c>
      <c r="H286" s="252">
        <f>VLOOKUP($E286,'5.1 Budget'!$A$4:$H$729,2,0)</f>
        <v>0</v>
      </c>
      <c r="I286" s="252">
        <f>VLOOKUP($E286,'5.1 Budget'!$A$4:$H$729,3,0)</f>
        <v>0</v>
      </c>
      <c r="J286" s="252">
        <f>VLOOKUP($E286,'5.1 Budget'!$A$4:$H$729,4,0)</f>
        <v>0</v>
      </c>
      <c r="K286" s="252">
        <f>VLOOKUP($E286,'5.1 Budget'!$A$4:$H$729,5,0)</f>
        <v>0</v>
      </c>
      <c r="L286" s="252">
        <f>VLOOKUP($E286,'5.1 Budget'!$A$4:$H$729,6,0)</f>
        <v>0</v>
      </c>
      <c r="M286" s="252">
        <f>VLOOKUP($E286,'5.1 Budget'!$A$4:$H$729,7,0)</f>
        <v>0</v>
      </c>
      <c r="N286" s="252">
        <f>VLOOKUP($E286,'5.1 Budget'!$A$4:$H$729,8,0)</f>
        <v>0</v>
      </c>
      <c r="V286" t="str">
        <f>VLOOKUP(D286,'[4]1. Mesures'!$A$1:$B$116,2,0)</f>
        <v>Contraindre le raccordement au réseau d’égouttage existant ou à l'installation d'un système d'épuration  individuelle dans les zones non égouttées et renforcer le contrôle de ces obligations</v>
      </c>
      <c r="W286" t="str">
        <f>VLOOKUP(B286,[1]HIERARCH!$A$1:$B$57,2,0)</f>
        <v>Assurer la gestion qualitative des masses d'eau souterraine</v>
      </c>
      <c r="X286" t="str">
        <f>VLOOKUP(C286,[1]HIERARCH!$A$2:$B$57,2,0)</f>
        <v>Restaurer la qualité chimique de la masse d’eau des sables du Bruxellien</v>
      </c>
      <c r="Y286" t="str">
        <f t="shared" si="15"/>
        <v>Contrôler le raccordement effectif au réseau d’égouttage en priorité pour les tronçons récemment égouttés et à terme pou…</v>
      </c>
    </row>
    <row r="287" spans="1:25" hidden="1" x14ac:dyDescent="0.25">
      <c r="A287" s="249" t="str">
        <f t="shared" si="14"/>
        <v>2</v>
      </c>
      <c r="B287" s="249" t="str">
        <f>VLOOKUP($D287,'[4]1. Mesures'!$A$2:$G$116,6,0)</f>
        <v>OS 2.1</v>
      </c>
      <c r="C287" s="249" t="str">
        <f>VLOOKUP($D287,'[4]1. Mesures'!$A$2:$G$116,7,0)</f>
        <v>OO 2.1.2</v>
      </c>
      <c r="D287" s="249" t="str">
        <f t="shared" si="13"/>
        <v>M 2.4</v>
      </c>
      <c r="E287" s="250" t="s">
        <v>901</v>
      </c>
      <c r="F287" s="249" t="str">
        <f>VLOOKUP(E287,'5.2 Actions'!$A$3:$B$720,2,0)</f>
        <v>Etablir l’inventaire des systèmes d’épuration et de dispersion dans les zones non égouttées et non égouttables, faisant l’objet d’un permis d’environnement</v>
      </c>
      <c r="G287" s="251" t="str">
        <f>VLOOKUP(E287,'[4]5.2 Actions'!$A$3:$D$718,4,0)</f>
        <v>SEN / WOL / CAN</v>
      </c>
      <c r="H287" s="252">
        <f>VLOOKUP($E287,'5.1 Budget'!$A$4:$H$729,2,0)</f>
        <v>0</v>
      </c>
      <c r="I287" s="252">
        <f>VLOOKUP($E287,'5.1 Budget'!$A$4:$H$729,3,0)</f>
        <v>0</v>
      </c>
      <c r="J287" s="252">
        <f>VLOOKUP($E287,'5.1 Budget'!$A$4:$H$729,4,0)</f>
        <v>0</v>
      </c>
      <c r="K287" s="252">
        <f>VLOOKUP($E287,'5.1 Budget'!$A$4:$H$729,5,0)</f>
        <v>0</v>
      </c>
      <c r="L287" s="252">
        <f>VLOOKUP($E287,'5.1 Budget'!$A$4:$H$729,6,0)</f>
        <v>0</v>
      </c>
      <c r="M287" s="252">
        <f>VLOOKUP($E287,'5.1 Budget'!$A$4:$H$729,7,0)</f>
        <v>0</v>
      </c>
      <c r="N287" s="252">
        <f>VLOOKUP($E287,'5.1 Budget'!$A$4:$H$729,8,0)</f>
        <v>0</v>
      </c>
      <c r="V287" t="str">
        <f>VLOOKUP(D287,'[4]1. Mesures'!$A$1:$B$116,2,0)</f>
        <v>Contraindre le raccordement au réseau d’égouttage existant ou à l'installation d'un système d'épuration  individuelle dans les zones non égouttées et renforcer le contrôle de ces obligations</v>
      </c>
      <c r="W287" t="str">
        <f>VLOOKUP(B287,[1]HIERARCH!$A$1:$B$57,2,0)</f>
        <v>Assurer la gestion qualitative des masses d'eau souterraine</v>
      </c>
      <c r="X287" t="str">
        <f>VLOOKUP(C287,[1]HIERARCH!$A$2:$B$57,2,0)</f>
        <v>Restaurer la qualité chimique de la masse d’eau des sables du Bruxellien</v>
      </c>
      <c r="Y287" t="str">
        <f t="shared" si="15"/>
        <v>Etablir l’inventaire des systèmes d’épuration et de dispersion dans les zones non égouttées et non égouttables, faisant …</v>
      </c>
    </row>
    <row r="288" spans="1:25" hidden="1" x14ac:dyDescent="0.25">
      <c r="A288" s="249" t="str">
        <f t="shared" si="14"/>
        <v>2</v>
      </c>
      <c r="B288" s="249" t="str">
        <f>VLOOKUP($D288,'[4]1. Mesures'!$A$2:$G$116,6,0)</f>
        <v>OS 2.1</v>
      </c>
      <c r="C288" s="249" t="str">
        <f>VLOOKUP($D288,'[4]1. Mesures'!$A$2:$G$116,7,0)</f>
        <v>OO 2.1.2</v>
      </c>
      <c r="D288" s="249" t="str">
        <f t="shared" si="13"/>
        <v>M 2.4</v>
      </c>
      <c r="E288" s="250" t="s">
        <v>902</v>
      </c>
      <c r="F288" s="249" t="str">
        <f>VLOOKUP(E288,'5.2 Actions'!$A$3:$B$720,2,0)</f>
        <v>Mettre en place un cadre règlementaire précis pour les systèmes d’épuration individuels et un système de contrôle et d’entretien de ces systèmes</v>
      </c>
      <c r="G288" s="251" t="str">
        <f>VLOOKUP(E288,'[4]5.2 Actions'!$A$3:$D$718,4,0)</f>
        <v>SEN / WOL / CAN</v>
      </c>
      <c r="H288" s="252">
        <f>VLOOKUP($E288,'5.1 Budget'!$A$4:$H$729,2,0)</f>
        <v>0</v>
      </c>
      <c r="I288" s="252">
        <f>VLOOKUP($E288,'5.1 Budget'!$A$4:$H$729,3,0)</f>
        <v>0</v>
      </c>
      <c r="J288" s="252">
        <f>VLOOKUP($E288,'5.1 Budget'!$A$4:$H$729,4,0)</f>
        <v>0</v>
      </c>
      <c r="K288" s="252">
        <f>VLOOKUP($E288,'5.1 Budget'!$A$4:$H$729,5,0)</f>
        <v>0</v>
      </c>
      <c r="L288" s="252">
        <f>VLOOKUP($E288,'5.1 Budget'!$A$4:$H$729,6,0)</f>
        <v>0</v>
      </c>
      <c r="M288" s="252">
        <f>VLOOKUP($E288,'5.1 Budget'!$A$4:$H$729,7,0)</f>
        <v>0</v>
      </c>
      <c r="N288" s="252">
        <f>VLOOKUP($E288,'5.1 Budget'!$A$4:$H$729,8,0)</f>
        <v>0</v>
      </c>
      <c r="V288" t="str">
        <f>VLOOKUP(D288,'[4]1. Mesures'!$A$1:$B$116,2,0)</f>
        <v>Contraindre le raccordement au réseau d’égouttage existant ou à l'installation d'un système d'épuration  individuelle dans les zones non égouttées et renforcer le contrôle de ces obligations</v>
      </c>
      <c r="W288" t="str">
        <f>VLOOKUP(B288,[1]HIERARCH!$A$1:$B$57,2,0)</f>
        <v>Assurer la gestion qualitative des masses d'eau souterraine</v>
      </c>
      <c r="X288" t="str">
        <f>VLOOKUP(C288,[1]HIERARCH!$A$2:$B$57,2,0)</f>
        <v>Restaurer la qualité chimique de la masse d’eau des sables du Bruxellien</v>
      </c>
      <c r="Y288" t="str">
        <f t="shared" si="15"/>
        <v>Mettre en place un cadre règlementaire précis pour les systèmes d’épuration individuels et un système de contrôle et d’e…</v>
      </c>
    </row>
    <row r="289" spans="1:25" hidden="1" x14ac:dyDescent="0.25">
      <c r="A289" s="249" t="str">
        <f t="shared" si="14"/>
        <v>2</v>
      </c>
      <c r="B289" s="249" t="str">
        <f>VLOOKUP($D289,'[4]1. Mesures'!$A$2:$G$116,6,0)</f>
        <v>OS 2.1</v>
      </c>
      <c r="C289" s="249" t="str">
        <f>VLOOKUP($D289,'[4]1. Mesures'!$A$2:$G$116,7,0)</f>
        <v>OO 2.1.2</v>
      </c>
      <c r="D289" s="249" t="str">
        <f t="shared" si="13"/>
        <v>M 2.4</v>
      </c>
      <c r="E289" s="250" t="s">
        <v>903</v>
      </c>
      <c r="F289" s="249" t="str">
        <f>VLOOKUP(E289,'5.2 Actions'!$A$3:$B$720,2,0)</f>
        <v>Informer et contraindre tout habitant se trouvant dans la zone d’assainissement autonome à la mise en place d’un système d’épuration individuel performant et supprimer si possible les puits perdants, en priorité dans les zones de protection des captages destinées à la consommation humaine et où des écosystèmes aquatiques et terrestres sont présents</v>
      </c>
      <c r="G289" s="251" t="str">
        <f>VLOOKUP(E289,'[4]5.2 Actions'!$A$3:$D$718,4,0)</f>
        <v>SEN / WOL / CAN</v>
      </c>
      <c r="H289" s="252">
        <f>VLOOKUP($E289,'5.1 Budget'!$A$4:$H$729,2,0)</f>
        <v>0</v>
      </c>
      <c r="I289" s="252">
        <f>VLOOKUP($E289,'5.1 Budget'!$A$4:$H$729,3,0)</f>
        <v>0</v>
      </c>
      <c r="J289" s="252">
        <f>VLOOKUP($E289,'5.1 Budget'!$A$4:$H$729,4,0)</f>
        <v>0</v>
      </c>
      <c r="K289" s="252">
        <f>VLOOKUP($E289,'5.1 Budget'!$A$4:$H$729,5,0)</f>
        <v>0</v>
      </c>
      <c r="L289" s="252">
        <f>VLOOKUP($E289,'5.1 Budget'!$A$4:$H$729,6,0)</f>
        <v>0</v>
      </c>
      <c r="M289" s="252">
        <f>VLOOKUP($E289,'5.1 Budget'!$A$4:$H$729,7,0)</f>
        <v>0</v>
      </c>
      <c r="N289" s="252">
        <f>VLOOKUP($E289,'5.1 Budget'!$A$4:$H$729,8,0)</f>
        <v>0</v>
      </c>
      <c r="V289" t="str">
        <f>VLOOKUP(D289,'[4]1. Mesures'!$A$1:$B$116,2,0)</f>
        <v>Contraindre le raccordement au réseau d’égouttage existant ou à l'installation d'un système d'épuration  individuelle dans les zones non égouttées et renforcer le contrôle de ces obligations</v>
      </c>
      <c r="W289" t="str">
        <f>VLOOKUP(B289,[1]HIERARCH!$A$1:$B$57,2,0)</f>
        <v>Assurer la gestion qualitative des masses d'eau souterraine</v>
      </c>
      <c r="X289" t="str">
        <f>VLOOKUP(C289,[1]HIERARCH!$A$2:$B$57,2,0)</f>
        <v>Restaurer la qualité chimique de la masse d’eau des sables du Bruxellien</v>
      </c>
      <c r="Y289" t="str">
        <f t="shared" si="15"/>
        <v>Informer et contraindre tout habitant se trouvant dans la zone d’assainissement autonome à la mise en place d’un système…</v>
      </c>
    </row>
    <row r="290" spans="1:25" hidden="1" x14ac:dyDescent="0.25">
      <c r="A290" s="249" t="str">
        <f t="shared" si="14"/>
        <v>2</v>
      </c>
      <c r="B290" s="249" t="str">
        <f>VLOOKUP($D290,'[4]1. Mesures'!$A$2:$G$116,6,0)</f>
        <v>OS 2.1</v>
      </c>
      <c r="C290" s="249" t="str">
        <f>VLOOKUP($D290,'[4]1. Mesures'!$A$2:$G$116,7,0)</f>
        <v>OO 2.1.2</v>
      </c>
      <c r="D290" s="249" t="str">
        <f t="shared" si="13"/>
        <v>M 2.5</v>
      </c>
      <c r="E290" s="250" t="s">
        <v>904</v>
      </c>
      <c r="F290" s="249" t="str">
        <f>VLOOKUP(E290,'5.2 Actions'!$A$3:$B$720,2,0)</f>
        <v xml:space="preserve">Approfondir l’analyse liée à la légère augmentation statistique en nitrates des zones faiblement urbanisée et analyser des pressions qui pourraient y être liées </v>
      </c>
      <c r="G290" s="251" t="str">
        <f>VLOOKUP(E290,'[4]5.2 Actions'!$A$3:$D$718,4,0)</f>
        <v>SEN / WOL / CAN</v>
      </c>
      <c r="H290" s="252">
        <f>VLOOKUP($E290,'5.1 Budget'!$A$4:$H$729,2,0)</f>
        <v>0</v>
      </c>
      <c r="I290" s="252">
        <f>VLOOKUP($E290,'5.1 Budget'!$A$4:$H$729,3,0)</f>
        <v>0</v>
      </c>
      <c r="J290" s="252">
        <f>VLOOKUP($E290,'5.1 Budget'!$A$4:$H$729,4,0)</f>
        <v>50000</v>
      </c>
      <c r="K290" s="252">
        <f>VLOOKUP($E290,'5.1 Budget'!$A$4:$H$729,5,0)</f>
        <v>0</v>
      </c>
      <c r="L290" s="252">
        <f>VLOOKUP($E290,'5.1 Budget'!$A$4:$H$729,6,0)</f>
        <v>0</v>
      </c>
      <c r="M290" s="252">
        <f>VLOOKUP($E290,'5.1 Budget'!$A$4:$H$729,7,0)</f>
        <v>0</v>
      </c>
      <c r="N290" s="252">
        <f>VLOOKUP($E290,'5.1 Budget'!$A$4:$H$729,8,0)</f>
        <v>50000</v>
      </c>
      <c r="V290" t="str">
        <f>VLOOKUP(D290,'[4]1. Mesures'!$A$1:$B$116,2,0)</f>
        <v xml:space="preserve">Approfondir l’analyse de la problématique des nitrates d’origine agricole et assimilés, mettre en œuvre les mesures d’atténuation nécessaires et sensibiliser à une bonne pratique agricole et maraichère </v>
      </c>
      <c r="W290" t="str">
        <f>VLOOKUP(B290,[1]HIERARCH!$A$1:$B$57,2,0)</f>
        <v>Assurer la gestion qualitative des masses d'eau souterraine</v>
      </c>
      <c r="X290" t="str">
        <f>VLOOKUP(C290,[1]HIERARCH!$A$2:$B$57,2,0)</f>
        <v>Restaurer la qualité chimique de la masse d’eau des sables du Bruxellien</v>
      </c>
      <c r="Y290" t="str">
        <f t="shared" si="15"/>
        <v>Approfondir l’analyse liée à la légère augmentation statistique en nitrates des zones faiblement urbanisée et analyser d…</v>
      </c>
    </row>
    <row r="291" spans="1:25" hidden="1" x14ac:dyDescent="0.25">
      <c r="A291" s="249" t="str">
        <f t="shared" si="14"/>
        <v>2</v>
      </c>
      <c r="B291" s="249" t="str">
        <f>VLOOKUP($D291,'[4]1. Mesures'!$A$2:$G$116,6,0)</f>
        <v>OS 2.1</v>
      </c>
      <c r="C291" s="249" t="str">
        <f>VLOOKUP($D291,'[4]1. Mesures'!$A$2:$G$116,7,0)</f>
        <v>OO 2.1.2</v>
      </c>
      <c r="D291" s="249" t="str">
        <f t="shared" si="13"/>
        <v>M 2.5</v>
      </c>
      <c r="E291" s="250" t="s">
        <v>905</v>
      </c>
      <c r="F291" s="249" t="str">
        <f>VLOOKUP(E291,'5.2 Actions'!$A$3:$B$720,2,0)</f>
        <v>Si nécessaire sur base de l’analyse en 2.5.1, contrôler le respect des conditions d’exploiter pour les exploitations à risques nitriques autorisées par permis d’environnement</v>
      </c>
      <c r="G291" s="251" t="str">
        <f>VLOOKUP(E291,'[4]5.2 Actions'!$A$3:$D$718,4,0)</f>
        <v>SEN / WOL / CAN</v>
      </c>
      <c r="H291" s="252">
        <f>VLOOKUP($E291,'5.1 Budget'!$A$4:$H$729,2,0)</f>
        <v>0</v>
      </c>
      <c r="I291" s="252">
        <f>VLOOKUP($E291,'5.1 Budget'!$A$4:$H$729,3,0)</f>
        <v>0</v>
      </c>
      <c r="J291" s="252">
        <f>VLOOKUP($E291,'5.1 Budget'!$A$4:$H$729,4,0)</f>
        <v>0</v>
      </c>
      <c r="K291" s="252">
        <f>VLOOKUP($E291,'5.1 Budget'!$A$4:$H$729,5,0)</f>
        <v>0</v>
      </c>
      <c r="L291" s="252">
        <f>VLOOKUP($E291,'5.1 Budget'!$A$4:$H$729,6,0)</f>
        <v>0</v>
      </c>
      <c r="M291" s="252">
        <f>VLOOKUP($E291,'5.1 Budget'!$A$4:$H$729,7,0)</f>
        <v>0</v>
      </c>
      <c r="N291" s="252">
        <f>VLOOKUP($E291,'5.1 Budget'!$A$4:$H$729,8,0)</f>
        <v>0</v>
      </c>
      <c r="V291" t="str">
        <f>VLOOKUP(D291,'[4]1. Mesures'!$A$1:$B$116,2,0)</f>
        <v xml:space="preserve">Approfondir l’analyse de la problématique des nitrates d’origine agricole et assimilés, mettre en œuvre les mesures d’atténuation nécessaires et sensibiliser à une bonne pratique agricole et maraichère </v>
      </c>
      <c r="W291" t="str">
        <f>VLOOKUP(B291,[1]HIERARCH!$A$1:$B$57,2,0)</f>
        <v>Assurer la gestion qualitative des masses d'eau souterraine</v>
      </c>
      <c r="X291" t="str">
        <f>VLOOKUP(C291,[1]HIERARCH!$A$2:$B$57,2,0)</f>
        <v>Restaurer la qualité chimique de la masse d’eau des sables du Bruxellien</v>
      </c>
      <c r="Y291" t="str">
        <f t="shared" si="15"/>
        <v>Si nécessaire sur base de l’analyse en 2.5.1, contrôler le respect des conditions d’exploiter pour les exploitations à r…</v>
      </c>
    </row>
    <row r="292" spans="1:25" hidden="1" x14ac:dyDescent="0.25">
      <c r="A292" s="249" t="str">
        <f t="shared" si="14"/>
        <v>2</v>
      </c>
      <c r="B292" s="249" t="str">
        <f>VLOOKUP($D292,'[4]1. Mesures'!$A$2:$G$116,6,0)</f>
        <v>OS 2.1</v>
      </c>
      <c r="C292" s="249" t="str">
        <f>VLOOKUP($D292,'[4]1. Mesures'!$A$2:$G$116,7,0)</f>
        <v>OO 2.1.2</v>
      </c>
      <c r="D292" s="249" t="str">
        <f t="shared" si="13"/>
        <v>M 2.5</v>
      </c>
      <c r="E292" s="250" t="s">
        <v>906</v>
      </c>
      <c r="F292" s="249" t="str">
        <f>VLOOKUP(E292,'5.2 Actions'!$A$3:$B$720,2,0)</f>
        <v>Si nécessaire, revoir l’AGRBC du 19 novembre afin d’en garantir une meilleure applicabilité par les activités agricoles présentes sur le territoire bruxellois et y adapter le code de Bonnes Pratiques</v>
      </c>
      <c r="G292" s="251" t="str">
        <f>VLOOKUP(E292,'[4]5.2 Actions'!$A$3:$D$718,4,0)</f>
        <v>SEN / WOL / CAN</v>
      </c>
      <c r="H292" s="252">
        <f>VLOOKUP($E292,'5.1 Budget'!$A$4:$H$729,2,0)</f>
        <v>0</v>
      </c>
      <c r="I292" s="252">
        <f>VLOOKUP($E292,'5.1 Budget'!$A$4:$H$729,3,0)</f>
        <v>0</v>
      </c>
      <c r="J292" s="252">
        <f>VLOOKUP($E292,'5.1 Budget'!$A$4:$H$729,4,0)</f>
        <v>0</v>
      </c>
      <c r="K292" s="252">
        <f>VLOOKUP($E292,'5.1 Budget'!$A$4:$H$729,5,0)</f>
        <v>0</v>
      </c>
      <c r="L292" s="252">
        <f>VLOOKUP($E292,'5.1 Budget'!$A$4:$H$729,6,0)</f>
        <v>0</v>
      </c>
      <c r="M292" s="252">
        <f>VLOOKUP($E292,'5.1 Budget'!$A$4:$H$729,7,0)</f>
        <v>0</v>
      </c>
      <c r="N292" s="252">
        <f>VLOOKUP($E292,'5.1 Budget'!$A$4:$H$729,8,0)</f>
        <v>0</v>
      </c>
      <c r="V292" t="str">
        <f>VLOOKUP(D292,'[4]1. Mesures'!$A$1:$B$116,2,0)</f>
        <v xml:space="preserve">Approfondir l’analyse de la problématique des nitrates d’origine agricole et assimilés, mettre en œuvre les mesures d’atténuation nécessaires et sensibiliser à une bonne pratique agricole et maraichère </v>
      </c>
      <c r="W292" t="str">
        <f>VLOOKUP(B292,[1]HIERARCH!$A$1:$B$57,2,0)</f>
        <v>Assurer la gestion qualitative des masses d'eau souterraine</v>
      </c>
      <c r="X292" t="str">
        <f>VLOOKUP(C292,[1]HIERARCH!$A$2:$B$57,2,0)</f>
        <v>Restaurer la qualité chimique de la masse d’eau des sables du Bruxellien</v>
      </c>
      <c r="Y292" t="str">
        <f t="shared" si="15"/>
        <v>Si nécessaire, revoir l’AGRBC du 19 novembre afin d’en garantir une meilleure applicabilité par les activités agricoles …</v>
      </c>
    </row>
    <row r="293" spans="1:25" hidden="1" x14ac:dyDescent="0.25">
      <c r="A293" s="249" t="str">
        <f t="shared" si="14"/>
        <v>2</v>
      </c>
      <c r="B293" s="249" t="str">
        <f>VLOOKUP($D293,'[4]1. Mesures'!$A$2:$G$116,6,0)</f>
        <v>OS 2.1</v>
      </c>
      <c r="C293" s="249" t="str">
        <f>VLOOKUP($D293,'[4]1. Mesures'!$A$2:$G$116,7,0)</f>
        <v>OO 2.1.2</v>
      </c>
      <c r="D293" s="249" t="str">
        <f t="shared" si="13"/>
        <v>M 2.5</v>
      </c>
      <c r="E293" s="250" t="s">
        <v>907</v>
      </c>
      <c r="F293" s="249" t="str">
        <f>VLOOKUP(E293,'5.2 Actions'!$A$3:$B$720,2,0)</f>
        <v>Editer une brochure de sensibilisation à l’égard des exploitants, notamment sur base du Code de Bonnes Pratiques</v>
      </c>
      <c r="G293" s="251" t="str">
        <f>VLOOKUP(E293,'[4]5.2 Actions'!$A$3:$D$718,4,0)</f>
        <v>SEN / WOL / CAN</v>
      </c>
      <c r="H293" s="252">
        <f>VLOOKUP($E293,'5.1 Budget'!$A$4:$H$729,2,0)</f>
        <v>0</v>
      </c>
      <c r="I293" s="252">
        <f>VLOOKUP($E293,'5.1 Budget'!$A$4:$H$729,3,0)</f>
        <v>0</v>
      </c>
      <c r="J293" s="252">
        <f>VLOOKUP($E293,'5.1 Budget'!$A$4:$H$729,4,0)</f>
        <v>0</v>
      </c>
      <c r="K293" s="252">
        <f>VLOOKUP($E293,'5.1 Budget'!$A$4:$H$729,5,0)</f>
        <v>50000</v>
      </c>
      <c r="L293" s="252">
        <f>VLOOKUP($E293,'5.1 Budget'!$A$4:$H$729,6,0)</f>
        <v>0</v>
      </c>
      <c r="M293" s="252">
        <f>VLOOKUP($E293,'5.1 Budget'!$A$4:$H$729,7,0)</f>
        <v>0</v>
      </c>
      <c r="N293" s="252">
        <f>VLOOKUP($E293,'5.1 Budget'!$A$4:$H$729,8,0)</f>
        <v>50000</v>
      </c>
      <c r="V293" t="str">
        <f>VLOOKUP(D293,'[4]1. Mesures'!$A$1:$B$116,2,0)</f>
        <v xml:space="preserve">Approfondir l’analyse de la problématique des nitrates d’origine agricole et assimilés, mettre en œuvre les mesures d’atténuation nécessaires et sensibiliser à une bonne pratique agricole et maraichère </v>
      </c>
      <c r="W293" t="str">
        <f>VLOOKUP(B293,[1]HIERARCH!$A$1:$B$57,2,0)</f>
        <v>Assurer la gestion qualitative des masses d'eau souterraine</v>
      </c>
      <c r="X293" t="str">
        <f>VLOOKUP(C293,[1]HIERARCH!$A$2:$B$57,2,0)</f>
        <v>Restaurer la qualité chimique de la masse d’eau des sables du Bruxellien</v>
      </c>
      <c r="Y293" t="str">
        <f t="shared" si="15"/>
        <v>Editer une brochure de sensibilisation à l’égard des exploitants, notamment sur base du Code de Bonnes Pratiques…</v>
      </c>
    </row>
    <row r="294" spans="1:25" hidden="1" x14ac:dyDescent="0.25">
      <c r="A294" s="249" t="str">
        <f t="shared" si="14"/>
        <v>2</v>
      </c>
      <c r="B294" s="249" t="str">
        <f>VLOOKUP($D294,'[4]1. Mesures'!$A$2:$G$116,6,0)</f>
        <v>OS 2.1</v>
      </c>
      <c r="C294" s="249" t="str">
        <f>VLOOKUP($D294,'[4]1. Mesures'!$A$2:$G$116,7,0)</f>
        <v>OO 2.1.3</v>
      </c>
      <c r="D294" s="249" t="str">
        <f t="shared" si="13"/>
        <v>M 2.6</v>
      </c>
      <c r="E294" s="250" t="s">
        <v>911</v>
      </c>
      <c r="F294" s="249" t="str">
        <f>VLOOKUP(E294,'5.2 Actions'!$A$3:$B$720,2,0)</f>
        <v>Identifier les sources de la pollution au tétrachloroéthylène (cf. M.2.1 et M.3.3)</v>
      </c>
      <c r="G294" s="251" t="str">
        <f>VLOOKUP(E294,'[4]5.2 Actions'!$A$3:$D$718,4,0)</f>
        <v>SEN / WOL / CAN</v>
      </c>
      <c r="H294" s="252">
        <f>VLOOKUP($E294,'5.1 Budget'!$A$4:$H$729,2,0)</f>
        <v>0</v>
      </c>
      <c r="I294" s="252">
        <f>VLOOKUP($E294,'5.1 Budget'!$A$4:$H$729,3,0)</f>
        <v>0</v>
      </c>
      <c r="J294" s="252">
        <f>VLOOKUP($E294,'5.1 Budget'!$A$4:$H$729,4,0)</f>
        <v>0</v>
      </c>
      <c r="K294" s="252">
        <f>VLOOKUP($E294,'5.1 Budget'!$A$4:$H$729,5,0)</f>
        <v>0</v>
      </c>
      <c r="L294" s="252">
        <f>VLOOKUP($E294,'5.1 Budget'!$A$4:$H$729,6,0)</f>
        <v>0</v>
      </c>
      <c r="M294" s="252">
        <f>VLOOKUP($E294,'5.1 Budget'!$A$4:$H$729,7,0)</f>
        <v>0</v>
      </c>
      <c r="N294" s="252">
        <f>VLOOKUP($E294,'5.1 Budget'!$A$4:$H$729,8,0)</f>
        <v>0</v>
      </c>
      <c r="V294" t="str">
        <f>VLOOKUP(D294,'[4]1. Mesures'!$A$1:$B$116,2,0)</f>
        <v>Interdire les rejets directs, prévenir et limiter les rejets indirects  à l’égard du tétrachloroéthylène et renforcer les contrôles dans la masse d’eau des sables du Bruxellien</v>
      </c>
      <c r="W294" t="str">
        <f>VLOOKUP(B294,[1]HIERARCH!$A$1:$B$57,2,0)</f>
        <v>Assurer la gestion qualitative des masses d'eau souterraine</v>
      </c>
      <c r="X294" t="str">
        <f>VLOOKUP(C294,[1]HIERARCH!$A$2:$B$57,2,0)</f>
        <v>Inverser la tendance à la hausse significative et durable à l'égard des polluants présents dans les masses d’eau souterraine</v>
      </c>
      <c r="Y294" t="str">
        <f t="shared" si="15"/>
        <v>Identifier les sources de la pollution au tétrachloroéthylène (cf. M.2.1 et M.3.3)…</v>
      </c>
    </row>
    <row r="295" spans="1:25" hidden="1" x14ac:dyDescent="0.25">
      <c r="A295" s="249" t="str">
        <f t="shared" si="14"/>
        <v>2</v>
      </c>
      <c r="B295" s="249" t="str">
        <f>VLOOKUP($D295,'[4]1. Mesures'!$A$2:$G$116,6,0)</f>
        <v>OS 2.1</v>
      </c>
      <c r="C295" s="249" t="str">
        <f>VLOOKUP($D295,'[4]1. Mesures'!$A$2:$G$116,7,0)</f>
        <v>OO 2.1.3</v>
      </c>
      <c r="D295" s="249" t="str">
        <f t="shared" si="13"/>
        <v>M 2.6</v>
      </c>
      <c r="E295" s="250" t="s">
        <v>912</v>
      </c>
      <c r="F295" s="249" t="str">
        <f>VLOOKUP(E295,'5.2 Actions'!$A$3:$B$720,2,0)</f>
        <v>Poursuivre l’inventaire de l’état des sols pollués en matière de tétrachloroéthylène et les composés organochlorés volatils et le cartographier (cf. M.2.1 et M.3.3)</v>
      </c>
      <c r="G295" s="251" t="str">
        <f>VLOOKUP(E295,'[4]5.2 Actions'!$A$3:$D$718,4,0)</f>
        <v>SEN / WOL / CAN</v>
      </c>
      <c r="H295" s="252">
        <f>VLOOKUP($E295,'5.1 Budget'!$A$4:$H$729,2,0)</f>
        <v>0</v>
      </c>
      <c r="I295" s="252">
        <f>VLOOKUP($E295,'5.1 Budget'!$A$4:$H$729,3,0)</f>
        <v>0</v>
      </c>
      <c r="J295" s="252">
        <f>VLOOKUP($E295,'5.1 Budget'!$A$4:$H$729,4,0)</f>
        <v>0</v>
      </c>
      <c r="K295" s="252">
        <f>VLOOKUP($E295,'5.1 Budget'!$A$4:$H$729,5,0)</f>
        <v>0</v>
      </c>
      <c r="L295" s="252">
        <f>VLOOKUP($E295,'5.1 Budget'!$A$4:$H$729,6,0)</f>
        <v>0</v>
      </c>
      <c r="M295" s="252">
        <f>VLOOKUP($E295,'5.1 Budget'!$A$4:$H$729,7,0)</f>
        <v>0</v>
      </c>
      <c r="N295" s="252">
        <f>VLOOKUP($E295,'5.1 Budget'!$A$4:$H$729,8,0)</f>
        <v>0</v>
      </c>
      <c r="V295" t="str">
        <f>VLOOKUP(D295,'[4]1. Mesures'!$A$1:$B$116,2,0)</f>
        <v>Interdire les rejets directs, prévenir et limiter les rejets indirects  à l’égard du tétrachloroéthylène et renforcer les contrôles dans la masse d’eau des sables du Bruxellien</v>
      </c>
      <c r="W295" t="str">
        <f>VLOOKUP(B295,[1]HIERARCH!$A$1:$B$57,2,0)</f>
        <v>Assurer la gestion qualitative des masses d'eau souterraine</v>
      </c>
      <c r="X295" t="str">
        <f>VLOOKUP(C295,[1]HIERARCH!$A$2:$B$57,2,0)</f>
        <v>Inverser la tendance à la hausse significative et durable à l'égard des polluants présents dans les masses d’eau souterraine</v>
      </c>
      <c r="Y295" t="str">
        <f t="shared" si="15"/>
        <v>Poursuivre l’inventaire de l’état des sols pollués en matière de tétrachloroéthylène et les composés organochlorés volat…</v>
      </c>
    </row>
    <row r="296" spans="1:25" hidden="1" x14ac:dyDescent="0.25">
      <c r="A296" s="249" t="str">
        <f t="shared" si="14"/>
        <v>2</v>
      </c>
      <c r="B296" s="249" t="str">
        <f>VLOOKUP($D296,'[4]1. Mesures'!$A$2:$G$116,6,0)</f>
        <v>OS 2.1</v>
      </c>
      <c r="C296" s="249" t="str">
        <f>VLOOKUP($D296,'[4]1. Mesures'!$A$2:$G$116,7,0)</f>
        <v>OO 2.1.3</v>
      </c>
      <c r="D296" s="249" t="str">
        <f t="shared" si="13"/>
        <v>M 2.6</v>
      </c>
      <c r="E296" s="250" t="s">
        <v>908</v>
      </c>
      <c r="F296" s="249" t="str">
        <f>VLOOKUP(E296,'5.2 Actions'!$A$3:$B$720,2,0)</f>
        <v>Poursuivre  l’assainissement des sols pollués au tétrachloroéthylène et des composés organochlorés tel que prévu à l’OSOL (cf.  M 2.13 et M 3.3)</v>
      </c>
      <c r="G296" s="251">
        <f>VLOOKUP(E296,'[4]5.2 Actions'!$A$3:$D$718,4,0)</f>
        <v>0</v>
      </c>
      <c r="H296" s="252">
        <f>VLOOKUP($E296,'5.1 Budget'!$A$4:$H$729,2,0)</f>
        <v>0</v>
      </c>
      <c r="I296" s="252">
        <f>VLOOKUP($E296,'5.1 Budget'!$A$4:$H$729,3,0)</f>
        <v>0</v>
      </c>
      <c r="J296" s="252">
        <f>VLOOKUP($E296,'5.1 Budget'!$A$4:$H$729,4,0)</f>
        <v>0</v>
      </c>
      <c r="K296" s="252">
        <f>VLOOKUP($E296,'5.1 Budget'!$A$4:$H$729,5,0)</f>
        <v>0</v>
      </c>
      <c r="L296" s="252">
        <f>VLOOKUP($E296,'5.1 Budget'!$A$4:$H$729,6,0)</f>
        <v>0</v>
      </c>
      <c r="M296" s="252">
        <f>VLOOKUP($E296,'5.1 Budget'!$A$4:$H$729,7,0)</f>
        <v>0</v>
      </c>
      <c r="N296" s="252">
        <f>VLOOKUP($E296,'5.1 Budget'!$A$4:$H$729,8,0)</f>
        <v>0</v>
      </c>
      <c r="V296" t="str">
        <f>VLOOKUP(D296,'[4]1. Mesures'!$A$1:$B$116,2,0)</f>
        <v>Interdire les rejets directs, prévenir et limiter les rejets indirects  à l’égard du tétrachloroéthylène et renforcer les contrôles dans la masse d’eau des sables du Bruxellien</v>
      </c>
      <c r="W296" t="str">
        <f>VLOOKUP(B296,[1]HIERARCH!$A$1:$B$57,2,0)</f>
        <v>Assurer la gestion qualitative des masses d'eau souterraine</v>
      </c>
      <c r="X296" t="str">
        <f>VLOOKUP(C296,[1]HIERARCH!$A$2:$B$57,2,0)</f>
        <v>Inverser la tendance à la hausse significative et durable à l'égard des polluants présents dans les masses d’eau souterraine</v>
      </c>
      <c r="Y296" t="str">
        <f t="shared" si="15"/>
        <v>Poursuivre  l’assainissement des sols pollués au tétrachloroéthylène et des composés organochlorés tel que prévu à l’OSO…</v>
      </c>
    </row>
    <row r="297" spans="1:25" hidden="1" x14ac:dyDescent="0.25">
      <c r="A297" s="249" t="str">
        <f t="shared" si="14"/>
        <v>2</v>
      </c>
      <c r="B297" s="249" t="str">
        <f>VLOOKUP($D297,'[4]1. Mesures'!$A$2:$G$116,6,0)</f>
        <v>OS 2.1</v>
      </c>
      <c r="C297" s="249" t="str">
        <f>VLOOKUP($D297,'[4]1. Mesures'!$A$2:$G$116,7,0)</f>
        <v>OO 2.1.3</v>
      </c>
      <c r="D297" s="249" t="str">
        <f t="shared" si="13"/>
        <v>M 2.6</v>
      </c>
      <c r="E297" s="250" t="s">
        <v>909</v>
      </c>
      <c r="F297" s="249" t="str">
        <f>VLOOKUP(E297,'5.2 Actions'!$A$3:$B$720,2,0)</f>
        <v>Contrôler les conditions d’exploiter des permis d’environnement liés à des activités  utilisant du tétrachloroéthylène (cf. aussi M. 3.3)</v>
      </c>
      <c r="G297" s="251">
        <f>VLOOKUP(E297,'[4]5.2 Actions'!$A$3:$D$718,4,0)</f>
        <v>0</v>
      </c>
      <c r="H297" s="252">
        <f>VLOOKUP($E297,'5.1 Budget'!$A$4:$H$729,2,0)</f>
        <v>0</v>
      </c>
      <c r="I297" s="252">
        <f>VLOOKUP($E297,'5.1 Budget'!$A$4:$H$729,3,0)</f>
        <v>0</v>
      </c>
      <c r="J297" s="252">
        <f>VLOOKUP($E297,'5.1 Budget'!$A$4:$H$729,4,0)</f>
        <v>0</v>
      </c>
      <c r="K297" s="252">
        <f>VLOOKUP($E297,'5.1 Budget'!$A$4:$H$729,5,0)</f>
        <v>0</v>
      </c>
      <c r="L297" s="252">
        <f>VLOOKUP($E297,'5.1 Budget'!$A$4:$H$729,6,0)</f>
        <v>0</v>
      </c>
      <c r="M297" s="252">
        <f>VLOOKUP($E297,'5.1 Budget'!$A$4:$H$729,7,0)</f>
        <v>0</v>
      </c>
      <c r="N297" s="252">
        <f>VLOOKUP($E297,'5.1 Budget'!$A$4:$H$729,8,0)</f>
        <v>0</v>
      </c>
      <c r="V297" t="str">
        <f>VLOOKUP(D297,'[4]1. Mesures'!$A$1:$B$116,2,0)</f>
        <v>Interdire les rejets directs, prévenir et limiter les rejets indirects  à l’égard du tétrachloroéthylène et renforcer les contrôles dans la masse d’eau des sables du Bruxellien</v>
      </c>
      <c r="W297" t="str">
        <f>VLOOKUP(B297,[1]HIERARCH!$A$1:$B$57,2,0)</f>
        <v>Assurer la gestion qualitative des masses d'eau souterraine</v>
      </c>
      <c r="X297" t="str">
        <f>VLOOKUP(C297,[1]HIERARCH!$A$2:$B$57,2,0)</f>
        <v>Inverser la tendance à la hausse significative et durable à l'égard des polluants présents dans les masses d’eau souterraine</v>
      </c>
      <c r="Y297" t="str">
        <f t="shared" si="15"/>
        <v>Contrôler les conditions d’exploiter des permis d’environnement liés à des activités  utilisant du tétrachloroéthylène (…</v>
      </c>
    </row>
    <row r="298" spans="1:25" hidden="1" x14ac:dyDescent="0.25">
      <c r="A298" s="249" t="str">
        <f t="shared" si="14"/>
        <v>2</v>
      </c>
      <c r="B298" s="249" t="str">
        <f>VLOOKUP($D298,'[4]1. Mesures'!$A$2:$G$116,6,0)</f>
        <v>OS 2.1</v>
      </c>
      <c r="C298" s="249" t="str">
        <f>VLOOKUP($D298,'[4]1. Mesures'!$A$2:$G$116,7,0)</f>
        <v>OO 2.1.3</v>
      </c>
      <c r="D298" s="249" t="str">
        <f t="shared" si="13"/>
        <v>M 2.6</v>
      </c>
      <c r="E298" s="250" t="s">
        <v>910</v>
      </c>
      <c r="F298" s="249" t="str">
        <f>VLOOKUP(E298,'5.2 Actions'!$A$3:$B$720,2,0)</f>
        <v>Promouvoir l’usage de substances alternatives au tétrachloroéthylène, pour en réduire l’usage et à terme l’interdire</v>
      </c>
      <c r="G298" s="251">
        <f>VLOOKUP(E298,'[4]5.2 Actions'!$A$3:$D$718,4,0)</f>
        <v>0</v>
      </c>
      <c r="H298" s="252">
        <f>VLOOKUP($E298,'5.1 Budget'!$A$4:$H$729,2,0)</f>
        <v>0</v>
      </c>
      <c r="I298" s="252">
        <f>VLOOKUP($E298,'5.1 Budget'!$A$4:$H$729,3,0)</f>
        <v>0</v>
      </c>
      <c r="J298" s="252">
        <f>VLOOKUP($E298,'5.1 Budget'!$A$4:$H$729,4,0)</f>
        <v>0</v>
      </c>
      <c r="K298" s="252">
        <f>VLOOKUP($E298,'5.1 Budget'!$A$4:$H$729,5,0)</f>
        <v>0</v>
      </c>
      <c r="L298" s="252">
        <f>VLOOKUP($E298,'5.1 Budget'!$A$4:$H$729,6,0)</f>
        <v>0</v>
      </c>
      <c r="M298" s="252">
        <f>VLOOKUP($E298,'5.1 Budget'!$A$4:$H$729,7,0)</f>
        <v>0</v>
      </c>
      <c r="N298" s="252">
        <f>VLOOKUP($E298,'5.1 Budget'!$A$4:$H$729,8,0)</f>
        <v>0</v>
      </c>
      <c r="V298" t="str">
        <f>VLOOKUP(D298,'[4]1. Mesures'!$A$1:$B$116,2,0)</f>
        <v>Interdire les rejets directs, prévenir et limiter les rejets indirects  à l’égard du tétrachloroéthylène et renforcer les contrôles dans la masse d’eau des sables du Bruxellien</v>
      </c>
      <c r="W298" t="str">
        <f>VLOOKUP(B298,[1]HIERARCH!$A$1:$B$57,2,0)</f>
        <v>Assurer la gestion qualitative des masses d'eau souterraine</v>
      </c>
      <c r="X298" t="str">
        <f>VLOOKUP(C298,[1]HIERARCH!$A$2:$B$57,2,0)</f>
        <v>Inverser la tendance à la hausse significative et durable à l'égard des polluants présents dans les masses d’eau souterraine</v>
      </c>
      <c r="Y298" t="str">
        <f t="shared" si="15"/>
        <v>Promouvoir l’usage de substances alternatives au tétrachloroéthylène, pour en réduire l’usage et à terme l’interdire…</v>
      </c>
    </row>
    <row r="299" spans="1:25" hidden="1" x14ac:dyDescent="0.25">
      <c r="A299" s="249" t="str">
        <f t="shared" si="14"/>
        <v>2</v>
      </c>
      <c r="B299" s="249" t="str">
        <f>VLOOKUP($D299,'[4]1. Mesures'!$A$2:$G$116,6,0)</f>
        <v>OS 2.1</v>
      </c>
      <c r="C299" s="249" t="str">
        <f>VLOOKUP($D299,'[4]1. Mesures'!$A$2:$G$116,7,0)</f>
        <v>OO 2.1.4</v>
      </c>
      <c r="D299" s="249" t="str">
        <f t="shared" si="13"/>
        <v>M 2.7</v>
      </c>
      <c r="E299" s="250" t="s">
        <v>913</v>
      </c>
      <c r="F299" s="249" t="str">
        <f>VLOOKUP(E299,'5.2 Actions'!$A$3:$B$720,2,0)</f>
        <v>Contrôler l’absence de rejets directs dans les prises d’eau autorisées, en priorité pour les activités à risque de pollution autorisées et présentes à proximité des prises d’eau</v>
      </c>
      <c r="G299" s="251">
        <f>VLOOKUP(E299,'[4]5.2 Actions'!$A$3:$D$718,4,0)</f>
        <v>0</v>
      </c>
      <c r="H299" s="252">
        <f>VLOOKUP($E299,'5.1 Budget'!$A$4:$H$729,2,0)</f>
        <v>0</v>
      </c>
      <c r="I299" s="252">
        <f>VLOOKUP($E299,'5.1 Budget'!$A$4:$H$729,3,0)</f>
        <v>0</v>
      </c>
      <c r="J299" s="252">
        <f>VLOOKUP($E299,'5.1 Budget'!$A$4:$H$729,4,0)</f>
        <v>0</v>
      </c>
      <c r="K299" s="252">
        <f>VLOOKUP($E299,'5.1 Budget'!$A$4:$H$729,5,0)</f>
        <v>0</v>
      </c>
      <c r="L299" s="252">
        <f>VLOOKUP($E299,'5.1 Budget'!$A$4:$H$729,6,0)</f>
        <v>0</v>
      </c>
      <c r="M299" s="252">
        <f>VLOOKUP($E299,'5.1 Budget'!$A$4:$H$729,7,0)</f>
        <v>0</v>
      </c>
      <c r="N299" s="252">
        <f>VLOOKUP($E299,'5.1 Budget'!$A$4:$H$729,8,0)</f>
        <v>0</v>
      </c>
      <c r="V299" t="str">
        <f>VLOOKUP(D299,'[4]1. Mesures'!$A$1:$B$116,2,0)</f>
        <v xml:space="preserve">Interdire les rejets directs de polluants dans les masses d’eau souterraine notamment pour l'ammonium et renforcer les contrôles </v>
      </c>
      <c r="W299" t="str">
        <f>VLOOKUP(B299,[1]HIERARCH!$A$1:$B$57,2,0)</f>
        <v>Assurer la gestion qualitative des masses d'eau souterraine</v>
      </c>
      <c r="X299" t="str">
        <f>VLOOKUP(C299,[1]HIERARCH!$A$2:$B$57,2,0)</f>
        <v>Prévenir et limiter la détérioration des masses d’eau souterraine</v>
      </c>
      <c r="Y299" t="str">
        <f t="shared" si="15"/>
        <v>Contrôler l’absence de rejets directs dans les prises d’eau autorisées, en priorité pour les activités à risque de pollu…</v>
      </c>
    </row>
    <row r="300" spans="1:25" hidden="1" x14ac:dyDescent="0.25">
      <c r="A300" s="249" t="str">
        <f t="shared" si="14"/>
        <v>2</v>
      </c>
      <c r="B300" s="249" t="str">
        <f>VLOOKUP($D300,'[4]1. Mesures'!$A$2:$G$116,6,0)</f>
        <v>OS 2.1</v>
      </c>
      <c r="C300" s="249" t="str">
        <f>VLOOKUP($D300,'[4]1. Mesures'!$A$2:$G$116,7,0)</f>
        <v>OO 2.1.4</v>
      </c>
      <c r="D300" s="249" t="str">
        <f t="shared" si="13"/>
        <v>M 2.7</v>
      </c>
      <c r="E300" s="250" t="s">
        <v>919</v>
      </c>
      <c r="F300" s="249" t="str">
        <f>VLOOKUP(E300,'5.2 Actions'!$A$3:$B$720,2,0)</f>
        <v>Contrôler l’application de l’interdiction d’usages des pesticides dans les zones à risque accrus délimités dans l’ordonnance du 20 juin 2013 relative à l’utilisation des pesticides compatible avec le développement durable, en particulier dans les zones de protection des zones de prises d’eau des installation de captages en activité ou non</v>
      </c>
      <c r="G300" s="251">
        <f>VLOOKUP(E300,'[4]5.2 Actions'!$A$3:$D$718,4,0)</f>
        <v>0</v>
      </c>
      <c r="H300" s="252">
        <f>VLOOKUP($E300,'5.1 Budget'!$A$4:$H$729,2,0)</f>
        <v>0</v>
      </c>
      <c r="I300" s="252">
        <f>VLOOKUP($E300,'5.1 Budget'!$A$4:$H$729,3,0)</f>
        <v>0</v>
      </c>
      <c r="J300" s="252">
        <f>VLOOKUP($E300,'5.1 Budget'!$A$4:$H$729,4,0)</f>
        <v>0</v>
      </c>
      <c r="K300" s="252">
        <f>VLOOKUP($E300,'5.1 Budget'!$A$4:$H$729,5,0)</f>
        <v>0</v>
      </c>
      <c r="L300" s="252">
        <f>VLOOKUP($E300,'5.1 Budget'!$A$4:$H$729,6,0)</f>
        <v>0</v>
      </c>
      <c r="M300" s="252">
        <f>VLOOKUP($E300,'5.1 Budget'!$A$4:$H$729,7,0)</f>
        <v>0</v>
      </c>
      <c r="N300" s="252">
        <f>VLOOKUP($E300,'5.1 Budget'!$A$4:$H$729,8,0)</f>
        <v>0</v>
      </c>
      <c r="V300" t="str">
        <f>VLOOKUP(D300,'[4]1. Mesures'!$A$1:$B$116,2,0)</f>
        <v xml:space="preserve">Interdire les rejets directs de polluants dans les masses d’eau souterraine notamment pour l'ammonium et renforcer les contrôles </v>
      </c>
      <c r="W300" t="str">
        <f>VLOOKUP(B300,[1]HIERARCH!$A$1:$B$57,2,0)</f>
        <v>Assurer la gestion qualitative des masses d'eau souterraine</v>
      </c>
      <c r="X300" t="str">
        <f>VLOOKUP(C300,[1]HIERARCH!$A$2:$B$57,2,0)</f>
        <v>Prévenir et limiter la détérioration des masses d’eau souterraine</v>
      </c>
      <c r="Y300" t="str">
        <f t="shared" si="15"/>
        <v>Contrôler l’application de l’interdiction d’usages des pesticides dans les zones à risque accrus délimités dans l’ordonn…</v>
      </c>
    </row>
    <row r="301" spans="1:25" hidden="1" x14ac:dyDescent="0.25">
      <c r="A301" s="249" t="str">
        <f t="shared" si="14"/>
        <v>2</v>
      </c>
      <c r="B301" s="249" t="str">
        <f>VLOOKUP($D301,'[4]1. Mesures'!$A$2:$G$116,6,0)</f>
        <v>OS 2.1</v>
      </c>
      <c r="C301" s="249" t="str">
        <f>VLOOKUP($D301,'[4]1. Mesures'!$A$2:$G$116,7,0)</f>
        <v>OO 2.1.4</v>
      </c>
      <c r="D301" s="249" t="str">
        <f t="shared" si="13"/>
        <v>M 2.7</v>
      </c>
      <c r="E301" s="250" t="s">
        <v>914</v>
      </c>
      <c r="F301" s="249" t="str">
        <f>VLOOKUP(E301,'5.2 Actions'!$A$3:$B$720,2,0)</f>
        <v>Contrôler la mise en œuvre des conditions imposées dans les permis lors de la réalisation de l’installation de prise d’eau et des piézomètres mis en place pour le suivi de chantiers (imposition d’une hauteur de l’ouvrage, d’une fermeture) et dans le cadre des études de reconnaissance de l’état des sols (M.2.8)</v>
      </c>
      <c r="G301" s="251">
        <f>VLOOKUP(E301,'[4]5.2 Actions'!$A$3:$D$718,4,0)</f>
        <v>0</v>
      </c>
      <c r="H301" s="252">
        <f>VLOOKUP($E301,'5.1 Budget'!$A$4:$H$729,2,0)</f>
        <v>0</v>
      </c>
      <c r="I301" s="252">
        <f>VLOOKUP($E301,'5.1 Budget'!$A$4:$H$729,3,0)</f>
        <v>0</v>
      </c>
      <c r="J301" s="252">
        <f>VLOOKUP($E301,'5.1 Budget'!$A$4:$H$729,4,0)</f>
        <v>0</v>
      </c>
      <c r="K301" s="252">
        <f>VLOOKUP($E301,'5.1 Budget'!$A$4:$H$729,5,0)</f>
        <v>0</v>
      </c>
      <c r="L301" s="252">
        <f>VLOOKUP($E301,'5.1 Budget'!$A$4:$H$729,6,0)</f>
        <v>0</v>
      </c>
      <c r="M301" s="252">
        <f>VLOOKUP($E301,'5.1 Budget'!$A$4:$H$729,7,0)</f>
        <v>0</v>
      </c>
      <c r="N301" s="252">
        <f>VLOOKUP($E301,'5.1 Budget'!$A$4:$H$729,8,0)</f>
        <v>0</v>
      </c>
      <c r="V301" t="str">
        <f>VLOOKUP(D301,'[4]1. Mesures'!$A$1:$B$116,2,0)</f>
        <v xml:space="preserve">Interdire les rejets directs de polluants dans les masses d’eau souterraine notamment pour l'ammonium et renforcer les contrôles </v>
      </c>
      <c r="W301" t="str">
        <f>VLOOKUP(B301,[1]HIERARCH!$A$1:$B$57,2,0)</f>
        <v>Assurer la gestion qualitative des masses d'eau souterraine</v>
      </c>
      <c r="X301" t="str">
        <f>VLOOKUP(C301,[1]HIERARCH!$A$2:$B$57,2,0)</f>
        <v>Prévenir et limiter la détérioration des masses d’eau souterraine</v>
      </c>
      <c r="Y301" t="str">
        <f t="shared" si="15"/>
        <v>Contrôler la mise en œuvre des conditions imposées dans les permis lors de la réalisation de l’installation de prise d’e…</v>
      </c>
    </row>
    <row r="302" spans="1:25" hidden="1" x14ac:dyDescent="0.25">
      <c r="A302" s="249" t="str">
        <f t="shared" si="14"/>
        <v>2</v>
      </c>
      <c r="B302" s="249" t="str">
        <f>VLOOKUP($D302,'[4]1. Mesures'!$A$2:$G$116,6,0)</f>
        <v>OS 2.1</v>
      </c>
      <c r="C302" s="249" t="str">
        <f>VLOOKUP($D302,'[4]1. Mesures'!$A$2:$G$116,7,0)</f>
        <v>OO 2.1.4</v>
      </c>
      <c r="D302" s="249" t="str">
        <f t="shared" si="13"/>
        <v>M 2.7</v>
      </c>
      <c r="E302" s="250" t="s">
        <v>915</v>
      </c>
      <c r="F302" s="249" t="str">
        <f>VLOOKUP(E302,'5.2 Actions'!$A$3:$B$720,2,0)</f>
        <v>Assurer une gestion appropriée des ouvrages soumis à permis d’environnement en contrôlant le respect des conditions liées à la cessation de l’activité, à savoir le rebouchage de l’ouvrage ou, le cas échéant, l’intégration dans un programme de surveillance tant pour les puits que pour les piézomètres (contrôle via attestation)</v>
      </c>
      <c r="G302" s="251">
        <f>VLOOKUP(E302,'[4]5.2 Actions'!$A$3:$D$718,4,0)</f>
        <v>0</v>
      </c>
      <c r="H302" s="252">
        <f>VLOOKUP($E302,'5.1 Budget'!$A$4:$H$729,2,0)</f>
        <v>0</v>
      </c>
      <c r="I302" s="252">
        <f>VLOOKUP($E302,'5.1 Budget'!$A$4:$H$729,3,0)</f>
        <v>0</v>
      </c>
      <c r="J302" s="252">
        <f>VLOOKUP($E302,'5.1 Budget'!$A$4:$H$729,4,0)</f>
        <v>0</v>
      </c>
      <c r="K302" s="252">
        <f>VLOOKUP($E302,'5.1 Budget'!$A$4:$H$729,5,0)</f>
        <v>0</v>
      </c>
      <c r="L302" s="252">
        <f>VLOOKUP($E302,'5.1 Budget'!$A$4:$H$729,6,0)</f>
        <v>0</v>
      </c>
      <c r="M302" s="252">
        <f>VLOOKUP($E302,'5.1 Budget'!$A$4:$H$729,7,0)</f>
        <v>0</v>
      </c>
      <c r="N302" s="252">
        <f>VLOOKUP($E302,'5.1 Budget'!$A$4:$H$729,8,0)</f>
        <v>0</v>
      </c>
      <c r="V302" t="str">
        <f>VLOOKUP(D302,'[4]1. Mesures'!$A$1:$B$116,2,0)</f>
        <v xml:space="preserve">Interdire les rejets directs de polluants dans les masses d’eau souterraine notamment pour l'ammonium et renforcer les contrôles </v>
      </c>
      <c r="W302" t="str">
        <f>VLOOKUP(B302,[1]HIERARCH!$A$1:$B$57,2,0)</f>
        <v>Assurer la gestion qualitative des masses d'eau souterraine</v>
      </c>
      <c r="X302" t="str">
        <f>VLOOKUP(C302,[1]HIERARCH!$A$2:$B$57,2,0)</f>
        <v>Prévenir et limiter la détérioration des masses d’eau souterraine</v>
      </c>
      <c r="Y302" t="str">
        <f t="shared" si="15"/>
        <v>Assurer une gestion appropriée des ouvrages soumis à permis d’environnement en contrôlant le respect des conditions liée…</v>
      </c>
    </row>
    <row r="303" spans="1:25" hidden="1" x14ac:dyDescent="0.25">
      <c r="A303" s="249" t="str">
        <f t="shared" si="14"/>
        <v>2</v>
      </c>
      <c r="B303" s="249" t="str">
        <f>VLOOKUP($D303,'[4]1. Mesures'!$A$2:$G$116,6,0)</f>
        <v>OS 2.1</v>
      </c>
      <c r="C303" s="249" t="str">
        <f>VLOOKUP($D303,'[4]1. Mesures'!$A$2:$G$116,7,0)</f>
        <v>OO 2.1.4</v>
      </c>
      <c r="D303" s="249" t="str">
        <f t="shared" si="13"/>
        <v>M 2.7</v>
      </c>
      <c r="E303" s="250" t="s">
        <v>916</v>
      </c>
      <c r="F303" s="249" t="str">
        <f>VLOOKUP(E303,'5.2 Actions'!$A$3:$B$720,2,0)</f>
        <v>Assurer un contrôle approprié des piézomètres mis en place lors d’ études de reconnaissance de l’état des sols dans le cadre de la gestion de l’assainissement des sols pollués, en fin de procédure, imposer et contrôler le rebouchage des piézomètre selon la procédure reprise à l’AR du 8 novembre 2018 – art 11 § 6 3° réglementant les captages dans les eaux souterraines</v>
      </c>
      <c r="G303" s="251">
        <f>VLOOKUP(E303,'[4]5.2 Actions'!$A$3:$D$718,4,0)</f>
        <v>0</v>
      </c>
      <c r="H303" s="252">
        <f>VLOOKUP($E303,'5.1 Budget'!$A$4:$H$729,2,0)</f>
        <v>0</v>
      </c>
      <c r="I303" s="252">
        <f>VLOOKUP($E303,'5.1 Budget'!$A$4:$H$729,3,0)</f>
        <v>0</v>
      </c>
      <c r="J303" s="252">
        <f>VLOOKUP($E303,'5.1 Budget'!$A$4:$H$729,4,0)</f>
        <v>0</v>
      </c>
      <c r="K303" s="252">
        <f>VLOOKUP($E303,'5.1 Budget'!$A$4:$H$729,5,0)</f>
        <v>0</v>
      </c>
      <c r="L303" s="252">
        <f>VLOOKUP($E303,'5.1 Budget'!$A$4:$H$729,6,0)</f>
        <v>0</v>
      </c>
      <c r="M303" s="252">
        <f>VLOOKUP($E303,'5.1 Budget'!$A$4:$H$729,7,0)</f>
        <v>0</v>
      </c>
      <c r="N303" s="252">
        <f>VLOOKUP($E303,'5.1 Budget'!$A$4:$H$729,8,0)</f>
        <v>0</v>
      </c>
      <c r="V303" t="str">
        <f>VLOOKUP(D303,'[4]1. Mesures'!$A$1:$B$116,2,0)</f>
        <v xml:space="preserve">Interdire les rejets directs de polluants dans les masses d’eau souterraine notamment pour l'ammonium et renforcer les contrôles </v>
      </c>
      <c r="W303" t="str">
        <f>VLOOKUP(B303,[1]HIERARCH!$A$1:$B$57,2,0)</f>
        <v>Assurer la gestion qualitative des masses d'eau souterraine</v>
      </c>
      <c r="X303" t="str">
        <f>VLOOKUP(C303,[1]HIERARCH!$A$2:$B$57,2,0)</f>
        <v>Prévenir et limiter la détérioration des masses d’eau souterraine</v>
      </c>
      <c r="Y303" t="str">
        <f t="shared" si="15"/>
        <v>Assurer un contrôle approprié des piézomètres mis en place lors d’ études de reconnaissance de l’état des sols dans le c…</v>
      </c>
    </row>
    <row r="304" spans="1:25" hidden="1" x14ac:dyDescent="0.25">
      <c r="A304" s="249" t="str">
        <f t="shared" si="14"/>
        <v>2</v>
      </c>
      <c r="B304" s="249" t="str">
        <f>VLOOKUP($D304,'[4]1. Mesures'!$A$2:$G$116,6,0)</f>
        <v>OS 2.1</v>
      </c>
      <c r="C304" s="249" t="str">
        <f>VLOOKUP($D304,'[4]1. Mesures'!$A$2:$G$116,7,0)</f>
        <v>OO 2.1.4</v>
      </c>
      <c r="D304" s="249" t="str">
        <f t="shared" si="13"/>
        <v>M 2.7</v>
      </c>
      <c r="E304" s="250" t="s">
        <v>917</v>
      </c>
      <c r="F304" s="249" t="str">
        <f>VLOOKUP(E304,'5.2 Actions'!$A$3:$B$720,2,0)</f>
        <v>Etablir un inventaire des ouvrages et des piézomètres dont le permis d’environnement est échu ou non autorisés sur le territoire bruxellois et contraindre leur rebouchage ou le cas échéant l’intégration dans un programme de surveillance</v>
      </c>
      <c r="G304" s="251">
        <f>VLOOKUP(E304,'[4]5.2 Actions'!$A$3:$D$718,4,0)</f>
        <v>0</v>
      </c>
      <c r="H304" s="252">
        <f>VLOOKUP($E304,'5.1 Budget'!$A$4:$H$729,2,0)</f>
        <v>0</v>
      </c>
      <c r="I304" s="252">
        <f>VLOOKUP($E304,'5.1 Budget'!$A$4:$H$729,3,0)</f>
        <v>0</v>
      </c>
      <c r="J304" s="252">
        <f>VLOOKUP($E304,'5.1 Budget'!$A$4:$H$729,4,0)</f>
        <v>0</v>
      </c>
      <c r="K304" s="252">
        <f>VLOOKUP($E304,'5.1 Budget'!$A$4:$H$729,5,0)</f>
        <v>50000</v>
      </c>
      <c r="L304" s="252">
        <f>VLOOKUP($E304,'5.1 Budget'!$A$4:$H$729,6,0)</f>
        <v>0</v>
      </c>
      <c r="M304" s="252">
        <f>VLOOKUP($E304,'5.1 Budget'!$A$4:$H$729,7,0)</f>
        <v>0</v>
      </c>
      <c r="N304" s="252">
        <f>VLOOKUP($E304,'5.1 Budget'!$A$4:$H$729,8,0)</f>
        <v>50000</v>
      </c>
      <c r="V304" t="str">
        <f>VLOOKUP(D304,'[4]1. Mesures'!$A$1:$B$116,2,0)</f>
        <v xml:space="preserve">Interdire les rejets directs de polluants dans les masses d’eau souterraine notamment pour l'ammonium et renforcer les contrôles </v>
      </c>
      <c r="W304" t="str">
        <f>VLOOKUP(B304,[1]HIERARCH!$A$1:$B$57,2,0)</f>
        <v>Assurer la gestion qualitative des masses d'eau souterraine</v>
      </c>
      <c r="X304" t="str">
        <f>VLOOKUP(C304,[1]HIERARCH!$A$2:$B$57,2,0)</f>
        <v>Prévenir et limiter la détérioration des masses d’eau souterraine</v>
      </c>
      <c r="Y304" t="str">
        <f t="shared" si="15"/>
        <v>Etablir un inventaire des ouvrages et des piézomètres dont le permis d’environnement est échu ou non autorisés sur le te…</v>
      </c>
    </row>
    <row r="305" spans="1:25" hidden="1" x14ac:dyDescent="0.25">
      <c r="A305" s="249" t="str">
        <f t="shared" si="14"/>
        <v>2</v>
      </c>
      <c r="B305" s="249" t="str">
        <f>VLOOKUP($D305,'[4]1. Mesures'!$A$2:$G$116,6,0)</f>
        <v>OS 2.1</v>
      </c>
      <c r="C305" s="249" t="str">
        <f>VLOOKUP($D305,'[4]1. Mesures'!$A$2:$G$116,7,0)</f>
        <v>OO 2.1.4</v>
      </c>
      <c r="D305" s="249" t="str">
        <f t="shared" si="13"/>
        <v>M 2.7</v>
      </c>
      <c r="E305" s="250" t="s">
        <v>918</v>
      </c>
      <c r="F305" s="249" t="str">
        <f>VLOOKUP(E305,'5.2 Actions'!$A$3:$B$720,2,0)</f>
        <v>Évaluer les incidences particulièrement pour la réinjection d’eau utilisée à des fins géothermiques au sein d’une même masse d’eau</v>
      </c>
      <c r="G305" s="251">
        <f>VLOOKUP(E305,'[4]5.2 Actions'!$A$3:$D$718,4,0)</f>
        <v>0</v>
      </c>
      <c r="H305" s="252">
        <f>VLOOKUP($E305,'5.1 Budget'!$A$4:$H$729,2,0)</f>
        <v>0</v>
      </c>
      <c r="I305" s="252">
        <f>VLOOKUP($E305,'5.1 Budget'!$A$4:$H$729,3,0)</f>
        <v>0</v>
      </c>
      <c r="J305" s="252">
        <f>VLOOKUP($E305,'5.1 Budget'!$A$4:$H$729,4,0)</f>
        <v>0</v>
      </c>
      <c r="K305" s="252">
        <f>VLOOKUP($E305,'5.1 Budget'!$A$4:$H$729,5,0)</f>
        <v>50000</v>
      </c>
      <c r="L305" s="252">
        <f>VLOOKUP($E305,'5.1 Budget'!$A$4:$H$729,6,0)</f>
        <v>0</v>
      </c>
      <c r="M305" s="252">
        <f>VLOOKUP($E305,'5.1 Budget'!$A$4:$H$729,7,0)</f>
        <v>0</v>
      </c>
      <c r="N305" s="252">
        <f>VLOOKUP($E305,'5.1 Budget'!$A$4:$H$729,8,0)</f>
        <v>50000</v>
      </c>
      <c r="V305" t="str">
        <f>VLOOKUP(D305,'[4]1. Mesures'!$A$1:$B$116,2,0)</f>
        <v xml:space="preserve">Interdire les rejets directs de polluants dans les masses d’eau souterraine notamment pour l'ammonium et renforcer les contrôles </v>
      </c>
      <c r="W305" t="str">
        <f>VLOOKUP(B305,[1]HIERARCH!$A$1:$B$57,2,0)</f>
        <v>Assurer la gestion qualitative des masses d'eau souterraine</v>
      </c>
      <c r="X305" t="str">
        <f>VLOOKUP(C305,[1]HIERARCH!$A$2:$B$57,2,0)</f>
        <v>Prévenir et limiter la détérioration des masses d’eau souterraine</v>
      </c>
      <c r="Y305" t="str">
        <f t="shared" si="15"/>
        <v>Évaluer les incidences particulièrement pour la réinjection d’eau utilisée à des fins géothermiques au sein d’une même m…</v>
      </c>
    </row>
    <row r="306" spans="1:25" hidden="1" x14ac:dyDescent="0.25">
      <c r="A306" s="249" t="str">
        <f t="shared" si="14"/>
        <v>2</v>
      </c>
      <c r="B306" s="249" t="str">
        <f>VLOOKUP($D306,'[4]1. Mesures'!$A$2:$G$116,6,0)</f>
        <v>OS 2.1</v>
      </c>
      <c r="C306" s="249" t="str">
        <f>VLOOKUP($D306,'[4]1. Mesures'!$A$2:$G$116,7,0)</f>
        <v>OO 2.1.4</v>
      </c>
      <c r="D306" s="249" t="str">
        <f t="shared" si="13"/>
        <v>M 2.8</v>
      </c>
      <c r="E306" s="250" t="s">
        <v>920</v>
      </c>
      <c r="F306" s="249" t="str">
        <f>VLOOKUP(E306,'5.2 Actions'!$A$3:$B$720,2,0)</f>
        <v>Poursuivre la gestion et l’assainissement des sols pollués</v>
      </c>
      <c r="G306" s="251">
        <f>VLOOKUP(E306,'[4]5.2 Actions'!$A$3:$D$718,4,0)</f>
        <v>0</v>
      </c>
      <c r="H306" s="252">
        <f>VLOOKUP($E306,'5.1 Budget'!$A$4:$H$729,2,0)</f>
        <v>0</v>
      </c>
      <c r="I306" s="252">
        <f>VLOOKUP($E306,'5.1 Budget'!$A$4:$H$729,3,0)</f>
        <v>0</v>
      </c>
      <c r="J306" s="252">
        <f>VLOOKUP($E306,'5.1 Budget'!$A$4:$H$729,4,0)</f>
        <v>0</v>
      </c>
      <c r="K306" s="252">
        <f>VLOOKUP($E306,'5.1 Budget'!$A$4:$H$729,5,0)</f>
        <v>0</v>
      </c>
      <c r="L306" s="252">
        <f>VLOOKUP($E306,'5.1 Budget'!$A$4:$H$729,6,0)</f>
        <v>0</v>
      </c>
      <c r="M306" s="252">
        <f>VLOOKUP($E306,'5.1 Budget'!$A$4:$H$729,7,0)</f>
        <v>0</v>
      </c>
      <c r="N306" s="252">
        <f>VLOOKUP($E306,'5.1 Budget'!$A$4:$H$729,8,0)</f>
        <v>0</v>
      </c>
      <c r="V306" t="str">
        <f>VLOOKUP(D306,'[4]1. Mesures'!$A$1:$B$116,2,0)</f>
        <v>Limiter l’impact des sols pollués sur les masses d’eau souterraine</v>
      </c>
      <c r="W306" t="str">
        <f>VLOOKUP(B306,[1]HIERARCH!$A$1:$B$57,2,0)</f>
        <v>Assurer la gestion qualitative des masses d'eau souterraine</v>
      </c>
      <c r="X306" t="str">
        <f>VLOOKUP(C306,[1]HIERARCH!$A$2:$B$57,2,0)</f>
        <v>Prévenir et limiter la détérioration des masses d’eau souterraine</v>
      </c>
      <c r="Y306" t="str">
        <f t="shared" si="15"/>
        <v>Poursuivre la gestion et l’assainissement des sols pollués…</v>
      </c>
    </row>
    <row r="307" spans="1:25" hidden="1" x14ac:dyDescent="0.25">
      <c r="A307" s="249" t="str">
        <f t="shared" si="14"/>
        <v>2</v>
      </c>
      <c r="B307" s="249" t="str">
        <f>VLOOKUP($D307,'[4]1. Mesures'!$A$2:$G$116,6,0)</f>
        <v>OS 2.1</v>
      </c>
      <c r="C307" s="249" t="str">
        <f>VLOOKUP($D307,'[4]1. Mesures'!$A$2:$G$116,7,0)</f>
        <v>OO 2.1.4</v>
      </c>
      <c r="D307" s="249" t="str">
        <f t="shared" si="13"/>
        <v>M 2.8</v>
      </c>
      <c r="E307" s="250" t="s">
        <v>922</v>
      </c>
      <c r="F307" s="249" t="str">
        <f>VLOOKUP(E307,'5.2 Actions'!$A$3:$B$720,2,0)</f>
        <v>Assurer un contrôle approprié des piézomètres mis en place lors des études de reconnaissance de l’état des sols et suivi de leur assainissement ; imposer et contrôler en fin de procédure le rebouchage des piézomètres (cf M 2.7)</v>
      </c>
      <c r="G307" s="251">
        <f>VLOOKUP(E307,'[4]5.2 Actions'!$A$3:$D$718,4,0)</f>
        <v>0</v>
      </c>
      <c r="H307" s="252">
        <f>VLOOKUP($E307,'5.1 Budget'!$A$4:$H$729,2,0)</f>
        <v>0</v>
      </c>
      <c r="I307" s="252">
        <f>VLOOKUP($E307,'5.1 Budget'!$A$4:$H$729,3,0)</f>
        <v>0</v>
      </c>
      <c r="J307" s="252">
        <f>VLOOKUP($E307,'5.1 Budget'!$A$4:$H$729,4,0)</f>
        <v>0</v>
      </c>
      <c r="K307" s="252">
        <f>VLOOKUP($E307,'5.1 Budget'!$A$4:$H$729,5,0)</f>
        <v>0</v>
      </c>
      <c r="L307" s="252">
        <f>VLOOKUP($E307,'5.1 Budget'!$A$4:$H$729,6,0)</f>
        <v>0</v>
      </c>
      <c r="M307" s="252">
        <f>VLOOKUP($E307,'5.1 Budget'!$A$4:$H$729,7,0)</f>
        <v>0</v>
      </c>
      <c r="N307" s="252">
        <f>VLOOKUP($E307,'5.1 Budget'!$A$4:$H$729,8,0)</f>
        <v>0</v>
      </c>
      <c r="V307" t="str">
        <f>VLOOKUP(D307,'[4]1. Mesures'!$A$1:$B$116,2,0)</f>
        <v>Limiter l’impact des sols pollués sur les masses d’eau souterraine</v>
      </c>
      <c r="W307" t="str">
        <f>VLOOKUP(B307,[1]HIERARCH!$A$1:$B$57,2,0)</f>
        <v>Assurer la gestion qualitative des masses d'eau souterraine</v>
      </c>
      <c r="X307" t="str">
        <f>VLOOKUP(C307,[1]HIERARCH!$A$2:$B$57,2,0)</f>
        <v>Prévenir et limiter la détérioration des masses d’eau souterraine</v>
      </c>
      <c r="Y307" t="str">
        <f t="shared" si="15"/>
        <v>Assurer un contrôle approprié des piézomètres mis en place lors des études de reconnaissance de l’état des sols et suivi…</v>
      </c>
    </row>
    <row r="308" spans="1:25" hidden="1" x14ac:dyDescent="0.25">
      <c r="A308" s="249" t="str">
        <f t="shared" si="14"/>
        <v>2</v>
      </c>
      <c r="B308" s="249" t="str">
        <f>VLOOKUP($D308,'[4]1. Mesures'!$A$2:$G$116,6,0)</f>
        <v>OS 2.1</v>
      </c>
      <c r="C308" s="249" t="str">
        <f>VLOOKUP($D308,'[4]1. Mesures'!$A$2:$G$116,7,0)</f>
        <v>OO 2.1.4</v>
      </c>
      <c r="D308" s="249" t="str">
        <f t="shared" si="13"/>
        <v>M 2.8</v>
      </c>
      <c r="E308" s="250" t="s">
        <v>921</v>
      </c>
      <c r="F308" s="249" t="str">
        <f>VLOOKUP(E308,'5.2 Actions'!$A$3:$B$720,2,0)</f>
        <v>Evaluer la pertinence de revoir les normes d’intervention de façon à l’adapter aux paramètres problématiques pour les masses d’eau souterraines, en lien avec la DCE</v>
      </c>
      <c r="G308" s="251">
        <f>VLOOKUP(E308,'[4]5.2 Actions'!$A$3:$D$718,4,0)</f>
        <v>0</v>
      </c>
      <c r="H308" s="252">
        <f>VLOOKUP($E308,'5.1 Budget'!$A$4:$H$729,2,0)</f>
        <v>0</v>
      </c>
      <c r="I308" s="252">
        <f>VLOOKUP($E308,'5.1 Budget'!$A$4:$H$729,3,0)</f>
        <v>0</v>
      </c>
      <c r="J308" s="252">
        <f>VLOOKUP($E308,'5.1 Budget'!$A$4:$H$729,4,0)</f>
        <v>0</v>
      </c>
      <c r="K308" s="252">
        <f>VLOOKUP($E308,'5.1 Budget'!$A$4:$H$729,5,0)</f>
        <v>0</v>
      </c>
      <c r="L308" s="252">
        <f>VLOOKUP($E308,'5.1 Budget'!$A$4:$H$729,6,0)</f>
        <v>0</v>
      </c>
      <c r="M308" s="252">
        <f>VLOOKUP($E308,'5.1 Budget'!$A$4:$H$729,7,0)</f>
        <v>0</v>
      </c>
      <c r="N308" s="252">
        <f>VLOOKUP($E308,'5.1 Budget'!$A$4:$H$729,8,0)</f>
        <v>0</v>
      </c>
      <c r="V308" t="str">
        <f>VLOOKUP(D308,'[4]1. Mesures'!$A$1:$B$116,2,0)</f>
        <v>Limiter l’impact des sols pollués sur les masses d’eau souterraine</v>
      </c>
      <c r="W308" t="str">
        <f>VLOOKUP(B308,[1]HIERARCH!$A$1:$B$57,2,0)</f>
        <v>Assurer la gestion qualitative des masses d'eau souterraine</v>
      </c>
      <c r="X308" t="str">
        <f>VLOOKUP(C308,[1]HIERARCH!$A$2:$B$57,2,0)</f>
        <v>Prévenir et limiter la détérioration des masses d’eau souterraine</v>
      </c>
      <c r="Y308" t="str">
        <f t="shared" si="15"/>
        <v>Evaluer la pertinence de revoir les normes d’intervention de façon à l’adapter aux paramètres problématiques pour les ma…</v>
      </c>
    </row>
    <row r="309" spans="1:25" hidden="1" x14ac:dyDescent="0.25">
      <c r="A309" s="249" t="str">
        <f t="shared" si="14"/>
        <v>2</v>
      </c>
      <c r="B309" s="249" t="str">
        <f>VLOOKUP($D309,'[4]1. Mesures'!$A$2:$G$116,6,0)</f>
        <v>OS 2.1</v>
      </c>
      <c r="C309" s="249" t="str">
        <f>VLOOKUP($D309,'[4]1. Mesures'!$A$2:$G$116,7,0)</f>
        <v>OO 2.1.4</v>
      </c>
      <c r="D309" s="249" t="str">
        <f t="shared" si="13"/>
        <v>M 2.9</v>
      </c>
      <c r="E309" s="250" t="s">
        <v>923</v>
      </c>
      <c r="F309" s="249" t="str">
        <f>VLOOKUP(E309,'5.2 Actions'!$A$3:$B$720,2,0)</f>
        <v>Inventorier les activités critiques autour des zones de protection de captages d’eau, grader les risques, et procéder à des aménagements spécifiques pour les contrer</v>
      </c>
      <c r="G309" s="251">
        <f>VLOOKUP(E309,'[4]5.2 Actions'!$A$3:$D$718,4,0)</f>
        <v>0</v>
      </c>
      <c r="H309" s="252">
        <f>VLOOKUP($E309,'5.1 Budget'!$A$4:$H$729,2,0)</f>
        <v>0</v>
      </c>
      <c r="I309" s="252">
        <f>VLOOKUP($E309,'5.1 Budget'!$A$4:$H$729,3,0)</f>
        <v>0</v>
      </c>
      <c r="J309" s="252">
        <f>VLOOKUP($E309,'5.1 Budget'!$A$4:$H$729,4,0)</f>
        <v>0</v>
      </c>
      <c r="K309" s="252">
        <f>VLOOKUP($E309,'5.1 Budget'!$A$4:$H$729,5,0)</f>
        <v>0</v>
      </c>
      <c r="L309" s="252">
        <f>VLOOKUP($E309,'5.1 Budget'!$A$4:$H$729,6,0)</f>
        <v>0</v>
      </c>
      <c r="M309" s="252">
        <f>VLOOKUP($E309,'5.1 Budget'!$A$4:$H$729,7,0)</f>
        <v>0</v>
      </c>
      <c r="N309" s="252">
        <f>VLOOKUP($E309,'5.1 Budget'!$A$4:$H$729,8,0)</f>
        <v>0</v>
      </c>
      <c r="V309" t="str">
        <f>VLOOKUP(D309,'[4]1. Mesures'!$A$1:$B$116,2,0)</f>
        <v xml:space="preserve"> Prévenir et gérer les pollutions accidentelles </v>
      </c>
      <c r="W309" t="str">
        <f>VLOOKUP(B309,[1]HIERARCH!$A$1:$B$57,2,0)</f>
        <v>Assurer la gestion qualitative des masses d'eau souterraine</v>
      </c>
      <c r="X309" t="str">
        <f>VLOOKUP(C309,[1]HIERARCH!$A$2:$B$57,2,0)</f>
        <v>Prévenir et limiter la détérioration des masses d’eau souterraine</v>
      </c>
      <c r="Y309" t="str">
        <f t="shared" si="15"/>
        <v>Inventorier les activités critiques autour des zones de protection de captages d’eau, grader les risques, et procéder à …</v>
      </c>
    </row>
    <row r="310" spans="1:25" hidden="1" x14ac:dyDescent="0.25">
      <c r="A310" s="249" t="str">
        <f t="shared" si="14"/>
        <v>2</v>
      </c>
      <c r="B310" s="249" t="str">
        <f>VLOOKUP($D310,'[4]1. Mesures'!$A$2:$G$116,6,0)</f>
        <v>OS 2.1</v>
      </c>
      <c r="C310" s="249" t="str">
        <f>VLOOKUP($D310,'[4]1. Mesures'!$A$2:$G$116,7,0)</f>
        <v>OO 2.1.4</v>
      </c>
      <c r="D310" s="249" t="str">
        <f t="shared" si="13"/>
        <v>M 2.9</v>
      </c>
      <c r="E310" s="250" t="s">
        <v>924</v>
      </c>
      <c r="F310" s="249" t="str">
        <f>VLOOKUP(E310,'5.2 Actions'!$A$3:$B$720,2,0)</f>
        <v>Renforcer les conditions d’exploiter des permis d’environnement proches de points critiques</v>
      </c>
      <c r="G310" s="251">
        <f>VLOOKUP(E310,'[4]5.2 Actions'!$A$3:$D$718,4,0)</f>
        <v>0</v>
      </c>
      <c r="H310" s="252">
        <f>VLOOKUP($E310,'5.1 Budget'!$A$4:$H$729,2,0)</f>
        <v>0</v>
      </c>
      <c r="I310" s="252">
        <f>VLOOKUP($E310,'5.1 Budget'!$A$4:$H$729,3,0)</f>
        <v>0</v>
      </c>
      <c r="J310" s="252">
        <f>VLOOKUP($E310,'5.1 Budget'!$A$4:$H$729,4,0)</f>
        <v>0</v>
      </c>
      <c r="K310" s="252">
        <f>VLOOKUP($E310,'5.1 Budget'!$A$4:$H$729,5,0)</f>
        <v>0</v>
      </c>
      <c r="L310" s="252">
        <f>VLOOKUP($E310,'5.1 Budget'!$A$4:$H$729,6,0)</f>
        <v>0</v>
      </c>
      <c r="M310" s="252">
        <f>VLOOKUP($E310,'5.1 Budget'!$A$4:$H$729,7,0)</f>
        <v>0</v>
      </c>
      <c r="N310" s="252">
        <f>VLOOKUP($E310,'5.1 Budget'!$A$4:$H$729,8,0)</f>
        <v>0</v>
      </c>
      <c r="V310" t="str">
        <f>VLOOKUP(D310,'[4]1. Mesures'!$A$1:$B$116,2,0)</f>
        <v xml:space="preserve"> Prévenir et gérer les pollutions accidentelles </v>
      </c>
      <c r="W310" t="str">
        <f>VLOOKUP(B310,[1]HIERARCH!$A$1:$B$57,2,0)</f>
        <v>Assurer la gestion qualitative des masses d'eau souterraine</v>
      </c>
      <c r="X310" t="str">
        <f>VLOOKUP(C310,[1]HIERARCH!$A$2:$B$57,2,0)</f>
        <v>Prévenir et limiter la détérioration des masses d’eau souterraine</v>
      </c>
      <c r="Y310" t="str">
        <f t="shared" si="15"/>
        <v>Renforcer les conditions d’exploiter des permis d’environnement proches de points critiques…</v>
      </c>
    </row>
    <row r="311" spans="1:25" hidden="1" x14ac:dyDescent="0.25">
      <c r="A311" s="249" t="str">
        <f t="shared" si="14"/>
        <v>2</v>
      </c>
      <c r="B311" s="249" t="str">
        <f>VLOOKUP($D311,'[4]1. Mesures'!$A$2:$G$116,6,0)</f>
        <v>OS 2.1</v>
      </c>
      <c r="C311" s="249" t="str">
        <f>VLOOKUP($D311,'[4]1. Mesures'!$A$2:$G$116,7,0)</f>
        <v>OO 2.1.4</v>
      </c>
      <c r="D311" s="249" t="str">
        <f t="shared" si="13"/>
        <v>M 2.9</v>
      </c>
      <c r="E311" s="250" t="s">
        <v>925</v>
      </c>
      <c r="F311" s="249" t="str">
        <f>VLOOKUP(E311,'5.2 Actions'!$A$3:$B$720,2,0)</f>
        <v>Contrôler la mise en place des conditions d’exploitation renforcées dans les permis environnement</v>
      </c>
      <c r="G311" s="251">
        <f>VLOOKUP(E311,'[4]5.2 Actions'!$A$3:$D$718,4,0)</f>
        <v>0</v>
      </c>
      <c r="H311" s="252">
        <f>VLOOKUP($E311,'5.1 Budget'!$A$4:$H$729,2,0)</f>
        <v>0</v>
      </c>
      <c r="I311" s="252">
        <f>VLOOKUP($E311,'5.1 Budget'!$A$4:$H$729,3,0)</f>
        <v>0</v>
      </c>
      <c r="J311" s="252">
        <f>VLOOKUP($E311,'5.1 Budget'!$A$4:$H$729,4,0)</f>
        <v>0</v>
      </c>
      <c r="K311" s="252">
        <f>VLOOKUP($E311,'5.1 Budget'!$A$4:$H$729,5,0)</f>
        <v>0</v>
      </c>
      <c r="L311" s="252">
        <f>VLOOKUP($E311,'5.1 Budget'!$A$4:$H$729,6,0)</f>
        <v>0</v>
      </c>
      <c r="M311" s="252">
        <f>VLOOKUP($E311,'5.1 Budget'!$A$4:$H$729,7,0)</f>
        <v>0</v>
      </c>
      <c r="N311" s="252">
        <f>VLOOKUP($E311,'5.1 Budget'!$A$4:$H$729,8,0)</f>
        <v>0</v>
      </c>
      <c r="V311" t="str">
        <f>VLOOKUP(D311,'[4]1. Mesures'!$A$1:$B$116,2,0)</f>
        <v xml:space="preserve"> Prévenir et gérer les pollutions accidentelles </v>
      </c>
      <c r="W311" t="str">
        <f>VLOOKUP(B311,[1]HIERARCH!$A$1:$B$57,2,0)</f>
        <v>Assurer la gestion qualitative des masses d'eau souterraine</v>
      </c>
      <c r="X311" t="str">
        <f>VLOOKUP(C311,[1]HIERARCH!$A$2:$B$57,2,0)</f>
        <v>Prévenir et limiter la détérioration des masses d’eau souterraine</v>
      </c>
      <c r="Y311" t="str">
        <f t="shared" si="15"/>
        <v>Contrôler la mise en place des conditions d’exploitation renforcées dans les permis environnement…</v>
      </c>
    </row>
    <row r="312" spans="1:25" hidden="1" x14ac:dyDescent="0.25">
      <c r="A312" s="249" t="str">
        <f t="shared" si="14"/>
        <v>2</v>
      </c>
      <c r="B312" s="249" t="str">
        <f>VLOOKUP($D312,'[4]1. Mesures'!$A$2:$G$116,6,0)</f>
        <v>OS 2.1</v>
      </c>
      <c r="C312" s="249" t="str">
        <f>VLOOKUP($D312,'[4]1. Mesures'!$A$2:$G$116,7,0)</f>
        <v>OO 2.1.4</v>
      </c>
      <c r="D312" s="249" t="str">
        <f t="shared" si="13"/>
        <v>M 2.9</v>
      </c>
      <c r="E312" s="250" t="s">
        <v>926</v>
      </c>
      <c r="F312" s="249" t="str">
        <f>VLOOKUP(E312,'5.2 Actions'!$A$3:$B$720,2,0)</f>
        <v>Développer un système de signalement de pollution accidentelle à usage de la population vers les acteurs concernés</v>
      </c>
      <c r="G312" s="251">
        <f>VLOOKUP(E312,'[4]5.2 Actions'!$A$3:$D$718,4,0)</f>
        <v>0</v>
      </c>
      <c r="H312" s="252">
        <f>VLOOKUP($E312,'5.1 Budget'!$A$4:$H$729,2,0)</f>
        <v>0</v>
      </c>
      <c r="I312" s="252">
        <f>VLOOKUP($E312,'5.1 Budget'!$A$4:$H$729,3,0)</f>
        <v>30000</v>
      </c>
      <c r="J312" s="252">
        <f>VLOOKUP($E312,'5.1 Budget'!$A$4:$H$729,4,0)</f>
        <v>0</v>
      </c>
      <c r="K312" s="252">
        <f>VLOOKUP($E312,'5.1 Budget'!$A$4:$H$729,5,0)</f>
        <v>0</v>
      </c>
      <c r="L312" s="252">
        <f>VLOOKUP($E312,'5.1 Budget'!$A$4:$H$729,6,0)</f>
        <v>0</v>
      </c>
      <c r="M312" s="252">
        <f>VLOOKUP($E312,'5.1 Budget'!$A$4:$H$729,7,0)</f>
        <v>0</v>
      </c>
      <c r="N312" s="252">
        <f>VLOOKUP($E312,'5.1 Budget'!$A$4:$H$729,8,0)</f>
        <v>30000</v>
      </c>
      <c r="V312" t="str">
        <f>VLOOKUP(D312,'[4]1. Mesures'!$A$1:$B$116,2,0)</f>
        <v xml:space="preserve"> Prévenir et gérer les pollutions accidentelles </v>
      </c>
      <c r="W312" t="str">
        <f>VLOOKUP(B312,[1]HIERARCH!$A$1:$B$57,2,0)</f>
        <v>Assurer la gestion qualitative des masses d'eau souterraine</v>
      </c>
      <c r="X312" t="str">
        <f>VLOOKUP(C312,[1]HIERARCH!$A$2:$B$57,2,0)</f>
        <v>Prévenir et limiter la détérioration des masses d’eau souterraine</v>
      </c>
      <c r="Y312" t="str">
        <f t="shared" si="15"/>
        <v>Développer un système de signalement de pollution accidentelle à usage de la population vers les acteurs concernés…</v>
      </c>
    </row>
    <row r="313" spans="1:25" hidden="1" x14ac:dyDescent="0.25">
      <c r="A313" s="249" t="str">
        <f t="shared" si="14"/>
        <v>2</v>
      </c>
      <c r="B313" s="249" t="str">
        <f>VLOOKUP($D313,'[4]1. Mesures'!$A$2:$G$116,6,0)</f>
        <v>OS 2.1</v>
      </c>
      <c r="C313" s="249" t="str">
        <f>VLOOKUP($D313,'[4]1. Mesures'!$A$2:$G$116,7,0)</f>
        <v>OO 2.1.4</v>
      </c>
      <c r="D313" s="249" t="str">
        <f t="shared" si="13"/>
        <v>M 2.9</v>
      </c>
      <c r="E313" s="250" t="s">
        <v>927</v>
      </c>
      <c r="F313" s="249" t="str">
        <f>VLOOKUP(E313,'5.2 Actions'!$A$3:$B$720,2,0)</f>
        <v>Mettre en place un plan d’intervention d’urgence de gestion de pollution avec tous les acteurs concernés</v>
      </c>
      <c r="G313" s="251">
        <f>VLOOKUP(E313,'[4]5.2 Actions'!$A$3:$D$718,4,0)</f>
        <v>0</v>
      </c>
      <c r="H313" s="252">
        <f>VLOOKUP($E313,'5.1 Budget'!$A$4:$H$729,2,0)</f>
        <v>0</v>
      </c>
      <c r="I313" s="252">
        <f>VLOOKUP($E313,'5.1 Budget'!$A$4:$H$729,3,0)</f>
        <v>0</v>
      </c>
      <c r="J313" s="252">
        <f>VLOOKUP($E313,'5.1 Budget'!$A$4:$H$729,4,0)</f>
        <v>0</v>
      </c>
      <c r="K313" s="252">
        <f>VLOOKUP($E313,'5.1 Budget'!$A$4:$H$729,5,0)</f>
        <v>0</v>
      </c>
      <c r="L313" s="252">
        <f>VLOOKUP($E313,'5.1 Budget'!$A$4:$H$729,6,0)</f>
        <v>0</v>
      </c>
      <c r="M313" s="252">
        <f>VLOOKUP($E313,'5.1 Budget'!$A$4:$H$729,7,0)</f>
        <v>0</v>
      </c>
      <c r="N313" s="252">
        <f>VLOOKUP($E313,'5.1 Budget'!$A$4:$H$729,8,0)</f>
        <v>0</v>
      </c>
      <c r="V313" t="str">
        <f>VLOOKUP(D313,'[4]1. Mesures'!$A$1:$B$116,2,0)</f>
        <v xml:space="preserve"> Prévenir et gérer les pollutions accidentelles </v>
      </c>
      <c r="W313" t="str">
        <f>VLOOKUP(B313,[1]HIERARCH!$A$1:$B$57,2,0)</f>
        <v>Assurer la gestion qualitative des masses d'eau souterraine</v>
      </c>
      <c r="X313" t="str">
        <f>VLOOKUP(C313,[1]HIERARCH!$A$2:$B$57,2,0)</f>
        <v>Prévenir et limiter la détérioration des masses d’eau souterraine</v>
      </c>
      <c r="Y313" t="str">
        <f t="shared" si="15"/>
        <v>Mettre en place un plan d’intervention d’urgence de gestion de pollution avec tous les acteurs concernés…</v>
      </c>
    </row>
    <row r="314" spans="1:25" hidden="1" x14ac:dyDescent="0.25">
      <c r="A314" s="249" t="str">
        <f t="shared" si="14"/>
        <v>2</v>
      </c>
      <c r="B314" s="249" t="str">
        <f>VLOOKUP($D314,'[4]1. Mesures'!$A$2:$G$116,6,0)</f>
        <v>OS 2.2</v>
      </c>
      <c r="C314" s="249" t="str">
        <f>VLOOKUP($D314,'[4]1. Mesures'!$A$2:$G$116,7,0)</f>
        <v>OO 2.2.1</v>
      </c>
      <c r="D314" s="249" t="str">
        <f>"M"&amp;" "&amp;LEFT(E314,4)</f>
        <v>M 2.10</v>
      </c>
      <c r="E314" s="250" t="s">
        <v>868</v>
      </c>
      <c r="F314" s="249" t="str">
        <f>VLOOKUP(E314,'5.2 Actions'!$A$3:$B$720,2,0)</f>
        <v>Poursuivre la surveillance quantitative (piézomètres et sources pérennes)</v>
      </c>
      <c r="G314" s="251">
        <f>VLOOKUP(E314,'[4]5.2 Actions'!$A$3:$D$718,4,0)</f>
        <v>0</v>
      </c>
      <c r="H314" s="252">
        <f>VLOOKUP($E314,'5.1 Budget'!$A$4:$H$729,2,0)</f>
        <v>0</v>
      </c>
      <c r="I314" s="252">
        <f>VLOOKUP($E314,'5.1 Budget'!$A$4:$H$729,3,0)</f>
        <v>0</v>
      </c>
      <c r="J314" s="252">
        <f>VLOOKUP($E314,'5.1 Budget'!$A$4:$H$729,4,0)</f>
        <v>0</v>
      </c>
      <c r="K314" s="252">
        <f>VLOOKUP($E314,'5.1 Budget'!$A$4:$H$729,5,0)</f>
        <v>0</v>
      </c>
      <c r="L314" s="252">
        <f>VLOOKUP($E314,'5.1 Budget'!$A$4:$H$729,6,0)</f>
        <v>0</v>
      </c>
      <c r="M314" s="252">
        <f>VLOOKUP($E314,'5.1 Budget'!$A$4:$H$729,7,0)</f>
        <v>0</v>
      </c>
      <c r="N314" s="252">
        <f>VLOOKUP($E314,'5.1 Budget'!$A$4:$H$729,8,0)</f>
        <v>0</v>
      </c>
      <c r="V314" t="str">
        <f>VLOOKUP(D314,'[4]1. Mesures'!$A$1:$B$116,2,0)</f>
        <v>Poursuivre et améliorer la surveillance quantitative pour caractériser l'état des masses d'eau</v>
      </c>
      <c r="W314" t="str">
        <f>VLOOKUP(B314,[1]HIERARCH!$A$1:$B$57,2,0)</f>
        <v xml:space="preserve"> Gérer quantitativement la ressource en eau souterraine</v>
      </c>
      <c r="X314" t="str">
        <f>VLOOKUP(C314,[1]HIERARCH!$A$2:$B$57,2,0)</f>
        <v>Gérer de façon durable la ressource en eau souterraine</v>
      </c>
      <c r="Y314" t="str">
        <f t="shared" si="15"/>
        <v>Poursuivre la surveillance quantitative (piézomètres et sources pérennes)…</v>
      </c>
    </row>
    <row r="315" spans="1:25" hidden="1" x14ac:dyDescent="0.25">
      <c r="A315" s="249" t="str">
        <f t="shared" si="14"/>
        <v>2</v>
      </c>
      <c r="B315" s="249" t="str">
        <f>VLOOKUP($D315,'[4]1. Mesures'!$A$2:$G$116,6,0)</f>
        <v>OS 2.2</v>
      </c>
      <c r="C315" s="249" t="str">
        <f>VLOOKUP($D315,'[4]1. Mesures'!$A$2:$G$116,7,0)</f>
        <v>OO 2.2.1</v>
      </c>
      <c r="D315" s="249" t="str">
        <f t="shared" ref="D315:D321" si="16">"M"&amp;" "&amp;LEFT(E315,4)</f>
        <v>M 2.10</v>
      </c>
      <c r="E315" s="250" t="s">
        <v>869</v>
      </c>
      <c r="F315" s="249" t="str">
        <f>VLOOKUP(E315,'5.2 Actions'!$A$3:$B$720,2,0)</f>
        <v>Améliorer la surveillance quantitative, en intégrant de nouveaux sites de surveillance piézométriques au réseau existant</v>
      </c>
      <c r="G315" s="251">
        <f>VLOOKUP(E315,'[4]5.2 Actions'!$A$3:$D$718,4,0)</f>
        <v>0</v>
      </c>
      <c r="H315" s="252">
        <f>VLOOKUP($E315,'5.1 Budget'!$A$4:$H$729,2,0)</f>
        <v>0</v>
      </c>
      <c r="I315" s="252">
        <f>VLOOKUP($E315,'5.1 Budget'!$A$4:$H$729,3,0)</f>
        <v>150000</v>
      </c>
      <c r="J315" s="252">
        <f>VLOOKUP($E315,'5.1 Budget'!$A$4:$H$729,4,0)</f>
        <v>0</v>
      </c>
      <c r="K315" s="252">
        <f>VLOOKUP($E315,'5.1 Budget'!$A$4:$H$729,5,0)</f>
        <v>0</v>
      </c>
      <c r="L315" s="252">
        <f>VLOOKUP($E315,'5.1 Budget'!$A$4:$H$729,6,0)</f>
        <v>0</v>
      </c>
      <c r="M315" s="252">
        <f>VLOOKUP($E315,'5.1 Budget'!$A$4:$H$729,7,0)</f>
        <v>0</v>
      </c>
      <c r="N315" s="252">
        <f>VLOOKUP($E315,'5.1 Budget'!$A$4:$H$729,8,0)</f>
        <v>150000</v>
      </c>
      <c r="V315" t="str">
        <f>VLOOKUP(D315,'[4]1. Mesures'!$A$1:$B$116,2,0)</f>
        <v>Poursuivre et améliorer la surveillance quantitative pour caractériser l'état des masses d'eau</v>
      </c>
      <c r="W315" t="str">
        <f>VLOOKUP(B315,[1]HIERARCH!$A$1:$B$57,2,0)</f>
        <v xml:space="preserve"> Gérer quantitativement la ressource en eau souterraine</v>
      </c>
      <c r="X315" t="str">
        <f>VLOOKUP(C315,[1]HIERARCH!$A$2:$B$57,2,0)</f>
        <v>Gérer de façon durable la ressource en eau souterraine</v>
      </c>
      <c r="Y315" t="str">
        <f t="shared" si="15"/>
        <v>Améliorer la surveillance quantitative, en intégrant de nouveaux sites de surveillance piézométriques au réseau existant…</v>
      </c>
    </row>
    <row r="316" spans="1:25" hidden="1" x14ac:dyDescent="0.25">
      <c r="A316" s="249" t="str">
        <f t="shared" si="14"/>
        <v>2</v>
      </c>
      <c r="B316" s="249" t="str">
        <f>VLOOKUP($D316,'[4]1. Mesures'!$A$2:$G$116,6,0)</f>
        <v>OS 2.2</v>
      </c>
      <c r="C316" s="249" t="str">
        <f>VLOOKUP($D316,'[4]1. Mesures'!$A$2:$G$116,7,0)</f>
        <v>OO 2.2.1</v>
      </c>
      <c r="D316" s="249" t="str">
        <f t="shared" si="16"/>
        <v>M 2.10</v>
      </c>
      <c r="E316" s="250" t="s">
        <v>870</v>
      </c>
      <c r="F316" s="249" t="str">
        <f>VLOOKUP(E316,'5.2 Actions'!$A$3:$B$720,2,0)</f>
        <v>Assurer et renforcer la pérennité des sites de surveillance</v>
      </c>
      <c r="G316" s="251">
        <f>VLOOKUP(E316,'[4]5.2 Actions'!$A$3:$D$718,4,0)</f>
        <v>0</v>
      </c>
      <c r="H316" s="252">
        <f>VLOOKUP($E316,'5.1 Budget'!$A$4:$H$729,2,0)</f>
        <v>0</v>
      </c>
      <c r="I316" s="252">
        <f>VLOOKUP($E316,'5.1 Budget'!$A$4:$H$729,3,0)</f>
        <v>0</v>
      </c>
      <c r="J316" s="252">
        <f>VLOOKUP($E316,'5.1 Budget'!$A$4:$H$729,4,0)</f>
        <v>0</v>
      </c>
      <c r="K316" s="252">
        <f>VLOOKUP($E316,'5.1 Budget'!$A$4:$H$729,5,0)</f>
        <v>0</v>
      </c>
      <c r="L316" s="252">
        <f>VLOOKUP($E316,'5.1 Budget'!$A$4:$H$729,6,0)</f>
        <v>0</v>
      </c>
      <c r="M316" s="252">
        <f>VLOOKUP($E316,'5.1 Budget'!$A$4:$H$729,7,0)</f>
        <v>0</v>
      </c>
      <c r="N316" s="252">
        <f>VLOOKUP($E316,'5.1 Budget'!$A$4:$H$729,8,0)</f>
        <v>0</v>
      </c>
      <c r="V316" t="str">
        <f>VLOOKUP(D316,'[4]1. Mesures'!$A$1:$B$116,2,0)</f>
        <v>Poursuivre et améliorer la surveillance quantitative pour caractériser l'état des masses d'eau</v>
      </c>
      <c r="W316" t="str">
        <f>VLOOKUP(B316,[1]HIERARCH!$A$1:$B$57,2,0)</f>
        <v xml:space="preserve"> Gérer quantitativement la ressource en eau souterraine</v>
      </c>
      <c r="X316" t="str">
        <f>VLOOKUP(C316,[1]HIERARCH!$A$2:$B$57,2,0)</f>
        <v>Gérer de façon durable la ressource en eau souterraine</v>
      </c>
      <c r="Y316" t="str">
        <f t="shared" si="15"/>
        <v>Assurer et renforcer la pérennité des sites de surveillance…</v>
      </c>
    </row>
    <row r="317" spans="1:25" hidden="1" x14ac:dyDescent="0.25">
      <c r="A317" s="249" t="str">
        <f t="shared" si="14"/>
        <v>2</v>
      </c>
      <c r="B317" s="249" t="str">
        <f>VLOOKUP($D317,'[4]1. Mesures'!$A$2:$G$116,6,0)</f>
        <v>OS 2.2</v>
      </c>
      <c r="C317" s="249" t="str">
        <f>VLOOKUP($D317,'[4]1. Mesures'!$A$2:$G$116,7,0)</f>
        <v>OO 2.2.1</v>
      </c>
      <c r="D317" s="249" t="str">
        <f t="shared" si="16"/>
        <v>M 2.11</v>
      </c>
      <c r="E317" s="250" t="s">
        <v>871</v>
      </c>
      <c r="F317" s="249" t="str">
        <f>VLOOKUP(E317,'5.2 Actions'!$A$3:$B$720,2,0)</f>
        <v>Upgrade BrugeoTool (v2+)</v>
      </c>
      <c r="G317" s="251">
        <f>VLOOKUP(E317,'[4]5.2 Actions'!$A$3:$D$718,4,0)</f>
        <v>0</v>
      </c>
      <c r="H317" s="252">
        <f>VLOOKUP($E317,'5.1 Budget'!$A$4:$H$729,2,0)</f>
        <v>30000</v>
      </c>
      <c r="I317" s="252">
        <f>VLOOKUP($E317,'5.1 Budget'!$A$4:$H$729,3,0)</f>
        <v>0</v>
      </c>
      <c r="J317" s="252">
        <f>VLOOKUP($E317,'5.1 Budget'!$A$4:$H$729,4,0)</f>
        <v>0</v>
      </c>
      <c r="K317" s="252">
        <f>VLOOKUP($E317,'5.1 Budget'!$A$4:$H$729,5,0)</f>
        <v>30000</v>
      </c>
      <c r="L317" s="252">
        <f>VLOOKUP($E317,'5.1 Budget'!$A$4:$H$729,6,0)</f>
        <v>0</v>
      </c>
      <c r="M317" s="252">
        <f>VLOOKUP($E317,'5.1 Budget'!$A$4:$H$729,7,0)</f>
        <v>0</v>
      </c>
      <c r="N317" s="252">
        <f>VLOOKUP($E317,'5.1 Budget'!$A$4:$H$729,8,0)</f>
        <v>60000</v>
      </c>
      <c r="V317" t="str">
        <f>VLOOKUP(D317,'[4]1. Mesures'!$A$1:$B$116,2,0)</f>
        <v>Modéliser la géologie et l'hydrogéologie du sous-sol bruxellois</v>
      </c>
      <c r="W317" t="str">
        <f>VLOOKUP(B317,[1]HIERARCH!$A$1:$B$57,2,0)</f>
        <v xml:space="preserve"> Gérer quantitativement la ressource en eau souterraine</v>
      </c>
      <c r="X317" t="str">
        <f>VLOOKUP(C317,[1]HIERARCH!$A$2:$B$57,2,0)</f>
        <v>Gérer de façon durable la ressource en eau souterraine</v>
      </c>
      <c r="Y317" t="str">
        <f t="shared" si="15"/>
        <v>Upgrade BrugeoTool (v2+)…</v>
      </c>
    </row>
    <row r="318" spans="1:25" hidden="1" x14ac:dyDescent="0.25">
      <c r="A318" s="249" t="str">
        <f t="shared" si="14"/>
        <v>2</v>
      </c>
      <c r="B318" s="249" t="str">
        <f>VLOOKUP($D318,'[4]1. Mesures'!$A$2:$G$116,6,0)</f>
        <v>OS 2.2</v>
      </c>
      <c r="C318" s="249" t="str">
        <f>VLOOKUP($D318,'[4]1. Mesures'!$A$2:$G$116,7,0)</f>
        <v>OO 2.2.1</v>
      </c>
      <c r="D318" s="249" t="str">
        <f t="shared" si="16"/>
        <v>M 2.11</v>
      </c>
      <c r="E318" s="250" t="s">
        <v>872</v>
      </c>
      <c r="F318" s="249" t="str">
        <f>VLOOKUP(E318,'5.2 Actions'!$A$3:$B$720,2,0)</f>
        <v>Upgrade Brustrati3D (v2+)</v>
      </c>
      <c r="G318" s="251">
        <f>VLOOKUP(E318,'[4]5.2 Actions'!$A$3:$D$718,4,0)</f>
        <v>0</v>
      </c>
      <c r="H318" s="252">
        <f>VLOOKUP($E318,'5.1 Budget'!$A$4:$H$729,2,0)</f>
        <v>50000</v>
      </c>
      <c r="I318" s="252">
        <f>VLOOKUP($E318,'5.1 Budget'!$A$4:$H$729,3,0)</f>
        <v>0</v>
      </c>
      <c r="J318" s="252">
        <f>VLOOKUP($E318,'5.1 Budget'!$A$4:$H$729,4,0)</f>
        <v>0</v>
      </c>
      <c r="K318" s="252">
        <f>VLOOKUP($E318,'5.1 Budget'!$A$4:$H$729,5,0)</f>
        <v>50000</v>
      </c>
      <c r="L318" s="252">
        <f>VLOOKUP($E318,'5.1 Budget'!$A$4:$H$729,6,0)</f>
        <v>0</v>
      </c>
      <c r="M318" s="252">
        <f>VLOOKUP($E318,'5.1 Budget'!$A$4:$H$729,7,0)</f>
        <v>0</v>
      </c>
      <c r="N318" s="252">
        <f>VLOOKUP($E318,'5.1 Budget'!$A$4:$H$729,8,0)</f>
        <v>100000</v>
      </c>
      <c r="V318" t="str">
        <f>VLOOKUP(D318,'[4]1. Mesures'!$A$1:$B$116,2,0)</f>
        <v>Modéliser la géologie et l'hydrogéologie du sous-sol bruxellois</v>
      </c>
      <c r="W318" t="str">
        <f>VLOOKUP(B318,[1]HIERARCH!$A$1:$B$57,2,0)</f>
        <v xml:space="preserve"> Gérer quantitativement la ressource en eau souterraine</v>
      </c>
      <c r="X318" t="str">
        <f>VLOOKUP(C318,[1]HIERARCH!$A$2:$B$57,2,0)</f>
        <v>Gérer de façon durable la ressource en eau souterraine</v>
      </c>
      <c r="Y318" t="str">
        <f t="shared" si="15"/>
        <v>Upgrade Brustrati3D (v2+)…</v>
      </c>
    </row>
    <row r="319" spans="1:25" hidden="1" x14ac:dyDescent="0.25">
      <c r="A319" s="249" t="str">
        <f t="shared" si="14"/>
        <v>2</v>
      </c>
      <c r="B319" s="249" t="str">
        <f>VLOOKUP($D319,'[4]1. Mesures'!$A$2:$G$116,6,0)</f>
        <v>OS 2.2</v>
      </c>
      <c r="C319" s="249" t="str">
        <f>VLOOKUP($D319,'[4]1. Mesures'!$A$2:$G$116,7,0)</f>
        <v>OO 2.2.1</v>
      </c>
      <c r="D319" s="249" t="str">
        <f t="shared" si="16"/>
        <v>M 2.11</v>
      </c>
      <c r="E319" s="250" t="s">
        <v>873</v>
      </c>
      <c r="F319" s="249" t="str">
        <f>VLOOKUP(E319,'5.2 Actions'!$A$3:$B$720,2,0)</f>
        <v>Upgrade BPSM (v2+)</v>
      </c>
      <c r="G319" s="251">
        <f>VLOOKUP(E319,'[4]5.2 Actions'!$A$3:$D$718,4,0)</f>
        <v>0</v>
      </c>
      <c r="H319" s="252">
        <f>VLOOKUP($E319,'5.1 Budget'!$A$4:$H$729,2,0)</f>
        <v>0</v>
      </c>
      <c r="I319" s="252">
        <f>VLOOKUP($E319,'5.1 Budget'!$A$4:$H$729,3,0)</f>
        <v>0</v>
      </c>
      <c r="J319" s="252">
        <f>VLOOKUP($E319,'5.1 Budget'!$A$4:$H$729,4,0)</f>
        <v>0</v>
      </c>
      <c r="K319" s="252">
        <f>VLOOKUP($E319,'5.1 Budget'!$A$4:$H$729,5,0)</f>
        <v>0</v>
      </c>
      <c r="L319" s="252">
        <f>VLOOKUP($E319,'5.1 Budget'!$A$4:$H$729,6,0)</f>
        <v>0</v>
      </c>
      <c r="M319" s="252">
        <f>VLOOKUP($E319,'5.1 Budget'!$A$4:$H$729,7,0)</f>
        <v>0</v>
      </c>
      <c r="N319" s="252">
        <f>VLOOKUP($E319,'5.1 Budget'!$A$4:$H$729,8,0)</f>
        <v>0</v>
      </c>
      <c r="V319" t="str">
        <f>VLOOKUP(D319,'[4]1. Mesures'!$A$1:$B$116,2,0)</f>
        <v>Modéliser la géologie et l'hydrogéologie du sous-sol bruxellois</v>
      </c>
      <c r="W319" t="str">
        <f>VLOOKUP(B319,[1]HIERARCH!$A$1:$B$57,2,0)</f>
        <v xml:space="preserve"> Gérer quantitativement la ressource en eau souterraine</v>
      </c>
      <c r="X319" t="str">
        <f>VLOOKUP(C319,[1]HIERARCH!$A$2:$B$57,2,0)</f>
        <v>Gérer de façon durable la ressource en eau souterraine</v>
      </c>
      <c r="Y319" t="str">
        <f t="shared" si="15"/>
        <v>Upgrade BPSM (v2+)…</v>
      </c>
    </row>
    <row r="320" spans="1:25" hidden="1" x14ac:dyDescent="0.25">
      <c r="A320" s="249" t="str">
        <f t="shared" si="14"/>
        <v>2</v>
      </c>
      <c r="B320" s="249" t="str">
        <f>VLOOKUP($D320,'[4]1. Mesures'!$A$2:$G$116,6,0)</f>
        <v>OS 2.2</v>
      </c>
      <c r="C320" s="249" t="str">
        <f>VLOOKUP($D320,'[4]1. Mesures'!$A$2:$G$116,7,0)</f>
        <v>OO 2.2.1</v>
      </c>
      <c r="D320" s="249" t="str">
        <f t="shared" si="16"/>
        <v>M 2.11</v>
      </c>
      <c r="E320" s="250" t="s">
        <v>874</v>
      </c>
      <c r="F320" s="249" t="str">
        <f>VLOOKUP(E320,'5.2 Actions'!$A$3:$B$720,2,0)</f>
        <v>Upgrade Hydroland (v2+)</v>
      </c>
      <c r="G320" s="251">
        <f>VLOOKUP(E320,'[4]5.2 Actions'!$A$3:$D$718,4,0)</f>
        <v>0</v>
      </c>
      <c r="H320" s="252">
        <f>VLOOKUP($E320,'5.1 Budget'!$A$4:$H$729,2,0)</f>
        <v>0</v>
      </c>
      <c r="I320" s="252">
        <f>VLOOKUP($E320,'5.1 Budget'!$A$4:$H$729,3,0)</f>
        <v>0</v>
      </c>
      <c r="J320" s="252">
        <f>VLOOKUP($E320,'5.1 Budget'!$A$4:$H$729,4,0)</f>
        <v>0</v>
      </c>
      <c r="K320" s="252">
        <f>VLOOKUP($E320,'5.1 Budget'!$A$4:$H$729,5,0)</f>
        <v>0</v>
      </c>
      <c r="L320" s="252">
        <f>VLOOKUP($E320,'5.1 Budget'!$A$4:$H$729,6,0)</f>
        <v>0</v>
      </c>
      <c r="M320" s="252">
        <f>VLOOKUP($E320,'5.1 Budget'!$A$4:$H$729,7,0)</f>
        <v>0</v>
      </c>
      <c r="N320" s="252">
        <f>VLOOKUP($E320,'5.1 Budget'!$A$4:$H$729,8,0)</f>
        <v>0</v>
      </c>
      <c r="V320" t="str">
        <f>VLOOKUP(D320,'[4]1. Mesures'!$A$1:$B$116,2,0)</f>
        <v>Modéliser la géologie et l'hydrogéologie du sous-sol bruxellois</v>
      </c>
      <c r="W320" t="str">
        <f>VLOOKUP(B320,[1]HIERARCH!$A$1:$B$57,2,0)</f>
        <v xml:space="preserve"> Gérer quantitativement la ressource en eau souterraine</v>
      </c>
      <c r="X320" t="str">
        <f>VLOOKUP(C320,[1]HIERARCH!$A$2:$B$57,2,0)</f>
        <v>Gérer de façon durable la ressource en eau souterraine</v>
      </c>
      <c r="Y320" t="str">
        <f t="shared" si="15"/>
        <v>Upgrade Hydroland (v2+)…</v>
      </c>
    </row>
    <row r="321" spans="1:25" hidden="1" x14ac:dyDescent="0.25">
      <c r="A321" s="249" t="str">
        <f t="shared" si="14"/>
        <v>2</v>
      </c>
      <c r="B321" s="249" t="str">
        <f>VLOOKUP($D321,'[4]1. Mesures'!$A$2:$G$116,6,0)</f>
        <v>OS 2.2</v>
      </c>
      <c r="C321" s="249" t="str">
        <f>VLOOKUP($D321,'[4]1. Mesures'!$A$2:$G$116,7,0)</f>
        <v>OO 2.2.1</v>
      </c>
      <c r="D321" s="249" t="str">
        <f t="shared" si="16"/>
        <v>M 2.11</v>
      </c>
      <c r="E321" s="250" t="s">
        <v>875</v>
      </c>
      <c r="F321" s="249" t="str">
        <f>VLOOKUP(E321,'5.2 Actions'!$A$3:$B$720,2,0)</f>
        <v>Simulations prédictives prioritaires (BPSM, Hydroland)</v>
      </c>
      <c r="G321" s="251">
        <f>VLOOKUP(E321,'[4]5.2 Actions'!$A$3:$D$718,4,0)</f>
        <v>0</v>
      </c>
      <c r="H321" s="252">
        <f>VLOOKUP($E321,'5.1 Budget'!$A$4:$H$729,2,0)</f>
        <v>0</v>
      </c>
      <c r="I321" s="252">
        <f>VLOOKUP($E321,'5.1 Budget'!$A$4:$H$729,3,0)</f>
        <v>0</v>
      </c>
      <c r="J321" s="252">
        <f>VLOOKUP($E321,'5.1 Budget'!$A$4:$H$729,4,0)</f>
        <v>0</v>
      </c>
      <c r="K321" s="252">
        <f>VLOOKUP($E321,'5.1 Budget'!$A$4:$H$729,5,0)</f>
        <v>0</v>
      </c>
      <c r="L321" s="252">
        <f>VLOOKUP($E321,'5.1 Budget'!$A$4:$H$729,6,0)</f>
        <v>0</v>
      </c>
      <c r="M321" s="252">
        <f>VLOOKUP($E321,'5.1 Budget'!$A$4:$H$729,7,0)</f>
        <v>0</v>
      </c>
      <c r="N321" s="252">
        <f>VLOOKUP($E321,'5.1 Budget'!$A$4:$H$729,8,0)</f>
        <v>0</v>
      </c>
      <c r="V321" t="str">
        <f>VLOOKUP(D321,'[4]1. Mesures'!$A$1:$B$116,2,0)</f>
        <v>Modéliser la géologie et l'hydrogéologie du sous-sol bruxellois</v>
      </c>
      <c r="W321" t="str">
        <f>VLOOKUP(B321,[1]HIERARCH!$A$1:$B$57,2,0)</f>
        <v xml:space="preserve"> Gérer quantitativement la ressource en eau souterraine</v>
      </c>
      <c r="X321" t="str">
        <f>VLOOKUP(C321,[1]HIERARCH!$A$2:$B$57,2,0)</f>
        <v>Gérer de façon durable la ressource en eau souterraine</v>
      </c>
      <c r="Y321" t="str">
        <f t="shared" si="15"/>
        <v>Simulations prédictives prioritaires (BPSM, Hydroland)…</v>
      </c>
    </row>
    <row r="322" spans="1:25" hidden="1" x14ac:dyDescent="0.25">
      <c r="A322" s="249" t="str">
        <f t="shared" si="14"/>
        <v>2</v>
      </c>
      <c r="B322" s="249" t="str">
        <f>VLOOKUP($D322,'[4]1. Mesures'!$A$2:$G$116,6,0)</f>
        <v>OS 2.2</v>
      </c>
      <c r="C322" s="249" t="str">
        <f>VLOOKUP($D322,'[4]1. Mesures'!$A$2:$G$116,7,0)</f>
        <v>OO 2.2.1</v>
      </c>
      <c r="D322" s="249" t="str">
        <f>"M"&amp;" "&amp;LEFT(E322,4)</f>
        <v>M 2.12</v>
      </c>
      <c r="E322" s="250" t="s">
        <v>876</v>
      </c>
      <c r="F322" s="249" t="str">
        <f>VLOOKUP(E322,'5.2 Actions'!$A$3:$B$720,2,0)</f>
        <v>Développer une stratégie de gestion des captages d’eau souterraine</v>
      </c>
      <c r="G322" s="251">
        <f>VLOOKUP(E322,'[4]5.2 Actions'!$A$3:$D$718,4,0)</f>
        <v>0</v>
      </c>
      <c r="H322" s="252">
        <f>VLOOKUP($E322,'5.1 Budget'!$A$4:$H$729,2,0)</f>
        <v>0</v>
      </c>
      <c r="I322" s="252">
        <f>VLOOKUP($E322,'5.1 Budget'!$A$4:$H$729,3,0)</f>
        <v>0</v>
      </c>
      <c r="J322" s="252">
        <f>VLOOKUP($E322,'5.1 Budget'!$A$4:$H$729,4,0)</f>
        <v>0</v>
      </c>
      <c r="K322" s="252">
        <f>VLOOKUP($E322,'5.1 Budget'!$A$4:$H$729,5,0)</f>
        <v>0</v>
      </c>
      <c r="L322" s="252">
        <f>VLOOKUP($E322,'5.1 Budget'!$A$4:$H$729,6,0)</f>
        <v>0</v>
      </c>
      <c r="M322" s="252">
        <f>VLOOKUP($E322,'5.1 Budget'!$A$4:$H$729,7,0)</f>
        <v>0</v>
      </c>
      <c r="N322" s="252">
        <f>VLOOKUP($E322,'5.1 Budget'!$A$4:$H$729,8,0)</f>
        <v>0</v>
      </c>
      <c r="V322" t="str">
        <f>VLOOKUP(D322,'[4]1. Mesures'!$A$1:$B$116,2,0)</f>
        <v>Développer une stratégie de gestion des captages d’eau souterraine</v>
      </c>
      <c r="W322" t="str">
        <f>VLOOKUP(B322,[1]HIERARCH!$A$1:$B$57,2,0)</f>
        <v xml:space="preserve"> Gérer quantitativement la ressource en eau souterraine</v>
      </c>
      <c r="X322" t="str">
        <f>VLOOKUP(C322,[1]HIERARCH!$A$2:$B$57,2,0)</f>
        <v>Gérer de façon durable la ressource en eau souterraine</v>
      </c>
      <c r="Y322" t="str">
        <f t="shared" si="15"/>
        <v>Développer une stratégie de gestion des captages d’eau souterraine…</v>
      </c>
    </row>
    <row r="323" spans="1:25" hidden="1" x14ac:dyDescent="0.25">
      <c r="A323" s="249" t="str">
        <f t="shared" si="14"/>
        <v>2</v>
      </c>
      <c r="B323" s="249" t="str">
        <f>VLOOKUP($D323,'[4]1. Mesures'!$A$2:$G$116,6,0)</f>
        <v>OS 2.2</v>
      </c>
      <c r="C323" s="249" t="str">
        <f>VLOOKUP($D323,'[4]1. Mesures'!$A$2:$G$116,7,0)</f>
        <v>OO 2.2.1</v>
      </c>
      <c r="D323" s="249" t="str">
        <f t="shared" ref="D323:D331" si="17">"M"&amp;" "&amp;LEFT(E323,4)</f>
        <v>M 2.12</v>
      </c>
      <c r="E323" s="250" t="s">
        <v>877</v>
      </c>
      <c r="F323" s="249" t="str">
        <f>VLOOKUP(E323,'5.2 Actions'!$A$3:$B$720,2,0)</f>
        <v>Opérationnaliser cette stratégie dans le cadre des futures autorisations de captage et révision d’autorisation.</v>
      </c>
      <c r="G323" s="251">
        <f>VLOOKUP(E323,'[4]5.2 Actions'!$A$3:$D$718,4,0)</f>
        <v>0</v>
      </c>
      <c r="H323" s="252">
        <f>VLOOKUP($E323,'5.1 Budget'!$A$4:$H$729,2,0)</f>
        <v>0</v>
      </c>
      <c r="I323" s="252">
        <f>VLOOKUP($E323,'5.1 Budget'!$A$4:$H$729,3,0)</f>
        <v>0</v>
      </c>
      <c r="J323" s="252">
        <f>VLOOKUP($E323,'5.1 Budget'!$A$4:$H$729,4,0)</f>
        <v>0</v>
      </c>
      <c r="K323" s="252">
        <f>VLOOKUP($E323,'5.1 Budget'!$A$4:$H$729,5,0)</f>
        <v>0</v>
      </c>
      <c r="L323" s="252">
        <f>VLOOKUP($E323,'5.1 Budget'!$A$4:$H$729,6,0)</f>
        <v>0</v>
      </c>
      <c r="M323" s="252">
        <f>VLOOKUP($E323,'5.1 Budget'!$A$4:$H$729,7,0)</f>
        <v>0</v>
      </c>
      <c r="N323" s="252">
        <f>VLOOKUP($E323,'5.1 Budget'!$A$4:$H$729,8,0)</f>
        <v>0</v>
      </c>
      <c r="V323" t="str">
        <f>VLOOKUP(D323,'[4]1. Mesures'!$A$1:$B$116,2,0)</f>
        <v>Développer une stratégie de gestion des captages d’eau souterraine</v>
      </c>
      <c r="W323" t="str">
        <f>VLOOKUP(B323,[1]HIERARCH!$A$1:$B$57,2,0)</f>
        <v xml:space="preserve"> Gérer quantitativement la ressource en eau souterraine</v>
      </c>
      <c r="X323" t="str">
        <f>VLOOKUP(C323,[1]HIERARCH!$A$2:$B$57,2,0)</f>
        <v>Gérer de façon durable la ressource en eau souterraine</v>
      </c>
      <c r="Y323" t="str">
        <f t="shared" si="15"/>
        <v>Opérationnaliser cette stratégie dans le cadre des futures autorisations de captage et révision d’autorisation.…</v>
      </c>
    </row>
    <row r="324" spans="1:25" hidden="1" x14ac:dyDescent="0.25">
      <c r="A324" s="249" t="str">
        <f t="shared" si="14"/>
        <v>2</v>
      </c>
      <c r="B324" s="249" t="str">
        <f>VLOOKUP($D324,'[4]1. Mesures'!$A$2:$G$116,6,0)</f>
        <v>OS 2.2</v>
      </c>
      <c r="C324" s="249" t="str">
        <f>VLOOKUP($D324,'[4]1. Mesures'!$A$2:$G$116,7,0)</f>
        <v>OO 2.2.1</v>
      </c>
      <c r="D324" s="249" t="str">
        <f t="shared" si="17"/>
        <v>M 2.13</v>
      </c>
      <c r="E324" s="250" t="s">
        <v>878</v>
      </c>
      <c r="F324" s="249" t="str">
        <f>VLOOKUP(E324,'5.2 Actions'!$A$3:$B$720,2,0)</f>
        <v>Effectuer un recensement annuel de tous les captages permanents et temporaires existants et dresser un état des lieux des captages actifs, inactifs et hors service</v>
      </c>
      <c r="G324" s="251">
        <f>VLOOKUP(E324,'[4]5.2 Actions'!$A$3:$D$718,4,0)</f>
        <v>0</v>
      </c>
      <c r="H324" s="252">
        <f>VLOOKUP($E324,'5.1 Budget'!$A$4:$H$729,2,0)</f>
        <v>0</v>
      </c>
      <c r="I324" s="252">
        <f>VLOOKUP($E324,'5.1 Budget'!$A$4:$H$729,3,0)</f>
        <v>0</v>
      </c>
      <c r="J324" s="252">
        <f>VLOOKUP($E324,'5.1 Budget'!$A$4:$H$729,4,0)</f>
        <v>0</v>
      </c>
      <c r="K324" s="252">
        <f>VLOOKUP($E324,'5.1 Budget'!$A$4:$H$729,5,0)</f>
        <v>0</v>
      </c>
      <c r="L324" s="252">
        <f>VLOOKUP($E324,'5.1 Budget'!$A$4:$H$729,6,0)</f>
        <v>0</v>
      </c>
      <c r="M324" s="252">
        <f>VLOOKUP($E324,'5.1 Budget'!$A$4:$H$729,7,0)</f>
        <v>0</v>
      </c>
      <c r="N324" s="252">
        <f>VLOOKUP($E324,'5.1 Budget'!$A$4:$H$729,8,0)</f>
        <v>0</v>
      </c>
      <c r="V324" t="str">
        <f>VLOOKUP(D324,'[4]1. Mesures'!$A$1:$B$116,2,0)</f>
        <v>Gérer les autorisations de captages et en assurer les contrôles</v>
      </c>
      <c r="W324" t="str">
        <f>VLOOKUP(B324,[1]HIERARCH!$A$1:$B$57,2,0)</f>
        <v xml:space="preserve"> Gérer quantitativement la ressource en eau souterraine</v>
      </c>
      <c r="X324" t="str">
        <f>VLOOKUP(C324,[1]HIERARCH!$A$2:$B$57,2,0)</f>
        <v>Gérer de façon durable la ressource en eau souterraine</v>
      </c>
      <c r="Y324" t="str">
        <f t="shared" si="15"/>
        <v>Effectuer un recensement annuel de tous les captages permanents et temporaires existants et dresser un état des lieux de…</v>
      </c>
    </row>
    <row r="325" spans="1:25" hidden="1" x14ac:dyDescent="0.25">
      <c r="A325" s="249" t="str">
        <f t="shared" si="14"/>
        <v>2</v>
      </c>
      <c r="B325" s="249" t="str">
        <f>VLOOKUP($D325,'[4]1. Mesures'!$A$2:$G$116,6,0)</f>
        <v>OS 2.2</v>
      </c>
      <c r="C325" s="249" t="str">
        <f>VLOOKUP($D325,'[4]1. Mesures'!$A$2:$G$116,7,0)</f>
        <v>OO 2.2.1</v>
      </c>
      <c r="D325" s="249" t="str">
        <f t="shared" si="17"/>
        <v>M 2.13</v>
      </c>
      <c r="E325" s="250" t="s">
        <v>879</v>
      </c>
      <c r="F325" s="249" t="str">
        <f>VLOOKUP(E325,'5.2 Actions'!$A$3:$B$720,2,0)</f>
        <v>Tenir à jour la base de données reprenant l’ensemble des données technico-administratives relatives aux captages et à leur autorisation</v>
      </c>
      <c r="G325" s="251">
        <f>VLOOKUP(E325,'[4]5.2 Actions'!$A$3:$D$718,4,0)</f>
        <v>0</v>
      </c>
      <c r="H325" s="252">
        <f>VLOOKUP($E325,'5.1 Budget'!$A$4:$H$729,2,0)</f>
        <v>0</v>
      </c>
      <c r="I325" s="252">
        <f>VLOOKUP($E325,'5.1 Budget'!$A$4:$H$729,3,0)</f>
        <v>0</v>
      </c>
      <c r="J325" s="252">
        <f>VLOOKUP($E325,'5.1 Budget'!$A$4:$H$729,4,0)</f>
        <v>0</v>
      </c>
      <c r="K325" s="252">
        <f>VLOOKUP($E325,'5.1 Budget'!$A$4:$H$729,5,0)</f>
        <v>0</v>
      </c>
      <c r="L325" s="252">
        <f>VLOOKUP($E325,'5.1 Budget'!$A$4:$H$729,6,0)</f>
        <v>0</v>
      </c>
      <c r="M325" s="252">
        <f>VLOOKUP($E325,'5.1 Budget'!$A$4:$H$729,7,0)</f>
        <v>0</v>
      </c>
      <c r="N325" s="252">
        <f>VLOOKUP($E325,'5.1 Budget'!$A$4:$H$729,8,0)</f>
        <v>0</v>
      </c>
      <c r="V325" t="str">
        <f>VLOOKUP(D325,'[4]1. Mesures'!$A$1:$B$116,2,0)</f>
        <v>Gérer les autorisations de captages et en assurer les contrôles</v>
      </c>
      <c r="W325" t="str">
        <f>VLOOKUP(B325,[1]HIERARCH!$A$1:$B$57,2,0)</f>
        <v xml:space="preserve"> Gérer quantitativement la ressource en eau souterraine</v>
      </c>
      <c r="X325" t="str">
        <f>VLOOKUP(C325,[1]HIERARCH!$A$2:$B$57,2,0)</f>
        <v>Gérer de façon durable la ressource en eau souterraine</v>
      </c>
      <c r="Y325" t="str">
        <f t="shared" si="15"/>
        <v>Tenir à jour la base de données reprenant l’ensemble des données technico-administratives relatives aux captages et à le…</v>
      </c>
    </row>
    <row r="326" spans="1:25" hidden="1" x14ac:dyDescent="0.25">
      <c r="A326" s="249" t="str">
        <f t="shared" si="14"/>
        <v>2</v>
      </c>
      <c r="B326" s="249" t="str">
        <f>VLOOKUP($D326,'[4]1. Mesures'!$A$2:$G$116,6,0)</f>
        <v>OS 2.2</v>
      </c>
      <c r="C326" s="249" t="str">
        <f>VLOOKUP($D326,'[4]1. Mesures'!$A$2:$G$116,7,0)</f>
        <v>OO 2.2.1</v>
      </c>
      <c r="D326" s="249" t="str">
        <f t="shared" si="17"/>
        <v>M 2.13</v>
      </c>
      <c r="E326" s="250" t="s">
        <v>880</v>
      </c>
      <c r="F326" s="249" t="str">
        <f>VLOOKUP(E326,'5.2 Actions'!$A$3:$B$720,2,0)</f>
        <v>Evaluer l’application de l’arrêté du Gouvernement de la Région de Bruxelles-Capitale du 8 novembre 2018 règlementant les captages d’eau souterraine et les systèmes géothermiques en circuit ouvert quant à sa mise en œuvre et son efficacité, proposer un agrément des entreprises de forage et faire référence à des conditions de type BATNEEC, le cas échéant.</v>
      </c>
      <c r="G326" s="251">
        <f>VLOOKUP(E326,'[4]5.2 Actions'!$A$3:$D$718,4,0)</f>
        <v>0</v>
      </c>
      <c r="H326" s="252">
        <f>VLOOKUP($E326,'5.1 Budget'!$A$4:$H$729,2,0)</f>
        <v>0</v>
      </c>
      <c r="I326" s="252">
        <f>VLOOKUP($E326,'5.1 Budget'!$A$4:$H$729,3,0)</f>
        <v>0</v>
      </c>
      <c r="J326" s="252">
        <f>VLOOKUP($E326,'5.1 Budget'!$A$4:$H$729,4,0)</f>
        <v>0</v>
      </c>
      <c r="K326" s="252">
        <f>VLOOKUP($E326,'5.1 Budget'!$A$4:$H$729,5,0)</f>
        <v>0</v>
      </c>
      <c r="L326" s="252">
        <f>VLOOKUP($E326,'5.1 Budget'!$A$4:$H$729,6,0)</f>
        <v>0</v>
      </c>
      <c r="M326" s="252">
        <f>VLOOKUP($E326,'5.1 Budget'!$A$4:$H$729,7,0)</f>
        <v>0</v>
      </c>
      <c r="N326" s="252">
        <f>VLOOKUP($E326,'5.1 Budget'!$A$4:$H$729,8,0)</f>
        <v>0</v>
      </c>
      <c r="V326" t="str">
        <f>VLOOKUP(D326,'[4]1. Mesures'!$A$1:$B$116,2,0)</f>
        <v>Gérer les autorisations de captages et en assurer les contrôles</v>
      </c>
      <c r="W326" t="str">
        <f>VLOOKUP(B326,[1]HIERARCH!$A$1:$B$57,2,0)</f>
        <v xml:space="preserve"> Gérer quantitativement la ressource en eau souterraine</v>
      </c>
      <c r="X326" t="str">
        <f>VLOOKUP(C326,[1]HIERARCH!$A$2:$B$57,2,0)</f>
        <v>Gérer de façon durable la ressource en eau souterraine</v>
      </c>
      <c r="Y326" t="str">
        <f t="shared" si="15"/>
        <v>Evaluer l’application de l’arrêté du Gouvernement de la Région de Bruxelles-Capitale du 8 novembre 2018 règlementant les…</v>
      </c>
    </row>
    <row r="327" spans="1:25" hidden="1" x14ac:dyDescent="0.25">
      <c r="A327" s="249" t="str">
        <f t="shared" si="14"/>
        <v>2</v>
      </c>
      <c r="B327" s="249" t="str">
        <f>VLOOKUP($D327,'[4]1. Mesures'!$A$2:$G$116,6,0)</f>
        <v>OS 2.2</v>
      </c>
      <c r="C327" s="249" t="str">
        <f>VLOOKUP($D327,'[4]1. Mesures'!$A$2:$G$116,7,0)</f>
        <v>OO 2.2.1</v>
      </c>
      <c r="D327" s="249" t="str">
        <f t="shared" si="17"/>
        <v>M 2.13</v>
      </c>
      <c r="E327" s="250" t="s">
        <v>881</v>
      </c>
      <c r="F327" s="249" t="str">
        <f>VLOOKUP(E327,'5.2 Actions'!$A$3:$B$720,2,0)</f>
        <v>Assurer un contrôle spécifique des exploitants de captage, en particulier les captages temporaires (rabattements de nappe)</v>
      </c>
      <c r="G327" s="251">
        <f>VLOOKUP(E327,'[4]5.2 Actions'!$A$3:$D$718,4,0)</f>
        <v>0</v>
      </c>
      <c r="H327" s="252">
        <f>VLOOKUP($E327,'5.1 Budget'!$A$4:$H$729,2,0)</f>
        <v>0</v>
      </c>
      <c r="I327" s="252">
        <f>VLOOKUP($E327,'5.1 Budget'!$A$4:$H$729,3,0)</f>
        <v>0</v>
      </c>
      <c r="J327" s="252">
        <f>VLOOKUP($E327,'5.1 Budget'!$A$4:$H$729,4,0)</f>
        <v>0</v>
      </c>
      <c r="K327" s="252">
        <f>VLOOKUP($E327,'5.1 Budget'!$A$4:$H$729,5,0)</f>
        <v>0</v>
      </c>
      <c r="L327" s="252">
        <f>VLOOKUP($E327,'5.1 Budget'!$A$4:$H$729,6,0)</f>
        <v>0</v>
      </c>
      <c r="M327" s="252">
        <f>VLOOKUP($E327,'5.1 Budget'!$A$4:$H$729,7,0)</f>
        <v>0</v>
      </c>
      <c r="N327" s="252">
        <f>VLOOKUP($E327,'5.1 Budget'!$A$4:$H$729,8,0)</f>
        <v>0</v>
      </c>
      <c r="V327" t="str">
        <f>VLOOKUP(D327,'[4]1. Mesures'!$A$1:$B$116,2,0)</f>
        <v>Gérer les autorisations de captages et en assurer les contrôles</v>
      </c>
      <c r="W327" t="str">
        <f>VLOOKUP(B327,[1]HIERARCH!$A$1:$B$57,2,0)</f>
        <v xml:space="preserve"> Gérer quantitativement la ressource en eau souterraine</v>
      </c>
      <c r="X327" t="str">
        <f>VLOOKUP(C327,[1]HIERARCH!$A$2:$B$57,2,0)</f>
        <v>Gérer de façon durable la ressource en eau souterraine</v>
      </c>
      <c r="Y327" t="str">
        <f t="shared" si="15"/>
        <v>Assurer un contrôle spécifique des exploitants de captage, en particulier les captages temporaires (rabattements de napp…</v>
      </c>
    </row>
    <row r="328" spans="1:25" hidden="1" x14ac:dyDescent="0.25">
      <c r="A328" s="249" t="str">
        <f t="shared" si="14"/>
        <v>2</v>
      </c>
      <c r="B328" s="249" t="str">
        <f>VLOOKUP($D328,'[4]1. Mesures'!$A$2:$G$116,6,0)</f>
        <v>OS 2.2</v>
      </c>
      <c r="C328" s="249" t="str">
        <f>VLOOKUP($D328,'[4]1. Mesures'!$A$2:$G$116,7,0)</f>
        <v>OO 2.2.2</v>
      </c>
      <c r="D328" s="249" t="str">
        <f t="shared" si="17"/>
        <v>M 2.14</v>
      </c>
      <c r="E328" s="250" t="s">
        <v>882</v>
      </c>
      <c r="F328" s="249" t="str">
        <f>VLOOKUP(E328,'5.2 Actions'!$A$3:$B$720,2,0)</f>
        <v>Assurer la maintenance de la carte des profondeurs de nappe pouvant servir de base pour l’indentification des zones où les collecteurs seraient en contact avec la nappe.</v>
      </c>
      <c r="G328" s="251">
        <f>VLOOKUP(E328,'[4]5.2 Actions'!$A$3:$D$718,4,0)</f>
        <v>0</v>
      </c>
      <c r="H328" s="252">
        <f>VLOOKUP($E328,'5.1 Budget'!$A$4:$H$729,2,0)</f>
        <v>0</v>
      </c>
      <c r="I328" s="252">
        <f>VLOOKUP($E328,'5.1 Budget'!$A$4:$H$729,3,0)</f>
        <v>0</v>
      </c>
      <c r="J328" s="252">
        <f>VLOOKUP($E328,'5.1 Budget'!$A$4:$H$729,4,0)</f>
        <v>0</v>
      </c>
      <c r="K328" s="252">
        <f>VLOOKUP($E328,'5.1 Budget'!$A$4:$H$729,5,0)</f>
        <v>0</v>
      </c>
      <c r="L328" s="252">
        <f>VLOOKUP($E328,'5.1 Budget'!$A$4:$H$729,6,0)</f>
        <v>0</v>
      </c>
      <c r="M328" s="252">
        <f>VLOOKUP($E328,'5.1 Budget'!$A$4:$H$729,7,0)</f>
        <v>0</v>
      </c>
      <c r="N328" s="252">
        <f>VLOOKUP($E328,'5.1 Budget'!$A$4:$H$729,8,0)</f>
        <v>0</v>
      </c>
      <c r="V328" t="str">
        <f>VLOOKUP(D328,'[4]1. Mesures'!$A$1:$B$116,2,0)</f>
        <v>Veiller au drainage des nappes à l'occasion des travaux de rénovation du réseau d'assainissement public</v>
      </c>
      <c r="W328" t="str">
        <f>VLOOKUP(B328,[1]HIERARCH!$A$1:$B$57,2,0)</f>
        <v xml:space="preserve"> Gérer quantitativement la ressource en eau souterraine</v>
      </c>
      <c r="X328" t="str">
        <f>VLOOKUP(C328,[1]HIERARCH!$A$2:$B$57,2,0)</f>
        <v xml:space="preserve">Gérer les remontées de  nappes phréatiques et assurer le drainage des eaux souterraines </v>
      </c>
      <c r="Y328" t="str">
        <f t="shared" si="15"/>
        <v>Assurer la maintenance de la carte des profondeurs de nappe pouvant servir de base pour l’indentification des zones où l…</v>
      </c>
    </row>
    <row r="329" spans="1:25" hidden="1" x14ac:dyDescent="0.25">
      <c r="A329" s="249" t="str">
        <f t="shared" si="14"/>
        <v>2</v>
      </c>
      <c r="B329" s="249" t="str">
        <f>VLOOKUP($D329,'[4]1. Mesures'!$A$2:$G$116,6,0)</f>
        <v>OS 2.2</v>
      </c>
      <c r="C329" s="249" t="str">
        <f>VLOOKUP($D329,'[4]1. Mesures'!$A$2:$G$116,7,0)</f>
        <v>OO 2.2.2</v>
      </c>
      <c r="D329" s="249" t="str">
        <f t="shared" si="17"/>
        <v>M 2.14</v>
      </c>
      <c r="E329" s="250" t="s">
        <v>883</v>
      </c>
      <c r="F329" s="249" t="str">
        <f>VLOOKUP(E329,'5.2 Actions'!$A$3:$B$720,2,0)</f>
        <v>Lors de chantier d’étanchéification d’égout, dans les zones à risque, identifier le risque local de remontée de nappe post-rénovation et étudier la faisabilité de mettre en œuvre, dans le cadre du chantier, dun système de drainage adapté, le cas échéant</v>
      </c>
      <c r="G329" s="251">
        <f>VLOOKUP(E329,'[4]5.2 Actions'!$A$3:$D$718,4,0)</f>
        <v>0</v>
      </c>
      <c r="H329" s="252">
        <f>VLOOKUP($E329,'5.1 Budget'!$A$4:$H$729,2,0)</f>
        <v>0</v>
      </c>
      <c r="I329" s="252">
        <f>VLOOKUP($E329,'5.1 Budget'!$A$4:$H$729,3,0)</f>
        <v>0</v>
      </c>
      <c r="J329" s="252">
        <f>VLOOKUP($E329,'5.1 Budget'!$A$4:$H$729,4,0)</f>
        <v>0</v>
      </c>
      <c r="K329" s="252">
        <f>VLOOKUP($E329,'5.1 Budget'!$A$4:$H$729,5,0)</f>
        <v>0</v>
      </c>
      <c r="L329" s="252">
        <f>VLOOKUP($E329,'5.1 Budget'!$A$4:$H$729,6,0)</f>
        <v>0</v>
      </c>
      <c r="M329" s="252">
        <f>VLOOKUP($E329,'5.1 Budget'!$A$4:$H$729,7,0)</f>
        <v>0</v>
      </c>
      <c r="N329" s="252">
        <f>VLOOKUP($E329,'5.1 Budget'!$A$4:$H$729,8,0)</f>
        <v>0</v>
      </c>
      <c r="V329" t="str">
        <f>VLOOKUP(D329,'[4]1. Mesures'!$A$1:$B$116,2,0)</f>
        <v>Veiller au drainage des nappes à l'occasion des travaux de rénovation du réseau d'assainissement public</v>
      </c>
      <c r="W329" t="str">
        <f>VLOOKUP(B329,[1]HIERARCH!$A$1:$B$57,2,0)</f>
        <v xml:space="preserve"> Gérer quantitativement la ressource en eau souterraine</v>
      </c>
      <c r="X329" t="str">
        <f>VLOOKUP(C329,[1]HIERARCH!$A$2:$B$57,2,0)</f>
        <v xml:space="preserve">Gérer les remontées de  nappes phréatiques et assurer le drainage des eaux souterraines </v>
      </c>
      <c r="Y329" t="str">
        <f t="shared" si="15"/>
        <v>Lors de chantier d’étanchéification d’égout, dans les zones à risque, identifier le risque local de remontée de nappe po…</v>
      </c>
    </row>
    <row r="330" spans="1:25" hidden="1" x14ac:dyDescent="0.25">
      <c r="A330" s="249" t="str">
        <f t="shared" si="14"/>
        <v>2</v>
      </c>
      <c r="B330" s="249" t="str">
        <f>VLOOKUP($D330,'[4]1. Mesures'!$A$2:$G$116,6,0)</f>
        <v>OS 2.2</v>
      </c>
      <c r="C330" s="249" t="str">
        <f>VLOOKUP($D330,'[4]1. Mesures'!$A$2:$G$116,7,0)</f>
        <v>OO 2.2.2</v>
      </c>
      <c r="D330" s="249" t="str">
        <f t="shared" si="17"/>
        <v>M 2.15</v>
      </c>
      <c r="E330" s="250" t="s">
        <v>884</v>
      </c>
      <c r="F330" s="249" t="str">
        <f>VLOOKUP(E330,'5.2 Actions'!$A$3:$B$720,2,0)</f>
        <v>amélioration continue des cartes de risque d’effet barrage (fonction des upgrades de BPSM)</v>
      </c>
      <c r="G330" s="251">
        <f>VLOOKUP(E330,'[4]5.2 Actions'!$A$3:$D$718,4,0)</f>
        <v>0</v>
      </c>
      <c r="H330" s="252">
        <f>VLOOKUP($E330,'5.1 Budget'!$A$4:$H$729,2,0)</f>
        <v>0</v>
      </c>
      <c r="I330" s="252">
        <f>VLOOKUP($E330,'5.1 Budget'!$A$4:$H$729,3,0)</f>
        <v>0</v>
      </c>
      <c r="J330" s="252">
        <f>VLOOKUP($E330,'5.1 Budget'!$A$4:$H$729,4,0)</f>
        <v>0</v>
      </c>
      <c r="K330" s="252">
        <f>VLOOKUP($E330,'5.1 Budget'!$A$4:$H$729,5,0)</f>
        <v>0</v>
      </c>
      <c r="L330" s="252">
        <f>VLOOKUP($E330,'5.1 Budget'!$A$4:$H$729,6,0)</f>
        <v>0</v>
      </c>
      <c r="M330" s="252">
        <f>VLOOKUP($E330,'5.1 Budget'!$A$4:$H$729,7,0)</f>
        <v>0</v>
      </c>
      <c r="N330" s="252">
        <f>VLOOKUP($E330,'5.1 Budget'!$A$4:$H$729,8,0)</f>
        <v>0</v>
      </c>
      <c r="V330" t="str">
        <f>VLOOKUP(D330,'[4]1. Mesures'!$A$1:$B$116,2,0)</f>
        <v>Minimiser l'impact des infrastructures souterraines sur l'écoulement des nappes phréatiques</v>
      </c>
      <c r="W330" t="str">
        <f>VLOOKUP(B330,[1]HIERARCH!$A$1:$B$57,2,0)</f>
        <v xml:space="preserve"> Gérer quantitativement la ressource en eau souterraine</v>
      </c>
      <c r="X330" t="str">
        <f>VLOOKUP(C330,[1]HIERARCH!$A$2:$B$57,2,0)</f>
        <v xml:space="preserve">Gérer les remontées de  nappes phréatiques et assurer le drainage des eaux souterraines </v>
      </c>
      <c r="Y330" t="str">
        <f t="shared" si="15"/>
        <v>amélioration continue des cartes de risque d’effet barrage (fonction des upgrades de BPSM)…</v>
      </c>
    </row>
    <row r="331" spans="1:25" hidden="1" x14ac:dyDescent="0.25">
      <c r="A331" s="249" t="str">
        <f t="shared" si="14"/>
        <v>2</v>
      </c>
      <c r="B331" s="249" t="str">
        <f>VLOOKUP($D331,'[4]1. Mesures'!$A$2:$G$116,6,0)</f>
        <v>OS 2.2</v>
      </c>
      <c r="C331" s="249" t="str">
        <f>VLOOKUP($D331,'[4]1. Mesures'!$A$2:$G$116,7,0)</f>
        <v>OO 2.2.2</v>
      </c>
      <c r="D331" s="249" t="str">
        <f t="shared" si="17"/>
        <v>M 2.15</v>
      </c>
      <c r="E331" s="250" t="s">
        <v>885</v>
      </c>
      <c r="F331" s="249" t="str">
        <f>VLOOKUP(E331,'5.2 Actions'!$A$3:$B$720,2,0)</f>
        <v>amélioration et renforcement de l’analyse du risque d’effet barrage dans le cadre de la procédure d’instruction du permis d’environnement, voire d’urbanisme</v>
      </c>
      <c r="G331" s="251">
        <f>VLOOKUP(E331,'[4]5.2 Actions'!$A$3:$D$718,4,0)</f>
        <v>0</v>
      </c>
      <c r="H331" s="252">
        <f>VLOOKUP($E331,'5.1 Budget'!$A$4:$H$729,2,0)</f>
        <v>0</v>
      </c>
      <c r="I331" s="252">
        <f>VLOOKUP($E331,'5.1 Budget'!$A$4:$H$729,3,0)</f>
        <v>0</v>
      </c>
      <c r="J331" s="252">
        <f>VLOOKUP($E331,'5.1 Budget'!$A$4:$H$729,4,0)</f>
        <v>0</v>
      </c>
      <c r="K331" s="252">
        <f>VLOOKUP($E331,'5.1 Budget'!$A$4:$H$729,5,0)</f>
        <v>0</v>
      </c>
      <c r="L331" s="252">
        <f>VLOOKUP($E331,'5.1 Budget'!$A$4:$H$729,6,0)</f>
        <v>0</v>
      </c>
      <c r="M331" s="252">
        <f>VLOOKUP($E331,'5.1 Budget'!$A$4:$H$729,7,0)</f>
        <v>0</v>
      </c>
      <c r="N331" s="252">
        <f>VLOOKUP($E331,'5.1 Budget'!$A$4:$H$729,8,0)</f>
        <v>0</v>
      </c>
      <c r="V331" t="str">
        <f>VLOOKUP(D331,'[4]1. Mesures'!$A$1:$B$116,2,0)</f>
        <v>Minimiser l'impact des infrastructures souterraines sur l'écoulement des nappes phréatiques</v>
      </c>
      <c r="W331" t="str">
        <f>VLOOKUP(B331,[1]HIERARCH!$A$1:$B$57,2,0)</f>
        <v xml:space="preserve"> Gérer quantitativement la ressource en eau souterraine</v>
      </c>
      <c r="X331" t="str">
        <f>VLOOKUP(C331,[1]HIERARCH!$A$2:$B$57,2,0)</f>
        <v xml:space="preserve">Gérer les remontées de  nappes phréatiques et assurer le drainage des eaux souterraines </v>
      </c>
      <c r="Y331" t="str">
        <f t="shared" si="15"/>
        <v>amélioration et renforcement de l’analyse du risque d’effet barrage dans le cadre de la procédure d’instruction du permi…</v>
      </c>
    </row>
    <row r="332" spans="1:25" hidden="1" x14ac:dyDescent="0.25">
      <c r="A332" s="249" t="str">
        <f t="shared" si="14"/>
        <v>3</v>
      </c>
      <c r="B332" s="249" t="str">
        <f>VLOOKUP($D332,'[4]1. Mesures'!$A$2:$G$116,6,0)</f>
        <v>OS 3.1</v>
      </c>
      <c r="C332" s="249" t="str">
        <f>VLOOKUP($D332,'[4]1. Mesures'!$A$2:$G$116,7,0)</f>
        <v>OO 3.1.1</v>
      </c>
      <c r="D332" s="249" t="str">
        <f>"M"&amp;" "&amp;LEFT(E332,3)</f>
        <v>M 3.1</v>
      </c>
      <c r="E332" s="250" t="s">
        <v>928</v>
      </c>
      <c r="F332" s="249" t="str">
        <f>VLOOKUP(E332,'5.2 Actions'!$A$3:$B$720,2,0)</f>
        <v>Poursuivre la surveillance qualitative et quantitative dans les zones de protection de captages sur les eaux brutes souterraines destinées à la consommation humaine</v>
      </c>
      <c r="G332" s="251">
        <f>VLOOKUP(E332,'[4]5.2 Actions'!$A$3:$D$718,4,0)</f>
        <v>0</v>
      </c>
      <c r="H332" s="252">
        <f>VLOOKUP($E332,'5.1 Budget'!$A$4:$H$729,2,0)</f>
        <v>0</v>
      </c>
      <c r="I332" s="252">
        <f>VLOOKUP($E332,'5.1 Budget'!$A$4:$H$729,3,0)</f>
        <v>0</v>
      </c>
      <c r="J332" s="252">
        <f>VLOOKUP($E332,'5.1 Budget'!$A$4:$H$729,4,0)</f>
        <v>0</v>
      </c>
      <c r="K332" s="252">
        <f>VLOOKUP($E332,'5.1 Budget'!$A$4:$H$729,5,0)</f>
        <v>0</v>
      </c>
      <c r="L332" s="252">
        <f>VLOOKUP($E332,'5.1 Budget'!$A$4:$H$729,6,0)</f>
        <v>0</v>
      </c>
      <c r="M332" s="252">
        <f>VLOOKUP($E332,'5.1 Budget'!$A$4:$H$729,7,0)</f>
        <v>0</v>
      </c>
      <c r="N332" s="252">
        <f>VLOOKUP($E332,'5.1 Budget'!$A$4:$H$729,8,0)</f>
        <v>0</v>
      </c>
      <c r="V332" t="str">
        <f>VLOOKUP(D332,'[4]1. Mesures'!$A$1:$B$116,2,0)</f>
        <v>Assurer la surveillance qualitative et quantitative des zones de protection de captage et identifier leurs sources potentielles de pollution</v>
      </c>
      <c r="W332" t="str">
        <f>VLOOKUP(B332,[1]HIERARCH!$A$1:$B$57,2,0)</f>
        <v>Assurer la gestion spécifique des zones protégées et leur surveillance</v>
      </c>
      <c r="X332" t="str">
        <f>VLOOKUP(C332,[1]HIERARCH!$A$2:$B$57,2,0)</f>
        <v>Veiller à la protection des captages d'eau destinée à la production d'eau potable</v>
      </c>
      <c r="Y332" t="str">
        <f t="shared" si="15"/>
        <v>Poursuivre la surveillance qualitative et quantitative dans les zones de protection de captages sur les eaux brutes sout…</v>
      </c>
    </row>
    <row r="333" spans="1:25" hidden="1" x14ac:dyDescent="0.25">
      <c r="A333" s="249" t="str">
        <f t="shared" si="14"/>
        <v>3</v>
      </c>
      <c r="B333" s="249" t="str">
        <f>VLOOKUP($D333,'[4]1. Mesures'!$A$2:$G$116,6,0)</f>
        <v>OS 3.1</v>
      </c>
      <c r="C333" s="249" t="str">
        <f>VLOOKUP($D333,'[4]1. Mesures'!$A$2:$G$116,7,0)</f>
        <v>OO 3.1.1</v>
      </c>
      <c r="D333" s="249" t="str">
        <f t="shared" ref="D333:D392" si="18">"M"&amp;" "&amp;LEFT(E333,3)</f>
        <v>M 3.1</v>
      </c>
      <c r="E333" s="250" t="s">
        <v>929</v>
      </c>
      <c r="F333" s="249" t="str">
        <f>VLOOKUP(E333,'5.2 Actions'!$A$3:$B$720,2,0)</f>
        <v>Poursuivre la surveillance quantitative dans les zones de protection de captages sur les eaux brutes souterraines destinées à la consommation humaine</v>
      </c>
      <c r="G333" s="251">
        <f>VLOOKUP(E333,'[4]5.2 Actions'!$A$3:$D$718,4,0)</f>
        <v>0</v>
      </c>
      <c r="H333" s="252">
        <f>VLOOKUP($E333,'5.1 Budget'!$A$4:$H$729,2,0)</f>
        <v>0</v>
      </c>
      <c r="I333" s="252">
        <f>VLOOKUP($E333,'5.1 Budget'!$A$4:$H$729,3,0)</f>
        <v>0</v>
      </c>
      <c r="J333" s="252">
        <f>VLOOKUP($E333,'5.1 Budget'!$A$4:$H$729,4,0)</f>
        <v>0</v>
      </c>
      <c r="K333" s="252">
        <f>VLOOKUP($E333,'5.1 Budget'!$A$4:$H$729,5,0)</f>
        <v>0</v>
      </c>
      <c r="L333" s="252">
        <f>VLOOKUP($E333,'5.1 Budget'!$A$4:$H$729,6,0)</f>
        <v>0</v>
      </c>
      <c r="M333" s="252">
        <f>VLOOKUP($E333,'5.1 Budget'!$A$4:$H$729,7,0)</f>
        <v>0</v>
      </c>
      <c r="N333" s="252">
        <f>VLOOKUP($E333,'5.1 Budget'!$A$4:$H$729,8,0)</f>
        <v>0</v>
      </c>
      <c r="V333" t="str">
        <f>VLOOKUP(D333,'[4]1. Mesures'!$A$1:$B$116,2,0)</f>
        <v>Assurer la surveillance qualitative et quantitative des zones de protection de captage et identifier leurs sources potentielles de pollution</v>
      </c>
      <c r="W333" t="str">
        <f>VLOOKUP(B333,[1]HIERARCH!$A$1:$B$57,2,0)</f>
        <v>Assurer la gestion spécifique des zones protégées et leur surveillance</v>
      </c>
      <c r="X333" t="str">
        <f>VLOOKUP(C333,[1]HIERARCH!$A$2:$B$57,2,0)</f>
        <v>Veiller à la protection des captages d'eau destinée à la production d'eau potable</v>
      </c>
      <c r="Y333" t="str">
        <f t="shared" si="15"/>
        <v>Poursuivre la surveillance quantitative dans les zones de protection de captages sur les eaux brutes souterraines destin…</v>
      </c>
    </row>
    <row r="334" spans="1:25" hidden="1" x14ac:dyDescent="0.25">
      <c r="A334" s="249" t="str">
        <f t="shared" si="14"/>
        <v>3</v>
      </c>
      <c r="B334" s="249" t="str">
        <f>VLOOKUP($D334,'[4]1. Mesures'!$A$2:$G$116,6,0)</f>
        <v>OS 3.1</v>
      </c>
      <c r="C334" s="249" t="str">
        <f>VLOOKUP($D334,'[4]1. Mesures'!$A$2:$G$116,7,0)</f>
        <v>OO 3.1.1</v>
      </c>
      <c r="D334" s="249" t="str">
        <f t="shared" si="18"/>
        <v>M 3.1</v>
      </c>
      <c r="E334" s="250" t="s">
        <v>930</v>
      </c>
      <c r="F334" s="249" t="str">
        <f>VLOOKUP(E334,'5.2 Actions'!$A$3:$B$720,2,0)</f>
        <v>Etendre la surveillance qualitative des eaux souterraines brutes destinées à la consommation humaine aux substances polluantes émergentes, aux biocides et aux paramètres repris dans la nouvelle directive « eau potable » (2020/2184/UE)</v>
      </c>
      <c r="G334" s="251">
        <f>VLOOKUP(E334,'[4]5.2 Actions'!$A$3:$D$718,4,0)</f>
        <v>0</v>
      </c>
      <c r="H334" s="252">
        <f>VLOOKUP($E334,'5.1 Budget'!$A$4:$H$729,2,0)</f>
        <v>0</v>
      </c>
      <c r="I334" s="252">
        <f>VLOOKUP($E334,'5.1 Budget'!$A$4:$H$729,3,0)</f>
        <v>0</v>
      </c>
      <c r="J334" s="252">
        <f>VLOOKUP($E334,'5.1 Budget'!$A$4:$H$729,4,0)</f>
        <v>0</v>
      </c>
      <c r="K334" s="252">
        <f>VLOOKUP($E334,'5.1 Budget'!$A$4:$H$729,5,0)</f>
        <v>0</v>
      </c>
      <c r="L334" s="252">
        <f>VLOOKUP($E334,'5.1 Budget'!$A$4:$H$729,6,0)</f>
        <v>0</v>
      </c>
      <c r="M334" s="252">
        <f>VLOOKUP($E334,'5.1 Budget'!$A$4:$H$729,7,0)</f>
        <v>0</v>
      </c>
      <c r="N334" s="252">
        <f>VLOOKUP($E334,'5.1 Budget'!$A$4:$H$729,8,0)</f>
        <v>0</v>
      </c>
      <c r="V334" t="str">
        <f>VLOOKUP(D334,'[4]1. Mesures'!$A$1:$B$116,2,0)</f>
        <v>Assurer la surveillance qualitative et quantitative des zones de protection de captage et identifier leurs sources potentielles de pollution</v>
      </c>
      <c r="W334" t="str">
        <f>VLOOKUP(B334,[1]HIERARCH!$A$1:$B$57,2,0)</f>
        <v>Assurer la gestion spécifique des zones protégées et leur surveillance</v>
      </c>
      <c r="X334" t="str">
        <f>VLOOKUP(C334,[1]HIERARCH!$A$2:$B$57,2,0)</f>
        <v>Veiller à la protection des captages d'eau destinée à la production d'eau potable</v>
      </c>
      <c r="Y334" t="str">
        <f t="shared" si="15"/>
        <v>Etendre la surveillance qualitative des eaux souterraines brutes destinées à la consommation humaine aux substances poll…</v>
      </c>
    </row>
    <row r="335" spans="1:25" hidden="1" x14ac:dyDescent="0.25">
      <c r="A335" s="249" t="str">
        <f t="shared" si="14"/>
        <v>3</v>
      </c>
      <c r="B335" s="249" t="str">
        <f>VLOOKUP($D335,'[4]1. Mesures'!$A$2:$G$116,6,0)</f>
        <v>OS 3.1</v>
      </c>
      <c r="C335" s="249" t="str">
        <f>VLOOKUP($D335,'[4]1. Mesures'!$A$2:$G$116,7,0)</f>
        <v>OO 3.1.1</v>
      </c>
      <c r="D335" s="249" t="str">
        <f t="shared" si="18"/>
        <v>M 3.1</v>
      </c>
      <c r="E335" s="250" t="s">
        <v>931</v>
      </c>
      <c r="F335" s="249" t="str">
        <f>VLOOKUP(E335,'5.2 Actions'!$A$3:$B$720,2,0)</f>
        <v>Evaluer l’état qualitatif de la masse d’eau des Sables du Bruxellien en zone de protection des captages et identifier des tendances globales et individuelles à la hausse pour certains paramètres</v>
      </c>
      <c r="G335" s="251">
        <f>VLOOKUP(E335,'[4]5.2 Actions'!$A$3:$D$718,4,0)</f>
        <v>0</v>
      </c>
      <c r="H335" s="252">
        <f>VLOOKUP($E335,'5.1 Budget'!$A$4:$H$729,2,0)</f>
        <v>0</v>
      </c>
      <c r="I335" s="252">
        <f>VLOOKUP($E335,'5.1 Budget'!$A$4:$H$729,3,0)</f>
        <v>0</v>
      </c>
      <c r="J335" s="252">
        <f>VLOOKUP($E335,'5.1 Budget'!$A$4:$H$729,4,0)</f>
        <v>0</v>
      </c>
      <c r="K335" s="252">
        <f>VLOOKUP($E335,'5.1 Budget'!$A$4:$H$729,5,0)</f>
        <v>0</v>
      </c>
      <c r="L335" s="252">
        <f>VLOOKUP($E335,'5.1 Budget'!$A$4:$H$729,6,0)</f>
        <v>0</v>
      </c>
      <c r="M335" s="252">
        <f>VLOOKUP($E335,'5.1 Budget'!$A$4:$H$729,7,0)</f>
        <v>0</v>
      </c>
      <c r="N335" s="252">
        <f>VLOOKUP($E335,'5.1 Budget'!$A$4:$H$729,8,0)</f>
        <v>0</v>
      </c>
      <c r="V335" t="str">
        <f>VLOOKUP(D335,'[4]1. Mesures'!$A$1:$B$116,2,0)</f>
        <v>Assurer la surveillance qualitative et quantitative des zones de protection de captage et identifier leurs sources potentielles de pollution</v>
      </c>
      <c r="W335" t="str">
        <f>VLOOKUP(B335,[1]HIERARCH!$A$1:$B$57,2,0)</f>
        <v>Assurer la gestion spécifique des zones protégées et leur surveillance</v>
      </c>
      <c r="X335" t="str">
        <f>VLOOKUP(C335,[1]HIERARCH!$A$2:$B$57,2,0)</f>
        <v>Veiller à la protection des captages d'eau destinée à la production d'eau potable</v>
      </c>
      <c r="Y335" t="str">
        <f t="shared" si="15"/>
        <v>Evaluer l’état qualitatif de la masse d’eau des Sables du Bruxellien en zone de protection des captages et identifier de…</v>
      </c>
    </row>
    <row r="336" spans="1:25" hidden="1" x14ac:dyDescent="0.25">
      <c r="A336" s="249" t="str">
        <f t="shared" si="14"/>
        <v>3</v>
      </c>
      <c r="B336" s="249" t="str">
        <f>VLOOKUP($D336,'[4]1. Mesures'!$A$2:$G$116,6,0)</f>
        <v>OS 3.1</v>
      </c>
      <c r="C336" s="249" t="str">
        <f>VLOOKUP($D336,'[4]1. Mesures'!$A$2:$G$116,7,0)</f>
        <v>OO 3.1.1</v>
      </c>
      <c r="D336" s="249" t="str">
        <f t="shared" si="18"/>
        <v>M 3.1</v>
      </c>
      <c r="E336" s="250" t="s">
        <v>932</v>
      </c>
      <c r="F336" s="249" t="str">
        <f>VLOOKUP(E336,'5.2 Actions'!$A$3:$B$720,2,0)</f>
        <v>Etablir un inventaire des activités à risques sur base des permis environnement en cours et échus et les contrôler</v>
      </c>
      <c r="G336" s="251">
        <f>VLOOKUP(E336,'[4]5.2 Actions'!$A$3:$D$718,4,0)</f>
        <v>0</v>
      </c>
      <c r="H336" s="252">
        <f>VLOOKUP($E336,'5.1 Budget'!$A$4:$H$729,2,0)</f>
        <v>0</v>
      </c>
      <c r="I336" s="252">
        <f>VLOOKUP($E336,'5.1 Budget'!$A$4:$H$729,3,0)</f>
        <v>0</v>
      </c>
      <c r="J336" s="252">
        <f>VLOOKUP($E336,'5.1 Budget'!$A$4:$H$729,4,0)</f>
        <v>0</v>
      </c>
      <c r="K336" s="252">
        <f>VLOOKUP($E336,'5.1 Budget'!$A$4:$H$729,5,0)</f>
        <v>0</v>
      </c>
      <c r="L336" s="252">
        <f>VLOOKUP($E336,'5.1 Budget'!$A$4:$H$729,6,0)</f>
        <v>0</v>
      </c>
      <c r="M336" s="252">
        <f>VLOOKUP($E336,'5.1 Budget'!$A$4:$H$729,7,0)</f>
        <v>0</v>
      </c>
      <c r="N336" s="252">
        <f>VLOOKUP($E336,'5.1 Budget'!$A$4:$H$729,8,0)</f>
        <v>0</v>
      </c>
      <c r="V336" t="str">
        <f>VLOOKUP(D336,'[4]1. Mesures'!$A$1:$B$116,2,0)</f>
        <v>Assurer la surveillance qualitative et quantitative des zones de protection de captage et identifier leurs sources potentielles de pollution</v>
      </c>
      <c r="W336" t="str">
        <f>VLOOKUP(B336,[1]HIERARCH!$A$1:$B$57,2,0)</f>
        <v>Assurer la gestion spécifique des zones protégées et leur surveillance</v>
      </c>
      <c r="X336" t="str">
        <f>VLOOKUP(C336,[1]HIERARCH!$A$2:$B$57,2,0)</f>
        <v>Veiller à la protection des captages d'eau destinée à la production d'eau potable</v>
      </c>
      <c r="Y336" t="str">
        <f t="shared" si="15"/>
        <v>Etablir un inventaire des activités à risques sur base des permis environnement en cours et échus et les contrôler…</v>
      </c>
    </row>
    <row r="337" spans="1:25" hidden="1" x14ac:dyDescent="0.25">
      <c r="A337" s="249" t="str">
        <f t="shared" si="14"/>
        <v>3</v>
      </c>
      <c r="B337" s="249" t="str">
        <f>VLOOKUP($D337,'[4]1. Mesures'!$A$2:$G$116,6,0)</f>
        <v>OS 3.1</v>
      </c>
      <c r="C337" s="249" t="str">
        <f>VLOOKUP($D337,'[4]1. Mesures'!$A$2:$G$116,7,0)</f>
        <v>OO 3.1.1</v>
      </c>
      <c r="D337" s="249" t="str">
        <f t="shared" si="18"/>
        <v>M 3.2</v>
      </c>
      <c r="E337" s="250" t="s">
        <v>933</v>
      </c>
      <c r="F337" s="249" t="str">
        <f>VLOOKUP(E337,'5.2 Actions'!$A$3:$B$720,2,0)</f>
        <v>Elaborer un programme de mesures en vue de protéger les captages d’eau destinée à la consommation humaine intégrant les mesures de restauration de la zone de captage en matière de nitrates et de prévention et de protection globales de façon à éviter la dégradation de la qualité chimique vis-à-vis des autres substances</v>
      </c>
      <c r="G337" s="251">
        <f>VLOOKUP(E337,'[4]5.2 Actions'!$A$3:$D$718,4,0)</f>
        <v>0</v>
      </c>
      <c r="H337" s="252">
        <f>VLOOKUP($E337,'5.1 Budget'!$A$4:$H$729,2,0)</f>
        <v>0</v>
      </c>
      <c r="I337" s="252">
        <f>VLOOKUP($E337,'5.1 Budget'!$A$4:$H$729,3,0)</f>
        <v>0</v>
      </c>
      <c r="J337" s="252">
        <f>VLOOKUP($E337,'5.1 Budget'!$A$4:$H$729,4,0)</f>
        <v>0</v>
      </c>
      <c r="K337" s="252">
        <f>VLOOKUP($E337,'5.1 Budget'!$A$4:$H$729,5,0)</f>
        <v>0</v>
      </c>
      <c r="L337" s="252">
        <f>VLOOKUP($E337,'5.1 Budget'!$A$4:$H$729,6,0)</f>
        <v>0</v>
      </c>
      <c r="M337" s="252">
        <f>VLOOKUP($E337,'5.1 Budget'!$A$4:$H$729,7,0)</f>
        <v>0</v>
      </c>
      <c r="N337" s="252">
        <f>VLOOKUP($E337,'5.1 Budget'!$A$4:$H$729,8,0)</f>
        <v>0</v>
      </c>
      <c r="V337" t="str">
        <f>VLOOKUP(D337,'[4]1. Mesures'!$A$1:$B$116,2,0)</f>
        <v xml:space="preserve">Elaborer et mettre en œuvre un programme spécifique de protection des captages </v>
      </c>
      <c r="W337" t="str">
        <f>VLOOKUP(B337,[1]HIERARCH!$A$1:$B$57,2,0)</f>
        <v>Assurer la gestion spécifique des zones protégées et leur surveillance</v>
      </c>
      <c r="X337" t="str">
        <f>VLOOKUP(C337,[1]HIERARCH!$A$2:$B$57,2,0)</f>
        <v>Veiller à la protection des captages d'eau destinée à la production d'eau potable</v>
      </c>
      <c r="Y337" t="str">
        <f t="shared" si="15"/>
        <v>Elaborer un programme de mesures en vue de protéger les captages d’eau destinée à la consommation humaine intégrant les …</v>
      </c>
    </row>
    <row r="338" spans="1:25" hidden="1" x14ac:dyDescent="0.25">
      <c r="A338" s="249" t="str">
        <f t="shared" si="14"/>
        <v>3</v>
      </c>
      <c r="B338" s="249" t="str">
        <f>VLOOKUP($D338,'[4]1. Mesures'!$A$2:$G$116,6,0)</f>
        <v>OS 3.1</v>
      </c>
      <c r="C338" s="249" t="str">
        <f>VLOOKUP($D338,'[4]1. Mesures'!$A$2:$G$116,7,0)</f>
        <v>OO 3.1.1</v>
      </c>
      <c r="D338" s="249" t="str">
        <f t="shared" si="18"/>
        <v>M 3.2</v>
      </c>
      <c r="E338" s="250" t="s">
        <v>934</v>
      </c>
      <c r="F338" s="249" t="str">
        <f>VLOOKUP(E338,'5.2 Actions'!$A$3:$B$720,2,0)</f>
        <v>Poursuivre et renforcer la surveillance préventive et de gestion des risques liés à la contamination malveillante ou accidentelle des eaux souterraines en zone de protection effectuée par les cantonniers de VIVAQUA</v>
      </c>
      <c r="G338" s="251">
        <f>VLOOKUP(E338,'[4]5.2 Actions'!$A$3:$D$718,4,0)</f>
        <v>0</v>
      </c>
      <c r="H338" s="252">
        <f>VLOOKUP($E338,'5.1 Budget'!$A$4:$H$729,2,0)</f>
        <v>0</v>
      </c>
      <c r="I338" s="252">
        <f>VLOOKUP($E338,'5.1 Budget'!$A$4:$H$729,3,0)</f>
        <v>0</v>
      </c>
      <c r="J338" s="252">
        <f>VLOOKUP($E338,'5.1 Budget'!$A$4:$H$729,4,0)</f>
        <v>0</v>
      </c>
      <c r="K338" s="252">
        <f>VLOOKUP($E338,'5.1 Budget'!$A$4:$H$729,5,0)</f>
        <v>0</v>
      </c>
      <c r="L338" s="252">
        <f>VLOOKUP($E338,'5.1 Budget'!$A$4:$H$729,6,0)</f>
        <v>0</v>
      </c>
      <c r="M338" s="252">
        <f>VLOOKUP($E338,'5.1 Budget'!$A$4:$H$729,7,0)</f>
        <v>0</v>
      </c>
      <c r="N338" s="252">
        <f>VLOOKUP($E338,'5.1 Budget'!$A$4:$H$729,8,0)</f>
        <v>0</v>
      </c>
      <c r="V338" t="str">
        <f>VLOOKUP(D338,'[4]1. Mesures'!$A$1:$B$116,2,0)</f>
        <v xml:space="preserve">Elaborer et mettre en œuvre un programme spécifique de protection des captages </v>
      </c>
      <c r="W338" t="str">
        <f>VLOOKUP(B338,[1]HIERARCH!$A$1:$B$57,2,0)</f>
        <v>Assurer la gestion spécifique des zones protégées et leur surveillance</v>
      </c>
      <c r="X338" t="str">
        <f>VLOOKUP(C338,[1]HIERARCH!$A$2:$B$57,2,0)</f>
        <v>Veiller à la protection des captages d'eau destinée à la production d'eau potable</v>
      </c>
      <c r="Y338" t="str">
        <f t="shared" si="15"/>
        <v>Poursuivre et renforcer la surveillance préventive et de gestion des risques liés à la contamination malveillante ou acc…</v>
      </c>
    </row>
    <row r="339" spans="1:25" hidden="1" x14ac:dyDescent="0.25">
      <c r="A339" s="249" t="str">
        <f t="shared" si="14"/>
        <v>3</v>
      </c>
      <c r="B339" s="249" t="str">
        <f>VLOOKUP($D339,'[4]1. Mesures'!$A$2:$G$116,6,0)</f>
        <v>OS 3.1</v>
      </c>
      <c r="C339" s="249" t="str">
        <f>VLOOKUP($D339,'[4]1. Mesures'!$A$2:$G$116,7,0)</f>
        <v>OO 3.1.1</v>
      </c>
      <c r="D339" s="249" t="str">
        <f t="shared" si="18"/>
        <v>M 3.2</v>
      </c>
      <c r="E339" s="250" t="s">
        <v>935</v>
      </c>
      <c r="F339" s="249" t="str">
        <f>VLOOKUP(E339,'5.2 Actions'!$A$3:$B$720,2,0)</f>
        <v>Poursuivre et renforcer la sensibilisation des occupants de la zone de captages par la distribution de brochure à l’existence de la zone de captage et à sa protection en matière des risques liés aux pesticides et aux hydrocarbures</v>
      </c>
      <c r="G339" s="251">
        <f>VLOOKUP(E339,'[4]5.2 Actions'!$A$3:$D$718,4,0)</f>
        <v>0</v>
      </c>
      <c r="H339" s="252">
        <f>VLOOKUP($E339,'5.1 Budget'!$A$4:$H$729,2,0)</f>
        <v>0</v>
      </c>
      <c r="I339" s="252">
        <f>VLOOKUP($E339,'5.1 Budget'!$A$4:$H$729,3,0)</f>
        <v>0</v>
      </c>
      <c r="J339" s="252">
        <f>VLOOKUP($E339,'5.1 Budget'!$A$4:$H$729,4,0)</f>
        <v>0</v>
      </c>
      <c r="K339" s="252">
        <f>VLOOKUP($E339,'5.1 Budget'!$A$4:$H$729,5,0)</f>
        <v>0</v>
      </c>
      <c r="L339" s="252">
        <f>VLOOKUP($E339,'5.1 Budget'!$A$4:$H$729,6,0)</f>
        <v>0</v>
      </c>
      <c r="M339" s="252">
        <f>VLOOKUP($E339,'5.1 Budget'!$A$4:$H$729,7,0)</f>
        <v>0</v>
      </c>
      <c r="N339" s="252">
        <f>VLOOKUP($E339,'5.1 Budget'!$A$4:$H$729,8,0)</f>
        <v>0</v>
      </c>
      <c r="V339" t="str">
        <f>VLOOKUP(D339,'[4]1. Mesures'!$A$1:$B$116,2,0)</f>
        <v xml:space="preserve">Elaborer et mettre en œuvre un programme spécifique de protection des captages </v>
      </c>
      <c r="W339" t="str">
        <f>VLOOKUP(B339,[1]HIERARCH!$A$1:$B$57,2,0)</f>
        <v>Assurer la gestion spécifique des zones protégées et leur surveillance</v>
      </c>
      <c r="X339" t="str">
        <f>VLOOKUP(C339,[1]HIERARCH!$A$2:$B$57,2,0)</f>
        <v>Veiller à la protection des captages d'eau destinée à la production d'eau potable</v>
      </c>
      <c r="Y339" t="str">
        <f t="shared" si="15"/>
        <v>Poursuivre et renforcer la sensibilisation des occupants de la zone de captages par la distribution de brochure à l’exis…</v>
      </c>
    </row>
    <row r="340" spans="1:25" hidden="1" x14ac:dyDescent="0.25">
      <c r="A340" s="249" t="str">
        <f t="shared" si="14"/>
        <v>3</v>
      </c>
      <c r="B340" s="249" t="str">
        <f>VLOOKUP($D340,'[4]1. Mesures'!$A$2:$G$116,6,0)</f>
        <v>OS 3.1</v>
      </c>
      <c r="C340" s="249" t="str">
        <f>VLOOKUP($D340,'[4]1. Mesures'!$A$2:$G$116,7,0)</f>
        <v>OO 3.1.1</v>
      </c>
      <c r="D340" s="249" t="str">
        <f t="shared" si="18"/>
        <v>M 3.2</v>
      </c>
      <c r="E340" s="250" t="s">
        <v>936</v>
      </c>
      <c r="F340" s="249" t="str">
        <f>VLOOKUP(E340,'5.2 Actions'!$A$3:$B$720,2,0)</f>
        <v>Sensibiliser la population sur la présence de captages d’eaux destinés à la consommation humaine et à sa protection par la pose de panneaux de signalisation</v>
      </c>
      <c r="G340" s="251">
        <f>VLOOKUP(E340,'[4]5.2 Actions'!$A$3:$D$718,4,0)</f>
        <v>0</v>
      </c>
      <c r="H340" s="252">
        <f>VLOOKUP($E340,'5.1 Budget'!$A$4:$H$729,2,0)</f>
        <v>0</v>
      </c>
      <c r="I340" s="252">
        <f>VLOOKUP($E340,'5.1 Budget'!$A$4:$H$729,3,0)</f>
        <v>0</v>
      </c>
      <c r="J340" s="252">
        <f>VLOOKUP($E340,'5.1 Budget'!$A$4:$H$729,4,0)</f>
        <v>0</v>
      </c>
      <c r="K340" s="252">
        <f>VLOOKUP($E340,'5.1 Budget'!$A$4:$H$729,5,0)</f>
        <v>0</v>
      </c>
      <c r="L340" s="252">
        <f>VLOOKUP($E340,'5.1 Budget'!$A$4:$H$729,6,0)</f>
        <v>0</v>
      </c>
      <c r="M340" s="252">
        <f>VLOOKUP($E340,'5.1 Budget'!$A$4:$H$729,7,0)</f>
        <v>0</v>
      </c>
      <c r="N340" s="252">
        <f>VLOOKUP($E340,'5.1 Budget'!$A$4:$H$729,8,0)</f>
        <v>0</v>
      </c>
      <c r="V340" t="str">
        <f>VLOOKUP(D340,'[4]1. Mesures'!$A$1:$B$116,2,0)</f>
        <v xml:space="preserve">Elaborer et mettre en œuvre un programme spécifique de protection des captages </v>
      </c>
      <c r="W340" t="str">
        <f>VLOOKUP(B340,[1]HIERARCH!$A$1:$B$57,2,0)</f>
        <v>Assurer la gestion spécifique des zones protégées et leur surveillance</v>
      </c>
      <c r="X340" t="str">
        <f>VLOOKUP(C340,[1]HIERARCH!$A$2:$B$57,2,0)</f>
        <v>Veiller à la protection des captages d'eau destinée à la production d'eau potable</v>
      </c>
      <c r="Y340" t="str">
        <f t="shared" si="15"/>
        <v>Sensibiliser la population sur la présence de captages d’eaux destinés à la consommation humaine et à sa protection par …</v>
      </c>
    </row>
    <row r="341" spans="1:25" hidden="1" x14ac:dyDescent="0.25">
      <c r="A341" s="249" t="str">
        <f t="shared" si="14"/>
        <v>3</v>
      </c>
      <c r="B341" s="249" t="str">
        <f>VLOOKUP($D341,'[4]1. Mesures'!$A$2:$G$116,6,0)</f>
        <v>OS 3.1</v>
      </c>
      <c r="C341" s="249" t="str">
        <f>VLOOKUP($D341,'[4]1. Mesures'!$A$2:$G$116,7,0)</f>
        <v>OO 3.1.1</v>
      </c>
      <c r="D341" s="249" t="str">
        <f t="shared" si="18"/>
        <v>M 3.2</v>
      </c>
      <c r="E341" s="250" t="s">
        <v>937</v>
      </c>
      <c r="F341" s="249" t="str">
        <f>VLOOKUP(E341,'5.2 Actions'!$A$3:$B$720,2,0)</f>
        <v>Renforcer les contrôles pour les réservoirs d’hydrocarbures situés dans la zone de protection III.</v>
      </c>
      <c r="G341" s="251">
        <f>VLOOKUP(E341,'[4]5.2 Actions'!$A$3:$D$718,4,0)</f>
        <v>0</v>
      </c>
      <c r="H341" s="252">
        <f>VLOOKUP($E341,'5.1 Budget'!$A$4:$H$729,2,0)</f>
        <v>0</v>
      </c>
      <c r="I341" s="252">
        <f>VLOOKUP($E341,'5.1 Budget'!$A$4:$H$729,3,0)</f>
        <v>0</v>
      </c>
      <c r="J341" s="252">
        <f>VLOOKUP($E341,'5.1 Budget'!$A$4:$H$729,4,0)</f>
        <v>0</v>
      </c>
      <c r="K341" s="252">
        <f>VLOOKUP($E341,'5.1 Budget'!$A$4:$H$729,5,0)</f>
        <v>0</v>
      </c>
      <c r="L341" s="252">
        <f>VLOOKUP($E341,'5.1 Budget'!$A$4:$H$729,6,0)</f>
        <v>0</v>
      </c>
      <c r="M341" s="252">
        <f>VLOOKUP($E341,'5.1 Budget'!$A$4:$H$729,7,0)</f>
        <v>0</v>
      </c>
      <c r="N341" s="252">
        <f>VLOOKUP($E341,'5.1 Budget'!$A$4:$H$729,8,0)</f>
        <v>0</v>
      </c>
      <c r="V341" t="str">
        <f>VLOOKUP(D341,'[4]1. Mesures'!$A$1:$B$116,2,0)</f>
        <v xml:space="preserve">Elaborer et mettre en œuvre un programme spécifique de protection des captages </v>
      </c>
      <c r="W341" t="str">
        <f>VLOOKUP(B341,[1]HIERARCH!$A$1:$B$57,2,0)</f>
        <v>Assurer la gestion spécifique des zones protégées et leur surveillance</v>
      </c>
      <c r="X341" t="str">
        <f>VLOOKUP(C341,[1]HIERARCH!$A$2:$B$57,2,0)</f>
        <v>Veiller à la protection des captages d'eau destinée à la production d'eau potable</v>
      </c>
      <c r="Y341" t="str">
        <f t="shared" si="15"/>
        <v>Renforcer les contrôles pour les réservoirs d’hydrocarbures situés dans la zone de protection III.…</v>
      </c>
    </row>
    <row r="342" spans="1:25" hidden="1" x14ac:dyDescent="0.25">
      <c r="A342" s="249" t="str">
        <f t="shared" si="14"/>
        <v>3</v>
      </c>
      <c r="B342" s="249" t="str">
        <f>VLOOKUP($D342,'[4]1. Mesures'!$A$2:$G$116,6,0)</f>
        <v>OS 3.1</v>
      </c>
      <c r="C342" s="249" t="str">
        <f>VLOOKUP($D342,'[4]1. Mesures'!$A$2:$G$116,7,0)</f>
        <v>OO 3.1.1</v>
      </c>
      <c r="D342" s="249" t="str">
        <f t="shared" si="18"/>
        <v>M 3.2</v>
      </c>
      <c r="E342" s="250" t="s">
        <v>938</v>
      </c>
      <c r="F342" s="249" t="str">
        <f>VLOOKUP(E342,'5.2 Actions'!$A$3:$B$720,2,0)</f>
        <v>Renforcer le contrôle des obligations et interdictions relatives à l’utilisation, le stockage et la manipulation des pesticides dans les zones de protection des captages</v>
      </c>
      <c r="G342" s="251">
        <f>VLOOKUP(E342,'[4]5.2 Actions'!$A$3:$D$718,4,0)</f>
        <v>0</v>
      </c>
      <c r="H342" s="252">
        <f>VLOOKUP($E342,'5.1 Budget'!$A$4:$H$729,2,0)</f>
        <v>0</v>
      </c>
      <c r="I342" s="252">
        <f>VLOOKUP($E342,'5.1 Budget'!$A$4:$H$729,3,0)</f>
        <v>0</v>
      </c>
      <c r="J342" s="252">
        <f>VLOOKUP($E342,'5.1 Budget'!$A$4:$H$729,4,0)</f>
        <v>0</v>
      </c>
      <c r="K342" s="252">
        <f>VLOOKUP($E342,'5.1 Budget'!$A$4:$H$729,5,0)</f>
        <v>0</v>
      </c>
      <c r="L342" s="252">
        <f>VLOOKUP($E342,'5.1 Budget'!$A$4:$H$729,6,0)</f>
        <v>0</v>
      </c>
      <c r="M342" s="252">
        <f>VLOOKUP($E342,'5.1 Budget'!$A$4:$H$729,7,0)</f>
        <v>0</v>
      </c>
      <c r="N342" s="252">
        <f>VLOOKUP($E342,'5.1 Budget'!$A$4:$H$729,8,0)</f>
        <v>0</v>
      </c>
      <c r="V342" t="str">
        <f>VLOOKUP(D342,'[4]1. Mesures'!$A$1:$B$116,2,0)</f>
        <v xml:space="preserve">Elaborer et mettre en œuvre un programme spécifique de protection des captages </v>
      </c>
      <c r="W342" t="str">
        <f>VLOOKUP(B342,[1]HIERARCH!$A$1:$B$57,2,0)</f>
        <v>Assurer la gestion spécifique des zones protégées et leur surveillance</v>
      </c>
      <c r="X342" t="str">
        <f>VLOOKUP(C342,[1]HIERARCH!$A$2:$B$57,2,0)</f>
        <v>Veiller à la protection des captages d'eau destinée à la production d'eau potable</v>
      </c>
      <c r="Y342" t="str">
        <f t="shared" si="15"/>
        <v>Renforcer le contrôle des obligations et interdictions relatives à l’utilisation, le stockage et la manipulation des pes…</v>
      </c>
    </row>
    <row r="343" spans="1:25" hidden="1" x14ac:dyDescent="0.25">
      <c r="A343" s="249" t="str">
        <f t="shared" si="14"/>
        <v>3</v>
      </c>
      <c r="B343" s="249" t="str">
        <f>VLOOKUP($D343,'[4]1. Mesures'!$A$2:$G$116,6,0)</f>
        <v>OS 3.1</v>
      </c>
      <c r="C343" s="249" t="str">
        <f>VLOOKUP($D343,'[4]1. Mesures'!$A$2:$G$116,7,0)</f>
        <v>OO 3.1.2</v>
      </c>
      <c r="D343" s="249" t="str">
        <f t="shared" si="18"/>
        <v>M 3.3</v>
      </c>
      <c r="E343" s="250" t="s">
        <v>939</v>
      </c>
      <c r="F343" s="249" t="str">
        <f>VLOOKUP(E343,'5.2 Actions'!$A$3:$B$720,2,0)</f>
        <v>Poursuivre la surveillance des eaux souterraines, en ce compris dans la zone vulnérable aux nitrates</v>
      </c>
      <c r="G343" s="251">
        <f>VLOOKUP(E343,'[4]5.2 Actions'!$A$3:$D$718,4,0)</f>
        <v>0</v>
      </c>
      <c r="H343" s="252">
        <f>VLOOKUP($E343,'5.1 Budget'!$A$4:$H$729,2,0)</f>
        <v>0</v>
      </c>
      <c r="I343" s="252">
        <f>VLOOKUP($E343,'5.1 Budget'!$A$4:$H$729,3,0)</f>
        <v>0</v>
      </c>
      <c r="J343" s="252">
        <f>VLOOKUP($E343,'5.1 Budget'!$A$4:$H$729,4,0)</f>
        <v>0</v>
      </c>
      <c r="K343" s="252">
        <f>VLOOKUP($E343,'5.1 Budget'!$A$4:$H$729,5,0)</f>
        <v>0</v>
      </c>
      <c r="L343" s="252">
        <f>VLOOKUP($E343,'5.1 Budget'!$A$4:$H$729,6,0)</f>
        <v>0</v>
      </c>
      <c r="M343" s="252">
        <f>VLOOKUP($E343,'5.1 Budget'!$A$4:$H$729,7,0)</f>
        <v>0</v>
      </c>
      <c r="N343" s="252">
        <f>VLOOKUP($E343,'5.1 Budget'!$A$4:$H$729,8,0)</f>
        <v>0</v>
      </c>
      <c r="V343" t="str">
        <f>VLOOKUP(D343,'[4]1. Mesures'!$A$1:$B$116,2,0)</f>
        <v>Identifier les sources et causes de pollution par les nitrates  dans la zone vulnérable aux nitrates d’origine agricole et prendre des mesures ciblées afin de les éliminer</v>
      </c>
      <c r="W343" t="str">
        <f>VLOOKUP(B343,[1]HIERARCH!$A$1:$B$57,2,0)</f>
        <v>Assurer la gestion spécifique des zones protégées et leur surveillance</v>
      </c>
      <c r="X343" t="str">
        <f>VLOOKUP(C343,[1]HIERARCH!$A$2:$B$57,2,0)</f>
        <v>Assurer la protection de la zone vulnérable aux nitrates d'origine agricole</v>
      </c>
      <c r="Y343" t="str">
        <f t="shared" si="15"/>
        <v>Poursuivre la surveillance des eaux souterraines, en ce compris dans la zone vulnérable aux nitrates…</v>
      </c>
    </row>
    <row r="344" spans="1:25" hidden="1" x14ac:dyDescent="0.25">
      <c r="A344" s="249" t="str">
        <f t="shared" si="14"/>
        <v>3</v>
      </c>
      <c r="B344" s="249" t="str">
        <f>VLOOKUP($D344,'[4]1. Mesures'!$A$2:$G$116,6,0)</f>
        <v>OS 3.1</v>
      </c>
      <c r="C344" s="249" t="str">
        <f>VLOOKUP($D344,'[4]1. Mesures'!$A$2:$G$116,7,0)</f>
        <v>OO 3.1.2</v>
      </c>
      <c r="D344" s="249" t="str">
        <f t="shared" si="18"/>
        <v>M 3.3</v>
      </c>
      <c r="E344" s="250" t="s">
        <v>940</v>
      </c>
      <c r="F344" s="249" t="str">
        <f>VLOOKUP(E344,'5.2 Actions'!$A$3:$B$720,2,0)</f>
        <v>Poursuivre la surveillance des composés azotés dans les eaux brutes souterraines prélevées par l’exploitant, VIVAQUA, en application de l’arrêté du Gouvernement du 19 novembre 1998</v>
      </c>
      <c r="G344" s="251">
        <f>VLOOKUP(E344,'[4]5.2 Actions'!$A$3:$D$718,4,0)</f>
        <v>0</v>
      </c>
      <c r="H344" s="252">
        <f>VLOOKUP($E344,'5.1 Budget'!$A$4:$H$729,2,0)</f>
        <v>0</v>
      </c>
      <c r="I344" s="252">
        <f>VLOOKUP($E344,'5.1 Budget'!$A$4:$H$729,3,0)</f>
        <v>0</v>
      </c>
      <c r="J344" s="252">
        <f>VLOOKUP($E344,'5.1 Budget'!$A$4:$H$729,4,0)</f>
        <v>0</v>
      </c>
      <c r="K344" s="252">
        <f>VLOOKUP($E344,'5.1 Budget'!$A$4:$H$729,5,0)</f>
        <v>0</v>
      </c>
      <c r="L344" s="252">
        <f>VLOOKUP($E344,'5.1 Budget'!$A$4:$H$729,6,0)</f>
        <v>0</v>
      </c>
      <c r="M344" s="252">
        <f>VLOOKUP($E344,'5.1 Budget'!$A$4:$H$729,7,0)</f>
        <v>0</v>
      </c>
      <c r="N344" s="252">
        <f>VLOOKUP($E344,'5.1 Budget'!$A$4:$H$729,8,0)</f>
        <v>0</v>
      </c>
      <c r="V344" t="str">
        <f>VLOOKUP(D344,'[4]1. Mesures'!$A$1:$B$116,2,0)</f>
        <v>Identifier les sources et causes de pollution par les nitrates  dans la zone vulnérable aux nitrates d’origine agricole et prendre des mesures ciblées afin de les éliminer</v>
      </c>
      <c r="W344" t="str">
        <f>VLOOKUP(B344,[1]HIERARCH!$A$1:$B$57,2,0)</f>
        <v>Assurer la gestion spécifique des zones protégées et leur surveillance</v>
      </c>
      <c r="X344" t="str">
        <f>VLOOKUP(C344,[1]HIERARCH!$A$2:$B$57,2,0)</f>
        <v>Assurer la protection de la zone vulnérable aux nitrates d'origine agricole</v>
      </c>
      <c r="Y344" t="str">
        <f t="shared" si="15"/>
        <v>Poursuivre la surveillance des composés azotés dans les eaux brutes souterraines prélevées par l’exploitant, VIVAQUA, en…</v>
      </c>
    </row>
    <row r="345" spans="1:25" hidden="1" x14ac:dyDescent="0.25">
      <c r="A345" s="249" t="str">
        <f t="shared" si="14"/>
        <v>3</v>
      </c>
      <c r="B345" s="249" t="str">
        <f>VLOOKUP($D345,'[4]1. Mesures'!$A$2:$G$116,6,0)</f>
        <v>OS 3.1</v>
      </c>
      <c r="C345" s="249" t="str">
        <f>VLOOKUP($D345,'[4]1. Mesures'!$A$2:$G$116,7,0)</f>
        <v>OO 3.1.2</v>
      </c>
      <c r="D345" s="249" t="str">
        <f t="shared" si="18"/>
        <v>M 3.3</v>
      </c>
      <c r="E345" s="250" t="s">
        <v>941</v>
      </c>
      <c r="F345" s="249" t="str">
        <f>VLOOKUP(E345,'5.2 Actions'!$A$3:$B$720,2,0)</f>
        <v>Poursuivre et élargir l’identification des sources et cause de pollution nitrique (en lien avec M.2.1) dans la zone vulnérable</v>
      </c>
      <c r="G345" s="251">
        <f>VLOOKUP(E345,'[4]5.2 Actions'!$A$3:$D$718,4,0)</f>
        <v>0</v>
      </c>
      <c r="H345" s="252">
        <f>VLOOKUP($E345,'5.1 Budget'!$A$4:$H$729,2,0)</f>
        <v>0</v>
      </c>
      <c r="I345" s="252">
        <f>VLOOKUP($E345,'5.1 Budget'!$A$4:$H$729,3,0)</f>
        <v>0</v>
      </c>
      <c r="J345" s="252">
        <f>VLOOKUP($E345,'5.1 Budget'!$A$4:$H$729,4,0)</f>
        <v>0</v>
      </c>
      <c r="K345" s="252">
        <f>VLOOKUP($E345,'5.1 Budget'!$A$4:$H$729,5,0)</f>
        <v>0</v>
      </c>
      <c r="L345" s="252">
        <f>VLOOKUP($E345,'5.1 Budget'!$A$4:$H$729,6,0)</f>
        <v>0</v>
      </c>
      <c r="M345" s="252">
        <f>VLOOKUP($E345,'5.1 Budget'!$A$4:$H$729,7,0)</f>
        <v>0</v>
      </c>
      <c r="N345" s="252">
        <f>VLOOKUP($E345,'5.1 Budget'!$A$4:$H$729,8,0)</f>
        <v>0</v>
      </c>
      <c r="V345" t="str">
        <f>VLOOKUP(D345,'[4]1. Mesures'!$A$1:$B$116,2,0)</f>
        <v>Identifier les sources et causes de pollution par les nitrates  dans la zone vulnérable aux nitrates d’origine agricole et prendre des mesures ciblées afin de les éliminer</v>
      </c>
      <c r="W345" t="str">
        <f>VLOOKUP(B345,[1]HIERARCH!$A$1:$B$57,2,0)</f>
        <v>Assurer la gestion spécifique des zones protégées et leur surveillance</v>
      </c>
      <c r="X345" t="str">
        <f>VLOOKUP(C345,[1]HIERARCH!$A$2:$B$57,2,0)</f>
        <v>Assurer la protection de la zone vulnérable aux nitrates d'origine agricole</v>
      </c>
      <c r="Y345" t="str">
        <f t="shared" si="15"/>
        <v>Poursuivre et élargir l’identification des sources et cause de pollution nitrique (en lien avec M.2.1) dans la zone vuln…</v>
      </c>
    </row>
    <row r="346" spans="1:25" hidden="1" x14ac:dyDescent="0.25">
      <c r="A346" s="249" t="str">
        <f t="shared" ref="A346:A405" si="19">LEFT(E346,1)</f>
        <v>3</v>
      </c>
      <c r="B346" s="249" t="str">
        <f>VLOOKUP($D346,'[4]1. Mesures'!$A$2:$G$116,6,0)</f>
        <v>OS 3.1</v>
      </c>
      <c r="C346" s="249" t="str">
        <f>VLOOKUP($D346,'[4]1. Mesures'!$A$2:$G$116,7,0)</f>
        <v>OO 3.1.3</v>
      </c>
      <c r="D346" s="249" t="str">
        <f t="shared" si="18"/>
        <v>M 3.4</v>
      </c>
      <c r="E346" s="250" t="s">
        <v>942</v>
      </c>
      <c r="F346" s="249" t="str">
        <f>VLOOKUP(E346,'5.2 Actions'!$A$3:$B$720,2,0)</f>
        <v>Renforcer et adapter la surveillance des eaux souterraines aux écosystèmes terrestres et aquatiques en interaction hydraulique avec la masse d’eau des sables du Bruxellien,</v>
      </c>
      <c r="G346" s="251">
        <f>VLOOKUP(E346,'[4]5.2 Actions'!$A$3:$D$718,4,0)</f>
        <v>0</v>
      </c>
      <c r="H346" s="252">
        <f>VLOOKUP($E346,'5.1 Budget'!$A$4:$H$729,2,0)</f>
        <v>0</v>
      </c>
      <c r="I346" s="252">
        <f>VLOOKUP($E346,'5.1 Budget'!$A$4:$H$729,3,0)</f>
        <v>0</v>
      </c>
      <c r="J346" s="252">
        <f>VLOOKUP($E346,'5.1 Budget'!$A$4:$H$729,4,0)</f>
        <v>0</v>
      </c>
      <c r="K346" s="252">
        <f>VLOOKUP($E346,'5.1 Budget'!$A$4:$H$729,5,0)</f>
        <v>0</v>
      </c>
      <c r="L346" s="252">
        <f>VLOOKUP($E346,'5.1 Budget'!$A$4:$H$729,6,0)</f>
        <v>0</v>
      </c>
      <c r="M346" s="252">
        <f>VLOOKUP($E346,'5.1 Budget'!$A$4:$H$729,7,0)</f>
        <v>0</v>
      </c>
      <c r="N346" s="252">
        <f>VLOOKUP($E346,'5.1 Budget'!$A$4:$H$729,8,0)</f>
        <v>0</v>
      </c>
      <c r="V346" t="str">
        <f>VLOOKUP(D346,'[4]1.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46" t="str">
        <f>VLOOKUP(B346,[1]HIERARCH!$A$1:$B$57,2,0)</f>
        <v>Assurer la gestion spécifique des zones protégées et leur surveillance</v>
      </c>
      <c r="X346" t="str">
        <f>VLOOKUP(C346,[1]HIERARCH!$A$2:$B$57,2,0)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46" t="str">
        <f t="shared" ref="Y346:Y405" si="20">LEFT(F346,120)&amp;"…"</f>
        <v>Renforcer et adapter la surveillance des eaux souterraines aux écosystèmes terrestres et aquatiques en interaction hydra…</v>
      </c>
    </row>
    <row r="347" spans="1:25" hidden="1" x14ac:dyDescent="0.25">
      <c r="A347" s="249" t="str">
        <f t="shared" si="19"/>
        <v>3</v>
      </c>
      <c r="B347" s="249" t="str">
        <f>VLOOKUP($D347,'[4]1. Mesures'!$A$2:$G$116,6,0)</f>
        <v>OS 3.1</v>
      </c>
      <c r="C347" s="249" t="str">
        <f>VLOOKUP($D347,'[4]1. Mesures'!$A$2:$G$116,7,0)</f>
        <v>OO 3.1.3</v>
      </c>
      <c r="D347" s="249" t="str">
        <f t="shared" si="18"/>
        <v>M 3.4</v>
      </c>
      <c r="E347" s="250" t="s">
        <v>949</v>
      </c>
      <c r="F347" s="249" t="str">
        <f>VLOOKUP(E347,'5.2 Actions'!$A$3:$B$720,2,0)</f>
        <v>Poursuivre le réseau de surveillance et opérationnel des monitorings physico-chimique et chimique de la colonne d’eau, du biote, des sédiments et de la biologie pour la Woluwe (M1.21)</v>
      </c>
      <c r="G347" s="251">
        <f>VLOOKUP(E347,'[4]5.2 Actions'!$A$3:$D$718,4,0)</f>
        <v>0</v>
      </c>
      <c r="H347" s="252">
        <f>VLOOKUP($E347,'5.1 Budget'!$A$4:$H$729,2,0)</f>
        <v>0</v>
      </c>
      <c r="I347" s="252">
        <f>VLOOKUP($E347,'5.1 Budget'!$A$4:$H$729,3,0)</f>
        <v>0</v>
      </c>
      <c r="J347" s="252">
        <f>VLOOKUP($E347,'5.1 Budget'!$A$4:$H$729,4,0)</f>
        <v>0</v>
      </c>
      <c r="K347" s="252">
        <f>VLOOKUP($E347,'5.1 Budget'!$A$4:$H$729,5,0)</f>
        <v>0</v>
      </c>
      <c r="L347" s="252">
        <f>VLOOKUP($E347,'5.1 Budget'!$A$4:$H$729,6,0)</f>
        <v>0</v>
      </c>
      <c r="M347" s="252">
        <f>VLOOKUP($E347,'5.1 Budget'!$A$4:$H$729,7,0)</f>
        <v>0</v>
      </c>
      <c r="N347" s="252">
        <f>VLOOKUP($E347,'5.1 Budget'!$A$4:$H$729,8,0)</f>
        <v>0</v>
      </c>
      <c r="V347" t="str">
        <f>VLOOKUP(D347,'[4]1.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47" t="str">
        <f>VLOOKUP(B347,[1]HIERARCH!$A$1:$B$57,2,0)</f>
        <v>Assurer la gestion spécifique des zones protégées et leur surveillance</v>
      </c>
      <c r="X347" t="str">
        <f>VLOOKUP(C347,[1]HIERARCH!$A$2:$B$57,2,0)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47" t="str">
        <f t="shared" si="20"/>
        <v>Poursuivre le réseau de surveillance et opérationnel des monitorings physico-chimique et chimique de la colonne d’eau, d…</v>
      </c>
    </row>
    <row r="348" spans="1:25" hidden="1" x14ac:dyDescent="0.25">
      <c r="A348" s="249" t="str">
        <f t="shared" si="19"/>
        <v>3</v>
      </c>
      <c r="B348" s="249" t="str">
        <f>VLOOKUP($D348,'[4]1. Mesures'!$A$2:$G$116,6,0)</f>
        <v>OS 3.1</v>
      </c>
      <c r="C348" s="249" t="str">
        <f>VLOOKUP($D348,'[4]1. Mesures'!$A$2:$G$116,7,0)</f>
        <v>OO 3.1.3</v>
      </c>
      <c r="D348" s="249" t="str">
        <f t="shared" si="18"/>
        <v>M 3.4</v>
      </c>
      <c r="E348" s="250" t="s">
        <v>950</v>
      </c>
      <c r="F348" s="249" t="str">
        <f>VLOOKUP(E348,'5.2 Actions'!$A$3:$B$720,2,0)</f>
        <v>Identifier les sources des pollutions de la Woluwe (M1.20)</v>
      </c>
      <c r="G348" s="251">
        <f>VLOOKUP(E348,'[4]5.2 Actions'!$A$3:$D$718,4,0)</f>
        <v>0</v>
      </c>
      <c r="H348" s="252">
        <f>VLOOKUP($E348,'5.1 Budget'!$A$4:$H$729,2,0)</f>
        <v>0</v>
      </c>
      <c r="I348" s="252">
        <f>VLOOKUP($E348,'5.1 Budget'!$A$4:$H$729,3,0)</f>
        <v>0</v>
      </c>
      <c r="J348" s="252">
        <f>VLOOKUP($E348,'5.1 Budget'!$A$4:$H$729,4,0)</f>
        <v>0</v>
      </c>
      <c r="K348" s="252">
        <f>VLOOKUP($E348,'5.1 Budget'!$A$4:$H$729,5,0)</f>
        <v>0</v>
      </c>
      <c r="L348" s="252">
        <f>VLOOKUP($E348,'5.1 Budget'!$A$4:$H$729,6,0)</f>
        <v>0</v>
      </c>
      <c r="M348" s="252">
        <f>VLOOKUP($E348,'5.1 Budget'!$A$4:$H$729,7,0)</f>
        <v>0</v>
      </c>
      <c r="N348" s="252">
        <f>VLOOKUP($E348,'5.1 Budget'!$A$4:$H$729,8,0)</f>
        <v>0</v>
      </c>
      <c r="V348" t="str">
        <f>VLOOKUP(D348,'[4]1.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48" t="str">
        <f>VLOOKUP(B348,[1]HIERARCH!$A$1:$B$57,2,0)</f>
        <v>Assurer la gestion spécifique des zones protégées et leur surveillance</v>
      </c>
      <c r="X348" t="str">
        <f>VLOOKUP(C348,[1]HIERARCH!$A$2:$B$57,2,0)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48" t="str">
        <f t="shared" si="20"/>
        <v>Identifier les sources des pollutions de la Woluwe (M1.20)…</v>
      </c>
    </row>
    <row r="349" spans="1:25" hidden="1" x14ac:dyDescent="0.25">
      <c r="A349" s="249" t="str">
        <f t="shared" si="19"/>
        <v>3</v>
      </c>
      <c r="B349" s="249" t="str">
        <f>VLOOKUP($D349,'[4]1. Mesures'!$A$2:$G$116,6,0)</f>
        <v>OS 3.1</v>
      </c>
      <c r="C349" s="249" t="str">
        <f>VLOOKUP($D349,'[4]1. Mesures'!$A$2:$G$116,7,0)</f>
        <v>OO 3.1.3</v>
      </c>
      <c r="D349" s="249" t="str">
        <f t="shared" si="18"/>
        <v>M 3.4</v>
      </c>
      <c r="E349" s="250" t="s">
        <v>943</v>
      </c>
      <c r="F349" s="249" t="str">
        <f>VLOOKUP(E349,'5.2 Actions'!$A$3:$B$720,2,0)</f>
        <v>Poursuivre l’identification des écosystèmes dépendants des eaux souterraines et établir une typologie des interactions eau souterraine, eau de surface et écosystèmes terrestres</v>
      </c>
      <c r="G349" s="251">
        <f>VLOOKUP(E349,'[4]5.2 Actions'!$A$3:$D$718,4,0)</f>
        <v>0</v>
      </c>
      <c r="H349" s="252">
        <f>VLOOKUP($E349,'5.1 Budget'!$A$4:$H$729,2,0)</f>
        <v>0</v>
      </c>
      <c r="I349" s="252">
        <f>VLOOKUP($E349,'5.1 Budget'!$A$4:$H$729,3,0)</f>
        <v>0</v>
      </c>
      <c r="J349" s="252">
        <f>VLOOKUP($E349,'5.1 Budget'!$A$4:$H$729,4,0)</f>
        <v>0</v>
      </c>
      <c r="K349" s="252">
        <f>VLOOKUP($E349,'5.1 Budget'!$A$4:$H$729,5,0)</f>
        <v>0</v>
      </c>
      <c r="L349" s="252">
        <f>VLOOKUP($E349,'5.1 Budget'!$A$4:$H$729,6,0)</f>
        <v>0</v>
      </c>
      <c r="M349" s="252">
        <f>VLOOKUP($E349,'5.1 Budget'!$A$4:$H$729,7,0)</f>
        <v>0</v>
      </c>
      <c r="N349" s="252">
        <f>VLOOKUP($E349,'5.1 Budget'!$A$4:$H$729,8,0)</f>
        <v>0</v>
      </c>
      <c r="V349" t="str">
        <f>VLOOKUP(D349,'[4]1.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49" t="str">
        <f>VLOOKUP(B349,[1]HIERARCH!$A$1:$B$57,2,0)</f>
        <v>Assurer la gestion spécifique des zones protégées et leur surveillance</v>
      </c>
      <c r="X349" t="str">
        <f>VLOOKUP(C349,[1]HIERARCH!$A$2:$B$57,2,0)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49" t="str">
        <f t="shared" si="20"/>
        <v>Poursuivre l’identification des écosystèmes dépendants des eaux souterraines et établir une typologie des interactions e…</v>
      </c>
    </row>
    <row r="350" spans="1:25" hidden="1" x14ac:dyDescent="0.25">
      <c r="A350" s="249" t="str">
        <f t="shared" si="19"/>
        <v>3</v>
      </c>
      <c r="B350" s="249" t="str">
        <f>VLOOKUP($D350,'[4]1. Mesures'!$A$2:$G$116,6,0)</f>
        <v>OS 3.1</v>
      </c>
      <c r="C350" s="249" t="str">
        <f>VLOOKUP($D350,'[4]1. Mesures'!$A$2:$G$116,7,0)</f>
        <v>OO 3.1.3</v>
      </c>
      <c r="D350" s="249" t="str">
        <f t="shared" si="18"/>
        <v>M 3.4</v>
      </c>
      <c r="E350" s="250" t="s">
        <v>951</v>
      </c>
      <c r="F350" s="249" t="str">
        <f>VLOOKUP(E350,'5.2 Actions'!$A$3:$B$720,2,0)</f>
        <v>Affiner le développement des outils de modélisation hydrogéologiques existant BPSM en tenant compte de la présence des écosystèmes aquatiques et terrestres dépendants des eaux souterraines</v>
      </c>
      <c r="G350" s="251">
        <f>VLOOKUP(E350,'[4]5.2 Actions'!$A$3:$D$718,4,0)</f>
        <v>0</v>
      </c>
      <c r="H350" s="252">
        <f>VLOOKUP($E350,'5.1 Budget'!$A$4:$H$729,2,0)</f>
        <v>0</v>
      </c>
      <c r="I350" s="252">
        <f>VLOOKUP($E350,'5.1 Budget'!$A$4:$H$729,3,0)</f>
        <v>0</v>
      </c>
      <c r="J350" s="252">
        <f>VLOOKUP($E350,'5.1 Budget'!$A$4:$H$729,4,0)</f>
        <v>0</v>
      </c>
      <c r="K350" s="252">
        <f>VLOOKUP($E350,'5.1 Budget'!$A$4:$H$729,5,0)</f>
        <v>0</v>
      </c>
      <c r="L350" s="252">
        <f>VLOOKUP($E350,'5.1 Budget'!$A$4:$H$729,6,0)</f>
        <v>0</v>
      </c>
      <c r="M350" s="252">
        <f>VLOOKUP($E350,'5.1 Budget'!$A$4:$H$729,7,0)</f>
        <v>0</v>
      </c>
      <c r="N350" s="252">
        <f>VLOOKUP($E350,'5.1 Budget'!$A$4:$H$729,8,0)</f>
        <v>0</v>
      </c>
      <c r="V350" t="str">
        <f>VLOOKUP(D350,'[4]1.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50" t="str">
        <f>VLOOKUP(B350,[1]HIERARCH!$A$1:$B$57,2,0)</f>
        <v>Assurer la gestion spécifique des zones protégées et leur surveillance</v>
      </c>
      <c r="X350" t="str">
        <f>VLOOKUP(C350,[1]HIERARCH!$A$2:$B$57,2,0)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50" t="str">
        <f t="shared" si="20"/>
        <v>Affiner le développement des outils de modélisation hydrogéologiques existant BPSM en tenant compte de la présence des é…</v>
      </c>
    </row>
    <row r="351" spans="1:25" hidden="1" x14ac:dyDescent="0.25">
      <c r="A351" s="249" t="str">
        <f t="shared" si="19"/>
        <v>3</v>
      </c>
      <c r="B351" s="249" t="str">
        <f>VLOOKUP($D351,'[4]1. Mesures'!$A$2:$G$116,6,0)</f>
        <v>OS 3.1</v>
      </c>
      <c r="C351" s="249" t="str">
        <f>VLOOKUP($D351,'[4]1. Mesures'!$A$2:$G$116,7,0)</f>
        <v>OO 3.1.3</v>
      </c>
      <c r="D351" s="249" t="str">
        <f t="shared" si="18"/>
        <v>M 3.4</v>
      </c>
      <c r="E351" s="250" t="s">
        <v>944</v>
      </c>
      <c r="F351" s="249" t="str">
        <f>VLOOKUP(E351,'5.2 Actions'!$A$3:$B$720,2,0)</f>
        <v>Etudier l’impact de variations quantitatives de niveau des eaux souterraines sur les écosystèmes terrestres et caractériser les risques d’altération du bon état de conservation des écosystèmes dépendants</v>
      </c>
      <c r="G351" s="251">
        <f>VLOOKUP(E351,'[4]5.2 Actions'!$A$3:$D$718,4,0)</f>
        <v>0</v>
      </c>
      <c r="H351" s="252">
        <f>VLOOKUP($E351,'5.1 Budget'!$A$4:$H$729,2,0)</f>
        <v>0</v>
      </c>
      <c r="I351" s="252">
        <f>VLOOKUP($E351,'5.1 Budget'!$A$4:$H$729,3,0)</f>
        <v>0</v>
      </c>
      <c r="J351" s="252">
        <f>VLOOKUP($E351,'5.1 Budget'!$A$4:$H$729,4,0)</f>
        <v>0</v>
      </c>
      <c r="K351" s="252">
        <f>VLOOKUP($E351,'5.1 Budget'!$A$4:$H$729,5,0)</f>
        <v>0</v>
      </c>
      <c r="L351" s="252">
        <f>VLOOKUP($E351,'5.1 Budget'!$A$4:$H$729,6,0)</f>
        <v>0</v>
      </c>
      <c r="M351" s="252">
        <f>VLOOKUP($E351,'5.1 Budget'!$A$4:$H$729,7,0)</f>
        <v>0</v>
      </c>
      <c r="N351" s="252">
        <f>VLOOKUP($E351,'5.1 Budget'!$A$4:$H$729,8,0)</f>
        <v>0</v>
      </c>
      <c r="V351" t="str">
        <f>VLOOKUP(D351,'[4]1.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51" t="str">
        <f>VLOOKUP(B351,[1]HIERARCH!$A$1:$B$57,2,0)</f>
        <v>Assurer la gestion spécifique des zones protégées et leur surveillance</v>
      </c>
      <c r="X351" t="str">
        <f>VLOOKUP(C351,[1]HIERARCH!$A$2:$B$57,2,0)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51" t="str">
        <f t="shared" si="20"/>
        <v>Etudier l’impact de variations quantitatives de niveau des eaux souterraines sur les écosystèmes terrestres et caractéri…</v>
      </c>
    </row>
    <row r="352" spans="1:25" hidden="1" x14ac:dyDescent="0.25">
      <c r="A352" s="249" t="str">
        <f t="shared" si="19"/>
        <v>3</v>
      </c>
      <c r="B352" s="249" t="str">
        <f>VLOOKUP($D352,'[4]1. Mesures'!$A$2:$G$116,6,0)</f>
        <v>OS 3.1</v>
      </c>
      <c r="C352" s="249" t="str">
        <f>VLOOKUP($D352,'[4]1. Mesures'!$A$2:$G$116,7,0)</f>
        <v>OO 3.1.3</v>
      </c>
      <c r="D352" s="249" t="str">
        <f t="shared" si="18"/>
        <v>M 3.4</v>
      </c>
      <c r="E352" s="250" t="s">
        <v>945</v>
      </c>
      <c r="F352" s="249" t="str">
        <f>VLOOKUP(E352,'5.2 Actions'!$A$3:$B$720,2,0)</f>
        <v>Evaluer le potentiel de migration de polluants des eaux souterraines vers les eaux de surface et écosystèmes aquatiques et terrestres – et inversement – ainsi que leur potentiel d’atténuation.</v>
      </c>
      <c r="G352" s="251">
        <f>VLOOKUP(E352,'[4]5.2 Actions'!$A$3:$D$718,4,0)</f>
        <v>0</v>
      </c>
      <c r="H352" s="252">
        <f>VLOOKUP($E352,'5.1 Budget'!$A$4:$H$729,2,0)</f>
        <v>0</v>
      </c>
      <c r="I352" s="252">
        <f>VLOOKUP($E352,'5.1 Budget'!$A$4:$H$729,3,0)</f>
        <v>0</v>
      </c>
      <c r="J352" s="252">
        <f>VLOOKUP($E352,'5.1 Budget'!$A$4:$H$729,4,0)</f>
        <v>0</v>
      </c>
      <c r="K352" s="252">
        <f>VLOOKUP($E352,'5.1 Budget'!$A$4:$H$729,5,0)</f>
        <v>0</v>
      </c>
      <c r="L352" s="252">
        <f>VLOOKUP($E352,'5.1 Budget'!$A$4:$H$729,6,0)</f>
        <v>0</v>
      </c>
      <c r="M352" s="252">
        <f>VLOOKUP($E352,'5.1 Budget'!$A$4:$H$729,7,0)</f>
        <v>0</v>
      </c>
      <c r="N352" s="252">
        <f>VLOOKUP($E352,'5.1 Budget'!$A$4:$H$729,8,0)</f>
        <v>0</v>
      </c>
      <c r="V352" t="str">
        <f>VLOOKUP(D352,'[4]1.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52" t="str">
        <f>VLOOKUP(B352,[1]HIERARCH!$A$1:$B$57,2,0)</f>
        <v>Assurer la gestion spécifique des zones protégées et leur surveillance</v>
      </c>
      <c r="X352" t="str">
        <f>VLOOKUP(C352,[1]HIERARCH!$A$2:$B$57,2,0)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52" t="str">
        <f t="shared" si="20"/>
        <v>Evaluer le potentiel de migration de polluants des eaux souterraines vers les eaux de surface et écosystèmes aquatiques …</v>
      </c>
    </row>
    <row r="353" spans="1:25" hidden="1" x14ac:dyDescent="0.25">
      <c r="A353" s="249" t="str">
        <f t="shared" si="19"/>
        <v>3</v>
      </c>
      <c r="B353" s="249" t="str">
        <f>VLOOKUP($D353,'[4]1. Mesures'!$A$2:$G$116,6,0)</f>
        <v>OS 3.1</v>
      </c>
      <c r="C353" s="249" t="str">
        <f>VLOOKUP($D353,'[4]1. Mesures'!$A$2:$G$116,7,0)</f>
        <v>OO 3.1.3</v>
      </c>
      <c r="D353" s="249" t="str">
        <f t="shared" si="18"/>
        <v>M 3.4</v>
      </c>
      <c r="E353" s="250" t="s">
        <v>946</v>
      </c>
      <c r="F353" s="249" t="str">
        <f>VLOOKUP(E353,'5.2 Actions'!$A$3:$B$720,2,0)</f>
        <v>Etendre l’identification des écosystèmes dépendants à la masse d’eau du système nord-ouest des sables du Bruxellien et de Tielt</v>
      </c>
      <c r="G353" s="251">
        <f>VLOOKUP(E353,'[4]5.2 Actions'!$A$3:$D$718,4,0)</f>
        <v>0</v>
      </c>
      <c r="H353" s="252">
        <f>VLOOKUP($E353,'5.1 Budget'!$A$4:$H$729,2,0)</f>
        <v>0</v>
      </c>
      <c r="I353" s="252">
        <f>VLOOKUP($E353,'5.1 Budget'!$A$4:$H$729,3,0)</f>
        <v>0</v>
      </c>
      <c r="J353" s="252">
        <f>VLOOKUP($E353,'5.1 Budget'!$A$4:$H$729,4,0)</f>
        <v>0</v>
      </c>
      <c r="K353" s="252">
        <f>VLOOKUP($E353,'5.1 Budget'!$A$4:$H$729,5,0)</f>
        <v>0</v>
      </c>
      <c r="L353" s="252">
        <f>VLOOKUP($E353,'5.1 Budget'!$A$4:$H$729,6,0)</f>
        <v>0</v>
      </c>
      <c r="M353" s="252">
        <f>VLOOKUP($E353,'5.1 Budget'!$A$4:$H$729,7,0)</f>
        <v>0</v>
      </c>
      <c r="N353" s="252">
        <f>VLOOKUP($E353,'5.1 Budget'!$A$4:$H$729,8,0)</f>
        <v>0</v>
      </c>
      <c r="V353" t="str">
        <f>VLOOKUP(D353,'[4]1.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53" t="str">
        <f>VLOOKUP(B353,[1]HIERARCH!$A$1:$B$57,2,0)</f>
        <v>Assurer la gestion spécifique des zones protégées et leur surveillance</v>
      </c>
      <c r="X353" t="str">
        <f>VLOOKUP(C353,[1]HIERARCH!$A$2:$B$57,2,0)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53" t="str">
        <f t="shared" si="20"/>
        <v>Etendre l’identification des écosystèmes dépendants à la masse d’eau du système nord-ouest des sables du Bruxellien et d…</v>
      </c>
    </row>
    <row r="354" spans="1:25" hidden="1" x14ac:dyDescent="0.25">
      <c r="A354" s="249" t="str">
        <f t="shared" si="19"/>
        <v>3</v>
      </c>
      <c r="B354" s="249" t="str">
        <f>VLOOKUP($D354,'[4]1. Mesures'!$A$2:$G$116,6,0)</f>
        <v>OS 3.1</v>
      </c>
      <c r="C354" s="249" t="str">
        <f>VLOOKUP($D354,'[4]1. Mesures'!$A$2:$G$116,7,0)</f>
        <v>OO 3.1.3</v>
      </c>
      <c r="D354" s="249" t="str">
        <f t="shared" si="18"/>
        <v>M 3.4</v>
      </c>
      <c r="E354" s="250" t="s">
        <v>947</v>
      </c>
      <c r="F354" s="249" t="str">
        <f>VLOOKUP(E354,'5.2 Actions'!$A$3:$B$720,2,0)</f>
        <v>Identifier les pressions exercées par les eaux souterraines dans les zones d’alimentation hydrogéologiques sur les écosystèmes aquatiques et terrestres en matière de nitrates, sulfates et chlorures pour y apporter les mesures adéquates de restauration et de prévention</v>
      </c>
      <c r="G354" s="251">
        <f>VLOOKUP(E354,'[4]5.2 Actions'!$A$3:$D$718,4,0)</f>
        <v>0</v>
      </c>
      <c r="H354" s="252">
        <f>VLOOKUP($E354,'5.1 Budget'!$A$4:$H$729,2,0)</f>
        <v>0</v>
      </c>
      <c r="I354" s="252">
        <f>VLOOKUP($E354,'5.1 Budget'!$A$4:$H$729,3,0)</f>
        <v>0</v>
      </c>
      <c r="J354" s="252">
        <f>VLOOKUP($E354,'5.1 Budget'!$A$4:$H$729,4,0)</f>
        <v>0</v>
      </c>
      <c r="K354" s="252">
        <f>VLOOKUP($E354,'5.1 Budget'!$A$4:$H$729,5,0)</f>
        <v>0</v>
      </c>
      <c r="L354" s="252">
        <f>VLOOKUP($E354,'5.1 Budget'!$A$4:$H$729,6,0)</f>
        <v>0</v>
      </c>
      <c r="M354" s="252">
        <f>VLOOKUP($E354,'5.1 Budget'!$A$4:$H$729,7,0)</f>
        <v>0</v>
      </c>
      <c r="N354" s="252">
        <f>VLOOKUP($E354,'5.1 Budget'!$A$4:$H$729,8,0)</f>
        <v>0</v>
      </c>
      <c r="V354" t="str">
        <f>VLOOKUP(D354,'[4]1.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54" t="str">
        <f>VLOOKUP(B354,[1]HIERARCH!$A$1:$B$57,2,0)</f>
        <v>Assurer la gestion spécifique des zones protégées et leur surveillance</v>
      </c>
      <c r="X354" t="str">
        <f>VLOOKUP(C354,[1]HIERARCH!$A$2:$B$57,2,0)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54" t="str">
        <f t="shared" si="20"/>
        <v>Identifier les pressions exercées par les eaux souterraines dans les zones d’alimentation hydrogéologiques sur les écosy…</v>
      </c>
    </row>
    <row r="355" spans="1:25" hidden="1" x14ac:dyDescent="0.25">
      <c r="A355" s="249" t="str">
        <f t="shared" si="19"/>
        <v>3</v>
      </c>
      <c r="B355" s="249" t="str">
        <f>VLOOKUP($D355,'[4]1. Mesures'!$A$2:$G$116,6,0)</f>
        <v>OS 3.1</v>
      </c>
      <c r="C355" s="249" t="str">
        <f>VLOOKUP($D355,'[4]1. Mesures'!$A$2:$G$116,7,0)</f>
        <v>OO 3.1.3</v>
      </c>
      <c r="D355" s="249" t="str">
        <f t="shared" si="18"/>
        <v>M 3.4</v>
      </c>
      <c r="E355" s="250" t="s">
        <v>948</v>
      </c>
      <c r="F355" s="249" t="str">
        <f>VLOOKUP(E355,'5.2 Actions'!$A$3:$B$720,2,0)</f>
        <v>Mettre en œuvre les mesures de restauration de la qualité des écosystèmes terrestres dépendants de l’eau souterraine et/ou aquatiques en matière de nitrates, sulfates, ammonium, chlorures pour les habitats Natura 2000 au travers des plans de gestion ‘Natura 2000’</v>
      </c>
      <c r="G355" s="251">
        <f>VLOOKUP(E355,'[4]5.2 Actions'!$A$3:$D$718,4,0)</f>
        <v>0</v>
      </c>
      <c r="H355" s="252">
        <f>VLOOKUP($E355,'5.1 Budget'!$A$4:$H$729,2,0)</f>
        <v>0</v>
      </c>
      <c r="I355" s="252">
        <f>VLOOKUP($E355,'5.1 Budget'!$A$4:$H$729,3,0)</f>
        <v>0</v>
      </c>
      <c r="J355" s="252">
        <f>VLOOKUP($E355,'5.1 Budget'!$A$4:$H$729,4,0)</f>
        <v>0</v>
      </c>
      <c r="K355" s="252">
        <f>VLOOKUP($E355,'5.1 Budget'!$A$4:$H$729,5,0)</f>
        <v>0</v>
      </c>
      <c r="L355" s="252">
        <f>VLOOKUP($E355,'5.1 Budget'!$A$4:$H$729,6,0)</f>
        <v>0</v>
      </c>
      <c r="M355" s="252">
        <f>VLOOKUP($E355,'5.1 Budget'!$A$4:$H$729,7,0)</f>
        <v>0</v>
      </c>
      <c r="N355" s="252">
        <f>VLOOKUP($E355,'5.1 Budget'!$A$4:$H$729,8,0)</f>
        <v>0</v>
      </c>
      <c r="V355" t="str">
        <f>VLOOKUP(D355,'[4]1. Mesures'!$A$1:$B$116,2,0)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W355" t="str">
        <f>VLOOKUP(B355,[1]HIERARCH!$A$1:$B$57,2,0)</f>
        <v>Assurer la gestion spécifique des zones protégées et leur surveillance</v>
      </c>
      <c r="X355" t="str">
        <f>VLOOKUP(C355,[1]HIERARCH!$A$2:$B$57,2,0)</f>
        <v xml:space="preserve">Assurer une protection et une gestion des masses d’eau situées dans les sites Natura 2000, les réserves naturelles et les réserves forestières en adéquation avec les objectifs de conservation des sites : protection des espèces aquatiques et restauration des milieux humides </v>
      </c>
      <c r="Y355" t="str">
        <f t="shared" si="20"/>
        <v>Mettre en œuvre les mesures de restauration de la qualité des écosystèmes terrestres dépendants de l’eau souterraine et/…</v>
      </c>
    </row>
    <row r="356" spans="1:25" x14ac:dyDescent="0.25">
      <c r="A356" s="249" t="str">
        <f t="shared" si="19"/>
        <v>3</v>
      </c>
      <c r="B356" s="249" t="str">
        <f>VLOOKUP($D356,'[4]1. Mesures'!$A$2:$G$116,6,0)</f>
        <v>OS 3.1</v>
      </c>
      <c r="C356" s="249" t="str">
        <f>VLOOKUP($D356,'[4]1. Mesures'!$A$2:$G$116,7,0)</f>
        <v>OO 3.1.4</v>
      </c>
      <c r="D356" s="249" t="str">
        <f t="shared" si="18"/>
        <v>M 3.5</v>
      </c>
      <c r="E356" s="250" t="s">
        <v>952</v>
      </c>
      <c r="F356" s="249" t="str">
        <f>VLOOKUP(E356,'5.2 Actions'!$A$3:$B$720,2,0)</f>
        <v>Assurer le traitement tertiaire des deux stations d'épuration situées en Région de Bruxelles-Capitale</v>
      </c>
      <c r="G356" s="251" t="s">
        <v>415</v>
      </c>
      <c r="H356" s="252">
        <f>VLOOKUP($E356,'5.1 Budget'!$A$4:$H$729,2,0)</f>
        <v>51800000</v>
      </c>
      <c r="I356" s="252">
        <f>VLOOKUP($E356,'5.1 Budget'!$A$4:$H$729,3,0)</f>
        <v>51800000</v>
      </c>
      <c r="J356" s="252">
        <f>VLOOKUP($E356,'5.1 Budget'!$A$4:$H$729,4,0)</f>
        <v>51800000</v>
      </c>
      <c r="K356" s="252">
        <f>VLOOKUP($E356,'5.1 Budget'!$A$4:$H$729,5,0)</f>
        <v>51800000</v>
      </c>
      <c r="L356" s="252">
        <f>VLOOKUP($E356,'5.1 Budget'!$A$4:$H$729,6,0)</f>
        <v>51800000</v>
      </c>
      <c r="M356" s="252">
        <f>VLOOKUP($E356,'5.1 Budget'!$A$4:$H$729,7,0)</f>
        <v>51800000</v>
      </c>
      <c r="N356" s="252">
        <f>VLOOKUP($E356,'5.1 Budget'!$A$4:$H$729,8,0)</f>
        <v>310800000</v>
      </c>
      <c r="V356" t="str">
        <f>VLOOKUP(D356,'[4]1. Mesures'!$A$1:$B$116,2,0)</f>
        <v>Assurer le traitement des eaux résiduaires urbaines conformément à la directive 91/271/CEE</v>
      </c>
      <c r="W356" t="str">
        <f>VLOOKUP(B356,[1]HIERARCH!$A$1:$B$57,2,0)</f>
        <v>Assurer la gestion spécifique des zones protégées et leur surveillance</v>
      </c>
      <c r="X356" t="str">
        <f>VLOOKUP(C356,[1]HIERARCH!$A$2:$B$57,2,0)</f>
        <v>Veiller à la protection des zones sensibles à l'égard des nutriments</v>
      </c>
      <c r="Y356" t="str">
        <f t="shared" si="20"/>
        <v>Assurer le traitement tertiaire des deux stations d'épuration situées en Région de Bruxelles-Capitale…</v>
      </c>
    </row>
    <row r="357" spans="1:25" x14ac:dyDescent="0.25">
      <c r="A357" s="249" t="str">
        <f t="shared" si="19"/>
        <v>3</v>
      </c>
      <c r="B357" s="249" t="str">
        <f>VLOOKUP($D357,'[4]1. Mesures'!$A$2:$G$116,6,0)</f>
        <v>OS 3.1</v>
      </c>
      <c r="C357" s="249" t="str">
        <f>VLOOKUP($D357,'[4]1. Mesures'!$A$2:$G$116,7,0)</f>
        <v>OO 3.1.4</v>
      </c>
      <c r="D357" s="249" t="str">
        <f t="shared" si="18"/>
        <v>M 3.5</v>
      </c>
      <c r="E357" s="250" t="s">
        <v>953</v>
      </c>
      <c r="F357" s="249" t="str">
        <f>VLOOKUP(E357,'5.2 Actions'!$A$3:$B$720,2,0)</f>
        <v>Contrôler le respect des performances épuratoires et des normes de déversement des effluents par les STEP collectives régionales</v>
      </c>
      <c r="G357" s="251" t="s">
        <v>415</v>
      </c>
      <c r="H357" s="252">
        <f>VLOOKUP($E357,'5.1 Budget'!$A$4:$H$729,2,0)</f>
        <v>0</v>
      </c>
      <c r="I357" s="252">
        <f>VLOOKUP($E357,'5.1 Budget'!$A$4:$H$729,3,0)</f>
        <v>0</v>
      </c>
      <c r="J357" s="252">
        <f>VLOOKUP($E357,'5.1 Budget'!$A$4:$H$729,4,0)</f>
        <v>0</v>
      </c>
      <c r="K357" s="252">
        <f>VLOOKUP($E357,'5.1 Budget'!$A$4:$H$729,5,0)</f>
        <v>0</v>
      </c>
      <c r="L357" s="252">
        <f>VLOOKUP($E357,'5.1 Budget'!$A$4:$H$729,6,0)</f>
        <v>0</v>
      </c>
      <c r="M357" s="252">
        <f>VLOOKUP($E357,'5.1 Budget'!$A$4:$H$729,7,0)</f>
        <v>0</v>
      </c>
      <c r="N357" s="252">
        <f>VLOOKUP($E357,'5.1 Budget'!$A$4:$H$729,8,0)</f>
        <v>0</v>
      </c>
      <c r="V357" t="str">
        <f>VLOOKUP(D357,'[4]1. Mesures'!$A$1:$B$116,2,0)</f>
        <v>Assurer le traitement des eaux résiduaires urbaines conformément à la directive 91/271/CEE</v>
      </c>
      <c r="W357" t="str">
        <f>VLOOKUP(B357,[1]HIERARCH!$A$1:$B$57,2,0)</f>
        <v>Assurer la gestion spécifique des zones protégées et leur surveillance</v>
      </c>
      <c r="X357" t="str">
        <f>VLOOKUP(C357,[1]HIERARCH!$A$2:$B$57,2,0)</f>
        <v>Veiller à la protection des zones sensibles à l'égard des nutriments</v>
      </c>
      <c r="Y357" t="str">
        <f t="shared" si="20"/>
        <v>Contrôler le respect des performances épuratoires et des normes de déversement des effluents par les STEP collectives ré…</v>
      </c>
    </row>
    <row r="358" spans="1:25" x14ac:dyDescent="0.25">
      <c r="A358" s="249" t="str">
        <f t="shared" si="19"/>
        <v>3</v>
      </c>
      <c r="B358" s="249" t="str">
        <f>VLOOKUP($D358,'[4]1. Mesures'!$A$2:$G$116,6,0)</f>
        <v>OS 3.1</v>
      </c>
      <c r="C358" s="249" t="str">
        <f>VLOOKUP($D358,'[4]1. Mesures'!$A$2:$G$116,7,0)</f>
        <v>OO 3.1.4</v>
      </c>
      <c r="D358" s="249" t="str">
        <f t="shared" si="18"/>
        <v>M 3.5</v>
      </c>
      <c r="E358" s="250" t="s">
        <v>954</v>
      </c>
      <c r="F358" s="249" t="str">
        <f>VLOOKUP(E358,'5.2 Actions'!$A$3:$B$720,2,0)</f>
        <v>Contrôler les rejets des stations d’épuration collectives et autonomes au regard des permis d’environnement couvrant chaque installation (cf aussi M 1.12)</v>
      </c>
      <c r="G358" s="251"/>
      <c r="H358" s="252">
        <f>VLOOKUP($E358,'5.1 Budget'!$A$4:$H$729,2,0)</f>
        <v>0</v>
      </c>
      <c r="I358" s="252">
        <f>VLOOKUP($E358,'5.1 Budget'!$A$4:$H$729,3,0)</f>
        <v>0</v>
      </c>
      <c r="J358" s="252">
        <f>VLOOKUP($E358,'5.1 Budget'!$A$4:$H$729,4,0)</f>
        <v>0</v>
      </c>
      <c r="K358" s="252">
        <f>VLOOKUP($E358,'5.1 Budget'!$A$4:$H$729,5,0)</f>
        <v>0</v>
      </c>
      <c r="L358" s="252">
        <f>VLOOKUP($E358,'5.1 Budget'!$A$4:$H$729,6,0)</f>
        <v>0</v>
      </c>
      <c r="M358" s="252">
        <f>VLOOKUP($E358,'5.1 Budget'!$A$4:$H$729,7,0)</f>
        <v>0</v>
      </c>
      <c r="N358" s="252">
        <f>VLOOKUP($E358,'5.1 Budget'!$A$4:$H$729,8,0)</f>
        <v>0</v>
      </c>
      <c r="V358" t="str">
        <f>VLOOKUP(D358,'[4]1. Mesures'!$A$1:$B$116,2,0)</f>
        <v>Assurer le traitement des eaux résiduaires urbaines conformément à la directive 91/271/CEE</v>
      </c>
      <c r="W358" t="str">
        <f>VLOOKUP(B358,[1]HIERARCH!$A$1:$B$57,2,0)</f>
        <v>Assurer la gestion spécifique des zones protégées et leur surveillance</v>
      </c>
      <c r="X358" t="str">
        <f>VLOOKUP(C358,[1]HIERARCH!$A$2:$B$57,2,0)</f>
        <v>Veiller à la protection des zones sensibles à l'égard des nutriments</v>
      </c>
      <c r="Y358" t="str">
        <f t="shared" si="20"/>
        <v>Contrôler les rejets des stations d’épuration collectives et autonomes au regard des permis d’environnement couvrant cha…</v>
      </c>
    </row>
    <row r="359" spans="1:25" x14ac:dyDescent="0.25">
      <c r="A359" s="249" t="str">
        <f t="shared" si="19"/>
        <v>3</v>
      </c>
      <c r="B359" s="249" t="str">
        <f>VLOOKUP($D359,'[4]1. Mesures'!$A$2:$G$116,6,0)</f>
        <v>OS 3.1</v>
      </c>
      <c r="C359" s="249" t="str">
        <f>VLOOKUP($D359,'[4]1. Mesures'!$A$2:$G$116,7,0)</f>
        <v>OO 3.1.4</v>
      </c>
      <c r="D359" s="249" t="str">
        <f t="shared" si="18"/>
        <v>M 3.5</v>
      </c>
      <c r="E359" s="250" t="s">
        <v>955</v>
      </c>
      <c r="F359" s="249" t="str">
        <f>VLOOKUP(E359,'5.2 Actions'!$A$3:$B$720,2,0)</f>
        <v>Contrôler le bon raccordement des particuliers et entreprises au réseau d'égouttage</v>
      </c>
      <c r="G359" s="251"/>
      <c r="H359" s="252">
        <f>VLOOKUP($E359,'5.1 Budget'!$A$4:$H$729,2,0)</f>
        <v>0</v>
      </c>
      <c r="I359" s="252">
        <f>VLOOKUP($E359,'5.1 Budget'!$A$4:$H$729,3,0)</f>
        <v>0</v>
      </c>
      <c r="J359" s="252">
        <f>VLOOKUP($E359,'5.1 Budget'!$A$4:$H$729,4,0)</f>
        <v>0</v>
      </c>
      <c r="K359" s="252">
        <f>VLOOKUP($E359,'5.1 Budget'!$A$4:$H$729,5,0)</f>
        <v>0</v>
      </c>
      <c r="L359" s="252">
        <f>VLOOKUP($E359,'5.1 Budget'!$A$4:$H$729,6,0)</f>
        <v>0</v>
      </c>
      <c r="M359" s="252">
        <f>VLOOKUP($E359,'5.1 Budget'!$A$4:$H$729,7,0)</f>
        <v>0</v>
      </c>
      <c r="N359" s="252">
        <f>VLOOKUP($E359,'5.1 Budget'!$A$4:$H$729,8,0)</f>
        <v>0</v>
      </c>
      <c r="V359" t="str">
        <f>VLOOKUP(D359,'[4]1. Mesures'!$A$1:$B$116,2,0)</f>
        <v>Assurer le traitement des eaux résiduaires urbaines conformément à la directive 91/271/CEE</v>
      </c>
      <c r="W359" t="str">
        <f>VLOOKUP(B359,[1]HIERARCH!$A$1:$B$57,2,0)</f>
        <v>Assurer la gestion spécifique des zones protégées et leur surveillance</v>
      </c>
      <c r="X359" t="str">
        <f>VLOOKUP(C359,[1]HIERARCH!$A$2:$B$57,2,0)</f>
        <v>Veiller à la protection des zones sensibles à l'égard des nutriments</v>
      </c>
      <c r="Y359" t="str">
        <f t="shared" si="20"/>
        <v>Contrôler le bon raccordement des particuliers et entreprises au réseau d'égouttage…</v>
      </c>
    </row>
    <row r="360" spans="1:25" x14ac:dyDescent="0.25">
      <c r="A360" s="249" t="str">
        <f t="shared" si="19"/>
        <v>3</v>
      </c>
      <c r="B360" s="249" t="str">
        <f>VLOOKUP($D360,'[4]1. Mesures'!$A$2:$G$116,6,0)</f>
        <v>OS 3.1</v>
      </c>
      <c r="C360" s="249" t="str">
        <f>VLOOKUP($D360,'[4]1. Mesures'!$A$2:$G$116,7,0)</f>
        <v>OO 3.1.4</v>
      </c>
      <c r="D360" s="249" t="str">
        <f t="shared" si="18"/>
        <v>M 3.5</v>
      </c>
      <c r="E360" s="250" t="s">
        <v>956</v>
      </c>
      <c r="F360" s="249" t="str">
        <f>VLOOKUP(E360,'5.2 Actions'!$A$3:$B$720,2,0)</f>
        <v>Imposer l'installation de stations d'épuration individuelles performantes lorsque le raccordement au réseau d'égouttage n'est techniquement et/ou économiquement pas réalisable (cf. M 2.4)</v>
      </c>
      <c r="G360" s="251"/>
      <c r="H360" s="252">
        <f>VLOOKUP($E360,'5.1 Budget'!$A$4:$H$729,2,0)</f>
        <v>0</v>
      </c>
      <c r="I360" s="252">
        <f>VLOOKUP($E360,'5.1 Budget'!$A$4:$H$729,3,0)</f>
        <v>0</v>
      </c>
      <c r="J360" s="252">
        <f>VLOOKUP($E360,'5.1 Budget'!$A$4:$H$729,4,0)</f>
        <v>0</v>
      </c>
      <c r="K360" s="252">
        <f>VLOOKUP($E360,'5.1 Budget'!$A$4:$H$729,5,0)</f>
        <v>0</v>
      </c>
      <c r="L360" s="252">
        <f>VLOOKUP($E360,'5.1 Budget'!$A$4:$H$729,6,0)</f>
        <v>0</v>
      </c>
      <c r="M360" s="252">
        <f>VLOOKUP($E360,'5.1 Budget'!$A$4:$H$729,7,0)</f>
        <v>0</v>
      </c>
      <c r="N360" s="252">
        <f>VLOOKUP($E360,'5.1 Budget'!$A$4:$H$729,8,0)</f>
        <v>0</v>
      </c>
      <c r="V360" t="str">
        <f>VLOOKUP(D360,'[4]1. Mesures'!$A$1:$B$116,2,0)</f>
        <v>Assurer le traitement des eaux résiduaires urbaines conformément à la directive 91/271/CEE</v>
      </c>
      <c r="W360" t="str">
        <f>VLOOKUP(B360,[1]HIERARCH!$A$1:$B$57,2,0)</f>
        <v>Assurer la gestion spécifique des zones protégées et leur surveillance</v>
      </c>
      <c r="X360" t="str">
        <f>VLOOKUP(C360,[1]HIERARCH!$A$2:$B$57,2,0)</f>
        <v>Veiller à la protection des zones sensibles à l'égard des nutriments</v>
      </c>
      <c r="Y360" t="str">
        <f t="shared" si="20"/>
        <v>Imposer l'installation de stations d'épuration individuelles performantes lorsque le raccordement au réseau d'égouttage …</v>
      </c>
    </row>
    <row r="361" spans="1:25" hidden="1" x14ac:dyDescent="0.25">
      <c r="A361" s="249" t="str">
        <f t="shared" si="19"/>
        <v>3</v>
      </c>
      <c r="B361" s="249" t="str">
        <f>VLOOKUP($D361,'[4]1. Mesures'!$A$2:$G$116,6,0)</f>
        <v>OS 3.1</v>
      </c>
      <c r="C361" s="249" t="str">
        <f>VLOOKUP($D361,'[4]1. Mesures'!$A$2:$G$116,7,0)</f>
        <v>OO 3.1.5</v>
      </c>
      <c r="D361" s="249" t="str">
        <f t="shared" si="18"/>
        <v>M 3.6</v>
      </c>
      <c r="E361" s="250" t="s">
        <v>957</v>
      </c>
      <c r="F361" s="249" t="str">
        <f>VLOOKUP(E361,'5.2 Actions'!$A$3:$B$720,2,0)</f>
        <v>Assurer la surveillance qualitative des masses d’eau en lien avec les pesticides</v>
      </c>
      <c r="G361" s="251">
        <f>VLOOKUP(E361,'[4]5.2 Actions'!$A$3:$D$718,4,0)</f>
        <v>0</v>
      </c>
      <c r="H361" s="252">
        <f>VLOOKUP($E361,'5.1 Budget'!$A$4:$H$729,2,0)</f>
        <v>0</v>
      </c>
      <c r="I361" s="252">
        <f>VLOOKUP($E361,'5.1 Budget'!$A$4:$H$729,3,0)</f>
        <v>0</v>
      </c>
      <c r="J361" s="252">
        <f>VLOOKUP($E361,'5.1 Budget'!$A$4:$H$729,4,0)</f>
        <v>0</v>
      </c>
      <c r="K361" s="252">
        <f>VLOOKUP($E361,'5.1 Budget'!$A$4:$H$729,5,0)</f>
        <v>0</v>
      </c>
      <c r="L361" s="252">
        <f>VLOOKUP($E361,'5.1 Budget'!$A$4:$H$729,6,0)</f>
        <v>0</v>
      </c>
      <c r="M361" s="252">
        <f>VLOOKUP($E361,'5.1 Budget'!$A$4:$H$729,7,0)</f>
        <v>0</v>
      </c>
      <c r="N361" s="252">
        <f>VLOOKUP($E361,'5.1 Budget'!$A$4:$H$729,8,0)</f>
        <v>0</v>
      </c>
      <c r="V361" t="str">
        <f>VLOOKUP(D361,'[4]1. Mesures'!$A$1:$B$116,2,0)</f>
        <v>Assurer la surveillance des zones aquatiques sensibles à une utilisation des pesticides,  en lien avec le programme régional de réduction des pesticides</v>
      </c>
      <c r="W361" t="str">
        <f>VLOOKUP(B361,[1]HIERARCH!$A$1:$B$57,2,0)</f>
        <v>Assurer la gestion spécifique des zones protégées et leur surveillance</v>
      </c>
      <c r="X361" t="str">
        <f>VLOOKUP(C361,[1]HIERARCH!$A$2:$B$57,2,0)</f>
        <v>Veiller à la protection des zones sensibles à risques accrus et des zones tampons à l'égard des pesticides</v>
      </c>
      <c r="Y361" t="str">
        <f t="shared" si="20"/>
        <v>Assurer la surveillance qualitative des masses d’eau en lien avec les pesticides…</v>
      </c>
    </row>
    <row r="362" spans="1:25" hidden="1" x14ac:dyDescent="0.25">
      <c r="A362" s="249" t="str">
        <f t="shared" si="19"/>
        <v>3</v>
      </c>
      <c r="B362" s="249" t="str">
        <f>VLOOKUP($D362,'[4]1. Mesures'!$A$2:$G$116,6,0)</f>
        <v>OS 3.1</v>
      </c>
      <c r="C362" s="249" t="str">
        <f>VLOOKUP($D362,'[4]1. Mesures'!$A$2:$G$116,7,0)</f>
        <v>OO 3.1.5</v>
      </c>
      <c r="D362" s="249" t="str">
        <f t="shared" si="18"/>
        <v>M 3.6</v>
      </c>
      <c r="E362" s="250" t="s">
        <v>958</v>
      </c>
      <c r="F362" s="249" t="str">
        <f>VLOOKUP(E362,'5.2 Actions'!$A$3:$B$720,2,0)</f>
        <v>Mettre en œuvre le Programme Régional de Réduction des pesticides</v>
      </c>
      <c r="G362" s="251">
        <f>VLOOKUP(E362,'[4]5.2 Actions'!$A$3:$D$718,4,0)</f>
        <v>0</v>
      </c>
      <c r="H362" s="252">
        <f>VLOOKUP($E362,'5.1 Budget'!$A$4:$H$729,2,0)</f>
        <v>0</v>
      </c>
      <c r="I362" s="252">
        <f>VLOOKUP($E362,'5.1 Budget'!$A$4:$H$729,3,0)</f>
        <v>0</v>
      </c>
      <c r="J362" s="252">
        <f>VLOOKUP($E362,'5.1 Budget'!$A$4:$H$729,4,0)</f>
        <v>0</v>
      </c>
      <c r="K362" s="252">
        <f>VLOOKUP($E362,'5.1 Budget'!$A$4:$H$729,5,0)</f>
        <v>0</v>
      </c>
      <c r="L362" s="252">
        <f>VLOOKUP($E362,'5.1 Budget'!$A$4:$H$729,6,0)</f>
        <v>0</v>
      </c>
      <c r="M362" s="252">
        <f>VLOOKUP($E362,'5.1 Budget'!$A$4:$H$729,7,0)</f>
        <v>0</v>
      </c>
      <c r="N362" s="252">
        <f>VLOOKUP($E362,'5.1 Budget'!$A$4:$H$729,8,0)</f>
        <v>0</v>
      </c>
      <c r="V362" t="str">
        <f>VLOOKUP(D362,'[4]1. Mesures'!$A$1:$B$116,2,0)</f>
        <v>Assurer la surveillance des zones aquatiques sensibles à une utilisation des pesticides,  en lien avec le programme régional de réduction des pesticides</v>
      </c>
      <c r="W362" t="str">
        <f>VLOOKUP(B362,[1]HIERARCH!$A$1:$B$57,2,0)</f>
        <v>Assurer la gestion spécifique des zones protégées et leur surveillance</v>
      </c>
      <c r="X362" t="str">
        <f>VLOOKUP(C362,[1]HIERARCH!$A$2:$B$57,2,0)</f>
        <v>Veiller à la protection des zones sensibles à risques accrus et des zones tampons à l'égard des pesticides</v>
      </c>
      <c r="Y362" t="str">
        <f t="shared" si="20"/>
        <v>Mettre en œuvre le Programme Régional de Réduction des pesticides…</v>
      </c>
    </row>
    <row r="363" spans="1:25" hidden="1" x14ac:dyDescent="0.25">
      <c r="A363" s="249" t="str">
        <f t="shared" si="19"/>
        <v>3</v>
      </c>
      <c r="B363" s="249" t="str">
        <f>VLOOKUP($D363,'[4]1. Mesures'!$A$2:$G$116,6,0)</f>
        <v>OS 3.2</v>
      </c>
      <c r="C363" s="249" t="str">
        <f>VLOOKUP($D363,'[4]1. Mesures'!$A$2:$G$116,7,0)</f>
        <v>-</v>
      </c>
      <c r="D363" s="249" t="str">
        <f t="shared" si="18"/>
        <v>M 3.7</v>
      </c>
      <c r="E363" s="250" t="s">
        <v>959</v>
      </c>
      <c r="F363" s="249" t="str">
        <f>VLOOKUP(E363,'5.2 Actions'!$A$3:$B$720,2,0)</f>
        <v>Valoriser une zone humide au niveau du grand étang Mellaerts – Etude et Travaux</v>
      </c>
      <c r="G363" s="251">
        <f>VLOOKUP(E363,'[4]5.2 Actions'!$A$3:$D$718,4,0)</f>
        <v>0</v>
      </c>
      <c r="H363" s="252">
        <f>VLOOKUP($E363,'5.1 Budget'!$A$4:$H$729,2,0)</f>
        <v>35000</v>
      </c>
      <c r="I363" s="252">
        <f>VLOOKUP($E363,'5.1 Budget'!$A$4:$H$729,3,0)</f>
        <v>0</v>
      </c>
      <c r="J363" s="252">
        <f>VLOOKUP($E363,'5.1 Budget'!$A$4:$H$729,4,0)</f>
        <v>200000</v>
      </c>
      <c r="K363" s="252">
        <f>VLOOKUP($E363,'5.1 Budget'!$A$4:$H$729,5,0)</f>
        <v>0</v>
      </c>
      <c r="L363" s="252">
        <f>VLOOKUP($E363,'5.1 Budget'!$A$4:$H$729,6,0)</f>
        <v>0</v>
      </c>
      <c r="M363" s="252">
        <f>VLOOKUP($E363,'5.1 Budget'!$A$4:$H$729,7,0)</f>
        <v>0</v>
      </c>
      <c r="N363" s="252">
        <f>VLOOKUP($E363,'5.1 Budget'!$A$4:$H$729,8,0)</f>
        <v>235000</v>
      </c>
      <c r="V363" t="str">
        <f>VLOOKUP(D363,'[4]1. Mesures'!$A$1:$B$116,2,0)</f>
        <v>Assurer le bon potentiel écologique des étangs régionaux afin de leur permettre d’atteindre leurs objectifs et d’exprimer pleinement et durablement leurs services écosystémiques</v>
      </c>
      <c r="W363" t="str">
        <f>VLOOKUP(B363,[1]HIERARCH!$A$1:$B$57,2,0)</f>
        <v>Assurer et contrôler le potentiel écologique des étangs régionaux afin de soutenir les objectifs de conservation des sites Natura 2000</v>
      </c>
      <c r="X363" t="e">
        <f>VLOOKUP(C363,[1]HIERARCH!$A$2:$B$57,2,0)</f>
        <v>#N/A</v>
      </c>
      <c r="Y363" t="str">
        <f t="shared" si="20"/>
        <v>Valoriser une zone humide au niveau du grand étang Mellaerts – Etude et Travaux…</v>
      </c>
    </row>
    <row r="364" spans="1:25" hidden="1" x14ac:dyDescent="0.25">
      <c r="A364" s="249" t="str">
        <f t="shared" si="19"/>
        <v>3</v>
      </c>
      <c r="B364" s="249" t="str">
        <f>VLOOKUP($D364,'[4]1. Mesures'!$A$2:$G$116,6,0)</f>
        <v>OS 3.2</v>
      </c>
      <c r="C364" s="249" t="str">
        <f>VLOOKUP($D364,'[4]1. Mesures'!$A$2:$G$116,7,0)</f>
        <v>-</v>
      </c>
      <c r="D364" s="249" t="str">
        <f t="shared" si="18"/>
        <v>M 3.7</v>
      </c>
      <c r="E364" s="250" t="s">
        <v>970</v>
      </c>
      <c r="F364" s="249" t="str">
        <f>VLOOKUP(E364,'5.2 Actions'!$A$3:$B$720,2,0)</f>
        <v>Réaménagement étang Sobieski - Travaux</v>
      </c>
      <c r="G364" s="251">
        <f>VLOOKUP(E364,'[4]5.2 Actions'!$A$3:$D$718,4,0)</f>
        <v>0</v>
      </c>
      <c r="H364" s="252">
        <f>VLOOKUP($E364,'5.1 Budget'!$A$4:$H$729,2,0)</f>
        <v>60000</v>
      </c>
      <c r="I364" s="252">
        <f>VLOOKUP($E364,'5.1 Budget'!$A$4:$H$729,3,0)</f>
        <v>800000</v>
      </c>
      <c r="J364" s="252">
        <f>VLOOKUP($E364,'5.1 Budget'!$A$4:$H$729,4,0)</f>
        <v>0</v>
      </c>
      <c r="K364" s="252">
        <f>VLOOKUP($E364,'5.1 Budget'!$A$4:$H$729,5,0)</f>
        <v>0</v>
      </c>
      <c r="L364" s="252">
        <f>VLOOKUP($E364,'5.1 Budget'!$A$4:$H$729,6,0)</f>
        <v>0</v>
      </c>
      <c r="M364" s="252">
        <f>VLOOKUP($E364,'5.1 Budget'!$A$4:$H$729,7,0)</f>
        <v>0</v>
      </c>
      <c r="N364" s="252">
        <f>VLOOKUP($E364,'5.1 Budget'!$A$4:$H$729,8,0)</f>
        <v>860000</v>
      </c>
      <c r="V364" t="str">
        <f>VLOOKUP(D364,'[4]1. Mesures'!$A$1:$B$116,2,0)</f>
        <v>Assurer le bon potentiel écologique des étangs régionaux afin de leur permettre d’atteindre leurs objectifs et d’exprimer pleinement et durablement leurs services écosystémiques</v>
      </c>
      <c r="W364" t="str">
        <f>VLOOKUP(B364,[1]HIERARCH!$A$1:$B$57,2,0)</f>
        <v>Assurer et contrôler le potentiel écologique des étangs régionaux afin de soutenir les objectifs de conservation des sites Natura 2000</v>
      </c>
      <c r="X364" t="e">
        <f>VLOOKUP(C364,[1]HIERARCH!$A$2:$B$57,2,0)</f>
        <v>#N/A</v>
      </c>
      <c r="Y364" t="str">
        <f t="shared" si="20"/>
        <v>Réaménagement étang Sobieski - Travaux…</v>
      </c>
    </row>
    <row r="365" spans="1:25" hidden="1" x14ac:dyDescent="0.25">
      <c r="A365" s="249" t="str">
        <f t="shared" si="19"/>
        <v>3</v>
      </c>
      <c r="B365" s="249" t="str">
        <f>VLOOKUP($D365,'[4]1. Mesures'!$A$2:$G$116,6,0)</f>
        <v>OS 3.2</v>
      </c>
      <c r="C365" s="249" t="str">
        <f>VLOOKUP($D365,'[4]1. Mesures'!$A$2:$G$116,7,0)</f>
        <v>-</v>
      </c>
      <c r="D365" s="249" t="str">
        <f t="shared" si="18"/>
        <v>M 3.7</v>
      </c>
      <c r="E365" s="250" t="s">
        <v>972</v>
      </c>
      <c r="F365" s="249" t="str">
        <f>VLOOKUP(E365,'5.2 Actions'!$A$3:$B$720,2,0)</f>
        <v>Réhabilitation et assainissement étang Parc Roi Baudouin phase 1 – Etude et Travaux</v>
      </c>
      <c r="G365" s="251">
        <f>VLOOKUP(E365,'[4]5.2 Actions'!$A$3:$D$718,4,0)</f>
        <v>0</v>
      </c>
      <c r="H365" s="252">
        <f>VLOOKUP($E365,'5.1 Budget'!$A$4:$H$729,2,0)</f>
        <v>60000</v>
      </c>
      <c r="I365" s="252">
        <f>VLOOKUP($E365,'5.1 Budget'!$A$4:$H$729,3,0)</f>
        <v>0</v>
      </c>
      <c r="J365" s="252">
        <f>VLOOKUP($E365,'5.1 Budget'!$A$4:$H$729,4,0)</f>
        <v>800000</v>
      </c>
      <c r="K365" s="252">
        <f>VLOOKUP($E365,'5.1 Budget'!$A$4:$H$729,5,0)</f>
        <v>0</v>
      </c>
      <c r="L365" s="252">
        <f>VLOOKUP($E365,'5.1 Budget'!$A$4:$H$729,6,0)</f>
        <v>0</v>
      </c>
      <c r="M365" s="252">
        <f>VLOOKUP($E365,'5.1 Budget'!$A$4:$H$729,7,0)</f>
        <v>0</v>
      </c>
      <c r="N365" s="252">
        <f>VLOOKUP($E365,'5.1 Budget'!$A$4:$H$729,8,0)</f>
        <v>860000</v>
      </c>
      <c r="V365" t="str">
        <f>VLOOKUP(D365,'[4]1. Mesures'!$A$1:$B$116,2,0)</f>
        <v>Assurer le bon potentiel écologique des étangs régionaux afin de leur permettre d’atteindre leurs objectifs et d’exprimer pleinement et durablement leurs services écosystémiques</v>
      </c>
      <c r="W365" t="str">
        <f>VLOOKUP(B365,[1]HIERARCH!$A$1:$B$57,2,0)</f>
        <v>Assurer et contrôler le potentiel écologique des étangs régionaux afin de soutenir les objectifs de conservation des sites Natura 2000</v>
      </c>
      <c r="X365" t="e">
        <f>VLOOKUP(C365,[1]HIERARCH!$A$2:$B$57,2,0)</f>
        <v>#N/A</v>
      </c>
      <c r="Y365" t="str">
        <f t="shared" si="20"/>
        <v>Réhabilitation et assainissement étang Parc Roi Baudouin phase 1 – Etude et Travaux…</v>
      </c>
    </row>
    <row r="366" spans="1:25" hidden="1" x14ac:dyDescent="0.25">
      <c r="A366" s="249" t="str">
        <f t="shared" si="19"/>
        <v>3</v>
      </c>
      <c r="B366" s="249" t="str">
        <f>VLOOKUP($D366,'[4]1. Mesures'!$A$2:$G$116,6,0)</f>
        <v>OS 3.2</v>
      </c>
      <c r="C366" s="249" t="str">
        <f>VLOOKUP($D366,'[4]1. Mesures'!$A$2:$G$116,7,0)</f>
        <v>-</v>
      </c>
      <c r="D366" s="249" t="str">
        <f t="shared" si="18"/>
        <v>M 3.7</v>
      </c>
      <c r="E366" s="250" t="s">
        <v>973</v>
      </c>
      <c r="F366" s="249" t="str">
        <f>VLOOKUP(E366,'5.2 Actions'!$A$3:$B$720,2,0)</f>
        <v>Réhabilitation et assainissement étangs Tournay Solvay – Etude et Travaux</v>
      </c>
      <c r="G366" s="251">
        <f>VLOOKUP(E366,'[4]5.2 Actions'!$A$3:$D$718,4,0)</f>
        <v>0</v>
      </c>
      <c r="H366" s="252">
        <f>VLOOKUP($E366,'5.1 Budget'!$A$4:$H$729,2,0)</f>
        <v>50000</v>
      </c>
      <c r="I366" s="252">
        <f>VLOOKUP($E366,'5.1 Budget'!$A$4:$H$729,3,0)</f>
        <v>0</v>
      </c>
      <c r="J366" s="252">
        <f>VLOOKUP($E366,'5.1 Budget'!$A$4:$H$729,4,0)</f>
        <v>1000000</v>
      </c>
      <c r="K366" s="252">
        <f>VLOOKUP($E366,'5.1 Budget'!$A$4:$H$729,5,0)</f>
        <v>0</v>
      </c>
      <c r="L366" s="252">
        <f>VLOOKUP($E366,'5.1 Budget'!$A$4:$H$729,6,0)</f>
        <v>0</v>
      </c>
      <c r="M366" s="252">
        <f>VLOOKUP($E366,'5.1 Budget'!$A$4:$H$729,7,0)</f>
        <v>0</v>
      </c>
      <c r="N366" s="252">
        <f>VLOOKUP($E366,'5.1 Budget'!$A$4:$H$729,8,0)</f>
        <v>1050000</v>
      </c>
      <c r="V366" t="str">
        <f>VLOOKUP(D366,'[4]1. Mesures'!$A$1:$B$116,2,0)</f>
        <v>Assurer le bon potentiel écologique des étangs régionaux afin de leur permettre d’atteindre leurs objectifs et d’exprimer pleinement et durablement leurs services écosystémiques</v>
      </c>
      <c r="W366" t="str">
        <f>VLOOKUP(B366,[1]HIERARCH!$A$1:$B$57,2,0)</f>
        <v>Assurer et contrôler le potentiel écologique des étangs régionaux afin de soutenir les objectifs de conservation des sites Natura 2000</v>
      </c>
      <c r="X366" t="e">
        <f>VLOOKUP(C366,[1]HIERARCH!$A$2:$B$57,2,0)</f>
        <v>#N/A</v>
      </c>
      <c r="Y366" t="str">
        <f t="shared" si="20"/>
        <v>Réhabilitation et assainissement étangs Tournay Solvay – Etude et Travaux…</v>
      </c>
    </row>
    <row r="367" spans="1:25" hidden="1" x14ac:dyDescent="0.25">
      <c r="A367" s="249" t="str">
        <f t="shared" si="19"/>
        <v>3</v>
      </c>
      <c r="B367" s="249" t="str">
        <f>VLOOKUP($D367,'[4]1. Mesures'!$A$2:$G$116,6,0)</f>
        <v>OS 3.2</v>
      </c>
      <c r="C367" s="249" t="str">
        <f>VLOOKUP($D367,'[4]1. Mesures'!$A$2:$G$116,7,0)</f>
        <v>-</v>
      </c>
      <c r="D367" s="249" t="str">
        <f t="shared" si="18"/>
        <v>M 3.7</v>
      </c>
      <c r="E367" s="250" t="s">
        <v>974</v>
      </c>
      <c r="F367" s="249" t="str">
        <f>VLOOKUP(E367,'5.2 Actions'!$A$3:$B$720,2,0)</f>
        <v>Réhabilitation et assainissement étang Marius Renard – Etude et Travaux</v>
      </c>
      <c r="G367" s="251">
        <f>VLOOKUP(E367,'[4]5.2 Actions'!$A$3:$D$718,4,0)</f>
        <v>0</v>
      </c>
      <c r="H367" s="252">
        <f>VLOOKUP($E367,'5.1 Budget'!$A$4:$H$729,2,0)</f>
        <v>0</v>
      </c>
      <c r="I367" s="252">
        <f>VLOOKUP($E367,'5.1 Budget'!$A$4:$H$729,3,0)</f>
        <v>0</v>
      </c>
      <c r="J367" s="252">
        <f>VLOOKUP($E367,'5.1 Budget'!$A$4:$H$729,4,0)</f>
        <v>0</v>
      </c>
      <c r="K367" s="252">
        <f>VLOOKUP($E367,'5.1 Budget'!$A$4:$H$729,5,0)</f>
        <v>200000</v>
      </c>
      <c r="L367" s="252">
        <f>VLOOKUP($E367,'5.1 Budget'!$A$4:$H$729,6,0)</f>
        <v>1600000</v>
      </c>
      <c r="M367" s="252">
        <f>VLOOKUP($E367,'5.1 Budget'!$A$4:$H$729,7,0)</f>
        <v>0</v>
      </c>
      <c r="N367" s="252">
        <f>VLOOKUP($E367,'5.1 Budget'!$A$4:$H$729,8,0)</f>
        <v>1800000</v>
      </c>
      <c r="V367" t="str">
        <f>VLOOKUP(D367,'[4]1. Mesures'!$A$1:$B$116,2,0)</f>
        <v>Assurer le bon potentiel écologique des étangs régionaux afin de leur permettre d’atteindre leurs objectifs et d’exprimer pleinement et durablement leurs services écosystémiques</v>
      </c>
      <c r="W367" t="str">
        <f>VLOOKUP(B367,[1]HIERARCH!$A$1:$B$57,2,0)</f>
        <v>Assurer et contrôler le potentiel écologique des étangs régionaux afin de soutenir les objectifs de conservation des sites Natura 2000</v>
      </c>
      <c r="X367" t="e">
        <f>VLOOKUP(C367,[1]HIERARCH!$A$2:$B$57,2,0)</f>
        <v>#N/A</v>
      </c>
      <c r="Y367" t="str">
        <f t="shared" si="20"/>
        <v>Réhabilitation et assainissement étang Marius Renard – Etude et Travaux…</v>
      </c>
    </row>
    <row r="368" spans="1:25" hidden="1" x14ac:dyDescent="0.25">
      <c r="A368" s="249" t="str">
        <f t="shared" si="19"/>
        <v>3</v>
      </c>
      <c r="B368" s="249" t="str">
        <f>VLOOKUP($D368,'[4]1. Mesures'!$A$2:$G$116,6,0)</f>
        <v>OS 3.2</v>
      </c>
      <c r="C368" s="249" t="str">
        <f>VLOOKUP($D368,'[4]1. Mesures'!$A$2:$G$116,7,0)</f>
        <v>-</v>
      </c>
      <c r="D368" s="249" t="str">
        <f t="shared" si="18"/>
        <v>M 3.7</v>
      </c>
      <c r="E368" s="250" t="s">
        <v>975</v>
      </c>
      <c r="F368" s="249" t="str">
        <f>VLOOKUP(E368,'5.2 Actions'!$A$3:$B$720,2,0)</f>
        <v>Réhabilitation mare Sauvagère (naturalisation, patrimoine, berge, cascades, ...) – Etude et Travaux</v>
      </c>
      <c r="G368" s="251">
        <f>VLOOKUP(E368,'[4]5.2 Actions'!$A$3:$D$718,4,0)</f>
        <v>0</v>
      </c>
      <c r="H368" s="252">
        <f>VLOOKUP($E368,'5.1 Budget'!$A$4:$H$729,2,0)</f>
        <v>50000</v>
      </c>
      <c r="I368" s="252">
        <f>VLOOKUP($E368,'5.1 Budget'!$A$4:$H$729,3,0)</f>
        <v>250000</v>
      </c>
      <c r="J368" s="252">
        <f>VLOOKUP($E368,'5.1 Budget'!$A$4:$H$729,4,0)</f>
        <v>0</v>
      </c>
      <c r="K368" s="252">
        <f>VLOOKUP($E368,'5.1 Budget'!$A$4:$H$729,5,0)</f>
        <v>0</v>
      </c>
      <c r="L368" s="252">
        <f>VLOOKUP($E368,'5.1 Budget'!$A$4:$H$729,6,0)</f>
        <v>0</v>
      </c>
      <c r="M368" s="252">
        <f>VLOOKUP($E368,'5.1 Budget'!$A$4:$H$729,7,0)</f>
        <v>0</v>
      </c>
      <c r="N368" s="252">
        <f>VLOOKUP($E368,'5.1 Budget'!$A$4:$H$729,8,0)</f>
        <v>300000</v>
      </c>
      <c r="V368" t="str">
        <f>VLOOKUP(D368,'[4]1. Mesures'!$A$1:$B$116,2,0)</f>
        <v>Assurer le bon potentiel écologique des étangs régionaux afin de leur permettre d’atteindre leurs objectifs et d’exprimer pleinement et durablement leurs services écosystémiques</v>
      </c>
      <c r="W368" t="str">
        <f>VLOOKUP(B368,[1]HIERARCH!$A$1:$B$57,2,0)</f>
        <v>Assurer et contrôler le potentiel écologique des étangs régionaux afin de soutenir les objectifs de conservation des sites Natura 2000</v>
      </c>
      <c r="X368" t="e">
        <f>VLOOKUP(C368,[1]HIERARCH!$A$2:$B$57,2,0)</f>
        <v>#N/A</v>
      </c>
      <c r="Y368" t="str">
        <f t="shared" si="20"/>
        <v>Réhabilitation mare Sauvagère (naturalisation, patrimoine, berge, cascades, ...) – Etude et Travaux…</v>
      </c>
    </row>
    <row r="369" spans="1:25" hidden="1" x14ac:dyDescent="0.25">
      <c r="A369" s="249" t="str">
        <f t="shared" si="19"/>
        <v>3</v>
      </c>
      <c r="B369" s="249" t="str">
        <f>VLOOKUP($D369,'[4]1. Mesures'!$A$2:$G$116,6,0)</f>
        <v>OS 3.2</v>
      </c>
      <c r="C369" s="249" t="str">
        <f>VLOOKUP($D369,'[4]1. Mesures'!$A$2:$G$116,7,0)</f>
        <v>-</v>
      </c>
      <c r="D369" s="249" t="str">
        <f t="shared" si="18"/>
        <v>M 3.7</v>
      </c>
      <c r="E369" s="250" t="s">
        <v>976</v>
      </c>
      <c r="F369" s="249" t="str">
        <f>VLOOKUP(E369,'5.2 Actions'!$A$3:$B$720,2,0)</f>
        <v>Réhabilitation et assainissement étang Ten Reuken - Travaux</v>
      </c>
      <c r="G369" s="251">
        <f>VLOOKUP(E369,'[4]5.2 Actions'!$A$3:$D$718,4,0)</f>
        <v>0</v>
      </c>
      <c r="H369" s="252">
        <f>VLOOKUP($E369,'5.1 Budget'!$A$4:$H$729,2,0)</f>
        <v>500000</v>
      </c>
      <c r="I369" s="252">
        <f>VLOOKUP($E369,'5.1 Budget'!$A$4:$H$729,3,0)</f>
        <v>500000</v>
      </c>
      <c r="J369" s="252">
        <f>VLOOKUP($E369,'5.1 Budget'!$A$4:$H$729,4,0)</f>
        <v>0</v>
      </c>
      <c r="K369" s="252">
        <f>VLOOKUP($E369,'5.1 Budget'!$A$4:$H$729,5,0)</f>
        <v>0</v>
      </c>
      <c r="L369" s="252">
        <f>VLOOKUP($E369,'5.1 Budget'!$A$4:$H$729,6,0)</f>
        <v>0</v>
      </c>
      <c r="M369" s="252">
        <f>VLOOKUP($E369,'5.1 Budget'!$A$4:$H$729,7,0)</f>
        <v>0</v>
      </c>
      <c r="N369" s="252">
        <f>VLOOKUP($E369,'5.1 Budget'!$A$4:$H$729,8,0)</f>
        <v>1000000</v>
      </c>
      <c r="V369" t="str">
        <f>VLOOKUP(D369,'[4]1. Mesures'!$A$1:$B$116,2,0)</f>
        <v>Assurer le bon potentiel écologique des étangs régionaux afin de leur permettre d’atteindre leurs objectifs et d’exprimer pleinement et durablement leurs services écosystémiques</v>
      </c>
      <c r="W369" t="str">
        <f>VLOOKUP(B369,[1]HIERARCH!$A$1:$B$57,2,0)</f>
        <v>Assurer et contrôler le potentiel écologique des étangs régionaux afin de soutenir les objectifs de conservation des sites Natura 2000</v>
      </c>
      <c r="X369" t="e">
        <f>VLOOKUP(C369,[1]HIERARCH!$A$2:$B$57,2,0)</f>
        <v>#N/A</v>
      </c>
      <c r="Y369" t="str">
        <f t="shared" si="20"/>
        <v>Réhabilitation et assainissement étang Ten Reuken - Travaux…</v>
      </c>
    </row>
    <row r="370" spans="1:25" hidden="1" x14ac:dyDescent="0.25">
      <c r="A370" s="249" t="str">
        <f t="shared" si="19"/>
        <v>3</v>
      </c>
      <c r="B370" s="249" t="str">
        <f>VLOOKUP($D370,'[4]1. Mesures'!$A$2:$G$116,6,0)</f>
        <v>OS 3.2</v>
      </c>
      <c r="C370" s="249" t="str">
        <f>VLOOKUP($D370,'[4]1. Mesures'!$A$2:$G$116,7,0)</f>
        <v>-</v>
      </c>
      <c r="D370" s="249" t="str">
        <f t="shared" si="18"/>
        <v>M 3.7</v>
      </c>
      <c r="E370" s="250" t="s">
        <v>977</v>
      </c>
      <c r="F370" s="249" t="str">
        <f>VLOOKUP(E370,'5.2 Actions'!$A$3:$B$720,2,0)</f>
        <v>Remplacement moine Rouge Cloître Woluwe – Etude et Travaux</v>
      </c>
      <c r="G370" s="251">
        <f>VLOOKUP(E370,'[4]5.2 Actions'!$A$3:$D$718,4,0)</f>
        <v>0</v>
      </c>
      <c r="H370" s="252">
        <f>VLOOKUP($E370,'5.1 Budget'!$A$4:$H$729,2,0)</f>
        <v>85000</v>
      </c>
      <c r="I370" s="252">
        <f>VLOOKUP($E370,'5.1 Budget'!$A$4:$H$729,3,0)</f>
        <v>350000</v>
      </c>
      <c r="J370" s="252">
        <f>VLOOKUP($E370,'5.1 Budget'!$A$4:$H$729,4,0)</f>
        <v>0</v>
      </c>
      <c r="K370" s="252">
        <f>VLOOKUP($E370,'5.1 Budget'!$A$4:$H$729,5,0)</f>
        <v>0</v>
      </c>
      <c r="L370" s="252">
        <f>VLOOKUP($E370,'5.1 Budget'!$A$4:$H$729,6,0)</f>
        <v>0</v>
      </c>
      <c r="M370" s="252">
        <f>VLOOKUP($E370,'5.1 Budget'!$A$4:$H$729,7,0)</f>
        <v>0</v>
      </c>
      <c r="N370" s="252">
        <f>VLOOKUP($E370,'5.1 Budget'!$A$4:$H$729,8,0)</f>
        <v>435000</v>
      </c>
      <c r="V370" t="str">
        <f>VLOOKUP(D370,'[4]1. Mesures'!$A$1:$B$116,2,0)</f>
        <v>Assurer le bon potentiel écologique des étangs régionaux afin de leur permettre d’atteindre leurs objectifs et d’exprimer pleinement et durablement leurs services écosystémiques</v>
      </c>
      <c r="W370" t="str">
        <f>VLOOKUP(B370,[1]HIERARCH!$A$1:$B$57,2,0)</f>
        <v>Assurer et contrôler le potentiel écologique des étangs régionaux afin de soutenir les objectifs de conservation des sites Natura 2000</v>
      </c>
      <c r="X370" t="e">
        <f>VLOOKUP(C370,[1]HIERARCH!$A$2:$B$57,2,0)</f>
        <v>#N/A</v>
      </c>
      <c r="Y370" t="str">
        <f t="shared" si="20"/>
        <v>Remplacement moine Rouge Cloître Woluwe – Etude et Travaux…</v>
      </c>
    </row>
    <row r="371" spans="1:25" hidden="1" x14ac:dyDescent="0.25">
      <c r="A371" s="249" t="str">
        <f t="shared" si="19"/>
        <v>3</v>
      </c>
      <c r="B371" s="249" t="str">
        <f>VLOOKUP($D371,'[4]1. Mesures'!$A$2:$G$116,6,0)</f>
        <v>OS 3.2</v>
      </c>
      <c r="C371" s="249" t="str">
        <f>VLOOKUP($D371,'[4]1. Mesures'!$A$2:$G$116,7,0)</f>
        <v>-</v>
      </c>
      <c r="D371" s="249" t="str">
        <f t="shared" si="18"/>
        <v>M 3.7</v>
      </c>
      <c r="E371" s="250" t="s">
        <v>978</v>
      </c>
      <c r="F371" s="249" t="str">
        <f>VLOOKUP(E371,'5.2 Actions'!$A$3:$B$720,2,0)</f>
        <v>Aménagement et naturalisation du Marais Wiels – Etude et Travaux</v>
      </c>
      <c r="G371" s="251">
        <f>VLOOKUP(E371,'[4]5.2 Actions'!$A$3:$D$718,4,0)</f>
        <v>0</v>
      </c>
      <c r="H371" s="252">
        <f>VLOOKUP($E371,'5.1 Budget'!$A$4:$H$729,2,0)</f>
        <v>100000</v>
      </c>
      <c r="I371" s="252">
        <f>VLOOKUP($E371,'5.1 Budget'!$A$4:$H$729,3,0)</f>
        <v>0</v>
      </c>
      <c r="J371" s="252">
        <f>VLOOKUP($E371,'5.1 Budget'!$A$4:$H$729,4,0)</f>
        <v>1000000</v>
      </c>
      <c r="K371" s="252">
        <f>VLOOKUP($E371,'5.1 Budget'!$A$4:$H$729,5,0)</f>
        <v>0</v>
      </c>
      <c r="L371" s="252">
        <f>VLOOKUP($E371,'5.1 Budget'!$A$4:$H$729,6,0)</f>
        <v>0</v>
      </c>
      <c r="M371" s="252">
        <f>VLOOKUP($E371,'5.1 Budget'!$A$4:$H$729,7,0)</f>
        <v>0</v>
      </c>
      <c r="N371" s="252">
        <f>VLOOKUP($E371,'5.1 Budget'!$A$4:$H$729,8,0)</f>
        <v>1100000</v>
      </c>
      <c r="V371" t="str">
        <f>VLOOKUP(D371,'[4]1. Mesures'!$A$1:$B$116,2,0)</f>
        <v>Assurer le bon potentiel écologique des étangs régionaux afin de leur permettre d’atteindre leurs objectifs et d’exprimer pleinement et durablement leurs services écosystémiques</v>
      </c>
      <c r="W371" t="str">
        <f>VLOOKUP(B371,[1]HIERARCH!$A$1:$B$57,2,0)</f>
        <v>Assurer et contrôler le potentiel écologique des étangs régionaux afin de soutenir les objectifs de conservation des sites Natura 2000</v>
      </c>
      <c r="X371" t="e">
        <f>VLOOKUP(C371,[1]HIERARCH!$A$2:$B$57,2,0)</f>
        <v>#N/A</v>
      </c>
      <c r="Y371" t="str">
        <f t="shared" si="20"/>
        <v>Aménagement et naturalisation du Marais Wiels – Etude et Travaux…</v>
      </c>
    </row>
    <row r="372" spans="1:25" hidden="1" x14ac:dyDescent="0.25">
      <c r="A372" s="249" t="str">
        <f t="shared" si="19"/>
        <v>3</v>
      </c>
      <c r="B372" s="249" t="str">
        <f>VLOOKUP($D372,'[4]1. Mesures'!$A$2:$G$116,6,0)</f>
        <v>OS 3.2</v>
      </c>
      <c r="C372" s="249" t="str">
        <f>VLOOKUP($D372,'[4]1. Mesures'!$A$2:$G$116,7,0)</f>
        <v>-</v>
      </c>
      <c r="D372" s="249" t="str">
        <f t="shared" si="18"/>
        <v>M 3.7</v>
      </c>
      <c r="E372" s="250" t="s">
        <v>960</v>
      </c>
      <c r="F372" s="249" t="str">
        <f>VLOOKUP(E372,'5.2 Actions'!$A$3:$B$720,2,0)</f>
        <v>Aménagement et naturalisation de l’étangs Moyen et Mayfair au parc de la Pede (pour la partie baignade, voir également M 6.7) – Etude et Travaux</v>
      </c>
      <c r="G372" s="251">
        <f>VLOOKUP(E372,'[4]5.2 Actions'!$A$3:$D$718,4,0)</f>
        <v>0</v>
      </c>
      <c r="H372" s="252">
        <f>VLOOKUP($E372,'5.1 Budget'!$A$4:$H$729,2,0)</f>
        <v>50000</v>
      </c>
      <c r="I372" s="252">
        <f>VLOOKUP($E372,'5.1 Budget'!$A$4:$H$729,3,0)</f>
        <v>500000</v>
      </c>
      <c r="J372" s="252">
        <f>VLOOKUP($E372,'5.1 Budget'!$A$4:$H$729,4,0)</f>
        <v>500000</v>
      </c>
      <c r="K372" s="252">
        <f>VLOOKUP($E372,'5.1 Budget'!$A$4:$H$729,5,0)</f>
        <v>0</v>
      </c>
      <c r="L372" s="252">
        <f>VLOOKUP($E372,'5.1 Budget'!$A$4:$H$729,6,0)</f>
        <v>0</v>
      </c>
      <c r="M372" s="252">
        <f>VLOOKUP($E372,'5.1 Budget'!$A$4:$H$729,7,0)</f>
        <v>0</v>
      </c>
      <c r="N372" s="252">
        <f>VLOOKUP($E372,'5.1 Budget'!$A$4:$H$729,8,0)</f>
        <v>1050000</v>
      </c>
      <c r="V372" t="str">
        <f>VLOOKUP(D372,'[4]1. Mesures'!$A$1:$B$116,2,0)</f>
        <v>Assurer le bon potentiel écologique des étangs régionaux afin de leur permettre d’atteindre leurs objectifs et d’exprimer pleinement et durablement leurs services écosystémiques</v>
      </c>
      <c r="W372" t="str">
        <f>VLOOKUP(B372,[1]HIERARCH!$A$1:$B$57,2,0)</f>
        <v>Assurer et contrôler le potentiel écologique des étangs régionaux afin de soutenir les objectifs de conservation des sites Natura 2000</v>
      </c>
      <c r="X372" t="e">
        <f>VLOOKUP(C372,[1]HIERARCH!$A$2:$B$57,2,0)</f>
        <v>#N/A</v>
      </c>
      <c r="Y372" t="str">
        <f t="shared" si="20"/>
        <v>Aménagement et naturalisation de l’étangs Moyen et Mayfair au parc de la Pede (pour la partie baignade, voir également M…</v>
      </c>
    </row>
    <row r="373" spans="1:25" hidden="1" x14ac:dyDescent="0.25">
      <c r="A373" s="249" t="str">
        <f t="shared" si="19"/>
        <v>3</v>
      </c>
      <c r="B373" s="249" t="str">
        <f>VLOOKUP($D373,'[4]1. Mesures'!$A$2:$G$116,6,0)</f>
        <v>OS 3.2</v>
      </c>
      <c r="C373" s="249" t="str">
        <f>VLOOKUP($D373,'[4]1. Mesures'!$A$2:$G$116,7,0)</f>
        <v>-</v>
      </c>
      <c r="D373" s="249" t="str">
        <f t="shared" si="18"/>
        <v>M 3.7</v>
      </c>
      <c r="E373" s="250" t="s">
        <v>961</v>
      </c>
      <c r="F373" s="249" t="str">
        <f>VLOOKUP(E373,'5.2 Actions'!$A$3:$B$720,2,0)</f>
        <v>Réaliser une étude pour l’aménagement de berges naturelles aux Etangs Bémel, Long, Denis et Rond du Parc de Woluwe (état actuel : berges en palplanches de bois) tel que prévu dans le Plan de Gestion de site Natura 2000</v>
      </c>
      <c r="G373" s="251">
        <f>VLOOKUP(E373,'[4]5.2 Actions'!$A$3:$D$718,4,0)</f>
        <v>0</v>
      </c>
      <c r="H373" s="252">
        <f>VLOOKUP($E373,'5.1 Budget'!$A$4:$H$729,2,0)</f>
        <v>0</v>
      </c>
      <c r="I373" s="252">
        <f>VLOOKUP($E373,'5.1 Budget'!$A$4:$H$729,3,0)</f>
        <v>0</v>
      </c>
      <c r="J373" s="252">
        <f>VLOOKUP($E373,'5.1 Budget'!$A$4:$H$729,4,0)</f>
        <v>0</v>
      </c>
      <c r="K373" s="252">
        <f>VLOOKUP($E373,'5.1 Budget'!$A$4:$H$729,5,0)</f>
        <v>0</v>
      </c>
      <c r="L373" s="252">
        <f>VLOOKUP($E373,'5.1 Budget'!$A$4:$H$729,6,0)</f>
        <v>0</v>
      </c>
      <c r="M373" s="252">
        <f>VLOOKUP($E373,'5.1 Budget'!$A$4:$H$729,7,0)</f>
        <v>0</v>
      </c>
      <c r="N373" s="252">
        <f>VLOOKUP($E373,'5.1 Budget'!$A$4:$H$729,8,0)</f>
        <v>0</v>
      </c>
      <c r="V373" t="str">
        <f>VLOOKUP(D373,'[4]1. Mesures'!$A$1:$B$116,2,0)</f>
        <v>Assurer le bon potentiel écologique des étangs régionaux afin de leur permettre d’atteindre leurs objectifs et d’exprimer pleinement et durablement leurs services écosystémiques</v>
      </c>
      <c r="W373" t="str">
        <f>VLOOKUP(B373,[1]HIERARCH!$A$1:$B$57,2,0)</f>
        <v>Assurer et contrôler le potentiel écologique des étangs régionaux afin de soutenir les objectifs de conservation des sites Natura 2000</v>
      </c>
      <c r="X373" t="e">
        <f>VLOOKUP(C373,[1]HIERARCH!$A$2:$B$57,2,0)</f>
        <v>#N/A</v>
      </c>
      <c r="Y373" t="str">
        <f t="shared" si="20"/>
        <v>Réaliser une étude pour l’aménagement de berges naturelles aux Etangs Bémel, Long, Denis et Rond du Parc de Woluwe (état…</v>
      </c>
    </row>
    <row r="374" spans="1:25" hidden="1" x14ac:dyDescent="0.25">
      <c r="A374" s="249" t="str">
        <f t="shared" si="19"/>
        <v>3</v>
      </c>
      <c r="B374" s="249" t="str">
        <f>VLOOKUP($D374,'[4]1. Mesures'!$A$2:$G$116,6,0)</f>
        <v>OS 3.2</v>
      </c>
      <c r="C374" s="249" t="str">
        <f>VLOOKUP($D374,'[4]1. Mesures'!$A$2:$G$116,7,0)</f>
        <v>-</v>
      </c>
      <c r="D374" s="249" t="str">
        <f t="shared" si="18"/>
        <v>M 3.7</v>
      </c>
      <c r="E374" s="250" t="s">
        <v>962</v>
      </c>
      <c r="F374" s="249" t="str">
        <f>VLOOKUP(E374,'5.2 Actions'!$A$3:$B$720,2,0)</f>
        <v>Aménager des berges naturelles aux Etangs Bémel, Long, Denis et Rond du Parc de Woluwe (état actuel : berges en palplanches de bois) tel que prévu dans le Plan de Gestion de site Natura 2000</v>
      </c>
      <c r="G374" s="251">
        <f>VLOOKUP(E374,'[4]5.2 Actions'!$A$3:$D$718,4,0)</f>
        <v>0</v>
      </c>
      <c r="H374" s="252">
        <f>VLOOKUP($E374,'5.1 Budget'!$A$4:$H$729,2,0)</f>
        <v>0</v>
      </c>
      <c r="I374" s="252">
        <f>VLOOKUP($E374,'5.1 Budget'!$A$4:$H$729,3,0)</f>
        <v>0</v>
      </c>
      <c r="J374" s="252">
        <f>VLOOKUP($E374,'5.1 Budget'!$A$4:$H$729,4,0)</f>
        <v>0</v>
      </c>
      <c r="K374" s="252">
        <f>VLOOKUP($E374,'5.1 Budget'!$A$4:$H$729,5,0)</f>
        <v>0</v>
      </c>
      <c r="L374" s="252">
        <f>VLOOKUP($E374,'5.1 Budget'!$A$4:$H$729,6,0)</f>
        <v>0</v>
      </c>
      <c r="M374" s="252">
        <f>VLOOKUP($E374,'5.1 Budget'!$A$4:$H$729,7,0)</f>
        <v>0</v>
      </c>
      <c r="N374" s="252">
        <f>VLOOKUP($E374,'5.1 Budget'!$A$4:$H$729,8,0)</f>
        <v>0</v>
      </c>
      <c r="V374" t="str">
        <f>VLOOKUP(D374,'[4]1. Mesures'!$A$1:$B$116,2,0)</f>
        <v>Assurer le bon potentiel écologique des étangs régionaux afin de leur permettre d’atteindre leurs objectifs et d’exprimer pleinement et durablement leurs services écosystémiques</v>
      </c>
      <c r="W374" t="str">
        <f>VLOOKUP(B374,[1]HIERARCH!$A$1:$B$57,2,0)</f>
        <v>Assurer et contrôler le potentiel écologique des étangs régionaux afin de soutenir les objectifs de conservation des sites Natura 2000</v>
      </c>
      <c r="X374" t="e">
        <f>VLOOKUP(C374,[1]HIERARCH!$A$2:$B$57,2,0)</f>
        <v>#N/A</v>
      </c>
      <c r="Y374" t="str">
        <f t="shared" si="20"/>
        <v>Aménager des berges naturelles aux Etangs Bémel, Long, Denis et Rond du Parc de Woluwe (état actuel : berges en palplanc…</v>
      </c>
    </row>
    <row r="375" spans="1:25" hidden="1" x14ac:dyDescent="0.25">
      <c r="A375" s="249" t="str">
        <f t="shared" si="19"/>
        <v>3</v>
      </c>
      <c r="B375" s="249" t="str">
        <f>VLOOKUP($D375,'[4]1. Mesures'!$A$2:$G$116,6,0)</f>
        <v>OS 3.2</v>
      </c>
      <c r="C375" s="249" t="str">
        <f>VLOOKUP($D375,'[4]1. Mesures'!$A$2:$G$116,7,0)</f>
        <v>-</v>
      </c>
      <c r="D375" s="249" t="str">
        <f t="shared" si="18"/>
        <v>M 3.7</v>
      </c>
      <c r="E375" s="250" t="s">
        <v>963</v>
      </c>
      <c r="F375" s="249" t="str">
        <f>VLOOKUP(E375,'5.2 Actions'!$A$3:$B$720,2,0)</f>
        <v>Réaliser une étude pour l’aménagement de berges naturelles à l’Etang Grand Mellaerts (état actuel : berges en palplanches en bois) tel que prévu dans le Plan de Gestion de site Natura 2000</v>
      </c>
      <c r="G375" s="251">
        <f>VLOOKUP(E375,'[4]5.2 Actions'!$A$3:$D$718,4,0)</f>
        <v>0</v>
      </c>
      <c r="H375" s="252">
        <f>VLOOKUP($E375,'5.1 Budget'!$A$4:$H$729,2,0)</f>
        <v>0</v>
      </c>
      <c r="I375" s="252">
        <f>VLOOKUP($E375,'5.1 Budget'!$A$4:$H$729,3,0)</f>
        <v>0</v>
      </c>
      <c r="J375" s="252">
        <f>VLOOKUP($E375,'5.1 Budget'!$A$4:$H$729,4,0)</f>
        <v>0</v>
      </c>
      <c r="K375" s="252">
        <f>VLOOKUP($E375,'5.1 Budget'!$A$4:$H$729,5,0)</f>
        <v>0</v>
      </c>
      <c r="L375" s="252">
        <f>VLOOKUP($E375,'5.1 Budget'!$A$4:$H$729,6,0)</f>
        <v>0</v>
      </c>
      <c r="M375" s="252">
        <f>VLOOKUP($E375,'5.1 Budget'!$A$4:$H$729,7,0)</f>
        <v>0</v>
      </c>
      <c r="N375" s="252">
        <f>VLOOKUP($E375,'5.1 Budget'!$A$4:$H$729,8,0)</f>
        <v>0</v>
      </c>
      <c r="V375" t="str">
        <f>VLOOKUP(D375,'[4]1. Mesures'!$A$1:$B$116,2,0)</f>
        <v>Assurer le bon potentiel écologique des étangs régionaux afin de leur permettre d’atteindre leurs objectifs et d’exprimer pleinement et durablement leurs services écosystémiques</v>
      </c>
      <c r="W375" t="str">
        <f>VLOOKUP(B375,[1]HIERARCH!$A$1:$B$57,2,0)</f>
        <v>Assurer et contrôler le potentiel écologique des étangs régionaux afin de soutenir les objectifs de conservation des sites Natura 2000</v>
      </c>
      <c r="X375" t="e">
        <f>VLOOKUP(C375,[1]HIERARCH!$A$2:$B$57,2,0)</f>
        <v>#N/A</v>
      </c>
      <c r="Y375" t="str">
        <f t="shared" si="20"/>
        <v>Réaliser une étude pour l’aménagement de berges naturelles à l’Etang Grand Mellaerts (état actuel : berges en palplanche…</v>
      </c>
    </row>
    <row r="376" spans="1:25" hidden="1" x14ac:dyDescent="0.25">
      <c r="A376" s="249" t="str">
        <f t="shared" si="19"/>
        <v>3</v>
      </c>
      <c r="B376" s="249" t="str">
        <f>VLOOKUP($D376,'[4]1. Mesures'!$A$2:$G$116,6,0)</f>
        <v>OS 3.2</v>
      </c>
      <c r="C376" s="249" t="str">
        <f>VLOOKUP($D376,'[4]1. Mesures'!$A$2:$G$116,7,0)</f>
        <v>-</v>
      </c>
      <c r="D376" s="249" t="str">
        <f t="shared" si="18"/>
        <v>M 3.7</v>
      </c>
      <c r="E376" s="250" t="s">
        <v>964</v>
      </c>
      <c r="F376" s="249" t="str">
        <f>VLOOKUP(E376,'5.2 Actions'!$A$3:$B$720,2,0)</f>
        <v>Aménager de berges naturelles à l’Etang Grand Mellaerts (état actuel : berges en palplanches en bois) tel que prévu dans le Plan de Gestion de site Natura 2000</v>
      </c>
      <c r="G376" s="251">
        <f>VLOOKUP(E376,'[4]5.2 Actions'!$A$3:$D$718,4,0)</f>
        <v>0</v>
      </c>
      <c r="H376" s="252">
        <f>VLOOKUP($E376,'5.1 Budget'!$A$4:$H$729,2,0)</f>
        <v>0</v>
      </c>
      <c r="I376" s="252">
        <f>VLOOKUP($E376,'5.1 Budget'!$A$4:$H$729,3,0)</f>
        <v>0</v>
      </c>
      <c r="J376" s="252">
        <f>VLOOKUP($E376,'5.1 Budget'!$A$4:$H$729,4,0)</f>
        <v>0</v>
      </c>
      <c r="K376" s="252">
        <f>VLOOKUP($E376,'5.1 Budget'!$A$4:$H$729,5,0)</f>
        <v>0</v>
      </c>
      <c r="L376" s="252">
        <f>VLOOKUP($E376,'5.1 Budget'!$A$4:$H$729,6,0)</f>
        <v>0</v>
      </c>
      <c r="M376" s="252">
        <f>VLOOKUP($E376,'5.1 Budget'!$A$4:$H$729,7,0)</f>
        <v>0</v>
      </c>
      <c r="N376" s="252">
        <f>VLOOKUP($E376,'5.1 Budget'!$A$4:$H$729,8,0)</f>
        <v>0</v>
      </c>
      <c r="V376" t="str">
        <f>VLOOKUP(D376,'[4]1. Mesures'!$A$1:$B$116,2,0)</f>
        <v>Assurer le bon potentiel écologique des étangs régionaux afin de leur permettre d’atteindre leurs objectifs et d’exprimer pleinement et durablement leurs services écosystémiques</v>
      </c>
      <c r="W376" t="str">
        <f>VLOOKUP(B376,[1]HIERARCH!$A$1:$B$57,2,0)</f>
        <v>Assurer et contrôler le potentiel écologique des étangs régionaux afin de soutenir les objectifs de conservation des sites Natura 2000</v>
      </c>
      <c r="X376" t="e">
        <f>VLOOKUP(C376,[1]HIERARCH!$A$2:$B$57,2,0)</f>
        <v>#N/A</v>
      </c>
      <c r="Y376" t="str">
        <f t="shared" si="20"/>
        <v>Aménager de berges naturelles à l’Etang Grand Mellaerts (état actuel : berges en palplanches en bois) tel que prévu dans…</v>
      </c>
    </row>
    <row r="377" spans="1:25" hidden="1" x14ac:dyDescent="0.25">
      <c r="A377" s="249" t="str">
        <f t="shared" si="19"/>
        <v>3</v>
      </c>
      <c r="B377" s="249" t="str">
        <f>VLOOKUP($D377,'[4]1. Mesures'!$A$2:$G$116,6,0)</f>
        <v>OS 3.2</v>
      </c>
      <c r="C377" s="249" t="str">
        <f>VLOOKUP($D377,'[4]1. Mesures'!$A$2:$G$116,7,0)</f>
        <v>-</v>
      </c>
      <c r="D377" s="249" t="str">
        <f t="shared" si="18"/>
        <v>M 3.7</v>
      </c>
      <c r="E377" s="250" t="s">
        <v>965</v>
      </c>
      <c r="F377" s="249" t="str">
        <f>VLOOKUP(E377,'5.2 Actions'!$A$3:$B$720,2,0)</f>
        <v>Mener une gestion alternative des étangs, Mise en assec, Culture des vases, Bio-dragage, Installation d’îles flottantes (radeaux végétalisés) (voir également M 1.2 et M 6.2.3).</v>
      </c>
      <c r="G377" s="251">
        <f>VLOOKUP(E377,'[4]5.2 Actions'!$A$3:$D$718,4,0)</f>
        <v>0</v>
      </c>
      <c r="H377" s="252">
        <f>VLOOKUP($E377,'5.1 Budget'!$A$4:$H$729,2,0)</f>
        <v>20000</v>
      </c>
      <c r="I377" s="252">
        <f>VLOOKUP($E377,'5.1 Budget'!$A$4:$H$729,3,0)</f>
        <v>20000</v>
      </c>
      <c r="J377" s="252">
        <f>VLOOKUP($E377,'5.1 Budget'!$A$4:$H$729,4,0)</f>
        <v>20000</v>
      </c>
      <c r="K377" s="252">
        <f>VLOOKUP($E377,'5.1 Budget'!$A$4:$H$729,5,0)</f>
        <v>20000</v>
      </c>
      <c r="L377" s="252">
        <f>VLOOKUP($E377,'5.1 Budget'!$A$4:$H$729,6,0)</f>
        <v>20000</v>
      </c>
      <c r="M377" s="252">
        <f>VLOOKUP($E377,'5.1 Budget'!$A$4:$H$729,7,0)</f>
        <v>20000</v>
      </c>
      <c r="N377" s="252">
        <f>VLOOKUP($E377,'5.1 Budget'!$A$4:$H$729,8,0)</f>
        <v>120000</v>
      </c>
      <c r="V377" t="str">
        <f>VLOOKUP(D377,'[4]1. Mesures'!$A$1:$B$116,2,0)</f>
        <v>Assurer le bon potentiel écologique des étangs régionaux afin de leur permettre d’atteindre leurs objectifs et d’exprimer pleinement et durablement leurs services écosystémiques</v>
      </c>
      <c r="W377" t="str">
        <f>VLOOKUP(B377,[1]HIERARCH!$A$1:$B$57,2,0)</f>
        <v>Assurer et contrôler le potentiel écologique des étangs régionaux afin de soutenir les objectifs de conservation des sites Natura 2000</v>
      </c>
      <c r="X377" t="e">
        <f>VLOOKUP(C377,[1]HIERARCH!$A$2:$B$57,2,0)</f>
        <v>#N/A</v>
      </c>
      <c r="Y377" t="str">
        <f t="shared" si="20"/>
        <v>Mener une gestion alternative des étangs, Mise en assec, Culture des vases, Bio-dragage, Installation d’îles flottantes …</v>
      </c>
    </row>
    <row r="378" spans="1:25" hidden="1" x14ac:dyDescent="0.25">
      <c r="A378" s="249" t="str">
        <f t="shared" si="19"/>
        <v>3</v>
      </c>
      <c r="B378" s="249" t="str">
        <f>VLOOKUP($D378,'[4]1. Mesures'!$A$2:$G$116,6,0)</f>
        <v>OS 3.2</v>
      </c>
      <c r="C378" s="249" t="str">
        <f>VLOOKUP($D378,'[4]1. Mesures'!$A$2:$G$116,7,0)</f>
        <v>-</v>
      </c>
      <c r="D378" s="249" t="str">
        <f t="shared" si="18"/>
        <v>M 3.7</v>
      </c>
      <c r="E378" s="250" t="s">
        <v>966</v>
      </c>
      <c r="F378" s="249" t="str">
        <f>VLOOKUP(E378,'5.2 Actions'!$A$3:$B$720,2,0)</f>
        <v>Mener une campagne de mesures des nutriments dans les étangs bruxellois pour initialiser et valider un modèle</v>
      </c>
      <c r="G378" s="251">
        <f>VLOOKUP(E378,'[4]5.2 Actions'!$A$3:$D$718,4,0)</f>
        <v>0</v>
      </c>
      <c r="H378" s="252">
        <f>VLOOKUP($E378,'5.1 Budget'!$A$4:$H$729,2,0)</f>
        <v>20000</v>
      </c>
      <c r="I378" s="252">
        <f>VLOOKUP($E378,'5.1 Budget'!$A$4:$H$729,3,0)</f>
        <v>0</v>
      </c>
      <c r="J378" s="252">
        <f>VLOOKUP($E378,'5.1 Budget'!$A$4:$H$729,4,0)</f>
        <v>0</v>
      </c>
      <c r="K378" s="252">
        <f>VLOOKUP($E378,'5.1 Budget'!$A$4:$H$729,5,0)</f>
        <v>0</v>
      </c>
      <c r="L378" s="252">
        <f>VLOOKUP($E378,'5.1 Budget'!$A$4:$H$729,6,0)</f>
        <v>0</v>
      </c>
      <c r="M378" s="252">
        <f>VLOOKUP($E378,'5.1 Budget'!$A$4:$H$729,7,0)</f>
        <v>0</v>
      </c>
      <c r="N378" s="252">
        <f>VLOOKUP($E378,'5.1 Budget'!$A$4:$H$729,8,0)</f>
        <v>20000</v>
      </c>
      <c r="V378" t="str">
        <f>VLOOKUP(D378,'[4]1. Mesures'!$A$1:$B$116,2,0)</f>
        <v>Assurer le bon potentiel écologique des étangs régionaux afin de leur permettre d’atteindre leurs objectifs et d’exprimer pleinement et durablement leurs services écosystémiques</v>
      </c>
      <c r="W378" t="str">
        <f>VLOOKUP(B378,[1]HIERARCH!$A$1:$B$57,2,0)</f>
        <v>Assurer et contrôler le potentiel écologique des étangs régionaux afin de soutenir les objectifs de conservation des sites Natura 2000</v>
      </c>
      <c r="X378" t="e">
        <f>VLOOKUP(C378,[1]HIERARCH!$A$2:$B$57,2,0)</f>
        <v>#N/A</v>
      </c>
      <c r="Y378" t="str">
        <f t="shared" si="20"/>
        <v>Mener une campagne de mesures des nutriments dans les étangs bruxellois pour initialiser et valider un modèle…</v>
      </c>
    </row>
    <row r="379" spans="1:25" hidden="1" x14ac:dyDescent="0.25">
      <c r="A379" s="249" t="str">
        <f t="shared" si="19"/>
        <v>3</v>
      </c>
      <c r="B379" s="249" t="str">
        <f>VLOOKUP($D379,'[4]1. Mesures'!$A$2:$G$116,6,0)</f>
        <v>OS 3.2</v>
      </c>
      <c r="C379" s="249" t="str">
        <f>VLOOKUP($D379,'[4]1. Mesures'!$A$2:$G$116,7,0)</f>
        <v>-</v>
      </c>
      <c r="D379" s="249" t="str">
        <f t="shared" si="18"/>
        <v>M 3.7</v>
      </c>
      <c r="E379" s="250" t="s">
        <v>967</v>
      </c>
      <c r="F379" s="249" t="str">
        <f>VLOOKUP(E379,'5.2 Actions'!$A$3:$B$720,2,0)</f>
        <v xml:space="preserve">Développer un modèle de prédiction des crises cyanobactéries afin de guider la gestion des étangs </v>
      </c>
      <c r="G379" s="251">
        <f>VLOOKUP(E379,'[4]5.2 Actions'!$A$3:$D$718,4,0)</f>
        <v>0</v>
      </c>
      <c r="H379" s="252">
        <f>VLOOKUP($E379,'5.1 Budget'!$A$4:$H$729,2,0)</f>
        <v>45000</v>
      </c>
      <c r="I379" s="252">
        <f>VLOOKUP($E379,'5.1 Budget'!$A$4:$H$729,3,0)</f>
        <v>44333</v>
      </c>
      <c r="J379" s="252">
        <f>VLOOKUP($E379,'5.1 Budget'!$A$4:$H$729,4,0)</f>
        <v>0</v>
      </c>
      <c r="K379" s="252">
        <f>VLOOKUP($E379,'5.1 Budget'!$A$4:$H$729,5,0)</f>
        <v>0</v>
      </c>
      <c r="L379" s="252">
        <f>VLOOKUP($E379,'5.1 Budget'!$A$4:$H$729,6,0)</f>
        <v>0</v>
      </c>
      <c r="M379" s="252">
        <f>VLOOKUP($E379,'5.1 Budget'!$A$4:$H$729,7,0)</f>
        <v>0</v>
      </c>
      <c r="N379" s="252">
        <f>VLOOKUP($E379,'5.1 Budget'!$A$4:$H$729,8,0)</f>
        <v>89333</v>
      </c>
      <c r="V379" t="str">
        <f>VLOOKUP(D379,'[4]1. Mesures'!$A$1:$B$116,2,0)</f>
        <v>Assurer le bon potentiel écologique des étangs régionaux afin de leur permettre d’atteindre leurs objectifs et d’exprimer pleinement et durablement leurs services écosystémiques</v>
      </c>
      <c r="W379" t="str">
        <f>VLOOKUP(B379,[1]HIERARCH!$A$1:$B$57,2,0)</f>
        <v>Assurer et contrôler le potentiel écologique des étangs régionaux afin de soutenir les objectifs de conservation des sites Natura 2000</v>
      </c>
      <c r="X379" t="e">
        <f>VLOOKUP(C379,[1]HIERARCH!$A$2:$B$57,2,0)</f>
        <v>#N/A</v>
      </c>
      <c r="Y379" t="str">
        <f t="shared" si="20"/>
        <v>Développer un modèle de prédiction des crises cyanobactéries afin de guider la gestion des étangs …</v>
      </c>
    </row>
    <row r="380" spans="1:25" hidden="1" x14ac:dyDescent="0.25">
      <c r="A380" s="249" t="str">
        <f t="shared" si="19"/>
        <v>3</v>
      </c>
      <c r="B380" s="249" t="str">
        <f>VLOOKUP($D380,'[4]1. Mesures'!$A$2:$G$116,6,0)</f>
        <v>OS 3.2</v>
      </c>
      <c r="C380" s="249" t="str">
        <f>VLOOKUP($D380,'[4]1. Mesures'!$A$2:$G$116,7,0)</f>
        <v>-</v>
      </c>
      <c r="D380" s="249" t="str">
        <f t="shared" si="18"/>
        <v>M 3.7</v>
      </c>
      <c r="E380" s="250" t="s">
        <v>979</v>
      </c>
      <c r="F380" s="249" t="str">
        <f>VLOOKUP(E380,'5.2 Actions'!$A$3:$B$720,2,0)</f>
        <v>Rendre au réseau hydrographique, y compris les étangs, sa fonction d’exutoire et de zone de débordement naturel, via la reconnexion des eaux claires et la gestion intégrée des eaux pluviales (GiEP), (voir également M 1.27 et 5.4)</v>
      </c>
      <c r="G380" s="251">
        <f>VLOOKUP(E380,'[4]5.2 Actions'!$A$3:$D$718,4,0)</f>
        <v>0</v>
      </c>
      <c r="H380" s="252">
        <f>VLOOKUP($E380,'5.1 Budget'!$A$4:$H$729,2,0)</f>
        <v>0</v>
      </c>
      <c r="I380" s="252">
        <f>VLOOKUP($E380,'5.1 Budget'!$A$4:$H$729,3,0)</f>
        <v>0</v>
      </c>
      <c r="J380" s="252">
        <f>VLOOKUP($E380,'5.1 Budget'!$A$4:$H$729,4,0)</f>
        <v>0</v>
      </c>
      <c r="K380" s="252">
        <f>VLOOKUP($E380,'5.1 Budget'!$A$4:$H$729,5,0)</f>
        <v>0</v>
      </c>
      <c r="L380" s="252">
        <f>VLOOKUP($E380,'5.1 Budget'!$A$4:$H$729,6,0)</f>
        <v>0</v>
      </c>
      <c r="M380" s="252">
        <f>VLOOKUP($E380,'5.1 Budget'!$A$4:$H$729,7,0)</f>
        <v>0</v>
      </c>
      <c r="N380" s="252">
        <f>VLOOKUP($E380,'5.1 Budget'!$A$4:$H$729,8,0)</f>
        <v>0</v>
      </c>
      <c r="V380" t="str">
        <f>VLOOKUP(D380,'[4]1. Mesures'!$A$1:$B$116,2,0)</f>
        <v>Assurer le bon potentiel écologique des étangs régionaux afin de leur permettre d’atteindre leurs objectifs et d’exprimer pleinement et durablement leurs services écosystémiques</v>
      </c>
      <c r="W380" t="str">
        <f>VLOOKUP(B380,[1]HIERARCH!$A$1:$B$57,2,0)</f>
        <v>Assurer et contrôler le potentiel écologique des étangs régionaux afin de soutenir les objectifs de conservation des sites Natura 2000</v>
      </c>
      <c r="X380" t="e">
        <f>VLOOKUP(C380,[1]HIERARCH!$A$2:$B$57,2,0)</f>
        <v>#N/A</v>
      </c>
      <c r="Y380" t="str">
        <f t="shared" si="20"/>
        <v>Rendre au réseau hydrographique, y compris les étangs, sa fonction d’exutoire et de zone de débordement naturel, via la …</v>
      </c>
    </row>
    <row r="381" spans="1:25" hidden="1" x14ac:dyDescent="0.25">
      <c r="A381" s="249" t="str">
        <f t="shared" si="19"/>
        <v>3</v>
      </c>
      <c r="B381" s="249" t="str">
        <f>VLOOKUP($D381,'[4]1. Mesures'!$A$2:$G$116,6,0)</f>
        <v>OS 3.2</v>
      </c>
      <c r="C381" s="249" t="str">
        <f>VLOOKUP($D381,'[4]1. Mesures'!$A$2:$G$116,7,0)</f>
        <v>-</v>
      </c>
      <c r="D381" s="249" t="str">
        <f t="shared" si="18"/>
        <v>M 3.7</v>
      </c>
      <c r="E381" s="250" t="s">
        <v>968</v>
      </c>
      <c r="F381" s="249" t="str">
        <f>VLOOKUP(E381,'5.2 Actions'!$A$3:$B$720,2,0)</f>
        <v>Ajuster les niveaux des étangs en fonction des saisons</v>
      </c>
      <c r="G381" s="251">
        <f>VLOOKUP(E381,'[4]5.2 Actions'!$A$3:$D$718,4,0)</f>
        <v>0</v>
      </c>
      <c r="H381" s="252">
        <f>VLOOKUP($E381,'5.1 Budget'!$A$4:$H$729,2,0)</f>
        <v>0</v>
      </c>
      <c r="I381" s="252">
        <f>VLOOKUP($E381,'5.1 Budget'!$A$4:$H$729,3,0)</f>
        <v>0</v>
      </c>
      <c r="J381" s="252">
        <f>VLOOKUP($E381,'5.1 Budget'!$A$4:$H$729,4,0)</f>
        <v>0</v>
      </c>
      <c r="K381" s="252">
        <f>VLOOKUP($E381,'5.1 Budget'!$A$4:$H$729,5,0)</f>
        <v>0</v>
      </c>
      <c r="L381" s="252">
        <f>VLOOKUP($E381,'5.1 Budget'!$A$4:$H$729,6,0)</f>
        <v>0</v>
      </c>
      <c r="M381" s="252">
        <f>VLOOKUP($E381,'5.1 Budget'!$A$4:$H$729,7,0)</f>
        <v>0</v>
      </c>
      <c r="N381" s="252">
        <f>VLOOKUP($E381,'5.1 Budget'!$A$4:$H$729,8,0)</f>
        <v>0</v>
      </c>
      <c r="V381" t="str">
        <f>VLOOKUP(D381,'[4]1. Mesures'!$A$1:$B$116,2,0)</f>
        <v>Assurer le bon potentiel écologique des étangs régionaux afin de leur permettre d’atteindre leurs objectifs et d’exprimer pleinement et durablement leurs services écosystémiques</v>
      </c>
      <c r="W381" t="str">
        <f>VLOOKUP(B381,[1]HIERARCH!$A$1:$B$57,2,0)</f>
        <v>Assurer et contrôler le potentiel écologique des étangs régionaux afin de soutenir les objectifs de conservation des sites Natura 2000</v>
      </c>
      <c r="X381" t="e">
        <f>VLOOKUP(C381,[1]HIERARCH!$A$2:$B$57,2,0)</f>
        <v>#N/A</v>
      </c>
      <c r="Y381" t="str">
        <f t="shared" si="20"/>
        <v>Ajuster les niveaux des étangs en fonction des saisons…</v>
      </c>
    </row>
    <row r="382" spans="1:25" hidden="1" x14ac:dyDescent="0.25">
      <c r="A382" s="249" t="str">
        <f t="shared" si="19"/>
        <v>3</v>
      </c>
      <c r="B382" s="249" t="str">
        <f>VLOOKUP($D382,'[4]1. Mesures'!$A$2:$G$116,6,0)</f>
        <v>OS 3.2</v>
      </c>
      <c r="C382" s="249" t="str">
        <f>VLOOKUP($D382,'[4]1. Mesures'!$A$2:$G$116,7,0)</f>
        <v>-</v>
      </c>
      <c r="D382" s="249" t="str">
        <f t="shared" si="18"/>
        <v>M 3.7</v>
      </c>
      <c r="E382" s="250" t="s">
        <v>969</v>
      </c>
      <c r="F382" s="249" t="str">
        <f>VLOOKUP(E382,'5.2 Actions'!$A$3:$B$720,2,0)</f>
        <v>Gérer les populations de poissons</v>
      </c>
      <c r="G382" s="251">
        <f>VLOOKUP(E382,'[4]5.2 Actions'!$A$3:$D$718,4,0)</f>
        <v>0</v>
      </c>
      <c r="H382" s="252">
        <f>VLOOKUP($E382,'5.1 Budget'!$A$4:$H$729,2,0)</f>
        <v>5000</v>
      </c>
      <c r="I382" s="252">
        <f>VLOOKUP($E382,'5.1 Budget'!$A$4:$H$729,3,0)</f>
        <v>5000</v>
      </c>
      <c r="J382" s="252">
        <f>VLOOKUP($E382,'5.1 Budget'!$A$4:$H$729,4,0)</f>
        <v>5000</v>
      </c>
      <c r="K382" s="252">
        <f>VLOOKUP($E382,'5.1 Budget'!$A$4:$H$729,5,0)</f>
        <v>5000</v>
      </c>
      <c r="L382" s="252">
        <f>VLOOKUP($E382,'5.1 Budget'!$A$4:$H$729,6,0)</f>
        <v>5000</v>
      </c>
      <c r="M382" s="252">
        <f>VLOOKUP($E382,'5.1 Budget'!$A$4:$H$729,7,0)</f>
        <v>5000</v>
      </c>
      <c r="N382" s="252">
        <f>VLOOKUP($E382,'5.1 Budget'!$A$4:$H$729,8,0)</f>
        <v>30000</v>
      </c>
      <c r="V382" t="str">
        <f>VLOOKUP(D382,'[4]1. Mesures'!$A$1:$B$116,2,0)</f>
        <v>Assurer le bon potentiel écologique des étangs régionaux afin de leur permettre d’atteindre leurs objectifs et d’exprimer pleinement et durablement leurs services écosystémiques</v>
      </c>
      <c r="W382" t="str">
        <f>VLOOKUP(B382,[1]HIERARCH!$A$1:$B$57,2,0)</f>
        <v>Assurer et contrôler le potentiel écologique des étangs régionaux afin de soutenir les objectifs de conservation des sites Natura 2000</v>
      </c>
      <c r="X382" t="e">
        <f>VLOOKUP(C382,[1]HIERARCH!$A$2:$B$57,2,0)</f>
        <v>#N/A</v>
      </c>
      <c r="Y382" t="str">
        <f t="shared" si="20"/>
        <v>Gérer les populations de poissons…</v>
      </c>
    </row>
    <row r="383" spans="1:25" hidden="1" x14ac:dyDescent="0.25">
      <c r="A383" s="249" t="str">
        <f t="shared" si="19"/>
        <v>3</v>
      </c>
      <c r="B383" s="249" t="str">
        <f>VLOOKUP($D383,'[4]1. Mesures'!$A$2:$G$116,6,0)</f>
        <v>OS 3.2</v>
      </c>
      <c r="C383" s="249" t="str">
        <f>VLOOKUP($D383,'[4]1. Mesures'!$A$2:$G$116,7,0)</f>
        <v>-</v>
      </c>
      <c r="D383" s="249" t="str">
        <f t="shared" si="18"/>
        <v>M 3.7</v>
      </c>
      <c r="E383" s="250" t="s">
        <v>971</v>
      </c>
      <c r="F383" s="249" t="str">
        <f>VLOOKUP(E383,'5.2 Actions'!$A$3:$B$720,2,0)</f>
        <v>Mener des campagnes d’information quant à l’interdiction de nourrissage des animaux sauvages (oiseaux, poissons) à proximité des étangs et du Canal</v>
      </c>
      <c r="G383" s="251">
        <f>VLOOKUP(E383,'[4]5.2 Actions'!$A$3:$D$718,4,0)</f>
        <v>0</v>
      </c>
      <c r="H383" s="252">
        <f>VLOOKUP($E383,'5.1 Budget'!$A$4:$H$729,2,0)</f>
        <v>0</v>
      </c>
      <c r="I383" s="252">
        <f>VLOOKUP($E383,'5.1 Budget'!$A$4:$H$729,3,0)</f>
        <v>0</v>
      </c>
      <c r="J383" s="252">
        <f>VLOOKUP($E383,'5.1 Budget'!$A$4:$H$729,4,0)</f>
        <v>0</v>
      </c>
      <c r="K383" s="252">
        <f>VLOOKUP($E383,'5.1 Budget'!$A$4:$H$729,5,0)</f>
        <v>0</v>
      </c>
      <c r="L383" s="252">
        <f>VLOOKUP($E383,'5.1 Budget'!$A$4:$H$729,6,0)</f>
        <v>0</v>
      </c>
      <c r="M383" s="252">
        <f>VLOOKUP($E383,'5.1 Budget'!$A$4:$H$729,7,0)</f>
        <v>0</v>
      </c>
      <c r="N383" s="252">
        <f>VLOOKUP($E383,'5.1 Budget'!$A$4:$H$729,8,0)</f>
        <v>0</v>
      </c>
      <c r="V383" t="str">
        <f>VLOOKUP(D383,'[4]1. Mesures'!$A$1:$B$116,2,0)</f>
        <v>Assurer le bon potentiel écologique des étangs régionaux afin de leur permettre d’atteindre leurs objectifs et d’exprimer pleinement et durablement leurs services écosystémiques</v>
      </c>
      <c r="W383" t="str">
        <f>VLOOKUP(B383,[1]HIERARCH!$A$1:$B$57,2,0)</f>
        <v>Assurer et contrôler le potentiel écologique des étangs régionaux afin de soutenir les objectifs de conservation des sites Natura 2000</v>
      </c>
      <c r="X383" t="e">
        <f>VLOOKUP(C383,[1]HIERARCH!$A$2:$B$57,2,0)</f>
        <v>#N/A</v>
      </c>
      <c r="Y383" t="str">
        <f t="shared" si="20"/>
        <v>Mener des campagnes d’information quant à l’interdiction de nourrissage des animaux sauvages (oiseaux, poissons) à proxi…</v>
      </c>
    </row>
    <row r="384" spans="1:25" hidden="1" x14ac:dyDescent="0.25">
      <c r="A384" s="249" t="str">
        <f t="shared" si="19"/>
        <v>4</v>
      </c>
      <c r="B384" s="249" t="str">
        <f>VLOOKUP($D384,'[4]1. Mesures'!$A$2:$G$116,6,0)</f>
        <v>OS 4.1</v>
      </c>
      <c r="C384" s="249" t="str">
        <f>VLOOKUP($D384,'[4]1. Mesures'!$A$2:$G$116,7,0)</f>
        <v>-</v>
      </c>
      <c r="D384" s="249" t="str">
        <f t="shared" si="18"/>
        <v>M 4.1</v>
      </c>
      <c r="E384" s="250" t="s">
        <v>980</v>
      </c>
      <c r="F384" s="249" t="str">
        <f>VLOOKUP(E384,'5.2 Actions'!$A$3:$B$720,2,0)</f>
        <v>Analyse et comparaison des deux approches tarifaires (basée sur le seul volume vs. sur la charge polluante) par rapport au respect du principe Pollueur-Payeur</v>
      </c>
      <c r="G384" s="251">
        <f>VLOOKUP(E384,'[4]5.2 Actions'!$A$3:$D$718,4,0)</f>
        <v>0</v>
      </c>
      <c r="H384" s="252">
        <f>VLOOKUP($E384,'5.1 Budget'!$A$4:$H$729,2,0)</f>
        <v>0</v>
      </c>
      <c r="I384" s="252">
        <f>VLOOKUP($E384,'5.1 Budget'!$A$4:$H$729,3,0)</f>
        <v>0</v>
      </c>
      <c r="J384" s="252">
        <f>VLOOKUP($E384,'5.1 Budget'!$A$4:$H$729,4,0)</f>
        <v>0</v>
      </c>
      <c r="K384" s="252">
        <f>VLOOKUP($E384,'5.1 Budget'!$A$4:$H$729,5,0)</f>
        <v>0</v>
      </c>
      <c r="L384" s="252">
        <f>VLOOKUP($E384,'5.1 Budget'!$A$4:$H$729,6,0)</f>
        <v>0</v>
      </c>
      <c r="M384" s="252">
        <f>VLOOKUP($E384,'5.1 Budget'!$A$4:$H$729,7,0)</f>
        <v>0</v>
      </c>
      <c r="N384" s="252">
        <f>VLOOKUP($E384,'5.1 Budget'!$A$4:$H$729,8,0)</f>
        <v>0</v>
      </c>
      <c r="V384" t="str">
        <f>VLOOKUP(D384,'[4]1. Mesures'!$A$1:$B$116,2,0)</f>
        <v>Evaluer le mode de facturation du coût du service d'assainissement auprès des entreprises</v>
      </c>
      <c r="W384" t="str">
        <f>VLOOKUP(B384,[1]HIERARCH!$A$1:$B$57,2,0)</f>
        <v>Assurer l'application du principe du pollueur-payeur</v>
      </c>
      <c r="X384" t="e">
        <f>VLOOKUP(C384,[1]HIERARCH!$A$2:$B$57,2,0)</f>
        <v>#N/A</v>
      </c>
      <c r="Y384" t="str">
        <f t="shared" si="20"/>
        <v>Analyse et comparaison des deux approches tarifaires (basée sur le seul volume vs. sur la charge polluante) par rapport …</v>
      </c>
    </row>
    <row r="385" spans="1:25" hidden="1" x14ac:dyDescent="0.25">
      <c r="A385" s="249" t="str">
        <f t="shared" si="19"/>
        <v>4</v>
      </c>
      <c r="B385" s="249" t="str">
        <f>VLOOKUP($D385,'[4]1. Mesures'!$A$2:$G$116,6,0)</f>
        <v>OS 4.1</v>
      </c>
      <c r="C385" s="249" t="str">
        <f>VLOOKUP($D385,'[4]1. Mesures'!$A$2:$G$116,7,0)</f>
        <v>-</v>
      </c>
      <c r="D385" s="249" t="str">
        <f t="shared" si="18"/>
        <v>M 4.1</v>
      </c>
      <c r="E385" s="250" t="s">
        <v>981</v>
      </c>
      <c r="F385" s="249" t="str">
        <f>VLOOKUP(E385,'5.2 Actions'!$A$3:$B$720,2,0)</f>
        <v>Benchmark/analyse des approches mise en place dans les pays européens</v>
      </c>
      <c r="G385" s="251">
        <f>VLOOKUP(E385,'[4]5.2 Actions'!$A$3:$D$718,4,0)</f>
        <v>0</v>
      </c>
      <c r="H385" s="252">
        <f>VLOOKUP($E385,'5.1 Budget'!$A$4:$H$729,2,0)</f>
        <v>0</v>
      </c>
      <c r="I385" s="252">
        <f>VLOOKUP($E385,'5.1 Budget'!$A$4:$H$729,3,0)</f>
        <v>0</v>
      </c>
      <c r="J385" s="252">
        <f>VLOOKUP($E385,'5.1 Budget'!$A$4:$H$729,4,0)</f>
        <v>0</v>
      </c>
      <c r="K385" s="252">
        <f>VLOOKUP($E385,'5.1 Budget'!$A$4:$H$729,5,0)</f>
        <v>0</v>
      </c>
      <c r="L385" s="252">
        <f>VLOOKUP($E385,'5.1 Budget'!$A$4:$H$729,6,0)</f>
        <v>0</v>
      </c>
      <c r="M385" s="252">
        <f>VLOOKUP($E385,'5.1 Budget'!$A$4:$H$729,7,0)</f>
        <v>0</v>
      </c>
      <c r="N385" s="252">
        <f>VLOOKUP($E385,'5.1 Budget'!$A$4:$H$729,8,0)</f>
        <v>0</v>
      </c>
      <c r="V385" t="str">
        <f>VLOOKUP(D385,'[4]1. Mesures'!$A$1:$B$116,2,0)</f>
        <v>Evaluer le mode de facturation du coût du service d'assainissement auprès des entreprises</v>
      </c>
      <c r="W385" t="str">
        <f>VLOOKUP(B385,[1]HIERARCH!$A$1:$B$57,2,0)</f>
        <v>Assurer l'application du principe du pollueur-payeur</v>
      </c>
      <c r="X385" t="e">
        <f>VLOOKUP(C385,[1]HIERARCH!$A$2:$B$57,2,0)</f>
        <v>#N/A</v>
      </c>
      <c r="Y385" t="str">
        <f t="shared" si="20"/>
        <v>Benchmark/analyse des approches mise en place dans les pays européens…</v>
      </c>
    </row>
    <row r="386" spans="1:25" hidden="1" x14ac:dyDescent="0.25">
      <c r="A386" s="249" t="str">
        <f t="shared" si="19"/>
        <v>4</v>
      </c>
      <c r="B386" s="249" t="str">
        <f>VLOOKUP($D386,'[4]1. Mesures'!$A$2:$G$116,6,0)</f>
        <v>OS 4.1</v>
      </c>
      <c r="C386" s="249" t="str">
        <f>VLOOKUP($D386,'[4]1. Mesures'!$A$2:$G$116,7,0)</f>
        <v>-</v>
      </c>
      <c r="D386" s="249" t="str">
        <f t="shared" si="18"/>
        <v>M 4.1</v>
      </c>
      <c r="E386" s="250" t="s">
        <v>982</v>
      </c>
      <c r="F386" s="249" t="str">
        <f>VLOOKUP(E386,'5.2 Actions'!$A$3:$B$720,2,0)</f>
        <v>Présentation de nouvelles pistes de réflexion aux parties prenantes et discussion au sein d’un groupe de travail</v>
      </c>
      <c r="G386" s="251">
        <f>VLOOKUP(E386,'[4]5.2 Actions'!$A$3:$D$718,4,0)</f>
        <v>0</v>
      </c>
      <c r="H386" s="252">
        <f>VLOOKUP($E386,'5.1 Budget'!$A$4:$H$729,2,0)</f>
        <v>0</v>
      </c>
      <c r="I386" s="252">
        <f>VLOOKUP($E386,'5.1 Budget'!$A$4:$H$729,3,0)</f>
        <v>0</v>
      </c>
      <c r="J386" s="252">
        <f>VLOOKUP($E386,'5.1 Budget'!$A$4:$H$729,4,0)</f>
        <v>0</v>
      </c>
      <c r="K386" s="252">
        <f>VLOOKUP($E386,'5.1 Budget'!$A$4:$H$729,5,0)</f>
        <v>0</v>
      </c>
      <c r="L386" s="252">
        <f>VLOOKUP($E386,'5.1 Budget'!$A$4:$H$729,6,0)</f>
        <v>0</v>
      </c>
      <c r="M386" s="252">
        <f>VLOOKUP($E386,'5.1 Budget'!$A$4:$H$729,7,0)</f>
        <v>0</v>
      </c>
      <c r="N386" s="252">
        <f>VLOOKUP($E386,'5.1 Budget'!$A$4:$H$729,8,0)</f>
        <v>0</v>
      </c>
      <c r="V386" t="str">
        <f>VLOOKUP(D386,'[4]1. Mesures'!$A$1:$B$116,2,0)</f>
        <v>Evaluer le mode de facturation du coût du service d'assainissement auprès des entreprises</v>
      </c>
      <c r="W386" t="str">
        <f>VLOOKUP(B386,[1]HIERARCH!$A$1:$B$57,2,0)</f>
        <v>Assurer l'application du principe du pollueur-payeur</v>
      </c>
      <c r="X386" t="e">
        <f>VLOOKUP(C386,[1]HIERARCH!$A$2:$B$57,2,0)</f>
        <v>#N/A</v>
      </c>
      <c r="Y386" t="str">
        <f t="shared" si="20"/>
        <v>Présentation de nouvelles pistes de réflexion aux parties prenantes et discussion au sein d’un groupe de travail…</v>
      </c>
    </row>
    <row r="387" spans="1:25" hidden="1" x14ac:dyDescent="0.25">
      <c r="A387" s="249" t="str">
        <f t="shared" si="19"/>
        <v>4</v>
      </c>
      <c r="B387" s="249" t="str">
        <f>VLOOKUP($D387,'[4]1. Mesures'!$A$2:$G$116,6,0)</f>
        <v>OS 4.1</v>
      </c>
      <c r="C387" s="249" t="str">
        <f>VLOOKUP($D387,'[4]1. Mesures'!$A$2:$G$116,7,0)</f>
        <v>-</v>
      </c>
      <c r="D387" s="249" t="str">
        <f t="shared" si="18"/>
        <v>M 4.1</v>
      </c>
      <c r="E387" s="250" t="s">
        <v>983</v>
      </c>
      <c r="F387" s="249" t="str">
        <f>VLOOKUP(E387,'5.2 Actions'!$A$3:$B$720,2,0)</f>
        <v>Détermination d’une nouvelle modalité de tarification</v>
      </c>
      <c r="G387" s="251">
        <f>VLOOKUP(E387,'[4]5.2 Actions'!$A$3:$D$718,4,0)</f>
        <v>0</v>
      </c>
      <c r="H387" s="252">
        <f>VLOOKUP($E387,'5.1 Budget'!$A$4:$H$729,2,0)</f>
        <v>0</v>
      </c>
      <c r="I387" s="252">
        <f>VLOOKUP($E387,'5.1 Budget'!$A$4:$H$729,3,0)</f>
        <v>0</v>
      </c>
      <c r="J387" s="252">
        <f>VLOOKUP($E387,'5.1 Budget'!$A$4:$H$729,4,0)</f>
        <v>0</v>
      </c>
      <c r="K387" s="252">
        <f>VLOOKUP($E387,'5.1 Budget'!$A$4:$H$729,5,0)</f>
        <v>0</v>
      </c>
      <c r="L387" s="252">
        <f>VLOOKUP($E387,'5.1 Budget'!$A$4:$H$729,6,0)</f>
        <v>0</v>
      </c>
      <c r="M387" s="252">
        <f>VLOOKUP($E387,'5.1 Budget'!$A$4:$H$729,7,0)</f>
        <v>0</v>
      </c>
      <c r="N387" s="252">
        <f>VLOOKUP($E387,'5.1 Budget'!$A$4:$H$729,8,0)</f>
        <v>0</v>
      </c>
      <c r="V387" t="str">
        <f>VLOOKUP(D387,'[4]1. Mesures'!$A$1:$B$116,2,0)</f>
        <v>Evaluer le mode de facturation du coût du service d'assainissement auprès des entreprises</v>
      </c>
      <c r="W387" t="str">
        <f>VLOOKUP(B387,[1]HIERARCH!$A$1:$B$57,2,0)</f>
        <v>Assurer l'application du principe du pollueur-payeur</v>
      </c>
      <c r="X387" t="e">
        <f>VLOOKUP(C387,[1]HIERARCH!$A$2:$B$57,2,0)</f>
        <v>#N/A</v>
      </c>
      <c r="Y387" t="str">
        <f t="shared" si="20"/>
        <v>Détermination d’une nouvelle modalité de tarification…</v>
      </c>
    </row>
    <row r="388" spans="1:25" hidden="1" x14ac:dyDescent="0.25">
      <c r="A388" s="249" t="str">
        <f t="shared" si="19"/>
        <v>4</v>
      </c>
      <c r="B388" s="249" t="str">
        <f>VLOOKUP($D388,'[4]1. Mesures'!$A$2:$G$116,6,0)</f>
        <v>OS 4.1</v>
      </c>
      <c r="C388" s="249" t="str">
        <f>VLOOKUP($D388,'[4]1. Mesures'!$A$2:$G$116,7,0)</f>
        <v>-</v>
      </c>
      <c r="D388" s="249" t="str">
        <f t="shared" si="18"/>
        <v>M 4.2</v>
      </c>
      <c r="E388" s="250" t="s">
        <v>984</v>
      </c>
      <c r="F388" s="249" t="str">
        <f>VLOOKUP(E388,'5.2 Actions'!$A$3:$B$720,2,0)</f>
        <v>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v>
      </c>
      <c r="G388" s="251">
        <f>VLOOKUP(E388,'[4]5.2 Actions'!$A$3:$D$718,4,0)</f>
        <v>0</v>
      </c>
      <c r="H388" s="252">
        <f>VLOOKUP($E388,'5.1 Budget'!$A$4:$H$729,2,0)</f>
        <v>0</v>
      </c>
      <c r="I388" s="252">
        <f>VLOOKUP($E388,'5.1 Budget'!$A$4:$H$729,3,0)</f>
        <v>0</v>
      </c>
      <c r="J388" s="252">
        <f>VLOOKUP($E388,'5.1 Budget'!$A$4:$H$729,4,0)</f>
        <v>0</v>
      </c>
      <c r="K388" s="252">
        <f>VLOOKUP($E388,'5.1 Budget'!$A$4:$H$729,5,0)</f>
        <v>0</v>
      </c>
      <c r="L388" s="252">
        <f>VLOOKUP($E388,'5.1 Budget'!$A$4:$H$729,6,0)</f>
        <v>0</v>
      </c>
      <c r="M388" s="252">
        <f>VLOOKUP($E388,'5.1 Budget'!$A$4:$H$729,7,0)</f>
        <v>0</v>
      </c>
      <c r="N388" s="252">
        <f>VLOOKUP($E388,'5.1 Budget'!$A$4:$H$729,8,0)</f>
        <v>0</v>
      </c>
      <c r="V388" t="str">
        <f>VLOOKUP(D388,'[4]1. Mesures'!$A$1:$B$116,2,0)</f>
        <v>Calculer la redevance pour l’assainissement des eaux résiduaires urbaines sur base des volumes d'eau effectivement rejetés</v>
      </c>
      <c r="W388" t="str">
        <f>VLOOKUP(B388,[1]HIERARCH!$A$1:$B$57,2,0)</f>
        <v>Assurer l'application du principe du pollueur-payeur</v>
      </c>
      <c r="X388" t="e">
        <f>VLOOKUP(C388,[1]HIERARCH!$A$2:$B$57,2,0)</f>
        <v>#N/A</v>
      </c>
      <c r="Y388" t="str">
        <f t="shared" si="20"/>
        <v>Déteriner les coûts liés à l’assainisseent des eaux pluviales et à la lutte contre les inondations supportés par les opé…</v>
      </c>
    </row>
    <row r="389" spans="1:25" hidden="1" x14ac:dyDescent="0.25">
      <c r="A389" s="249" t="str">
        <f t="shared" si="19"/>
        <v>4</v>
      </c>
      <c r="B389" s="249" t="str">
        <f>VLOOKUP($D389,'[4]1. Mesures'!$A$2:$G$116,6,0)</f>
        <v>OS 4.1</v>
      </c>
      <c r="C389" s="249" t="str">
        <f>VLOOKUP($D389,'[4]1. Mesures'!$A$2:$G$116,7,0)</f>
        <v>-</v>
      </c>
      <c r="D389" s="249" t="str">
        <f t="shared" si="18"/>
        <v>M 4.2</v>
      </c>
      <c r="E389" s="250" t="s">
        <v>985</v>
      </c>
      <c r="F389" s="249" t="str">
        <f>VLOOKUP(E389,'5.2 Actions'!$A$3:$B$720,2,0)</f>
        <v>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v>
      </c>
      <c r="G389" s="251">
        <f>VLOOKUP(E389,'[4]5.2 Actions'!$A$3:$D$718,4,0)</f>
        <v>0</v>
      </c>
      <c r="H389" s="252">
        <f>VLOOKUP($E389,'5.1 Budget'!$A$4:$H$729,2,0)</f>
        <v>0</v>
      </c>
      <c r="I389" s="252">
        <f>VLOOKUP($E389,'5.1 Budget'!$A$4:$H$729,3,0)</f>
        <v>30000</v>
      </c>
      <c r="J389" s="252">
        <f>VLOOKUP($E389,'5.1 Budget'!$A$4:$H$729,4,0)</f>
        <v>0</v>
      </c>
      <c r="K389" s="252">
        <f>VLOOKUP($E389,'5.1 Budget'!$A$4:$H$729,5,0)</f>
        <v>0</v>
      </c>
      <c r="L389" s="252">
        <f>VLOOKUP($E389,'5.1 Budget'!$A$4:$H$729,6,0)</f>
        <v>0</v>
      </c>
      <c r="M389" s="252">
        <f>VLOOKUP($E389,'5.1 Budget'!$A$4:$H$729,7,0)</f>
        <v>0</v>
      </c>
      <c r="N389" s="252">
        <f>VLOOKUP($E389,'5.1 Budget'!$A$4:$H$729,8,0)</f>
        <v>30000</v>
      </c>
      <c r="V389" t="str">
        <f>VLOOKUP(D389,'[4]1. Mesures'!$A$1:$B$116,2,0)</f>
        <v>Calculer la redevance pour l’assainissement des eaux résiduaires urbaines sur base des volumes d'eau effectivement rejetés</v>
      </c>
      <c r="W389" t="str">
        <f>VLOOKUP(B389,[1]HIERARCH!$A$1:$B$57,2,0)</f>
        <v>Assurer l'application du principe du pollueur-payeur</v>
      </c>
      <c r="X389" t="e">
        <f>VLOOKUP(C389,[1]HIERARCH!$A$2:$B$57,2,0)</f>
        <v>#N/A</v>
      </c>
      <c r="Y389" t="str">
        <f t="shared" si="20"/>
        <v>ener une étude sur la faisabilité de ettre en place de nouveaux écanises de financeent via une analyse coparative de ces…</v>
      </c>
    </row>
    <row r="390" spans="1:25" hidden="1" x14ac:dyDescent="0.25">
      <c r="A390" s="249" t="str">
        <f t="shared" si="19"/>
        <v>4</v>
      </c>
      <c r="B390" s="249" t="str">
        <f>VLOOKUP($D390,'[4]1. Mesures'!$A$2:$G$116,6,0)</f>
        <v>OS 4.1</v>
      </c>
      <c r="C390" s="249" t="str">
        <f>VLOOKUP($D390,'[4]1. Mesures'!$A$2:$G$116,7,0)</f>
        <v>-</v>
      </c>
      <c r="D390" s="249" t="str">
        <f t="shared" si="18"/>
        <v>M 4.2</v>
      </c>
      <c r="E390" s="250" t="s">
        <v>986</v>
      </c>
      <c r="F390" s="249" t="str">
        <f>VLOOKUP(E390,'5.2 Actions'!$A$3:$B$720,2,0)</f>
        <v>Identifier les odifications d’ordre régleentaire, adinistratif et opérationnel à réaliser aux différentes échelles adinistratives (régionales et counales) pour perettre la ise en œuvre des nouveaux écanises de financeent.</v>
      </c>
      <c r="G390" s="251">
        <f>VLOOKUP(E390,'[4]5.2 Actions'!$A$3:$D$718,4,0)</f>
        <v>0</v>
      </c>
      <c r="H390" s="252">
        <f>VLOOKUP($E390,'5.1 Budget'!$A$4:$H$729,2,0)</f>
        <v>0</v>
      </c>
      <c r="I390" s="252">
        <f>VLOOKUP($E390,'5.1 Budget'!$A$4:$H$729,3,0)</f>
        <v>0</v>
      </c>
      <c r="J390" s="252">
        <f>VLOOKUP($E390,'5.1 Budget'!$A$4:$H$729,4,0)</f>
        <v>0</v>
      </c>
      <c r="K390" s="252">
        <f>VLOOKUP($E390,'5.1 Budget'!$A$4:$H$729,5,0)</f>
        <v>0</v>
      </c>
      <c r="L390" s="252">
        <f>VLOOKUP($E390,'5.1 Budget'!$A$4:$H$729,6,0)</f>
        <v>0</v>
      </c>
      <c r="M390" s="252">
        <f>VLOOKUP($E390,'5.1 Budget'!$A$4:$H$729,7,0)</f>
        <v>0</v>
      </c>
      <c r="N390" s="252">
        <f>VLOOKUP($E390,'5.1 Budget'!$A$4:$H$729,8,0)</f>
        <v>0</v>
      </c>
      <c r="V390" t="str">
        <f>VLOOKUP(D390,'[4]1. Mesures'!$A$1:$B$116,2,0)</f>
        <v>Calculer la redevance pour l’assainissement des eaux résiduaires urbaines sur base des volumes d'eau effectivement rejetés</v>
      </c>
      <c r="W390" t="str">
        <f>VLOOKUP(B390,[1]HIERARCH!$A$1:$B$57,2,0)</f>
        <v>Assurer l'application du principe du pollueur-payeur</v>
      </c>
      <c r="X390" t="e">
        <f>VLOOKUP(C390,[1]HIERARCH!$A$2:$B$57,2,0)</f>
        <v>#N/A</v>
      </c>
      <c r="Y390" t="str">
        <f t="shared" si="20"/>
        <v>Identifier les odifications d’ordre régleentaire, adinistratif et opérationnel à réaliser aux différentes échelles adini…</v>
      </c>
    </row>
    <row r="391" spans="1:25" hidden="1" x14ac:dyDescent="0.25">
      <c r="A391" s="249" t="str">
        <f t="shared" si="19"/>
        <v>4</v>
      </c>
      <c r="B391" s="249" t="str">
        <f>VLOOKUP($D391,'[4]1. Mesures'!$A$2:$G$116,6,0)</f>
        <v>OS 4.1</v>
      </c>
      <c r="C391" s="249" t="str">
        <f>VLOOKUP($D391,'[4]1. Mesures'!$A$2:$G$116,7,0)</f>
        <v>-</v>
      </c>
      <c r="D391" s="249" t="str">
        <f t="shared" si="18"/>
        <v>M 4.2</v>
      </c>
      <c r="E391" s="250" t="s">
        <v>987</v>
      </c>
      <c r="F391" s="249" t="str">
        <f>VLOOKUP(E391,'5.2 Actions'!$A$3:$B$720,2,0)</f>
        <v>ettre en œuvre toutes les actions nécessaires au déploieent du niveau écanise de financeent et en assurer la bonne counication auprès des différents publics cibles</v>
      </c>
      <c r="G391" s="251">
        <f>VLOOKUP(E391,'[4]5.2 Actions'!$A$3:$D$718,4,0)</f>
        <v>0</v>
      </c>
      <c r="H391" s="252">
        <f>VLOOKUP($E391,'5.1 Budget'!$A$4:$H$729,2,0)</f>
        <v>0</v>
      </c>
      <c r="I391" s="252">
        <f>VLOOKUP($E391,'5.1 Budget'!$A$4:$H$729,3,0)</f>
        <v>0</v>
      </c>
      <c r="J391" s="252">
        <f>VLOOKUP($E391,'5.1 Budget'!$A$4:$H$729,4,0)</f>
        <v>0</v>
      </c>
      <c r="K391" s="252">
        <f>VLOOKUP($E391,'5.1 Budget'!$A$4:$H$729,5,0)</f>
        <v>0</v>
      </c>
      <c r="L391" s="252">
        <f>VLOOKUP($E391,'5.1 Budget'!$A$4:$H$729,6,0)</f>
        <v>0</v>
      </c>
      <c r="M391" s="252">
        <f>VLOOKUP($E391,'5.1 Budget'!$A$4:$H$729,7,0)</f>
        <v>0</v>
      </c>
      <c r="N391" s="252">
        <f>VLOOKUP($E391,'5.1 Budget'!$A$4:$H$729,8,0)</f>
        <v>0</v>
      </c>
      <c r="V391" t="str">
        <f>VLOOKUP(D391,'[4]1. Mesures'!$A$1:$B$116,2,0)</f>
        <v>Calculer la redevance pour l’assainissement des eaux résiduaires urbaines sur base des volumes d'eau effectivement rejetés</v>
      </c>
      <c r="W391" t="str">
        <f>VLOOKUP(B391,[1]HIERARCH!$A$1:$B$57,2,0)</f>
        <v>Assurer l'application du principe du pollueur-payeur</v>
      </c>
      <c r="X391" t="e">
        <f>VLOOKUP(C391,[1]HIERARCH!$A$2:$B$57,2,0)</f>
        <v>#N/A</v>
      </c>
      <c r="Y391" t="str">
        <f t="shared" si="20"/>
        <v>ettre en œuvre toutes les actions nécessaires au déploieent du niveau écanise de financeent et en assurer la bonne couni…</v>
      </c>
    </row>
    <row r="392" spans="1:25" hidden="1" x14ac:dyDescent="0.25">
      <c r="A392" s="249" t="str">
        <f t="shared" si="19"/>
        <v>4</v>
      </c>
      <c r="B392" s="249" t="str">
        <f>VLOOKUP($D392,'[4]1. Mesures'!$A$2:$G$116,6,0)</f>
        <v>OS 4.1</v>
      </c>
      <c r="C392" s="249" t="str">
        <f>VLOOKUP($D392,'[4]1. Mesures'!$A$2:$G$116,7,0)</f>
        <v>-</v>
      </c>
      <c r="D392" s="249" t="str">
        <f t="shared" si="18"/>
        <v>M 4.3</v>
      </c>
      <c r="E392" s="250" t="s">
        <v>988</v>
      </c>
      <c r="F392" s="249" t="str">
        <f>VLOOKUP(E392,'5.2 Actions'!$A$3:$B$720,2,0)</f>
        <v>Mener une évaluation monétaire des impacts environnementaux et pour la ressources liés à l’utilisation de l’eau en s’appuyant notamment sur la modélisation WEISS qui inventorie les sources majeures des polluants impactant les masses d’eau en RBC</v>
      </c>
      <c r="G392" s="251">
        <f>VLOOKUP(E392,'[4]5.2 Actions'!$A$3:$D$718,4,0)</f>
        <v>0</v>
      </c>
      <c r="H392" s="252">
        <f>VLOOKUP($E392,'5.1 Budget'!$A$4:$H$729,2,0)</f>
        <v>90000</v>
      </c>
      <c r="I392" s="252">
        <f>VLOOKUP($E392,'5.1 Budget'!$A$4:$H$729,3,0)</f>
        <v>0</v>
      </c>
      <c r="J392" s="252">
        <f>VLOOKUP($E392,'5.1 Budget'!$A$4:$H$729,4,0)</f>
        <v>0</v>
      </c>
      <c r="K392" s="252">
        <f>VLOOKUP($E392,'5.1 Budget'!$A$4:$H$729,5,0)</f>
        <v>0</v>
      </c>
      <c r="L392" s="252">
        <f>VLOOKUP($E392,'5.1 Budget'!$A$4:$H$729,6,0)</f>
        <v>0</v>
      </c>
      <c r="M392" s="252">
        <f>VLOOKUP($E392,'5.1 Budget'!$A$4:$H$729,7,0)</f>
        <v>0</v>
      </c>
      <c r="N392" s="252">
        <f>VLOOKUP($E392,'5.1 Budget'!$A$4:$H$729,8,0)</f>
        <v>90000</v>
      </c>
      <c r="V392" t="str">
        <f>VLOOKUP(D392,'[4]1. Mesures'!$A$1:$B$116,2,0)</f>
        <v>Evaluer les coûts environnementaux et pour la ressource des services liés à l’utilisation de l'eau et étudier l'opportunité de les intégrer dans le prix de l’eau</v>
      </c>
      <c r="W392" t="str">
        <f>VLOOKUP(B392,[1]HIERARCH!$A$1:$B$57,2,0)</f>
        <v>Assurer l'application du principe du pollueur-payeur</v>
      </c>
      <c r="X392" t="e">
        <f>VLOOKUP(C392,[1]HIERARCH!$A$2:$B$57,2,0)</f>
        <v>#N/A</v>
      </c>
      <c r="Y392" t="str">
        <f t="shared" si="20"/>
        <v>Mener une évaluation monétaire des impacts environnementaux et pour la ressources liés à l’utilisation de l’eau en s’app…</v>
      </c>
    </row>
    <row r="393" spans="1:25" hidden="1" x14ac:dyDescent="0.25">
      <c r="A393" s="249" t="str">
        <f t="shared" si="19"/>
        <v>4</v>
      </c>
      <c r="B393" s="249" t="str">
        <f>VLOOKUP($D393,'[4]1. Mesures'!$A$2:$G$116,6,0)</f>
        <v>OS 4.1</v>
      </c>
      <c r="C393" s="249" t="str">
        <f>VLOOKUP($D393,'[4]1. Mesures'!$A$2:$G$116,7,0)</f>
        <v>-</v>
      </c>
      <c r="D393" s="249" t="str">
        <f t="shared" ref="D393:D457" si="21">"M"&amp;" "&amp;LEFT(E393,3)</f>
        <v>M 4.3</v>
      </c>
      <c r="E393" s="250" t="s">
        <v>989</v>
      </c>
      <c r="F393" s="249" t="str">
        <f>VLOOKUP(E393,'5.2 Actions'!$A$3:$B$720,2,0)</f>
        <v>Inventorier et évaluer les mesures de mitigation/prévention des impacts environnementaux à mettre en place</v>
      </c>
      <c r="G393" s="251">
        <f>VLOOKUP(E393,'[4]5.2 Actions'!$A$3:$D$718,4,0)</f>
        <v>0</v>
      </c>
      <c r="H393" s="252">
        <f>VLOOKUP($E393,'5.1 Budget'!$A$4:$H$729,2,0)</f>
        <v>0</v>
      </c>
      <c r="I393" s="252">
        <f>VLOOKUP($E393,'5.1 Budget'!$A$4:$H$729,3,0)</f>
        <v>0</v>
      </c>
      <c r="J393" s="252">
        <f>VLOOKUP($E393,'5.1 Budget'!$A$4:$H$729,4,0)</f>
        <v>0</v>
      </c>
      <c r="K393" s="252">
        <f>VLOOKUP($E393,'5.1 Budget'!$A$4:$H$729,5,0)</f>
        <v>0</v>
      </c>
      <c r="L393" s="252">
        <f>VLOOKUP($E393,'5.1 Budget'!$A$4:$H$729,6,0)</f>
        <v>0</v>
      </c>
      <c r="M393" s="252">
        <f>VLOOKUP($E393,'5.1 Budget'!$A$4:$H$729,7,0)</f>
        <v>0</v>
      </c>
      <c r="N393" s="252">
        <f>VLOOKUP($E393,'5.1 Budget'!$A$4:$H$729,8,0)</f>
        <v>0</v>
      </c>
      <c r="V393" t="str">
        <f>VLOOKUP(D393,'[4]1. Mesures'!$A$1:$B$116,2,0)</f>
        <v>Evaluer les coûts environnementaux et pour la ressource des services liés à l’utilisation de l'eau et étudier l'opportunité de les intégrer dans le prix de l’eau</v>
      </c>
      <c r="W393" t="str">
        <f>VLOOKUP(B393,[1]HIERARCH!$A$1:$B$57,2,0)</f>
        <v>Assurer l'application du principe du pollueur-payeur</v>
      </c>
      <c r="X393" t="e">
        <f>VLOOKUP(C393,[1]HIERARCH!$A$2:$B$57,2,0)</f>
        <v>#N/A</v>
      </c>
      <c r="Y393" t="str">
        <f t="shared" si="20"/>
        <v>Inventorier et évaluer les mesures de mitigation/prévention des impacts environnementaux à mettre en place…</v>
      </c>
    </row>
    <row r="394" spans="1:25" hidden="1" x14ac:dyDescent="0.25">
      <c r="A394" s="249" t="str">
        <f t="shared" si="19"/>
        <v>4</v>
      </c>
      <c r="B394" s="249" t="str">
        <f>VLOOKUP($D394,'[4]1. Mesures'!$A$2:$G$116,6,0)</f>
        <v>OS 4.1</v>
      </c>
      <c r="C394" s="249" t="str">
        <f>VLOOKUP($D394,'[4]1. Mesures'!$A$2:$G$116,7,0)</f>
        <v>-</v>
      </c>
      <c r="D394" s="249" t="str">
        <f t="shared" si="21"/>
        <v>M 4.3</v>
      </c>
      <c r="E394" s="250" t="s">
        <v>990</v>
      </c>
      <c r="F394" s="249" t="str">
        <f>VLOOKUP(E394,'5.2 Actions'!$A$3:$B$720,2,0)</f>
        <v>Réaliser une analyse coût-bénéfice visant à prioriser les infrastructures ou les mesures encore à mettre en œuvre pour prévenir /atténuer les impacts environnementaux et influer positivement sur la qualité des masses d’eau</v>
      </c>
      <c r="G394" s="251">
        <f>VLOOKUP(E394,'[4]5.2 Actions'!$A$3:$D$718,4,0)</f>
        <v>0</v>
      </c>
      <c r="H394" s="252">
        <f>VLOOKUP($E394,'5.1 Budget'!$A$4:$H$729,2,0)</f>
        <v>0</v>
      </c>
      <c r="I394" s="252">
        <f>VLOOKUP($E394,'5.1 Budget'!$A$4:$H$729,3,0)</f>
        <v>0</v>
      </c>
      <c r="J394" s="252">
        <f>VLOOKUP($E394,'5.1 Budget'!$A$4:$H$729,4,0)</f>
        <v>0</v>
      </c>
      <c r="K394" s="252">
        <f>VLOOKUP($E394,'5.1 Budget'!$A$4:$H$729,5,0)</f>
        <v>0</v>
      </c>
      <c r="L394" s="252">
        <f>VLOOKUP($E394,'5.1 Budget'!$A$4:$H$729,6,0)</f>
        <v>0</v>
      </c>
      <c r="M394" s="252">
        <f>VLOOKUP($E394,'5.1 Budget'!$A$4:$H$729,7,0)</f>
        <v>0</v>
      </c>
      <c r="N394" s="252">
        <f>VLOOKUP($E394,'5.1 Budget'!$A$4:$H$729,8,0)</f>
        <v>0</v>
      </c>
      <c r="V394" t="str">
        <f>VLOOKUP(D394,'[4]1. Mesures'!$A$1:$B$116,2,0)</f>
        <v>Evaluer les coûts environnementaux et pour la ressource des services liés à l’utilisation de l'eau et étudier l'opportunité de les intégrer dans le prix de l’eau</v>
      </c>
      <c r="W394" t="str">
        <f>VLOOKUP(B394,[1]HIERARCH!$A$1:$B$57,2,0)</f>
        <v>Assurer l'application du principe du pollueur-payeur</v>
      </c>
      <c r="X394" t="e">
        <f>VLOOKUP(C394,[1]HIERARCH!$A$2:$B$57,2,0)</f>
        <v>#N/A</v>
      </c>
      <c r="Y394" t="str">
        <f t="shared" si="20"/>
        <v>Réaliser une analyse coût-bénéfice visant à prioriser les infrastructures ou les mesures encore à mettre en œuvre pour p…</v>
      </c>
    </row>
    <row r="395" spans="1:25" hidden="1" x14ac:dyDescent="0.25">
      <c r="A395" s="249" t="str">
        <f t="shared" si="19"/>
        <v>4</v>
      </c>
      <c r="B395" s="249" t="str">
        <f>VLOOKUP($D395,'[4]1. Mesures'!$A$2:$G$116,6,0)</f>
        <v>OS 4.1</v>
      </c>
      <c r="C395" s="249" t="str">
        <f>VLOOKUP($D395,'[4]1. Mesures'!$A$2:$G$116,7,0)</f>
        <v>-</v>
      </c>
      <c r="D395" s="249" t="str">
        <f t="shared" si="21"/>
        <v>M 4.3</v>
      </c>
      <c r="E395" s="250" t="s">
        <v>991</v>
      </c>
      <c r="F395" s="249" t="str">
        <f>VLOOKUP(E395,'5.2 Actions'!$A$3:$B$720,2,0)</f>
        <v>Intégrer dans la tarification de l’eau les besoins financiers pour la mise en œuvre des infrastructures ou mesures de prévention/mitigation</v>
      </c>
      <c r="G395" s="251">
        <f>VLOOKUP(E395,'[4]5.2 Actions'!$A$3:$D$718,4,0)</f>
        <v>0</v>
      </c>
      <c r="H395" s="252">
        <f>VLOOKUP($E395,'5.1 Budget'!$A$4:$H$729,2,0)</f>
        <v>0</v>
      </c>
      <c r="I395" s="252">
        <f>VLOOKUP($E395,'5.1 Budget'!$A$4:$H$729,3,0)</f>
        <v>0</v>
      </c>
      <c r="J395" s="252">
        <f>VLOOKUP($E395,'5.1 Budget'!$A$4:$H$729,4,0)</f>
        <v>0</v>
      </c>
      <c r="K395" s="252">
        <f>VLOOKUP($E395,'5.1 Budget'!$A$4:$H$729,5,0)</f>
        <v>0</v>
      </c>
      <c r="L395" s="252">
        <f>VLOOKUP($E395,'5.1 Budget'!$A$4:$H$729,6,0)</f>
        <v>0</v>
      </c>
      <c r="M395" s="252">
        <f>VLOOKUP($E395,'5.1 Budget'!$A$4:$H$729,7,0)</f>
        <v>0</v>
      </c>
      <c r="N395" s="252">
        <f>VLOOKUP($E395,'5.1 Budget'!$A$4:$H$729,8,0)</f>
        <v>0</v>
      </c>
      <c r="V395" t="str">
        <f>VLOOKUP(D395,'[4]1. Mesures'!$A$1:$B$116,2,0)</f>
        <v>Evaluer les coûts environnementaux et pour la ressource des services liés à l’utilisation de l'eau et étudier l'opportunité de les intégrer dans le prix de l’eau</v>
      </c>
      <c r="W395" t="str">
        <f>VLOOKUP(B395,[1]HIERARCH!$A$1:$B$57,2,0)</f>
        <v>Assurer l'application du principe du pollueur-payeur</v>
      </c>
      <c r="X395" t="e">
        <f>VLOOKUP(C395,[1]HIERARCH!$A$2:$B$57,2,0)</f>
        <v>#N/A</v>
      </c>
      <c r="Y395" t="str">
        <f t="shared" si="20"/>
        <v>Intégrer dans la tarification de l’eau les besoins financiers pour la mise en œuvre des infrastructures ou mesures de pr…</v>
      </c>
    </row>
    <row r="396" spans="1:25" hidden="1" x14ac:dyDescent="0.25">
      <c r="A396" s="249" t="str">
        <f t="shared" si="19"/>
        <v>4</v>
      </c>
      <c r="B396" s="249" t="str">
        <f>VLOOKUP($D396,'[4]1. Mesures'!$A$2:$G$116,6,0)</f>
        <v>OS 4.2</v>
      </c>
      <c r="C396" s="249" t="str">
        <f>VLOOKUP($D396,'[4]1. Mesures'!$A$2:$G$116,7,0)</f>
        <v>-</v>
      </c>
      <c r="D396" s="249" t="str">
        <f t="shared" si="21"/>
        <v>M 4.4</v>
      </c>
      <c r="E396" s="250" t="s">
        <v>992</v>
      </c>
      <c r="F396" s="249" t="str">
        <f>VLOOKUP(E396,'5.2 Actions'!$A$3:$B$720,2,0)</f>
        <v>Fournir annuellement les données relatives aux soldes tarifaires à BE</v>
      </c>
      <c r="G396" s="251">
        <f>VLOOKUP(E396,'[4]5.2 Actions'!$A$3:$D$718,4,0)</f>
        <v>0</v>
      </c>
      <c r="H396" s="252">
        <f>VLOOKUP($E396,'5.1 Budget'!$A$4:$H$729,2,0)</f>
        <v>0</v>
      </c>
      <c r="I396" s="252">
        <f>VLOOKUP($E396,'5.1 Budget'!$A$4:$H$729,3,0)</f>
        <v>0</v>
      </c>
      <c r="J396" s="252">
        <f>VLOOKUP($E396,'5.1 Budget'!$A$4:$H$729,4,0)</f>
        <v>0</v>
      </c>
      <c r="K396" s="252">
        <f>VLOOKUP($E396,'5.1 Budget'!$A$4:$H$729,5,0)</f>
        <v>0</v>
      </c>
      <c r="L396" s="252">
        <f>VLOOKUP($E396,'5.1 Budget'!$A$4:$H$729,6,0)</f>
        <v>0</v>
      </c>
      <c r="M396" s="252">
        <f>VLOOKUP($E396,'5.1 Budget'!$A$4:$H$729,7,0)</f>
        <v>0</v>
      </c>
      <c r="N396" s="252">
        <f>VLOOKUP($E396,'5.1 Budget'!$A$4:$H$729,8,0)</f>
        <v>0</v>
      </c>
      <c r="V396" t="str">
        <f>VLOOKUP(D396,'[4]1. Mesures'!$A$1:$B$116,2,0)</f>
        <v xml:space="preserve">S’assurer du respect du principe de récupération des coûts liés aux services de l'eau tout en maintenant des tarifs socialement abordables </v>
      </c>
      <c r="W396" t="str">
        <f>VLOOKUP(B396,[1]HIERARCH!$A$1:$B$57,2,0)</f>
        <v>Assurer l'accès à des services d’approvisionnement en eau et d’assainissement adéquats, durables et  à des conditions abordables</v>
      </c>
      <c r="X396" t="e">
        <f>VLOOKUP(C396,[1]HIERARCH!$A$2:$B$57,2,0)</f>
        <v>#N/A</v>
      </c>
      <c r="Y396" t="str">
        <f t="shared" si="20"/>
        <v>Fournir annuellement les données relatives aux soldes tarifaires à BE…</v>
      </c>
    </row>
    <row r="397" spans="1:25" hidden="1" x14ac:dyDescent="0.25">
      <c r="A397" s="249" t="str">
        <f t="shared" si="19"/>
        <v>4</v>
      </c>
      <c r="B397" s="249" t="str">
        <f>VLOOKUP($D397,'[4]1. Mesures'!$A$2:$G$116,6,0)</f>
        <v>OS 4.2</v>
      </c>
      <c r="C397" s="249" t="str">
        <f>VLOOKUP($D397,'[4]1. Mesures'!$A$2:$G$116,7,0)</f>
        <v>-</v>
      </c>
      <c r="D397" s="249" t="str">
        <f t="shared" si="21"/>
        <v>M 4.4</v>
      </c>
      <c r="E397" s="250" t="s">
        <v>993</v>
      </c>
      <c r="F397" s="249" t="str">
        <f>VLOOKUP(E397,'5.2 Actions'!$A$3:$B$720,2,0)</f>
        <v>Calculer les indicateurs de récupération des coûts nécessaires et assurer le reporting auprès des institutions européennes</v>
      </c>
      <c r="G397" s="251">
        <f>VLOOKUP(E397,'[4]5.2 Actions'!$A$3:$D$718,4,0)</f>
        <v>0</v>
      </c>
      <c r="H397" s="252">
        <f>VLOOKUP($E397,'5.1 Budget'!$A$4:$H$729,2,0)</f>
        <v>0</v>
      </c>
      <c r="I397" s="252">
        <f>VLOOKUP($E397,'5.1 Budget'!$A$4:$H$729,3,0)</f>
        <v>0</v>
      </c>
      <c r="J397" s="252">
        <f>VLOOKUP($E397,'5.1 Budget'!$A$4:$H$729,4,0)</f>
        <v>0</v>
      </c>
      <c r="K397" s="252">
        <f>VLOOKUP($E397,'5.1 Budget'!$A$4:$H$729,5,0)</f>
        <v>0</v>
      </c>
      <c r="L397" s="252">
        <f>VLOOKUP($E397,'5.1 Budget'!$A$4:$H$729,6,0)</f>
        <v>0</v>
      </c>
      <c r="M397" s="252">
        <f>VLOOKUP($E397,'5.1 Budget'!$A$4:$H$729,7,0)</f>
        <v>0</v>
      </c>
      <c r="N397" s="252">
        <f>VLOOKUP($E397,'5.1 Budget'!$A$4:$H$729,8,0)</f>
        <v>0</v>
      </c>
      <c r="V397" t="str">
        <f>VLOOKUP(D397,'[4]1. Mesures'!$A$1:$B$116,2,0)</f>
        <v xml:space="preserve">S’assurer du respect du principe de récupération des coûts liés aux services de l'eau tout en maintenant des tarifs socialement abordables </v>
      </c>
      <c r="W397" t="str">
        <f>VLOOKUP(B397,[1]HIERARCH!$A$1:$B$57,2,0)</f>
        <v>Assurer l'accès à des services d’approvisionnement en eau et d’assainissement adéquats, durables et  à des conditions abordables</v>
      </c>
      <c r="X397" t="e">
        <f>VLOOKUP(C397,[1]HIERARCH!$A$2:$B$57,2,0)</f>
        <v>#N/A</v>
      </c>
      <c r="Y397" t="str">
        <f t="shared" si="20"/>
        <v>Calculer les indicateurs de récupération des coûts nécessaires et assurer le reporting auprès des institutions européenn…</v>
      </c>
    </row>
    <row r="398" spans="1:25" hidden="1" x14ac:dyDescent="0.25">
      <c r="A398" s="249" t="str">
        <f t="shared" si="19"/>
        <v>4</v>
      </c>
      <c r="B398" s="249" t="str">
        <f>VLOOKUP($D398,'[4]1. Mesures'!$A$2:$G$116,6,0)</f>
        <v>OS 4.2</v>
      </c>
      <c r="C398" s="249" t="str">
        <f>VLOOKUP($D398,'[4]1. Mesures'!$A$2:$G$116,7,0)</f>
        <v>-</v>
      </c>
      <c r="D398" s="249" t="str">
        <f t="shared" si="21"/>
        <v>M 4.5</v>
      </c>
      <c r="E398" s="250" t="s">
        <v>994</v>
      </c>
      <c r="F398" s="249" t="str">
        <f>VLOOKUP(E398,'5.2 Actions'!$A$3:$B$720,2,0)</f>
        <v>Elaboration des indicateurs constituant le « tableau de bord PH » permettant d’assurer le suivi de la PH en RBC</v>
      </c>
      <c r="G398" s="251">
        <f>VLOOKUP(E398,'[4]5.2 Actions'!$A$3:$D$718,4,0)</f>
        <v>0</v>
      </c>
      <c r="H398" s="252">
        <f>VLOOKUP($E398,'5.1 Budget'!$A$4:$H$729,2,0)</f>
        <v>0</v>
      </c>
      <c r="I398" s="252">
        <f>VLOOKUP($E398,'5.1 Budget'!$A$4:$H$729,3,0)</f>
        <v>0</v>
      </c>
      <c r="J398" s="252">
        <f>VLOOKUP($E398,'5.1 Budget'!$A$4:$H$729,4,0)</f>
        <v>0</v>
      </c>
      <c r="K398" s="252">
        <f>VLOOKUP($E398,'5.1 Budget'!$A$4:$H$729,5,0)</f>
        <v>0</v>
      </c>
      <c r="L398" s="252">
        <f>VLOOKUP($E398,'5.1 Budget'!$A$4:$H$729,6,0)</f>
        <v>0</v>
      </c>
      <c r="M398" s="252">
        <f>VLOOKUP($E398,'5.1 Budget'!$A$4:$H$729,7,0)</f>
        <v>0</v>
      </c>
      <c r="N398" s="252">
        <f>VLOOKUP($E398,'5.1 Budget'!$A$4:$H$729,8,0)</f>
        <v>0</v>
      </c>
      <c r="V398" t="str">
        <f>VLOOKUP(D398,'[4]1. Mesures'!$A$1:$B$116,2,0)</f>
        <v>Evaluer la mise en place des mesures sociales visant à lutter contre la précarité hydrique</v>
      </c>
      <c r="W398" t="str">
        <f>VLOOKUP(B398,[1]HIERARCH!$A$1:$B$57,2,0)</f>
        <v>Assurer l'accès à des services d’approvisionnement en eau et d’assainissement adéquats, durables et  à des conditions abordables</v>
      </c>
      <c r="X398" t="e">
        <f>VLOOKUP(C398,[1]HIERARCH!$A$2:$B$57,2,0)</f>
        <v>#N/A</v>
      </c>
      <c r="Y398" t="str">
        <f t="shared" si="20"/>
        <v>Elaboration des indicateurs constituant le « tableau de bord PH » permettant d’assurer le suivi de la PH en RBC…</v>
      </c>
    </row>
    <row r="399" spans="1:25" hidden="1" x14ac:dyDescent="0.25">
      <c r="A399" s="249" t="str">
        <f t="shared" si="19"/>
        <v>4</v>
      </c>
      <c r="B399" s="249" t="str">
        <f>VLOOKUP($D399,'[4]1. Mesures'!$A$2:$G$116,6,0)</f>
        <v>OS 4.2</v>
      </c>
      <c r="C399" s="249" t="str">
        <f>VLOOKUP($D399,'[4]1. Mesures'!$A$2:$G$116,7,0)</f>
        <v>-</v>
      </c>
      <c r="D399" s="249" t="str">
        <f t="shared" si="21"/>
        <v>M 4.5</v>
      </c>
      <c r="E399" s="250" t="s">
        <v>995</v>
      </c>
      <c r="F399" s="249" t="str">
        <f>VLOOKUP(E399,'5.2 Actions'!$A$3:$B$720,2,0)</f>
        <v>Production des indicateurs</v>
      </c>
      <c r="G399" s="251">
        <f>VLOOKUP(E399,'[4]5.2 Actions'!$A$3:$D$718,4,0)</f>
        <v>0</v>
      </c>
      <c r="H399" s="252">
        <f>VLOOKUP($E399,'5.1 Budget'!$A$4:$H$729,2,0)</f>
        <v>0</v>
      </c>
      <c r="I399" s="252">
        <f>VLOOKUP($E399,'5.1 Budget'!$A$4:$H$729,3,0)</f>
        <v>0</v>
      </c>
      <c r="J399" s="252">
        <f>VLOOKUP($E399,'5.1 Budget'!$A$4:$H$729,4,0)</f>
        <v>0</v>
      </c>
      <c r="K399" s="252">
        <f>VLOOKUP($E399,'5.1 Budget'!$A$4:$H$729,5,0)</f>
        <v>0</v>
      </c>
      <c r="L399" s="252">
        <f>VLOOKUP($E399,'5.1 Budget'!$A$4:$H$729,6,0)</f>
        <v>0</v>
      </c>
      <c r="M399" s="252">
        <f>VLOOKUP($E399,'5.1 Budget'!$A$4:$H$729,7,0)</f>
        <v>0</v>
      </c>
      <c r="N399" s="252">
        <f>VLOOKUP($E399,'5.1 Budget'!$A$4:$H$729,8,0)</f>
        <v>0</v>
      </c>
      <c r="V399" t="str">
        <f>VLOOKUP(D399,'[4]1. Mesures'!$A$1:$B$116,2,0)</f>
        <v>Evaluer la mise en place des mesures sociales visant à lutter contre la précarité hydrique</v>
      </c>
      <c r="W399" t="str">
        <f>VLOOKUP(B399,[1]HIERARCH!$A$1:$B$57,2,0)</f>
        <v>Assurer l'accès à des services d’approvisionnement en eau et d’assainissement adéquats, durables et  à des conditions abordables</v>
      </c>
      <c r="X399" t="e">
        <f>VLOOKUP(C399,[1]HIERARCH!$A$2:$B$57,2,0)</f>
        <v>#N/A</v>
      </c>
      <c r="Y399" t="str">
        <f t="shared" si="20"/>
        <v>Production des indicateurs…</v>
      </c>
    </row>
    <row r="400" spans="1:25" hidden="1" x14ac:dyDescent="0.25">
      <c r="A400" s="249" t="str">
        <f t="shared" si="19"/>
        <v>4</v>
      </c>
      <c r="B400" s="249" t="str">
        <f>VLOOKUP($D400,'[4]1. Mesures'!$A$2:$G$116,6,0)</f>
        <v>OS 4.2</v>
      </c>
      <c r="C400" s="249" t="str">
        <f>VLOOKUP($D400,'[4]1. Mesures'!$A$2:$G$116,7,0)</f>
        <v>-</v>
      </c>
      <c r="D400" s="249" t="str">
        <f t="shared" si="21"/>
        <v>M 4.5</v>
      </c>
      <c r="E400" s="250" t="s">
        <v>996</v>
      </c>
      <c r="F400" s="249" t="str">
        <f>VLOOKUP(E400,'5.2 Actions'!$A$3:$B$720,2,0)</f>
        <v>Consolidation et analyse des indicateurs et élaboration d’un reporting visant à guider l’action du gouvernement</v>
      </c>
      <c r="G400" s="251">
        <f>VLOOKUP(E400,'[4]5.2 Actions'!$A$3:$D$718,4,0)</f>
        <v>0</v>
      </c>
      <c r="H400" s="252">
        <f>VLOOKUP($E400,'5.1 Budget'!$A$4:$H$729,2,0)</f>
        <v>20000</v>
      </c>
      <c r="I400" s="252">
        <f>VLOOKUP($E400,'5.1 Budget'!$A$4:$H$729,3,0)</f>
        <v>20000</v>
      </c>
      <c r="J400" s="252">
        <f>VLOOKUP($E400,'5.1 Budget'!$A$4:$H$729,4,0)</f>
        <v>20000</v>
      </c>
      <c r="K400" s="252">
        <f>VLOOKUP($E400,'5.1 Budget'!$A$4:$H$729,5,0)</f>
        <v>20000</v>
      </c>
      <c r="L400" s="252">
        <f>VLOOKUP($E400,'5.1 Budget'!$A$4:$H$729,6,0)</f>
        <v>20000</v>
      </c>
      <c r="M400" s="252">
        <f>VLOOKUP($E400,'5.1 Budget'!$A$4:$H$729,7,0)</f>
        <v>20000</v>
      </c>
      <c r="N400" s="252">
        <f>VLOOKUP($E400,'5.1 Budget'!$A$4:$H$729,8,0)</f>
        <v>120000</v>
      </c>
      <c r="V400" t="str">
        <f>VLOOKUP(D400,'[4]1. Mesures'!$A$1:$B$116,2,0)</f>
        <v>Evaluer la mise en place des mesures sociales visant à lutter contre la précarité hydrique</v>
      </c>
      <c r="W400" t="str">
        <f>VLOOKUP(B400,[1]HIERARCH!$A$1:$B$57,2,0)</f>
        <v>Assurer l'accès à des services d’approvisionnement en eau et d’assainissement adéquats, durables et  à des conditions abordables</v>
      </c>
      <c r="X400" t="e">
        <f>VLOOKUP(C400,[1]HIERARCH!$A$2:$B$57,2,0)</f>
        <v>#N/A</v>
      </c>
      <c r="Y400" t="str">
        <f t="shared" si="20"/>
        <v>Consolidation et analyse des indicateurs et élaboration d’un reporting visant à guider l’action du gouvernement…</v>
      </c>
    </row>
    <row r="401" spans="1:25" hidden="1" x14ac:dyDescent="0.25">
      <c r="A401" s="249" t="str">
        <f t="shared" si="19"/>
        <v>4</v>
      </c>
      <c r="B401" s="249" t="str">
        <f>VLOOKUP($D401,'[4]1. Mesures'!$A$2:$G$116,6,0)</f>
        <v>OS 4.2</v>
      </c>
      <c r="C401" s="249" t="str">
        <f>VLOOKUP($D401,'[4]1. Mesures'!$A$2:$G$116,7,0)</f>
        <v>-</v>
      </c>
      <c r="D401" s="249" t="str">
        <f t="shared" si="21"/>
        <v>M 4.6</v>
      </c>
      <c r="E401" s="250" t="s">
        <v>997</v>
      </c>
      <c r="F401" s="249" t="str">
        <f>VLOOKUP(E401,'5.2 Actions'!$A$3:$B$720,2,0)</f>
        <v>Réaliser une analyse multicritère permettant d’évaluer l’efficience du fonds quant à l’atteinte des objectifs visés par l’Ordonnance</v>
      </c>
      <c r="G401" s="251">
        <f>VLOOKUP(E401,'[4]5.2 Actions'!$A$3:$D$718,4,0)</f>
        <v>0</v>
      </c>
      <c r="H401" s="252">
        <f>VLOOKUP($E401,'5.1 Budget'!$A$4:$H$729,2,0)</f>
        <v>30000</v>
      </c>
      <c r="I401" s="252">
        <f>VLOOKUP($E401,'5.1 Budget'!$A$4:$H$729,3,0)</f>
        <v>0</v>
      </c>
      <c r="J401" s="252">
        <f>VLOOKUP($E401,'5.1 Budget'!$A$4:$H$729,4,0)</f>
        <v>0</v>
      </c>
      <c r="K401" s="252">
        <f>VLOOKUP($E401,'5.1 Budget'!$A$4:$H$729,5,0)</f>
        <v>0</v>
      </c>
      <c r="L401" s="252">
        <f>VLOOKUP($E401,'5.1 Budget'!$A$4:$H$729,6,0)</f>
        <v>0</v>
      </c>
      <c r="M401" s="252">
        <f>VLOOKUP($E401,'5.1 Budget'!$A$4:$H$729,7,0)</f>
        <v>0</v>
      </c>
      <c r="N401" s="252">
        <f>VLOOKUP($E401,'5.1 Budget'!$A$4:$H$729,8,0)</f>
        <v>30000</v>
      </c>
      <c r="V401" t="str">
        <f>VLOOKUP(D401,'[4]1. Mesures'!$A$1:$B$116,2,0)</f>
        <v>Evaluer et adapter le mécanisme d'utilisation du Fonds Social Eau</v>
      </c>
      <c r="W401" t="str">
        <f>VLOOKUP(B401,[1]HIERARCH!$A$1:$B$57,2,0)</f>
        <v>Assurer l'accès à des services d’approvisionnement en eau et d’assainissement adéquats, durables et  à des conditions abordables</v>
      </c>
      <c r="X401" t="e">
        <f>VLOOKUP(C401,[1]HIERARCH!$A$2:$B$57,2,0)</f>
        <v>#N/A</v>
      </c>
      <c r="Y401" t="str">
        <f t="shared" si="20"/>
        <v>Réaliser une analyse multicritère permettant d’évaluer l’efficience du fonds quant à l’atteinte des objectifs visés par …</v>
      </c>
    </row>
    <row r="402" spans="1:25" hidden="1" x14ac:dyDescent="0.25">
      <c r="A402" s="249" t="str">
        <f t="shared" si="19"/>
        <v>4</v>
      </c>
      <c r="B402" s="249" t="str">
        <f>VLOOKUP($D402,'[4]1. Mesures'!$A$2:$G$116,6,0)</f>
        <v>OS 4.2</v>
      </c>
      <c r="C402" s="249" t="str">
        <f>VLOOKUP($D402,'[4]1. Mesures'!$A$2:$G$116,7,0)</f>
        <v>-</v>
      </c>
      <c r="D402" s="249" t="str">
        <f t="shared" si="21"/>
        <v>M 4.6</v>
      </c>
      <c r="E402" s="250" t="s">
        <v>998</v>
      </c>
      <c r="F402" s="249" t="str">
        <f>VLOOKUP(E402,'5.2 Actions'!$A$3:$B$720,2,0)</f>
        <v>Mettre en place de nouveaux indicateurs permettant de produire une analyse plus fine des usages du fonds à la fois au niveau quantitatif et qualitatif</v>
      </c>
      <c r="G402" s="251">
        <f>VLOOKUP(E402,'[4]5.2 Actions'!$A$3:$D$718,4,0)</f>
        <v>0</v>
      </c>
      <c r="H402" s="252">
        <f>VLOOKUP($E402,'5.1 Budget'!$A$4:$H$729,2,0)</f>
        <v>0</v>
      </c>
      <c r="I402" s="252">
        <f>VLOOKUP($E402,'5.1 Budget'!$A$4:$H$729,3,0)</f>
        <v>0</v>
      </c>
      <c r="J402" s="252">
        <f>VLOOKUP($E402,'5.1 Budget'!$A$4:$H$729,4,0)</f>
        <v>0</v>
      </c>
      <c r="K402" s="252">
        <f>VLOOKUP($E402,'5.1 Budget'!$A$4:$H$729,5,0)</f>
        <v>0</v>
      </c>
      <c r="L402" s="252">
        <f>VLOOKUP($E402,'5.1 Budget'!$A$4:$H$729,6,0)</f>
        <v>0</v>
      </c>
      <c r="M402" s="252">
        <f>VLOOKUP($E402,'5.1 Budget'!$A$4:$H$729,7,0)</f>
        <v>0</v>
      </c>
      <c r="N402" s="252">
        <f>VLOOKUP($E402,'5.1 Budget'!$A$4:$H$729,8,0)</f>
        <v>0</v>
      </c>
      <c r="V402" t="str">
        <f>VLOOKUP(D402,'[4]1. Mesures'!$A$1:$B$116,2,0)</f>
        <v>Evaluer et adapter le mécanisme d'utilisation du Fonds Social Eau</v>
      </c>
      <c r="W402" t="str">
        <f>VLOOKUP(B402,[1]HIERARCH!$A$1:$B$57,2,0)</f>
        <v>Assurer l'accès à des services d’approvisionnement en eau et d’assainissement adéquats, durables et  à des conditions abordables</v>
      </c>
      <c r="X402" t="e">
        <f>VLOOKUP(C402,[1]HIERARCH!$A$2:$B$57,2,0)</f>
        <v>#N/A</v>
      </c>
      <c r="Y402" t="str">
        <f t="shared" si="20"/>
        <v>Mettre en place de nouveaux indicateurs permettant de produire une analyse plus fine des usages du fonds à la fois au ni…</v>
      </c>
    </row>
    <row r="403" spans="1:25" hidden="1" x14ac:dyDescent="0.25">
      <c r="A403" s="249" t="str">
        <f t="shared" si="19"/>
        <v>4</v>
      </c>
      <c r="B403" s="249" t="str">
        <f>VLOOKUP($D403,'[4]1. Mesures'!$A$2:$G$116,6,0)</f>
        <v>OS 4.2</v>
      </c>
      <c r="C403" s="249" t="str">
        <f>VLOOKUP($D403,'[4]1. Mesures'!$A$2:$G$116,7,0)</f>
        <v>-</v>
      </c>
      <c r="D403" s="249" t="str">
        <f t="shared" si="21"/>
        <v>M 4.6</v>
      </c>
      <c r="E403" s="250" t="s">
        <v>999</v>
      </c>
      <c r="F403" s="249" t="str">
        <f>VLOOKUP(E403,'5.2 Actions'!$A$3:$B$720,2,0)</f>
        <v>Produire un rapport faisant état de l'adéquation du fonds social de l'eau en regard des missions et des moyens des CPAS, ainsi que de l'objectif visé par l'ordonnance tel que spécifié dans l’arrêté</v>
      </c>
      <c r="G403" s="251">
        <f>VLOOKUP(E403,'[4]5.2 Actions'!$A$3:$D$718,4,0)</f>
        <v>0</v>
      </c>
      <c r="H403" s="252">
        <f>VLOOKUP($E403,'5.1 Budget'!$A$4:$H$729,2,0)</f>
        <v>0</v>
      </c>
      <c r="I403" s="252">
        <f>VLOOKUP($E403,'5.1 Budget'!$A$4:$H$729,3,0)</f>
        <v>0</v>
      </c>
      <c r="J403" s="252">
        <f>VLOOKUP($E403,'5.1 Budget'!$A$4:$H$729,4,0)</f>
        <v>0</v>
      </c>
      <c r="K403" s="252">
        <f>VLOOKUP($E403,'5.1 Budget'!$A$4:$H$729,5,0)</f>
        <v>0</v>
      </c>
      <c r="L403" s="252">
        <f>VLOOKUP($E403,'5.1 Budget'!$A$4:$H$729,6,0)</f>
        <v>0</v>
      </c>
      <c r="M403" s="252">
        <f>VLOOKUP($E403,'5.1 Budget'!$A$4:$H$729,7,0)</f>
        <v>0</v>
      </c>
      <c r="N403" s="252">
        <f>VLOOKUP($E403,'5.1 Budget'!$A$4:$H$729,8,0)</f>
        <v>0</v>
      </c>
      <c r="V403" t="str">
        <f>VLOOKUP(D403,'[4]1. Mesures'!$A$1:$B$116,2,0)</f>
        <v>Evaluer et adapter le mécanisme d'utilisation du Fonds Social Eau</v>
      </c>
      <c r="W403" t="str">
        <f>VLOOKUP(B403,[1]HIERARCH!$A$1:$B$57,2,0)</f>
        <v>Assurer l'accès à des services d’approvisionnement en eau et d’assainissement adéquats, durables et  à des conditions abordables</v>
      </c>
      <c r="X403" t="e">
        <f>VLOOKUP(C403,[1]HIERARCH!$A$2:$B$57,2,0)</f>
        <v>#N/A</v>
      </c>
      <c r="Y403" t="str">
        <f t="shared" si="20"/>
        <v>Produire un rapport faisant état de l'adéquation du fonds social de l'eau en regard des missions et des moyens des CPAS,…</v>
      </c>
    </row>
    <row r="404" spans="1:25" hidden="1" x14ac:dyDescent="0.25">
      <c r="A404" s="249" t="str">
        <f t="shared" si="19"/>
        <v>4</v>
      </c>
      <c r="B404" s="249" t="str">
        <f>VLOOKUP($D404,'[4]1. Mesures'!$A$2:$G$116,6,0)</f>
        <v>OS 4.2</v>
      </c>
      <c r="C404" s="249" t="str">
        <f>VLOOKUP($D404,'[4]1. Mesures'!$A$2:$G$116,7,0)</f>
        <v>-</v>
      </c>
      <c r="D404" s="249" t="str">
        <f t="shared" si="21"/>
        <v>M 4.6</v>
      </c>
      <c r="E404" s="250" t="s">
        <v>1000</v>
      </c>
      <c r="F404" s="249" t="str">
        <f>VLOOKUP(E404,'5.2 Actions'!$A$3:$B$720,2,0)</f>
        <v>Définir et mettre en place les nouvelles de modalités de fonctionnement afin d’en améliorer l’accès (amoindrir le non recours), la flexibilité (élargir le droit de tirage) et la répartition des usages (ex : définir un « fonds d’améliorations techniques »)</v>
      </c>
      <c r="G404" s="251">
        <f>VLOOKUP(E404,'[4]5.2 Actions'!$A$3:$D$718,4,0)</f>
        <v>0</v>
      </c>
      <c r="H404" s="252">
        <f>VLOOKUP($E404,'5.1 Budget'!$A$4:$H$729,2,0)</f>
        <v>0</v>
      </c>
      <c r="I404" s="252">
        <f>VLOOKUP($E404,'5.1 Budget'!$A$4:$H$729,3,0)</f>
        <v>0</v>
      </c>
      <c r="J404" s="252">
        <f>VLOOKUP($E404,'5.1 Budget'!$A$4:$H$729,4,0)</f>
        <v>0</v>
      </c>
      <c r="K404" s="252">
        <f>VLOOKUP($E404,'5.1 Budget'!$A$4:$H$729,5,0)</f>
        <v>0</v>
      </c>
      <c r="L404" s="252">
        <f>VLOOKUP($E404,'5.1 Budget'!$A$4:$H$729,6,0)</f>
        <v>0</v>
      </c>
      <c r="M404" s="252">
        <f>VLOOKUP($E404,'5.1 Budget'!$A$4:$H$729,7,0)</f>
        <v>0</v>
      </c>
      <c r="N404" s="252">
        <f>VLOOKUP($E404,'5.1 Budget'!$A$4:$H$729,8,0)</f>
        <v>0</v>
      </c>
      <c r="V404" t="str">
        <f>VLOOKUP(D404,'[4]1. Mesures'!$A$1:$B$116,2,0)</f>
        <v>Evaluer et adapter le mécanisme d'utilisation du Fonds Social Eau</v>
      </c>
      <c r="W404" t="str">
        <f>VLOOKUP(B404,[1]HIERARCH!$A$1:$B$57,2,0)</f>
        <v>Assurer l'accès à des services d’approvisionnement en eau et d’assainissement adéquats, durables et  à des conditions abordables</v>
      </c>
      <c r="X404" t="e">
        <f>VLOOKUP(C404,[1]HIERARCH!$A$2:$B$57,2,0)</f>
        <v>#N/A</v>
      </c>
      <c r="Y404" t="str">
        <f t="shared" si="20"/>
        <v>Définir et mettre en place les nouvelles de modalités de fonctionnement afin d’en améliorer l’accès (amoindrir le non re…</v>
      </c>
    </row>
    <row r="405" spans="1:25" hidden="1" x14ac:dyDescent="0.25">
      <c r="A405" s="249" t="str">
        <f t="shared" si="19"/>
        <v>4</v>
      </c>
      <c r="B405" s="249" t="str">
        <f>VLOOKUP($D405,'[4]1. Mesures'!$A$2:$G$116,6,0)</f>
        <v>OS 4.2</v>
      </c>
      <c r="C405" s="249" t="str">
        <f>VLOOKUP($D405,'[4]1. Mesures'!$A$2:$G$116,7,0)</f>
        <v>-</v>
      </c>
      <c r="D405" s="249" t="str">
        <f t="shared" si="21"/>
        <v>M 4.8</v>
      </c>
      <c r="E405" s="250" t="s">
        <v>1001</v>
      </c>
      <c r="F405" s="249" t="str">
        <f>VLOOKUP(E405,'5.2 Actions'!$A$3:$B$720,2,0)</f>
        <v>Réaliser un état des lieux précis des points d’accès d’eau potable en RBC et des installations sanitaires accessibles aux publics plus vulnérables(*). Cet état des lieux permettraient de géoréférencer ces points d’accès afin d’être communiqués auprès du grand public sous la forme d’une carte numérique interactive.</v>
      </c>
      <c r="G405" s="251">
        <f>VLOOKUP(E405,'[4]5.2 Actions'!$A$3:$D$718,4,0)</f>
        <v>0</v>
      </c>
      <c r="H405" s="252">
        <f>VLOOKUP($E405,'5.1 Budget'!$A$4:$H$729,2,0)</f>
        <v>0</v>
      </c>
      <c r="I405" s="252">
        <f>VLOOKUP($E405,'5.1 Budget'!$A$4:$H$729,3,0)</f>
        <v>0</v>
      </c>
      <c r="J405" s="252">
        <f>VLOOKUP($E405,'5.1 Budget'!$A$4:$H$729,4,0)</f>
        <v>0</v>
      </c>
      <c r="K405" s="252">
        <f>VLOOKUP($E405,'5.1 Budget'!$A$4:$H$729,5,0)</f>
        <v>0</v>
      </c>
      <c r="L405" s="252">
        <f>VLOOKUP($E405,'5.1 Budget'!$A$4:$H$729,6,0)</f>
        <v>0</v>
      </c>
      <c r="M405" s="252">
        <f>VLOOKUP($E405,'5.1 Budget'!$A$4:$H$729,7,0)</f>
        <v>0</v>
      </c>
      <c r="N405" s="252">
        <f>VLOOKUP($E405,'5.1 Budget'!$A$4:$H$729,8,0)</f>
        <v>0</v>
      </c>
      <c r="V405" t="str">
        <f>VLOOKUP(D405,'[4]1. Mesures'!$A$1:$B$116,2,0)</f>
        <v xml:space="preserve">Garantir un accès à l’eau potable et à des services sanitaires pour tous dans l’espace et les bâtiments publics </v>
      </c>
      <c r="W405" t="str">
        <f>VLOOKUP(B405,[1]HIERARCH!$A$1:$B$57,2,0)</f>
        <v>Assurer l'accès à des services d’approvisionnement en eau et d’assainissement adéquats, durables et  à des conditions abordables</v>
      </c>
      <c r="X405" t="e">
        <f>VLOOKUP(C405,[1]HIERARCH!$A$2:$B$57,2,0)</f>
        <v>#N/A</v>
      </c>
      <c r="Y405" t="str">
        <f t="shared" si="20"/>
        <v>Réaliser un état des lieux précis des points d’accès d’eau potable en RBC et des installations sanitaires accessibles au…</v>
      </c>
    </row>
    <row r="406" spans="1:25" hidden="1" x14ac:dyDescent="0.25">
      <c r="A406" s="249" t="str">
        <f t="shared" ref="A406:A470" si="22">LEFT(E406,1)</f>
        <v>4</v>
      </c>
      <c r="B406" s="249" t="str">
        <f>VLOOKUP($D406,'[4]1. Mesures'!$A$2:$G$116,6,0)</f>
        <v>OS 4.2</v>
      </c>
      <c r="C406" s="249" t="str">
        <f>VLOOKUP($D406,'[4]1. Mesures'!$A$2:$G$116,7,0)</f>
        <v>-</v>
      </c>
      <c r="D406" s="249" t="str">
        <f t="shared" si="21"/>
        <v>M 4.8</v>
      </c>
      <c r="E406" s="250" t="s">
        <v>1002</v>
      </c>
      <c r="F406" s="249" t="str">
        <f>VLOOKUP(E406,'5.2 Actions'!$A$3:$B$720,2,0)</f>
        <v>Analyser les besoins au regard des objectifs sociaux, environnementaux et d’adaptation au changement climatique</v>
      </c>
      <c r="G406" s="251">
        <f>VLOOKUP(E406,'[4]5.2 Actions'!$A$3:$D$718,4,0)</f>
        <v>0</v>
      </c>
      <c r="H406" s="252">
        <f>VLOOKUP($E406,'5.1 Budget'!$A$4:$H$729,2,0)</f>
        <v>0</v>
      </c>
      <c r="I406" s="252">
        <f>VLOOKUP($E406,'5.1 Budget'!$A$4:$H$729,3,0)</f>
        <v>0</v>
      </c>
      <c r="J406" s="252">
        <f>VLOOKUP($E406,'5.1 Budget'!$A$4:$H$729,4,0)</f>
        <v>0</v>
      </c>
      <c r="K406" s="252">
        <f>VLOOKUP($E406,'5.1 Budget'!$A$4:$H$729,5,0)</f>
        <v>0</v>
      </c>
      <c r="L406" s="252">
        <f>VLOOKUP($E406,'5.1 Budget'!$A$4:$H$729,6,0)</f>
        <v>0</v>
      </c>
      <c r="M406" s="252">
        <f>VLOOKUP($E406,'5.1 Budget'!$A$4:$H$729,7,0)</f>
        <v>0</v>
      </c>
      <c r="N406" s="252">
        <f>VLOOKUP($E406,'5.1 Budget'!$A$4:$H$729,8,0)</f>
        <v>0</v>
      </c>
      <c r="V406" t="str">
        <f>VLOOKUP(D406,'[4]1. Mesures'!$A$1:$B$116,2,0)</f>
        <v xml:space="preserve">Garantir un accès à l’eau potable et à des services sanitaires pour tous dans l’espace et les bâtiments publics </v>
      </c>
      <c r="W406" t="str">
        <f>VLOOKUP(B406,[1]HIERARCH!$A$1:$B$57,2,0)</f>
        <v>Assurer l'accès à des services d’approvisionnement en eau et d’assainissement adéquats, durables et  à des conditions abordables</v>
      </c>
      <c r="X406" t="e">
        <f>VLOOKUP(C406,[1]HIERARCH!$A$2:$B$57,2,0)</f>
        <v>#N/A</v>
      </c>
      <c r="Y406" t="str">
        <f t="shared" ref="Y406:Y469" si="23">LEFT(F406,120)&amp;"…"</f>
        <v>Analyser les besoins au regard des objectifs sociaux, environnementaux et d’adaptation au changement climatique…</v>
      </c>
    </row>
    <row r="407" spans="1:25" hidden="1" x14ac:dyDescent="0.25">
      <c r="A407" s="249" t="str">
        <f t="shared" si="22"/>
        <v>4</v>
      </c>
      <c r="B407" s="249" t="str">
        <f>VLOOKUP($D407,'[4]1. Mesures'!$A$2:$G$116,6,0)</f>
        <v>OS 4.2</v>
      </c>
      <c r="C407" s="249" t="str">
        <f>VLOOKUP($D407,'[4]1. Mesures'!$A$2:$G$116,7,0)</f>
        <v>-</v>
      </c>
      <c r="D407" s="249" t="str">
        <f t="shared" si="21"/>
        <v>M 4.8</v>
      </c>
      <c r="E407" s="250" t="s">
        <v>1003</v>
      </c>
      <c r="F407" s="249" t="str">
        <f>VLOOKUP(E407,'5.2 Actions'!$A$3:$B$720,2,0)</f>
        <v>Définir une stratégie coordonnée de déploiement d’équipements intérieurs et extérieurs dans les espaces publics (voirie, place, parc,..) avec l’ensemble des acteurs en charge (Institutions communales, régionales et le monde associatif)</v>
      </c>
      <c r="G407" s="251">
        <f>VLOOKUP(E407,'[4]5.2 Actions'!$A$3:$D$718,4,0)</f>
        <v>0</v>
      </c>
      <c r="H407" s="252">
        <f>VLOOKUP($E407,'5.1 Budget'!$A$4:$H$729,2,0)</f>
        <v>0</v>
      </c>
      <c r="I407" s="252">
        <f>VLOOKUP($E407,'5.1 Budget'!$A$4:$H$729,3,0)</f>
        <v>0</v>
      </c>
      <c r="J407" s="252">
        <f>VLOOKUP($E407,'5.1 Budget'!$A$4:$H$729,4,0)</f>
        <v>0</v>
      </c>
      <c r="K407" s="252">
        <f>VLOOKUP($E407,'5.1 Budget'!$A$4:$H$729,5,0)</f>
        <v>0</v>
      </c>
      <c r="L407" s="252">
        <f>VLOOKUP($E407,'5.1 Budget'!$A$4:$H$729,6,0)</f>
        <v>0</v>
      </c>
      <c r="M407" s="252">
        <f>VLOOKUP($E407,'5.1 Budget'!$A$4:$H$729,7,0)</f>
        <v>0</v>
      </c>
      <c r="N407" s="252">
        <f>VLOOKUP($E407,'5.1 Budget'!$A$4:$H$729,8,0)</f>
        <v>0</v>
      </c>
      <c r="V407" t="str">
        <f>VLOOKUP(D407,'[4]1. Mesures'!$A$1:$B$116,2,0)</f>
        <v xml:space="preserve">Garantir un accès à l’eau potable et à des services sanitaires pour tous dans l’espace et les bâtiments publics </v>
      </c>
      <c r="W407" t="str">
        <f>VLOOKUP(B407,[1]HIERARCH!$A$1:$B$57,2,0)</f>
        <v>Assurer l'accès à des services d’approvisionnement en eau et d’assainissement adéquats, durables et  à des conditions abordables</v>
      </c>
      <c r="X407" t="e">
        <f>VLOOKUP(C407,[1]HIERARCH!$A$2:$B$57,2,0)</f>
        <v>#N/A</v>
      </c>
      <c r="Y407" t="str">
        <f t="shared" si="23"/>
        <v>Définir une stratégie coordonnée de déploiement d’équipements intérieurs et extérieurs dans les espaces publics (voirie,…</v>
      </c>
    </row>
    <row r="408" spans="1:25" hidden="1" x14ac:dyDescent="0.25">
      <c r="A408" s="249" t="str">
        <f t="shared" si="22"/>
        <v>4</v>
      </c>
      <c r="B408" s="249" t="str">
        <f>VLOOKUP($D408,'[4]1. Mesures'!$A$2:$G$116,6,0)</f>
        <v>OS 4.2</v>
      </c>
      <c r="C408" s="249" t="str">
        <f>VLOOKUP($D408,'[4]1. Mesures'!$A$2:$G$116,7,0)</f>
        <v>-</v>
      </c>
      <c r="D408" s="249" t="str">
        <f t="shared" si="21"/>
        <v>M 4.8</v>
      </c>
      <c r="E408" s="250" t="s">
        <v>1004</v>
      </c>
      <c r="F408" s="249" t="str">
        <f>VLOOKUP(E408,'5.2 Actions'!$A$3:$B$720,2,0)</f>
        <v>Réaliser l’installation et l’entretien des fontaines publiques sur le territoire de la RBC</v>
      </c>
      <c r="G408" s="251">
        <f>VLOOKUP(E408,'[4]5.2 Actions'!$A$3:$D$718,4,0)</f>
        <v>0</v>
      </c>
      <c r="H408" s="252">
        <f>VLOOKUP($E408,'5.1 Budget'!$A$4:$H$729,2,0)</f>
        <v>750000</v>
      </c>
      <c r="I408" s="252">
        <f>VLOOKUP($E408,'5.1 Budget'!$A$4:$H$729,3,0)</f>
        <v>0</v>
      </c>
      <c r="J408" s="252">
        <f>VLOOKUP($E408,'5.1 Budget'!$A$4:$H$729,4,0)</f>
        <v>0</v>
      </c>
      <c r="K408" s="252">
        <f>VLOOKUP($E408,'5.1 Budget'!$A$4:$H$729,5,0)</f>
        <v>0</v>
      </c>
      <c r="L408" s="252">
        <f>VLOOKUP($E408,'5.1 Budget'!$A$4:$H$729,6,0)</f>
        <v>0</v>
      </c>
      <c r="M408" s="252">
        <f>VLOOKUP($E408,'5.1 Budget'!$A$4:$H$729,7,0)</f>
        <v>0</v>
      </c>
      <c r="N408" s="252">
        <f>VLOOKUP($E408,'5.1 Budget'!$A$4:$H$729,8,0)</f>
        <v>750000</v>
      </c>
      <c r="V408" t="str">
        <f>VLOOKUP(D408,'[4]1. Mesures'!$A$1:$B$116,2,0)</f>
        <v xml:space="preserve">Garantir un accès à l’eau potable et à des services sanitaires pour tous dans l’espace et les bâtiments publics </v>
      </c>
      <c r="W408" t="str">
        <f>VLOOKUP(B408,[1]HIERARCH!$A$1:$B$57,2,0)</f>
        <v>Assurer l'accès à des services d’approvisionnement en eau et d’assainissement adéquats, durables et  à des conditions abordables</v>
      </c>
      <c r="X408" t="e">
        <f>VLOOKUP(C408,[1]HIERARCH!$A$2:$B$57,2,0)</f>
        <v>#N/A</v>
      </c>
      <c r="Y408" t="str">
        <f t="shared" si="23"/>
        <v>Réaliser l’installation et l’entretien des fontaines publiques sur le territoire de la RBC…</v>
      </c>
    </row>
    <row r="409" spans="1:25" hidden="1" x14ac:dyDescent="0.25">
      <c r="A409" s="249" t="str">
        <f t="shared" si="22"/>
        <v>5</v>
      </c>
      <c r="B409" s="249" t="str">
        <f>VLOOKUP($D409,'[4]1. Mesures'!$A$2:$G$116,6,0)</f>
        <v>OS 5.1</v>
      </c>
      <c r="C409" s="249" t="str">
        <f>VLOOKUP($D409,'[4]1. Mesures'!$A$2:$G$116,7,0)</f>
        <v>OO 5.1.1</v>
      </c>
      <c r="D409" s="249" t="str">
        <f t="shared" si="21"/>
        <v>M 5.1</v>
      </c>
      <c r="E409" s="250" t="s">
        <v>1005</v>
      </c>
      <c r="F409" s="249" t="str">
        <f>VLOOKUP(E409,'5.2 Actions'!$A$3:$B$720,2,0)</f>
        <v>Accompagner les acteurs (administrations et auteurs de projets) dans le développement de leurs compétences (voir M.5.3)</v>
      </c>
      <c r="G409" s="251">
        <f>VLOOKUP(E409,'[4]5.2 Actions'!$A$3:$D$718,4,0)</f>
        <v>0</v>
      </c>
      <c r="H409" s="252">
        <f>VLOOKUP($E409,'5.1 Budget'!$A$4:$H$729,2,0)</f>
        <v>0</v>
      </c>
      <c r="I409" s="252">
        <f>VLOOKUP($E409,'5.1 Budget'!$A$4:$H$729,3,0)</f>
        <v>0</v>
      </c>
      <c r="J409" s="252">
        <f>VLOOKUP($E409,'5.1 Budget'!$A$4:$H$729,4,0)</f>
        <v>0</v>
      </c>
      <c r="K409" s="252">
        <f>VLOOKUP($E409,'5.1 Budget'!$A$4:$H$729,5,0)</f>
        <v>0</v>
      </c>
      <c r="L409" s="252">
        <f>VLOOKUP($E409,'5.1 Budget'!$A$4:$H$729,6,0)</f>
        <v>0</v>
      </c>
      <c r="M409" s="252">
        <f>VLOOKUP($E409,'5.1 Budget'!$A$4:$H$729,7,0)</f>
        <v>0</v>
      </c>
      <c r="N409" s="252">
        <f>VLOOKUP($E409,'5.1 Budget'!$A$4:$H$729,8,0)</f>
        <v>0</v>
      </c>
      <c r="V409" t="str">
        <f>VLOOKUP(D409,'[4]1. Mesures'!$A$1:$B$116,2,0)</f>
        <v>Intégrer la GiEP dans les outils de l’aménagement du territoire</v>
      </c>
      <c r="W409" t="str">
        <f>VLOOKUP(B409,[1]HIERARCH!$A$1:$B$57,2,0)</f>
        <v>OS 5.1: Gérer les eaux de pluie de façon intégrée  // Alternative : Replacer les eaux de pluie dans leur cycle naturel</v>
      </c>
      <c r="X409" t="str">
        <f>VLOOKUP(C409,[1]HIERARCH!$A$2:$B$57,2,0)</f>
        <v>OO 5.1.1: Encadrer la mise en œuvre de la gestion intégrée des eaux pluviales « GiEP » et développer des solutions innovantes</v>
      </c>
      <c r="Y409" t="str">
        <f t="shared" si="23"/>
        <v>Accompagner les acteurs (administrations et auteurs de projets) dans le développement de leurs compétences (voir M.5.3)…</v>
      </c>
    </row>
    <row r="410" spans="1:25" hidden="1" x14ac:dyDescent="0.25">
      <c r="A410" s="249" t="str">
        <f t="shared" si="22"/>
        <v>5</v>
      </c>
      <c r="B410" s="249" t="str">
        <f>VLOOKUP($D410,'[4]1. Mesures'!$A$2:$G$116,6,0)</f>
        <v>OS 5.1</v>
      </c>
      <c r="C410" s="249" t="str">
        <f>VLOOKUP($D410,'[4]1. Mesures'!$A$2:$G$116,7,0)</f>
        <v>OO 5.1.1</v>
      </c>
      <c r="D410" s="249" t="str">
        <f t="shared" si="21"/>
        <v>M 5.1</v>
      </c>
      <c r="E410" s="250" t="s">
        <v>1009</v>
      </c>
      <c r="F410" s="249" t="str">
        <f>VLOOKUP(E410,'5.2 Actions'!$A$3:$B$720,2,0)</f>
        <v>Règlement régional d’urbanisme (RRU) – réviser les prescriptions existantes et en ajouter de nouvelles relatives à la gestion des eaux tant pour les espaces privés que publics(*)</v>
      </c>
      <c r="G410" s="251">
        <f>VLOOKUP(E410,'[4]5.2 Actions'!$A$3:$D$718,4,0)</f>
        <v>0</v>
      </c>
      <c r="H410" s="252">
        <f>VLOOKUP($E410,'5.1 Budget'!$A$4:$H$729,2,0)</f>
        <v>0</v>
      </c>
      <c r="I410" s="252">
        <f>VLOOKUP($E410,'5.1 Budget'!$A$4:$H$729,3,0)</f>
        <v>0</v>
      </c>
      <c r="J410" s="252">
        <f>VLOOKUP($E410,'5.1 Budget'!$A$4:$H$729,4,0)</f>
        <v>0</v>
      </c>
      <c r="K410" s="252">
        <f>VLOOKUP($E410,'5.1 Budget'!$A$4:$H$729,5,0)</f>
        <v>0</v>
      </c>
      <c r="L410" s="252">
        <f>VLOOKUP($E410,'5.1 Budget'!$A$4:$H$729,6,0)</f>
        <v>0</v>
      </c>
      <c r="M410" s="252">
        <f>VLOOKUP($E410,'5.1 Budget'!$A$4:$H$729,7,0)</f>
        <v>0</v>
      </c>
      <c r="N410" s="252">
        <f>VLOOKUP($E410,'5.1 Budget'!$A$4:$H$729,8,0)</f>
        <v>0</v>
      </c>
      <c r="V410" t="str">
        <f>VLOOKUP(D410,'[4]1. Mesures'!$A$1:$B$116,2,0)</f>
        <v>Intégrer la GiEP dans les outils de l’aménagement du territoire</v>
      </c>
      <c r="W410" t="str">
        <f>VLOOKUP(B410,[1]HIERARCH!$A$1:$B$57,2,0)</f>
        <v>OS 5.1: Gérer les eaux de pluie de façon intégrée  // Alternative : Replacer les eaux de pluie dans leur cycle naturel</v>
      </c>
      <c r="X410" t="str">
        <f>VLOOKUP(C410,[1]HIERARCH!$A$2:$B$57,2,0)</f>
        <v>OO 5.1.1: Encadrer la mise en œuvre de la gestion intégrée des eaux pluviales « GiEP » et développer des solutions innovantes</v>
      </c>
      <c r="Y410" t="str">
        <f t="shared" si="23"/>
        <v>Règlement régional d’urbanisme (RRU) – réviser les prescriptions existantes et en ajouter de nouvelles relatives à la ge…</v>
      </c>
    </row>
    <row r="411" spans="1:25" hidden="1" x14ac:dyDescent="0.25">
      <c r="A411" s="249" t="str">
        <f t="shared" si="22"/>
        <v>5</v>
      </c>
      <c r="B411" s="249" t="str">
        <f>VLOOKUP($D411,'[4]1. Mesures'!$A$2:$G$116,6,0)</f>
        <v>OS 5.1</v>
      </c>
      <c r="C411" s="249" t="str">
        <f>VLOOKUP($D411,'[4]1. Mesures'!$A$2:$G$116,7,0)</f>
        <v>OO 5.1.1</v>
      </c>
      <c r="D411" s="249" t="str">
        <f t="shared" si="21"/>
        <v>M 5.1</v>
      </c>
      <c r="E411" s="250" t="s">
        <v>1010</v>
      </c>
      <c r="F411" s="249" t="str">
        <f>VLOOKUP(E411,'5.2 Actions'!$A$3:$B$720,2,0)</f>
        <v>Mettre en place une procédure permettant d’imposer la mise en œuvre de la GiEP aux travers des permis d’environnement et/ou d’urbanisme</v>
      </c>
      <c r="G411" s="251">
        <f>VLOOKUP(E411,'[4]5.2 Actions'!$A$3:$D$718,4,0)</f>
        <v>0</v>
      </c>
      <c r="H411" s="252">
        <f>VLOOKUP($E411,'5.1 Budget'!$A$4:$H$729,2,0)</f>
        <v>0</v>
      </c>
      <c r="I411" s="252">
        <f>VLOOKUP($E411,'5.1 Budget'!$A$4:$H$729,3,0)</f>
        <v>0</v>
      </c>
      <c r="J411" s="252">
        <f>VLOOKUP($E411,'5.1 Budget'!$A$4:$H$729,4,0)</f>
        <v>0</v>
      </c>
      <c r="K411" s="252">
        <f>VLOOKUP($E411,'5.1 Budget'!$A$4:$H$729,5,0)</f>
        <v>0</v>
      </c>
      <c r="L411" s="252">
        <f>VLOOKUP($E411,'5.1 Budget'!$A$4:$H$729,6,0)</f>
        <v>0</v>
      </c>
      <c r="M411" s="252">
        <f>VLOOKUP($E411,'5.1 Budget'!$A$4:$H$729,7,0)</f>
        <v>0</v>
      </c>
      <c r="N411" s="252">
        <f>VLOOKUP($E411,'5.1 Budget'!$A$4:$H$729,8,0)</f>
        <v>0</v>
      </c>
      <c r="V411" t="str">
        <f>VLOOKUP(D411,'[4]1. Mesures'!$A$1:$B$116,2,0)</f>
        <v>Intégrer la GiEP dans les outils de l’aménagement du territoire</v>
      </c>
      <c r="W411" t="str">
        <f>VLOOKUP(B411,[1]HIERARCH!$A$1:$B$57,2,0)</f>
        <v>OS 5.1: Gérer les eaux de pluie de façon intégrée  // Alternative : Replacer les eaux de pluie dans leur cycle naturel</v>
      </c>
      <c r="X411" t="str">
        <f>VLOOKUP(C411,[1]HIERARCH!$A$2:$B$57,2,0)</f>
        <v>OO 5.1.1: Encadrer la mise en œuvre de la gestion intégrée des eaux pluviales « GiEP » et développer des solutions innovantes</v>
      </c>
      <c r="Y411" t="str">
        <f t="shared" si="23"/>
        <v>Mettre en place une procédure permettant d’imposer la mise en œuvre de la GiEP aux travers des permis d’environnement et…</v>
      </c>
    </row>
    <row r="412" spans="1:25" hidden="1" x14ac:dyDescent="0.25">
      <c r="A412" s="249" t="str">
        <f t="shared" si="22"/>
        <v>5</v>
      </c>
      <c r="B412" s="249" t="str">
        <f>VLOOKUP($D412,'[4]1. Mesures'!$A$2:$G$116,6,0)</f>
        <v>OS 5.1</v>
      </c>
      <c r="C412" s="249" t="str">
        <f>VLOOKUP($D412,'[4]1. Mesures'!$A$2:$G$116,7,0)</f>
        <v>OO 5.1.1</v>
      </c>
      <c r="D412" s="249" t="str">
        <f t="shared" si="21"/>
        <v>M 5.1</v>
      </c>
      <c r="E412" s="250" t="s">
        <v>1011</v>
      </c>
      <c r="F412" s="249" t="str">
        <f>VLOOKUP(E412,'5.2 Actions'!$A$3:$B$720,2,0)</f>
        <v>COBAT- adapter le cadre législatif et procédures établies au 5.1.3, le cas échéant.</v>
      </c>
      <c r="G412" s="251">
        <f>VLOOKUP(E412,'[4]5.2 Actions'!$A$3:$D$718,4,0)</f>
        <v>0</v>
      </c>
      <c r="H412" s="252">
        <f>VLOOKUP($E412,'5.1 Budget'!$A$4:$H$729,2,0)</f>
        <v>0</v>
      </c>
      <c r="I412" s="252">
        <f>VLOOKUP($E412,'5.1 Budget'!$A$4:$H$729,3,0)</f>
        <v>0</v>
      </c>
      <c r="J412" s="252">
        <f>VLOOKUP($E412,'5.1 Budget'!$A$4:$H$729,4,0)</f>
        <v>0</v>
      </c>
      <c r="K412" s="252">
        <f>VLOOKUP($E412,'5.1 Budget'!$A$4:$H$729,5,0)</f>
        <v>0</v>
      </c>
      <c r="L412" s="252">
        <f>VLOOKUP($E412,'5.1 Budget'!$A$4:$H$729,6,0)</f>
        <v>0</v>
      </c>
      <c r="M412" s="252">
        <f>VLOOKUP($E412,'5.1 Budget'!$A$4:$H$729,7,0)</f>
        <v>0</v>
      </c>
      <c r="N412" s="252">
        <f>VLOOKUP($E412,'5.1 Budget'!$A$4:$H$729,8,0)</f>
        <v>0</v>
      </c>
      <c r="V412" t="str">
        <f>VLOOKUP(D412,'[4]1. Mesures'!$A$1:$B$116,2,0)</f>
        <v>Intégrer la GiEP dans les outils de l’aménagement du territoire</v>
      </c>
      <c r="W412" t="str">
        <f>VLOOKUP(B412,[1]HIERARCH!$A$1:$B$57,2,0)</f>
        <v>OS 5.1: Gérer les eaux de pluie de façon intégrée  // Alternative : Replacer les eaux de pluie dans leur cycle naturel</v>
      </c>
      <c r="X412" t="str">
        <f>VLOOKUP(C412,[1]HIERARCH!$A$2:$B$57,2,0)</f>
        <v>OO 5.1.1: Encadrer la mise en œuvre de la gestion intégrée des eaux pluviales « GiEP » et développer des solutions innovantes</v>
      </c>
      <c r="Y412" t="str">
        <f t="shared" si="23"/>
        <v>COBAT- adapter le cadre législatif et procédures établies au 5.1.3, le cas échéant.…</v>
      </c>
    </row>
    <row r="413" spans="1:25" hidden="1" x14ac:dyDescent="0.25">
      <c r="A413" s="249" t="str">
        <f t="shared" si="22"/>
        <v>5</v>
      </c>
      <c r="B413" s="249" t="str">
        <f>VLOOKUP($D413,'[4]1. Mesures'!$A$2:$G$116,6,0)</f>
        <v>OS 5.1</v>
      </c>
      <c r="C413" s="249" t="str">
        <f>VLOOKUP($D413,'[4]1. Mesures'!$A$2:$G$116,7,0)</f>
        <v>OO 5.1.1</v>
      </c>
      <c r="D413" s="249" t="str">
        <f t="shared" si="21"/>
        <v>M 5.1</v>
      </c>
      <c r="E413" s="250" t="s">
        <v>1012</v>
      </c>
      <c r="F413" s="249" t="str">
        <f>VLOOKUP(E413,'5.2 Actions'!$A$3:$B$720,2,0)</f>
        <v>Plan régional d’affectation des sols (PRAS) –
·        Dans le cadre de la révision du nouveau PRAS, tenir compte de la gestion intégrée des eaux pluviales et de ses objectifs en termes de perméabilités des sols et végétalisation (lutte contre les îlots de chaleur urbain) au niveau des différents documents constitutifs, notamment au niveau des  prescriptions générales et le cas échéant, des prescriptions particulières de certaines zones. Il conviendrait notamment d’assurer un ratio suffisant de pleine terre dans toutes les zones constructibles.
.   Lors de révisions ponctuelles du PRAS actuel (changement d’affectation, inscription de nouveaux tracés…) tenir compte de l’impact des différents scenarios sur la gestion des eaux de ruissellement et assurer des mesures d’atténuation complètes ou à défaut, des compensations basées sur les principes de gestion intégrée des eaux pluviales pour en limiter les incidences au minimum</v>
      </c>
      <c r="G413" s="251">
        <f>VLOOKUP(E413,'[4]5.2 Actions'!$A$3:$D$718,4,0)</f>
        <v>0</v>
      </c>
      <c r="H413" s="252">
        <f>VLOOKUP($E413,'5.1 Budget'!$A$4:$H$729,2,0)</f>
        <v>0</v>
      </c>
      <c r="I413" s="252">
        <f>VLOOKUP($E413,'5.1 Budget'!$A$4:$H$729,3,0)</f>
        <v>0</v>
      </c>
      <c r="J413" s="252">
        <f>VLOOKUP($E413,'5.1 Budget'!$A$4:$H$729,4,0)</f>
        <v>0</v>
      </c>
      <c r="K413" s="252">
        <f>VLOOKUP($E413,'5.1 Budget'!$A$4:$H$729,5,0)</f>
        <v>0</v>
      </c>
      <c r="L413" s="252">
        <f>VLOOKUP($E413,'5.1 Budget'!$A$4:$H$729,6,0)</f>
        <v>0</v>
      </c>
      <c r="M413" s="252">
        <f>VLOOKUP($E413,'5.1 Budget'!$A$4:$H$729,7,0)</f>
        <v>0</v>
      </c>
      <c r="N413" s="252">
        <f>VLOOKUP($E413,'5.1 Budget'!$A$4:$H$729,8,0)</f>
        <v>0</v>
      </c>
      <c r="V413" t="str">
        <f>VLOOKUP(D413,'[4]1. Mesures'!$A$1:$B$116,2,0)</f>
        <v>Intégrer la GiEP dans les outils de l’aménagement du territoire</v>
      </c>
      <c r="W413" t="str">
        <f>VLOOKUP(B413,[1]HIERARCH!$A$1:$B$57,2,0)</f>
        <v>OS 5.1: Gérer les eaux de pluie de façon intégrée  // Alternative : Replacer les eaux de pluie dans leur cycle naturel</v>
      </c>
      <c r="X413" t="str">
        <f>VLOOKUP(C413,[1]HIERARCH!$A$2:$B$57,2,0)</f>
        <v>OO 5.1.1: Encadrer la mise en œuvre de la gestion intégrée des eaux pluviales « GiEP » et développer des solutions innovantes</v>
      </c>
      <c r="Y413" t="str">
        <f t="shared" si="23"/>
        <v>Plan régional d’affectation des sols (PRAS) –
·        Dans le cadre de la révision du nouveau PRAS, tenir compte de la …</v>
      </c>
    </row>
    <row r="414" spans="1:25" hidden="1" x14ac:dyDescent="0.25">
      <c r="A414" s="249" t="str">
        <f t="shared" si="22"/>
        <v>5</v>
      </c>
      <c r="B414" s="249" t="str">
        <f>VLOOKUP($D414,'[4]1. Mesures'!$A$2:$G$116,6,0)</f>
        <v>OS 5.1</v>
      </c>
      <c r="C414" s="249" t="str">
        <f>VLOOKUP($D414,'[4]1. Mesures'!$A$2:$G$116,7,0)</f>
        <v>OO 5.1.1</v>
      </c>
      <c r="D414" s="249" t="str">
        <f t="shared" si="21"/>
        <v>M 5.1</v>
      </c>
      <c r="E414" s="250" t="s">
        <v>1013</v>
      </c>
      <c r="F414" s="249" t="str">
        <f>VLOOKUP(E414,'5.2 Actions'!$A$3:$B$720,2,0)</f>
        <v>Plans d’aménagement directeur (PAD) – obliger l’auteur de projet à réaliser une étude hydrologique dans le cadre de l’établissement de la situation existante et à établir les prescriptions générales sur la base de celle-ci.</v>
      </c>
      <c r="G414" s="251">
        <f>VLOOKUP(E414,'[4]5.2 Actions'!$A$3:$D$718,4,0)</f>
        <v>0</v>
      </c>
      <c r="H414" s="252">
        <f>VLOOKUP($E414,'5.1 Budget'!$A$4:$H$729,2,0)</f>
        <v>0</v>
      </c>
      <c r="I414" s="252">
        <f>VLOOKUP($E414,'5.1 Budget'!$A$4:$H$729,3,0)</f>
        <v>0</v>
      </c>
      <c r="J414" s="252">
        <f>VLOOKUP($E414,'5.1 Budget'!$A$4:$H$729,4,0)</f>
        <v>0</v>
      </c>
      <c r="K414" s="252">
        <f>VLOOKUP($E414,'5.1 Budget'!$A$4:$H$729,5,0)</f>
        <v>0</v>
      </c>
      <c r="L414" s="252">
        <f>VLOOKUP($E414,'5.1 Budget'!$A$4:$H$729,6,0)</f>
        <v>0</v>
      </c>
      <c r="M414" s="252">
        <f>VLOOKUP($E414,'5.1 Budget'!$A$4:$H$729,7,0)</f>
        <v>0</v>
      </c>
      <c r="N414" s="252">
        <f>VLOOKUP($E414,'5.1 Budget'!$A$4:$H$729,8,0)</f>
        <v>0</v>
      </c>
      <c r="V414" t="str">
        <f>VLOOKUP(D414,'[4]1. Mesures'!$A$1:$B$116,2,0)</f>
        <v>Intégrer la GiEP dans les outils de l’aménagement du territoire</v>
      </c>
      <c r="W414" t="str">
        <f>VLOOKUP(B414,[1]HIERARCH!$A$1:$B$57,2,0)</f>
        <v>OS 5.1: Gérer les eaux de pluie de façon intégrée  // Alternative : Replacer les eaux de pluie dans leur cycle naturel</v>
      </c>
      <c r="X414" t="str">
        <f>VLOOKUP(C414,[1]HIERARCH!$A$2:$B$57,2,0)</f>
        <v>OO 5.1.1: Encadrer la mise en œuvre de la gestion intégrée des eaux pluviales « GiEP » et développer des solutions innovantes</v>
      </c>
      <c r="Y414" t="str">
        <f t="shared" si="23"/>
        <v>Plans d’aménagement directeur (PAD) – obliger l’auteur de projet à réaliser une étude hydrologique dans le cadre de l’ét…</v>
      </c>
    </row>
    <row r="415" spans="1:25" hidden="1" x14ac:dyDescent="0.25">
      <c r="A415" s="249" t="str">
        <f t="shared" si="22"/>
        <v>5</v>
      </c>
      <c r="B415" s="249" t="str">
        <f>VLOOKUP($D415,'[4]1. Mesures'!$A$2:$G$116,6,0)</f>
        <v>OS 5.1</v>
      </c>
      <c r="C415" s="249" t="str">
        <f>VLOOKUP($D415,'[4]1. Mesures'!$A$2:$G$116,7,0)</f>
        <v>OO 5.1.1</v>
      </c>
      <c r="D415" s="249" t="str">
        <f t="shared" si="21"/>
        <v>M 5.1</v>
      </c>
      <c r="E415" s="250" t="s">
        <v>1014</v>
      </c>
      <c r="F415" s="249" t="str">
        <f>VLOOKUP(E415,'5.2 Actions'!$A$3:$B$720,2,0)</f>
        <v>Plans particuliers d’affectation des sols (PPAS) – intégrer des prescriptions pour garantir la gestion intégrée des eaux pluviales et le cas échéant, compléter les prescriptions des outils de normes supérieures (PAD,…).</v>
      </c>
      <c r="G415" s="251">
        <f>VLOOKUP(E415,'[4]5.2 Actions'!$A$3:$D$718,4,0)</f>
        <v>0</v>
      </c>
      <c r="H415" s="252">
        <f>VLOOKUP($E415,'5.1 Budget'!$A$4:$H$729,2,0)</f>
        <v>0</v>
      </c>
      <c r="I415" s="252">
        <f>VLOOKUP($E415,'5.1 Budget'!$A$4:$H$729,3,0)</f>
        <v>0</v>
      </c>
      <c r="J415" s="252">
        <f>VLOOKUP($E415,'5.1 Budget'!$A$4:$H$729,4,0)</f>
        <v>0</v>
      </c>
      <c r="K415" s="252">
        <f>VLOOKUP($E415,'5.1 Budget'!$A$4:$H$729,5,0)</f>
        <v>0</v>
      </c>
      <c r="L415" s="252">
        <f>VLOOKUP($E415,'5.1 Budget'!$A$4:$H$729,6,0)</f>
        <v>0</v>
      </c>
      <c r="M415" s="252">
        <f>VLOOKUP($E415,'5.1 Budget'!$A$4:$H$729,7,0)</f>
        <v>0</v>
      </c>
      <c r="N415" s="252">
        <f>VLOOKUP($E415,'5.1 Budget'!$A$4:$H$729,8,0)</f>
        <v>0</v>
      </c>
      <c r="V415" t="str">
        <f>VLOOKUP(D415,'[4]1. Mesures'!$A$1:$B$116,2,0)</f>
        <v>Intégrer la GiEP dans les outils de l’aménagement du territoire</v>
      </c>
      <c r="W415" t="str">
        <f>VLOOKUP(B415,[1]HIERARCH!$A$1:$B$57,2,0)</f>
        <v>OS 5.1: Gérer les eaux de pluie de façon intégrée  // Alternative : Replacer les eaux de pluie dans leur cycle naturel</v>
      </c>
      <c r="X415" t="str">
        <f>VLOOKUP(C415,[1]HIERARCH!$A$2:$B$57,2,0)</f>
        <v>OO 5.1.1: Encadrer la mise en œuvre de la gestion intégrée des eaux pluviales « GiEP » et développer des solutions innovantes</v>
      </c>
      <c r="Y415" t="str">
        <f t="shared" si="23"/>
        <v>Plans particuliers d’affectation des sols (PPAS) – intégrer des prescriptions pour garantir la gestion intégrée des eaux…</v>
      </c>
    </row>
    <row r="416" spans="1:25" hidden="1" x14ac:dyDescent="0.25">
      <c r="A416" s="249" t="str">
        <f t="shared" si="22"/>
        <v>5</v>
      </c>
      <c r="B416" s="249" t="str">
        <f>VLOOKUP($D416,'[4]1. Mesures'!$A$2:$G$116,6,0)</f>
        <v>OS 5.1</v>
      </c>
      <c r="C416" s="249" t="str">
        <f>VLOOKUP($D416,'[4]1. Mesures'!$A$2:$G$116,7,0)</f>
        <v>OO 5.1.1</v>
      </c>
      <c r="D416" s="249" t="str">
        <f t="shared" si="21"/>
        <v>M 5.1</v>
      </c>
      <c r="E416" s="250" t="s">
        <v>1015</v>
      </c>
      <c r="F416" s="249" t="str">
        <f>VLOOKUP(E416,'5.2 Actions'!$A$3:$B$720,2,0)</f>
        <v>Faire des études du potentiel de déconnexion (% de surfaces déconnectées) via un outil qui soutiendra les différents plans de développement territorial.
Cette mesure pourra à termes s’appuyer sur un outil cartographique que Bruxelles Environnement compte mettre en place via la M.5.6</v>
      </c>
      <c r="G416" s="251">
        <f>VLOOKUP(E416,'[4]5.2 Actions'!$A$3:$D$718,4,0)</f>
        <v>0</v>
      </c>
      <c r="H416" s="252">
        <f>VLOOKUP($E416,'5.1 Budget'!$A$4:$H$729,2,0)</f>
        <v>0</v>
      </c>
      <c r="I416" s="252">
        <f>VLOOKUP($E416,'5.1 Budget'!$A$4:$H$729,3,0)</f>
        <v>0</v>
      </c>
      <c r="J416" s="252">
        <f>VLOOKUP($E416,'5.1 Budget'!$A$4:$H$729,4,0)</f>
        <v>0</v>
      </c>
      <c r="K416" s="252">
        <f>VLOOKUP($E416,'5.1 Budget'!$A$4:$H$729,5,0)</f>
        <v>0</v>
      </c>
      <c r="L416" s="252">
        <f>VLOOKUP($E416,'5.1 Budget'!$A$4:$H$729,6,0)</f>
        <v>0</v>
      </c>
      <c r="M416" s="252">
        <f>VLOOKUP($E416,'5.1 Budget'!$A$4:$H$729,7,0)</f>
        <v>0</v>
      </c>
      <c r="N416" s="252">
        <f>VLOOKUP($E416,'5.1 Budget'!$A$4:$H$729,8,0)</f>
        <v>0</v>
      </c>
      <c r="V416" t="str">
        <f>VLOOKUP(D416,'[4]1. Mesures'!$A$1:$B$116,2,0)</f>
        <v>Intégrer la GiEP dans les outils de l’aménagement du territoire</v>
      </c>
      <c r="W416" t="str">
        <f>VLOOKUP(B416,[1]HIERARCH!$A$1:$B$57,2,0)</f>
        <v>OS 5.1: Gérer les eaux de pluie de façon intégrée  // Alternative : Replacer les eaux de pluie dans leur cycle naturel</v>
      </c>
      <c r="X416" t="str">
        <f>VLOOKUP(C416,[1]HIERARCH!$A$2:$B$57,2,0)</f>
        <v>OO 5.1.1: Encadrer la mise en œuvre de la gestion intégrée des eaux pluviales « GiEP » et développer des solutions innovantes</v>
      </c>
      <c r="Y416" t="str">
        <f t="shared" si="23"/>
        <v>Faire des études du potentiel de déconnexion (% de surfaces déconnectées) via un outil qui soutiendra les différents pla…</v>
      </c>
    </row>
    <row r="417" spans="1:25" hidden="1" x14ac:dyDescent="0.25">
      <c r="A417" s="249" t="str">
        <f t="shared" si="22"/>
        <v>5</v>
      </c>
      <c r="B417" s="249" t="str">
        <f>VLOOKUP($D417,'[4]1. Mesures'!$A$2:$G$116,6,0)</f>
        <v>OS 5.1</v>
      </c>
      <c r="C417" s="249" t="str">
        <f>VLOOKUP($D417,'[4]1. Mesures'!$A$2:$G$116,7,0)</f>
        <v>OO 5.1.1</v>
      </c>
      <c r="D417" s="249" t="str">
        <f t="shared" si="21"/>
        <v>M 5.1</v>
      </c>
      <c r="E417" s="250" t="s">
        <v>1016</v>
      </c>
      <c r="F417" s="249" t="str">
        <f>VLOOKUP(E417,'5.2 Actions'!$A$3:$B$720,2,0)</f>
        <v>Etudier la gestion et le placement des impétrants dans l’espace public afin d’établir, le cas échéant, des lignes directrices pour assurer la bonne compatibilité entre GIEP et impétrants.
Actuellement le manque d’information concrète sur leur positionnement, les exigences aléatoires liées à leur placement, le manque de prise en charge de certaines anciennes installations devenues obsolètes, représentent un obstacle à la GIEP et à la végétalisation des espaces publics.</v>
      </c>
      <c r="G417" s="251">
        <f>VLOOKUP(E417,'[4]5.2 Actions'!$A$3:$D$718,4,0)</f>
        <v>0</v>
      </c>
      <c r="H417" s="252">
        <f>VLOOKUP($E417,'5.1 Budget'!$A$4:$H$729,2,0)</f>
        <v>0</v>
      </c>
      <c r="I417" s="252">
        <f>VLOOKUP($E417,'5.1 Budget'!$A$4:$H$729,3,0)</f>
        <v>0</v>
      </c>
      <c r="J417" s="252">
        <f>VLOOKUP($E417,'5.1 Budget'!$A$4:$H$729,4,0)</f>
        <v>0</v>
      </c>
      <c r="K417" s="252">
        <f>VLOOKUP($E417,'5.1 Budget'!$A$4:$H$729,5,0)</f>
        <v>0</v>
      </c>
      <c r="L417" s="252">
        <f>VLOOKUP($E417,'5.1 Budget'!$A$4:$H$729,6,0)</f>
        <v>0</v>
      </c>
      <c r="M417" s="252">
        <f>VLOOKUP($E417,'5.1 Budget'!$A$4:$H$729,7,0)</f>
        <v>0</v>
      </c>
      <c r="N417" s="252">
        <f>VLOOKUP($E417,'5.1 Budget'!$A$4:$H$729,8,0)</f>
        <v>0</v>
      </c>
      <c r="V417" t="str">
        <f>VLOOKUP(D417,'[4]1. Mesures'!$A$1:$B$116,2,0)</f>
        <v>Intégrer la GiEP dans les outils de l’aménagement du territoire</v>
      </c>
      <c r="W417" t="str">
        <f>VLOOKUP(B417,[1]HIERARCH!$A$1:$B$57,2,0)</f>
        <v>OS 5.1: Gérer les eaux de pluie de façon intégrée  // Alternative : Replacer les eaux de pluie dans leur cycle naturel</v>
      </c>
      <c r="X417" t="str">
        <f>VLOOKUP(C417,[1]HIERARCH!$A$2:$B$57,2,0)</f>
        <v>OO 5.1.1: Encadrer la mise en œuvre de la gestion intégrée des eaux pluviales « GiEP » et développer des solutions innovantes</v>
      </c>
      <c r="Y417" t="str">
        <f t="shared" si="23"/>
        <v>Etudier la gestion et le placement des impétrants dans l’espace public afin d’établir, le cas échéant, des lignes direct…</v>
      </c>
    </row>
    <row r="418" spans="1:25" hidden="1" x14ac:dyDescent="0.25">
      <c r="A418" s="249" t="str">
        <f t="shared" si="22"/>
        <v>5</v>
      </c>
      <c r="B418" s="249" t="str">
        <f>VLOOKUP($D418,'[4]1. Mesures'!$A$2:$G$116,6,0)</f>
        <v>OS 5.1</v>
      </c>
      <c r="C418" s="249" t="str">
        <f>VLOOKUP($D418,'[4]1. Mesures'!$A$2:$G$116,7,0)</f>
        <v>OO 5.1.1</v>
      </c>
      <c r="D418" s="249" t="str">
        <f t="shared" si="21"/>
        <v>M 5.1</v>
      </c>
      <c r="E418" s="250" t="s">
        <v>1006</v>
      </c>
      <c r="F418" s="249" t="str">
        <f>VLOOKUP(E418,'5.2 Actions'!$A$3:$B$720,2,0)</f>
        <v>Dans l’expectative de cette intégration généralisée d’une bonne prise en compte de la gestion durable de l’eau, remettre des avis et conditions dans les permis d’urbanisme et selon demande, lors des procédures liées à délivrance de permis d’urbanisme (Commission de concertation, Avis d’instance,…)</v>
      </c>
      <c r="G418" s="251">
        <f>VLOOKUP(E418,'[4]5.2 Actions'!$A$3:$D$718,4,0)</f>
        <v>0</v>
      </c>
      <c r="H418" s="252">
        <f>VLOOKUP($E418,'5.1 Budget'!$A$4:$H$729,2,0)</f>
        <v>0</v>
      </c>
      <c r="I418" s="252">
        <f>VLOOKUP($E418,'5.1 Budget'!$A$4:$H$729,3,0)</f>
        <v>0</v>
      </c>
      <c r="J418" s="252">
        <f>VLOOKUP($E418,'5.1 Budget'!$A$4:$H$729,4,0)</f>
        <v>0</v>
      </c>
      <c r="K418" s="252">
        <f>VLOOKUP($E418,'5.1 Budget'!$A$4:$H$729,5,0)</f>
        <v>0</v>
      </c>
      <c r="L418" s="252">
        <f>VLOOKUP($E418,'5.1 Budget'!$A$4:$H$729,6,0)</f>
        <v>0</v>
      </c>
      <c r="M418" s="252">
        <f>VLOOKUP($E418,'5.1 Budget'!$A$4:$H$729,7,0)</f>
        <v>0</v>
      </c>
      <c r="N418" s="252">
        <f>VLOOKUP($E418,'5.1 Budget'!$A$4:$H$729,8,0)</f>
        <v>0</v>
      </c>
      <c r="V418" t="str">
        <f>VLOOKUP(D418,'[4]1. Mesures'!$A$1:$B$116,2,0)</f>
        <v>Intégrer la GiEP dans les outils de l’aménagement du territoire</v>
      </c>
      <c r="W418" t="str">
        <f>VLOOKUP(B418,[1]HIERARCH!$A$1:$B$57,2,0)</f>
        <v>OS 5.1: Gérer les eaux de pluie de façon intégrée  // Alternative : Replacer les eaux de pluie dans leur cycle naturel</v>
      </c>
      <c r="X418" t="str">
        <f>VLOOKUP(C418,[1]HIERARCH!$A$2:$B$57,2,0)</f>
        <v>OO 5.1.1: Encadrer la mise en œuvre de la gestion intégrée des eaux pluviales « GiEP » et développer des solutions innovantes</v>
      </c>
      <c r="Y418" t="str">
        <f t="shared" si="23"/>
        <v>Dans l’expectative de cette intégration généralisée d’une bonne prise en compte de la gestion durable de l’eau, remettre…</v>
      </c>
    </row>
    <row r="419" spans="1:25" hidden="1" x14ac:dyDescent="0.25">
      <c r="A419" s="249" t="str">
        <f t="shared" si="22"/>
        <v>5</v>
      </c>
      <c r="B419" s="249" t="str">
        <f>VLOOKUP($D419,'[4]1. Mesures'!$A$2:$G$116,6,0)</f>
        <v>OS 5.1</v>
      </c>
      <c r="C419" s="249" t="str">
        <f>VLOOKUP($D419,'[4]1. Mesures'!$A$2:$G$116,7,0)</f>
        <v>OO 5.1.1</v>
      </c>
      <c r="D419" s="249" t="str">
        <f t="shared" si="21"/>
        <v>M 5.1</v>
      </c>
      <c r="E419" s="250" t="s">
        <v>1007</v>
      </c>
      <c r="F419" s="249" t="str">
        <f>VLOOKUP(E419,'5.2 Actions'!$A$3:$B$720,2,0)</f>
        <v>Veiller à la bonne mise en œuvre des principes de gestion de l’eau édictés dans le BKP
Beeldkwaliteitsplan ou plan de qualité paysagère et urbanistique) qui s’appliquent à tout projet d’aménagement et de rénovation d’espace public sur le territoire du Canal dont le périmètre s’étend sur différentes zones administratives aux niveaux de pouvoir multiples( il s’agit du périmètre du Plan Canal de 2012 repris à la page 24 du BKP )</v>
      </c>
      <c r="G419" s="251">
        <f>VLOOKUP(E419,'[4]5.2 Actions'!$A$3:$D$718,4,0)</f>
        <v>0</v>
      </c>
      <c r="H419" s="252">
        <f>VLOOKUP($E419,'5.1 Budget'!$A$4:$H$729,2,0)</f>
        <v>0</v>
      </c>
      <c r="I419" s="252">
        <f>VLOOKUP($E419,'5.1 Budget'!$A$4:$H$729,3,0)</f>
        <v>0</v>
      </c>
      <c r="J419" s="252">
        <f>VLOOKUP($E419,'5.1 Budget'!$A$4:$H$729,4,0)</f>
        <v>0</v>
      </c>
      <c r="K419" s="252">
        <f>VLOOKUP($E419,'5.1 Budget'!$A$4:$H$729,5,0)</f>
        <v>0</v>
      </c>
      <c r="L419" s="252">
        <f>VLOOKUP($E419,'5.1 Budget'!$A$4:$H$729,6,0)</f>
        <v>0</v>
      </c>
      <c r="M419" s="252">
        <f>VLOOKUP($E419,'5.1 Budget'!$A$4:$H$729,7,0)</f>
        <v>0</v>
      </c>
      <c r="N419" s="252">
        <f>VLOOKUP($E419,'5.1 Budget'!$A$4:$H$729,8,0)</f>
        <v>0</v>
      </c>
      <c r="V419" t="str">
        <f>VLOOKUP(D419,'[4]1. Mesures'!$A$1:$B$116,2,0)</f>
        <v>Intégrer la GiEP dans les outils de l’aménagement du territoire</v>
      </c>
      <c r="W419" t="str">
        <f>VLOOKUP(B419,[1]HIERARCH!$A$1:$B$57,2,0)</f>
        <v>OS 5.1: Gérer les eaux de pluie de façon intégrée  // Alternative : Replacer les eaux de pluie dans leur cycle naturel</v>
      </c>
      <c r="X419" t="str">
        <f>VLOOKUP(C419,[1]HIERARCH!$A$2:$B$57,2,0)</f>
        <v>OO 5.1.1: Encadrer la mise en œuvre de la gestion intégrée des eaux pluviales « GiEP » et développer des solutions innovantes</v>
      </c>
      <c r="Y419" t="str">
        <f t="shared" si="23"/>
        <v>Veiller à la bonne mise en œuvre des principes de gestion de l’eau édictés dans le BKP
Beeldkwaliteitsplan ou plan de qu…</v>
      </c>
    </row>
    <row r="420" spans="1:25" hidden="1" x14ac:dyDescent="0.25">
      <c r="A420" s="249" t="str">
        <f t="shared" si="22"/>
        <v>5</v>
      </c>
      <c r="B420" s="249" t="str">
        <f>VLOOKUP($D420,'[4]1. Mesures'!$A$2:$G$116,6,0)</f>
        <v>OS 5.1</v>
      </c>
      <c r="C420" s="249" t="str">
        <f>VLOOKUP($D420,'[4]1. Mesures'!$A$2:$G$116,7,0)</f>
        <v>OO 5.1.1</v>
      </c>
      <c r="D420" s="249" t="str">
        <f t="shared" si="21"/>
        <v>M 5.1</v>
      </c>
      <c r="E420" s="250" t="s">
        <v>1008</v>
      </c>
      <c r="F420" s="249" t="str">
        <f>VLOOKUP(E420,'5.2 Actions'!$A$3:$B$720,2,0)</f>
        <v>Etablir une veille de tous  les plans, programmes et règlementations  développant d’autres thématiques afin que, lorsque cela s’avère pertinent, les principes qui sous-tendent le PGE (GiEP, préservation de la ressource, réseau hydrographique,…) soient pris en compte
Liste d'exemples (non-exhaustif) : les plans climat communaux, plans de mobilité, etc.</v>
      </c>
      <c r="G420" s="251">
        <f>VLOOKUP(E420,'[4]5.2 Actions'!$A$3:$D$718,4,0)</f>
        <v>0</v>
      </c>
      <c r="H420" s="252">
        <f>VLOOKUP($E420,'5.1 Budget'!$A$4:$H$729,2,0)</f>
        <v>0</v>
      </c>
      <c r="I420" s="252">
        <f>VLOOKUP($E420,'5.1 Budget'!$A$4:$H$729,3,0)</f>
        <v>0</v>
      </c>
      <c r="J420" s="252">
        <f>VLOOKUP($E420,'5.1 Budget'!$A$4:$H$729,4,0)</f>
        <v>0</v>
      </c>
      <c r="K420" s="252">
        <f>VLOOKUP($E420,'5.1 Budget'!$A$4:$H$729,5,0)</f>
        <v>0</v>
      </c>
      <c r="L420" s="252">
        <f>VLOOKUP($E420,'5.1 Budget'!$A$4:$H$729,6,0)</f>
        <v>0</v>
      </c>
      <c r="M420" s="252">
        <f>VLOOKUP($E420,'5.1 Budget'!$A$4:$H$729,7,0)</f>
        <v>0</v>
      </c>
      <c r="N420" s="252">
        <f>VLOOKUP($E420,'5.1 Budget'!$A$4:$H$729,8,0)</f>
        <v>0</v>
      </c>
      <c r="V420" t="str">
        <f>VLOOKUP(D420,'[4]1. Mesures'!$A$1:$B$116,2,0)</f>
        <v>Intégrer la GiEP dans les outils de l’aménagement du territoire</v>
      </c>
      <c r="W420" t="str">
        <f>VLOOKUP(B420,[1]HIERARCH!$A$1:$B$57,2,0)</f>
        <v>OS 5.1: Gérer les eaux de pluie de façon intégrée  // Alternative : Replacer les eaux de pluie dans leur cycle naturel</v>
      </c>
      <c r="X420" t="str">
        <f>VLOOKUP(C420,[1]HIERARCH!$A$2:$B$57,2,0)</f>
        <v>OO 5.1.1: Encadrer la mise en œuvre de la gestion intégrée des eaux pluviales « GiEP » et développer des solutions innovantes</v>
      </c>
      <c r="Y420" t="str">
        <f t="shared" si="23"/>
        <v>Etablir une veille de tous  les plans, programmes et règlementations  développant d’autres thématiques afin que, lorsque…</v>
      </c>
    </row>
    <row r="421" spans="1:25" hidden="1" x14ac:dyDescent="0.25">
      <c r="A421" s="249" t="str">
        <f t="shared" si="22"/>
        <v>5</v>
      </c>
      <c r="B421" s="249" t="str">
        <f>VLOOKUP($D421,'[4]1. Mesures'!$A$2:$G$116,6,0)</f>
        <v>OS 5.1</v>
      </c>
      <c r="C421" s="249" t="str">
        <f>VLOOKUP($D421,'[4]1. Mesures'!$A$2:$G$116,7,0)</f>
        <v>OO 5.1.1</v>
      </c>
      <c r="D421" s="249" t="str">
        <f t="shared" si="21"/>
        <v>M 5.2</v>
      </c>
      <c r="E421" s="250" t="s">
        <v>1061</v>
      </c>
      <c r="F421" s="249" t="str">
        <f>VLOOKUP(E421,'5.2 Actions'!$A$3:$B$720,2,0)</f>
        <v>Evaluer les coûts d’investissement et opérationnels qu’implique le déploiement d’une politique de GiEP visant à protéger la Région contre les risques d’inondation (pluies TR20) en complément du réseau d’assainissement.</v>
      </c>
      <c r="G421" s="251">
        <f>VLOOKUP(E421,'[4]5.2 Actions'!$A$3:$D$718,4,0)</f>
        <v>0</v>
      </c>
      <c r="H421" s="252">
        <f>VLOOKUP($E421,'5.1 Budget'!$A$4:$H$729,2,0)</f>
        <v>100000</v>
      </c>
      <c r="I421" s="252">
        <f>VLOOKUP($E421,'5.1 Budget'!$A$4:$H$729,3,0)</f>
        <v>0</v>
      </c>
      <c r="J421" s="252">
        <f>VLOOKUP($E421,'5.1 Budget'!$A$4:$H$729,4,0)</f>
        <v>0</v>
      </c>
      <c r="K421" s="252">
        <f>VLOOKUP($E421,'5.1 Budget'!$A$4:$H$729,5,0)</f>
        <v>0</v>
      </c>
      <c r="L421" s="252">
        <f>VLOOKUP($E421,'5.1 Budget'!$A$4:$H$729,6,0)</f>
        <v>0</v>
      </c>
      <c r="M421" s="252">
        <f>VLOOKUP($E421,'5.1 Budget'!$A$4:$H$729,7,0)</f>
        <v>0</v>
      </c>
      <c r="N421" s="252">
        <f>VLOOKUP($E421,'5.1 Budget'!$A$4:$H$729,8,0)</f>
        <v>100000</v>
      </c>
      <c r="V421" t="str">
        <f>VLOOKUP(D421,'[4]1. Mesures'!$A$1:$B$116,2,0)</f>
        <v>Identifier les sources de financement pour réaliser et entretenir les dispositifs de gestion intégrer des eaux pluviales</v>
      </c>
      <c r="W421" t="str">
        <f>VLOOKUP(B421,[1]HIERARCH!$A$1:$B$57,2,0)</f>
        <v>OS 5.1: Gérer les eaux de pluie de façon intégrée  // Alternative : Replacer les eaux de pluie dans leur cycle naturel</v>
      </c>
      <c r="X421" t="str">
        <f>VLOOKUP(C421,[1]HIERARCH!$A$2:$B$57,2,0)</f>
        <v>OO 5.1.1: Encadrer la mise en œuvre de la gestion intégrée des eaux pluviales « GiEP » et développer des solutions innovantes</v>
      </c>
      <c r="Y421" t="str">
        <f t="shared" si="23"/>
        <v>Evaluer les coûts d’investissement et opérationnels qu’implique le déploiement d’une politique de GiEP visant à protéger…</v>
      </c>
    </row>
    <row r="422" spans="1:25" hidden="1" x14ac:dyDescent="0.25">
      <c r="A422" s="249" t="str">
        <f t="shared" si="22"/>
        <v>5</v>
      </c>
      <c r="B422" s="249" t="str">
        <f>VLOOKUP($D422,'[4]1. Mesures'!$A$2:$G$116,6,0)</f>
        <v>OS 5.1</v>
      </c>
      <c r="C422" s="249" t="str">
        <f>VLOOKUP($D422,'[4]1. Mesures'!$A$2:$G$116,7,0)</f>
        <v>OO 5.1.1</v>
      </c>
      <c r="D422" s="249" t="str">
        <f t="shared" si="21"/>
        <v>M 5.2</v>
      </c>
      <c r="E422" s="250" t="s">
        <v>1062</v>
      </c>
      <c r="F422" s="249" t="str">
        <f>VLOOKUP(E422,'5.2 Actions'!$A$3:$B$720,2,0)</f>
        <v>Définir un ou plusieurs mécanismes de financement équitables et incitatifs créant une source de fonds permettant le déploiement pérenne d’ouvrages de GiEP dans l’espace privé et public du territoire de la RBC</v>
      </c>
      <c r="G422" s="251">
        <f>VLOOKUP(E422,'[4]5.2 Actions'!$A$3:$D$718,4,0)</f>
        <v>0</v>
      </c>
      <c r="H422" s="252">
        <f>VLOOKUP($E422,'5.1 Budget'!$A$4:$H$729,2,0)</f>
        <v>0</v>
      </c>
      <c r="I422" s="252">
        <f>VLOOKUP($E422,'5.1 Budget'!$A$4:$H$729,3,0)</f>
        <v>0</v>
      </c>
      <c r="J422" s="252">
        <f>VLOOKUP($E422,'5.1 Budget'!$A$4:$H$729,4,0)</f>
        <v>0</v>
      </c>
      <c r="K422" s="252">
        <f>VLOOKUP($E422,'5.1 Budget'!$A$4:$H$729,5,0)</f>
        <v>0</v>
      </c>
      <c r="L422" s="252">
        <f>VLOOKUP($E422,'5.1 Budget'!$A$4:$H$729,6,0)</f>
        <v>0</v>
      </c>
      <c r="M422" s="252">
        <f>VLOOKUP($E422,'5.1 Budget'!$A$4:$H$729,7,0)</f>
        <v>0</v>
      </c>
      <c r="N422" s="252">
        <f>VLOOKUP($E422,'5.1 Budget'!$A$4:$H$729,8,0)</f>
        <v>0</v>
      </c>
      <c r="V422" t="str">
        <f>VLOOKUP(D422,'[4]1. Mesures'!$A$1:$B$116,2,0)</f>
        <v>Identifier les sources de financement pour réaliser et entretenir les dispositifs de gestion intégrer des eaux pluviales</v>
      </c>
      <c r="W422" t="str">
        <f>VLOOKUP(B422,[1]HIERARCH!$A$1:$B$57,2,0)</f>
        <v>OS 5.1: Gérer les eaux de pluie de façon intégrée  // Alternative : Replacer les eaux de pluie dans leur cycle naturel</v>
      </c>
      <c r="X422" t="str">
        <f>VLOOKUP(C422,[1]HIERARCH!$A$2:$B$57,2,0)</f>
        <v>OO 5.1.1: Encadrer la mise en œuvre de la gestion intégrée des eaux pluviales « GiEP » et développer des solutions innovantes</v>
      </c>
      <c r="Y422" t="str">
        <f t="shared" si="23"/>
        <v>Définir un ou plusieurs mécanismes de financement équitables et incitatifs créant une source de fonds permettant le dépl…</v>
      </c>
    </row>
    <row r="423" spans="1:25" hidden="1" x14ac:dyDescent="0.25">
      <c r="A423" s="249" t="str">
        <f t="shared" si="22"/>
        <v>5</v>
      </c>
      <c r="B423" s="249" t="str">
        <f>VLOOKUP($D423,'[4]1. Mesures'!$A$2:$G$116,6,0)</f>
        <v>OS 5.1</v>
      </c>
      <c r="C423" s="249" t="str">
        <f>VLOOKUP($D423,'[4]1. Mesures'!$A$2:$G$116,7,0)</f>
        <v>OO 5.1.1</v>
      </c>
      <c r="D423" s="249" t="str">
        <f t="shared" si="21"/>
        <v>M 5.2</v>
      </c>
      <c r="E423" s="250" t="s">
        <v>1063</v>
      </c>
      <c r="F423" s="249" t="str">
        <f>VLOOKUP(E423,'5.2 Actions'!$A$3:$B$720,2,0)</f>
        <v>Apporter les modifications légales nécessaires relatives à la mise en œuvre opérationnelle de ces nouveaux mécanismes de prélèvement qui permettront le financement des projets GiEP, par exemple via la mise en place d’un fonds de financement.</v>
      </c>
      <c r="G423" s="251">
        <f>VLOOKUP(E423,'[4]5.2 Actions'!$A$3:$D$718,4,0)</f>
        <v>0</v>
      </c>
      <c r="H423" s="252">
        <f>VLOOKUP($E423,'5.1 Budget'!$A$4:$H$729,2,0)</f>
        <v>0</v>
      </c>
      <c r="I423" s="252">
        <f>VLOOKUP($E423,'5.1 Budget'!$A$4:$H$729,3,0)</f>
        <v>0</v>
      </c>
      <c r="J423" s="252">
        <f>VLOOKUP($E423,'5.1 Budget'!$A$4:$H$729,4,0)</f>
        <v>0</v>
      </c>
      <c r="K423" s="252">
        <f>VLOOKUP($E423,'5.1 Budget'!$A$4:$H$729,5,0)</f>
        <v>0</v>
      </c>
      <c r="L423" s="252">
        <f>VLOOKUP($E423,'5.1 Budget'!$A$4:$H$729,6,0)</f>
        <v>0</v>
      </c>
      <c r="M423" s="252">
        <f>VLOOKUP($E423,'5.1 Budget'!$A$4:$H$729,7,0)</f>
        <v>0</v>
      </c>
      <c r="N423" s="252">
        <f>VLOOKUP($E423,'5.1 Budget'!$A$4:$H$729,8,0)</f>
        <v>0</v>
      </c>
      <c r="V423" t="str">
        <f>VLOOKUP(D423,'[4]1. Mesures'!$A$1:$B$116,2,0)</f>
        <v>Identifier les sources de financement pour réaliser et entretenir les dispositifs de gestion intégrer des eaux pluviales</v>
      </c>
      <c r="W423" t="str">
        <f>VLOOKUP(B423,[1]HIERARCH!$A$1:$B$57,2,0)</f>
        <v>OS 5.1: Gérer les eaux de pluie de façon intégrée  // Alternative : Replacer les eaux de pluie dans leur cycle naturel</v>
      </c>
      <c r="X423" t="str">
        <f>VLOOKUP(C423,[1]HIERARCH!$A$2:$B$57,2,0)</f>
        <v>OO 5.1.1: Encadrer la mise en œuvre de la gestion intégrée des eaux pluviales « GiEP » et développer des solutions innovantes</v>
      </c>
      <c r="Y423" t="str">
        <f t="shared" si="23"/>
        <v>Apporter les modifications légales nécessaires relatives à la mise en œuvre opérationnelle de ces nouveaux mécanismes de…</v>
      </c>
    </row>
    <row r="424" spans="1:25" hidden="1" x14ac:dyDescent="0.25">
      <c r="A424" s="249" t="str">
        <f t="shared" si="22"/>
        <v>5</v>
      </c>
      <c r="B424" s="249" t="str">
        <f>VLOOKUP($D424,'[4]1. Mesures'!$A$2:$G$116,6,0)</f>
        <v>OS 5.1</v>
      </c>
      <c r="C424" s="249" t="str">
        <f>VLOOKUP($D424,'[4]1. Mesures'!$A$2:$G$116,7,0)</f>
        <v>OO 5.1.1</v>
      </c>
      <c r="D424" s="249" t="str">
        <f t="shared" si="21"/>
        <v>M 5.3</v>
      </c>
      <c r="E424" s="250" t="s">
        <v>1116</v>
      </c>
      <c r="F424" s="249" t="str">
        <f>VLOOKUP(E424,'5.2 Actions'!$A$3:$B$720,2,0)</f>
        <v>Définir les rôles et répartition des compétences de la gestion des eaux de pluie entre les acteurs(*).
Tous les acteurs de la mise en œuvre sont déjà identifiés pour la GiEP (car implique le 0 rejet), et les responsabilités sont établies dans la plupart des cas. Il reste cependant des éléments de réseaux pluviaux (séparatif,…) pour lesquels des clarifications de prise en charge doivent être spécifiées.
Il faut ensuite vérifier si l’OCE doit être modifiée pour intégrer les résultats de ces travaux d’identification ou si un arrêté d’exécution doit être rédigé.</v>
      </c>
      <c r="G424" s="251">
        <f>VLOOKUP(E424,'[4]5.2 Actions'!$A$3:$D$718,4,0)</f>
        <v>0</v>
      </c>
      <c r="H424" s="252">
        <f>VLOOKUP($E424,'5.1 Budget'!$A$4:$H$729,2,0)</f>
        <v>0</v>
      </c>
      <c r="I424" s="252">
        <f>VLOOKUP($E424,'5.1 Budget'!$A$4:$H$729,3,0)</f>
        <v>0</v>
      </c>
      <c r="J424" s="252">
        <f>VLOOKUP($E424,'5.1 Budget'!$A$4:$H$729,4,0)</f>
        <v>0</v>
      </c>
      <c r="K424" s="252">
        <f>VLOOKUP($E424,'5.1 Budget'!$A$4:$H$729,5,0)</f>
        <v>0</v>
      </c>
      <c r="L424" s="252">
        <f>VLOOKUP($E424,'5.1 Budget'!$A$4:$H$729,6,0)</f>
        <v>0</v>
      </c>
      <c r="M424" s="252">
        <f>VLOOKUP($E424,'5.1 Budget'!$A$4:$H$729,7,0)</f>
        <v>0</v>
      </c>
      <c r="N424" s="252">
        <f>VLOOKUP($E424,'5.1 Budget'!$A$4:$H$729,8,0)</f>
        <v>0</v>
      </c>
      <c r="V424" t="str">
        <f>VLOOKUP(D424,'[4]1. Mesures'!$A$1:$B$116,2,0)</f>
        <v>Accompagner les acteurs dans le développement des compétences</v>
      </c>
      <c r="W424" t="str">
        <f>VLOOKUP(B424,[1]HIERARCH!$A$1:$B$57,2,0)</f>
        <v>OS 5.1: Gérer les eaux de pluie de façon intégrée  // Alternative : Replacer les eaux de pluie dans leur cycle naturel</v>
      </c>
      <c r="X424" t="str">
        <f>VLOOKUP(C424,[1]HIERARCH!$A$2:$B$57,2,0)</f>
        <v>OO 5.1.1: Encadrer la mise en œuvre de la gestion intégrée des eaux pluviales « GiEP » et développer des solutions innovantes</v>
      </c>
      <c r="Y424" t="str">
        <f t="shared" si="23"/>
        <v>Définir les rôles et répartition des compétences de la gestion des eaux de pluie entre les acteurs(*).
Tous les acteurs …</v>
      </c>
    </row>
    <row r="425" spans="1:25" hidden="1" x14ac:dyDescent="0.25">
      <c r="A425" s="249" t="str">
        <f t="shared" si="22"/>
        <v>5</v>
      </c>
      <c r="B425" s="249" t="str">
        <f>VLOOKUP($D425,'[4]1. Mesures'!$A$2:$G$116,6,0)</f>
        <v>OS 5.1</v>
      </c>
      <c r="C425" s="249" t="str">
        <f>VLOOKUP($D425,'[4]1. Mesures'!$A$2:$G$116,7,0)</f>
        <v>OO 5.1.1</v>
      </c>
      <c r="D425" s="249" t="str">
        <f t="shared" si="21"/>
        <v>M 5.3</v>
      </c>
      <c r="E425" s="250" t="s">
        <v>1119</v>
      </c>
      <c r="F425" s="249" t="str">
        <f>VLOOKUP(E425,'5.2 Actions'!$A$3:$B$720,2,0)</f>
        <v>Tenir à jour un inventaire de tous les acteurs concernés (Stakeholder Management Plan), identifier leurs freins, craintes et intérêts afin de cibler au mieux les actions qui leur permettront de passer le seuil de résistance au changement.</v>
      </c>
      <c r="G425" s="251">
        <f>VLOOKUP(E425,'[4]5.2 Actions'!$A$3:$D$718,4,0)</f>
        <v>0</v>
      </c>
      <c r="H425" s="252">
        <f>VLOOKUP($E425,'5.1 Budget'!$A$4:$H$729,2,0)</f>
        <v>0</v>
      </c>
      <c r="I425" s="252">
        <f>VLOOKUP($E425,'5.1 Budget'!$A$4:$H$729,3,0)</f>
        <v>0</v>
      </c>
      <c r="J425" s="252">
        <f>VLOOKUP($E425,'5.1 Budget'!$A$4:$H$729,4,0)</f>
        <v>0</v>
      </c>
      <c r="K425" s="252">
        <f>VLOOKUP($E425,'5.1 Budget'!$A$4:$H$729,5,0)</f>
        <v>0</v>
      </c>
      <c r="L425" s="252">
        <f>VLOOKUP($E425,'5.1 Budget'!$A$4:$H$729,6,0)</f>
        <v>0</v>
      </c>
      <c r="M425" s="252">
        <f>VLOOKUP($E425,'5.1 Budget'!$A$4:$H$729,7,0)</f>
        <v>0</v>
      </c>
      <c r="N425" s="252">
        <f>VLOOKUP($E425,'5.1 Budget'!$A$4:$H$729,8,0)</f>
        <v>0</v>
      </c>
      <c r="V425" t="str">
        <f>VLOOKUP(D425,'[4]1. Mesures'!$A$1:$B$116,2,0)</f>
        <v>Accompagner les acteurs dans le développement des compétences</v>
      </c>
      <c r="W425" t="str">
        <f>VLOOKUP(B425,[1]HIERARCH!$A$1:$B$57,2,0)</f>
        <v>OS 5.1: Gérer les eaux de pluie de façon intégrée  // Alternative : Replacer les eaux de pluie dans leur cycle naturel</v>
      </c>
      <c r="X425" t="str">
        <f>VLOOKUP(C425,[1]HIERARCH!$A$2:$B$57,2,0)</f>
        <v>OO 5.1.1: Encadrer la mise en œuvre de la gestion intégrée des eaux pluviales « GiEP » et développer des solutions innovantes</v>
      </c>
      <c r="Y425" t="str">
        <f t="shared" si="23"/>
        <v>Tenir à jour un inventaire de tous les acteurs concernés (Stakeholder Management Plan), identifier leurs freins, crainte…</v>
      </c>
    </row>
    <row r="426" spans="1:25" hidden="1" x14ac:dyDescent="0.25">
      <c r="A426" s="249" t="str">
        <f t="shared" si="22"/>
        <v>5</v>
      </c>
      <c r="B426" s="249" t="str">
        <f>VLOOKUP($D426,'[4]1. Mesures'!$A$2:$G$116,6,0)</f>
        <v>OS 5.1</v>
      </c>
      <c r="C426" s="249" t="str">
        <f>VLOOKUP($D426,'[4]1. Mesures'!$A$2:$G$116,7,0)</f>
        <v>OO 5.1.1</v>
      </c>
      <c r="D426" s="249" t="str">
        <f t="shared" si="21"/>
        <v>M 5.3</v>
      </c>
      <c r="E426" s="250" t="s">
        <v>1120</v>
      </c>
      <c r="F426" s="249" t="str">
        <f>VLOOKUP(E426,'5.2 Actions'!$A$3:$B$720,2,0)</f>
        <v>Accompagner les acteurs concernés (stakeholders) dans la mise en place du changement au sein de leur organisme, en commençant par identifier des personnes relais au sein de chacune d’elles.</v>
      </c>
      <c r="G426" s="251">
        <f>VLOOKUP(E426,'[4]5.2 Actions'!$A$3:$D$718,4,0)</f>
        <v>0</v>
      </c>
      <c r="H426" s="252">
        <f>VLOOKUP($E426,'5.1 Budget'!$A$4:$H$729,2,0)</f>
        <v>0</v>
      </c>
      <c r="I426" s="252">
        <f>VLOOKUP($E426,'5.1 Budget'!$A$4:$H$729,3,0)</f>
        <v>0</v>
      </c>
      <c r="J426" s="252">
        <f>VLOOKUP($E426,'5.1 Budget'!$A$4:$H$729,4,0)</f>
        <v>0</v>
      </c>
      <c r="K426" s="252">
        <f>VLOOKUP($E426,'5.1 Budget'!$A$4:$H$729,5,0)</f>
        <v>0</v>
      </c>
      <c r="L426" s="252">
        <f>VLOOKUP($E426,'5.1 Budget'!$A$4:$H$729,6,0)</f>
        <v>0</v>
      </c>
      <c r="M426" s="252">
        <f>VLOOKUP($E426,'5.1 Budget'!$A$4:$H$729,7,0)</f>
        <v>0</v>
      </c>
      <c r="N426" s="252">
        <f>VLOOKUP($E426,'5.1 Budget'!$A$4:$H$729,8,0)</f>
        <v>0</v>
      </c>
      <c r="V426" t="str">
        <f>VLOOKUP(D426,'[4]1. Mesures'!$A$1:$B$116,2,0)</f>
        <v>Accompagner les acteurs dans le développement des compétences</v>
      </c>
      <c r="W426" t="str">
        <f>VLOOKUP(B426,[1]HIERARCH!$A$1:$B$57,2,0)</f>
        <v>OS 5.1: Gérer les eaux de pluie de façon intégrée  // Alternative : Replacer les eaux de pluie dans leur cycle naturel</v>
      </c>
      <c r="X426" t="str">
        <f>VLOOKUP(C426,[1]HIERARCH!$A$2:$B$57,2,0)</f>
        <v>OO 5.1.1: Encadrer la mise en œuvre de la gestion intégrée des eaux pluviales « GiEP » et développer des solutions innovantes</v>
      </c>
      <c r="Y426" t="str">
        <f t="shared" si="23"/>
        <v>Accompagner les acteurs concernés (stakeholders) dans la mise en place du changement au sein de leur organisme, en comme…</v>
      </c>
    </row>
    <row r="427" spans="1:25" hidden="1" x14ac:dyDescent="0.25">
      <c r="A427" s="249" t="str">
        <f t="shared" si="22"/>
        <v>5</v>
      </c>
      <c r="B427" s="249" t="str">
        <f>VLOOKUP($D427,'[4]1. Mesures'!$A$2:$G$116,6,0)</f>
        <v>OS 5.1</v>
      </c>
      <c r="C427" s="249" t="str">
        <f>VLOOKUP($D427,'[4]1. Mesures'!$A$2:$G$116,7,0)</f>
        <v>OO 5.1.1</v>
      </c>
      <c r="D427" s="249" t="str">
        <f t="shared" si="21"/>
        <v>M 5.3</v>
      </c>
      <c r="E427" s="250" t="s">
        <v>1121</v>
      </c>
      <c r="F427" s="249" t="str">
        <f>VLOOKUP(E427,'5.2 Actions'!$A$3:$B$720,2,0)</f>
        <v>Emettre des conseils et des guidances techniques dans le cadre de nouveaux projets d’aménagement du territoire : espaces public (communes, STIB, Bruxelles Mobilité, Perspectives, Urban…) et privé (lotisseurs, bureau d’étude, entrepreneurs,…) en collaboration avec le Facilitateur Eau.
Offrir aux professionnels un accès facilité à des réponses techniques « sur mesure ».</v>
      </c>
      <c r="G427" s="251">
        <f>VLOOKUP(E427,'[4]5.2 Actions'!$A$3:$D$718,4,0)</f>
        <v>0</v>
      </c>
      <c r="H427" s="252">
        <f>VLOOKUP($E427,'5.1 Budget'!$A$4:$H$729,2,0)</f>
        <v>130000</v>
      </c>
      <c r="I427" s="252">
        <f>VLOOKUP($E427,'5.1 Budget'!$A$4:$H$729,3,0)</f>
        <v>130000</v>
      </c>
      <c r="J427" s="252">
        <f>VLOOKUP($E427,'5.1 Budget'!$A$4:$H$729,4,0)</f>
        <v>130000</v>
      </c>
      <c r="K427" s="252">
        <f>VLOOKUP($E427,'5.1 Budget'!$A$4:$H$729,5,0)</f>
        <v>130000</v>
      </c>
      <c r="L427" s="252">
        <f>VLOOKUP($E427,'5.1 Budget'!$A$4:$H$729,6,0)</f>
        <v>130000</v>
      </c>
      <c r="M427" s="252">
        <f>VLOOKUP($E427,'5.1 Budget'!$A$4:$H$729,7,0)</f>
        <v>130000</v>
      </c>
      <c r="N427" s="252">
        <f>VLOOKUP($E427,'5.1 Budget'!$A$4:$H$729,8,0)</f>
        <v>780000</v>
      </c>
      <c r="V427" t="str">
        <f>VLOOKUP(D427,'[4]1. Mesures'!$A$1:$B$116,2,0)</f>
        <v>Accompagner les acteurs dans le développement des compétences</v>
      </c>
      <c r="W427" t="str">
        <f>VLOOKUP(B427,[1]HIERARCH!$A$1:$B$57,2,0)</f>
        <v>OS 5.1: Gérer les eaux de pluie de façon intégrée  // Alternative : Replacer les eaux de pluie dans leur cycle naturel</v>
      </c>
      <c r="X427" t="str">
        <f>VLOOKUP(C427,[1]HIERARCH!$A$2:$B$57,2,0)</f>
        <v>OO 5.1.1: Encadrer la mise en œuvre de la gestion intégrée des eaux pluviales « GiEP » et développer des solutions innovantes</v>
      </c>
      <c r="Y427" t="str">
        <f t="shared" si="23"/>
        <v>Emettre des conseils et des guidances techniques dans le cadre de nouveaux projets d’aménagement du territoire : espaces…</v>
      </c>
    </row>
    <row r="428" spans="1:25" hidden="1" x14ac:dyDescent="0.25">
      <c r="A428" s="249" t="str">
        <f t="shared" si="22"/>
        <v>5</v>
      </c>
      <c r="B428" s="249" t="str">
        <f>VLOOKUP($D428,'[4]1. Mesures'!$A$2:$G$116,6,0)</f>
        <v>OS 5.1</v>
      </c>
      <c r="C428" s="249" t="str">
        <f>VLOOKUP($D428,'[4]1. Mesures'!$A$2:$G$116,7,0)</f>
        <v>OO 5.1.1</v>
      </c>
      <c r="D428" s="249" t="str">
        <f t="shared" si="21"/>
        <v>M 5.3</v>
      </c>
      <c r="E428" s="250" t="s">
        <v>1122</v>
      </c>
      <c r="F428" s="249" t="str">
        <f>VLOOKUP(E428,'5.2 Actions'!$A$3:$B$720,2,0)</f>
        <v>Concevoir, diffuser des outils (tableurs de calcul, guide de conception,…) et le cas échéant, revoir en collaboration les outils régionaux existants (ex. Manuels de conception) ou en développer de nouveaux pour aider les questions de mise en œuvre de la GIEP  et autres mesures de résilience climatique liées à la gestion de l’eau.</v>
      </c>
      <c r="G428" s="251">
        <f>VLOOKUP(E428,'[4]5.2 Actions'!$A$3:$D$718,4,0)</f>
        <v>0</v>
      </c>
      <c r="H428" s="252">
        <f>VLOOKUP($E428,'5.1 Budget'!$A$4:$H$729,2,0)</f>
        <v>30000</v>
      </c>
      <c r="I428" s="252">
        <f>VLOOKUP($E428,'5.1 Budget'!$A$4:$H$729,3,0)</f>
        <v>5000</v>
      </c>
      <c r="J428" s="252">
        <f>VLOOKUP($E428,'5.1 Budget'!$A$4:$H$729,4,0)</f>
        <v>5000</v>
      </c>
      <c r="K428" s="252">
        <f>VLOOKUP($E428,'5.1 Budget'!$A$4:$H$729,5,0)</f>
        <v>30000</v>
      </c>
      <c r="L428" s="252">
        <f>VLOOKUP($E428,'5.1 Budget'!$A$4:$H$729,6,0)</f>
        <v>5000</v>
      </c>
      <c r="M428" s="252">
        <f>VLOOKUP($E428,'5.1 Budget'!$A$4:$H$729,7,0)</f>
        <v>5000</v>
      </c>
      <c r="N428" s="252">
        <f>VLOOKUP($E428,'5.1 Budget'!$A$4:$H$729,8,0)</f>
        <v>80000</v>
      </c>
      <c r="V428" t="str">
        <f>VLOOKUP(D428,'[4]1. Mesures'!$A$1:$B$116,2,0)</f>
        <v>Accompagner les acteurs dans le développement des compétences</v>
      </c>
      <c r="W428" t="str">
        <f>VLOOKUP(B428,[1]HIERARCH!$A$1:$B$57,2,0)</f>
        <v>OS 5.1: Gérer les eaux de pluie de façon intégrée  // Alternative : Replacer les eaux de pluie dans leur cycle naturel</v>
      </c>
      <c r="X428" t="str">
        <f>VLOOKUP(C428,[1]HIERARCH!$A$2:$B$57,2,0)</f>
        <v>OO 5.1.1: Encadrer la mise en œuvre de la gestion intégrée des eaux pluviales « GiEP » et développer des solutions innovantes</v>
      </c>
      <c r="Y428" t="str">
        <f t="shared" si="23"/>
        <v>Concevoir, diffuser des outils (tableurs de calcul, guide de conception,…) et le cas échéant, revoir en collaboration le…</v>
      </c>
    </row>
    <row r="429" spans="1:25" hidden="1" x14ac:dyDescent="0.25">
      <c r="A429" s="249" t="str">
        <f t="shared" si="22"/>
        <v>5</v>
      </c>
      <c r="B429" s="249" t="str">
        <f>VLOOKUP($D429,'[4]1. Mesures'!$A$2:$G$116,6,0)</f>
        <v>OS 5.1</v>
      </c>
      <c r="C429" s="249" t="str">
        <f>VLOOKUP($D429,'[4]1. Mesures'!$A$2:$G$116,7,0)</f>
        <v>OO 5.1.1</v>
      </c>
      <c r="D429" s="249" t="str">
        <f t="shared" si="21"/>
        <v>M 5.3</v>
      </c>
      <c r="E429" s="250" t="s">
        <v>1123</v>
      </c>
      <c r="F429" s="249" t="str">
        <f>VLOOKUP(E429,'5.2 Actions'!$A$3:$B$720,2,0)</f>
        <v>Rédiger, diffuser et mettre à jour des fiches techniques pour aider les questions de mise en œuvre de la GIEP et autres mesures de résilience climatique liée à la gestion de l’eau (via le site internet du Guide Bâtiment durable et des FAQ disponibles sur le site EAU de BE).</v>
      </c>
      <c r="G429" s="251">
        <f>VLOOKUP(E429,'[4]5.2 Actions'!$A$3:$D$718,4,0)</f>
        <v>0</v>
      </c>
      <c r="H429" s="252">
        <f>VLOOKUP($E429,'5.1 Budget'!$A$4:$H$729,2,0)</f>
        <v>0</v>
      </c>
      <c r="I429" s="252">
        <f>VLOOKUP($E429,'5.1 Budget'!$A$4:$H$729,3,0)</f>
        <v>0</v>
      </c>
      <c r="J429" s="252">
        <f>VLOOKUP($E429,'5.1 Budget'!$A$4:$H$729,4,0)</f>
        <v>0</v>
      </c>
      <c r="K429" s="252">
        <f>VLOOKUP($E429,'5.1 Budget'!$A$4:$H$729,5,0)</f>
        <v>0</v>
      </c>
      <c r="L429" s="252">
        <f>VLOOKUP($E429,'5.1 Budget'!$A$4:$H$729,6,0)</f>
        <v>0</v>
      </c>
      <c r="M429" s="252">
        <f>VLOOKUP($E429,'5.1 Budget'!$A$4:$H$729,7,0)</f>
        <v>0</v>
      </c>
      <c r="N429" s="252">
        <f>VLOOKUP($E429,'5.1 Budget'!$A$4:$H$729,8,0)</f>
        <v>0</v>
      </c>
      <c r="V429" t="str">
        <f>VLOOKUP(D429,'[4]1. Mesures'!$A$1:$B$116,2,0)</f>
        <v>Accompagner les acteurs dans le développement des compétences</v>
      </c>
      <c r="W429" t="str">
        <f>VLOOKUP(B429,[1]HIERARCH!$A$1:$B$57,2,0)</f>
        <v>OS 5.1: Gérer les eaux de pluie de façon intégrée  // Alternative : Replacer les eaux de pluie dans leur cycle naturel</v>
      </c>
      <c r="X429" t="str">
        <f>VLOOKUP(C429,[1]HIERARCH!$A$2:$B$57,2,0)</f>
        <v>OO 5.1.1: Encadrer la mise en œuvre de la gestion intégrée des eaux pluviales « GiEP » et développer des solutions innovantes</v>
      </c>
      <c r="Y429" t="str">
        <f t="shared" si="23"/>
        <v>Rédiger, diffuser et mettre à jour des fiches techniques pour aider les questions de mise en œuvre de la GIEP et autres …</v>
      </c>
    </row>
    <row r="430" spans="1:25" hidden="1" x14ac:dyDescent="0.25">
      <c r="A430" s="249" t="str">
        <f t="shared" si="22"/>
        <v>5</v>
      </c>
      <c r="B430" s="249" t="str">
        <f>VLOOKUP($D430,'[4]1. Mesures'!$A$2:$G$116,6,0)</f>
        <v>OS 5.1</v>
      </c>
      <c r="C430" s="249" t="str">
        <f>VLOOKUP($D430,'[4]1. Mesures'!$A$2:$G$116,7,0)</f>
        <v>OO 5.1.1</v>
      </c>
      <c r="D430" s="249" t="str">
        <f t="shared" si="21"/>
        <v>M 5.3</v>
      </c>
      <c r="E430" s="250" t="s">
        <v>1124</v>
      </c>
      <c r="F430" s="249" t="str">
        <f>VLOOKUP(E430,'5.2 Actions'!$A$3:$B$720,2,0)</f>
        <v>Mettre en place un accompagnement spécifique avec Bruxelles Mobilité pour que les porteurs de projet et le service entretien systématisent la prise en compte de la GiEP et autres mesures de résilience climatique liées à la gestion de l’eau.</v>
      </c>
      <c r="G430" s="251">
        <f>VLOOKUP(E430,'[4]5.2 Actions'!$A$3:$D$718,4,0)</f>
        <v>0</v>
      </c>
      <c r="H430" s="252">
        <f>VLOOKUP($E430,'5.1 Budget'!$A$4:$H$729,2,0)</f>
        <v>0</v>
      </c>
      <c r="I430" s="252">
        <f>VLOOKUP($E430,'5.1 Budget'!$A$4:$H$729,3,0)</f>
        <v>0</v>
      </c>
      <c r="J430" s="252">
        <f>VLOOKUP($E430,'5.1 Budget'!$A$4:$H$729,4,0)</f>
        <v>0</v>
      </c>
      <c r="K430" s="252">
        <f>VLOOKUP($E430,'5.1 Budget'!$A$4:$H$729,5,0)</f>
        <v>0</v>
      </c>
      <c r="L430" s="252">
        <f>VLOOKUP($E430,'5.1 Budget'!$A$4:$H$729,6,0)</f>
        <v>0</v>
      </c>
      <c r="M430" s="252">
        <f>VLOOKUP($E430,'5.1 Budget'!$A$4:$H$729,7,0)</f>
        <v>0</v>
      </c>
      <c r="N430" s="252">
        <f>VLOOKUP($E430,'5.1 Budget'!$A$4:$H$729,8,0)</f>
        <v>0</v>
      </c>
      <c r="V430" t="str">
        <f>VLOOKUP(D430,'[4]1. Mesures'!$A$1:$B$116,2,0)</f>
        <v>Accompagner les acteurs dans le développement des compétences</v>
      </c>
      <c r="W430" t="str">
        <f>VLOOKUP(B430,[1]HIERARCH!$A$1:$B$57,2,0)</f>
        <v>OS 5.1: Gérer les eaux de pluie de façon intégrée  // Alternative : Replacer les eaux de pluie dans leur cycle naturel</v>
      </c>
      <c r="X430" t="str">
        <f>VLOOKUP(C430,[1]HIERARCH!$A$2:$B$57,2,0)</f>
        <v>OO 5.1.1: Encadrer la mise en œuvre de la gestion intégrée des eaux pluviales « GiEP » et développer des solutions innovantes</v>
      </c>
      <c r="Y430" t="str">
        <f t="shared" si="23"/>
        <v>Mettre en place un accompagnement spécifique avec Bruxelles Mobilité pour que les porteurs de projet et le service entre…</v>
      </c>
    </row>
    <row r="431" spans="1:25" hidden="1" x14ac:dyDescent="0.25">
      <c r="A431" s="249" t="str">
        <f t="shared" si="22"/>
        <v>5</v>
      </c>
      <c r="B431" s="249" t="str">
        <f>VLOOKUP($D431,'[4]1. Mesures'!$A$2:$G$116,6,0)</f>
        <v>OS 5.1</v>
      </c>
      <c r="C431" s="249" t="str">
        <f>VLOOKUP($D431,'[4]1. Mesures'!$A$2:$G$116,7,0)</f>
        <v>OO 5.1.1</v>
      </c>
      <c r="D431" s="249" t="str">
        <f t="shared" si="21"/>
        <v>M 5.3</v>
      </c>
      <c r="E431" s="250" t="s">
        <v>1125</v>
      </c>
      <c r="F431" s="249" t="str">
        <f>VLOOKUP(E431,'5.2 Actions'!$A$3:$B$720,2,0)</f>
        <v>Poursuivre et amplifier l’effet de réseau d’expertise en développement des conseillers communaux « Eau », avec une représentation dans chaque commune et avec un rôle légitimé auprès des autres agents communaux, et notamment :
·        Poursuivre la mise en réseau pour partage d’expériences
·        Mettre en place un accompagnement rapproché (ateliers sur les projets concrets, retour des expériences réalisées avec le facilitateur, construction d’outils répondant aux besoins) pour que les porteurs de projet systématisent la prise en compte de la GIEP et autres mesures de résilience climatique liées à la gestion de l’eau.</v>
      </c>
      <c r="G431" s="251">
        <f>VLOOKUP(E431,'[4]5.2 Actions'!$A$3:$D$718,4,0)</f>
        <v>0</v>
      </c>
      <c r="H431" s="252">
        <f>VLOOKUP($E431,'5.1 Budget'!$A$4:$H$729,2,0)</f>
        <v>10000</v>
      </c>
      <c r="I431" s="252">
        <f>VLOOKUP($E431,'5.1 Budget'!$A$4:$H$729,3,0)</f>
        <v>10000</v>
      </c>
      <c r="J431" s="252">
        <f>VLOOKUP($E431,'5.1 Budget'!$A$4:$H$729,4,0)</f>
        <v>10000</v>
      </c>
      <c r="K431" s="252">
        <f>VLOOKUP($E431,'5.1 Budget'!$A$4:$H$729,5,0)</f>
        <v>10000</v>
      </c>
      <c r="L431" s="252">
        <f>VLOOKUP($E431,'5.1 Budget'!$A$4:$H$729,6,0)</f>
        <v>10000</v>
      </c>
      <c r="M431" s="252">
        <f>VLOOKUP($E431,'5.1 Budget'!$A$4:$H$729,7,0)</f>
        <v>10000</v>
      </c>
      <c r="N431" s="252">
        <f>VLOOKUP($E431,'5.1 Budget'!$A$4:$H$729,8,0)</f>
        <v>60000</v>
      </c>
      <c r="V431" t="str">
        <f>VLOOKUP(D431,'[4]1. Mesures'!$A$1:$B$116,2,0)</f>
        <v>Accompagner les acteurs dans le développement des compétences</v>
      </c>
      <c r="W431" t="str">
        <f>VLOOKUP(B431,[1]HIERARCH!$A$1:$B$57,2,0)</f>
        <v>OS 5.1: Gérer les eaux de pluie de façon intégrée  // Alternative : Replacer les eaux de pluie dans leur cycle naturel</v>
      </c>
      <c r="X431" t="str">
        <f>VLOOKUP(C431,[1]HIERARCH!$A$2:$B$57,2,0)</f>
        <v>OO 5.1.1: Encadrer la mise en œuvre de la gestion intégrée des eaux pluviales « GiEP » et développer des solutions innovantes</v>
      </c>
      <c r="Y431" t="str">
        <f t="shared" si="23"/>
        <v>Poursuivre et amplifier l’effet de réseau d’expertise en développement des conseillers communaux « Eau », avec une repré…</v>
      </c>
    </row>
    <row r="432" spans="1:25" hidden="1" x14ac:dyDescent="0.25">
      <c r="A432" s="249" t="str">
        <f t="shared" si="22"/>
        <v>5</v>
      </c>
      <c r="B432" s="249" t="str">
        <f>VLOOKUP($D432,'[4]1. Mesures'!$A$2:$G$116,6,0)</f>
        <v>OS 5.1</v>
      </c>
      <c r="C432" s="249" t="str">
        <f>VLOOKUP($D432,'[4]1. Mesures'!$A$2:$G$116,7,0)</f>
        <v>OO 5.1.1</v>
      </c>
      <c r="D432" s="249" t="str">
        <f t="shared" si="21"/>
        <v>M 5.3</v>
      </c>
      <c r="E432" s="250" t="s">
        <v>1126</v>
      </c>
      <c r="F432" s="249" t="str">
        <f>VLOOKUP(E432,'5.2 Actions'!$A$3:$B$720,2,0)</f>
        <v>Accompagner les pouvoirs organisateurs des écoles dans une stratégie de végétalisation et de gestion durable des eaux pluviales (déminéralisation,…), notamment par :
-        Diffusion des bonnes pratiques (Guide,…)
-        Formation aux associations actives à l’appui aux écoles ;
-        Soutien financier via appel à projet dédié pour le  (ré) aménagements des cours d’école (« Ré-création ») « Voir M.8.5 »
-        Accompagnement des bureaux d’études mandatés par les pouvoirs organisateurs d’une 20aine d’écoles via un pool multiexperts
Il s’agit de poursuivre les actions en cours de soutien aux écoles pour de la déminéralisation.</v>
      </c>
      <c r="G432" s="251">
        <f>VLOOKUP(E432,'[4]5.2 Actions'!$A$3:$D$718,4,0)</f>
        <v>0</v>
      </c>
      <c r="H432" s="252">
        <f>VLOOKUP($E432,'5.1 Budget'!$A$4:$H$729,2,0)</f>
        <v>410000</v>
      </c>
      <c r="I432" s="252">
        <f>VLOOKUP($E432,'5.1 Budget'!$A$4:$H$729,3,0)</f>
        <v>410000</v>
      </c>
      <c r="J432" s="252">
        <f>VLOOKUP($E432,'5.1 Budget'!$A$4:$H$729,4,0)</f>
        <v>0</v>
      </c>
      <c r="K432" s="252">
        <f>VLOOKUP($E432,'5.1 Budget'!$A$4:$H$729,5,0)</f>
        <v>0</v>
      </c>
      <c r="L432" s="252">
        <f>VLOOKUP($E432,'5.1 Budget'!$A$4:$H$729,6,0)</f>
        <v>0</v>
      </c>
      <c r="M432" s="252">
        <f>VLOOKUP($E432,'5.1 Budget'!$A$4:$H$729,7,0)</f>
        <v>0</v>
      </c>
      <c r="N432" s="252">
        <f>VLOOKUP($E432,'5.1 Budget'!$A$4:$H$729,8,0)</f>
        <v>820000</v>
      </c>
      <c r="V432" t="str">
        <f>VLOOKUP(D432,'[4]1. Mesures'!$A$1:$B$116,2,0)</f>
        <v>Accompagner les acteurs dans le développement des compétences</v>
      </c>
      <c r="W432" t="str">
        <f>VLOOKUP(B432,[1]HIERARCH!$A$1:$B$57,2,0)</f>
        <v>OS 5.1: Gérer les eaux de pluie de façon intégrée  // Alternative : Replacer les eaux de pluie dans leur cycle naturel</v>
      </c>
      <c r="X432" t="str">
        <f>VLOOKUP(C432,[1]HIERARCH!$A$2:$B$57,2,0)</f>
        <v>OO 5.1.1: Encadrer la mise en œuvre de la gestion intégrée des eaux pluviales « GiEP » et développer des solutions innovantes</v>
      </c>
      <c r="Y432" t="str">
        <f t="shared" si="23"/>
        <v>Accompagner les pouvoirs organisateurs des écoles dans une stratégie de végétalisation et de gestion durable des eaux pl…</v>
      </c>
    </row>
    <row r="433" spans="1:25" hidden="1" x14ac:dyDescent="0.25">
      <c r="A433" s="249" t="str">
        <f t="shared" si="22"/>
        <v>5</v>
      </c>
      <c r="B433" s="249" t="str">
        <f>VLOOKUP($D433,'[4]1. Mesures'!$A$2:$G$116,6,0)</f>
        <v>OS 5.1</v>
      </c>
      <c r="C433" s="249" t="str">
        <f>VLOOKUP($D433,'[4]1. Mesures'!$A$2:$G$116,7,0)</f>
        <v>OO 5.1.1</v>
      </c>
      <c r="D433" s="249" t="str">
        <f t="shared" si="21"/>
        <v>M 5.3</v>
      </c>
      <c r="E433" s="250" t="s">
        <v>1117</v>
      </c>
      <c r="F433" s="249" t="str">
        <f>VLOOKUP(E433,'5.2 Actions'!$A$3:$B$720,2,0)</f>
        <v>Intégrer la thématique « GIEP-résilience climatique » dans les programmes existants qui visent la mise à niveau des secteurs professionnels et métiers de la construction-rénovation-parcs et jardins (entrepreneurs, jardiniers, architectes,…)</v>
      </c>
      <c r="G433" s="251">
        <f>VLOOKUP(E433,'[4]5.2 Actions'!$A$3:$D$718,4,0)</f>
        <v>0</v>
      </c>
      <c r="H433" s="252">
        <f>VLOOKUP($E433,'5.1 Budget'!$A$4:$H$729,2,0)</f>
        <v>0</v>
      </c>
      <c r="I433" s="252">
        <f>VLOOKUP($E433,'5.1 Budget'!$A$4:$H$729,3,0)</f>
        <v>0</v>
      </c>
      <c r="J433" s="252">
        <f>VLOOKUP($E433,'5.1 Budget'!$A$4:$H$729,4,0)</f>
        <v>0</v>
      </c>
      <c r="K433" s="252">
        <f>VLOOKUP($E433,'5.1 Budget'!$A$4:$H$729,5,0)</f>
        <v>0</v>
      </c>
      <c r="L433" s="252">
        <f>VLOOKUP($E433,'5.1 Budget'!$A$4:$H$729,6,0)</f>
        <v>0</v>
      </c>
      <c r="M433" s="252">
        <f>VLOOKUP($E433,'5.1 Budget'!$A$4:$H$729,7,0)</f>
        <v>0</v>
      </c>
      <c r="N433" s="252">
        <f>VLOOKUP($E433,'5.1 Budget'!$A$4:$H$729,8,0)</f>
        <v>0</v>
      </c>
      <c r="V433" t="str">
        <f>VLOOKUP(D433,'[4]1. Mesures'!$A$1:$B$116,2,0)</f>
        <v>Accompagner les acteurs dans le développement des compétences</v>
      </c>
      <c r="W433" t="str">
        <f>VLOOKUP(B433,[1]HIERARCH!$A$1:$B$57,2,0)</f>
        <v>OS 5.1: Gérer les eaux de pluie de façon intégrée  // Alternative : Replacer les eaux de pluie dans leur cycle naturel</v>
      </c>
      <c r="X433" t="str">
        <f>VLOOKUP(C433,[1]HIERARCH!$A$2:$B$57,2,0)</f>
        <v>OO 5.1.1: Encadrer la mise en œuvre de la gestion intégrée des eaux pluviales « GiEP » et développer des solutions innovantes</v>
      </c>
      <c r="Y433" t="str">
        <f t="shared" si="23"/>
        <v>Intégrer la thématique « GIEP-résilience climatique » dans les programmes existants qui visent la mise à niveau des sect…</v>
      </c>
    </row>
    <row r="434" spans="1:25" hidden="1" x14ac:dyDescent="0.25">
      <c r="A434" s="249" t="str">
        <f t="shared" si="22"/>
        <v>5</v>
      </c>
      <c r="B434" s="249" t="str">
        <f>VLOOKUP($D434,'[4]1. Mesures'!$A$2:$G$116,6,0)</f>
        <v>OS 5.1</v>
      </c>
      <c r="C434" s="249" t="str">
        <f>VLOOKUP($D434,'[4]1. Mesures'!$A$2:$G$116,7,0)</f>
        <v>OO 5.1.1</v>
      </c>
      <c r="D434" s="249" t="str">
        <f t="shared" si="21"/>
        <v>M 5.3</v>
      </c>
      <c r="E434" s="250" t="s">
        <v>1118</v>
      </c>
      <c r="F434" s="249" t="str">
        <f>VLOOKUP(E434,'5.2 Actions'!$A$3:$B$720,2,0)</f>
        <v>Envisager la mise en place d’un service gratuit de conseils ou d’accompagnement technique à la mise en œuvre de la GIEP (et à la gestion durable de l’eau) à destination des particuliers (*).</v>
      </c>
      <c r="G434" s="251">
        <f>VLOOKUP(E434,'[4]5.2 Actions'!$A$3:$D$718,4,0)</f>
        <v>0</v>
      </c>
      <c r="H434" s="252">
        <f>VLOOKUP($E434,'5.1 Budget'!$A$4:$H$729,2,0)</f>
        <v>0</v>
      </c>
      <c r="I434" s="252">
        <f>VLOOKUP($E434,'5.1 Budget'!$A$4:$H$729,3,0)</f>
        <v>0</v>
      </c>
      <c r="J434" s="252">
        <f>VLOOKUP($E434,'5.1 Budget'!$A$4:$H$729,4,0)</f>
        <v>0</v>
      </c>
      <c r="K434" s="252">
        <f>VLOOKUP($E434,'5.1 Budget'!$A$4:$H$729,5,0)</f>
        <v>0</v>
      </c>
      <c r="L434" s="252">
        <f>VLOOKUP($E434,'5.1 Budget'!$A$4:$H$729,6,0)</f>
        <v>0</v>
      </c>
      <c r="M434" s="252">
        <f>VLOOKUP($E434,'5.1 Budget'!$A$4:$H$729,7,0)</f>
        <v>0</v>
      </c>
      <c r="N434" s="252">
        <f>VLOOKUP($E434,'5.1 Budget'!$A$4:$H$729,8,0)</f>
        <v>0</v>
      </c>
      <c r="V434" t="str">
        <f>VLOOKUP(D434,'[4]1. Mesures'!$A$1:$B$116,2,0)</f>
        <v>Accompagner les acteurs dans le développement des compétences</v>
      </c>
      <c r="W434" t="str">
        <f>VLOOKUP(B434,[1]HIERARCH!$A$1:$B$57,2,0)</f>
        <v>OS 5.1: Gérer les eaux de pluie de façon intégrée  // Alternative : Replacer les eaux de pluie dans leur cycle naturel</v>
      </c>
      <c r="X434" t="str">
        <f>VLOOKUP(C434,[1]HIERARCH!$A$2:$B$57,2,0)</f>
        <v>OO 5.1.1: Encadrer la mise en œuvre de la gestion intégrée des eaux pluviales « GiEP » et développer des solutions innovantes</v>
      </c>
      <c r="Y434" t="str">
        <f t="shared" si="23"/>
        <v>Envisager la mise en place d’un service gratuit de conseils ou d’accompagnement technique à la mise en œuvre de la GIEP …</v>
      </c>
    </row>
    <row r="435" spans="1:25" hidden="1" x14ac:dyDescent="0.25">
      <c r="A435" s="249" t="str">
        <f t="shared" si="22"/>
        <v>5</v>
      </c>
      <c r="B435" s="249" t="str">
        <f>VLOOKUP($D435,'[4]1. Mesures'!$A$2:$G$116,6,0)</f>
        <v>OS 5.1</v>
      </c>
      <c r="C435" s="249" t="str">
        <f>VLOOKUP($D435,'[4]1. Mesures'!$A$2:$G$116,7,0)</f>
        <v>OO 5.1.2</v>
      </c>
      <c r="D435" s="249" t="str">
        <f t="shared" si="21"/>
        <v>M 5.4</v>
      </c>
      <c r="E435" s="250" t="s">
        <v>417</v>
      </c>
      <c r="F435" s="249" t="str">
        <f>VLOOKUP(E435,'5.2 Actions'!$A$3:$B$720,2,0)</f>
        <v>Établir et mettre en œuvre une stratégie de déminéralisation et de végétalisation (plantation et entretien)  en voirie tenant compte de la gestion de l’eau</v>
      </c>
      <c r="G435" s="251" t="str">
        <f>VLOOKUP(E435,'[4]5.2 Actions'!$A$3:$D$718,4,0)</f>
        <v>SEN / WOL / CAN</v>
      </c>
      <c r="H435" s="252">
        <f>VLOOKUP($E435,'5.1 Budget'!$A$4:$H$729,2,0)</f>
        <v>0</v>
      </c>
      <c r="I435" s="252">
        <f>VLOOKUP($E435,'5.1 Budget'!$A$4:$H$729,3,0)</f>
        <v>0</v>
      </c>
      <c r="J435" s="252">
        <f>VLOOKUP($E435,'5.1 Budget'!$A$4:$H$729,4,0)</f>
        <v>0</v>
      </c>
      <c r="K435" s="252">
        <f>VLOOKUP($E435,'5.1 Budget'!$A$4:$H$729,5,0)</f>
        <v>0</v>
      </c>
      <c r="L435" s="252">
        <f>VLOOKUP($E435,'5.1 Budget'!$A$4:$H$729,6,0)</f>
        <v>0</v>
      </c>
      <c r="M435" s="252">
        <f>VLOOKUP($E435,'5.1 Budget'!$A$4:$H$729,7,0)</f>
        <v>0</v>
      </c>
      <c r="N435" s="252">
        <f>VLOOKUP($E435,'5.1 Budget'!$A$4:$H$729,8,0)</f>
        <v>0</v>
      </c>
      <c r="V435" t="str">
        <f>VLOOKUP(D435,'[4]1. Mesures'!$A$1:$B$116,2,0)</f>
        <v>Mettre en œuvre la GiEP dans l'espace public et privé, ainsi que les autres mesures de résilience climatique liées à la gestion de l’eau</v>
      </c>
      <c r="W435" t="str">
        <f>VLOOKUP(B435,[1]HIERARCH!$A$1:$B$57,2,0)</f>
        <v>OS 5.1: Gérer les eaux de pluie de façon intégrée  // Alternative : Replacer les eaux de pluie dans leur cycle naturel</v>
      </c>
      <c r="X435" t="str">
        <f>VLOOKUP(C435,[1]HIERARCH!$A$2:$B$57,2,0)</f>
        <v>OO 5.1.2: Mettre en œuvre la GiEP et en assurer la pérennisation</v>
      </c>
      <c r="Y435" t="str">
        <f t="shared" si="23"/>
        <v>Établir et mettre en œuvre une stratégie de déminéralisation et de végétalisation (plantation et entretien)  en voirie t…</v>
      </c>
    </row>
    <row r="436" spans="1:25" hidden="1" x14ac:dyDescent="0.25">
      <c r="A436" s="249" t="str">
        <f t="shared" si="22"/>
        <v>5</v>
      </c>
      <c r="B436" s="249" t="str">
        <f>VLOOKUP($D436,'[4]1. Mesures'!$A$2:$G$116,6,0)</f>
        <v>OS 5.1</v>
      </c>
      <c r="C436" s="249" t="str">
        <f>VLOOKUP($D436,'[4]1. Mesures'!$A$2:$G$116,7,0)</f>
        <v>OO 5.1.2</v>
      </c>
      <c r="D436" s="249" t="str">
        <f t="shared" si="21"/>
        <v>M 5.4</v>
      </c>
      <c r="E436" s="250" t="s">
        <v>418</v>
      </c>
      <c r="F436" s="249" t="str">
        <f>VLOOKUP(E436,'5.2 Actions'!$A$3:$B$720,2,0)</f>
        <v>Intégrer les prescriptions techniques des ouvrages et revêtements nécessaires à la mise en œuvre de la GIEP dans le Cahier des Charges Type Travaux (CCT)</v>
      </c>
      <c r="G436" s="251" t="str">
        <f>VLOOKUP(E436,'[4]5.2 Actions'!$A$3:$D$718,4,0)</f>
        <v>SEN / WOL / CAN</v>
      </c>
      <c r="H436" s="252">
        <f>VLOOKUP($E436,'5.1 Budget'!$A$4:$H$729,2,0)</f>
        <v>0</v>
      </c>
      <c r="I436" s="252">
        <f>VLOOKUP($E436,'5.1 Budget'!$A$4:$H$729,3,0)</f>
        <v>0</v>
      </c>
      <c r="J436" s="252">
        <f>VLOOKUP($E436,'5.1 Budget'!$A$4:$H$729,4,0)</f>
        <v>0</v>
      </c>
      <c r="K436" s="252">
        <f>VLOOKUP($E436,'5.1 Budget'!$A$4:$H$729,5,0)</f>
        <v>0</v>
      </c>
      <c r="L436" s="252">
        <f>VLOOKUP($E436,'5.1 Budget'!$A$4:$H$729,6,0)</f>
        <v>0</v>
      </c>
      <c r="M436" s="252">
        <f>VLOOKUP($E436,'5.1 Budget'!$A$4:$H$729,7,0)</f>
        <v>0</v>
      </c>
      <c r="N436" s="252">
        <f>VLOOKUP($E436,'5.1 Budget'!$A$4:$H$729,8,0)</f>
        <v>0</v>
      </c>
      <c r="V436" t="str">
        <f>VLOOKUP(D436,'[4]1. Mesures'!$A$1:$B$116,2,0)</f>
        <v>Mettre en œuvre la GiEP dans l'espace public et privé, ainsi que les autres mesures de résilience climatique liées à la gestion de l’eau</v>
      </c>
      <c r="W436" t="str">
        <f>VLOOKUP(B436,[1]HIERARCH!$A$1:$B$57,2,0)</f>
        <v>OS 5.1: Gérer les eaux de pluie de façon intégrée  // Alternative : Replacer les eaux de pluie dans leur cycle naturel</v>
      </c>
      <c r="X436" t="str">
        <f>VLOOKUP(C436,[1]HIERARCH!$A$2:$B$57,2,0)</f>
        <v>OO 5.1.2: Mettre en œuvre la GiEP et en assurer la pérennisation</v>
      </c>
      <c r="Y436" t="str">
        <f t="shared" si="23"/>
        <v>Intégrer les prescriptions techniques des ouvrages et revêtements nécessaires à la mise en œuvre de la GIEP dans le Cahi…</v>
      </c>
    </row>
    <row r="437" spans="1:25" hidden="1" x14ac:dyDescent="0.25">
      <c r="A437" s="249" t="str">
        <f t="shared" si="22"/>
        <v>5</v>
      </c>
      <c r="B437" s="249" t="str">
        <f>VLOOKUP($D437,'[4]1. Mesures'!$A$2:$G$116,6,0)</f>
        <v>OS 5.1</v>
      </c>
      <c r="C437" s="249" t="str">
        <f>VLOOKUP($D437,'[4]1. Mesures'!$A$2:$G$116,7,0)</f>
        <v>OO 5.1.2</v>
      </c>
      <c r="D437" s="249" t="str">
        <f t="shared" si="21"/>
        <v>M 5.4</v>
      </c>
      <c r="E437" s="250" t="s">
        <v>423</v>
      </c>
      <c r="F437" s="249" t="str">
        <f>VLOOKUP(E437,'5.2 Actions'!$A$3:$B$720,2,0)</f>
        <v>Etablir un cadre régional pour faciliter et inciter les déconnexions de particuliers</v>
      </c>
      <c r="G437" s="251">
        <f>VLOOKUP(E437,'[4]5.2 Actions'!$A$3:$D$718,4,0)</f>
        <v>0</v>
      </c>
      <c r="H437" s="252">
        <f>VLOOKUP($E437,'5.1 Budget'!$A$4:$H$729,2,0)</f>
        <v>0</v>
      </c>
      <c r="I437" s="252">
        <f>VLOOKUP($E437,'5.1 Budget'!$A$4:$H$729,3,0)</f>
        <v>0</v>
      </c>
      <c r="J437" s="252">
        <f>VLOOKUP($E437,'5.1 Budget'!$A$4:$H$729,4,0)</f>
        <v>0</v>
      </c>
      <c r="K437" s="252">
        <f>VLOOKUP($E437,'5.1 Budget'!$A$4:$H$729,5,0)</f>
        <v>0</v>
      </c>
      <c r="L437" s="252">
        <f>VLOOKUP($E437,'5.1 Budget'!$A$4:$H$729,6,0)</f>
        <v>0</v>
      </c>
      <c r="M437" s="252">
        <f>VLOOKUP($E437,'5.1 Budget'!$A$4:$H$729,7,0)</f>
        <v>0</v>
      </c>
      <c r="N437" s="252">
        <f>VLOOKUP($E437,'5.1 Budget'!$A$4:$H$729,8,0)</f>
        <v>0</v>
      </c>
      <c r="V437" t="str">
        <f>VLOOKUP(D437,'[4]1. Mesures'!$A$1:$B$116,2,0)</f>
        <v>Mettre en œuvre la GiEP dans l'espace public et privé, ainsi que les autres mesures de résilience climatique liées à la gestion de l’eau</v>
      </c>
      <c r="W437" t="str">
        <f>VLOOKUP(B437,[1]HIERARCH!$A$1:$B$57,2,0)</f>
        <v>OS 5.1: Gérer les eaux de pluie de façon intégrée  // Alternative : Replacer les eaux de pluie dans leur cycle naturel</v>
      </c>
      <c r="X437" t="str">
        <f>VLOOKUP(C437,[1]HIERARCH!$A$2:$B$57,2,0)</f>
        <v>OO 5.1.2: Mettre en œuvre la GiEP et en assurer la pérennisation</v>
      </c>
      <c r="Y437" t="str">
        <f t="shared" si="23"/>
        <v>Etablir un cadre régional pour faciliter et inciter les déconnexions de particuliers…</v>
      </c>
    </row>
    <row r="438" spans="1:25" hidden="1" x14ac:dyDescent="0.25">
      <c r="A438" s="249" t="str">
        <f t="shared" si="22"/>
        <v>5</v>
      </c>
      <c r="B438" s="249" t="str">
        <f>VLOOKUP($D438,'[4]1. Mesures'!$A$2:$G$116,6,0)</f>
        <v>OS 5.1</v>
      </c>
      <c r="C438" s="249" t="str">
        <f>VLOOKUP($D438,'[4]1. Mesures'!$A$2:$G$116,7,0)</f>
        <v>OO 5.1.2</v>
      </c>
      <c r="D438" s="249" t="str">
        <f t="shared" si="21"/>
        <v>M 5.4</v>
      </c>
      <c r="E438" s="250" t="s">
        <v>419</v>
      </c>
      <c r="F438" s="249" t="str">
        <f>VLOOKUP(E438,'5.2 Actions'!$A$3:$B$720,2,0)</f>
        <v>Rédiger et diffuser un Vademecum sur la gestion des eaux pluviales dans les espaces publics</v>
      </c>
      <c r="G438" s="251" t="str">
        <f>VLOOKUP(E438,'[4]5.2 Actions'!$A$3:$D$718,4,0)</f>
        <v>SEN / WOL / CAN</v>
      </c>
      <c r="H438" s="252">
        <f>VLOOKUP($E438,'5.1 Budget'!$A$4:$H$729,2,0)</f>
        <v>0</v>
      </c>
      <c r="I438" s="252">
        <f>VLOOKUP($E438,'5.1 Budget'!$A$4:$H$729,3,0)</f>
        <v>0</v>
      </c>
      <c r="J438" s="252">
        <f>VLOOKUP($E438,'5.1 Budget'!$A$4:$H$729,4,0)</f>
        <v>0</v>
      </c>
      <c r="K438" s="252">
        <f>VLOOKUP($E438,'5.1 Budget'!$A$4:$H$729,5,0)</f>
        <v>0</v>
      </c>
      <c r="L438" s="252">
        <f>VLOOKUP($E438,'5.1 Budget'!$A$4:$H$729,6,0)</f>
        <v>0</v>
      </c>
      <c r="M438" s="252">
        <f>VLOOKUP($E438,'5.1 Budget'!$A$4:$H$729,7,0)</f>
        <v>0</v>
      </c>
      <c r="N438" s="252">
        <f>VLOOKUP($E438,'5.1 Budget'!$A$4:$H$729,8,0)</f>
        <v>0</v>
      </c>
      <c r="V438" t="str">
        <f>VLOOKUP(D438,'[4]1. Mesures'!$A$1:$B$116,2,0)</f>
        <v>Mettre en œuvre la GiEP dans l'espace public et privé, ainsi que les autres mesures de résilience climatique liées à la gestion de l’eau</v>
      </c>
      <c r="W438" t="str">
        <f>VLOOKUP(B438,[1]HIERARCH!$A$1:$B$57,2,0)</f>
        <v>OS 5.1: Gérer les eaux de pluie de façon intégrée  // Alternative : Replacer les eaux de pluie dans leur cycle naturel</v>
      </c>
      <c r="X438" t="str">
        <f>VLOOKUP(C438,[1]HIERARCH!$A$2:$B$57,2,0)</f>
        <v>OO 5.1.2: Mettre en œuvre la GiEP et en assurer la pérennisation</v>
      </c>
      <c r="Y438" t="str">
        <f t="shared" si="23"/>
        <v>Rédiger et diffuser un Vademecum sur la gestion des eaux pluviales dans les espaces publics…</v>
      </c>
    </row>
    <row r="439" spans="1:25" hidden="1" x14ac:dyDescent="0.25">
      <c r="A439" s="249" t="str">
        <f t="shared" si="22"/>
        <v>5</v>
      </c>
      <c r="B439" s="249" t="str">
        <f>VLOOKUP($D439,'[4]1. Mesures'!$A$2:$G$116,6,0)</f>
        <v>OS 5.1</v>
      </c>
      <c r="C439" s="249" t="str">
        <f>VLOOKUP($D439,'[4]1. Mesures'!$A$2:$G$116,7,0)</f>
        <v>OO 5.1.2</v>
      </c>
      <c r="D439" s="249" t="str">
        <f t="shared" si="21"/>
        <v>M 5.4</v>
      </c>
      <c r="E439" s="250" t="s">
        <v>425</v>
      </c>
      <c r="F439" s="249" t="str">
        <f>VLOOKUP(E439,'5.2 Actions'!$A$3:$B$720,2,0)</f>
        <v>Les différents acteurs et privés feront en outre l’objet de mesures de soutien telles que  Subventions, primes, labels et autres mesures de soutien (M 8.3)</v>
      </c>
      <c r="G439" s="251">
        <f>VLOOKUP(E439,'[4]5.2 Actions'!$A$3:$D$718,4,0)</f>
        <v>0</v>
      </c>
      <c r="H439" s="252">
        <f>VLOOKUP($E439,'5.1 Budget'!$A$4:$H$729,2,0)</f>
        <v>0</v>
      </c>
      <c r="I439" s="252">
        <f>VLOOKUP($E439,'5.1 Budget'!$A$4:$H$729,3,0)</f>
        <v>0</v>
      </c>
      <c r="J439" s="252">
        <f>VLOOKUP($E439,'5.1 Budget'!$A$4:$H$729,4,0)</f>
        <v>0</v>
      </c>
      <c r="K439" s="252">
        <f>VLOOKUP($E439,'5.1 Budget'!$A$4:$H$729,5,0)</f>
        <v>0</v>
      </c>
      <c r="L439" s="252">
        <f>VLOOKUP($E439,'5.1 Budget'!$A$4:$H$729,6,0)</f>
        <v>0</v>
      </c>
      <c r="M439" s="252">
        <f>VLOOKUP($E439,'5.1 Budget'!$A$4:$H$729,7,0)</f>
        <v>0</v>
      </c>
      <c r="N439" s="252">
        <f>VLOOKUP($E439,'5.1 Budget'!$A$4:$H$729,8,0)</f>
        <v>0</v>
      </c>
      <c r="V439" t="str">
        <f>VLOOKUP(D439,'[4]1. Mesures'!$A$1:$B$116,2,0)</f>
        <v>Mettre en œuvre la GiEP dans l'espace public et privé, ainsi que les autres mesures de résilience climatique liées à la gestion de l’eau</v>
      </c>
      <c r="W439" t="str">
        <f>VLOOKUP(B439,[1]HIERARCH!$A$1:$B$57,2,0)</f>
        <v>OS 5.1: Gérer les eaux de pluie de façon intégrée  // Alternative : Replacer les eaux de pluie dans leur cycle naturel</v>
      </c>
      <c r="X439" t="str">
        <f>VLOOKUP(C439,[1]HIERARCH!$A$2:$B$57,2,0)</f>
        <v>OO 5.1.2: Mettre en œuvre la GiEP et en assurer la pérennisation</v>
      </c>
      <c r="Y439" t="str">
        <f t="shared" si="23"/>
        <v>Les différents acteurs et privés feront en outre l’objet de mesures de soutien telles que  Subventions, primes, labels e…</v>
      </c>
    </row>
    <row r="440" spans="1:25" hidden="1" x14ac:dyDescent="0.25">
      <c r="A440" s="249" t="str">
        <f t="shared" si="22"/>
        <v>5</v>
      </c>
      <c r="B440" s="249" t="str">
        <f>VLOOKUP($D440,'[4]1. Mesures'!$A$2:$G$116,6,0)</f>
        <v>OS 5.1</v>
      </c>
      <c r="C440" s="249" t="str">
        <f>VLOOKUP($D440,'[4]1. Mesures'!$A$2:$G$116,7,0)</f>
        <v>OO 5.1.2</v>
      </c>
      <c r="D440" s="249" t="str">
        <f t="shared" si="21"/>
        <v>M 5.4</v>
      </c>
      <c r="E440" s="250" t="s">
        <v>420</v>
      </c>
      <c r="F440" s="249" t="str">
        <f>VLOOKUP(E440,'5.2 Actions'!$A$3:$B$720,2,0)</f>
        <v>Mise en œuvre d’une gestion intégrée des eaux pluviales dans les chantiers publics en suivant les lignes directrices d’un Vademecum « gestion des eaux pluviales »</v>
      </c>
      <c r="G440" s="251" t="str">
        <f>VLOOKUP(E440,'[4]5.2 Actions'!$A$3:$D$718,4,0)</f>
        <v>SEN / WOL / CAN</v>
      </c>
      <c r="H440" s="252">
        <f>VLOOKUP($E440,'5.1 Budget'!$A$4:$H$729,2,0)</f>
        <v>0</v>
      </c>
      <c r="I440" s="252">
        <f>VLOOKUP($E440,'5.1 Budget'!$A$4:$H$729,3,0)</f>
        <v>0</v>
      </c>
      <c r="J440" s="252">
        <f>VLOOKUP($E440,'5.1 Budget'!$A$4:$H$729,4,0)</f>
        <v>0</v>
      </c>
      <c r="K440" s="252">
        <f>VLOOKUP($E440,'5.1 Budget'!$A$4:$H$729,5,0)</f>
        <v>0</v>
      </c>
      <c r="L440" s="252">
        <f>VLOOKUP($E440,'5.1 Budget'!$A$4:$H$729,6,0)</f>
        <v>0</v>
      </c>
      <c r="M440" s="252">
        <f>VLOOKUP($E440,'5.1 Budget'!$A$4:$H$729,7,0)</f>
        <v>0</v>
      </c>
      <c r="N440" s="252">
        <f>VLOOKUP($E440,'5.1 Budget'!$A$4:$H$729,8,0)</f>
        <v>0</v>
      </c>
      <c r="V440" t="str">
        <f>VLOOKUP(D440,'[4]1. Mesures'!$A$1:$B$116,2,0)</f>
        <v>Mettre en œuvre la GiEP dans l'espace public et privé, ainsi que les autres mesures de résilience climatique liées à la gestion de l’eau</v>
      </c>
      <c r="W440" t="str">
        <f>VLOOKUP(B440,[1]HIERARCH!$A$1:$B$57,2,0)</f>
        <v>OS 5.1: Gérer les eaux de pluie de façon intégrée  // Alternative : Replacer les eaux de pluie dans leur cycle naturel</v>
      </c>
      <c r="X440" t="str">
        <f>VLOOKUP(C440,[1]HIERARCH!$A$2:$B$57,2,0)</f>
        <v>OO 5.1.2: Mettre en œuvre la GiEP et en assurer la pérennisation</v>
      </c>
      <c r="Y440" t="str">
        <f t="shared" si="23"/>
        <v>Mise en œuvre d’une gestion intégrée des eaux pluviales dans les chantiers publics en suivant les lignes directrices d’u…</v>
      </c>
    </row>
    <row r="441" spans="1:25" hidden="1" x14ac:dyDescent="0.25">
      <c r="A441" s="249" t="str">
        <f t="shared" si="22"/>
        <v>5</v>
      </c>
      <c r="B441" s="249" t="str">
        <f>VLOOKUP($D441,'[4]1. Mesures'!$A$2:$G$116,6,0)</f>
        <v>OS 5.1</v>
      </c>
      <c r="C441" s="249" t="str">
        <f>VLOOKUP($D441,'[4]1. Mesures'!$A$2:$G$116,7,0)</f>
        <v>OO 5.1.2</v>
      </c>
      <c r="D441" s="249" t="str">
        <f t="shared" si="21"/>
        <v>M 5.4</v>
      </c>
      <c r="E441" s="250" t="s">
        <v>421</v>
      </c>
      <c r="F441" s="249" t="str">
        <f>VLOOKUP(E441,'5.2 Actions'!$A$3:$B$720,2,0)</f>
        <v>Se doter d’une Assistance à Maîtrise d’ouvrage pour garantir la bonne réalisation des chantiers/travaux dans le domaine de la gestion des eaux pluviales</v>
      </c>
      <c r="G441" s="251" t="str">
        <f>VLOOKUP(E441,'[4]5.2 Actions'!$A$3:$D$718,4,0)</f>
        <v>SEN / WOL / CAN</v>
      </c>
      <c r="H441" s="252">
        <f>VLOOKUP($E441,'5.1 Budget'!$A$4:$H$729,2,0)</f>
        <v>100000</v>
      </c>
      <c r="I441" s="252">
        <f>VLOOKUP($E441,'5.1 Budget'!$A$4:$H$729,3,0)</f>
        <v>100000</v>
      </c>
      <c r="J441" s="252">
        <f>VLOOKUP($E441,'5.1 Budget'!$A$4:$H$729,4,0)</f>
        <v>0</v>
      </c>
      <c r="K441" s="252">
        <f>VLOOKUP($E441,'5.1 Budget'!$A$4:$H$729,5,0)</f>
        <v>0</v>
      </c>
      <c r="L441" s="252">
        <f>VLOOKUP($E441,'5.1 Budget'!$A$4:$H$729,6,0)</f>
        <v>0</v>
      </c>
      <c r="M441" s="252">
        <f>VLOOKUP($E441,'5.1 Budget'!$A$4:$H$729,7,0)</f>
        <v>0</v>
      </c>
      <c r="N441" s="252">
        <f>VLOOKUP($E441,'5.1 Budget'!$A$4:$H$729,8,0)</f>
        <v>200000</v>
      </c>
      <c r="V441" t="str">
        <f>VLOOKUP(D441,'[4]1. Mesures'!$A$1:$B$116,2,0)</f>
        <v>Mettre en œuvre la GiEP dans l'espace public et privé, ainsi que les autres mesures de résilience climatique liées à la gestion de l’eau</v>
      </c>
      <c r="W441" t="str">
        <f>VLOOKUP(B441,[1]HIERARCH!$A$1:$B$57,2,0)</f>
        <v>OS 5.1: Gérer les eaux de pluie de façon intégrée  // Alternative : Replacer les eaux de pluie dans leur cycle naturel</v>
      </c>
      <c r="X441" t="str">
        <f>VLOOKUP(C441,[1]HIERARCH!$A$2:$B$57,2,0)</f>
        <v>OO 5.1.2: Mettre en œuvre la GiEP et en assurer la pérennisation</v>
      </c>
      <c r="Y441" t="str">
        <f t="shared" si="23"/>
        <v>Se doter d’une Assistance à Maîtrise d’ouvrage pour garantir la bonne réalisation des chantiers/travaux dans le domaine …</v>
      </c>
    </row>
    <row r="442" spans="1:25" hidden="1" x14ac:dyDescent="0.25">
      <c r="A442" s="249" t="str">
        <f t="shared" si="22"/>
        <v>5</v>
      </c>
      <c r="B442" s="249" t="str">
        <f>VLOOKUP($D442,'[4]1. Mesures'!$A$2:$G$116,6,0)</f>
        <v>OS 5.1</v>
      </c>
      <c r="C442" s="249" t="str">
        <f>VLOOKUP($D442,'[4]1. Mesures'!$A$2:$G$116,7,0)</f>
        <v>OO 5.1.2</v>
      </c>
      <c r="D442" s="249" t="str">
        <f t="shared" si="21"/>
        <v>M 5.4</v>
      </c>
      <c r="E442" s="250" t="s">
        <v>422</v>
      </c>
      <c r="F442" s="249" t="str">
        <f>VLOOKUP(E442,'5.2 Actions'!$A$3:$B$720,2,0)</f>
        <v>Mettre en œuvre des projets de déconnexion et déminéralisation sur les espaces gérés par BE (Parc, espaces verts,...) comme lieux exemplaires de gestion intégrée et d’autres mesures de résilience</v>
      </c>
      <c r="G442" s="251" t="str">
        <f>VLOOKUP(E442,'[4]5.2 Actions'!$A$3:$D$718,4,0)</f>
        <v>SEN / WOL / CAN</v>
      </c>
      <c r="H442" s="252">
        <f>VLOOKUP($E442,'5.1 Budget'!$A$4:$H$729,2,0)</f>
        <v>200000</v>
      </c>
      <c r="I442" s="252">
        <f>VLOOKUP($E442,'5.1 Budget'!$A$4:$H$729,3,0)</f>
        <v>200000</v>
      </c>
      <c r="J442" s="252">
        <f>VLOOKUP($E442,'5.1 Budget'!$A$4:$H$729,4,0)</f>
        <v>200000</v>
      </c>
      <c r="K442" s="252">
        <f>VLOOKUP($E442,'5.1 Budget'!$A$4:$H$729,5,0)</f>
        <v>200000</v>
      </c>
      <c r="L442" s="252" t="str">
        <f>VLOOKUP($E442,'5.1 Budget'!$A$4:$H$729,6,0)</f>
        <v>…</v>
      </c>
      <c r="M442" s="252" t="str">
        <f>VLOOKUP($E442,'5.1 Budget'!$A$4:$H$729,7,0)</f>
        <v>…</v>
      </c>
      <c r="N442" s="252">
        <f>VLOOKUP($E442,'5.1 Budget'!$A$4:$H$729,8,0)</f>
        <v>800000</v>
      </c>
      <c r="V442" t="str">
        <f>VLOOKUP(D442,'[4]1. Mesures'!$A$1:$B$116,2,0)</f>
        <v>Mettre en œuvre la GiEP dans l'espace public et privé, ainsi que les autres mesures de résilience climatique liées à la gestion de l’eau</v>
      </c>
      <c r="W442" t="str">
        <f>VLOOKUP(B442,[1]HIERARCH!$A$1:$B$57,2,0)</f>
        <v>OS 5.1: Gérer les eaux de pluie de façon intégrée  // Alternative : Replacer les eaux de pluie dans leur cycle naturel</v>
      </c>
      <c r="X442" t="str">
        <f>VLOOKUP(C442,[1]HIERARCH!$A$2:$B$57,2,0)</f>
        <v>OO 5.1.2: Mettre en œuvre la GiEP et en assurer la pérennisation</v>
      </c>
      <c r="Y442" t="str">
        <f t="shared" si="23"/>
        <v>Mettre en œuvre des projets de déconnexion et déminéralisation sur les espaces gérés par BE (Parc, espaces verts,...) co…</v>
      </c>
    </row>
    <row r="443" spans="1:25" hidden="1" x14ac:dyDescent="0.25">
      <c r="A443" s="249" t="str">
        <f t="shared" si="22"/>
        <v>5</v>
      </c>
      <c r="B443" s="249" t="str">
        <f>VLOOKUP($D443,'[4]1. Mesures'!$A$2:$G$116,6,0)</f>
        <v>OS 5.1</v>
      </c>
      <c r="C443" s="249" t="str">
        <f>VLOOKUP($D443,'[4]1. Mesures'!$A$2:$G$116,7,0)</f>
        <v>OO 5.1.2</v>
      </c>
      <c r="D443" s="249" t="str">
        <f t="shared" si="21"/>
        <v>M 5.4</v>
      </c>
      <c r="E443" s="250" t="s">
        <v>423</v>
      </c>
      <c r="F443" s="249" t="str">
        <f>VLOOKUP(E443,'5.2 Actions'!$A$3:$B$720,2,0)</f>
        <v>Etablir un cadre régional pour faciliter et inciter les déconnexions de particuliers</v>
      </c>
      <c r="G443" s="251">
        <f>VLOOKUP(E443,'[4]5.2 Actions'!$A$3:$D$718,4,0)</f>
        <v>0</v>
      </c>
      <c r="H443" s="252">
        <f>VLOOKUP($E443,'5.1 Budget'!$A$4:$H$729,2,0)</f>
        <v>0</v>
      </c>
      <c r="I443" s="252">
        <f>VLOOKUP($E443,'5.1 Budget'!$A$4:$H$729,3,0)</f>
        <v>0</v>
      </c>
      <c r="J443" s="252">
        <f>VLOOKUP($E443,'5.1 Budget'!$A$4:$H$729,4,0)</f>
        <v>0</v>
      </c>
      <c r="K443" s="252">
        <f>VLOOKUP($E443,'5.1 Budget'!$A$4:$H$729,5,0)</f>
        <v>0</v>
      </c>
      <c r="L443" s="252">
        <f>VLOOKUP($E443,'5.1 Budget'!$A$4:$H$729,6,0)</f>
        <v>0</v>
      </c>
      <c r="M443" s="252">
        <f>VLOOKUP($E443,'5.1 Budget'!$A$4:$H$729,7,0)</f>
        <v>0</v>
      </c>
      <c r="N443" s="252">
        <f>VLOOKUP($E443,'5.1 Budget'!$A$4:$H$729,8,0)</f>
        <v>0</v>
      </c>
      <c r="V443" t="str">
        <f>VLOOKUP(D443,'[4]1. Mesures'!$A$1:$B$116,2,0)</f>
        <v>Mettre en œuvre la GiEP dans l'espace public et privé, ainsi que les autres mesures de résilience climatique liées à la gestion de l’eau</v>
      </c>
      <c r="W443" t="str">
        <f>VLOOKUP(B443,[1]HIERARCH!$A$1:$B$57,2,0)</f>
        <v>OS 5.1: Gérer les eaux de pluie de façon intégrée  // Alternative : Replacer les eaux de pluie dans leur cycle naturel</v>
      </c>
      <c r="X443" t="str">
        <f>VLOOKUP(C443,[1]HIERARCH!$A$2:$B$57,2,0)</f>
        <v>OO 5.1.2: Mettre en œuvre la GiEP et en assurer la pérennisation</v>
      </c>
      <c r="Y443" t="str">
        <f t="shared" si="23"/>
        <v>Etablir un cadre régional pour faciliter et inciter les déconnexions de particuliers…</v>
      </c>
    </row>
    <row r="444" spans="1:25" hidden="1" x14ac:dyDescent="0.25">
      <c r="A444" s="249" t="str">
        <f t="shared" si="22"/>
        <v>5</v>
      </c>
      <c r="B444" s="249" t="str">
        <f>VLOOKUP($D444,'[4]1. Mesures'!$A$2:$G$116,6,0)</f>
        <v>OS 5.1</v>
      </c>
      <c r="C444" s="249" t="str">
        <f>VLOOKUP($D444,'[4]1. Mesures'!$A$2:$G$116,7,0)</f>
        <v>OO 5.1.2</v>
      </c>
      <c r="D444" s="249" t="str">
        <f t="shared" si="21"/>
        <v>M 5.4</v>
      </c>
      <c r="E444" s="250" t="s">
        <v>424</v>
      </c>
      <c r="F444" s="249" t="str">
        <f>VLOOKUP(E444,'5.2 Actions'!$A$3:$B$720,2,0)</f>
        <v>Cette mesure se fera également via l’accompagnement des acteurs concernés (M 5.3)</v>
      </c>
      <c r="G444" s="251" t="str">
        <f>VLOOKUP(E444,'[4]5.2 Actions'!$A$3:$D$718,4,0)</f>
        <v>SEN / WOL / CAN</v>
      </c>
      <c r="H444" s="252">
        <f>VLOOKUP($E444,'5.1 Budget'!$A$4:$H$729,2,0)</f>
        <v>0</v>
      </c>
      <c r="I444" s="252">
        <f>VLOOKUP($E444,'5.1 Budget'!$A$4:$H$729,3,0)</f>
        <v>0</v>
      </c>
      <c r="J444" s="252">
        <f>VLOOKUP($E444,'5.1 Budget'!$A$4:$H$729,4,0)</f>
        <v>0</v>
      </c>
      <c r="K444" s="252">
        <f>VLOOKUP($E444,'5.1 Budget'!$A$4:$H$729,5,0)</f>
        <v>0</v>
      </c>
      <c r="L444" s="252">
        <f>VLOOKUP($E444,'5.1 Budget'!$A$4:$H$729,6,0)</f>
        <v>0</v>
      </c>
      <c r="M444" s="252">
        <f>VLOOKUP($E444,'5.1 Budget'!$A$4:$H$729,7,0)</f>
        <v>0</v>
      </c>
      <c r="N444" s="252">
        <f>VLOOKUP($E444,'5.1 Budget'!$A$4:$H$729,8,0)</f>
        <v>0</v>
      </c>
      <c r="V444" t="str">
        <f>VLOOKUP(D444,'[4]1. Mesures'!$A$1:$B$116,2,0)</f>
        <v>Mettre en œuvre la GiEP dans l'espace public et privé, ainsi que les autres mesures de résilience climatique liées à la gestion de l’eau</v>
      </c>
      <c r="W444" t="str">
        <f>VLOOKUP(B444,[1]HIERARCH!$A$1:$B$57,2,0)</f>
        <v>OS 5.1: Gérer les eaux de pluie de façon intégrée  // Alternative : Replacer les eaux de pluie dans leur cycle naturel</v>
      </c>
      <c r="X444" t="str">
        <f>VLOOKUP(C444,[1]HIERARCH!$A$2:$B$57,2,0)</f>
        <v>OO 5.1.2: Mettre en œuvre la GiEP et en assurer la pérennisation</v>
      </c>
      <c r="Y444" t="str">
        <f t="shared" si="23"/>
        <v>Cette mesure se fera également via l’accompagnement des acteurs concernés (M 5.3)…</v>
      </c>
    </row>
    <row r="445" spans="1:25" hidden="1" x14ac:dyDescent="0.25">
      <c r="A445" s="249" t="str">
        <f t="shared" si="22"/>
        <v>5</v>
      </c>
      <c r="B445" s="249" t="str">
        <f>VLOOKUP($D445,'[4]1. Mesures'!$A$2:$G$116,6,0)</f>
        <v>OS 5.1</v>
      </c>
      <c r="C445" s="249" t="str">
        <f>VLOOKUP($D445,'[4]1. Mesures'!$A$2:$G$116,7,0)</f>
        <v>OO 5.1.2</v>
      </c>
      <c r="D445" s="249" t="str">
        <f t="shared" si="21"/>
        <v>M 5.4</v>
      </c>
      <c r="E445" s="250" t="s">
        <v>425</v>
      </c>
      <c r="F445" s="249" t="str">
        <f>VLOOKUP(E445,'5.2 Actions'!$A$3:$B$720,2,0)</f>
        <v>Les différents acteurs et privés feront en outre l’objet de mesures de soutien telles que  Subventions, primes, labels et autres mesures de soutien (M 8.3)</v>
      </c>
      <c r="G445" s="251">
        <f>VLOOKUP(E445,'[4]5.2 Actions'!$A$3:$D$718,4,0)</f>
        <v>0</v>
      </c>
      <c r="H445" s="252">
        <f>VLOOKUP($E445,'5.1 Budget'!$A$4:$H$729,2,0)</f>
        <v>0</v>
      </c>
      <c r="I445" s="252">
        <f>VLOOKUP($E445,'5.1 Budget'!$A$4:$H$729,3,0)</f>
        <v>0</v>
      </c>
      <c r="J445" s="252">
        <f>VLOOKUP($E445,'5.1 Budget'!$A$4:$H$729,4,0)</f>
        <v>0</v>
      </c>
      <c r="K445" s="252">
        <f>VLOOKUP($E445,'5.1 Budget'!$A$4:$H$729,5,0)</f>
        <v>0</v>
      </c>
      <c r="L445" s="252">
        <f>VLOOKUP($E445,'5.1 Budget'!$A$4:$H$729,6,0)</f>
        <v>0</v>
      </c>
      <c r="M445" s="252">
        <f>VLOOKUP($E445,'5.1 Budget'!$A$4:$H$729,7,0)</f>
        <v>0</v>
      </c>
      <c r="N445" s="252">
        <f>VLOOKUP($E445,'5.1 Budget'!$A$4:$H$729,8,0)</f>
        <v>0</v>
      </c>
      <c r="V445" t="str">
        <f>VLOOKUP(D445,'[4]1. Mesures'!$A$1:$B$116,2,0)</f>
        <v>Mettre en œuvre la GiEP dans l'espace public et privé, ainsi que les autres mesures de résilience climatique liées à la gestion de l’eau</v>
      </c>
      <c r="W445" t="str">
        <f>VLOOKUP(B445,[1]HIERARCH!$A$1:$B$57,2,0)</f>
        <v>OS 5.1: Gérer les eaux de pluie de façon intégrée  // Alternative : Replacer les eaux de pluie dans leur cycle naturel</v>
      </c>
      <c r="X445" t="str">
        <f>VLOOKUP(C445,[1]HIERARCH!$A$2:$B$57,2,0)</f>
        <v>OO 5.1.2: Mettre en œuvre la GiEP et en assurer la pérennisation</v>
      </c>
      <c r="Y445" t="str">
        <f t="shared" si="23"/>
        <v>Les différents acteurs et privés feront en outre l’objet de mesures de soutien telles que  Subventions, primes, labels e…</v>
      </c>
    </row>
    <row r="446" spans="1:25" hidden="1" x14ac:dyDescent="0.25">
      <c r="A446" s="249" t="str">
        <f t="shared" si="22"/>
        <v>5</v>
      </c>
      <c r="B446" s="249" t="str">
        <f>VLOOKUP($D446,'[4]1. Mesures'!$A$2:$G$116,6,0)</f>
        <v>OS 5.1</v>
      </c>
      <c r="C446" s="249" t="str">
        <f>VLOOKUP($D446,'[4]1. Mesures'!$A$2:$G$116,7,0)</f>
        <v>OO 5.1.2</v>
      </c>
      <c r="D446" s="249" t="str">
        <f t="shared" si="21"/>
        <v>M 5.4</v>
      </c>
      <c r="E446" s="250" t="s">
        <v>426</v>
      </c>
      <c r="F446" s="249" t="str">
        <f>VLOOKUP(E446,'5.2 Actions'!$A$3:$B$720,2,0)</f>
        <v>Des mesures de communication et de sensibilisation seront également prévues (M 5.29)</v>
      </c>
      <c r="G446" s="251" t="str">
        <f>VLOOKUP(E446,'[4]5.2 Actions'!$A$3:$D$718,4,0)</f>
        <v>SEN / WOL / CAN</v>
      </c>
      <c r="H446" s="252">
        <f>VLOOKUP($E446,'5.1 Budget'!$A$4:$H$729,2,0)</f>
        <v>0</v>
      </c>
      <c r="I446" s="252">
        <f>VLOOKUP($E446,'5.1 Budget'!$A$4:$H$729,3,0)</f>
        <v>0</v>
      </c>
      <c r="J446" s="252">
        <f>VLOOKUP($E446,'5.1 Budget'!$A$4:$H$729,4,0)</f>
        <v>0</v>
      </c>
      <c r="K446" s="252">
        <f>VLOOKUP($E446,'5.1 Budget'!$A$4:$H$729,5,0)</f>
        <v>0</v>
      </c>
      <c r="L446" s="252">
        <f>VLOOKUP($E446,'5.1 Budget'!$A$4:$H$729,6,0)</f>
        <v>0</v>
      </c>
      <c r="M446" s="252">
        <f>VLOOKUP($E446,'5.1 Budget'!$A$4:$H$729,7,0)</f>
        <v>0</v>
      </c>
      <c r="N446" s="252">
        <f>VLOOKUP($E446,'5.1 Budget'!$A$4:$H$729,8,0)</f>
        <v>0</v>
      </c>
      <c r="V446" t="str">
        <f>VLOOKUP(D446,'[4]1. Mesures'!$A$1:$B$116,2,0)</f>
        <v>Mettre en œuvre la GiEP dans l'espace public et privé, ainsi que les autres mesures de résilience climatique liées à la gestion de l’eau</v>
      </c>
      <c r="W446" t="str">
        <f>VLOOKUP(B446,[1]HIERARCH!$A$1:$B$57,2,0)</f>
        <v>OS 5.1: Gérer les eaux de pluie de façon intégrée  // Alternative : Replacer les eaux de pluie dans leur cycle naturel</v>
      </c>
      <c r="X446" t="str">
        <f>VLOOKUP(C446,[1]HIERARCH!$A$2:$B$57,2,0)</f>
        <v>OO 5.1.2: Mettre en œuvre la GiEP et en assurer la pérennisation</v>
      </c>
      <c r="Y446" t="str">
        <f t="shared" si="23"/>
        <v>Des mesures de communication et de sensibilisation seront également prévues (M 5.29)…</v>
      </c>
    </row>
    <row r="447" spans="1:25" hidden="1" x14ac:dyDescent="0.25">
      <c r="A447" s="249" t="str">
        <f t="shared" si="22"/>
        <v>5</v>
      </c>
      <c r="B447" s="249" t="str">
        <f>VLOOKUP($D447,'[4]1. Mesures'!$A$2:$G$116,6,0)</f>
        <v>OS 5.1</v>
      </c>
      <c r="C447" s="249" t="str">
        <f>VLOOKUP($D447,'[4]1. Mesures'!$A$2:$G$116,7,0)</f>
        <v>OO 5.1.2</v>
      </c>
      <c r="D447" s="249" t="str">
        <f t="shared" si="21"/>
        <v>M 5.4</v>
      </c>
      <c r="E447" s="250" t="s">
        <v>427</v>
      </c>
      <c r="F447" s="249" t="str">
        <f>VLOOKUP(E447,'5.2 Actions'!$A$3:$B$720,2,0)</f>
        <v>L’intégration de la GIEP dans les outils de l’aménagement du territoire est prévu (M 5.1)</v>
      </c>
      <c r="G447" s="251" t="str">
        <f>VLOOKUP(E447,'[4]5.2 Actions'!$A$3:$D$718,4,0)</f>
        <v>SEN / WOL / CAN</v>
      </c>
      <c r="H447" s="252">
        <f>VLOOKUP($E447,'5.1 Budget'!$A$4:$H$729,2,0)</f>
        <v>0</v>
      </c>
      <c r="I447" s="252">
        <f>VLOOKUP($E447,'5.1 Budget'!$A$4:$H$729,3,0)</f>
        <v>0</v>
      </c>
      <c r="J447" s="252">
        <f>VLOOKUP($E447,'5.1 Budget'!$A$4:$H$729,4,0)</f>
        <v>0</v>
      </c>
      <c r="K447" s="252">
        <f>VLOOKUP($E447,'5.1 Budget'!$A$4:$H$729,5,0)</f>
        <v>0</v>
      </c>
      <c r="L447" s="252">
        <f>VLOOKUP($E447,'5.1 Budget'!$A$4:$H$729,6,0)</f>
        <v>0</v>
      </c>
      <c r="M447" s="252">
        <f>VLOOKUP($E447,'5.1 Budget'!$A$4:$H$729,7,0)</f>
        <v>0</v>
      </c>
      <c r="N447" s="252">
        <f>VLOOKUP($E447,'5.1 Budget'!$A$4:$H$729,8,0)</f>
        <v>0</v>
      </c>
      <c r="V447" t="str">
        <f>VLOOKUP(D447,'[4]1. Mesures'!$A$1:$B$116,2,0)</f>
        <v>Mettre en œuvre la GiEP dans l'espace public et privé, ainsi que les autres mesures de résilience climatique liées à la gestion de l’eau</v>
      </c>
      <c r="W447" t="str">
        <f>VLOOKUP(B447,[1]HIERARCH!$A$1:$B$57,2,0)</f>
        <v>OS 5.1: Gérer les eaux de pluie de façon intégrée  // Alternative : Replacer les eaux de pluie dans leur cycle naturel</v>
      </c>
      <c r="X447" t="str">
        <f>VLOOKUP(C447,[1]HIERARCH!$A$2:$B$57,2,0)</f>
        <v>OO 5.1.2: Mettre en œuvre la GiEP et en assurer la pérennisation</v>
      </c>
      <c r="Y447" t="str">
        <f t="shared" si="23"/>
        <v>L’intégration de la GIEP dans les outils de l’aménagement du territoire est prévu (M 5.1)…</v>
      </c>
    </row>
    <row r="448" spans="1:25" hidden="1" x14ac:dyDescent="0.25">
      <c r="A448" s="249" t="str">
        <f t="shared" si="22"/>
        <v>5</v>
      </c>
      <c r="B448" s="249" t="str">
        <f>VLOOKUP($D448,'[4]1. Mesures'!$A$2:$G$116,6,0)</f>
        <v>OS 5.1</v>
      </c>
      <c r="C448" s="249" t="str">
        <f>VLOOKUP($D448,'[4]1. Mesures'!$A$2:$G$116,7,0)</f>
        <v>OO 5.1.2</v>
      </c>
      <c r="D448" s="249" t="str">
        <f t="shared" si="21"/>
        <v>M 5.5</v>
      </c>
      <c r="E448" s="250" t="s">
        <v>1135</v>
      </c>
      <c r="F448" s="249" t="str">
        <f>VLOOKUP(E448,'5.2 Actions'!$A$3:$B$720,2,0)</f>
        <v>Poursuivre et améliorer la cartographie du « Maillage Pluie » répertoriant les dispositifs GiEP déployés dans les communes bruxelloises
Au fur et à mesure de la mise en place de dispositifs, il s’agit d’en établir un cadastre géo référencé robuste, pour ensuite maitriser l’information relative à leur efficacité, leur entretien,…en bref : permettre une gestion patrimoniale efficace.
Une gestion patrimoniale efficace des dispositifs implique un inventaire précis des installations en les catégorisant par typologie et en définissant les gestionnaires de chaque dispositif.</v>
      </c>
      <c r="G448" s="251">
        <f>VLOOKUP(E448,'[4]5.2 Actions'!$A$3:$D$718,4,0)</f>
        <v>0</v>
      </c>
      <c r="H448" s="252">
        <f>VLOOKUP($E448,'5.1 Budget'!$A$4:$H$729,2,0)</f>
        <v>0</v>
      </c>
      <c r="I448" s="252">
        <f>VLOOKUP($E448,'5.1 Budget'!$A$4:$H$729,3,0)</f>
        <v>0</v>
      </c>
      <c r="J448" s="252">
        <f>VLOOKUP($E448,'5.1 Budget'!$A$4:$H$729,4,0)</f>
        <v>0</v>
      </c>
      <c r="K448" s="252">
        <f>VLOOKUP($E448,'5.1 Budget'!$A$4:$H$729,5,0)</f>
        <v>0</v>
      </c>
      <c r="L448" s="252">
        <f>VLOOKUP($E448,'5.1 Budget'!$A$4:$H$729,6,0)</f>
        <v>0</v>
      </c>
      <c r="M448" s="252">
        <f>VLOOKUP($E448,'5.1 Budget'!$A$4:$H$729,7,0)</f>
        <v>0</v>
      </c>
      <c r="N448" s="252">
        <f>VLOOKUP($E448,'5.1 Budget'!$A$4:$H$729,8,0)</f>
        <v>0</v>
      </c>
      <c r="V448" t="str">
        <f>VLOOKUP(D448,'[4]1. Mesures'!$A$1:$B$116,2,0)</f>
        <v>Inventorier et mettre en place un système de contrôle  des performances des aménagements GiEP</v>
      </c>
      <c r="W448" t="str">
        <f>VLOOKUP(B448,[1]HIERARCH!$A$1:$B$57,2,0)</f>
        <v>OS 5.1: Gérer les eaux de pluie de façon intégrée  // Alternative : Replacer les eaux de pluie dans leur cycle naturel</v>
      </c>
      <c r="X448" t="str">
        <f>VLOOKUP(C448,[1]HIERARCH!$A$2:$B$57,2,0)</f>
        <v>OO 5.1.2: Mettre en œuvre la GiEP et en assurer la pérennisation</v>
      </c>
      <c r="Y448" t="str">
        <f t="shared" si="23"/>
        <v>Poursuivre et améliorer la cartographie du « Maillage Pluie » répertoriant les dispositifs GiEP déployés dans les commun…</v>
      </c>
    </row>
    <row r="449" spans="1:25" hidden="1" x14ac:dyDescent="0.25">
      <c r="A449" s="249" t="str">
        <f t="shared" si="22"/>
        <v>5</v>
      </c>
      <c r="B449" s="249" t="str">
        <f>VLOOKUP($D449,'[4]1. Mesures'!$A$2:$G$116,6,0)</f>
        <v>OS 5.1</v>
      </c>
      <c r="C449" s="249" t="str">
        <f>VLOOKUP($D449,'[4]1. Mesures'!$A$2:$G$116,7,0)</f>
        <v>OO 5.1.2</v>
      </c>
      <c r="D449" s="249" t="str">
        <f t="shared" si="21"/>
        <v>M 5.5</v>
      </c>
      <c r="E449" s="250" t="s">
        <v>1136</v>
      </c>
      <c r="F449" s="249" t="str">
        <f>VLOOKUP(E449,'5.2 Actions'!$A$3:$B$720,2,0)</f>
        <v>Mettre en place un tableau de bord permettant d’assurer un suivi optimal de la performance des dispositifs GiEP déployés en RBC
Ancré sur le cadastre géo référencé, et dans le but de suivre l’efficacité de la mise en œuvre de l’ensemble de la politique de l’eau, les mesures nécessaires seront prises pour mettre en place les moyens de relever les indicateurs de performance.
Ce tableau de bord permettra également  de planifier les entretiens  des ouvrages, ainsi que leur réhabilitation éventuelle avec une budgétisation des coûts.
Les critères décrivant la performance devront être définis par rapport à plusieurs paramètres : comme par exemple celui de la capacité d’infiltration mais également la protection des eaux souterraines.</v>
      </c>
      <c r="G449" s="251">
        <f>VLOOKUP(E449,'[4]5.2 Actions'!$A$3:$D$718,4,0)</f>
        <v>0</v>
      </c>
      <c r="H449" s="252">
        <f>VLOOKUP($E449,'5.1 Budget'!$A$4:$H$729,2,0)</f>
        <v>0</v>
      </c>
      <c r="I449" s="252">
        <f>VLOOKUP($E449,'5.1 Budget'!$A$4:$H$729,3,0)</f>
        <v>10000</v>
      </c>
      <c r="J449" s="252">
        <f>VLOOKUP($E449,'5.1 Budget'!$A$4:$H$729,4,0)</f>
        <v>0</v>
      </c>
      <c r="K449" s="252">
        <f>VLOOKUP($E449,'5.1 Budget'!$A$4:$H$729,5,0)</f>
        <v>0</v>
      </c>
      <c r="L449" s="252">
        <f>VLOOKUP($E449,'5.1 Budget'!$A$4:$H$729,6,0)</f>
        <v>0</v>
      </c>
      <c r="M449" s="252">
        <f>VLOOKUP($E449,'5.1 Budget'!$A$4:$H$729,7,0)</f>
        <v>0</v>
      </c>
      <c r="N449" s="252">
        <f>VLOOKUP($E449,'5.1 Budget'!$A$4:$H$729,8,0)</f>
        <v>10000</v>
      </c>
      <c r="V449" t="str">
        <f>VLOOKUP(D449,'[4]1. Mesures'!$A$1:$B$116,2,0)</f>
        <v>Inventorier et mettre en place un système de contrôle  des performances des aménagements GiEP</v>
      </c>
      <c r="W449" t="str">
        <f>VLOOKUP(B449,[1]HIERARCH!$A$1:$B$57,2,0)</f>
        <v>OS 5.1: Gérer les eaux de pluie de façon intégrée  // Alternative : Replacer les eaux de pluie dans leur cycle naturel</v>
      </c>
      <c r="X449" t="str">
        <f>VLOOKUP(C449,[1]HIERARCH!$A$2:$B$57,2,0)</f>
        <v>OO 5.1.2: Mettre en œuvre la GiEP et en assurer la pérennisation</v>
      </c>
      <c r="Y449" t="str">
        <f t="shared" si="23"/>
        <v>Mettre en place un tableau de bord permettant d’assurer un suivi optimal de la performance des dispositifs GiEP déployés…</v>
      </c>
    </row>
    <row r="450" spans="1:25" hidden="1" x14ac:dyDescent="0.25">
      <c r="A450" s="249" t="str">
        <f t="shared" si="22"/>
        <v>5</v>
      </c>
      <c r="B450" s="249" t="str">
        <f>VLOOKUP($D450,'[4]1. Mesures'!$A$2:$G$116,6,0)</f>
        <v>OS 5.1</v>
      </c>
      <c r="C450" s="249" t="str">
        <f>VLOOKUP($D450,'[4]1. Mesures'!$A$2:$G$116,7,0)</f>
        <v>OO 5.1.2</v>
      </c>
      <c r="D450" s="249" t="str">
        <f t="shared" si="21"/>
        <v>M 5.5</v>
      </c>
      <c r="E450" s="250" t="s">
        <v>1137</v>
      </c>
      <c r="F450" s="249" t="str">
        <f>VLOOKUP(E450,'5.2 Actions'!$A$3:$B$720,2,0)</f>
        <v>Sur base de l’inventaire détaillé des dispositifs GIEP, mettre en place un contrôle de leur efficacité/performance dans le temps. A la fois pour s’assurer de leur efficacité hydraulique et de résilience climatique, ainsi que pour bénéficier des retours d’expériences dans un objectif d’amélioration continue.
Rédiger le règlement utile à la mise en œuvre de cette mesure, et mettre en place un mécanisme et une cellule de contrôle des dispositifs.
Ce type de mesure nécessite de nouvelles ressources humaines.</v>
      </c>
      <c r="G450" s="251">
        <f>VLOOKUP(E450,'[4]5.2 Actions'!$A$3:$D$718,4,0)</f>
        <v>0</v>
      </c>
      <c r="H450" s="252">
        <f>VLOOKUP($E450,'5.1 Budget'!$A$4:$H$729,2,0)</f>
        <v>0</v>
      </c>
      <c r="I450" s="252">
        <f>VLOOKUP($E450,'5.1 Budget'!$A$4:$H$729,3,0)</f>
        <v>0</v>
      </c>
      <c r="J450" s="252">
        <f>VLOOKUP($E450,'5.1 Budget'!$A$4:$H$729,4,0)</f>
        <v>100000</v>
      </c>
      <c r="K450" s="252">
        <f>VLOOKUP($E450,'5.1 Budget'!$A$4:$H$729,5,0)</f>
        <v>100000</v>
      </c>
      <c r="L450" s="252">
        <f>VLOOKUP($E450,'5.1 Budget'!$A$4:$H$729,6,0)</f>
        <v>100000</v>
      </c>
      <c r="M450" s="252">
        <f>VLOOKUP($E450,'5.1 Budget'!$A$4:$H$729,7,0)</f>
        <v>100000</v>
      </c>
      <c r="N450" s="252">
        <f>VLOOKUP($E450,'5.1 Budget'!$A$4:$H$729,8,0)</f>
        <v>400000</v>
      </c>
      <c r="V450" t="str">
        <f>VLOOKUP(D450,'[4]1. Mesures'!$A$1:$B$116,2,0)</f>
        <v>Inventorier et mettre en place un système de contrôle  des performances des aménagements GiEP</v>
      </c>
      <c r="W450" t="str">
        <f>VLOOKUP(B450,[1]HIERARCH!$A$1:$B$57,2,0)</f>
        <v>OS 5.1: Gérer les eaux de pluie de façon intégrée  // Alternative : Replacer les eaux de pluie dans leur cycle naturel</v>
      </c>
      <c r="X450" t="str">
        <f>VLOOKUP(C450,[1]HIERARCH!$A$2:$B$57,2,0)</f>
        <v>OO 5.1.2: Mettre en œuvre la GiEP et en assurer la pérennisation</v>
      </c>
      <c r="Y450" t="str">
        <f t="shared" si="23"/>
        <v>Sur base de l’inventaire détaillé des dispositifs GIEP, mettre en place un contrôle de leur efficacité/performance dans …</v>
      </c>
    </row>
    <row r="451" spans="1:25" hidden="1" x14ac:dyDescent="0.25">
      <c r="A451" s="249" t="str">
        <f t="shared" si="22"/>
        <v>5</v>
      </c>
      <c r="B451" s="249" t="str">
        <f>VLOOKUP($D451,'[4]1. Mesures'!$A$2:$G$116,6,0)</f>
        <v>OS 5.1</v>
      </c>
      <c r="C451" s="249" t="str">
        <f>VLOOKUP($D451,'[4]1. Mesures'!$A$2:$G$116,7,0)</f>
        <v>OO 5.1.2</v>
      </c>
      <c r="D451" s="249" t="str">
        <f t="shared" si="21"/>
        <v>M 5.5</v>
      </c>
      <c r="E451" s="250" t="s">
        <v>1138</v>
      </c>
      <c r="F451" s="249" t="str">
        <f>VLOOKUP(E451,'5.2 Actions'!$A$3:$B$720,2,0)</f>
        <v>Assurer un suivi des ouvrages de gestion d’eau et leur alimentation via notamment des sondes dans les plantations (tensiométriques et qualité)</v>
      </c>
      <c r="G451" s="251">
        <f>VLOOKUP(E451,'[4]5.2 Actions'!$A$3:$D$718,4,0)</f>
        <v>0</v>
      </c>
      <c r="H451" s="252">
        <f>VLOOKUP($E451,'5.1 Budget'!$A$4:$H$729,2,0)</f>
        <v>0</v>
      </c>
      <c r="I451" s="252">
        <f>VLOOKUP($E451,'5.1 Budget'!$A$4:$H$729,3,0)</f>
        <v>0</v>
      </c>
      <c r="J451" s="252">
        <f>VLOOKUP($E451,'5.1 Budget'!$A$4:$H$729,4,0)</f>
        <v>0</v>
      </c>
      <c r="K451" s="252">
        <f>VLOOKUP($E451,'5.1 Budget'!$A$4:$H$729,5,0)</f>
        <v>0</v>
      </c>
      <c r="L451" s="252">
        <f>VLOOKUP($E451,'5.1 Budget'!$A$4:$H$729,6,0)</f>
        <v>0</v>
      </c>
      <c r="M451" s="252">
        <f>VLOOKUP($E451,'5.1 Budget'!$A$4:$H$729,7,0)</f>
        <v>0</v>
      </c>
      <c r="N451" s="252">
        <f>VLOOKUP($E451,'5.1 Budget'!$A$4:$H$729,8,0)</f>
        <v>0</v>
      </c>
      <c r="V451" t="str">
        <f>VLOOKUP(D451,'[4]1. Mesures'!$A$1:$B$116,2,0)</f>
        <v>Inventorier et mettre en place un système de contrôle  des performances des aménagements GiEP</v>
      </c>
      <c r="W451" t="str">
        <f>VLOOKUP(B451,[1]HIERARCH!$A$1:$B$57,2,0)</f>
        <v>OS 5.1: Gérer les eaux de pluie de façon intégrée  // Alternative : Replacer les eaux de pluie dans leur cycle naturel</v>
      </c>
      <c r="X451" t="str">
        <f>VLOOKUP(C451,[1]HIERARCH!$A$2:$B$57,2,0)</f>
        <v>OO 5.1.2: Mettre en œuvre la GiEP et en assurer la pérennisation</v>
      </c>
      <c r="Y451" t="str">
        <f t="shared" si="23"/>
        <v>Assurer un suivi des ouvrages de gestion d’eau et leur alimentation via notamment des sondes dans les plantations (tensi…</v>
      </c>
    </row>
    <row r="452" spans="1:25" hidden="1" x14ac:dyDescent="0.25">
      <c r="A452" s="249" t="str">
        <f t="shared" si="22"/>
        <v>5</v>
      </c>
      <c r="B452" s="249" t="str">
        <f>VLOOKUP($D452,'[4]1. Mesures'!$A$2:$G$116,6,0)</f>
        <v>OS 5.1</v>
      </c>
      <c r="C452" s="249" t="str">
        <f>VLOOKUP($D452,'[4]1. Mesures'!$A$2:$G$116,7,0)</f>
        <v>OO 5.1.2</v>
      </c>
      <c r="D452" s="249" t="str">
        <f t="shared" si="21"/>
        <v>M 5.6</v>
      </c>
      <c r="E452" s="250" t="s">
        <v>1139</v>
      </c>
      <c r="F452" s="249" t="str">
        <f>VLOOKUP(E452,'5.2 Actions'!$A$3:$B$720,2,0)</f>
        <v>Réaliser des études et projets « pilotes » pour cartographier progressivement sur chaque parcelle le potentiel de déconnexion par bassins versants sur l’ensemble de la Région et rendre les résultats accessibles pour en faire un outil d’aide à la décision de mise en œuvre accélérée de la GiEP (M 5.5.)</v>
      </c>
      <c r="G452" s="251">
        <f>VLOOKUP(E452,'[4]5.2 Actions'!$A$3:$D$718,4,0)</f>
        <v>0</v>
      </c>
      <c r="H452" s="252">
        <f>VLOOKUP($E452,'5.1 Budget'!$A$4:$H$729,2,0)</f>
        <v>485000</v>
      </c>
      <c r="I452" s="252">
        <f>VLOOKUP($E452,'5.1 Budget'!$A$4:$H$729,3,0)</f>
        <v>215000</v>
      </c>
      <c r="J452" s="252">
        <f>VLOOKUP($E452,'5.1 Budget'!$A$4:$H$729,4,0)</f>
        <v>0</v>
      </c>
      <c r="K452" s="252">
        <f>VLOOKUP($E452,'5.1 Budget'!$A$4:$H$729,5,0)</f>
        <v>0</v>
      </c>
      <c r="L452" s="252">
        <f>VLOOKUP($E452,'5.1 Budget'!$A$4:$H$729,6,0)</f>
        <v>0</v>
      </c>
      <c r="M452" s="252">
        <f>VLOOKUP($E452,'5.1 Budget'!$A$4:$H$729,7,0)</f>
        <v>0</v>
      </c>
      <c r="N452" s="252">
        <f>VLOOKUP($E452,'5.1 Budget'!$A$4:$H$729,8,0)</f>
        <v>700000</v>
      </c>
      <c r="V452" t="str">
        <f>VLOOKUP(D452,'[4]1. Mesures'!$A$1:$B$116,2,0)</f>
        <v>Mener des projets pilotes ouvrant la voie à l’innovation et des études  permettant d'objectiver l'impact des mesures liées aux changements climatiques</v>
      </c>
      <c r="W452" t="str">
        <f>VLOOKUP(B452,[1]HIERARCH!$A$1:$B$57,2,0)</f>
        <v>OS 5.1: Gérer les eaux de pluie de façon intégrée  // Alternative : Replacer les eaux de pluie dans leur cycle naturel</v>
      </c>
      <c r="X452" t="str">
        <f>VLOOKUP(C452,[1]HIERARCH!$A$2:$B$57,2,0)</f>
        <v>OO 5.1.2: Mettre en œuvre la GiEP et en assurer la pérennisation</v>
      </c>
      <c r="Y452" t="str">
        <f t="shared" si="23"/>
        <v>Réaliser des études et projets « pilotes » pour cartographier progressivement sur chaque parcelle le potentiel de déconn…</v>
      </c>
    </row>
    <row r="453" spans="1:25" hidden="1" x14ac:dyDescent="0.25">
      <c r="A453" s="249" t="str">
        <f t="shared" si="22"/>
        <v>5</v>
      </c>
      <c r="B453" s="249" t="str">
        <f>VLOOKUP($D453,'[4]1. Mesures'!$A$2:$G$116,6,0)</f>
        <v>OS 5.1</v>
      </c>
      <c r="C453" s="249" t="str">
        <f>VLOOKUP($D453,'[4]1. Mesures'!$A$2:$G$116,7,0)</f>
        <v>OO 5.1.2</v>
      </c>
      <c r="D453" s="249" t="str">
        <f t="shared" si="21"/>
        <v>M 5.6</v>
      </c>
      <c r="E453" s="250" t="s">
        <v>1140</v>
      </c>
      <c r="F453" s="249" t="str">
        <f>VLOOKUP(E453,'5.2 Actions'!$A$3:$B$720,2,0)</f>
        <v>Sur base de ces études et d’un inventaire de l’existant (voir M 5.5), évaluer l’impact attendu de différents scenarios d’ambition de déconnexion sur une série d’indicateurs de performance (volumes pouvant être soustraits des réseaux, …) et des bénéfices écosystémiques (îlots de chaleur urbains)</v>
      </c>
      <c r="G453" s="251">
        <f>VLOOKUP(E453,'[4]5.2 Actions'!$A$3:$D$718,4,0)</f>
        <v>0</v>
      </c>
      <c r="H453" s="252">
        <f>VLOOKUP($E453,'5.1 Budget'!$A$4:$H$729,2,0)</f>
        <v>35000</v>
      </c>
      <c r="I453" s="252">
        <f>VLOOKUP($E453,'5.1 Budget'!$A$4:$H$729,3,0)</f>
        <v>35000</v>
      </c>
      <c r="J453" s="252">
        <f>VLOOKUP($E453,'5.1 Budget'!$A$4:$H$729,4,0)</f>
        <v>0</v>
      </c>
      <c r="K453" s="252">
        <f>VLOOKUP($E453,'5.1 Budget'!$A$4:$H$729,5,0)</f>
        <v>0</v>
      </c>
      <c r="L453" s="252">
        <f>VLOOKUP($E453,'5.1 Budget'!$A$4:$H$729,6,0)</f>
        <v>0</v>
      </c>
      <c r="M453" s="252">
        <f>VLOOKUP($E453,'5.1 Budget'!$A$4:$H$729,7,0)</f>
        <v>0</v>
      </c>
      <c r="N453" s="252">
        <f>VLOOKUP($E453,'5.1 Budget'!$A$4:$H$729,8,0)</f>
        <v>70000</v>
      </c>
      <c r="V453" t="str">
        <f>VLOOKUP(D453,'[4]1. Mesures'!$A$1:$B$116,2,0)</f>
        <v>Mener des projets pilotes ouvrant la voie à l’innovation et des études  permettant d'objectiver l'impact des mesures liées aux changements climatiques</v>
      </c>
      <c r="W453" t="str">
        <f>VLOOKUP(B453,[1]HIERARCH!$A$1:$B$57,2,0)</f>
        <v>OS 5.1: Gérer les eaux de pluie de façon intégrée  // Alternative : Replacer les eaux de pluie dans leur cycle naturel</v>
      </c>
      <c r="X453" t="str">
        <f>VLOOKUP(C453,[1]HIERARCH!$A$2:$B$57,2,0)</f>
        <v>OO 5.1.2: Mettre en œuvre la GiEP et en assurer la pérennisation</v>
      </c>
      <c r="Y453" t="str">
        <f t="shared" si="23"/>
        <v>Sur base de ces études et d’un inventaire de l’existant (voir M 5.5), évaluer l’impact attendu de différents scenarios d…</v>
      </c>
    </row>
    <row r="454" spans="1:25" hidden="1" x14ac:dyDescent="0.25">
      <c r="A454" s="249" t="str">
        <f t="shared" si="22"/>
        <v>5</v>
      </c>
      <c r="B454" s="249" t="str">
        <f>VLOOKUP($D454,'[4]1. Mesures'!$A$2:$G$116,6,0)</f>
        <v>OS 5.1</v>
      </c>
      <c r="C454" s="249" t="str">
        <f>VLOOKUP($D454,'[4]1. Mesures'!$A$2:$G$116,7,0)</f>
        <v>OO 5.1.2</v>
      </c>
      <c r="D454" s="249" t="str">
        <f t="shared" si="21"/>
        <v>M 5.6</v>
      </c>
      <c r="E454" s="250" t="s">
        <v>1141</v>
      </c>
      <c r="F454" s="249" t="str">
        <f>VLOOKUP(E454,'5.2 Actions'!$A$3:$B$720,2,0)</f>
        <v>Développer un outil permettant, à l’instar de BEST (Benefits Estimation Tool), d’évaluer et monétiser les avantages écosystémiques des aménagements GiEP, en les comparant à leurs coûts de mise en œuvre et d’entretien tout au long de leur cycle de vie.</v>
      </c>
      <c r="G454" s="251">
        <f>VLOOKUP(E454,'[4]5.2 Actions'!$A$3:$D$718,4,0)</f>
        <v>0</v>
      </c>
      <c r="H454" s="252">
        <f>VLOOKUP($E454,'5.1 Budget'!$A$4:$H$729,2,0)</f>
        <v>0</v>
      </c>
      <c r="I454" s="252">
        <f>VLOOKUP($E454,'5.1 Budget'!$A$4:$H$729,3,0)</f>
        <v>20000</v>
      </c>
      <c r="J454" s="252">
        <f>VLOOKUP($E454,'5.1 Budget'!$A$4:$H$729,4,0)</f>
        <v>20000</v>
      </c>
      <c r="K454" s="252">
        <f>VLOOKUP($E454,'5.1 Budget'!$A$4:$H$729,5,0)</f>
        <v>0</v>
      </c>
      <c r="L454" s="252">
        <f>VLOOKUP($E454,'5.1 Budget'!$A$4:$H$729,6,0)</f>
        <v>0</v>
      </c>
      <c r="M454" s="252">
        <f>VLOOKUP($E454,'5.1 Budget'!$A$4:$H$729,7,0)</f>
        <v>0</v>
      </c>
      <c r="N454" s="252">
        <f>VLOOKUP($E454,'5.1 Budget'!$A$4:$H$729,8,0)</f>
        <v>40000</v>
      </c>
      <c r="V454" t="str">
        <f>VLOOKUP(D454,'[4]1. Mesures'!$A$1:$B$116,2,0)</f>
        <v>Mener des projets pilotes ouvrant la voie à l’innovation et des études  permettant d'objectiver l'impact des mesures liées aux changements climatiques</v>
      </c>
      <c r="W454" t="str">
        <f>VLOOKUP(B454,[1]HIERARCH!$A$1:$B$57,2,0)</f>
        <v>OS 5.1: Gérer les eaux de pluie de façon intégrée  // Alternative : Replacer les eaux de pluie dans leur cycle naturel</v>
      </c>
      <c r="X454" t="str">
        <f>VLOOKUP(C454,[1]HIERARCH!$A$2:$B$57,2,0)</f>
        <v>OO 5.1.2: Mettre en œuvre la GiEP et en assurer la pérennisation</v>
      </c>
      <c r="Y454" t="str">
        <f t="shared" si="23"/>
        <v>Développer un outil permettant, à l’instar de BEST (Benefits Estimation Tool), d’évaluer et monétiser les avantages écos…</v>
      </c>
    </row>
    <row r="455" spans="1:25" hidden="1" x14ac:dyDescent="0.25">
      <c r="A455" s="249" t="str">
        <f t="shared" si="22"/>
        <v>5</v>
      </c>
      <c r="B455" s="249" t="str">
        <f>VLOOKUP($D455,'[4]1. Mesures'!$A$2:$G$116,6,0)</f>
        <v>OS 5.1</v>
      </c>
      <c r="C455" s="249" t="str">
        <f>VLOOKUP($D455,'[4]1. Mesures'!$A$2:$G$116,7,0)</f>
        <v>OO 5.1.2</v>
      </c>
      <c r="D455" s="249" t="str">
        <f t="shared" si="21"/>
        <v>M 5.6</v>
      </c>
      <c r="E455" s="250" t="s">
        <v>1142</v>
      </c>
      <c r="F455" s="249" t="str">
        <f>VLOOKUP(E455,'5.2 Actions'!$A$3:$B$720,2,0)</f>
        <v>Mieux caractériser dans le contexte bruxellois les risques posés par les ouvrages de gestion en se basant sur les résultats de monitoring et d’études complémentaires, notamment modélisation de la vulnérabilité des eaux souterraines dans le contexte bruxellois, et sur cette base, revoir les outils d’aide à la décision (lignes directrices, vademecums, outils de calculs,…).</v>
      </c>
      <c r="G455" s="251">
        <f>VLOOKUP(E455,'[4]5.2 Actions'!$A$3:$D$718,4,0)</f>
        <v>0</v>
      </c>
      <c r="H455" s="252">
        <f>VLOOKUP($E455,'5.1 Budget'!$A$4:$H$729,2,0)</f>
        <v>80000</v>
      </c>
      <c r="I455" s="252">
        <f>VLOOKUP($E455,'5.1 Budget'!$A$4:$H$729,3,0)</f>
        <v>70000</v>
      </c>
      <c r="J455" s="252">
        <f>VLOOKUP($E455,'5.1 Budget'!$A$4:$H$729,4,0)</f>
        <v>70000</v>
      </c>
      <c r="K455" s="252">
        <f>VLOOKUP($E455,'5.1 Budget'!$A$4:$H$729,5,0)</f>
        <v>0</v>
      </c>
      <c r="L455" s="252">
        <f>VLOOKUP($E455,'5.1 Budget'!$A$4:$H$729,6,0)</f>
        <v>0</v>
      </c>
      <c r="M455" s="252">
        <f>VLOOKUP($E455,'5.1 Budget'!$A$4:$H$729,7,0)</f>
        <v>0</v>
      </c>
      <c r="N455" s="252">
        <f>VLOOKUP($E455,'5.1 Budget'!$A$4:$H$729,8,0)</f>
        <v>220000</v>
      </c>
      <c r="V455" t="str">
        <f>VLOOKUP(D455,'[4]1. Mesures'!$A$1:$B$116,2,0)</f>
        <v>Mener des projets pilotes ouvrant la voie à l’innovation et des études  permettant d'objectiver l'impact des mesures liées aux changements climatiques</v>
      </c>
      <c r="W455" t="str">
        <f>VLOOKUP(B455,[1]HIERARCH!$A$1:$B$57,2,0)</f>
        <v>OS 5.1: Gérer les eaux de pluie de façon intégrée  // Alternative : Replacer les eaux de pluie dans leur cycle naturel</v>
      </c>
      <c r="X455" t="str">
        <f>VLOOKUP(C455,[1]HIERARCH!$A$2:$B$57,2,0)</f>
        <v>OO 5.1.2: Mettre en œuvre la GiEP et en assurer la pérennisation</v>
      </c>
      <c r="Y455" t="str">
        <f t="shared" si="23"/>
        <v>Mieux caractériser dans le contexte bruxellois les risques posés par les ouvrages de gestion en se basant sur les résult…</v>
      </c>
    </row>
    <row r="456" spans="1:25" hidden="1" x14ac:dyDescent="0.25">
      <c r="A456" s="249" t="str">
        <f t="shared" si="22"/>
        <v>5</v>
      </c>
      <c r="B456" s="249" t="str">
        <f>VLOOKUP($D456,'[4]1. Mesures'!$A$2:$G$116,6,0)</f>
        <v>OS 5.1</v>
      </c>
      <c r="C456" s="249" t="str">
        <f>VLOOKUP($D456,'[4]1. Mesures'!$A$2:$G$116,7,0)</f>
        <v>OO 5.1.2</v>
      </c>
      <c r="D456" s="249" t="str">
        <f t="shared" si="21"/>
        <v>M 5.6</v>
      </c>
      <c r="E456" s="250" t="s">
        <v>1143</v>
      </c>
      <c r="F456" s="249" t="str">
        <f>VLOOKUP(E456,'5.2 Actions'!$A$3:$B$720,2,0)</f>
        <v>Etudier l’impact environnemental de différents revêtements, notamment par rapport aux ilots de chaleur urbains afin d’objectiver les stratégies de pose (choix des matériaux, emplacement, modalités de mise en œuvre,…)</v>
      </c>
      <c r="G456" s="251">
        <f>VLOOKUP(E456,'[4]5.2 Actions'!$A$3:$D$718,4,0)</f>
        <v>0</v>
      </c>
      <c r="H456" s="252">
        <f>VLOOKUP($E456,'5.1 Budget'!$A$4:$H$729,2,0)</f>
        <v>0</v>
      </c>
      <c r="I456" s="252">
        <f>VLOOKUP($E456,'5.1 Budget'!$A$4:$H$729,3,0)</f>
        <v>0</v>
      </c>
      <c r="J456" s="252">
        <f>VLOOKUP($E456,'5.1 Budget'!$A$4:$H$729,4,0)</f>
        <v>0</v>
      </c>
      <c r="K456" s="252">
        <f>VLOOKUP($E456,'5.1 Budget'!$A$4:$H$729,5,0)</f>
        <v>0</v>
      </c>
      <c r="L456" s="252">
        <f>VLOOKUP($E456,'5.1 Budget'!$A$4:$H$729,6,0)</f>
        <v>0</v>
      </c>
      <c r="M456" s="252">
        <f>VLOOKUP($E456,'5.1 Budget'!$A$4:$H$729,7,0)</f>
        <v>0</v>
      </c>
      <c r="N456" s="252">
        <f>VLOOKUP($E456,'5.1 Budget'!$A$4:$H$729,8,0)</f>
        <v>0</v>
      </c>
      <c r="V456" t="str">
        <f>VLOOKUP(D456,'[4]1. Mesures'!$A$1:$B$116,2,0)</f>
        <v>Mener des projets pilotes ouvrant la voie à l’innovation et des études  permettant d'objectiver l'impact des mesures liées aux changements climatiques</v>
      </c>
      <c r="W456" t="str">
        <f>VLOOKUP(B456,[1]HIERARCH!$A$1:$B$57,2,0)</f>
        <v>OS 5.1: Gérer les eaux de pluie de façon intégrée  // Alternative : Replacer les eaux de pluie dans leur cycle naturel</v>
      </c>
      <c r="X456" t="str">
        <f>VLOOKUP(C456,[1]HIERARCH!$A$2:$B$57,2,0)</f>
        <v>OO 5.1.2: Mettre en œuvre la GiEP et en assurer la pérennisation</v>
      </c>
      <c r="Y456" t="str">
        <f t="shared" si="23"/>
        <v>Etudier l’impact environnemental de différents revêtements, notamment par rapport aux ilots de chaleur urbains afin d’ob…</v>
      </c>
    </row>
    <row r="457" spans="1:25" hidden="1" x14ac:dyDescent="0.25">
      <c r="A457" s="249" t="str">
        <f t="shared" si="22"/>
        <v>5</v>
      </c>
      <c r="B457" s="249" t="str">
        <f>VLOOKUP($D457,'[4]1. Mesures'!$A$2:$G$116,6,0)</f>
        <v>OS 5.1</v>
      </c>
      <c r="C457" s="249" t="str">
        <f>VLOOKUP($D457,'[4]1. Mesures'!$A$2:$G$116,7,0)</f>
        <v>OO 5.1.2</v>
      </c>
      <c r="D457" s="249" t="str">
        <f t="shared" si="21"/>
        <v>M 5.6</v>
      </c>
      <c r="E457" s="250" t="s">
        <v>1144</v>
      </c>
      <c r="F457" s="249" t="str">
        <f>VLOOKUP(E457,'5.2 Actions'!$A$3:$B$720,2,0)</f>
        <v>Sur base des mesures précédentes, établir une balance risque/bénéfice pour aboutir à la meilleure stratégie de gestion possible</v>
      </c>
      <c r="G457" s="251">
        <f>VLOOKUP(E457,'[4]5.2 Actions'!$A$3:$D$718,4,0)</f>
        <v>0</v>
      </c>
      <c r="H457" s="252">
        <f>VLOOKUP($E457,'5.1 Budget'!$A$4:$H$729,2,0)</f>
        <v>0</v>
      </c>
      <c r="I457" s="252">
        <f>VLOOKUP($E457,'5.1 Budget'!$A$4:$H$729,3,0)</f>
        <v>0</v>
      </c>
      <c r="J457" s="252">
        <f>VLOOKUP($E457,'5.1 Budget'!$A$4:$H$729,4,0)</f>
        <v>0</v>
      </c>
      <c r="K457" s="252">
        <f>VLOOKUP($E457,'5.1 Budget'!$A$4:$H$729,5,0)</f>
        <v>0</v>
      </c>
      <c r="L457" s="252">
        <f>VLOOKUP($E457,'5.1 Budget'!$A$4:$H$729,6,0)</f>
        <v>0</v>
      </c>
      <c r="M457" s="252">
        <f>VLOOKUP($E457,'5.1 Budget'!$A$4:$H$729,7,0)</f>
        <v>0</v>
      </c>
      <c r="N457" s="252">
        <f>VLOOKUP($E457,'5.1 Budget'!$A$4:$H$729,8,0)</f>
        <v>0</v>
      </c>
      <c r="V457" t="str">
        <f>VLOOKUP(D457,'[4]1. Mesures'!$A$1:$B$116,2,0)</f>
        <v>Mener des projets pilotes ouvrant la voie à l’innovation et des études  permettant d'objectiver l'impact des mesures liées aux changements climatiques</v>
      </c>
      <c r="W457" t="str">
        <f>VLOOKUP(B457,[1]HIERARCH!$A$1:$B$57,2,0)</f>
        <v>OS 5.1: Gérer les eaux de pluie de façon intégrée  // Alternative : Replacer les eaux de pluie dans leur cycle naturel</v>
      </c>
      <c r="X457" t="str">
        <f>VLOOKUP(C457,[1]HIERARCH!$A$2:$B$57,2,0)</f>
        <v>OO 5.1.2: Mettre en œuvre la GiEP et en assurer la pérennisation</v>
      </c>
      <c r="Y457" t="str">
        <f t="shared" si="23"/>
        <v>Sur base des mesures précédentes, établir une balance risque/bénéfice pour aboutir à la meilleure stratégie de gestion p…</v>
      </c>
    </row>
    <row r="458" spans="1:25" hidden="1" x14ac:dyDescent="0.25">
      <c r="A458" s="249" t="str">
        <f t="shared" si="22"/>
        <v>5</v>
      </c>
      <c r="B458" s="249" t="str">
        <f>VLOOKUP($D458,'[4]1. Mesures'!$A$2:$G$116,6,0)</f>
        <v>OS 5.1</v>
      </c>
      <c r="C458" s="249" t="str">
        <f>VLOOKUP($D458,'[4]1. Mesures'!$A$2:$G$116,7,0)</f>
        <v>OO 5.1.2</v>
      </c>
      <c r="D458" s="249" t="str">
        <f t="shared" ref="D458:D473" si="24">"M"&amp;" "&amp;LEFT(E458,3)</f>
        <v>M 5.6</v>
      </c>
      <c r="E458" s="250" t="s">
        <v>1145</v>
      </c>
      <c r="F458" s="249" t="str">
        <f>VLOOKUP(E458,'5.2 Actions'!$A$3:$B$720,2,0)</f>
        <v>Afin de mieux catégoriser le risque spécifique posé pour les ouvrages de gestion, réaliser un diagnostic à l’échelle communale et régionale dans l’usage du sel comme fondant chimique</v>
      </c>
      <c r="G458" s="251">
        <f>VLOOKUP(E458,'[4]5.2 Actions'!$A$3:$D$718,4,0)</f>
        <v>0</v>
      </c>
      <c r="H458" s="252">
        <f>VLOOKUP($E458,'5.1 Budget'!$A$4:$H$729,2,0)</f>
        <v>0</v>
      </c>
      <c r="I458" s="252">
        <f>VLOOKUP($E458,'5.1 Budget'!$A$4:$H$729,3,0)</f>
        <v>40000</v>
      </c>
      <c r="J458" s="252">
        <f>VLOOKUP($E458,'5.1 Budget'!$A$4:$H$729,4,0)</f>
        <v>0</v>
      </c>
      <c r="K458" s="252">
        <f>VLOOKUP($E458,'5.1 Budget'!$A$4:$H$729,5,0)</f>
        <v>0</v>
      </c>
      <c r="L458" s="252">
        <f>VLOOKUP($E458,'5.1 Budget'!$A$4:$H$729,6,0)</f>
        <v>0</v>
      </c>
      <c r="M458" s="252">
        <f>VLOOKUP($E458,'5.1 Budget'!$A$4:$H$729,7,0)</f>
        <v>0</v>
      </c>
      <c r="N458" s="252">
        <f>VLOOKUP($E458,'5.1 Budget'!$A$4:$H$729,8,0)</f>
        <v>40000</v>
      </c>
      <c r="V458" t="str">
        <f>VLOOKUP(D458,'[4]1. Mesures'!$A$1:$B$116,2,0)</f>
        <v>Mener des projets pilotes ouvrant la voie à l’innovation et des études  permettant d'objectiver l'impact des mesures liées aux changements climatiques</v>
      </c>
      <c r="W458" t="str">
        <f>VLOOKUP(B458,[1]HIERARCH!$A$1:$B$57,2,0)</f>
        <v>OS 5.1: Gérer les eaux de pluie de façon intégrée  // Alternative : Replacer les eaux de pluie dans leur cycle naturel</v>
      </c>
      <c r="X458" t="str">
        <f>VLOOKUP(C458,[1]HIERARCH!$A$2:$B$57,2,0)</f>
        <v>OO 5.1.2: Mettre en œuvre la GiEP et en assurer la pérennisation</v>
      </c>
      <c r="Y458" t="str">
        <f t="shared" si="23"/>
        <v>Afin de mieux catégoriser le risque spécifique posé pour les ouvrages de gestion, réaliser un diagnostic à l’échelle com…</v>
      </c>
    </row>
    <row r="459" spans="1:25" hidden="1" x14ac:dyDescent="0.25">
      <c r="A459" s="249" t="str">
        <f t="shared" si="22"/>
        <v>5</v>
      </c>
      <c r="B459" s="249" t="str">
        <f>VLOOKUP($D459,'[4]1. Mesures'!$A$2:$G$116,6,0)</f>
        <v>OS 5.1</v>
      </c>
      <c r="C459" s="249" t="str">
        <f>VLOOKUP($D459,'[4]1. Mesures'!$A$2:$G$116,7,0)</f>
        <v>OO 5.1.2</v>
      </c>
      <c r="D459" s="249" t="str">
        <f t="shared" si="24"/>
        <v>M 5.6</v>
      </c>
      <c r="E459" s="250" t="s">
        <v>1146</v>
      </c>
      <c r="F459" s="249" t="str">
        <f>VLOOKUP(E459,'5.2 Actions'!$A$3:$B$720,2,0)</f>
        <v>Actualiser la cartographie régionale du taux d’imperméabilisation des sols</v>
      </c>
      <c r="G459" s="251">
        <f>VLOOKUP(E459,'[4]5.2 Actions'!$A$3:$D$718,4,0)</f>
        <v>0</v>
      </c>
      <c r="H459" s="252">
        <f>VLOOKUP($E459,'5.1 Budget'!$A$4:$H$729,2,0)</f>
        <v>40000</v>
      </c>
      <c r="I459" s="252">
        <f>VLOOKUP($E459,'5.1 Budget'!$A$4:$H$729,3,0)</f>
        <v>0</v>
      </c>
      <c r="J459" s="252">
        <f>VLOOKUP($E459,'5.1 Budget'!$A$4:$H$729,4,0)</f>
        <v>0</v>
      </c>
      <c r="K459" s="252">
        <f>VLOOKUP($E459,'5.1 Budget'!$A$4:$H$729,5,0)</f>
        <v>0</v>
      </c>
      <c r="L459" s="252">
        <f>VLOOKUP($E459,'5.1 Budget'!$A$4:$H$729,6,0)</f>
        <v>0</v>
      </c>
      <c r="M459" s="252">
        <f>VLOOKUP($E459,'5.1 Budget'!$A$4:$H$729,7,0)</f>
        <v>0</v>
      </c>
      <c r="N459" s="252">
        <f>VLOOKUP($E459,'5.1 Budget'!$A$4:$H$729,8,0)</f>
        <v>40000</v>
      </c>
      <c r="V459" t="str">
        <f>VLOOKUP(D459,'[4]1. Mesures'!$A$1:$B$116,2,0)</f>
        <v>Mener des projets pilotes ouvrant la voie à l’innovation et des études  permettant d'objectiver l'impact des mesures liées aux changements climatiques</v>
      </c>
      <c r="W459" t="str">
        <f>VLOOKUP(B459,[1]HIERARCH!$A$1:$B$57,2,0)</f>
        <v>OS 5.1: Gérer les eaux de pluie de façon intégrée  // Alternative : Replacer les eaux de pluie dans leur cycle naturel</v>
      </c>
      <c r="X459" t="str">
        <f>VLOOKUP(C459,[1]HIERARCH!$A$2:$B$57,2,0)</f>
        <v>OO 5.1.2: Mettre en œuvre la GiEP et en assurer la pérennisation</v>
      </c>
      <c r="Y459" t="str">
        <f t="shared" si="23"/>
        <v>Actualiser la cartographie régionale du taux d’imperméabilisation des sols…</v>
      </c>
    </row>
    <row r="460" spans="1:25" hidden="1" x14ac:dyDescent="0.25">
      <c r="A460" s="249" t="str">
        <f t="shared" si="22"/>
        <v>5</v>
      </c>
      <c r="B460" s="249" t="str">
        <f>VLOOKUP($D460,'[4]1. Mesures'!$A$2:$G$116,6,0)</f>
        <v>OS 5.2</v>
      </c>
      <c r="C460" s="249" t="str">
        <f>VLOOKUP($D460,'[4]1. Mesures'!$A$2:$G$116,7,0)</f>
        <v>OO 5.2.1</v>
      </c>
      <c r="D460" s="249" t="str">
        <f t="shared" si="24"/>
        <v>M 5.7</v>
      </c>
      <c r="E460" s="250" t="s">
        <v>1147</v>
      </c>
      <c r="F460" s="249" t="str">
        <f>VLOOKUP(E460,'5.2 Actions'!$A$3:$B$720,2,0)</f>
        <v>Intégrer dans les outils règlementaires des mesures dérogatoires menant au recours à une simple temporisation avec débit limité, lorsque la solution GIEP est démontrée avoir atteint sa limite, pour gérer en tout ou en partie les eaux de ruissellement de la parcelle privée ou publique considérée.</v>
      </c>
      <c r="G460" s="251">
        <f>VLOOKUP(E460,'[4]5.2 Actions'!$A$3:$D$718,4,0)</f>
        <v>0</v>
      </c>
      <c r="H460" s="252">
        <f>VLOOKUP($E460,'5.1 Budget'!$A$4:$H$729,2,0)</f>
        <v>0</v>
      </c>
      <c r="I460" s="252">
        <f>VLOOKUP($E460,'5.1 Budget'!$A$4:$H$729,3,0)</f>
        <v>0</v>
      </c>
      <c r="J460" s="252">
        <f>VLOOKUP($E460,'5.1 Budget'!$A$4:$H$729,4,0)</f>
        <v>0</v>
      </c>
      <c r="K460" s="252">
        <f>VLOOKUP($E460,'5.1 Budget'!$A$4:$H$729,5,0)</f>
        <v>0</v>
      </c>
      <c r="L460" s="252">
        <f>VLOOKUP($E460,'5.1 Budget'!$A$4:$H$729,6,0)</f>
        <v>0</v>
      </c>
      <c r="M460" s="252">
        <f>VLOOKUP($E460,'5.1 Budget'!$A$4:$H$729,7,0)</f>
        <v>0</v>
      </c>
      <c r="N460" s="252">
        <f>VLOOKUP($E460,'5.1 Budget'!$A$4:$H$729,8,0)</f>
        <v>0</v>
      </c>
      <c r="V460" t="str">
        <f>VLOOKUP(D460,'[4]1. Mesures'!$A$1:$B$116,2,0)</f>
        <v>Assurer la temporisation des eaux pluviales ainsi que leur valorisation optimale en cas de contraintes menant à leurs rejets hors de la parcelle</v>
      </c>
      <c r="W460" t="str">
        <f>VLOOKUP(B460,[1]HIERARCH!$A$1:$B$57,2,0)</f>
        <v xml:space="preserve">OS 5.2: Diminuer la fréquence et l’ampleur des inondations  </v>
      </c>
      <c r="X460" t="str">
        <f>VLOOKUP(C460,[1]HIERARCH!$A$2:$B$57,2,0)</f>
        <v xml:space="preserve">OO 5.2.1: Gérer à la parcelle les eaux de pluies exceptionnelles pour ne les renvoyer vers l’aval qu’à débit nul ou limité  </v>
      </c>
      <c r="Y460" t="str">
        <f t="shared" si="23"/>
        <v>Intégrer dans les outils règlementaires des mesures dérogatoires menant au recours à une simple temporisation avec débit…</v>
      </c>
    </row>
    <row r="461" spans="1:25" hidden="1" x14ac:dyDescent="0.25">
      <c r="A461" s="249" t="str">
        <f t="shared" si="22"/>
        <v>5</v>
      </c>
      <c r="B461" s="249" t="str">
        <f>VLOOKUP($D461,'[4]1. Mesures'!$A$2:$G$116,6,0)</f>
        <v>OS 5.2</v>
      </c>
      <c r="C461" s="249" t="str">
        <f>VLOOKUP($D461,'[4]1. Mesures'!$A$2:$G$116,7,0)</f>
        <v>OO 5.2.1</v>
      </c>
      <c r="D461" s="249" t="str">
        <f t="shared" si="24"/>
        <v>M 5.7</v>
      </c>
      <c r="E461" s="250" t="s">
        <v>1148</v>
      </c>
      <c r="F461" s="249" t="str">
        <f>VLOOKUP(E461,'5.2 Actions'!$A$3:$B$720,2,0)</f>
        <v>Intégrer dans les nouvelles Conditions générales « eaux pluviales » du Permis d’Environnement, des mesures dérogatoires menant au recours à une simple temporisation avec débit limité, lorsque la solution GIEP est démontrée avoir atteint sa limite, pour gérer en tout ou en partie les eaux de ruissellement de la parcelle privée ou publique considérée.</v>
      </c>
      <c r="G461" s="251">
        <f>VLOOKUP(E461,'[4]5.2 Actions'!$A$3:$D$718,4,0)</f>
        <v>0</v>
      </c>
      <c r="H461" s="252">
        <f>VLOOKUP($E461,'5.1 Budget'!$A$4:$H$729,2,0)</f>
        <v>0</v>
      </c>
      <c r="I461" s="252">
        <f>VLOOKUP($E461,'5.1 Budget'!$A$4:$H$729,3,0)</f>
        <v>0</v>
      </c>
      <c r="J461" s="252">
        <f>VLOOKUP($E461,'5.1 Budget'!$A$4:$H$729,4,0)</f>
        <v>0</v>
      </c>
      <c r="K461" s="252">
        <f>VLOOKUP($E461,'5.1 Budget'!$A$4:$H$729,5,0)</f>
        <v>0</v>
      </c>
      <c r="L461" s="252">
        <f>VLOOKUP($E461,'5.1 Budget'!$A$4:$H$729,6,0)</f>
        <v>0</v>
      </c>
      <c r="M461" s="252">
        <f>VLOOKUP($E461,'5.1 Budget'!$A$4:$H$729,7,0)</f>
        <v>0</v>
      </c>
      <c r="N461" s="252">
        <f>VLOOKUP($E461,'5.1 Budget'!$A$4:$H$729,8,0)</f>
        <v>0</v>
      </c>
      <c r="V461" t="str">
        <f>VLOOKUP(D461,'[4]1. Mesures'!$A$1:$B$116,2,0)</f>
        <v>Assurer la temporisation des eaux pluviales ainsi que leur valorisation optimale en cas de contraintes menant à leurs rejets hors de la parcelle</v>
      </c>
      <c r="W461" t="str">
        <f>VLOOKUP(B461,[1]HIERARCH!$A$1:$B$57,2,0)</f>
        <v xml:space="preserve">OS 5.2: Diminuer la fréquence et l’ampleur des inondations  </v>
      </c>
      <c r="X461" t="str">
        <f>VLOOKUP(C461,[1]HIERARCH!$A$2:$B$57,2,0)</f>
        <v xml:space="preserve">OO 5.2.1: Gérer à la parcelle les eaux de pluies exceptionnelles pour ne les renvoyer vers l’aval qu’à débit nul ou limité  </v>
      </c>
      <c r="Y461" t="str">
        <f t="shared" si="23"/>
        <v>Intégrer dans les nouvelles Conditions générales « eaux pluviales » du Permis d’Environnement, des mesures dérogatoires …</v>
      </c>
    </row>
    <row r="462" spans="1:25" hidden="1" x14ac:dyDescent="0.25">
      <c r="A462" s="249" t="str">
        <f t="shared" si="22"/>
        <v>5</v>
      </c>
      <c r="B462" s="249" t="str">
        <f>VLOOKUP($D462,'[4]1. Mesures'!$A$2:$G$116,6,0)</f>
        <v>OS 5.2</v>
      </c>
      <c r="C462" s="249" t="str">
        <f>VLOOKUP($D462,'[4]1. Mesures'!$A$2:$G$116,7,0)</f>
        <v>OO 5.2.1</v>
      </c>
      <c r="D462" s="249" t="str">
        <f t="shared" si="24"/>
        <v>M 5.7</v>
      </c>
      <c r="E462" s="250" t="s">
        <v>1149</v>
      </c>
      <c r="F462" s="249" t="str">
        <f>VLOOKUP(E462,'5.2 Actions'!$A$3:$B$720,2,0)</f>
        <v>Poursuivre le recensement des bassins d’orage visés par l’arrêté du Gouvernement du 23 mai 2019</v>
      </c>
      <c r="G462" s="251">
        <f>VLOOKUP(E462,'[4]5.2 Actions'!$A$3:$D$718,4,0)</f>
        <v>0</v>
      </c>
      <c r="H462" s="252">
        <f>VLOOKUP($E462,'5.1 Budget'!$A$4:$H$729,2,0)</f>
        <v>0</v>
      </c>
      <c r="I462" s="252">
        <f>VLOOKUP($E462,'5.1 Budget'!$A$4:$H$729,3,0)</f>
        <v>0</v>
      </c>
      <c r="J462" s="252">
        <f>VLOOKUP($E462,'5.1 Budget'!$A$4:$H$729,4,0)</f>
        <v>0</v>
      </c>
      <c r="K462" s="252">
        <f>VLOOKUP($E462,'5.1 Budget'!$A$4:$H$729,5,0)</f>
        <v>0</v>
      </c>
      <c r="L462" s="252">
        <f>VLOOKUP($E462,'5.1 Budget'!$A$4:$H$729,6,0)</f>
        <v>0</v>
      </c>
      <c r="M462" s="252">
        <f>VLOOKUP($E462,'5.1 Budget'!$A$4:$H$729,7,0)</f>
        <v>0</v>
      </c>
      <c r="N462" s="252">
        <f>VLOOKUP($E462,'5.1 Budget'!$A$4:$H$729,8,0)</f>
        <v>0</v>
      </c>
      <c r="V462" t="str">
        <f>VLOOKUP(D462,'[4]1. Mesures'!$A$1:$B$116,2,0)</f>
        <v>Assurer la temporisation des eaux pluviales ainsi que leur valorisation optimale en cas de contraintes menant à leurs rejets hors de la parcelle</v>
      </c>
      <c r="W462" t="str">
        <f>VLOOKUP(B462,[1]HIERARCH!$A$1:$B$57,2,0)</f>
        <v xml:space="preserve">OS 5.2: Diminuer la fréquence et l’ampleur des inondations  </v>
      </c>
      <c r="X462" t="str">
        <f>VLOOKUP(C462,[1]HIERARCH!$A$2:$B$57,2,0)</f>
        <v xml:space="preserve">OO 5.2.1: Gérer à la parcelle les eaux de pluies exceptionnelles pour ne les renvoyer vers l’aval qu’à débit nul ou limité  </v>
      </c>
      <c r="Y462" t="str">
        <f t="shared" si="23"/>
        <v>Poursuivre le recensement des bassins d’orage visés par l’arrêté du Gouvernement du 23 mai 2019…</v>
      </c>
    </row>
    <row r="463" spans="1:25" hidden="1" x14ac:dyDescent="0.25">
      <c r="A463" s="249" t="str">
        <f t="shared" si="22"/>
        <v>5</v>
      </c>
      <c r="B463" s="249" t="str">
        <f>VLOOKUP($D463,'[4]1. Mesures'!$A$2:$G$116,6,0)</f>
        <v>OS 5.2</v>
      </c>
      <c r="C463" s="249" t="str">
        <f>VLOOKUP($D463,'[4]1. Mesures'!$A$2:$G$116,7,0)</f>
        <v>OO 5.2.1</v>
      </c>
      <c r="D463" s="249" t="str">
        <f t="shared" si="24"/>
        <v>M 5.7</v>
      </c>
      <c r="E463" s="250" t="s">
        <v>1150</v>
      </c>
      <c r="F463" s="249" t="str">
        <f>VLOOKUP(E463,'5.2 Actions'!$A$3:$B$720,2,0)</f>
        <v>Etablir un guide « exploitant » pour ces installations classées</v>
      </c>
      <c r="G463" s="251">
        <f>VLOOKUP(E463,'[4]5.2 Actions'!$A$3:$D$718,4,0)</f>
        <v>0</v>
      </c>
      <c r="H463" s="252">
        <f>VLOOKUP($E463,'5.1 Budget'!$A$4:$H$729,2,0)</f>
        <v>0</v>
      </c>
      <c r="I463" s="252">
        <f>VLOOKUP($E463,'5.1 Budget'!$A$4:$H$729,3,0)</f>
        <v>0</v>
      </c>
      <c r="J463" s="252">
        <f>VLOOKUP($E463,'5.1 Budget'!$A$4:$H$729,4,0)</f>
        <v>0</v>
      </c>
      <c r="K463" s="252">
        <f>VLOOKUP($E463,'5.1 Budget'!$A$4:$H$729,5,0)</f>
        <v>0</v>
      </c>
      <c r="L463" s="252">
        <f>VLOOKUP($E463,'5.1 Budget'!$A$4:$H$729,6,0)</f>
        <v>0</v>
      </c>
      <c r="M463" s="252">
        <f>VLOOKUP($E463,'5.1 Budget'!$A$4:$H$729,7,0)</f>
        <v>0</v>
      </c>
      <c r="N463" s="252">
        <f>VLOOKUP($E463,'5.1 Budget'!$A$4:$H$729,8,0)</f>
        <v>0</v>
      </c>
      <c r="V463" t="str">
        <f>VLOOKUP(D463,'[4]1. Mesures'!$A$1:$B$116,2,0)</f>
        <v>Assurer la temporisation des eaux pluviales ainsi que leur valorisation optimale en cas de contraintes menant à leurs rejets hors de la parcelle</v>
      </c>
      <c r="W463" t="str">
        <f>VLOOKUP(B463,[1]HIERARCH!$A$1:$B$57,2,0)</f>
        <v xml:space="preserve">OS 5.2: Diminuer la fréquence et l’ampleur des inondations  </v>
      </c>
      <c r="X463" t="str">
        <f>VLOOKUP(C463,[1]HIERARCH!$A$2:$B$57,2,0)</f>
        <v xml:space="preserve">OO 5.2.1: Gérer à la parcelle les eaux de pluies exceptionnelles pour ne les renvoyer vers l’aval qu’à débit nul ou limité  </v>
      </c>
      <c r="Y463" t="str">
        <f t="shared" si="23"/>
        <v>Etablir un guide « exploitant » pour ces installations classées…</v>
      </c>
    </row>
    <row r="464" spans="1:25" hidden="1" x14ac:dyDescent="0.25">
      <c r="A464" s="249" t="str">
        <f t="shared" si="22"/>
        <v>5</v>
      </c>
      <c r="B464" s="249" t="str">
        <f>VLOOKUP($D464,'[4]1. Mesures'!$A$2:$G$116,6,0)</f>
        <v>OS 5.2</v>
      </c>
      <c r="C464" s="249" t="str">
        <f>VLOOKUP($D464,'[4]1. Mesures'!$A$2:$G$116,7,0)</f>
        <v>OO 5.2.1</v>
      </c>
      <c r="D464" s="249" t="str">
        <f t="shared" si="24"/>
        <v>M 5.7</v>
      </c>
      <c r="E464" s="250" t="s">
        <v>1151</v>
      </c>
      <c r="F464" s="249" t="str">
        <f>VLOOKUP(E464,'5.2 Actions'!$A$3:$B$720,2,0)</f>
        <v>Assurer les contrôles prévus par l’arrêté du Gouvernement de la région de Bruxelles-Capitale du 23 mai 2019 ou délégués par Bruxelles Environnement sur base des données transmises par Bruxelles Environnement, Urban et/ou les communes</v>
      </c>
      <c r="G464" s="251">
        <f>VLOOKUP(E464,'[4]5.2 Actions'!$A$3:$D$718,4,0)</f>
        <v>0</v>
      </c>
      <c r="H464" s="252">
        <f>VLOOKUP($E464,'5.1 Budget'!$A$4:$H$729,2,0)</f>
        <v>0</v>
      </c>
      <c r="I464" s="252">
        <f>VLOOKUP($E464,'5.1 Budget'!$A$4:$H$729,3,0)</f>
        <v>0</v>
      </c>
      <c r="J464" s="252">
        <f>VLOOKUP($E464,'5.1 Budget'!$A$4:$H$729,4,0)</f>
        <v>0</v>
      </c>
      <c r="K464" s="252">
        <f>VLOOKUP($E464,'5.1 Budget'!$A$4:$H$729,5,0)</f>
        <v>0</v>
      </c>
      <c r="L464" s="252">
        <f>VLOOKUP($E464,'5.1 Budget'!$A$4:$H$729,6,0)</f>
        <v>0</v>
      </c>
      <c r="M464" s="252">
        <f>VLOOKUP($E464,'5.1 Budget'!$A$4:$H$729,7,0)</f>
        <v>0</v>
      </c>
      <c r="N464" s="252">
        <f>VLOOKUP($E464,'5.1 Budget'!$A$4:$H$729,8,0)</f>
        <v>0</v>
      </c>
      <c r="V464" t="str">
        <f>VLOOKUP(D464,'[4]1. Mesures'!$A$1:$B$116,2,0)</f>
        <v>Assurer la temporisation des eaux pluviales ainsi que leur valorisation optimale en cas de contraintes menant à leurs rejets hors de la parcelle</v>
      </c>
      <c r="W464" t="str">
        <f>VLOOKUP(B464,[1]HIERARCH!$A$1:$B$57,2,0)</f>
        <v xml:space="preserve">OS 5.2: Diminuer la fréquence et l’ampleur des inondations  </v>
      </c>
      <c r="X464" t="str">
        <f>VLOOKUP(C464,[1]HIERARCH!$A$2:$B$57,2,0)</f>
        <v xml:space="preserve">OO 5.2.1: Gérer à la parcelle les eaux de pluies exceptionnelles pour ne les renvoyer vers l’aval qu’à débit nul ou limité  </v>
      </c>
      <c r="Y464" t="str">
        <f t="shared" si="23"/>
        <v>Assurer les contrôles prévus par l’arrêté du Gouvernement de la région de Bruxelles-Capitale du 23 mai 2019 ou délégués …</v>
      </c>
    </row>
    <row r="465" spans="1:25" hidden="1" x14ac:dyDescent="0.25">
      <c r="A465" s="249" t="str">
        <f t="shared" si="22"/>
        <v>5</v>
      </c>
      <c r="B465" s="249" t="str">
        <f>VLOOKUP($D465,'[4]1. Mesures'!$A$2:$G$116,6,0)</f>
        <v>OS 5.2</v>
      </c>
      <c r="C465" s="249" t="str">
        <f>VLOOKUP($D465,'[4]1. Mesures'!$A$2:$G$116,7,0)</f>
        <v>OO 5.2.1</v>
      </c>
      <c r="D465" s="249" t="str">
        <f t="shared" si="24"/>
        <v>M 5.7</v>
      </c>
      <c r="E465" s="250" t="s">
        <v>1152</v>
      </c>
      <c r="F465" s="249" t="str">
        <f>VLOOKUP(E465,'5.2 Actions'!$A$3:$B$720,2,0)</f>
        <v>Evaluer la bonne effectivité de la règlementation au regard des objectifs poursuivis et proposer d’éventuelles améliorations</v>
      </c>
      <c r="G465" s="251">
        <f>VLOOKUP(E465,'[4]5.2 Actions'!$A$3:$D$718,4,0)</f>
        <v>0</v>
      </c>
      <c r="H465" s="252">
        <f>VLOOKUP($E465,'5.1 Budget'!$A$4:$H$729,2,0)</f>
        <v>0</v>
      </c>
      <c r="I465" s="252">
        <f>VLOOKUP($E465,'5.1 Budget'!$A$4:$H$729,3,0)</f>
        <v>0</v>
      </c>
      <c r="J465" s="252">
        <f>VLOOKUP($E465,'5.1 Budget'!$A$4:$H$729,4,0)</f>
        <v>0</v>
      </c>
      <c r="K465" s="252">
        <f>VLOOKUP($E465,'5.1 Budget'!$A$4:$H$729,5,0)</f>
        <v>0</v>
      </c>
      <c r="L465" s="252">
        <f>VLOOKUP($E465,'5.1 Budget'!$A$4:$H$729,6,0)</f>
        <v>0</v>
      </c>
      <c r="M465" s="252">
        <f>VLOOKUP($E465,'5.1 Budget'!$A$4:$H$729,7,0)</f>
        <v>0</v>
      </c>
      <c r="N465" s="252">
        <f>VLOOKUP($E465,'5.1 Budget'!$A$4:$H$729,8,0)</f>
        <v>0</v>
      </c>
      <c r="V465" t="str">
        <f>VLOOKUP(D465,'[4]1. Mesures'!$A$1:$B$116,2,0)</f>
        <v>Assurer la temporisation des eaux pluviales ainsi que leur valorisation optimale en cas de contraintes menant à leurs rejets hors de la parcelle</v>
      </c>
      <c r="W465" t="str">
        <f>VLOOKUP(B465,[1]HIERARCH!$A$1:$B$57,2,0)</f>
        <v xml:space="preserve">OS 5.2: Diminuer la fréquence et l’ampleur des inondations  </v>
      </c>
      <c r="X465" t="str">
        <f>VLOOKUP(C465,[1]HIERARCH!$A$2:$B$57,2,0)</f>
        <v xml:space="preserve">OO 5.2.1: Gérer à la parcelle les eaux de pluies exceptionnelles pour ne les renvoyer vers l’aval qu’à débit nul ou limité  </v>
      </c>
      <c r="Y465" t="str">
        <f t="shared" si="23"/>
        <v>Evaluer la bonne effectivité de la règlementation au regard des objectifs poursuivis et proposer d’éventuelles améliorat…</v>
      </c>
    </row>
    <row r="466" spans="1:25" hidden="1" x14ac:dyDescent="0.25">
      <c r="A466" s="249" t="str">
        <f t="shared" si="22"/>
        <v>5</v>
      </c>
      <c r="B466" s="249" t="str">
        <f>VLOOKUP($D466,'[4]1. Mesures'!$A$2:$G$116,6,0)</f>
        <v>OS 5.2</v>
      </c>
      <c r="C466" s="249" t="str">
        <f>VLOOKUP($D466,'[4]1. Mesures'!$A$2:$G$116,7,0)</f>
        <v>OO 5.2.1</v>
      </c>
      <c r="D466" s="249" t="str">
        <f t="shared" si="24"/>
        <v>M 5.7</v>
      </c>
      <c r="E466" s="250" t="s">
        <v>1153</v>
      </c>
      <c r="F466" s="249" t="str">
        <f>VLOOKUP(E466,'5.2 Actions'!$A$3:$B$720,2,0)</f>
        <v>Favoriser l’utilisation des méthodes de tamponnage avec débit limité qui ont le moindre impact négatif environnemental.
Certains types de matériaux (plastic, béton, résines,…) ou mise en œuvre (profondeur, surface imperméable supplémentaire) présentent un impact environnemental plus négatif que d’autres. Une sensibilisation sur l’importance de ces choix doit être réalisée.</v>
      </c>
      <c r="G466" s="251">
        <f>VLOOKUP(E466,'[4]5.2 Actions'!$A$3:$D$718,4,0)</f>
        <v>0</v>
      </c>
      <c r="H466" s="252">
        <f>VLOOKUP($E466,'5.1 Budget'!$A$4:$H$729,2,0)</f>
        <v>0</v>
      </c>
      <c r="I466" s="252">
        <f>VLOOKUP($E466,'5.1 Budget'!$A$4:$H$729,3,0)</f>
        <v>0</v>
      </c>
      <c r="J466" s="252">
        <f>VLOOKUP($E466,'5.1 Budget'!$A$4:$H$729,4,0)</f>
        <v>0</v>
      </c>
      <c r="K466" s="252">
        <f>VLOOKUP($E466,'5.1 Budget'!$A$4:$H$729,5,0)</f>
        <v>0</v>
      </c>
      <c r="L466" s="252">
        <f>VLOOKUP($E466,'5.1 Budget'!$A$4:$H$729,6,0)</f>
        <v>0</v>
      </c>
      <c r="M466" s="252">
        <f>VLOOKUP($E466,'5.1 Budget'!$A$4:$H$729,7,0)</f>
        <v>0</v>
      </c>
      <c r="N466" s="252">
        <f>VLOOKUP($E466,'5.1 Budget'!$A$4:$H$729,8,0)</f>
        <v>0</v>
      </c>
      <c r="V466" t="str">
        <f>VLOOKUP(D466,'[4]1. Mesures'!$A$1:$B$116,2,0)</f>
        <v>Assurer la temporisation des eaux pluviales ainsi que leur valorisation optimale en cas de contraintes menant à leurs rejets hors de la parcelle</v>
      </c>
      <c r="W466" t="str">
        <f>VLOOKUP(B466,[1]HIERARCH!$A$1:$B$57,2,0)</f>
        <v xml:space="preserve">OS 5.2: Diminuer la fréquence et l’ampleur des inondations  </v>
      </c>
      <c r="X466" t="str">
        <f>VLOOKUP(C466,[1]HIERARCH!$A$2:$B$57,2,0)</f>
        <v xml:space="preserve">OO 5.2.1: Gérer à la parcelle les eaux de pluies exceptionnelles pour ne les renvoyer vers l’aval qu’à débit nul ou limité  </v>
      </c>
      <c r="Y466" t="str">
        <f t="shared" si="23"/>
        <v>Favoriser l’utilisation des méthodes de tamponnage avec débit limité qui ont le moindre impact négatif environnemental.
…</v>
      </c>
    </row>
    <row r="467" spans="1:25" hidden="1" x14ac:dyDescent="0.25">
      <c r="A467" s="249" t="str">
        <f t="shared" si="22"/>
        <v>5</v>
      </c>
      <c r="B467" s="249" t="str">
        <f>VLOOKUP($D467,'[4]1. Mesures'!$A$2:$G$116,6,0)</f>
        <v>OS 5.2</v>
      </c>
      <c r="C467" s="249" t="str">
        <f>VLOOKUP($D467,'[4]1. Mesures'!$A$2:$G$116,7,0)</f>
        <v>OO 5.2.2</v>
      </c>
      <c r="D467" s="249" t="str">
        <f t="shared" si="24"/>
        <v>M 5.8</v>
      </c>
      <c r="E467" s="250" t="s">
        <v>1154</v>
      </c>
      <c r="F467" s="249" t="str">
        <f>VLOOKUP(E467,'5.2 Actions'!$A$3:$B$720,2,0)</f>
        <v>Entretenir la déviation d’Aa et les vannes vers le Canal</v>
      </c>
      <c r="G467" s="251">
        <f>VLOOKUP(E467,'[4]5.2 Actions'!$A$3:$D$718,4,0)</f>
        <v>0</v>
      </c>
      <c r="H467" s="252">
        <f>VLOOKUP($E467,'5.1 Budget'!$A$4:$H$729,2,0)</f>
        <v>0</v>
      </c>
      <c r="I467" s="252">
        <f>VLOOKUP($E467,'5.1 Budget'!$A$4:$H$729,3,0)</f>
        <v>0</v>
      </c>
      <c r="J467" s="252">
        <f>VLOOKUP($E467,'5.1 Budget'!$A$4:$H$729,4,0)</f>
        <v>0</v>
      </c>
      <c r="K467" s="252">
        <f>VLOOKUP($E467,'5.1 Budget'!$A$4:$H$729,5,0)</f>
        <v>0</v>
      </c>
      <c r="L467" s="252">
        <f>VLOOKUP($E467,'5.1 Budget'!$A$4:$H$729,6,0)</f>
        <v>0</v>
      </c>
      <c r="M467" s="252">
        <f>VLOOKUP($E467,'5.1 Budget'!$A$4:$H$729,7,0)</f>
        <v>0</v>
      </c>
      <c r="N467" s="252">
        <f>VLOOKUP($E467,'5.1 Budget'!$A$4:$H$729,8,0)</f>
        <v>0</v>
      </c>
      <c r="V467" t="str">
        <f>VLOOKUP(D467,'[4]1. Mesures'!$A$1:$B$116,2,0)</f>
        <v>Délester la Senne  en cas de crue pour protéger le centre-ville</v>
      </c>
      <c r="W467" t="str">
        <f>VLOOKUP(B467,[1]HIERARCH!$A$1:$B$57,2,0)</f>
        <v xml:space="preserve">OS 5.2: Diminuer la fréquence et l’ampleur des inondations  </v>
      </c>
      <c r="X467" t="str">
        <f>VLOOKUP(C467,[1]HIERARCH!$A$2:$B$57,2,0)</f>
        <v>OO 5.2.2 : Assurer un écoulement optimum dans le réseau hydrographique</v>
      </c>
      <c r="Y467" t="str">
        <f t="shared" si="23"/>
        <v>Entretenir la déviation d’Aa et les vannes vers le Canal…</v>
      </c>
    </row>
    <row r="468" spans="1:25" hidden="1" x14ac:dyDescent="0.25">
      <c r="A468" s="249" t="str">
        <f t="shared" si="22"/>
        <v>5</v>
      </c>
      <c r="B468" s="249" t="str">
        <f>VLOOKUP($D468,'[4]1. Mesures'!$A$2:$G$116,6,0)</f>
        <v>OS 5.2</v>
      </c>
      <c r="C468" s="249" t="str">
        <f>VLOOKUP($D468,'[4]1. Mesures'!$A$2:$G$116,7,0)</f>
        <v>OO 5.2.2</v>
      </c>
      <c r="D468" s="249" t="str">
        <f t="shared" si="24"/>
        <v>M 5.8</v>
      </c>
      <c r="E468" s="250" t="s">
        <v>1155</v>
      </c>
      <c r="F468" s="249" t="str">
        <f>VLOOKUP(E468,'5.2 Actions'!$A$3:$B$720,2,0)</f>
        <v>Assurer la surveillance pour activer au besoin la déviation</v>
      </c>
      <c r="G468" s="251">
        <f>VLOOKUP(E468,'[4]5.2 Actions'!$A$3:$D$718,4,0)</f>
        <v>0</v>
      </c>
      <c r="H468" s="252">
        <f>VLOOKUP($E468,'5.1 Budget'!$A$4:$H$729,2,0)</f>
        <v>0</v>
      </c>
      <c r="I468" s="252">
        <f>VLOOKUP($E468,'5.1 Budget'!$A$4:$H$729,3,0)</f>
        <v>0</v>
      </c>
      <c r="J468" s="252">
        <f>VLOOKUP($E468,'5.1 Budget'!$A$4:$H$729,4,0)</f>
        <v>0</v>
      </c>
      <c r="K468" s="252">
        <f>VLOOKUP($E468,'5.1 Budget'!$A$4:$H$729,5,0)</f>
        <v>0</v>
      </c>
      <c r="L468" s="252">
        <f>VLOOKUP($E468,'5.1 Budget'!$A$4:$H$729,6,0)</f>
        <v>0</v>
      </c>
      <c r="M468" s="252">
        <f>VLOOKUP($E468,'5.1 Budget'!$A$4:$H$729,7,0)</f>
        <v>0</v>
      </c>
      <c r="N468" s="252">
        <f>VLOOKUP($E468,'5.1 Budget'!$A$4:$H$729,8,0)</f>
        <v>0</v>
      </c>
      <c r="V468" t="str">
        <f>VLOOKUP(D468,'[4]1. Mesures'!$A$1:$B$116,2,0)</f>
        <v>Délester la Senne  en cas de crue pour protéger le centre-ville</v>
      </c>
      <c r="W468" t="str">
        <f>VLOOKUP(B468,[1]HIERARCH!$A$1:$B$57,2,0)</f>
        <v xml:space="preserve">OS 5.2: Diminuer la fréquence et l’ampleur des inondations  </v>
      </c>
      <c r="X468" t="str">
        <f>VLOOKUP(C468,[1]HIERARCH!$A$2:$B$57,2,0)</f>
        <v>OO 5.2.2 : Assurer un écoulement optimum dans le réseau hydrographique</v>
      </c>
      <c r="Y468" t="str">
        <f t="shared" si="23"/>
        <v>Assurer la surveillance pour activer au besoin la déviation…</v>
      </c>
    </row>
    <row r="469" spans="1:25" hidden="1" x14ac:dyDescent="0.25">
      <c r="A469" s="249" t="str">
        <f t="shared" si="22"/>
        <v>5</v>
      </c>
      <c r="B469" s="249" t="str">
        <f>VLOOKUP($D469,'[4]1. Mesures'!$A$2:$G$116,6,0)</f>
        <v>OS 5.2</v>
      </c>
      <c r="C469" s="249" t="str">
        <f>VLOOKUP($D469,'[4]1. Mesures'!$A$2:$G$116,7,0)</f>
        <v>OO 5.2.2</v>
      </c>
      <c r="D469" s="249" t="str">
        <f t="shared" si="24"/>
        <v>M 5.9</v>
      </c>
      <c r="E469" s="250" t="s">
        <v>1156</v>
      </c>
      <c r="F469" s="249" t="str">
        <f>VLOOKUP(E469,'5.2 Actions'!$A$3:$B$720,2,0)</f>
        <v>Analyser cartographiquement les besoin de libération d’emprise, surveiller les opportunités dans le lit majeur des cours d’eau et faire respecter la zone non aedificandi</v>
      </c>
      <c r="G469" s="251">
        <f>VLOOKUP(E469,'[4]5.2 Actions'!$A$3:$D$718,4,0)</f>
        <v>0</v>
      </c>
      <c r="H469" s="252">
        <f>VLOOKUP($E469,'5.1 Budget'!$A$4:$H$729,2,0)</f>
        <v>5000</v>
      </c>
      <c r="I469" s="252">
        <f>VLOOKUP($E469,'5.1 Budget'!$A$4:$H$729,3,0)</f>
        <v>5000</v>
      </c>
      <c r="J469" s="252">
        <f>VLOOKUP($E469,'5.1 Budget'!$A$4:$H$729,4,0)</f>
        <v>5000</v>
      </c>
      <c r="K469" s="252">
        <f>VLOOKUP($E469,'5.1 Budget'!$A$4:$H$729,5,0)</f>
        <v>5000</v>
      </c>
      <c r="L469" s="252">
        <f>VLOOKUP($E469,'5.1 Budget'!$A$4:$H$729,6,0)</f>
        <v>5000</v>
      </c>
      <c r="M469" s="252">
        <f>VLOOKUP($E469,'5.1 Budget'!$A$4:$H$729,7,0)</f>
        <v>5000</v>
      </c>
      <c r="N469" s="252">
        <f>VLOOKUP($E469,'5.1 Budget'!$A$4:$H$729,8,0)</f>
        <v>30000</v>
      </c>
      <c r="V469" t="str">
        <f>VLOOKUP(D469,'[4]1. Mesures'!$A$1:$B$116,2,0)</f>
        <v>Aménager le réseau hydrographique  (eaux de surface, étangs et zones humides) afin d'améliorer sa capacité de tamponnage des crues et son rôle d’exutoire d’eaux claires.</v>
      </c>
      <c r="W469" t="str">
        <f>VLOOKUP(B469,[1]HIERARCH!$A$1:$B$57,2,0)</f>
        <v xml:space="preserve">OS 5.2: Diminuer la fréquence et l’ampleur des inondations  </v>
      </c>
      <c r="X469" t="str">
        <f>VLOOKUP(C469,[1]HIERARCH!$A$2:$B$57,2,0)</f>
        <v>OO 5.2.2 : Assurer un écoulement optimum dans le réseau hydrographique</v>
      </c>
      <c r="Y469" t="str">
        <f t="shared" si="23"/>
        <v>Analyser cartographiquement les besoin de libération d’emprise, surveiller les opportunités dans le lit majeur des cours…</v>
      </c>
    </row>
    <row r="470" spans="1:25" hidden="1" x14ac:dyDescent="0.25">
      <c r="A470" s="249" t="str">
        <f t="shared" si="22"/>
        <v>5</v>
      </c>
      <c r="B470" s="249" t="str">
        <f>VLOOKUP($D470,'[4]1. Mesures'!$A$2:$G$116,6,0)</f>
        <v>OS 5.2</v>
      </c>
      <c r="C470" s="249" t="str">
        <f>VLOOKUP($D470,'[4]1. Mesures'!$A$2:$G$116,7,0)</f>
        <v>OO 5.2.2</v>
      </c>
      <c r="D470" s="249" t="str">
        <f t="shared" si="24"/>
        <v>M 5.9</v>
      </c>
      <c r="E470" s="250" t="s">
        <v>1157</v>
      </c>
      <c r="F470" s="249" t="str">
        <f>VLOOKUP(E470,'5.2 Actions'!$A$3:$B$720,2,0)</f>
        <v>Intégrer l'objectif hydraulique lors de réaménagements des cours d’eau et des berges</v>
      </c>
      <c r="G470" s="251">
        <f>VLOOKUP(E470,'[4]5.2 Actions'!$A$3:$D$718,4,0)</f>
        <v>0</v>
      </c>
      <c r="H470" s="252">
        <f>VLOOKUP($E470,'5.1 Budget'!$A$4:$H$729,2,0)</f>
        <v>0</v>
      </c>
      <c r="I470" s="252">
        <f>VLOOKUP($E470,'5.1 Budget'!$A$4:$H$729,3,0)</f>
        <v>0</v>
      </c>
      <c r="J470" s="252">
        <f>VLOOKUP($E470,'5.1 Budget'!$A$4:$H$729,4,0)</f>
        <v>0</v>
      </c>
      <c r="K470" s="252">
        <f>VLOOKUP($E470,'5.1 Budget'!$A$4:$H$729,5,0)</f>
        <v>0</v>
      </c>
      <c r="L470" s="252">
        <f>VLOOKUP($E470,'5.1 Budget'!$A$4:$H$729,6,0)</f>
        <v>0</v>
      </c>
      <c r="M470" s="252">
        <f>VLOOKUP($E470,'5.1 Budget'!$A$4:$H$729,7,0)</f>
        <v>0</v>
      </c>
      <c r="N470" s="252">
        <f>VLOOKUP($E470,'5.1 Budget'!$A$4:$H$729,8,0)</f>
        <v>0</v>
      </c>
      <c r="V470" t="str">
        <f>VLOOKUP(D470,'[4]1. Mesures'!$A$1:$B$116,2,0)</f>
        <v>Aménager le réseau hydrographique  (eaux de surface, étangs et zones humides) afin d'améliorer sa capacité de tamponnage des crues et son rôle d’exutoire d’eaux claires.</v>
      </c>
      <c r="W470" t="str">
        <f>VLOOKUP(B470,[1]HIERARCH!$A$1:$B$57,2,0)</f>
        <v xml:space="preserve">OS 5.2: Diminuer la fréquence et l’ampleur des inondations  </v>
      </c>
      <c r="X470" t="str">
        <f>VLOOKUP(C470,[1]HIERARCH!$A$2:$B$57,2,0)</f>
        <v>OO 5.2.2 : Assurer un écoulement optimum dans le réseau hydrographique</v>
      </c>
      <c r="Y470" t="str">
        <f t="shared" ref="Y470:Y533" si="25">LEFT(F470,120)&amp;"…"</f>
        <v>Intégrer l'objectif hydraulique lors de réaménagements des cours d’eau et des berges…</v>
      </c>
    </row>
    <row r="471" spans="1:25" hidden="1" x14ac:dyDescent="0.25">
      <c r="A471" s="249" t="str">
        <f t="shared" ref="A471:A534" si="26">LEFT(E471,1)</f>
        <v>5</v>
      </c>
      <c r="B471" s="249" t="str">
        <f>VLOOKUP($D471,'[4]1. Mesures'!$A$2:$G$116,6,0)</f>
        <v>OS 5.2</v>
      </c>
      <c r="C471" s="249" t="str">
        <f>VLOOKUP($D471,'[4]1. Mesures'!$A$2:$G$116,7,0)</f>
        <v>OO 5.2.2</v>
      </c>
      <c r="D471" s="249" t="str">
        <f t="shared" si="24"/>
        <v>M 5.9</v>
      </c>
      <c r="E471" s="250" t="s">
        <v>1158</v>
      </c>
      <c r="F471" s="249" t="str">
        <f>VLOOKUP(E471,'5.2 Actions'!$A$3:$B$720,2,0)</f>
        <v>Renforcer le tamponnage dans les étangs (adaptation des moines), pièces d’eau et dans le lit majeur des cours d’eau</v>
      </c>
      <c r="G471" s="251">
        <f>VLOOKUP(E471,'[4]5.2 Actions'!$A$3:$D$718,4,0)</f>
        <v>0</v>
      </c>
      <c r="H471" s="252">
        <f>VLOOKUP($E471,'5.1 Budget'!$A$4:$H$729,2,0)</f>
        <v>0</v>
      </c>
      <c r="I471" s="252">
        <f>VLOOKUP($E471,'5.1 Budget'!$A$4:$H$729,3,0)</f>
        <v>0</v>
      </c>
      <c r="J471" s="252">
        <f>VLOOKUP($E471,'5.1 Budget'!$A$4:$H$729,4,0)</f>
        <v>0</v>
      </c>
      <c r="K471" s="252">
        <f>VLOOKUP($E471,'5.1 Budget'!$A$4:$H$729,5,0)</f>
        <v>0</v>
      </c>
      <c r="L471" s="252">
        <f>VLOOKUP($E471,'5.1 Budget'!$A$4:$H$729,6,0)</f>
        <v>0</v>
      </c>
      <c r="M471" s="252">
        <f>VLOOKUP($E471,'5.1 Budget'!$A$4:$H$729,7,0)</f>
        <v>0</v>
      </c>
      <c r="N471" s="252">
        <f>VLOOKUP($E471,'5.1 Budget'!$A$4:$H$729,8,0)</f>
        <v>0</v>
      </c>
      <c r="V471" t="str">
        <f>VLOOKUP(D471,'[4]1. Mesures'!$A$1:$B$116,2,0)</f>
        <v>Aménager le réseau hydrographique  (eaux de surface, étangs et zones humides) afin d'améliorer sa capacité de tamponnage des crues et son rôle d’exutoire d’eaux claires.</v>
      </c>
      <c r="W471" t="str">
        <f>VLOOKUP(B471,[1]HIERARCH!$A$1:$B$57,2,0)</f>
        <v xml:space="preserve">OS 5.2: Diminuer la fréquence et l’ampleur des inondations  </v>
      </c>
      <c r="X471" t="str">
        <f>VLOOKUP(C471,[1]HIERARCH!$A$2:$B$57,2,0)</f>
        <v>OO 5.2.2 : Assurer un écoulement optimum dans le réseau hydrographique</v>
      </c>
      <c r="Y471" t="str">
        <f t="shared" si="25"/>
        <v>Renforcer le tamponnage dans les étangs (adaptation des moines), pièces d’eau et dans le lit majeur des cours d’eau…</v>
      </c>
    </row>
    <row r="472" spans="1:25" hidden="1" x14ac:dyDescent="0.25">
      <c r="A472" s="249" t="str">
        <f t="shared" si="26"/>
        <v>5</v>
      </c>
      <c r="B472" s="249" t="str">
        <f>VLOOKUP($D472,'[4]1. Mesures'!$A$2:$G$116,6,0)</f>
        <v>OS 5.2</v>
      </c>
      <c r="C472" s="249" t="str">
        <f>VLOOKUP($D472,'[4]1. Mesures'!$A$2:$G$116,7,0)</f>
        <v>OO 5.2.2</v>
      </c>
      <c r="D472" s="249" t="str">
        <f t="shared" si="24"/>
        <v>M 5.9</v>
      </c>
      <c r="E472" s="250" t="s">
        <v>1159</v>
      </c>
      <c r="F472" s="249" t="str">
        <f>VLOOKUP(E472,'5.2 Actions'!$A$3:$B$720,2,0)</f>
        <v>Reprendre les eaux de ruissellement, les réseaux séparatifs dans le réseau hydrographique, quand le ratio coûts-bénéfices est favorable.</v>
      </c>
      <c r="G472" s="251">
        <f>VLOOKUP(E472,'[4]5.2 Actions'!$A$3:$D$718,4,0)</f>
        <v>0</v>
      </c>
      <c r="H472" s="252">
        <f>VLOOKUP($E472,'5.1 Budget'!$A$4:$H$729,2,0)</f>
        <v>0</v>
      </c>
      <c r="I472" s="252">
        <f>VLOOKUP($E472,'5.1 Budget'!$A$4:$H$729,3,0)</f>
        <v>0</v>
      </c>
      <c r="J472" s="252">
        <f>VLOOKUP($E472,'5.1 Budget'!$A$4:$H$729,4,0)</f>
        <v>0</v>
      </c>
      <c r="K472" s="252">
        <f>VLOOKUP($E472,'5.1 Budget'!$A$4:$H$729,5,0)</f>
        <v>0</v>
      </c>
      <c r="L472" s="252">
        <f>VLOOKUP($E472,'5.1 Budget'!$A$4:$H$729,6,0)</f>
        <v>0</v>
      </c>
      <c r="M472" s="252">
        <f>VLOOKUP($E472,'5.1 Budget'!$A$4:$H$729,7,0)</f>
        <v>0</v>
      </c>
      <c r="N472" s="252">
        <f>VLOOKUP($E472,'5.1 Budget'!$A$4:$H$729,8,0)</f>
        <v>0</v>
      </c>
      <c r="V472" t="str">
        <f>VLOOKUP(D472,'[4]1. Mesures'!$A$1:$B$116,2,0)</f>
        <v>Aménager le réseau hydrographique  (eaux de surface, étangs et zones humides) afin d'améliorer sa capacité de tamponnage des crues et son rôle d’exutoire d’eaux claires.</v>
      </c>
      <c r="W472" t="str">
        <f>VLOOKUP(B472,[1]HIERARCH!$A$1:$B$57,2,0)</f>
        <v xml:space="preserve">OS 5.2: Diminuer la fréquence et l’ampleur des inondations  </v>
      </c>
      <c r="X472" t="str">
        <f>VLOOKUP(C472,[1]HIERARCH!$A$2:$B$57,2,0)</f>
        <v>OO 5.2.2 : Assurer un écoulement optimum dans le réseau hydrographique</v>
      </c>
      <c r="Y472" t="str">
        <f t="shared" si="25"/>
        <v>Reprendre les eaux de ruissellement, les réseaux séparatifs dans le réseau hydrographique, quand le ratio coûts-bénéfice…</v>
      </c>
    </row>
    <row r="473" spans="1:25" hidden="1" x14ac:dyDescent="0.25">
      <c r="A473" s="249" t="str">
        <f t="shared" si="26"/>
        <v>5</v>
      </c>
      <c r="B473" s="249" t="str">
        <f>VLOOKUP($D473,'[4]1. Mesures'!$A$2:$G$116,6,0)</f>
        <v>OS 5.2</v>
      </c>
      <c r="C473" s="249" t="str">
        <f>VLOOKUP($D473,'[4]1. Mesures'!$A$2:$G$116,7,0)</f>
        <v>OO 5.2.2</v>
      </c>
      <c r="D473" s="249" t="str">
        <f t="shared" si="24"/>
        <v>M 5.9</v>
      </c>
      <c r="E473" s="250" t="s">
        <v>1160</v>
      </c>
      <c r="F473" s="249" t="str">
        <f>VLOOKUP(E473,'5.2 Actions'!$A$3:$B$720,2,0)</f>
        <v>Mettre en place des mesures visant l'utilisation du Canal comme milieu récepteur potentiel des eaux de ruissellement en provenance des zones limitrophes
-         Etablir un inventaire des réseaux d’eaux claires existants dans les berges/quais du Canal. Ils présentent un atout d’opportunité de branchements dont le rejet est déjà percé dans le mur de quai (cfr M1.5.9).
-         Définir les conditions applicables aux rejets d'eaux claires dans le Canal (qualité, débit)
-         Proposer une procédure facilitée au demandeur (formulaire de  demande, dossier-type…)</v>
      </c>
      <c r="G473" s="251">
        <f>VLOOKUP(E473,'[4]5.2 Actions'!$A$3:$D$718,4,0)</f>
        <v>0</v>
      </c>
      <c r="H473" s="252">
        <f>VLOOKUP($E473,'5.1 Budget'!$A$4:$H$729,2,0)</f>
        <v>0</v>
      </c>
      <c r="I473" s="252">
        <f>VLOOKUP($E473,'5.1 Budget'!$A$4:$H$729,3,0)</f>
        <v>0</v>
      </c>
      <c r="J473" s="252">
        <f>VLOOKUP($E473,'5.1 Budget'!$A$4:$H$729,4,0)</f>
        <v>0</v>
      </c>
      <c r="K473" s="252">
        <f>VLOOKUP($E473,'5.1 Budget'!$A$4:$H$729,5,0)</f>
        <v>0</v>
      </c>
      <c r="L473" s="252">
        <f>VLOOKUP($E473,'5.1 Budget'!$A$4:$H$729,6,0)</f>
        <v>0</v>
      </c>
      <c r="M473" s="252">
        <f>VLOOKUP($E473,'5.1 Budget'!$A$4:$H$729,7,0)</f>
        <v>0</v>
      </c>
      <c r="N473" s="252">
        <f>VLOOKUP($E473,'5.1 Budget'!$A$4:$H$729,8,0)</f>
        <v>0</v>
      </c>
      <c r="V473" t="str">
        <f>VLOOKUP(D473,'[4]1. Mesures'!$A$1:$B$116,2,0)</f>
        <v>Aménager le réseau hydrographique  (eaux de surface, étangs et zones humides) afin d'améliorer sa capacité de tamponnage des crues et son rôle d’exutoire d’eaux claires.</v>
      </c>
      <c r="W473" t="str">
        <f>VLOOKUP(B473,[1]HIERARCH!$A$1:$B$57,2,0)</f>
        <v xml:space="preserve">OS 5.2: Diminuer la fréquence et l’ampleur des inondations  </v>
      </c>
      <c r="X473" t="str">
        <f>VLOOKUP(C473,[1]HIERARCH!$A$2:$B$57,2,0)</f>
        <v>OO 5.2.2 : Assurer un écoulement optimum dans le réseau hydrographique</v>
      </c>
      <c r="Y473" t="str">
        <f t="shared" si="25"/>
        <v>Mettre en place des mesures visant l'utilisation du Canal comme milieu récepteur potentiel des eaux de ruissellement en …</v>
      </c>
    </row>
    <row r="474" spans="1:25" hidden="1" x14ac:dyDescent="0.25">
      <c r="A474" s="249" t="str">
        <f t="shared" si="26"/>
        <v>5</v>
      </c>
      <c r="B474" s="249" t="str">
        <f>VLOOKUP($D474,'[4]1. Mesures'!$A$2:$G$116,6,0)</f>
        <v>OS 5.2</v>
      </c>
      <c r="C474" s="249" t="str">
        <f>VLOOKUP($D474,'[4]1. Mesures'!$A$2:$G$116,7,0)</f>
        <v>OO 5.2.3</v>
      </c>
      <c r="D474" s="249" t="str">
        <f>"M"&amp;" "&amp;LEFT(E474,4)</f>
        <v>M 5.10</v>
      </c>
      <c r="E474" s="250" t="s">
        <v>1017</v>
      </c>
      <c r="F474" s="249" t="str">
        <f>VLOOKUP(E474,'5.2 Actions'!$A$3:$B$720,2,0)</f>
        <v>Poursuivre le programme d’état des lieux des égouts permettant d’identifier les tronçons nécessitant des travaux d’entretien.</v>
      </c>
      <c r="G474" s="251">
        <f>VLOOKUP(E474,'[4]5.2 Actions'!$A$3:$D$718,4,0)</f>
        <v>0</v>
      </c>
      <c r="H474" s="252">
        <f>VLOOKUP($E474,'5.1 Budget'!$A$4:$H$729,2,0)</f>
        <v>0</v>
      </c>
      <c r="I474" s="252">
        <f>VLOOKUP($E474,'5.1 Budget'!$A$4:$H$729,3,0)</f>
        <v>0</v>
      </c>
      <c r="J474" s="252">
        <f>VLOOKUP($E474,'5.1 Budget'!$A$4:$H$729,4,0)</f>
        <v>0</v>
      </c>
      <c r="K474" s="252">
        <f>VLOOKUP($E474,'5.1 Budget'!$A$4:$H$729,5,0)</f>
        <v>0</v>
      </c>
      <c r="L474" s="252">
        <f>VLOOKUP($E474,'5.1 Budget'!$A$4:$H$729,6,0)</f>
        <v>0</v>
      </c>
      <c r="M474" s="252">
        <f>VLOOKUP($E474,'5.1 Budget'!$A$4:$H$729,7,0)</f>
        <v>0</v>
      </c>
      <c r="N474" s="252">
        <f>VLOOKUP($E474,'5.1 Budget'!$A$4:$H$729,8,0)</f>
        <v>0</v>
      </c>
      <c r="V474" t="str">
        <f>VLOOKUP(D474,'[4]1. Mesures'!$A$1:$B$116,2,0)</f>
        <v xml:space="preserve">Poursuivre le programme d’entretien du réseau d'assainissement </v>
      </c>
      <c r="W474" t="str">
        <f>VLOOKUP(B474,[1]HIERARCH!$A$1:$B$57,2,0)</f>
        <v xml:space="preserve">OS 5.2: Diminuer la fréquence et l’ampleur des inondations  </v>
      </c>
      <c r="X474" t="str">
        <f>VLOOKUP(C474,[1]HIERARCH!$A$2:$B$57,2,0)</f>
        <v>OO 5.2.3 : Assurer un écoulement optimum dans le réseau d’assainissement</v>
      </c>
      <c r="Y474" t="str">
        <f t="shared" si="25"/>
        <v>Poursuivre le programme d’état des lieux des égouts permettant d’identifier les tronçons nécessitant des travaux d’entre…</v>
      </c>
    </row>
    <row r="475" spans="1:25" hidden="1" x14ac:dyDescent="0.25">
      <c r="A475" s="249" t="str">
        <f t="shared" si="26"/>
        <v>5</v>
      </c>
      <c r="B475" s="249" t="str">
        <f>VLOOKUP($D475,'[4]1. Mesures'!$A$2:$G$116,6,0)</f>
        <v>OS 5.2</v>
      </c>
      <c r="C475" s="249" t="str">
        <f>VLOOKUP($D475,'[4]1. Mesures'!$A$2:$G$116,7,0)</f>
        <v>OO 5.2.3</v>
      </c>
      <c r="D475" s="249" t="str">
        <f t="shared" ref="D475:D538" si="27">"M"&amp;" "&amp;LEFT(E475,4)</f>
        <v>M 5.10</v>
      </c>
      <c r="E475" s="250" t="s">
        <v>1018</v>
      </c>
      <c r="F475" s="249" t="str">
        <f>VLOOKUP(E475,'5.2 Actions'!$A$3:$B$720,2,0)</f>
        <v>Définition d’un plan structurel d’entretien pour les réseaux Identifier les zones sensibles pour les atterrissements</v>
      </c>
      <c r="G475" s="251">
        <f>VLOOKUP(E475,'[4]5.2 Actions'!$A$3:$D$718,4,0)</f>
        <v>0</v>
      </c>
      <c r="H475" s="252">
        <f>VLOOKUP($E475,'5.1 Budget'!$A$4:$H$729,2,0)</f>
        <v>0</v>
      </c>
      <c r="I475" s="252">
        <f>VLOOKUP($E475,'5.1 Budget'!$A$4:$H$729,3,0)</f>
        <v>0</v>
      </c>
      <c r="J475" s="252">
        <f>VLOOKUP($E475,'5.1 Budget'!$A$4:$H$729,4,0)</f>
        <v>0</v>
      </c>
      <c r="K475" s="252">
        <f>VLOOKUP($E475,'5.1 Budget'!$A$4:$H$729,5,0)</f>
        <v>0</v>
      </c>
      <c r="L475" s="252">
        <f>VLOOKUP($E475,'5.1 Budget'!$A$4:$H$729,6,0)</f>
        <v>0</v>
      </c>
      <c r="M475" s="252">
        <f>VLOOKUP($E475,'5.1 Budget'!$A$4:$H$729,7,0)</f>
        <v>0</v>
      </c>
      <c r="N475" s="252">
        <f>VLOOKUP($E475,'5.1 Budget'!$A$4:$H$729,8,0)</f>
        <v>0</v>
      </c>
      <c r="V475" t="str">
        <f>VLOOKUP(D475,'[4]1. Mesures'!$A$1:$B$116,2,0)</f>
        <v xml:space="preserve">Poursuivre le programme d’entretien du réseau d'assainissement </v>
      </c>
      <c r="W475" t="str">
        <f>VLOOKUP(B475,[1]HIERARCH!$A$1:$B$57,2,0)</f>
        <v xml:space="preserve">OS 5.2: Diminuer la fréquence et l’ampleur des inondations  </v>
      </c>
      <c r="X475" t="str">
        <f>VLOOKUP(C475,[1]HIERARCH!$A$2:$B$57,2,0)</f>
        <v>OO 5.2.3 : Assurer un écoulement optimum dans le réseau d’assainissement</v>
      </c>
      <c r="Y475" t="str">
        <f t="shared" si="25"/>
        <v>Définition d’un plan structurel d’entretien pour les réseaux Identifier les zones sensibles pour les atterrissements…</v>
      </c>
    </row>
    <row r="476" spans="1:25" hidden="1" x14ac:dyDescent="0.25">
      <c r="A476" s="249" t="str">
        <f t="shared" si="26"/>
        <v>5</v>
      </c>
      <c r="B476" s="249" t="str">
        <f>VLOOKUP($D476,'[4]1. Mesures'!$A$2:$G$116,6,0)</f>
        <v>OS 5.2</v>
      </c>
      <c r="C476" s="249" t="str">
        <f>VLOOKUP($D476,'[4]1. Mesures'!$A$2:$G$116,7,0)</f>
        <v>OO 5.2.3</v>
      </c>
      <c r="D476" s="249" t="str">
        <f t="shared" si="27"/>
        <v>M 5.10</v>
      </c>
      <c r="E476" s="250" t="s">
        <v>1019</v>
      </c>
      <c r="F476" s="249" t="str">
        <f>VLOOKUP(E476,'5.2 Actions'!$A$3:$B$720,2,0)</f>
        <v>Entretenir les infrastructures hydrauliques existantes (pompes,…)</v>
      </c>
      <c r="G476" s="251">
        <f>VLOOKUP(E476,'[4]5.2 Actions'!$A$3:$D$718,4,0)</f>
        <v>0</v>
      </c>
      <c r="H476" s="252">
        <f>VLOOKUP($E476,'5.1 Budget'!$A$4:$H$729,2,0)</f>
        <v>0</v>
      </c>
      <c r="I476" s="252">
        <f>VLOOKUP($E476,'5.1 Budget'!$A$4:$H$729,3,0)</f>
        <v>0</v>
      </c>
      <c r="J476" s="252">
        <f>VLOOKUP($E476,'5.1 Budget'!$A$4:$H$729,4,0)</f>
        <v>0</v>
      </c>
      <c r="K476" s="252">
        <f>VLOOKUP($E476,'5.1 Budget'!$A$4:$H$729,5,0)</f>
        <v>0</v>
      </c>
      <c r="L476" s="252">
        <f>VLOOKUP($E476,'5.1 Budget'!$A$4:$H$729,6,0)</f>
        <v>0</v>
      </c>
      <c r="M476" s="252">
        <f>VLOOKUP($E476,'5.1 Budget'!$A$4:$H$729,7,0)</f>
        <v>0</v>
      </c>
      <c r="N476" s="252">
        <f>VLOOKUP($E476,'5.1 Budget'!$A$4:$H$729,8,0)</f>
        <v>0</v>
      </c>
      <c r="V476" t="str">
        <f>VLOOKUP(D476,'[4]1. Mesures'!$A$1:$B$116,2,0)</f>
        <v xml:space="preserve">Poursuivre le programme d’entretien du réseau d'assainissement </v>
      </c>
      <c r="W476" t="str">
        <f>VLOOKUP(B476,[1]HIERARCH!$A$1:$B$57,2,0)</f>
        <v xml:space="preserve">OS 5.2: Diminuer la fréquence et l’ampleur des inondations  </v>
      </c>
      <c r="X476" t="str">
        <f>VLOOKUP(C476,[1]HIERARCH!$A$2:$B$57,2,0)</f>
        <v>OO 5.2.3 : Assurer un écoulement optimum dans le réseau d’assainissement</v>
      </c>
      <c r="Y476" t="str">
        <f t="shared" si="25"/>
        <v>Entretenir les infrastructures hydrauliques existantes (pompes,…)…</v>
      </c>
    </row>
    <row r="477" spans="1:25" hidden="1" x14ac:dyDescent="0.25">
      <c r="A477" s="249" t="str">
        <f t="shared" si="26"/>
        <v>5</v>
      </c>
      <c r="B477" s="249" t="str">
        <f>VLOOKUP($D477,'[4]1. Mesures'!$A$2:$G$116,6,0)</f>
        <v>OS 5.2</v>
      </c>
      <c r="C477" s="249" t="str">
        <f>VLOOKUP($D477,'[4]1. Mesures'!$A$2:$G$116,7,0)</f>
        <v>OO 5.2.3</v>
      </c>
      <c r="D477" s="249" t="str">
        <f t="shared" si="27"/>
        <v>M 5.10</v>
      </c>
      <c r="E477" s="250" t="s">
        <v>1020</v>
      </c>
      <c r="F477" s="249" t="str">
        <f>VLOOKUP(E477,'5.2 Actions'!$A$3:$B$720,2,0)</f>
        <v>Procéder au curage régulier des cunettes en zone sensible sur base du programme d’entretien des infrastructures</v>
      </c>
      <c r="G477" s="251">
        <f>VLOOKUP(E477,'[4]5.2 Actions'!$A$3:$D$718,4,0)</f>
        <v>0</v>
      </c>
      <c r="H477" s="252">
        <f>VLOOKUP($E477,'5.1 Budget'!$A$4:$H$729,2,0)</f>
        <v>0</v>
      </c>
      <c r="I477" s="252">
        <f>VLOOKUP($E477,'5.1 Budget'!$A$4:$H$729,3,0)</f>
        <v>0</v>
      </c>
      <c r="J477" s="252">
        <f>VLOOKUP($E477,'5.1 Budget'!$A$4:$H$729,4,0)</f>
        <v>0</v>
      </c>
      <c r="K477" s="252">
        <f>VLOOKUP($E477,'5.1 Budget'!$A$4:$H$729,5,0)</f>
        <v>0</v>
      </c>
      <c r="L477" s="252">
        <f>VLOOKUP($E477,'5.1 Budget'!$A$4:$H$729,6,0)</f>
        <v>0</v>
      </c>
      <c r="M477" s="252">
        <f>VLOOKUP($E477,'5.1 Budget'!$A$4:$H$729,7,0)</f>
        <v>0</v>
      </c>
      <c r="N477" s="252">
        <f>VLOOKUP($E477,'5.1 Budget'!$A$4:$H$729,8,0)</f>
        <v>0</v>
      </c>
      <c r="V477" t="str">
        <f>VLOOKUP(D477,'[4]1. Mesures'!$A$1:$B$116,2,0)</f>
        <v xml:space="preserve">Poursuivre le programme d’entretien du réseau d'assainissement </v>
      </c>
      <c r="W477" t="str">
        <f>VLOOKUP(B477,[1]HIERARCH!$A$1:$B$57,2,0)</f>
        <v xml:space="preserve">OS 5.2: Diminuer la fréquence et l’ampleur des inondations  </v>
      </c>
      <c r="X477" t="str">
        <f>VLOOKUP(C477,[1]HIERARCH!$A$2:$B$57,2,0)</f>
        <v>OO 5.2.3 : Assurer un écoulement optimum dans le réseau d’assainissement</v>
      </c>
      <c r="Y477" t="str">
        <f t="shared" si="25"/>
        <v>Procéder au curage régulier des cunettes en zone sensible sur base du programme d’entretien des infrastructures…</v>
      </c>
    </row>
    <row r="478" spans="1:25" hidden="1" x14ac:dyDescent="0.25">
      <c r="A478" s="249" t="str">
        <f t="shared" si="26"/>
        <v>5</v>
      </c>
      <c r="B478" s="249" t="str">
        <f>VLOOKUP($D478,'[4]1. Mesures'!$A$2:$G$116,6,0)</f>
        <v>OS 5.2</v>
      </c>
      <c r="C478" s="249" t="str">
        <f>VLOOKUP($D478,'[4]1. Mesures'!$A$2:$G$116,7,0)</f>
        <v>OO 5.2.3</v>
      </c>
      <c r="D478" s="249" t="str">
        <f t="shared" si="27"/>
        <v>M 5.11</v>
      </c>
      <c r="E478" s="250" t="s">
        <v>1021</v>
      </c>
      <c r="F478" s="249" t="str">
        <f>VLOOKUP(E478,'5.2 Actions'!$A$3:$B$720,2,0)</f>
        <v>Vallée de la Woluwe aval</v>
      </c>
      <c r="G478" s="251">
        <f>VLOOKUP(E478,'[4]5.2 Actions'!$A$3:$D$718,4,0)</f>
        <v>0</v>
      </c>
      <c r="H478" s="252">
        <f>VLOOKUP($E478,'5.1 Budget'!$A$4:$H$729,2,0)</f>
        <v>0</v>
      </c>
      <c r="I478" s="252">
        <f>VLOOKUP($E478,'5.1 Budget'!$A$4:$H$729,3,0)</f>
        <v>0</v>
      </c>
      <c r="J478" s="252">
        <f>VLOOKUP($E478,'5.1 Budget'!$A$4:$H$729,4,0)</f>
        <v>1000000</v>
      </c>
      <c r="K478" s="252">
        <f>VLOOKUP($E478,'5.1 Budget'!$A$4:$H$729,5,0)</f>
        <v>17000000</v>
      </c>
      <c r="L478" s="252">
        <f>VLOOKUP($E478,'5.1 Budget'!$A$4:$H$729,6,0)</f>
        <v>20000000</v>
      </c>
      <c r="M478" s="252">
        <f>VLOOKUP($E478,'5.1 Budget'!$A$4:$H$729,7,0)</f>
        <v>19000000</v>
      </c>
      <c r="N478" s="252">
        <f>VLOOKUP($E478,'5.1 Budget'!$A$4:$H$729,8,0)</f>
        <v>57000000</v>
      </c>
      <c r="V478" t="str">
        <f>VLOOKUP(D478,'[4]1. Mesures'!$A$1:$B$116,2,0)</f>
        <v>Poursuivre le programme pluriannuel d’installation de bassins d’orage tenant compte des développements urbanistiques futurs, dont les aménagements mis en œuvre dans le cadre de la GiEP</v>
      </c>
      <c r="W478" t="str">
        <f>VLOOKUP(B478,[1]HIERARCH!$A$1:$B$57,2,0)</f>
        <v xml:space="preserve">OS 5.2: Diminuer la fréquence et l’ampleur des inondations  </v>
      </c>
      <c r="X478" t="str">
        <f>VLOOKUP(C478,[1]HIERARCH!$A$2:$B$57,2,0)</f>
        <v>OO 5.2.3 : Assurer un écoulement optimum dans le réseau d’assainissement</v>
      </c>
      <c r="Y478" t="str">
        <f t="shared" si="25"/>
        <v>Vallée de la Woluwe aval…</v>
      </c>
    </row>
    <row r="479" spans="1:25" hidden="1" x14ac:dyDescent="0.25">
      <c r="A479" s="249" t="str">
        <f t="shared" si="26"/>
        <v>5</v>
      </c>
      <c r="B479" s="249" t="str">
        <f>VLOOKUP($D479,'[4]1. Mesures'!$A$2:$G$116,6,0)</f>
        <v>OS 5.2</v>
      </c>
      <c r="C479" s="249" t="str">
        <f>VLOOKUP($D479,'[4]1. Mesures'!$A$2:$G$116,7,0)</f>
        <v>OO 5.2.3</v>
      </c>
      <c r="D479" s="249" t="str">
        <f t="shared" si="27"/>
        <v>M 5.11</v>
      </c>
      <c r="E479" s="250" t="s">
        <v>1022</v>
      </c>
      <c r="F479" s="249" t="str">
        <f>VLOOKUP(E479,'5.2 Actions'!$A$3:$B$720,2,0)</f>
        <v>Vallée du Molenbeek-aval/Heyselbeek</v>
      </c>
      <c r="G479" s="251">
        <f>VLOOKUP(E479,'[4]5.2 Actions'!$A$3:$D$718,4,0)</f>
        <v>0</v>
      </c>
      <c r="H479" s="252">
        <f>VLOOKUP($E479,'5.1 Budget'!$A$4:$H$729,2,0)</f>
        <v>0</v>
      </c>
      <c r="I479" s="252">
        <f>VLOOKUP($E479,'5.1 Budget'!$A$4:$H$729,3,0)</f>
        <v>0</v>
      </c>
      <c r="J479" s="252">
        <f>VLOOKUP($E479,'5.1 Budget'!$A$4:$H$729,4,0)</f>
        <v>600000</v>
      </c>
      <c r="K479" s="252">
        <f>VLOOKUP($E479,'5.1 Budget'!$A$4:$H$729,5,0)</f>
        <v>12000000</v>
      </c>
      <c r="L479" s="252">
        <f>VLOOKUP($E479,'5.1 Budget'!$A$4:$H$729,6,0)</f>
        <v>14000000</v>
      </c>
      <c r="M479" s="252">
        <f>VLOOKUP($E479,'5.1 Budget'!$A$4:$H$729,7,0)</f>
        <v>12000000</v>
      </c>
      <c r="N479" s="252">
        <f>VLOOKUP($E479,'5.1 Budget'!$A$4:$H$729,8,0)</f>
        <v>38600000</v>
      </c>
      <c r="V479" t="str">
        <f>VLOOKUP(D479,'[4]1. Mesures'!$A$1:$B$116,2,0)</f>
        <v>Poursuivre le programme pluriannuel d’installation de bassins d’orage tenant compte des développements urbanistiques futurs, dont les aménagements mis en œuvre dans le cadre de la GiEP</v>
      </c>
      <c r="W479" t="str">
        <f>VLOOKUP(B479,[1]HIERARCH!$A$1:$B$57,2,0)</f>
        <v xml:space="preserve">OS 5.2: Diminuer la fréquence et l’ampleur des inondations  </v>
      </c>
      <c r="X479" t="str">
        <f>VLOOKUP(C479,[1]HIERARCH!$A$2:$B$57,2,0)</f>
        <v>OO 5.2.3 : Assurer un écoulement optimum dans le réseau d’assainissement</v>
      </c>
      <c r="Y479" t="str">
        <f t="shared" si="25"/>
        <v>Vallée du Molenbeek-aval/Heyselbeek…</v>
      </c>
    </row>
    <row r="480" spans="1:25" hidden="1" x14ac:dyDescent="0.25">
      <c r="A480" s="249" t="str">
        <f t="shared" si="26"/>
        <v>5</v>
      </c>
      <c r="B480" s="249" t="str">
        <f>VLOOKUP($D480,'[4]1. Mesures'!$A$2:$G$116,6,0)</f>
        <v>OS 5.2</v>
      </c>
      <c r="C480" s="249" t="str">
        <f>VLOOKUP($D480,'[4]1. Mesures'!$A$2:$G$116,7,0)</f>
        <v>OO 5.2.3</v>
      </c>
      <c r="D480" s="249" t="str">
        <f t="shared" si="27"/>
        <v>M 5.11</v>
      </c>
      <c r="E480" s="250" t="s">
        <v>1023</v>
      </c>
      <c r="F480" s="249" t="str">
        <f>VLOOKUP(E480,'5.2 Actions'!$A$3:$B$720,2,0)</f>
        <v>Versant de Forest/Saint Gilles</v>
      </c>
      <c r="G480" s="251">
        <f>VLOOKUP(E480,'[4]5.2 Actions'!$A$3:$D$718,4,0)</f>
        <v>0</v>
      </c>
      <c r="H480" s="252">
        <f>VLOOKUP($E480,'5.1 Budget'!$A$4:$H$729,2,0)</f>
        <v>0</v>
      </c>
      <c r="I480" s="252">
        <f>VLOOKUP($E480,'5.1 Budget'!$A$4:$H$729,3,0)</f>
        <v>0</v>
      </c>
      <c r="J480" s="252">
        <f>VLOOKUP($E480,'5.1 Budget'!$A$4:$H$729,4,0)</f>
        <v>0</v>
      </c>
      <c r="K480" s="252">
        <f>VLOOKUP($E480,'5.1 Budget'!$A$4:$H$729,5,0)</f>
        <v>4800000</v>
      </c>
      <c r="L480" s="252">
        <f>VLOOKUP($E480,'5.1 Budget'!$A$4:$H$729,6,0)</f>
        <v>1200000</v>
      </c>
      <c r="M480" s="252">
        <f>VLOOKUP($E480,'5.1 Budget'!$A$4:$H$729,7,0)</f>
        <v>0</v>
      </c>
      <c r="N480" s="252">
        <f>VLOOKUP($E480,'5.1 Budget'!$A$4:$H$729,8,0)</f>
        <v>6000000</v>
      </c>
      <c r="V480" t="str">
        <f>VLOOKUP(D480,'[4]1. Mesures'!$A$1:$B$116,2,0)</f>
        <v>Poursuivre le programme pluriannuel d’installation de bassins d’orage tenant compte des développements urbanistiques futurs, dont les aménagements mis en œuvre dans le cadre de la GiEP</v>
      </c>
      <c r="W480" t="str">
        <f>VLOOKUP(B480,[1]HIERARCH!$A$1:$B$57,2,0)</f>
        <v xml:space="preserve">OS 5.2: Diminuer la fréquence et l’ampleur des inondations  </v>
      </c>
      <c r="X480" t="str">
        <f>VLOOKUP(C480,[1]HIERARCH!$A$2:$B$57,2,0)</f>
        <v>OO 5.2.3 : Assurer un écoulement optimum dans le réseau d’assainissement</v>
      </c>
      <c r="Y480" t="str">
        <f t="shared" si="25"/>
        <v>Versant de Forest/Saint Gilles…</v>
      </c>
    </row>
    <row r="481" spans="1:25" hidden="1" x14ac:dyDescent="0.25">
      <c r="A481" s="249" t="str">
        <f t="shared" si="26"/>
        <v>5</v>
      </c>
      <c r="B481" s="249" t="str">
        <f>VLOOKUP($D481,'[4]1. Mesures'!$A$2:$G$116,6,0)</f>
        <v>OS 5.2</v>
      </c>
      <c r="C481" s="249" t="str">
        <f>VLOOKUP($D481,'[4]1. Mesures'!$A$2:$G$116,7,0)</f>
        <v>OO 5.2.3</v>
      </c>
      <c r="D481" s="249" t="str">
        <f t="shared" si="27"/>
        <v>M 5.11</v>
      </c>
      <c r="E481" s="250" t="s">
        <v>1024</v>
      </c>
      <c r="F481" s="249" t="str">
        <f>VLOOKUP(E481,'5.2 Actions'!$A$3:$B$720,2,0)</f>
        <v>Vallée du Broeckbeek</v>
      </c>
      <c r="G481" s="251">
        <f>VLOOKUP(E481,'[4]5.2 Actions'!$A$3:$D$718,4,0)</f>
        <v>0</v>
      </c>
      <c r="H481" s="252">
        <f>VLOOKUP($E481,'5.1 Budget'!$A$4:$H$729,2,0)</f>
        <v>0</v>
      </c>
      <c r="I481" s="252">
        <f>VLOOKUP($E481,'5.1 Budget'!$A$4:$H$729,3,0)</f>
        <v>0</v>
      </c>
      <c r="J481" s="252">
        <f>VLOOKUP($E481,'5.1 Budget'!$A$4:$H$729,4,0)</f>
        <v>0</v>
      </c>
      <c r="K481" s="252">
        <f>VLOOKUP($E481,'5.1 Budget'!$A$4:$H$729,5,0)</f>
        <v>0</v>
      </c>
      <c r="L481" s="252">
        <f>VLOOKUP($E481,'5.1 Budget'!$A$4:$H$729,6,0)</f>
        <v>0</v>
      </c>
      <c r="M481" s="252">
        <f>VLOOKUP($E481,'5.1 Budget'!$A$4:$H$729,7,0)</f>
        <v>0</v>
      </c>
      <c r="N481" s="252">
        <f>VLOOKUP($E481,'5.1 Budget'!$A$4:$H$729,8,0)</f>
        <v>0</v>
      </c>
      <c r="V481" t="str">
        <f>VLOOKUP(D481,'[4]1. Mesures'!$A$1:$B$116,2,0)</f>
        <v>Poursuivre le programme pluriannuel d’installation de bassins d’orage tenant compte des développements urbanistiques futurs, dont les aménagements mis en œuvre dans le cadre de la GiEP</v>
      </c>
      <c r="W481" t="str">
        <f>VLOOKUP(B481,[1]HIERARCH!$A$1:$B$57,2,0)</f>
        <v xml:space="preserve">OS 5.2: Diminuer la fréquence et l’ampleur des inondations  </v>
      </c>
      <c r="X481" t="str">
        <f>VLOOKUP(C481,[1]HIERARCH!$A$2:$B$57,2,0)</f>
        <v>OO 5.2.3 : Assurer un écoulement optimum dans le réseau d’assainissement</v>
      </c>
      <c r="Y481" t="str">
        <f t="shared" si="25"/>
        <v>Vallée du Broeckbeek…</v>
      </c>
    </row>
    <row r="482" spans="1:25" hidden="1" x14ac:dyDescent="0.25">
      <c r="A482" s="249" t="str">
        <f t="shared" si="26"/>
        <v>5</v>
      </c>
      <c r="B482" s="249" t="str">
        <f>VLOOKUP($D482,'[4]1. Mesures'!$A$2:$G$116,6,0)</f>
        <v>OS 5.2</v>
      </c>
      <c r="C482" s="249" t="str">
        <f>VLOOKUP($D482,'[4]1. Mesures'!$A$2:$G$116,7,0)</f>
        <v>OO 5.2.3</v>
      </c>
      <c r="D482" s="249" t="str">
        <f t="shared" si="27"/>
        <v>M 5.11</v>
      </c>
      <c r="E482" s="250" t="s">
        <v>1025</v>
      </c>
      <c r="F482" s="249" t="str">
        <f>VLOOKUP(E482,'5.2 Actions'!$A$3:$B$720,2,0)</f>
        <v>Vallée du Verrewinkelbeek</v>
      </c>
      <c r="G482" s="251">
        <f>VLOOKUP(E482,'[4]5.2 Actions'!$A$3:$D$718,4,0)</f>
        <v>0</v>
      </c>
      <c r="H482" s="252">
        <f>VLOOKUP($E482,'5.1 Budget'!$A$4:$H$729,2,0)</f>
        <v>500000</v>
      </c>
      <c r="I482" s="252">
        <f>VLOOKUP($E482,'5.1 Budget'!$A$4:$H$729,3,0)</f>
        <v>2200000</v>
      </c>
      <c r="J482" s="252">
        <f>VLOOKUP($E482,'5.1 Budget'!$A$4:$H$729,4,0)</f>
        <v>0</v>
      </c>
      <c r="K482" s="252">
        <f>VLOOKUP($E482,'5.1 Budget'!$A$4:$H$729,5,0)</f>
        <v>0</v>
      </c>
      <c r="L482" s="252">
        <f>VLOOKUP($E482,'5.1 Budget'!$A$4:$H$729,6,0)</f>
        <v>0</v>
      </c>
      <c r="M482" s="252">
        <f>VLOOKUP($E482,'5.1 Budget'!$A$4:$H$729,7,0)</f>
        <v>0</v>
      </c>
      <c r="N482" s="252">
        <f>VLOOKUP($E482,'5.1 Budget'!$A$4:$H$729,8,0)</f>
        <v>2700000</v>
      </c>
      <c r="V482" t="str">
        <f>VLOOKUP(D482,'[4]1. Mesures'!$A$1:$B$116,2,0)</f>
        <v>Poursuivre le programme pluriannuel d’installation de bassins d’orage tenant compte des développements urbanistiques futurs, dont les aménagements mis en œuvre dans le cadre de la GiEP</v>
      </c>
      <c r="W482" t="str">
        <f>VLOOKUP(B482,[1]HIERARCH!$A$1:$B$57,2,0)</f>
        <v xml:space="preserve">OS 5.2: Diminuer la fréquence et l’ampleur des inondations  </v>
      </c>
      <c r="X482" t="str">
        <f>VLOOKUP(C482,[1]HIERARCH!$A$2:$B$57,2,0)</f>
        <v>OO 5.2.3 : Assurer un écoulement optimum dans le réseau d’assainissement</v>
      </c>
      <c r="Y482" t="str">
        <f t="shared" si="25"/>
        <v>Vallée du Verrewinkelbeek…</v>
      </c>
    </row>
    <row r="483" spans="1:25" hidden="1" x14ac:dyDescent="0.25">
      <c r="A483" s="249" t="str">
        <f t="shared" si="26"/>
        <v>5</v>
      </c>
      <c r="B483" s="249" t="str">
        <f>VLOOKUP($D483,'[4]1. Mesures'!$A$2:$G$116,6,0)</f>
        <v>OS 5.2</v>
      </c>
      <c r="C483" s="249" t="str">
        <f>VLOOKUP($D483,'[4]1. Mesures'!$A$2:$G$116,7,0)</f>
        <v>OO 5.2.3</v>
      </c>
      <c r="D483" s="249" t="str">
        <f t="shared" si="27"/>
        <v>M 5.11</v>
      </c>
      <c r="E483" s="250" t="s">
        <v>1026</v>
      </c>
      <c r="F483" s="249" t="str">
        <f>VLOOKUP(E483,'5.2 Actions'!$A$3:$B$720,2,0)</f>
        <v>Vallée du Paruck</v>
      </c>
      <c r="G483" s="251">
        <f>VLOOKUP(E483,'[4]5.2 Actions'!$A$3:$D$718,4,0)</f>
        <v>0</v>
      </c>
      <c r="H483" s="252">
        <f>VLOOKUP($E483,'5.1 Budget'!$A$4:$H$729,2,0)</f>
        <v>0</v>
      </c>
      <c r="I483" s="252">
        <f>VLOOKUP($E483,'5.1 Budget'!$A$4:$H$729,3,0)</f>
        <v>0</v>
      </c>
      <c r="J483" s="252">
        <f>VLOOKUP($E483,'5.1 Budget'!$A$4:$H$729,4,0)</f>
        <v>0</v>
      </c>
      <c r="K483" s="252">
        <f>VLOOKUP($E483,'5.1 Budget'!$A$4:$H$729,5,0)</f>
        <v>0</v>
      </c>
      <c r="L483" s="252">
        <f>VLOOKUP($E483,'5.1 Budget'!$A$4:$H$729,6,0)</f>
        <v>0</v>
      </c>
      <c r="M483" s="252">
        <f>VLOOKUP($E483,'5.1 Budget'!$A$4:$H$729,7,0)</f>
        <v>0</v>
      </c>
      <c r="N483" s="252">
        <f>VLOOKUP($E483,'5.1 Budget'!$A$4:$H$729,8,0)</f>
        <v>0</v>
      </c>
      <c r="V483" t="str">
        <f>VLOOKUP(D483,'[4]1. Mesures'!$A$1:$B$116,2,0)</f>
        <v>Poursuivre le programme pluriannuel d’installation de bassins d’orage tenant compte des développements urbanistiques futurs, dont les aménagements mis en œuvre dans le cadre de la GiEP</v>
      </c>
      <c r="W483" t="str">
        <f>VLOOKUP(B483,[1]HIERARCH!$A$1:$B$57,2,0)</f>
        <v xml:space="preserve">OS 5.2: Diminuer la fréquence et l’ampleur des inondations  </v>
      </c>
      <c r="X483" t="str">
        <f>VLOOKUP(C483,[1]HIERARCH!$A$2:$B$57,2,0)</f>
        <v>OO 5.2.3 : Assurer un écoulement optimum dans le réseau d’assainissement</v>
      </c>
      <c r="Y483" t="str">
        <f t="shared" si="25"/>
        <v>Vallée du Paruck…</v>
      </c>
    </row>
    <row r="484" spans="1:25" hidden="1" x14ac:dyDescent="0.25">
      <c r="A484" s="249" t="str">
        <f t="shared" si="26"/>
        <v>5</v>
      </c>
      <c r="B484" s="249" t="str">
        <f>VLOOKUP($D484,'[4]1. Mesures'!$A$2:$G$116,6,0)</f>
        <v>OS 5.2</v>
      </c>
      <c r="C484" s="249" t="str">
        <f>VLOOKUP($D484,'[4]1. Mesures'!$A$2:$G$116,7,0)</f>
        <v>OO 5.2.3</v>
      </c>
      <c r="D484" s="249" t="str">
        <f t="shared" si="27"/>
        <v>M 5.11</v>
      </c>
      <c r="E484" s="250" t="s">
        <v>1027</v>
      </c>
      <c r="F484" s="249" t="str">
        <f>VLOOKUP(E484,'5.2 Actions'!$A$3:$B$720,2,0)</f>
        <v>Ten Reuken</v>
      </c>
      <c r="G484" s="251">
        <f>VLOOKUP(E484,'[4]5.2 Actions'!$A$3:$D$718,4,0)</f>
        <v>0</v>
      </c>
      <c r="H484" s="252">
        <f>VLOOKUP($E484,'5.1 Budget'!$A$4:$H$729,2,0)</f>
        <v>4000000</v>
      </c>
      <c r="I484" s="252">
        <f>VLOOKUP($E484,'5.1 Budget'!$A$4:$H$729,3,0)</f>
        <v>2500000</v>
      </c>
      <c r="J484" s="252">
        <f>VLOOKUP($E484,'5.1 Budget'!$A$4:$H$729,4,0)</f>
        <v>0</v>
      </c>
      <c r="K484" s="252">
        <f>VLOOKUP($E484,'5.1 Budget'!$A$4:$H$729,5,0)</f>
        <v>0</v>
      </c>
      <c r="L484" s="252">
        <f>VLOOKUP($E484,'5.1 Budget'!$A$4:$H$729,6,0)</f>
        <v>0</v>
      </c>
      <c r="M484" s="252">
        <f>VLOOKUP($E484,'5.1 Budget'!$A$4:$H$729,7,0)</f>
        <v>0</v>
      </c>
      <c r="N484" s="252">
        <f>VLOOKUP($E484,'5.1 Budget'!$A$4:$H$729,8,0)</f>
        <v>6500000</v>
      </c>
      <c r="V484" t="str">
        <f>VLOOKUP(D484,'[4]1. Mesures'!$A$1:$B$116,2,0)</f>
        <v>Poursuivre le programme pluriannuel d’installation de bassins d’orage tenant compte des développements urbanistiques futurs, dont les aménagements mis en œuvre dans le cadre de la GiEP</v>
      </c>
      <c r="W484" t="str">
        <f>VLOOKUP(B484,[1]HIERARCH!$A$1:$B$57,2,0)</f>
        <v xml:space="preserve">OS 5.2: Diminuer la fréquence et l’ampleur des inondations  </v>
      </c>
      <c r="X484" t="str">
        <f>VLOOKUP(C484,[1]HIERARCH!$A$2:$B$57,2,0)</f>
        <v>OO 5.2.3 : Assurer un écoulement optimum dans le réseau d’assainissement</v>
      </c>
      <c r="Y484" t="str">
        <f t="shared" si="25"/>
        <v>Ten Reuken…</v>
      </c>
    </row>
    <row r="485" spans="1:25" hidden="1" x14ac:dyDescent="0.25">
      <c r="A485" s="249" t="str">
        <f t="shared" si="26"/>
        <v>5</v>
      </c>
      <c r="B485" s="249" t="str">
        <f>VLOOKUP($D485,'[4]1. Mesures'!$A$2:$G$116,6,0)</f>
        <v>OS 5.3</v>
      </c>
      <c r="C485" s="249" t="str">
        <f>VLOOKUP($D485,'[4]1. Mesures'!$A$2:$G$116,7,0)</f>
        <v>OO 5.3.1</v>
      </c>
      <c r="D485" s="249" t="str">
        <f t="shared" si="27"/>
        <v>M 5.12</v>
      </c>
      <c r="E485" s="250" t="s">
        <v>1028</v>
      </c>
      <c r="F485" s="249" t="str">
        <f>VLOOKUP(E485,'5.2 Actions'!$A$3:$B$720,2,0)</f>
        <v>Finaliser la carte répondant aux critères de l’arrêté royal du 12 octobre 2005 à partir des données de VIVAQUA</v>
      </c>
      <c r="G485" s="251">
        <f>VLOOKUP(E485,'[4]5.2 Actions'!$A$3:$D$718,4,0)</f>
        <v>0</v>
      </c>
      <c r="H485" s="252">
        <f>VLOOKUP($E485,'5.1 Budget'!$A$4:$H$729,2,0)</f>
        <v>0</v>
      </c>
      <c r="I485" s="252">
        <f>VLOOKUP($E485,'5.1 Budget'!$A$4:$H$729,3,0)</f>
        <v>0</v>
      </c>
      <c r="J485" s="252">
        <f>VLOOKUP($E485,'5.1 Budget'!$A$4:$H$729,4,0)</f>
        <v>0</v>
      </c>
      <c r="K485" s="252">
        <f>VLOOKUP($E485,'5.1 Budget'!$A$4:$H$729,5,0)</f>
        <v>0</v>
      </c>
      <c r="L485" s="252">
        <f>VLOOKUP($E485,'5.1 Budget'!$A$4:$H$729,6,0)</f>
        <v>0</v>
      </c>
      <c r="M485" s="252">
        <f>VLOOKUP($E485,'5.1 Budget'!$A$4:$H$729,7,0)</f>
        <v>0</v>
      </c>
      <c r="N485" s="252">
        <f>VLOOKUP($E485,'5.1 Budget'!$A$4:$H$729,8,0)</f>
        <v>0</v>
      </c>
      <c r="V485" t="str">
        <f>VLOOKUP(D485,'[4]1. Mesures'!$A$1:$B$116,2,0)</f>
        <v>Etablir une carte des zones inondables répondant aux critères de l'arrêté royal du 12 octobre 2005</v>
      </c>
      <c r="W485" t="str">
        <f>VLOOKUP(B485,[1]HIERARCH!$A$1:$B$57,2,0)</f>
        <v xml:space="preserve">OS 5.3 : Diminuer la vulnérabilité du territoire face aux inondations </v>
      </c>
      <c r="X485" t="str">
        <f>VLOOKUP(C485,[1]HIERARCH!$A$2:$B$57,2,0)</f>
        <v xml:space="preserve">OO 5.3.1 : Eviter les nouvelles constructions dans les zones inondables et proposer des mesures d’adaptation pour le bâti existant </v>
      </c>
      <c r="Y485" t="str">
        <f t="shared" si="25"/>
        <v>Finaliser la carte répondant aux critères de l’arrêté royal du 12 octobre 2005 à partir des données de VIVAQUA…</v>
      </c>
    </row>
    <row r="486" spans="1:25" hidden="1" x14ac:dyDescent="0.25">
      <c r="A486" s="249" t="str">
        <f t="shared" si="26"/>
        <v>5</v>
      </c>
      <c r="B486" s="249" t="str">
        <f>VLOOKUP($D486,'[4]1. Mesures'!$A$2:$G$116,6,0)</f>
        <v>OS 5.3</v>
      </c>
      <c r="C486" s="249" t="str">
        <f>VLOOKUP($D486,'[4]1. Mesures'!$A$2:$G$116,7,0)</f>
        <v>OO 5.3.1</v>
      </c>
      <c r="D486" s="249" t="str">
        <f t="shared" si="27"/>
        <v>M 5.12</v>
      </c>
      <c r="E486" s="250" t="s">
        <v>1029</v>
      </c>
      <c r="F486" s="249" t="str">
        <f>VLOOKUP(E486,'5.2 Actions'!$A$3:$B$720,2,0)</f>
        <v>Valider en plateforme de coordination  la carte</v>
      </c>
      <c r="G486" s="251">
        <f>VLOOKUP(E486,'[4]5.2 Actions'!$A$3:$D$718,4,0)</f>
        <v>0</v>
      </c>
      <c r="H486" s="252">
        <f>VLOOKUP($E486,'5.1 Budget'!$A$4:$H$729,2,0)</f>
        <v>0</v>
      </c>
      <c r="I486" s="252">
        <f>VLOOKUP($E486,'5.1 Budget'!$A$4:$H$729,3,0)</f>
        <v>0</v>
      </c>
      <c r="J486" s="252">
        <f>VLOOKUP($E486,'5.1 Budget'!$A$4:$H$729,4,0)</f>
        <v>0</v>
      </c>
      <c r="K486" s="252">
        <f>VLOOKUP($E486,'5.1 Budget'!$A$4:$H$729,5,0)</f>
        <v>0</v>
      </c>
      <c r="L486" s="252">
        <f>VLOOKUP($E486,'5.1 Budget'!$A$4:$H$729,6,0)</f>
        <v>0</v>
      </c>
      <c r="M486" s="252">
        <f>VLOOKUP($E486,'5.1 Budget'!$A$4:$H$729,7,0)</f>
        <v>0</v>
      </c>
      <c r="N486" s="252">
        <f>VLOOKUP($E486,'5.1 Budget'!$A$4:$H$729,8,0)</f>
        <v>0</v>
      </c>
      <c r="V486" t="str">
        <f>VLOOKUP(D486,'[4]1. Mesures'!$A$1:$B$116,2,0)</f>
        <v>Etablir une carte des zones inondables répondant aux critères de l'arrêté royal du 12 octobre 2005</v>
      </c>
      <c r="W486" t="str">
        <f>VLOOKUP(B486,[1]HIERARCH!$A$1:$B$57,2,0)</f>
        <v xml:space="preserve">OS 5.3 : Diminuer la vulnérabilité du territoire face aux inondations </v>
      </c>
      <c r="X486" t="str">
        <f>VLOOKUP(C486,[1]HIERARCH!$A$2:$B$57,2,0)</f>
        <v xml:space="preserve">OO 5.3.1 : Eviter les nouvelles constructions dans les zones inondables et proposer des mesures d’adaptation pour le bâti existant </v>
      </c>
      <c r="Y486" t="str">
        <f t="shared" si="25"/>
        <v>Valider en plateforme de coordination  la carte…</v>
      </c>
    </row>
    <row r="487" spans="1:25" hidden="1" x14ac:dyDescent="0.25">
      <c r="A487" s="249" t="str">
        <f t="shared" si="26"/>
        <v>5</v>
      </c>
      <c r="B487" s="249" t="str">
        <f>VLOOKUP($D487,'[4]1. Mesures'!$A$2:$G$116,6,0)</f>
        <v>OS 5.3</v>
      </c>
      <c r="C487" s="249" t="str">
        <f>VLOOKUP($D487,'[4]1. Mesures'!$A$2:$G$116,7,0)</f>
        <v>OO 5.3.1</v>
      </c>
      <c r="D487" s="249" t="str">
        <f t="shared" si="27"/>
        <v>M 5.12</v>
      </c>
      <c r="E487" s="250" t="s">
        <v>1030</v>
      </c>
      <c r="F487" s="249" t="str">
        <f>VLOOKUP(E487,'5.2 Actions'!$A$3:$B$720,2,0)</f>
        <v>Faire acter la cartographie par le Gouvernement bruxellois avant de l’envoyer au service fédéral compétent pour modifier l’arrêté royal du 28 février 2007 portant délimitation des zones à risque visées à l'article 129, § 1er, de la loi du 4 avril 2014 relative aux assurances</v>
      </c>
      <c r="G487" s="251">
        <f>VLOOKUP(E487,'[4]5.2 Actions'!$A$3:$D$718,4,0)</f>
        <v>0</v>
      </c>
      <c r="H487" s="252">
        <f>VLOOKUP($E487,'5.1 Budget'!$A$4:$H$729,2,0)</f>
        <v>0</v>
      </c>
      <c r="I487" s="252">
        <f>VLOOKUP($E487,'5.1 Budget'!$A$4:$H$729,3,0)</f>
        <v>0</v>
      </c>
      <c r="J487" s="252">
        <f>VLOOKUP($E487,'5.1 Budget'!$A$4:$H$729,4,0)</f>
        <v>0</v>
      </c>
      <c r="K487" s="252">
        <f>VLOOKUP($E487,'5.1 Budget'!$A$4:$H$729,5,0)</f>
        <v>0</v>
      </c>
      <c r="L487" s="252">
        <f>VLOOKUP($E487,'5.1 Budget'!$A$4:$H$729,6,0)</f>
        <v>0</v>
      </c>
      <c r="M487" s="252">
        <f>VLOOKUP($E487,'5.1 Budget'!$A$4:$H$729,7,0)</f>
        <v>0</v>
      </c>
      <c r="N487" s="252">
        <f>VLOOKUP($E487,'5.1 Budget'!$A$4:$H$729,8,0)</f>
        <v>0</v>
      </c>
      <c r="V487" t="str">
        <f>VLOOKUP(D487,'[4]1. Mesures'!$A$1:$B$116,2,0)</f>
        <v>Etablir une carte des zones inondables répondant aux critères de l'arrêté royal du 12 octobre 2005</v>
      </c>
      <c r="W487" t="str">
        <f>VLOOKUP(B487,[1]HIERARCH!$A$1:$B$57,2,0)</f>
        <v xml:space="preserve">OS 5.3 : Diminuer la vulnérabilité du territoire face aux inondations </v>
      </c>
      <c r="X487" t="str">
        <f>VLOOKUP(C487,[1]HIERARCH!$A$2:$B$57,2,0)</f>
        <v xml:space="preserve">OO 5.3.1 : Eviter les nouvelles constructions dans les zones inondables et proposer des mesures d’adaptation pour le bâti existant </v>
      </c>
      <c r="Y487" t="str">
        <f t="shared" si="25"/>
        <v>Faire acter la cartographie par le Gouvernement bruxellois avant de l’envoyer au service fédéral compétent pour modifier…</v>
      </c>
    </row>
    <row r="488" spans="1:25" hidden="1" x14ac:dyDescent="0.25">
      <c r="A488" s="249" t="str">
        <f t="shared" si="26"/>
        <v>5</v>
      </c>
      <c r="B488" s="249" t="str">
        <f>VLOOKUP($D488,'[4]1. Mesures'!$A$2:$G$116,6,0)</f>
        <v>OS 5.3</v>
      </c>
      <c r="C488" s="249" t="str">
        <f>VLOOKUP($D488,'[4]1. Mesures'!$A$2:$G$116,7,0)</f>
        <v>OO 5.3.1</v>
      </c>
      <c r="D488" s="249" t="str">
        <f t="shared" si="27"/>
        <v>M 5.13</v>
      </c>
      <c r="E488" s="250" t="s">
        <v>1031</v>
      </c>
      <c r="F488" s="249" t="str">
        <f>VLOOKUP(E488,'5.2 Actions'!$A$3:$B$720,2,0)</f>
        <v>Croiser la carte des zones inondables avec la localisation des activités dangereuses (DB permis, Seveso,…)</v>
      </c>
      <c r="G488" s="251">
        <f>VLOOKUP(E488,'[4]5.2 Actions'!$A$3:$D$718,4,0)</f>
        <v>0</v>
      </c>
      <c r="H488" s="252">
        <f>VLOOKUP($E488,'5.1 Budget'!$A$4:$H$729,2,0)</f>
        <v>0</v>
      </c>
      <c r="I488" s="252">
        <f>VLOOKUP($E488,'5.1 Budget'!$A$4:$H$729,3,0)</f>
        <v>0</v>
      </c>
      <c r="J488" s="252">
        <f>VLOOKUP($E488,'5.1 Budget'!$A$4:$H$729,4,0)</f>
        <v>0</v>
      </c>
      <c r="K488" s="252">
        <f>VLOOKUP($E488,'5.1 Budget'!$A$4:$H$729,5,0)</f>
        <v>0</v>
      </c>
      <c r="L488" s="252">
        <f>VLOOKUP($E488,'5.1 Budget'!$A$4:$H$729,6,0)</f>
        <v>0</v>
      </c>
      <c r="M488" s="252">
        <f>VLOOKUP($E488,'5.1 Budget'!$A$4:$H$729,7,0)</f>
        <v>0</v>
      </c>
      <c r="N488" s="252">
        <f>VLOOKUP($E488,'5.1 Budget'!$A$4:$H$729,8,0)</f>
        <v>0</v>
      </c>
      <c r="V488" t="str">
        <f>VLOOKUP(D488,'[4]1. Mesures'!$A$1:$B$116,2,0)</f>
        <v xml:space="preserve">Prendre les mesures de protection à l’égard de certaines infrastructures ou installations sensibles et/ou à risque localisées en zone d'aléa fort (ex: cabine à haute tension, stockage de substances dangereuses...)   </v>
      </c>
      <c r="W488" t="str">
        <f>VLOOKUP(B488,[1]HIERARCH!$A$1:$B$57,2,0)</f>
        <v xml:space="preserve">OS 5.3 : Diminuer la vulnérabilité du territoire face aux inondations </v>
      </c>
      <c r="X488" t="str">
        <f>VLOOKUP(C488,[1]HIERARCH!$A$2:$B$57,2,0)</f>
        <v xml:space="preserve">OO 5.3.1 : Eviter les nouvelles constructions dans les zones inondables et proposer des mesures d’adaptation pour le bâti existant </v>
      </c>
      <c r="Y488" t="str">
        <f t="shared" si="25"/>
        <v>Croiser la carte des zones inondables avec la localisation des activités dangereuses (DB permis, Seveso,…)…</v>
      </c>
    </row>
    <row r="489" spans="1:25" hidden="1" x14ac:dyDescent="0.25">
      <c r="A489" s="249" t="str">
        <f t="shared" si="26"/>
        <v>5</v>
      </c>
      <c r="B489" s="249" t="str">
        <f>VLOOKUP($D489,'[4]1. Mesures'!$A$2:$G$116,6,0)</f>
        <v>OS 5.3</v>
      </c>
      <c r="C489" s="249" t="str">
        <f>VLOOKUP($D489,'[4]1. Mesures'!$A$2:$G$116,7,0)</f>
        <v>OO 5.3.1</v>
      </c>
      <c r="D489" s="249" t="str">
        <f t="shared" si="27"/>
        <v>M 5.13</v>
      </c>
      <c r="E489" s="250" t="s">
        <v>1032</v>
      </c>
      <c r="F489" s="249" t="str">
        <f>VLOOKUP(E489,'5.2 Actions'!$A$3:$B$720,2,0)</f>
        <v>Informer les propriétaires du risque d’inondation, impliquer la cellule refoulement d’égout de Vivaqua</v>
      </c>
      <c r="G489" s="251">
        <f>VLOOKUP(E489,'[4]5.2 Actions'!$A$3:$D$718,4,0)</f>
        <v>0</v>
      </c>
      <c r="H489" s="252">
        <f>VLOOKUP($E489,'5.1 Budget'!$A$4:$H$729,2,0)</f>
        <v>0</v>
      </c>
      <c r="I489" s="252">
        <f>VLOOKUP($E489,'5.1 Budget'!$A$4:$H$729,3,0)</f>
        <v>0</v>
      </c>
      <c r="J489" s="252">
        <f>VLOOKUP($E489,'5.1 Budget'!$A$4:$H$729,4,0)</f>
        <v>0</v>
      </c>
      <c r="K489" s="252">
        <f>VLOOKUP($E489,'5.1 Budget'!$A$4:$H$729,5,0)</f>
        <v>0</v>
      </c>
      <c r="L489" s="252">
        <f>VLOOKUP($E489,'5.1 Budget'!$A$4:$H$729,6,0)</f>
        <v>0</v>
      </c>
      <c r="M489" s="252">
        <f>VLOOKUP($E489,'5.1 Budget'!$A$4:$H$729,7,0)</f>
        <v>0</v>
      </c>
      <c r="N489" s="252">
        <f>VLOOKUP($E489,'5.1 Budget'!$A$4:$H$729,8,0)</f>
        <v>0</v>
      </c>
      <c r="V489" t="str">
        <f>VLOOKUP(D489,'[4]1. Mesures'!$A$1:$B$116,2,0)</f>
        <v xml:space="preserve">Prendre les mesures de protection à l’égard de certaines infrastructures ou installations sensibles et/ou à risque localisées en zone d'aléa fort (ex: cabine à haute tension, stockage de substances dangereuses...)   </v>
      </c>
      <c r="W489" t="str">
        <f>VLOOKUP(B489,[1]HIERARCH!$A$1:$B$57,2,0)</f>
        <v xml:space="preserve">OS 5.3 : Diminuer la vulnérabilité du territoire face aux inondations </v>
      </c>
      <c r="X489" t="str">
        <f>VLOOKUP(C489,[1]HIERARCH!$A$2:$B$57,2,0)</f>
        <v xml:space="preserve">OO 5.3.1 : Eviter les nouvelles constructions dans les zones inondables et proposer des mesures d’adaptation pour le bâti existant </v>
      </c>
      <c r="Y489" t="str">
        <f t="shared" si="25"/>
        <v>Informer les propriétaires du risque d’inondation, impliquer la cellule refoulement d’égout de Vivaqua…</v>
      </c>
    </row>
    <row r="490" spans="1:25" hidden="1" x14ac:dyDescent="0.25">
      <c r="A490" s="249" t="str">
        <f t="shared" si="26"/>
        <v>5</v>
      </c>
      <c r="B490" s="249" t="str">
        <f>VLOOKUP($D490,'[4]1. Mesures'!$A$2:$G$116,6,0)</f>
        <v>OS 5.3</v>
      </c>
      <c r="C490" s="249" t="str">
        <f>VLOOKUP($D490,'[4]1. Mesures'!$A$2:$G$116,7,0)</f>
        <v>OO 5.3.1</v>
      </c>
      <c r="D490" s="249" t="str">
        <f t="shared" si="27"/>
        <v>M 5.13</v>
      </c>
      <c r="E490" s="250" t="s">
        <v>1033</v>
      </c>
      <c r="F490" s="249" t="str">
        <f>VLOOKUP(E490,'5.2 Actions'!$A$3:$B$720,2,0)</f>
        <v>Etudier la faisabilité juridique d’intégrer des mesures spéciales de préservation dans les permis dans les zones inondables</v>
      </c>
      <c r="G490" s="251">
        <f>VLOOKUP(E490,'[4]5.2 Actions'!$A$3:$D$718,4,0)</f>
        <v>0</v>
      </c>
      <c r="H490" s="252">
        <f>VLOOKUP($E490,'5.1 Budget'!$A$4:$H$729,2,0)</f>
        <v>0</v>
      </c>
      <c r="I490" s="252">
        <f>VLOOKUP($E490,'5.1 Budget'!$A$4:$H$729,3,0)</f>
        <v>0</v>
      </c>
      <c r="J490" s="252">
        <f>VLOOKUP($E490,'5.1 Budget'!$A$4:$H$729,4,0)</f>
        <v>0</v>
      </c>
      <c r="K490" s="252">
        <f>VLOOKUP($E490,'5.1 Budget'!$A$4:$H$729,5,0)</f>
        <v>0</v>
      </c>
      <c r="L490" s="252">
        <f>VLOOKUP($E490,'5.1 Budget'!$A$4:$H$729,6,0)</f>
        <v>0</v>
      </c>
      <c r="M490" s="252">
        <f>VLOOKUP($E490,'5.1 Budget'!$A$4:$H$729,7,0)</f>
        <v>0</v>
      </c>
      <c r="N490" s="252">
        <f>VLOOKUP($E490,'5.1 Budget'!$A$4:$H$729,8,0)</f>
        <v>0</v>
      </c>
      <c r="V490" t="str">
        <f>VLOOKUP(D490,'[4]1. Mesures'!$A$1:$B$116,2,0)</f>
        <v xml:space="preserve">Prendre les mesures de protection à l’égard de certaines infrastructures ou installations sensibles et/ou à risque localisées en zone d'aléa fort (ex: cabine à haute tension, stockage de substances dangereuses...)   </v>
      </c>
      <c r="W490" t="str">
        <f>VLOOKUP(B490,[1]HIERARCH!$A$1:$B$57,2,0)</f>
        <v xml:space="preserve">OS 5.3 : Diminuer la vulnérabilité du territoire face aux inondations </v>
      </c>
      <c r="X490" t="str">
        <f>VLOOKUP(C490,[1]HIERARCH!$A$2:$B$57,2,0)</f>
        <v xml:space="preserve">OO 5.3.1 : Eviter les nouvelles constructions dans les zones inondables et proposer des mesures d’adaptation pour le bâti existant </v>
      </c>
      <c r="Y490" t="str">
        <f t="shared" si="25"/>
        <v>Etudier la faisabilité juridique d’intégrer des mesures spéciales de préservation dans les permis dans les zones inondab…</v>
      </c>
    </row>
    <row r="491" spans="1:25" hidden="1" x14ac:dyDescent="0.25">
      <c r="A491" s="249" t="str">
        <f t="shared" si="26"/>
        <v>5</v>
      </c>
      <c r="B491" s="249" t="str">
        <f>VLOOKUP($D491,'[4]1. Mesures'!$A$2:$G$116,6,0)</f>
        <v>OS 5.3</v>
      </c>
      <c r="C491" s="249" t="str">
        <f>VLOOKUP($D491,'[4]1. Mesures'!$A$2:$G$116,7,0)</f>
        <v>OO 5.3.1</v>
      </c>
      <c r="D491" s="249" t="str">
        <f t="shared" si="27"/>
        <v>M 5.13</v>
      </c>
      <c r="E491" s="250" t="s">
        <v>1034</v>
      </c>
      <c r="F491" s="249" t="str">
        <f>VLOOKUP(E491,'5.2 Actions'!$A$3:$B$720,2,0)</f>
        <v>Informer le centre de crise des infrastructures sensibles</v>
      </c>
      <c r="G491" s="251">
        <f>VLOOKUP(E491,'[4]5.2 Actions'!$A$3:$D$718,4,0)</f>
        <v>0</v>
      </c>
      <c r="H491" s="252">
        <f>VLOOKUP($E491,'5.1 Budget'!$A$4:$H$729,2,0)</f>
        <v>0</v>
      </c>
      <c r="I491" s="252">
        <f>VLOOKUP($E491,'5.1 Budget'!$A$4:$H$729,3,0)</f>
        <v>0</v>
      </c>
      <c r="J491" s="252">
        <f>VLOOKUP($E491,'5.1 Budget'!$A$4:$H$729,4,0)</f>
        <v>0</v>
      </c>
      <c r="K491" s="252">
        <f>VLOOKUP($E491,'5.1 Budget'!$A$4:$H$729,5,0)</f>
        <v>0</v>
      </c>
      <c r="L491" s="252">
        <f>VLOOKUP($E491,'5.1 Budget'!$A$4:$H$729,6,0)</f>
        <v>0</v>
      </c>
      <c r="M491" s="252">
        <f>VLOOKUP($E491,'5.1 Budget'!$A$4:$H$729,7,0)</f>
        <v>0</v>
      </c>
      <c r="N491" s="252">
        <f>VLOOKUP($E491,'5.1 Budget'!$A$4:$H$729,8,0)</f>
        <v>0</v>
      </c>
      <c r="V491" t="str">
        <f>VLOOKUP(D491,'[4]1. Mesures'!$A$1:$B$116,2,0)</f>
        <v xml:space="preserve">Prendre les mesures de protection à l’égard de certaines infrastructures ou installations sensibles et/ou à risque localisées en zone d'aléa fort (ex: cabine à haute tension, stockage de substances dangereuses...)   </v>
      </c>
      <c r="W491" t="str">
        <f>VLOOKUP(B491,[1]HIERARCH!$A$1:$B$57,2,0)</f>
        <v xml:space="preserve">OS 5.3 : Diminuer la vulnérabilité du territoire face aux inondations </v>
      </c>
      <c r="X491" t="str">
        <f>VLOOKUP(C491,[1]HIERARCH!$A$2:$B$57,2,0)</f>
        <v xml:space="preserve">OO 5.3.1 : Eviter les nouvelles constructions dans les zones inondables et proposer des mesures d’adaptation pour le bâti existant </v>
      </c>
      <c r="Y491" t="str">
        <f t="shared" si="25"/>
        <v>Informer le centre de crise des infrastructures sensibles…</v>
      </c>
    </row>
    <row r="492" spans="1:25" hidden="1" x14ac:dyDescent="0.25">
      <c r="A492" s="249" t="str">
        <f t="shared" si="26"/>
        <v>5</v>
      </c>
      <c r="B492" s="249" t="str">
        <f>VLOOKUP($D492,'[4]1. Mesures'!$A$2:$G$116,6,0)</f>
        <v>OS 5.3</v>
      </c>
      <c r="C492" s="249" t="str">
        <f>VLOOKUP($D492,'[4]1. Mesures'!$A$2:$G$116,7,0)</f>
        <v>OO 5.3.1</v>
      </c>
      <c r="D492" s="249" t="str">
        <f t="shared" si="27"/>
        <v>M 5.14</v>
      </c>
      <c r="E492" s="250" t="s">
        <v>1035</v>
      </c>
      <c r="F492" s="249" t="str">
        <f>VLOOKUP(E492,'5.2 Actions'!$A$3:$B$720,2,0)</f>
        <v>Intégrer dans la réglementation urbanistique des prescriptions :
· visant une conception adaptée du bâti en zone inondable pour minimiser les conséquences néfastes en cas d'inondation (au moins démontrer une réflexion sur le risque que court le bâti considéré et les solutions envisagées) ;
· faisant de la carte des zones inondables un outil à portée réglementaire ;
· imposant un avis relatif à la thématique de l'eau à toute construction d'infrastructures et bâtiments situés en zone inondable.</v>
      </c>
      <c r="G492" s="251">
        <f>VLOOKUP(E492,'[4]5.2 Actions'!$A$3:$D$718,4,0)</f>
        <v>0</v>
      </c>
      <c r="H492" s="252">
        <f>VLOOKUP($E492,'5.1 Budget'!$A$4:$H$729,2,0)</f>
        <v>0</v>
      </c>
      <c r="I492" s="252">
        <f>VLOOKUP($E492,'5.1 Budget'!$A$4:$H$729,3,0)</f>
        <v>0</v>
      </c>
      <c r="J492" s="252">
        <f>VLOOKUP($E492,'5.1 Budget'!$A$4:$H$729,4,0)</f>
        <v>0</v>
      </c>
      <c r="K492" s="252">
        <f>VLOOKUP($E492,'5.1 Budget'!$A$4:$H$729,5,0)</f>
        <v>0</v>
      </c>
      <c r="L492" s="252">
        <f>VLOOKUP($E492,'5.1 Budget'!$A$4:$H$729,6,0)</f>
        <v>0</v>
      </c>
      <c r="M492" s="252">
        <f>VLOOKUP($E492,'5.1 Budget'!$A$4:$H$729,7,0)</f>
        <v>0</v>
      </c>
      <c r="N492" s="252">
        <f>VLOOKUP($E492,'5.1 Budget'!$A$4:$H$729,8,0)</f>
        <v>0</v>
      </c>
      <c r="V492" t="str">
        <f>VLOOKUP(D492,'[4]1. Mesures'!$A$1:$B$116,2,0)</f>
        <v>Adapter le bâti situé en zone inondable</v>
      </c>
      <c r="W492" t="str">
        <f>VLOOKUP(B492,[1]HIERARCH!$A$1:$B$57,2,0)</f>
        <v xml:space="preserve">OS 5.3 : Diminuer la vulnérabilité du territoire face aux inondations </v>
      </c>
      <c r="X492" t="str">
        <f>VLOOKUP(C492,[1]HIERARCH!$A$2:$B$57,2,0)</f>
        <v xml:space="preserve">OO 5.3.1 : Eviter les nouvelles constructions dans les zones inondables et proposer des mesures d’adaptation pour le bâti existant </v>
      </c>
      <c r="Y492" t="str">
        <f t="shared" si="25"/>
        <v>Intégrer dans la réglementation urbanistique des prescriptions :
· visant une conception adaptée du bâti en zone inondab…</v>
      </c>
    </row>
    <row r="493" spans="1:25" hidden="1" x14ac:dyDescent="0.25">
      <c r="A493" s="249" t="str">
        <f t="shared" si="26"/>
        <v>5</v>
      </c>
      <c r="B493" s="249" t="str">
        <f>VLOOKUP($D493,'[4]1. Mesures'!$A$2:$G$116,6,0)</f>
        <v>OS 5.3</v>
      </c>
      <c r="C493" s="249" t="str">
        <f>VLOOKUP($D493,'[4]1. Mesures'!$A$2:$G$116,7,0)</f>
        <v>OO 5.3.1</v>
      </c>
      <c r="D493" s="249" t="str">
        <f t="shared" si="27"/>
        <v>M 5.14</v>
      </c>
      <c r="E493" s="250" t="s">
        <v>1036</v>
      </c>
      <c r="F493" s="249" t="str">
        <f>VLOOKUP(E493,'5.2 Actions'!$A$3:$B$720,2,0)</f>
        <v>Mettre en place une cellule "conseils" :
Délivrer des conseils techniques aux habitants dont l’habitation est fréquemment touchée par des inondations du fait de la non étanchéité du système d’évacuation des eaux usées jusqu’au niveau de la voirie.</v>
      </c>
      <c r="G493" s="251">
        <f>VLOOKUP(E493,'[4]5.2 Actions'!$A$3:$D$718,4,0)</f>
        <v>0</v>
      </c>
      <c r="H493" s="252">
        <f>VLOOKUP($E493,'5.1 Budget'!$A$4:$H$729,2,0)</f>
        <v>0</v>
      </c>
      <c r="I493" s="252">
        <f>VLOOKUP($E493,'5.1 Budget'!$A$4:$H$729,3,0)</f>
        <v>0</v>
      </c>
      <c r="J493" s="252">
        <f>VLOOKUP($E493,'5.1 Budget'!$A$4:$H$729,4,0)</f>
        <v>0</v>
      </c>
      <c r="K493" s="252">
        <f>VLOOKUP($E493,'5.1 Budget'!$A$4:$H$729,5,0)</f>
        <v>0</v>
      </c>
      <c r="L493" s="252">
        <f>VLOOKUP($E493,'5.1 Budget'!$A$4:$H$729,6,0)</f>
        <v>0</v>
      </c>
      <c r="M493" s="252">
        <f>VLOOKUP($E493,'5.1 Budget'!$A$4:$H$729,7,0)</f>
        <v>0</v>
      </c>
      <c r="N493" s="252">
        <f>VLOOKUP($E493,'5.1 Budget'!$A$4:$H$729,8,0)</f>
        <v>0</v>
      </c>
      <c r="V493" t="str">
        <f>VLOOKUP(D493,'[4]1. Mesures'!$A$1:$B$116,2,0)</f>
        <v>Adapter le bâti situé en zone inondable</v>
      </c>
      <c r="W493" t="str">
        <f>VLOOKUP(B493,[1]HIERARCH!$A$1:$B$57,2,0)</f>
        <v xml:space="preserve">OS 5.3 : Diminuer la vulnérabilité du territoire face aux inondations </v>
      </c>
      <c r="X493" t="str">
        <f>VLOOKUP(C493,[1]HIERARCH!$A$2:$B$57,2,0)</f>
        <v xml:space="preserve">OO 5.3.1 : Eviter les nouvelles constructions dans les zones inondables et proposer des mesures d’adaptation pour le bâti existant </v>
      </c>
      <c r="Y493" t="str">
        <f t="shared" si="25"/>
        <v>Mettre en place une cellule "conseils" :
Délivrer des conseils techniques aux habitants dont l’habitation est fréquemmen…</v>
      </c>
    </row>
    <row r="494" spans="1:25" hidden="1" x14ac:dyDescent="0.25">
      <c r="A494" s="249" t="str">
        <f t="shared" si="26"/>
        <v>5</v>
      </c>
      <c r="B494" s="249" t="str">
        <f>VLOOKUP($D494,'[4]1. Mesures'!$A$2:$G$116,6,0)</f>
        <v>OS 5.4</v>
      </c>
      <c r="C494" s="249" t="str">
        <f>VLOOKUP($D494,'[4]1. Mesures'!$A$2:$G$116,7,0)</f>
        <v>OO 5.4.1</v>
      </c>
      <c r="D494" s="249" t="str">
        <f t="shared" si="27"/>
        <v>M 5.15</v>
      </c>
      <c r="E494" s="250" t="s">
        <v>1037</v>
      </c>
      <c r="F494" s="249" t="str">
        <f>VLOOKUP(E494,'5.2 Actions'!$A$3:$B$720,2,0)</f>
        <v>Assurer un suivi régulier des prévisions météorologiques et des consommations en eau en période de sécheresse prolongée</v>
      </c>
      <c r="G494" s="251">
        <f>VLOOKUP(E494,'[4]5.2 Actions'!$A$3:$D$718,4,0)</f>
        <v>0</v>
      </c>
      <c r="H494" s="252">
        <f>VLOOKUP($E494,'5.1 Budget'!$A$4:$H$729,2,0)</f>
        <v>0</v>
      </c>
      <c r="I494" s="252">
        <f>VLOOKUP($E494,'5.1 Budget'!$A$4:$H$729,3,0)</f>
        <v>0</v>
      </c>
      <c r="J494" s="252">
        <f>VLOOKUP($E494,'5.1 Budget'!$A$4:$H$729,4,0)</f>
        <v>0</v>
      </c>
      <c r="K494" s="252">
        <f>VLOOKUP($E494,'5.1 Budget'!$A$4:$H$729,5,0)</f>
        <v>0</v>
      </c>
      <c r="L494" s="252">
        <f>VLOOKUP($E494,'5.1 Budget'!$A$4:$H$729,6,0)</f>
        <v>0</v>
      </c>
      <c r="M494" s="252">
        <f>VLOOKUP($E494,'5.1 Budget'!$A$4:$H$729,7,0)</f>
        <v>0</v>
      </c>
      <c r="N494" s="252">
        <f>VLOOKUP($E494,'5.1 Budget'!$A$4:$H$729,8,0)</f>
        <v>0</v>
      </c>
      <c r="V494" t="str">
        <f>VLOOKUP(D494,'[4]1. Mesures'!$A$1:$B$116,2,0)</f>
        <v>Mettre en place un système de prévision des pics de consommation d’eau potable</v>
      </c>
      <c r="W494" t="str">
        <f>VLOOKUP(B494,[1]HIERARCH!$A$1:$B$57,2,0)</f>
        <v>OS 5.4 : Diminuer la vulnérabilité des habitants et du territoire face aux épisodes de sécheresse</v>
      </c>
      <c r="X494" t="str">
        <f>VLOOKUP(C494,[1]HIERARCH!$A$2:$B$57,2,0)</f>
        <v xml:space="preserve">OO 5.4.1 : Garantir la sécurité d’approvisionnement en eau potable de la Région </v>
      </c>
      <c r="Y494" t="str">
        <f t="shared" si="25"/>
        <v>Assurer un suivi régulier des prévisions météorologiques et des consommations en eau en période de sécheresse prolongée…</v>
      </c>
    </row>
    <row r="495" spans="1:25" hidden="1" x14ac:dyDescent="0.25">
      <c r="A495" s="249" t="str">
        <f t="shared" si="26"/>
        <v>5</v>
      </c>
      <c r="B495" s="249" t="str">
        <f>VLOOKUP($D495,'[4]1. Mesures'!$A$2:$G$116,6,0)</f>
        <v>OS 5.4</v>
      </c>
      <c r="C495" s="249" t="str">
        <f>VLOOKUP($D495,'[4]1. Mesures'!$A$2:$G$116,7,0)</f>
        <v>OO 5.4.1</v>
      </c>
      <c r="D495" s="249" t="str">
        <f t="shared" si="27"/>
        <v>M 5.15</v>
      </c>
      <c r="E495" s="250" t="s">
        <v>1038</v>
      </c>
      <c r="F495" s="249" t="str">
        <f>VLOOKUP(E495,'5.2 Actions'!$A$3:$B$720,2,0)</f>
        <v>Pourvoir à une alimentation optimale des réservoirs d’eau alimentant la Région de Bruxelles-Capitale, par la mise en service de captages de réserve, le cas échéant</v>
      </c>
      <c r="G495" s="251">
        <f>VLOOKUP(E495,'[4]5.2 Actions'!$A$3:$D$718,4,0)</f>
        <v>0</v>
      </c>
      <c r="H495" s="252">
        <f>VLOOKUP($E495,'5.1 Budget'!$A$4:$H$729,2,0)</f>
        <v>0</v>
      </c>
      <c r="I495" s="252">
        <f>VLOOKUP($E495,'5.1 Budget'!$A$4:$H$729,3,0)</f>
        <v>0</v>
      </c>
      <c r="J495" s="252">
        <f>VLOOKUP($E495,'5.1 Budget'!$A$4:$H$729,4,0)</f>
        <v>0</v>
      </c>
      <c r="K495" s="252">
        <f>VLOOKUP($E495,'5.1 Budget'!$A$4:$H$729,5,0)</f>
        <v>0</v>
      </c>
      <c r="L495" s="252">
        <f>VLOOKUP($E495,'5.1 Budget'!$A$4:$H$729,6,0)</f>
        <v>0</v>
      </c>
      <c r="M495" s="252">
        <f>VLOOKUP($E495,'5.1 Budget'!$A$4:$H$729,7,0)</f>
        <v>0</v>
      </c>
      <c r="N495" s="252">
        <f>VLOOKUP($E495,'5.1 Budget'!$A$4:$H$729,8,0)</f>
        <v>0</v>
      </c>
      <c r="V495" t="str">
        <f>VLOOKUP(D495,'[4]1. Mesures'!$A$1:$B$116,2,0)</f>
        <v>Mettre en place un système de prévision des pics de consommation d’eau potable</v>
      </c>
      <c r="W495" t="str">
        <f>VLOOKUP(B495,[1]HIERARCH!$A$1:$B$57,2,0)</f>
        <v>OS 5.4 : Diminuer la vulnérabilité des habitants et du territoire face aux épisodes de sécheresse</v>
      </c>
      <c r="X495" t="str">
        <f>VLOOKUP(C495,[1]HIERARCH!$A$2:$B$57,2,0)</f>
        <v xml:space="preserve">OO 5.4.1 : Garantir la sécurité d’approvisionnement en eau potable de la Région </v>
      </c>
      <c r="Y495" t="str">
        <f t="shared" si="25"/>
        <v>Pourvoir à une alimentation optimale des réservoirs d’eau alimentant la Région de Bruxelles-Capitale, par la mise en ser…</v>
      </c>
    </row>
    <row r="496" spans="1:25" hidden="1" x14ac:dyDescent="0.25">
      <c r="A496" s="249" t="str">
        <f t="shared" si="26"/>
        <v>5</v>
      </c>
      <c r="B496" s="249" t="str">
        <f>VLOOKUP($D496,'[4]1. Mesures'!$A$2:$G$116,6,0)</f>
        <v>OS 5.4</v>
      </c>
      <c r="C496" s="249" t="str">
        <f>VLOOKUP($D496,'[4]1. Mesures'!$A$2:$G$116,7,0)</f>
        <v>OO 5.4.1</v>
      </c>
      <c r="D496" s="249" t="str">
        <f t="shared" si="27"/>
        <v>M 5.15</v>
      </c>
      <c r="E496" s="250" t="s">
        <v>1039</v>
      </c>
      <c r="F496" s="249" t="str">
        <f>VLOOKUP(E496,'5.2 Actions'!$A$3:$B$720,2,0)</f>
        <v>Sensibiliser la population en cas de risque de pénuries d’eau lors des périodes de pics de consommation</v>
      </c>
      <c r="G496" s="251">
        <f>VLOOKUP(E496,'[4]5.2 Actions'!$A$3:$D$718,4,0)</f>
        <v>0</v>
      </c>
      <c r="H496" s="252">
        <f>VLOOKUP($E496,'5.1 Budget'!$A$4:$H$729,2,0)</f>
        <v>0</v>
      </c>
      <c r="I496" s="252">
        <f>VLOOKUP($E496,'5.1 Budget'!$A$4:$H$729,3,0)</f>
        <v>0</v>
      </c>
      <c r="J496" s="252">
        <f>VLOOKUP($E496,'5.1 Budget'!$A$4:$H$729,4,0)</f>
        <v>0</v>
      </c>
      <c r="K496" s="252">
        <f>VLOOKUP($E496,'5.1 Budget'!$A$4:$H$729,5,0)</f>
        <v>0</v>
      </c>
      <c r="L496" s="252">
        <f>VLOOKUP($E496,'5.1 Budget'!$A$4:$H$729,6,0)</f>
        <v>0</v>
      </c>
      <c r="M496" s="252">
        <f>VLOOKUP($E496,'5.1 Budget'!$A$4:$H$729,7,0)</f>
        <v>0</v>
      </c>
      <c r="N496" s="252">
        <f>VLOOKUP($E496,'5.1 Budget'!$A$4:$H$729,8,0)</f>
        <v>0</v>
      </c>
      <c r="V496" t="str">
        <f>VLOOKUP(D496,'[4]1. Mesures'!$A$1:$B$116,2,0)</f>
        <v>Mettre en place un système de prévision des pics de consommation d’eau potable</v>
      </c>
      <c r="W496" t="str">
        <f>VLOOKUP(B496,[1]HIERARCH!$A$1:$B$57,2,0)</f>
        <v>OS 5.4 : Diminuer la vulnérabilité des habitants et du territoire face aux épisodes de sécheresse</v>
      </c>
      <c r="X496" t="str">
        <f>VLOOKUP(C496,[1]HIERARCH!$A$2:$B$57,2,0)</f>
        <v xml:space="preserve">OO 5.4.1 : Garantir la sécurité d’approvisionnement en eau potable de la Région </v>
      </c>
      <c r="Y496" t="str">
        <f t="shared" si="25"/>
        <v>Sensibiliser la population en cas de risque de pénuries d’eau lors des périodes de pics de consommation…</v>
      </c>
    </row>
    <row r="497" spans="1:25" hidden="1" x14ac:dyDescent="0.25">
      <c r="A497" s="249" t="str">
        <f t="shared" si="26"/>
        <v>5</v>
      </c>
      <c r="B497" s="249" t="str">
        <f>VLOOKUP($D497,'[4]1. Mesures'!$A$2:$G$116,6,0)</f>
        <v>OS 5.4</v>
      </c>
      <c r="C497" s="249" t="str">
        <f>VLOOKUP($D497,'[4]1. Mesures'!$A$2:$G$116,7,0)</f>
        <v>OO 5.4.2</v>
      </c>
      <c r="D497" s="249" t="str">
        <f t="shared" si="27"/>
        <v>M 5.16</v>
      </c>
      <c r="E497" s="250" t="s">
        <v>1040</v>
      </c>
      <c r="F497" s="249" t="str">
        <f>VLOOKUP(E497,'5.2 Actions'!$A$3:$B$720,2,0)</f>
        <v>Déterminer les seuils en-deçà desquels des restrictions de captages et de prélèvement d’eau doivent pouvoir être imposées, notamment dans ou à proximité immédiate de zones protégées.</v>
      </c>
      <c r="G497" s="251">
        <f>VLOOKUP(E497,'[4]5.2 Actions'!$A$3:$D$718,4,0)</f>
        <v>0</v>
      </c>
      <c r="H497" s="252">
        <f>VLOOKUP($E497,'5.1 Budget'!$A$4:$H$729,2,0)</f>
        <v>0</v>
      </c>
      <c r="I497" s="252">
        <f>VLOOKUP($E497,'5.1 Budget'!$A$4:$H$729,3,0)</f>
        <v>0</v>
      </c>
      <c r="J497" s="252">
        <f>VLOOKUP($E497,'5.1 Budget'!$A$4:$H$729,4,0)</f>
        <v>0</v>
      </c>
      <c r="K497" s="252">
        <f>VLOOKUP($E497,'5.1 Budget'!$A$4:$H$729,5,0)</f>
        <v>0</v>
      </c>
      <c r="L497" s="252">
        <f>VLOOKUP($E497,'5.1 Budget'!$A$4:$H$729,6,0)</f>
        <v>0</v>
      </c>
      <c r="M497" s="252">
        <f>VLOOKUP($E497,'5.1 Budget'!$A$4:$H$729,7,0)</f>
        <v>0</v>
      </c>
      <c r="N497" s="252">
        <f>VLOOKUP($E497,'5.1 Budget'!$A$4:$H$729,8,0)</f>
        <v>0</v>
      </c>
      <c r="V497" t="str">
        <f>VLOOKUP(D497,'[4]1. Mesures'!$A$1:$B$116,2,0)</f>
        <v xml:space="preserve"> Adapter la gestion des captages et rabattement en cas de sécheresse</v>
      </c>
      <c r="W497" t="str">
        <f>VLOOKUP(B497,[1]HIERARCH!$A$1:$B$57,2,0)</f>
        <v>OS 5.4 : Diminuer la vulnérabilité des habitants et du territoire face aux épisodes de sécheresse</v>
      </c>
      <c r="X497" t="str">
        <f>VLOOKUP(C497,[1]HIERARCH!$A$2:$B$57,2,0)</f>
        <v xml:space="preserve">OO 5.4.2 : Préserver les ressources en eau en fonction des usages et des bénéfices écosystémiques qu’elles nous rendent  </v>
      </c>
      <c r="Y497" t="str">
        <f t="shared" si="25"/>
        <v>Déterminer les seuils en-deçà desquels des restrictions de captages et de prélèvement d’eau doivent pouvoir être imposée…</v>
      </c>
    </row>
    <row r="498" spans="1:25" hidden="1" x14ac:dyDescent="0.25">
      <c r="A498" s="249" t="str">
        <f t="shared" si="26"/>
        <v>5</v>
      </c>
      <c r="B498" s="249" t="str">
        <f>VLOOKUP($D498,'[4]1. Mesures'!$A$2:$G$116,6,0)</f>
        <v>OS 5.4</v>
      </c>
      <c r="C498" s="249" t="str">
        <f>VLOOKUP($D498,'[4]1. Mesures'!$A$2:$G$116,7,0)</f>
        <v>OO 5.4.2</v>
      </c>
      <c r="D498" s="249" t="str">
        <f t="shared" si="27"/>
        <v>M 5.16</v>
      </c>
      <c r="E498" s="250" t="s">
        <v>1041</v>
      </c>
      <c r="F498" s="249" t="str">
        <f>VLOOKUP(E498,'5.2 Actions'!$A$3:$B$720,2,0)</f>
        <v>Définir les règles de priorisation des usages de l’eau en cas de risque de pénurie.</v>
      </c>
      <c r="G498" s="251">
        <f>VLOOKUP(E498,'[4]5.2 Actions'!$A$3:$D$718,4,0)</f>
        <v>0</v>
      </c>
      <c r="H498" s="252">
        <f>VLOOKUP($E498,'5.1 Budget'!$A$4:$H$729,2,0)</f>
        <v>0</v>
      </c>
      <c r="I498" s="252">
        <f>VLOOKUP($E498,'5.1 Budget'!$A$4:$H$729,3,0)</f>
        <v>0</v>
      </c>
      <c r="J498" s="252">
        <f>VLOOKUP($E498,'5.1 Budget'!$A$4:$H$729,4,0)</f>
        <v>0</v>
      </c>
      <c r="K498" s="252">
        <f>VLOOKUP($E498,'5.1 Budget'!$A$4:$H$729,5,0)</f>
        <v>0</v>
      </c>
      <c r="L498" s="252">
        <f>VLOOKUP($E498,'5.1 Budget'!$A$4:$H$729,6,0)</f>
        <v>0</v>
      </c>
      <c r="M498" s="252">
        <f>VLOOKUP($E498,'5.1 Budget'!$A$4:$H$729,7,0)</f>
        <v>0</v>
      </c>
      <c r="N498" s="252">
        <f>VLOOKUP($E498,'5.1 Budget'!$A$4:$H$729,8,0)</f>
        <v>0</v>
      </c>
      <c r="V498" t="str">
        <f>VLOOKUP(D498,'[4]1. Mesures'!$A$1:$B$116,2,0)</f>
        <v xml:space="preserve"> Adapter la gestion des captages et rabattement en cas de sécheresse</v>
      </c>
      <c r="W498" t="str">
        <f>VLOOKUP(B498,[1]HIERARCH!$A$1:$B$57,2,0)</f>
        <v>OS 5.4 : Diminuer la vulnérabilité des habitants et du territoire face aux épisodes de sécheresse</v>
      </c>
      <c r="X498" t="str">
        <f>VLOOKUP(C498,[1]HIERARCH!$A$2:$B$57,2,0)</f>
        <v xml:space="preserve">OO 5.4.2 : Préserver les ressources en eau en fonction des usages et des bénéfices écosystémiques qu’elles nous rendent  </v>
      </c>
      <c r="Y498" t="str">
        <f t="shared" si="25"/>
        <v>Définir les règles de priorisation des usages de l’eau en cas de risque de pénurie.…</v>
      </c>
    </row>
    <row r="499" spans="1:25" hidden="1" x14ac:dyDescent="0.25">
      <c r="A499" s="249" t="str">
        <f t="shared" si="26"/>
        <v>5</v>
      </c>
      <c r="B499" s="249" t="str">
        <f>VLOOKUP($D499,'[4]1. Mesures'!$A$2:$G$116,6,0)</f>
        <v>OS 5.4</v>
      </c>
      <c r="C499" s="249" t="str">
        <f>VLOOKUP($D499,'[4]1. Mesures'!$A$2:$G$116,7,0)</f>
        <v>OO 5.4.2</v>
      </c>
      <c r="D499" s="249" t="str">
        <f t="shared" si="27"/>
        <v>M 5.16</v>
      </c>
      <c r="E499" s="250" t="s">
        <v>1042</v>
      </c>
      <c r="F499" s="249" t="str">
        <f>VLOOKUP(E499,'5.2 Actions'!$A$3:$B$720,2,0)</f>
        <v>Adapter les conditions fixées dans les nouvelles autorisations de captages d’eau souterraine  pour tenir compte des épisodes de sécheresse ou de pénurie d’eau.</v>
      </c>
      <c r="G499" s="251">
        <f>VLOOKUP(E499,'[4]5.2 Actions'!$A$3:$D$718,4,0)</f>
        <v>0</v>
      </c>
      <c r="H499" s="252">
        <f>VLOOKUP($E499,'5.1 Budget'!$A$4:$H$729,2,0)</f>
        <v>0</v>
      </c>
      <c r="I499" s="252">
        <f>VLOOKUP($E499,'5.1 Budget'!$A$4:$H$729,3,0)</f>
        <v>0</v>
      </c>
      <c r="J499" s="252">
        <f>VLOOKUP($E499,'5.1 Budget'!$A$4:$H$729,4,0)</f>
        <v>0</v>
      </c>
      <c r="K499" s="252">
        <f>VLOOKUP($E499,'5.1 Budget'!$A$4:$H$729,5,0)</f>
        <v>0</v>
      </c>
      <c r="L499" s="252">
        <f>VLOOKUP($E499,'5.1 Budget'!$A$4:$H$729,6,0)</f>
        <v>0</v>
      </c>
      <c r="M499" s="252">
        <f>VLOOKUP($E499,'5.1 Budget'!$A$4:$H$729,7,0)</f>
        <v>0</v>
      </c>
      <c r="N499" s="252">
        <f>VLOOKUP($E499,'5.1 Budget'!$A$4:$H$729,8,0)</f>
        <v>0</v>
      </c>
      <c r="V499" t="str">
        <f>VLOOKUP(D499,'[4]1. Mesures'!$A$1:$B$116,2,0)</f>
        <v xml:space="preserve"> Adapter la gestion des captages et rabattement en cas de sécheresse</v>
      </c>
      <c r="W499" t="str">
        <f>VLOOKUP(B499,[1]HIERARCH!$A$1:$B$57,2,0)</f>
        <v>OS 5.4 : Diminuer la vulnérabilité des habitants et du territoire face aux épisodes de sécheresse</v>
      </c>
      <c r="X499" t="str">
        <f>VLOOKUP(C499,[1]HIERARCH!$A$2:$B$57,2,0)</f>
        <v xml:space="preserve">OO 5.4.2 : Préserver les ressources en eau en fonction des usages et des bénéfices écosystémiques qu’elles nous rendent  </v>
      </c>
      <c r="Y499" t="str">
        <f t="shared" si="25"/>
        <v>Adapter les conditions fixées dans les nouvelles autorisations de captages d’eau souterraine  pour tenir compte des épis…</v>
      </c>
    </row>
    <row r="500" spans="1:25" hidden="1" x14ac:dyDescent="0.25">
      <c r="A500" s="249" t="str">
        <f t="shared" si="26"/>
        <v>5</v>
      </c>
      <c r="B500" s="249" t="str">
        <f>VLOOKUP($D500,'[4]1. Mesures'!$A$2:$G$116,6,0)</f>
        <v>OS 5.4</v>
      </c>
      <c r="C500" s="249" t="str">
        <f>VLOOKUP($D500,'[4]1. Mesures'!$A$2:$G$116,7,0)</f>
        <v>OO 5.4.2</v>
      </c>
      <c r="D500" s="249" t="str">
        <f t="shared" si="27"/>
        <v>M 5.16</v>
      </c>
      <c r="E500" s="250" t="s">
        <v>1043</v>
      </c>
      <c r="F500" s="249" t="str">
        <f>VLOOKUP(E500,'5.2 Actions'!$A$3:$B$720,2,0)</f>
        <v>Imposer de nouvelles conditions dans les autorisations de prélèvements d’eau dans les cours d’eau non navigables</v>
      </c>
      <c r="G500" s="251">
        <f>VLOOKUP(E500,'[4]5.2 Actions'!$A$3:$D$718,4,0)</f>
        <v>0</v>
      </c>
      <c r="H500" s="252">
        <f>VLOOKUP($E500,'5.1 Budget'!$A$4:$H$729,2,0)</f>
        <v>0</v>
      </c>
      <c r="I500" s="252">
        <f>VLOOKUP($E500,'5.1 Budget'!$A$4:$H$729,3,0)</f>
        <v>0</v>
      </c>
      <c r="J500" s="252">
        <f>VLOOKUP($E500,'5.1 Budget'!$A$4:$H$729,4,0)</f>
        <v>0</v>
      </c>
      <c r="K500" s="252">
        <f>VLOOKUP($E500,'5.1 Budget'!$A$4:$H$729,5,0)</f>
        <v>0</v>
      </c>
      <c r="L500" s="252">
        <f>VLOOKUP($E500,'5.1 Budget'!$A$4:$H$729,6,0)</f>
        <v>0</v>
      </c>
      <c r="M500" s="252">
        <f>VLOOKUP($E500,'5.1 Budget'!$A$4:$H$729,7,0)</f>
        <v>0</v>
      </c>
      <c r="N500" s="252">
        <f>VLOOKUP($E500,'5.1 Budget'!$A$4:$H$729,8,0)</f>
        <v>0</v>
      </c>
      <c r="V500" t="str">
        <f>VLOOKUP(D500,'[4]1. Mesures'!$A$1:$B$116,2,0)</f>
        <v xml:space="preserve"> Adapter la gestion des captages et rabattement en cas de sécheresse</v>
      </c>
      <c r="W500" t="str">
        <f>VLOOKUP(B500,[1]HIERARCH!$A$1:$B$57,2,0)</f>
        <v>OS 5.4 : Diminuer la vulnérabilité des habitants et du territoire face aux épisodes de sécheresse</v>
      </c>
      <c r="X500" t="str">
        <f>VLOOKUP(C500,[1]HIERARCH!$A$2:$B$57,2,0)</f>
        <v xml:space="preserve">OO 5.4.2 : Préserver les ressources en eau en fonction des usages et des bénéfices écosystémiques qu’elles nous rendent  </v>
      </c>
      <c r="Y500" t="str">
        <f t="shared" si="25"/>
        <v>Imposer de nouvelles conditions dans les autorisations de prélèvements d’eau dans les cours d’eau non navigables…</v>
      </c>
    </row>
    <row r="501" spans="1:25" hidden="1" x14ac:dyDescent="0.25">
      <c r="A501" s="249" t="str">
        <f t="shared" si="26"/>
        <v>5</v>
      </c>
      <c r="B501" s="249" t="str">
        <f>VLOOKUP($D501,'[4]1. Mesures'!$A$2:$G$116,6,0)</f>
        <v>OS 5.4</v>
      </c>
      <c r="C501" s="249" t="str">
        <f>VLOOKUP($D501,'[4]1. Mesures'!$A$2:$G$116,7,0)</f>
        <v>OO 5.4.2</v>
      </c>
      <c r="D501" s="249" t="str">
        <f t="shared" si="27"/>
        <v>M 5.16</v>
      </c>
      <c r="E501" s="250" t="s">
        <v>1044</v>
      </c>
      <c r="F501" s="249" t="str">
        <f>VLOOKUP(E501,'5.2 Actions'!$A$3:$B$720,2,0)</f>
        <v>Etablir un registre des prélèvements autorisés dans les cours d’eau non navigables</v>
      </c>
      <c r="G501" s="251">
        <f>VLOOKUP(E501,'[4]5.2 Actions'!$A$3:$D$718,4,0)</f>
        <v>0</v>
      </c>
      <c r="H501" s="252">
        <f>VLOOKUP($E501,'5.1 Budget'!$A$4:$H$729,2,0)</f>
        <v>0</v>
      </c>
      <c r="I501" s="252">
        <f>VLOOKUP($E501,'5.1 Budget'!$A$4:$H$729,3,0)</f>
        <v>0</v>
      </c>
      <c r="J501" s="252">
        <f>VLOOKUP($E501,'5.1 Budget'!$A$4:$H$729,4,0)</f>
        <v>0</v>
      </c>
      <c r="K501" s="252">
        <f>VLOOKUP($E501,'5.1 Budget'!$A$4:$H$729,5,0)</f>
        <v>0</v>
      </c>
      <c r="L501" s="252">
        <f>VLOOKUP($E501,'5.1 Budget'!$A$4:$H$729,6,0)</f>
        <v>0</v>
      </c>
      <c r="M501" s="252">
        <f>VLOOKUP($E501,'5.1 Budget'!$A$4:$H$729,7,0)</f>
        <v>0</v>
      </c>
      <c r="N501" s="252">
        <f>VLOOKUP($E501,'5.1 Budget'!$A$4:$H$729,8,0)</f>
        <v>0</v>
      </c>
      <c r="V501" t="str">
        <f>VLOOKUP(D501,'[4]1. Mesures'!$A$1:$B$116,2,0)</f>
        <v xml:space="preserve"> Adapter la gestion des captages et rabattement en cas de sécheresse</v>
      </c>
      <c r="W501" t="str">
        <f>VLOOKUP(B501,[1]HIERARCH!$A$1:$B$57,2,0)</f>
        <v>OS 5.4 : Diminuer la vulnérabilité des habitants et du territoire face aux épisodes de sécheresse</v>
      </c>
      <c r="X501" t="str">
        <f>VLOOKUP(C501,[1]HIERARCH!$A$2:$B$57,2,0)</f>
        <v xml:space="preserve">OO 5.4.2 : Préserver les ressources en eau en fonction des usages et des bénéfices écosystémiques qu’elles nous rendent  </v>
      </c>
      <c r="Y501" t="str">
        <f t="shared" si="25"/>
        <v>Etablir un registre des prélèvements autorisés dans les cours d’eau non navigables…</v>
      </c>
    </row>
    <row r="502" spans="1:25" hidden="1" x14ac:dyDescent="0.25">
      <c r="A502" s="249" t="str">
        <f t="shared" si="26"/>
        <v>5</v>
      </c>
      <c r="B502" s="249" t="str">
        <f>VLOOKUP($D502,'[4]1. Mesures'!$A$2:$G$116,6,0)</f>
        <v>OS 5.4</v>
      </c>
      <c r="C502" s="249" t="str">
        <f>VLOOKUP($D502,'[4]1. Mesures'!$A$2:$G$116,7,0)</f>
        <v>OO 5.4.2</v>
      </c>
      <c r="D502" s="249" t="str">
        <f t="shared" si="27"/>
        <v>M 5.16</v>
      </c>
      <c r="E502" s="250" t="s">
        <v>1045</v>
      </c>
      <c r="F502" s="249" t="str">
        <f>VLOOKUP(E502,'5.2 Actions'!$A$3:$B$720,2,0)</f>
        <v>Assurer le contrôle du respect des mesures de restriction et de priorisation.</v>
      </c>
      <c r="G502" s="251">
        <f>VLOOKUP(E502,'[4]5.2 Actions'!$A$3:$D$718,4,0)</f>
        <v>0</v>
      </c>
      <c r="H502" s="252">
        <f>VLOOKUP($E502,'5.1 Budget'!$A$4:$H$729,2,0)</f>
        <v>0</v>
      </c>
      <c r="I502" s="252">
        <f>VLOOKUP($E502,'5.1 Budget'!$A$4:$H$729,3,0)</f>
        <v>0</v>
      </c>
      <c r="J502" s="252">
        <f>VLOOKUP($E502,'5.1 Budget'!$A$4:$H$729,4,0)</f>
        <v>0</v>
      </c>
      <c r="K502" s="252">
        <f>VLOOKUP($E502,'5.1 Budget'!$A$4:$H$729,5,0)</f>
        <v>0</v>
      </c>
      <c r="L502" s="252">
        <f>VLOOKUP($E502,'5.1 Budget'!$A$4:$H$729,6,0)</f>
        <v>0</v>
      </c>
      <c r="M502" s="252">
        <f>VLOOKUP($E502,'5.1 Budget'!$A$4:$H$729,7,0)</f>
        <v>0</v>
      </c>
      <c r="N502" s="252">
        <f>VLOOKUP($E502,'5.1 Budget'!$A$4:$H$729,8,0)</f>
        <v>0</v>
      </c>
      <c r="V502" t="str">
        <f>VLOOKUP(D502,'[4]1. Mesures'!$A$1:$B$116,2,0)</f>
        <v xml:space="preserve"> Adapter la gestion des captages et rabattement en cas de sécheresse</v>
      </c>
      <c r="W502" t="str">
        <f>VLOOKUP(B502,[1]HIERARCH!$A$1:$B$57,2,0)</f>
        <v>OS 5.4 : Diminuer la vulnérabilité des habitants et du territoire face aux épisodes de sécheresse</v>
      </c>
      <c r="X502" t="str">
        <f>VLOOKUP(C502,[1]HIERARCH!$A$2:$B$57,2,0)</f>
        <v xml:space="preserve">OO 5.4.2 : Préserver les ressources en eau en fonction des usages et des bénéfices écosystémiques qu’elles nous rendent  </v>
      </c>
      <c r="Y502" t="str">
        <f t="shared" si="25"/>
        <v>Assurer le contrôle du respect des mesures de restriction et de priorisation.…</v>
      </c>
    </row>
    <row r="503" spans="1:25" hidden="1" x14ac:dyDescent="0.25">
      <c r="A503" s="249" t="str">
        <f t="shared" si="26"/>
        <v>5</v>
      </c>
      <c r="B503" s="249" t="str">
        <f>VLOOKUP($D503,'[4]1. Mesures'!$A$2:$G$116,6,0)</f>
        <v>OS 5.4</v>
      </c>
      <c r="C503" s="249" t="str">
        <f>VLOOKUP($D503,'[4]1. Mesures'!$A$2:$G$116,7,0)</f>
        <v>OO 5.4.1</v>
      </c>
      <c r="D503" s="249" t="str">
        <f t="shared" si="27"/>
        <v>M 5.17</v>
      </c>
      <c r="E503" s="250" t="s">
        <v>1046</v>
      </c>
      <c r="F503" s="249" t="str">
        <f>VLOOKUP(E503,'5.2 Actions'!$A$3:$B$720,2,0)</f>
        <v>Dresser un inventaire des éléments et sites naturels les plus vulnérables aux épisodes de sécheresse, pour fonder et prioriser les actions qui permettront d’assurer les différents critères de conservation (taux d’humidité, niveaux des pièces d’eau, ecological flow,…) en cas de crise sècheresse</v>
      </c>
      <c r="G503" s="251">
        <f>VLOOKUP(E503,'[4]5.2 Actions'!$A$3:$D$718,4,0)</f>
        <v>0</v>
      </c>
      <c r="H503" s="252">
        <f>VLOOKUP($E503,'5.1 Budget'!$A$4:$H$729,2,0)</f>
        <v>0</v>
      </c>
      <c r="I503" s="252">
        <f>VLOOKUP($E503,'5.1 Budget'!$A$4:$H$729,3,0)</f>
        <v>0</v>
      </c>
      <c r="J503" s="252">
        <f>VLOOKUP($E503,'5.1 Budget'!$A$4:$H$729,4,0)</f>
        <v>0</v>
      </c>
      <c r="K503" s="252">
        <f>VLOOKUP($E503,'5.1 Budget'!$A$4:$H$729,5,0)</f>
        <v>0</v>
      </c>
      <c r="L503" s="252">
        <f>VLOOKUP($E503,'5.1 Budget'!$A$4:$H$729,6,0)</f>
        <v>0</v>
      </c>
      <c r="M503" s="252">
        <f>VLOOKUP($E503,'5.1 Budget'!$A$4:$H$729,7,0)</f>
        <v>0</v>
      </c>
      <c r="N503" s="252">
        <f>VLOOKUP($E503,'5.1 Budget'!$A$4:$H$729,8,0)</f>
        <v>0</v>
      </c>
      <c r="V503" t="str">
        <f>VLOOKUP(D503,'[4]1. Mesures'!$A$1:$B$116,2,0)</f>
        <v xml:space="preserve">Renforcer la surveillance des masses d'eau et prendre des mesures de prévention et de sauvegarde en cas de sécheresse dans les zones stratégiques </v>
      </c>
      <c r="W503" t="str">
        <f>VLOOKUP(B503,[1]HIERARCH!$A$1:$B$57,2,0)</f>
        <v>OS 5.4 : Diminuer la vulnérabilité des habitants et du territoire face aux épisodes de sécheresse</v>
      </c>
      <c r="X503" t="str">
        <f>VLOOKUP(C503,[1]HIERARCH!$A$2:$B$57,2,0)</f>
        <v xml:space="preserve">OO 5.4.1 : Garantir la sécurité d’approvisionnement en eau potable de la Région </v>
      </c>
      <c r="Y503" t="str">
        <f t="shared" si="25"/>
        <v>Dresser un inventaire des éléments et sites naturels les plus vulnérables aux épisodes de sécheresse, pour fonder et pri…</v>
      </c>
    </row>
    <row r="504" spans="1:25" hidden="1" x14ac:dyDescent="0.25">
      <c r="A504" s="249" t="str">
        <f t="shared" si="26"/>
        <v>5</v>
      </c>
      <c r="B504" s="249" t="str">
        <f>VLOOKUP($D504,'[4]1. Mesures'!$A$2:$G$116,6,0)</f>
        <v>OS 5.4</v>
      </c>
      <c r="C504" s="249" t="str">
        <f>VLOOKUP($D504,'[4]1. Mesures'!$A$2:$G$116,7,0)</f>
        <v>OO 5.4.1</v>
      </c>
      <c r="D504" s="249" t="str">
        <f t="shared" si="27"/>
        <v>M 5.17</v>
      </c>
      <c r="E504" s="250" t="s">
        <v>1051</v>
      </c>
      <c r="F504" s="249" t="str">
        <f>VLOOKUP(E504,'5.2 Actions'!$A$3:$B$720,2,0)</f>
        <v>Renforcer  le suivi des niveaux piézométriques  (fréquence des mesures, densité des sites mesurés,…), du débit des sources, dans les zones d’alimentation hydrogéologiques de certains écosystèmes terrestres et aquatiques associés en cas de crise sécheresse (cf. aussi M 3.4)</v>
      </c>
      <c r="G504" s="251">
        <f>VLOOKUP(E504,'[4]5.2 Actions'!$A$3:$D$718,4,0)</f>
        <v>0</v>
      </c>
      <c r="H504" s="252">
        <f>VLOOKUP($E504,'5.1 Budget'!$A$4:$H$729,2,0)</f>
        <v>0</v>
      </c>
      <c r="I504" s="252">
        <f>VLOOKUP($E504,'5.1 Budget'!$A$4:$H$729,3,0)</f>
        <v>0</v>
      </c>
      <c r="J504" s="252">
        <f>VLOOKUP($E504,'5.1 Budget'!$A$4:$H$729,4,0)</f>
        <v>0</v>
      </c>
      <c r="K504" s="252">
        <f>VLOOKUP($E504,'5.1 Budget'!$A$4:$H$729,5,0)</f>
        <v>0</v>
      </c>
      <c r="L504" s="252">
        <f>VLOOKUP($E504,'5.1 Budget'!$A$4:$H$729,6,0)</f>
        <v>0</v>
      </c>
      <c r="M504" s="252">
        <f>VLOOKUP($E504,'5.1 Budget'!$A$4:$H$729,7,0)</f>
        <v>0</v>
      </c>
      <c r="N504" s="252">
        <f>VLOOKUP($E504,'5.1 Budget'!$A$4:$H$729,8,0)</f>
        <v>0</v>
      </c>
      <c r="V504" t="str">
        <f>VLOOKUP(D504,'[4]1. Mesures'!$A$1:$B$116,2,0)</f>
        <v xml:space="preserve">Renforcer la surveillance des masses d'eau et prendre des mesures de prévention et de sauvegarde en cas de sécheresse dans les zones stratégiques </v>
      </c>
      <c r="W504" t="str">
        <f>VLOOKUP(B504,[1]HIERARCH!$A$1:$B$57,2,0)</f>
        <v>OS 5.4 : Diminuer la vulnérabilité des habitants et du territoire face aux épisodes de sécheresse</v>
      </c>
      <c r="X504" t="str">
        <f>VLOOKUP(C504,[1]HIERARCH!$A$2:$B$57,2,0)</f>
        <v xml:space="preserve">OO 5.4.1 : Garantir la sécurité d’approvisionnement en eau potable de la Région </v>
      </c>
      <c r="Y504" t="str">
        <f t="shared" si="25"/>
        <v>Renforcer  le suivi des niveaux piézométriques  (fréquence des mesures, densité des sites mesurés,…), du débit des sourc…</v>
      </c>
    </row>
    <row r="505" spans="1:25" hidden="1" x14ac:dyDescent="0.25">
      <c r="A505" s="249" t="str">
        <f t="shared" si="26"/>
        <v>5</v>
      </c>
      <c r="B505" s="249" t="str">
        <f>VLOOKUP($D505,'[4]1. Mesures'!$A$2:$G$116,6,0)</f>
        <v>OS 5.4</v>
      </c>
      <c r="C505" s="249" t="str">
        <f>VLOOKUP($D505,'[4]1. Mesures'!$A$2:$G$116,7,0)</f>
        <v>OO 5.4.1</v>
      </c>
      <c r="D505" s="249" t="str">
        <f t="shared" si="27"/>
        <v>M 5.17</v>
      </c>
      <c r="E505" s="250" t="s">
        <v>1047</v>
      </c>
      <c r="F505" s="249" t="str">
        <f>VLOOKUP(E505,'5.2 Actions'!$A$3:$B$720,2,0)</f>
        <v>Etablir des seuils critiques de niveaux piézométriques en lien avec les observations faites in situ et les valeurs de référence des critères hydrologiques de bon état de conservation des habitats Natura 2000 associés aux eaux souterraines et les résultats des simulations faites qui déclenchent la mise en œuvre de mesures de sauvegarde pour les écosystèmes associés (cf. aussi M 3.4)</v>
      </c>
      <c r="G505" s="251">
        <f>VLOOKUP(E505,'[4]5.2 Actions'!$A$3:$D$718,4,0)</f>
        <v>0</v>
      </c>
      <c r="H505" s="252">
        <f>VLOOKUP($E505,'5.1 Budget'!$A$4:$H$729,2,0)</f>
        <v>0</v>
      </c>
      <c r="I505" s="252">
        <f>VLOOKUP($E505,'5.1 Budget'!$A$4:$H$729,3,0)</f>
        <v>0</v>
      </c>
      <c r="J505" s="252">
        <f>VLOOKUP($E505,'5.1 Budget'!$A$4:$H$729,4,0)</f>
        <v>0</v>
      </c>
      <c r="K505" s="252">
        <f>VLOOKUP($E505,'5.1 Budget'!$A$4:$H$729,5,0)</f>
        <v>0</v>
      </c>
      <c r="L505" s="252">
        <f>VLOOKUP($E505,'5.1 Budget'!$A$4:$H$729,6,0)</f>
        <v>0</v>
      </c>
      <c r="M505" s="252">
        <f>VLOOKUP($E505,'5.1 Budget'!$A$4:$H$729,7,0)</f>
        <v>0</v>
      </c>
      <c r="N505" s="252">
        <f>VLOOKUP($E505,'5.1 Budget'!$A$4:$H$729,8,0)</f>
        <v>0</v>
      </c>
      <c r="V505" t="str">
        <f>VLOOKUP(D505,'[4]1. Mesures'!$A$1:$B$116,2,0)</f>
        <v xml:space="preserve">Renforcer la surveillance des masses d'eau et prendre des mesures de prévention et de sauvegarde en cas de sécheresse dans les zones stratégiques </v>
      </c>
      <c r="W505" t="str">
        <f>VLOOKUP(B505,[1]HIERARCH!$A$1:$B$57,2,0)</f>
        <v>OS 5.4 : Diminuer la vulnérabilité des habitants et du territoire face aux épisodes de sécheresse</v>
      </c>
      <c r="X505" t="str">
        <f>VLOOKUP(C505,[1]HIERARCH!$A$2:$B$57,2,0)</f>
        <v xml:space="preserve">OO 5.4.1 : Garantir la sécurité d’approvisionnement en eau potable de la Région </v>
      </c>
      <c r="Y505" t="str">
        <f t="shared" si="25"/>
        <v>Etablir des seuils critiques de niveaux piézométriques en lien avec les observations faites in situ et les valeurs de ré…</v>
      </c>
    </row>
    <row r="506" spans="1:25" hidden="1" x14ac:dyDescent="0.25">
      <c r="A506" s="249" t="str">
        <f t="shared" si="26"/>
        <v>5</v>
      </c>
      <c r="B506" s="249" t="str">
        <f>VLOOKUP($D506,'[4]1. Mesures'!$A$2:$G$116,6,0)</f>
        <v>OS 5.4</v>
      </c>
      <c r="C506" s="249" t="str">
        <f>VLOOKUP($D506,'[4]1. Mesures'!$A$2:$G$116,7,0)</f>
        <v>OO 5.4.1</v>
      </c>
      <c r="D506" s="249" t="str">
        <f t="shared" si="27"/>
        <v>M 5.17</v>
      </c>
      <c r="E506" s="250" t="s">
        <v>1048</v>
      </c>
      <c r="F506" s="249" t="str">
        <f>VLOOKUP(E506,'5.2 Actions'!$A$3:$B$720,2,0)</f>
        <v>Mettre en place des mesures de prévention (aménagements limitant le ruissellement, …) et de sauvegarde des écosystèmes dépendants (irrigation ciblée, gestion spécifique des captages, …), et de la faune en péril (création de zones refuges, déplacement temporaire des poissons,..)</v>
      </c>
      <c r="G506" s="251">
        <f>VLOOKUP(E506,'[4]5.2 Actions'!$A$3:$D$718,4,0)</f>
        <v>0</v>
      </c>
      <c r="H506" s="252">
        <f>VLOOKUP($E506,'5.1 Budget'!$A$4:$H$729,2,0)</f>
        <v>0</v>
      </c>
      <c r="I506" s="252">
        <f>VLOOKUP($E506,'5.1 Budget'!$A$4:$H$729,3,0)</f>
        <v>0</v>
      </c>
      <c r="J506" s="252">
        <f>VLOOKUP($E506,'5.1 Budget'!$A$4:$H$729,4,0)</f>
        <v>0</v>
      </c>
      <c r="K506" s="252">
        <f>VLOOKUP($E506,'5.1 Budget'!$A$4:$H$729,5,0)</f>
        <v>0</v>
      </c>
      <c r="L506" s="252">
        <f>VLOOKUP($E506,'5.1 Budget'!$A$4:$H$729,6,0)</f>
        <v>0</v>
      </c>
      <c r="M506" s="252">
        <f>VLOOKUP($E506,'5.1 Budget'!$A$4:$H$729,7,0)</f>
        <v>0</v>
      </c>
      <c r="N506" s="252">
        <f>VLOOKUP($E506,'5.1 Budget'!$A$4:$H$729,8,0)</f>
        <v>0</v>
      </c>
      <c r="V506" t="str">
        <f>VLOOKUP(D506,'[4]1. Mesures'!$A$1:$B$116,2,0)</f>
        <v xml:space="preserve">Renforcer la surveillance des masses d'eau et prendre des mesures de prévention et de sauvegarde en cas de sécheresse dans les zones stratégiques </v>
      </c>
      <c r="W506" t="str">
        <f>VLOOKUP(B506,[1]HIERARCH!$A$1:$B$57,2,0)</f>
        <v>OS 5.4 : Diminuer la vulnérabilité des habitants et du territoire face aux épisodes de sécheresse</v>
      </c>
      <c r="X506" t="str">
        <f>VLOOKUP(C506,[1]HIERARCH!$A$2:$B$57,2,0)</f>
        <v xml:space="preserve">OO 5.4.1 : Garantir la sécurité d’approvisionnement en eau potable de la Région </v>
      </c>
      <c r="Y506" t="str">
        <f t="shared" si="25"/>
        <v>Mettre en place des mesures de prévention (aménagements limitant le ruissellement, …) et de sauvegarde des écosystèmes d…</v>
      </c>
    </row>
    <row r="507" spans="1:25" hidden="1" x14ac:dyDescent="0.25">
      <c r="A507" s="249" t="str">
        <f t="shared" si="26"/>
        <v>5</v>
      </c>
      <c r="B507" s="249" t="str">
        <f>VLOOKUP($D507,'[4]1. Mesures'!$A$2:$G$116,6,0)</f>
        <v>OS 5.4</v>
      </c>
      <c r="C507" s="249" t="str">
        <f>VLOOKUP($D507,'[4]1. Mesures'!$A$2:$G$116,7,0)</f>
        <v>OO 5.4.1</v>
      </c>
      <c r="D507" s="249" t="str">
        <f t="shared" si="27"/>
        <v>M 5.17</v>
      </c>
      <c r="E507" s="250" t="s">
        <v>1049</v>
      </c>
      <c r="F507" s="249" t="str">
        <f>VLOOKUP(E507,'5.2 Actions'!$A$3:$B$720,2,0)</f>
        <v>Assurer un monitoring renforcé (recours à la télémétrie du réseau de piézomètres) des nappes wallonnes et rivière alimentant la Région de Bruxelles-Capitale en eau potable</v>
      </c>
      <c r="G507" s="251">
        <f>VLOOKUP(E507,'[4]5.2 Actions'!$A$3:$D$718,4,0)</f>
        <v>0</v>
      </c>
      <c r="H507" s="252">
        <f>VLOOKUP($E507,'5.1 Budget'!$A$4:$H$729,2,0)</f>
        <v>0</v>
      </c>
      <c r="I507" s="252">
        <f>VLOOKUP($E507,'5.1 Budget'!$A$4:$H$729,3,0)</f>
        <v>0</v>
      </c>
      <c r="J507" s="252">
        <f>VLOOKUP($E507,'5.1 Budget'!$A$4:$H$729,4,0)</f>
        <v>0</v>
      </c>
      <c r="K507" s="252">
        <f>VLOOKUP($E507,'5.1 Budget'!$A$4:$H$729,5,0)</f>
        <v>0</v>
      </c>
      <c r="L507" s="252">
        <f>VLOOKUP($E507,'5.1 Budget'!$A$4:$H$729,6,0)</f>
        <v>0</v>
      </c>
      <c r="M507" s="252">
        <f>VLOOKUP($E507,'5.1 Budget'!$A$4:$H$729,7,0)</f>
        <v>0</v>
      </c>
      <c r="N507" s="252">
        <f>VLOOKUP($E507,'5.1 Budget'!$A$4:$H$729,8,0)</f>
        <v>0</v>
      </c>
      <c r="V507" t="str">
        <f>VLOOKUP(D507,'[4]1. Mesures'!$A$1:$B$116,2,0)</f>
        <v xml:space="preserve">Renforcer la surveillance des masses d'eau et prendre des mesures de prévention et de sauvegarde en cas de sécheresse dans les zones stratégiques </v>
      </c>
      <c r="W507" t="str">
        <f>VLOOKUP(B507,[1]HIERARCH!$A$1:$B$57,2,0)</f>
        <v>OS 5.4 : Diminuer la vulnérabilité des habitants et du territoire face aux épisodes de sécheresse</v>
      </c>
      <c r="X507" t="str">
        <f>VLOOKUP(C507,[1]HIERARCH!$A$2:$B$57,2,0)</f>
        <v xml:space="preserve">OO 5.4.1 : Garantir la sécurité d’approvisionnement en eau potable de la Région </v>
      </c>
      <c r="Y507" t="str">
        <f t="shared" si="25"/>
        <v>Assurer un monitoring renforcé (recours à la télémétrie du réseau de piézomètres) des nappes wallonnes et rivière alimen…</v>
      </c>
    </row>
    <row r="508" spans="1:25" hidden="1" x14ac:dyDescent="0.25">
      <c r="A508" s="249" t="str">
        <f t="shared" si="26"/>
        <v>5</v>
      </c>
      <c r="B508" s="249" t="str">
        <f>VLOOKUP($D508,'[4]1. Mesures'!$A$2:$G$116,6,0)</f>
        <v>OS 5.4</v>
      </c>
      <c r="C508" s="249" t="str">
        <f>VLOOKUP($D508,'[4]1. Mesures'!$A$2:$G$116,7,0)</f>
        <v>OO 5.4.1</v>
      </c>
      <c r="D508" s="249" t="str">
        <f t="shared" si="27"/>
        <v>M 5.17</v>
      </c>
      <c r="E508" s="250" t="s">
        <v>1050</v>
      </c>
      <c r="F508" s="249" t="str">
        <f>VLOOKUP(E508,'5.2 Actions'!$A$3:$B$720,2,0)</f>
        <v>Détecter les signes précoces de manque d’eau dans les zones d’approvisionnement en eau potable, dont la Meuse</v>
      </c>
      <c r="G508" s="251">
        <f>VLOOKUP(E508,'[4]5.2 Actions'!$A$3:$D$718,4,0)</f>
        <v>0</v>
      </c>
      <c r="H508" s="252">
        <f>VLOOKUP($E508,'5.1 Budget'!$A$4:$H$729,2,0)</f>
        <v>0</v>
      </c>
      <c r="I508" s="252">
        <f>VLOOKUP($E508,'5.1 Budget'!$A$4:$H$729,3,0)</f>
        <v>0</v>
      </c>
      <c r="J508" s="252">
        <f>VLOOKUP($E508,'5.1 Budget'!$A$4:$H$729,4,0)</f>
        <v>0</v>
      </c>
      <c r="K508" s="252">
        <f>VLOOKUP($E508,'5.1 Budget'!$A$4:$H$729,5,0)</f>
        <v>0</v>
      </c>
      <c r="L508" s="252">
        <f>VLOOKUP($E508,'5.1 Budget'!$A$4:$H$729,6,0)</f>
        <v>0</v>
      </c>
      <c r="M508" s="252">
        <f>VLOOKUP($E508,'5.1 Budget'!$A$4:$H$729,7,0)</f>
        <v>0</v>
      </c>
      <c r="N508" s="252">
        <f>VLOOKUP($E508,'5.1 Budget'!$A$4:$H$729,8,0)</f>
        <v>0</v>
      </c>
      <c r="V508" t="str">
        <f>VLOOKUP(D508,'[4]1. Mesures'!$A$1:$B$116,2,0)</f>
        <v xml:space="preserve">Renforcer la surveillance des masses d'eau et prendre des mesures de prévention et de sauvegarde en cas de sécheresse dans les zones stratégiques </v>
      </c>
      <c r="W508" t="str">
        <f>VLOOKUP(B508,[1]HIERARCH!$A$1:$B$57,2,0)</f>
        <v>OS 5.4 : Diminuer la vulnérabilité des habitants et du territoire face aux épisodes de sécheresse</v>
      </c>
      <c r="X508" t="str">
        <f>VLOOKUP(C508,[1]HIERARCH!$A$2:$B$57,2,0)</f>
        <v xml:space="preserve">OO 5.4.1 : Garantir la sécurité d’approvisionnement en eau potable de la Région </v>
      </c>
      <c r="Y508" t="str">
        <f t="shared" si="25"/>
        <v>Détecter les signes précoces de manque d’eau dans les zones d’approvisionnement en eau potable, dont la Meuse…</v>
      </c>
    </row>
    <row r="509" spans="1:25" hidden="1" x14ac:dyDescent="0.25">
      <c r="A509" s="249" t="str">
        <f t="shared" si="26"/>
        <v>5</v>
      </c>
      <c r="B509" s="249" t="str">
        <f>VLOOKUP($D509,'[4]1. Mesures'!$A$2:$G$116,6,0)</f>
        <v>OS 5.4</v>
      </c>
      <c r="C509" s="249" t="str">
        <f>VLOOKUP($D509,'[4]1. Mesures'!$A$2:$G$116,7,0)</f>
        <v>OO 5.4.2</v>
      </c>
      <c r="D509" s="249" t="str">
        <f t="shared" si="27"/>
        <v>M 5.18</v>
      </c>
      <c r="E509" s="250" t="s">
        <v>1052</v>
      </c>
      <c r="F509" s="249" t="str">
        <f>VLOOKUP(E509,'5.2 Actions'!$A$3:$B$720,2,0)</f>
        <v>Poursuivre la surveillance continue des niveaux permettant la sécurité de la navigation</v>
      </c>
      <c r="G509" s="251">
        <f>VLOOKUP(E509,'[4]5.2 Actions'!$A$3:$D$718,4,0)</f>
        <v>0</v>
      </c>
      <c r="H509" s="252">
        <f>VLOOKUP($E509,'5.1 Budget'!$A$4:$H$729,2,0)</f>
        <v>0</v>
      </c>
      <c r="I509" s="252">
        <f>VLOOKUP($E509,'5.1 Budget'!$A$4:$H$729,3,0)</f>
        <v>0</v>
      </c>
      <c r="J509" s="252">
        <f>VLOOKUP($E509,'5.1 Budget'!$A$4:$H$729,4,0)</f>
        <v>0</v>
      </c>
      <c r="K509" s="252">
        <f>VLOOKUP($E509,'5.1 Budget'!$A$4:$H$729,5,0)</f>
        <v>0</v>
      </c>
      <c r="L509" s="252">
        <f>VLOOKUP($E509,'5.1 Budget'!$A$4:$H$729,6,0)</f>
        <v>0</v>
      </c>
      <c r="M509" s="252">
        <f>VLOOKUP($E509,'5.1 Budget'!$A$4:$H$729,7,0)</f>
        <v>0</v>
      </c>
      <c r="N509" s="252">
        <f>VLOOKUP($E509,'5.1 Budget'!$A$4:$H$729,8,0)</f>
        <v>0</v>
      </c>
      <c r="V509" t="str">
        <f>VLOOKUP(D509,'[4]1. Mesures'!$A$1:$B$116,2,0)</f>
        <v xml:space="preserve">Déterminer et assurer les niveaux d’eau minimaux de sécurité pour la navigation sur le Canal et les infrastructures portuaires  </v>
      </c>
      <c r="W509" t="str">
        <f>VLOOKUP(B509,[1]HIERARCH!$A$1:$B$57,2,0)</f>
        <v>OS 5.4 : Diminuer la vulnérabilité des habitants et du territoire face aux épisodes de sécheresse</v>
      </c>
      <c r="X509" t="str">
        <f>VLOOKUP(C509,[1]HIERARCH!$A$2:$B$57,2,0)</f>
        <v xml:space="preserve">OO 5.4.2 : Préserver les ressources en eau en fonction des usages et des bénéfices écosystémiques qu’elles nous rendent  </v>
      </c>
      <c r="Y509" t="str">
        <f t="shared" si="25"/>
        <v>Poursuivre la surveillance continue des niveaux permettant la sécurité de la navigation…</v>
      </c>
    </row>
    <row r="510" spans="1:25" hidden="1" x14ac:dyDescent="0.25">
      <c r="A510" s="249" t="str">
        <f t="shared" si="26"/>
        <v>5</v>
      </c>
      <c r="B510" s="249" t="str">
        <f>VLOOKUP($D510,'[4]1. Mesures'!$A$2:$G$116,6,0)</f>
        <v>OS 5.4</v>
      </c>
      <c r="C510" s="249" t="str">
        <f>VLOOKUP($D510,'[4]1. Mesures'!$A$2:$G$116,7,0)</f>
        <v>OO 5.4.2</v>
      </c>
      <c r="D510" s="249" t="str">
        <f t="shared" si="27"/>
        <v>M 5.18</v>
      </c>
      <c r="E510" s="250" t="s">
        <v>1053</v>
      </c>
      <c r="F510" s="249" t="str">
        <f>VLOOKUP(E510,'5.2 Actions'!$A$3:$B$720,2,0)</f>
        <v>Entretenir les systèmes de pompage des écluses permettant de réguler le niveau d’eau</v>
      </c>
      <c r="G510" s="251">
        <f>VLOOKUP(E510,'[4]5.2 Actions'!$A$3:$D$718,4,0)</f>
        <v>0</v>
      </c>
      <c r="H510" s="252">
        <f>VLOOKUP($E510,'5.1 Budget'!$A$4:$H$729,2,0)</f>
        <v>0</v>
      </c>
      <c r="I510" s="252">
        <f>VLOOKUP($E510,'5.1 Budget'!$A$4:$H$729,3,0)</f>
        <v>0</v>
      </c>
      <c r="J510" s="252">
        <f>VLOOKUP($E510,'5.1 Budget'!$A$4:$H$729,4,0)</f>
        <v>0</v>
      </c>
      <c r="K510" s="252">
        <f>VLOOKUP($E510,'5.1 Budget'!$A$4:$H$729,5,0)</f>
        <v>0</v>
      </c>
      <c r="L510" s="252">
        <f>VLOOKUP($E510,'5.1 Budget'!$A$4:$H$729,6,0)</f>
        <v>0</v>
      </c>
      <c r="M510" s="252">
        <f>VLOOKUP($E510,'5.1 Budget'!$A$4:$H$729,7,0)</f>
        <v>0</v>
      </c>
      <c r="N510" s="252">
        <f>VLOOKUP($E510,'5.1 Budget'!$A$4:$H$729,8,0)</f>
        <v>0</v>
      </c>
      <c r="V510" t="str">
        <f>VLOOKUP(D510,'[4]1. Mesures'!$A$1:$B$116,2,0)</f>
        <v xml:space="preserve">Déterminer et assurer les niveaux d’eau minimaux de sécurité pour la navigation sur le Canal et les infrastructures portuaires  </v>
      </c>
      <c r="W510" t="str">
        <f>VLOOKUP(B510,[1]HIERARCH!$A$1:$B$57,2,0)</f>
        <v>OS 5.4 : Diminuer la vulnérabilité des habitants et du territoire face aux épisodes de sécheresse</v>
      </c>
      <c r="X510" t="str">
        <f>VLOOKUP(C510,[1]HIERARCH!$A$2:$B$57,2,0)</f>
        <v xml:space="preserve">OO 5.4.2 : Préserver les ressources en eau en fonction des usages et des bénéfices écosystémiques qu’elles nous rendent  </v>
      </c>
      <c r="Y510" t="str">
        <f t="shared" si="25"/>
        <v>Entretenir les systèmes de pompage des écluses permettant de réguler le niveau d’eau…</v>
      </c>
    </row>
    <row r="511" spans="1:25" hidden="1" x14ac:dyDescent="0.25">
      <c r="A511" s="249" t="str">
        <f t="shared" si="26"/>
        <v>5</v>
      </c>
      <c r="B511" s="249" t="str">
        <f>VLOOKUP($D511,'[4]1. Mesures'!$A$2:$G$116,6,0)</f>
        <v>OS 5.4</v>
      </c>
      <c r="C511" s="249" t="str">
        <f>VLOOKUP($D511,'[4]1. Mesures'!$A$2:$G$116,7,0)</f>
        <v>OO 5.4.2</v>
      </c>
      <c r="D511" s="249" t="str">
        <f t="shared" si="27"/>
        <v>M 5.18</v>
      </c>
      <c r="E511" s="250" t="s">
        <v>1054</v>
      </c>
      <c r="F511" s="249" t="str">
        <f>VLOOKUP(E511,'5.2 Actions'!$A$3:$B$720,2,0)</f>
        <v>Mettre en oeuvre des mesures permettant de limiter la diminution du niveau d’eau dans les biefs (ex: activation des vannes, regroupement des bateaux lors des éclusages en période de sécheresse)</v>
      </c>
      <c r="G511" s="251">
        <f>VLOOKUP(E511,'[4]5.2 Actions'!$A$3:$D$718,4,0)</f>
        <v>0</v>
      </c>
      <c r="H511" s="252">
        <f>VLOOKUP($E511,'5.1 Budget'!$A$4:$H$729,2,0)</f>
        <v>0</v>
      </c>
      <c r="I511" s="252">
        <f>VLOOKUP($E511,'5.1 Budget'!$A$4:$H$729,3,0)</f>
        <v>0</v>
      </c>
      <c r="J511" s="252">
        <f>VLOOKUP($E511,'5.1 Budget'!$A$4:$H$729,4,0)</f>
        <v>0</v>
      </c>
      <c r="K511" s="252">
        <f>VLOOKUP($E511,'5.1 Budget'!$A$4:$H$729,5,0)</f>
        <v>0</v>
      </c>
      <c r="L511" s="252">
        <f>VLOOKUP($E511,'5.1 Budget'!$A$4:$H$729,6,0)</f>
        <v>0</v>
      </c>
      <c r="M511" s="252">
        <f>VLOOKUP($E511,'5.1 Budget'!$A$4:$H$729,7,0)</f>
        <v>0</v>
      </c>
      <c r="N511" s="252">
        <f>VLOOKUP($E511,'5.1 Budget'!$A$4:$H$729,8,0)</f>
        <v>0</v>
      </c>
      <c r="V511" t="str">
        <f>VLOOKUP(D511,'[4]1. Mesures'!$A$1:$B$116,2,0)</f>
        <v xml:space="preserve">Déterminer et assurer les niveaux d’eau minimaux de sécurité pour la navigation sur le Canal et les infrastructures portuaires  </v>
      </c>
      <c r="W511" t="str">
        <f>VLOOKUP(B511,[1]HIERARCH!$A$1:$B$57,2,0)</f>
        <v>OS 5.4 : Diminuer la vulnérabilité des habitants et du territoire face aux épisodes de sécheresse</v>
      </c>
      <c r="X511" t="str">
        <f>VLOOKUP(C511,[1]HIERARCH!$A$2:$B$57,2,0)</f>
        <v xml:space="preserve">OO 5.4.2 : Préserver les ressources en eau en fonction des usages et des bénéfices écosystémiques qu’elles nous rendent  </v>
      </c>
      <c r="Y511" t="str">
        <f t="shared" si="25"/>
        <v>Mettre en oeuvre des mesures permettant de limiter la diminution du niveau d’eau dans les biefs (ex: activation des vann…</v>
      </c>
    </row>
    <row r="512" spans="1:25" hidden="1" x14ac:dyDescent="0.25">
      <c r="A512" s="249" t="str">
        <f t="shared" si="26"/>
        <v>5</v>
      </c>
      <c r="B512" s="249" t="str">
        <f>VLOOKUP($D512,'[4]1. Mesures'!$A$2:$G$116,6,0)</f>
        <v>OS 5.4</v>
      </c>
      <c r="C512" s="249" t="str">
        <f>VLOOKUP($D512,'[4]1. Mesures'!$A$2:$G$116,7,0)</f>
        <v>OO 5.4.2</v>
      </c>
      <c r="D512" s="249" t="str">
        <f t="shared" si="27"/>
        <v>M 5.18</v>
      </c>
      <c r="E512" s="250" t="s">
        <v>1055</v>
      </c>
      <c r="F512" s="249" t="str">
        <f>VLOOKUP(E512,'5.2 Actions'!$A$3:$B$720,2,0)</f>
        <v>Equiper le Canal de nouvelles sondes de pression raccordées au réseau Flowbru (Bassin Béco, Pont de Buda) = M.1.22</v>
      </c>
      <c r="G512" s="251">
        <f>VLOOKUP(E512,'[4]5.2 Actions'!$A$3:$D$718,4,0)</f>
        <v>0</v>
      </c>
      <c r="H512" s="252">
        <f>VLOOKUP($E512,'5.1 Budget'!$A$4:$H$729,2,0)</f>
        <v>0</v>
      </c>
      <c r="I512" s="252">
        <f>VLOOKUP($E512,'5.1 Budget'!$A$4:$H$729,3,0)</f>
        <v>0</v>
      </c>
      <c r="J512" s="252">
        <f>VLOOKUP($E512,'5.1 Budget'!$A$4:$H$729,4,0)</f>
        <v>0</v>
      </c>
      <c r="K512" s="252">
        <f>VLOOKUP($E512,'5.1 Budget'!$A$4:$H$729,5,0)</f>
        <v>0</v>
      </c>
      <c r="L512" s="252">
        <f>VLOOKUP($E512,'5.1 Budget'!$A$4:$H$729,6,0)</f>
        <v>0</v>
      </c>
      <c r="M512" s="252">
        <f>VLOOKUP($E512,'5.1 Budget'!$A$4:$H$729,7,0)</f>
        <v>0</v>
      </c>
      <c r="N512" s="252">
        <f>VLOOKUP($E512,'5.1 Budget'!$A$4:$H$729,8,0)</f>
        <v>0</v>
      </c>
      <c r="V512" t="str">
        <f>VLOOKUP(D512,'[4]1. Mesures'!$A$1:$B$116,2,0)</f>
        <v xml:space="preserve">Déterminer et assurer les niveaux d’eau minimaux de sécurité pour la navigation sur le Canal et les infrastructures portuaires  </v>
      </c>
      <c r="W512" t="str">
        <f>VLOOKUP(B512,[1]HIERARCH!$A$1:$B$57,2,0)</f>
        <v>OS 5.4 : Diminuer la vulnérabilité des habitants et du territoire face aux épisodes de sécheresse</v>
      </c>
      <c r="X512" t="str">
        <f>VLOOKUP(C512,[1]HIERARCH!$A$2:$B$57,2,0)</f>
        <v xml:space="preserve">OO 5.4.2 : Préserver les ressources en eau en fonction des usages et des bénéfices écosystémiques qu’elles nous rendent  </v>
      </c>
      <c r="Y512" t="str">
        <f t="shared" si="25"/>
        <v>Equiper le Canal de nouvelles sondes de pression raccordées au réseau Flowbru (Bassin Béco, Pont de Buda) = M.1.22…</v>
      </c>
    </row>
    <row r="513" spans="1:25" hidden="1" x14ac:dyDescent="0.25">
      <c r="A513" s="249" t="str">
        <f t="shared" si="26"/>
        <v>5</v>
      </c>
      <c r="B513" s="249" t="str">
        <f>VLOOKUP($D513,'[4]1. Mesures'!$A$2:$G$116,6,0)</f>
        <v>OS 5.4</v>
      </c>
      <c r="C513" s="249" t="str">
        <f>VLOOKUP($D513,'[4]1. Mesures'!$A$2:$G$116,7,0)</f>
        <v>OO 5.4.2</v>
      </c>
      <c r="D513" s="249" t="str">
        <f t="shared" si="27"/>
        <v>M 5.19</v>
      </c>
      <c r="E513" s="250" t="s">
        <v>1056</v>
      </c>
      <c r="F513" s="249" t="str">
        <f>VLOOKUP(E513,'5.2 Actions'!$A$3:$B$720,2,0)</f>
        <v>Tenir à jour l’inventaire annuel des prises d’eau et restitutions dans le Canal et effectuer une visite de contrôle annuelle</v>
      </c>
      <c r="G513" s="251">
        <f>VLOOKUP(E513,'[4]5.2 Actions'!$A$3:$D$718,4,0)</f>
        <v>0</v>
      </c>
      <c r="H513" s="252">
        <f>VLOOKUP($E513,'5.1 Budget'!$A$4:$H$729,2,0)</f>
        <v>0</v>
      </c>
      <c r="I513" s="252">
        <f>VLOOKUP($E513,'5.1 Budget'!$A$4:$H$729,3,0)</f>
        <v>0</v>
      </c>
      <c r="J513" s="252">
        <f>VLOOKUP($E513,'5.1 Budget'!$A$4:$H$729,4,0)</f>
        <v>0</v>
      </c>
      <c r="K513" s="252">
        <f>VLOOKUP($E513,'5.1 Budget'!$A$4:$H$729,5,0)</f>
        <v>0</v>
      </c>
      <c r="L513" s="252">
        <f>VLOOKUP($E513,'5.1 Budget'!$A$4:$H$729,6,0)</f>
        <v>0</v>
      </c>
      <c r="M513" s="252">
        <f>VLOOKUP($E513,'5.1 Budget'!$A$4:$H$729,7,0)</f>
        <v>0</v>
      </c>
      <c r="N513" s="252">
        <f>VLOOKUP($E513,'5.1 Budget'!$A$4:$H$729,8,0)</f>
        <v>0</v>
      </c>
      <c r="V513" t="str">
        <f>VLOOKUP(D513,'[4]1. Mesures'!$A$1:$B$116,2,0)</f>
        <v>Tenir compte de l’évolution des prélèvements et restitutions d’eau dans le Canal pour répondre au besoin sans compromettre la navigation et la qualité de la masse d’eau</v>
      </c>
      <c r="W513" t="str">
        <f>VLOOKUP(B513,[1]HIERARCH!$A$1:$B$57,2,0)</f>
        <v>OS 5.4 : Diminuer la vulnérabilité des habitants et du territoire face aux épisodes de sécheresse</v>
      </c>
      <c r="X513" t="str">
        <f>VLOOKUP(C513,[1]HIERARCH!$A$2:$B$57,2,0)</f>
        <v xml:space="preserve">OO 5.4.2 : Préserver les ressources en eau en fonction des usages et des bénéfices écosystémiques qu’elles nous rendent  </v>
      </c>
      <c r="Y513" t="str">
        <f t="shared" si="25"/>
        <v>Tenir à jour l’inventaire annuel des prises d’eau et restitutions dans le Canal et effectuer une visite de contrôle annu…</v>
      </c>
    </row>
    <row r="514" spans="1:25" hidden="1" x14ac:dyDescent="0.25">
      <c r="A514" s="249" t="str">
        <f t="shared" si="26"/>
        <v>5</v>
      </c>
      <c r="B514" s="249" t="str">
        <f>VLOOKUP($D514,'[4]1. Mesures'!$A$2:$G$116,6,0)</f>
        <v>OS 5.4</v>
      </c>
      <c r="C514" s="249" t="str">
        <f>VLOOKUP($D514,'[4]1. Mesures'!$A$2:$G$116,7,0)</f>
        <v>OO 5.4.2</v>
      </c>
      <c r="D514" s="249" t="str">
        <f t="shared" si="27"/>
        <v>M 5.19</v>
      </c>
      <c r="E514" s="250" t="s">
        <v>1057</v>
      </c>
      <c r="F514" s="249" t="str">
        <f>VLOOKUP(E514,'5.2 Actions'!$A$3:$B$720,2,0)</f>
        <v>Equiper les prises d’eau dans le Canal de compteurs connectés permettant un suivi régulier des prélèvements et effectuer une visite de contrôle annuelle</v>
      </c>
      <c r="G514" s="251">
        <f>VLOOKUP(E514,'[4]5.2 Actions'!$A$3:$D$718,4,0)</f>
        <v>0</v>
      </c>
      <c r="H514" s="252">
        <f>VLOOKUP($E514,'5.1 Budget'!$A$4:$H$729,2,0)</f>
        <v>3000</v>
      </c>
      <c r="I514" s="252">
        <f>VLOOKUP($E514,'5.1 Budget'!$A$4:$H$729,3,0)</f>
        <v>0</v>
      </c>
      <c r="J514" s="252">
        <f>VLOOKUP($E514,'5.1 Budget'!$A$4:$H$729,4,0)</f>
        <v>0</v>
      </c>
      <c r="K514" s="252">
        <f>VLOOKUP($E514,'5.1 Budget'!$A$4:$H$729,5,0)</f>
        <v>0</v>
      </c>
      <c r="L514" s="252">
        <f>VLOOKUP($E514,'5.1 Budget'!$A$4:$H$729,6,0)</f>
        <v>0</v>
      </c>
      <c r="M514" s="252">
        <f>VLOOKUP($E514,'5.1 Budget'!$A$4:$H$729,7,0)</f>
        <v>0</v>
      </c>
      <c r="N514" s="252">
        <f>VLOOKUP($E514,'5.1 Budget'!$A$4:$H$729,8,0)</f>
        <v>3000</v>
      </c>
      <c r="V514" t="str">
        <f>VLOOKUP(D514,'[4]1. Mesures'!$A$1:$B$116,2,0)</f>
        <v>Tenir compte de l’évolution des prélèvements et restitutions d’eau dans le Canal pour répondre au besoin sans compromettre la navigation et la qualité de la masse d’eau</v>
      </c>
      <c r="W514" t="str">
        <f>VLOOKUP(B514,[1]HIERARCH!$A$1:$B$57,2,0)</f>
        <v>OS 5.4 : Diminuer la vulnérabilité des habitants et du territoire face aux épisodes de sécheresse</v>
      </c>
      <c r="X514" t="str">
        <f>VLOOKUP(C514,[1]HIERARCH!$A$2:$B$57,2,0)</f>
        <v xml:space="preserve">OO 5.4.2 : Préserver les ressources en eau en fonction des usages et des bénéfices écosystémiques qu’elles nous rendent  </v>
      </c>
      <c r="Y514" t="str">
        <f t="shared" si="25"/>
        <v>Equiper les prises d’eau dans le Canal de compteurs connectés permettant un suivi régulier des prélèvements et effectuer…</v>
      </c>
    </row>
    <row r="515" spans="1:25" hidden="1" x14ac:dyDescent="0.25">
      <c r="A515" s="249" t="str">
        <f t="shared" si="26"/>
        <v>5</v>
      </c>
      <c r="B515" s="249" t="str">
        <f>VLOOKUP($D515,'[4]1. Mesures'!$A$2:$G$116,6,0)</f>
        <v>OS 5.4</v>
      </c>
      <c r="C515" s="249" t="str">
        <f>VLOOKUP($D515,'[4]1. Mesures'!$A$2:$G$116,7,0)</f>
        <v>OO 5.4.2</v>
      </c>
      <c r="D515" s="249" t="str">
        <f t="shared" si="27"/>
        <v>M 5.19</v>
      </c>
      <c r="E515" s="250" t="s">
        <v>1058</v>
      </c>
      <c r="F515" s="249" t="str">
        <f>VLOOKUP(E515,'5.2 Actions'!$A$3:$B$720,2,0)</f>
        <v>Examiner les nouvelles demandes de prises d’eau dans le Canal</v>
      </c>
      <c r="G515" s="251">
        <f>VLOOKUP(E515,'[4]5.2 Actions'!$A$3:$D$718,4,0)</f>
        <v>0</v>
      </c>
      <c r="H515" s="252">
        <f>VLOOKUP($E515,'5.1 Budget'!$A$4:$H$729,2,0)</f>
        <v>0</v>
      </c>
      <c r="I515" s="252">
        <f>VLOOKUP($E515,'5.1 Budget'!$A$4:$H$729,3,0)</f>
        <v>0</v>
      </c>
      <c r="J515" s="252">
        <f>VLOOKUP($E515,'5.1 Budget'!$A$4:$H$729,4,0)</f>
        <v>0</v>
      </c>
      <c r="K515" s="252">
        <f>VLOOKUP($E515,'5.1 Budget'!$A$4:$H$729,5,0)</f>
        <v>0</v>
      </c>
      <c r="L515" s="252">
        <f>VLOOKUP($E515,'5.1 Budget'!$A$4:$H$729,6,0)</f>
        <v>0</v>
      </c>
      <c r="M515" s="252">
        <f>VLOOKUP($E515,'5.1 Budget'!$A$4:$H$729,7,0)</f>
        <v>0</v>
      </c>
      <c r="N515" s="252">
        <f>VLOOKUP($E515,'5.1 Budget'!$A$4:$H$729,8,0)</f>
        <v>0</v>
      </c>
      <c r="V515" t="str">
        <f>VLOOKUP(D515,'[4]1. Mesures'!$A$1:$B$116,2,0)</f>
        <v>Tenir compte de l’évolution des prélèvements et restitutions d’eau dans le Canal pour répondre au besoin sans compromettre la navigation et la qualité de la masse d’eau</v>
      </c>
      <c r="W515" t="str">
        <f>VLOOKUP(B515,[1]HIERARCH!$A$1:$B$57,2,0)</f>
        <v>OS 5.4 : Diminuer la vulnérabilité des habitants et du territoire face aux épisodes de sécheresse</v>
      </c>
      <c r="X515" t="str">
        <f>VLOOKUP(C515,[1]HIERARCH!$A$2:$B$57,2,0)</f>
        <v xml:space="preserve">OO 5.4.2 : Préserver les ressources en eau en fonction des usages et des bénéfices écosystémiques qu’elles nous rendent  </v>
      </c>
      <c r="Y515" t="str">
        <f t="shared" si="25"/>
        <v>Examiner les nouvelles demandes de prises d’eau dans le Canal…</v>
      </c>
    </row>
    <row r="516" spans="1:25" hidden="1" x14ac:dyDescent="0.25">
      <c r="A516" s="249" t="str">
        <f t="shared" si="26"/>
        <v>5</v>
      </c>
      <c r="B516" s="249" t="str">
        <f>VLOOKUP($D516,'[4]1. Mesures'!$A$2:$G$116,6,0)</f>
        <v>OS 5.4</v>
      </c>
      <c r="C516" s="249" t="str">
        <f>VLOOKUP($D516,'[4]1. Mesures'!$A$2:$G$116,7,0)</f>
        <v>OO 5.4.2</v>
      </c>
      <c r="D516" s="249" t="str">
        <f t="shared" si="27"/>
        <v>M 5.19</v>
      </c>
      <c r="E516" s="250" t="s">
        <v>1059</v>
      </c>
      <c r="F516" s="249" t="str">
        <f>VLOOKUP(E516,'5.2 Actions'!$A$3:$B$720,2,0)</f>
        <v>Adapter la politique de captage d’eau dans le Canal en cas d’augmentation notable de la demande en eau, ou de modification substantielle de son utilisation (en particulier : avec ou sans restitution) ou de ses conditions de rejet (notamment température)</v>
      </c>
      <c r="G516" s="251">
        <f>VLOOKUP(E516,'[4]5.2 Actions'!$A$3:$D$718,4,0)</f>
        <v>0</v>
      </c>
      <c r="H516" s="252">
        <f>VLOOKUP($E516,'5.1 Budget'!$A$4:$H$729,2,0)</f>
        <v>0</v>
      </c>
      <c r="I516" s="252">
        <f>VLOOKUP($E516,'5.1 Budget'!$A$4:$H$729,3,0)</f>
        <v>0</v>
      </c>
      <c r="J516" s="252">
        <f>VLOOKUP($E516,'5.1 Budget'!$A$4:$H$729,4,0)</f>
        <v>0</v>
      </c>
      <c r="K516" s="252">
        <f>VLOOKUP($E516,'5.1 Budget'!$A$4:$H$729,5,0)</f>
        <v>0</v>
      </c>
      <c r="L516" s="252">
        <f>VLOOKUP($E516,'5.1 Budget'!$A$4:$H$729,6,0)</f>
        <v>0</v>
      </c>
      <c r="M516" s="252">
        <f>VLOOKUP($E516,'5.1 Budget'!$A$4:$H$729,7,0)</f>
        <v>0</v>
      </c>
      <c r="N516" s="252">
        <f>VLOOKUP($E516,'5.1 Budget'!$A$4:$H$729,8,0)</f>
        <v>0</v>
      </c>
      <c r="V516" t="str">
        <f>VLOOKUP(D516,'[4]1. Mesures'!$A$1:$B$116,2,0)</f>
        <v>Tenir compte de l’évolution des prélèvements et restitutions d’eau dans le Canal pour répondre au besoin sans compromettre la navigation et la qualité de la masse d’eau</v>
      </c>
      <c r="W516" t="str">
        <f>VLOOKUP(B516,[1]HIERARCH!$A$1:$B$57,2,0)</f>
        <v>OS 5.4 : Diminuer la vulnérabilité des habitants et du territoire face aux épisodes de sécheresse</v>
      </c>
      <c r="X516" t="str">
        <f>VLOOKUP(C516,[1]HIERARCH!$A$2:$B$57,2,0)</f>
        <v xml:space="preserve">OO 5.4.2 : Préserver les ressources en eau en fonction des usages et des bénéfices écosystémiques qu’elles nous rendent  </v>
      </c>
      <c r="Y516" t="str">
        <f t="shared" si="25"/>
        <v>Adapter la politique de captage d’eau dans le Canal en cas d’augmentation notable de la demande en eau, ou de modificati…</v>
      </c>
    </row>
    <row r="517" spans="1:25" hidden="1" x14ac:dyDescent="0.25">
      <c r="A517" s="249" t="str">
        <f t="shared" si="26"/>
        <v>5</v>
      </c>
      <c r="B517" s="249" t="str">
        <f>VLOOKUP($D517,'[4]1. Mesures'!$A$2:$G$116,6,0)</f>
        <v>OS 5.4</v>
      </c>
      <c r="C517" s="249" t="str">
        <f>VLOOKUP($D517,'[4]1. Mesures'!$A$2:$G$116,7,0)</f>
        <v>OO 5.4.2</v>
      </c>
      <c r="D517" s="249" t="str">
        <f t="shared" si="27"/>
        <v>M 5.19</v>
      </c>
      <c r="E517" s="250" t="s">
        <v>1060</v>
      </c>
      <c r="F517" s="249" t="str">
        <f>VLOOKUP(E517,'5.2 Actions'!$A$3:$B$720,2,0)</f>
        <v>Poursuivre l’imposition de conditions environnementales sur les rejets de prélèvements et restitution en fonction de l’usage de ceux-ci</v>
      </c>
      <c r="G517" s="251">
        <f>VLOOKUP(E517,'[4]5.2 Actions'!$A$3:$D$718,4,0)</f>
        <v>0</v>
      </c>
      <c r="H517" s="252">
        <f>VLOOKUP($E517,'5.1 Budget'!$A$4:$H$729,2,0)</f>
        <v>0</v>
      </c>
      <c r="I517" s="252">
        <f>VLOOKUP($E517,'5.1 Budget'!$A$4:$H$729,3,0)</f>
        <v>0</v>
      </c>
      <c r="J517" s="252">
        <f>VLOOKUP($E517,'5.1 Budget'!$A$4:$H$729,4,0)</f>
        <v>0</v>
      </c>
      <c r="K517" s="252">
        <f>VLOOKUP($E517,'5.1 Budget'!$A$4:$H$729,5,0)</f>
        <v>0</v>
      </c>
      <c r="L517" s="252">
        <f>VLOOKUP($E517,'5.1 Budget'!$A$4:$H$729,6,0)</f>
        <v>0</v>
      </c>
      <c r="M517" s="252">
        <f>VLOOKUP($E517,'5.1 Budget'!$A$4:$H$729,7,0)</f>
        <v>0</v>
      </c>
      <c r="N517" s="252">
        <f>VLOOKUP($E517,'5.1 Budget'!$A$4:$H$729,8,0)</f>
        <v>0</v>
      </c>
      <c r="V517" t="str">
        <f>VLOOKUP(D517,'[4]1. Mesures'!$A$1:$B$116,2,0)</f>
        <v>Tenir compte de l’évolution des prélèvements et restitutions d’eau dans le Canal pour répondre au besoin sans compromettre la navigation et la qualité de la masse d’eau</v>
      </c>
      <c r="W517" t="str">
        <f>VLOOKUP(B517,[1]HIERARCH!$A$1:$B$57,2,0)</f>
        <v>OS 5.4 : Diminuer la vulnérabilité des habitants et du territoire face aux épisodes de sécheresse</v>
      </c>
      <c r="X517" t="str">
        <f>VLOOKUP(C517,[1]HIERARCH!$A$2:$B$57,2,0)</f>
        <v xml:space="preserve">OO 5.4.2 : Préserver les ressources en eau en fonction des usages et des bénéfices écosystémiques qu’elles nous rendent  </v>
      </c>
      <c r="Y517" t="str">
        <f t="shared" si="25"/>
        <v>Poursuivre l’imposition de conditions environnementales sur les rejets de prélèvements et restitution en fonction de l’u…</v>
      </c>
    </row>
    <row r="518" spans="1:25" hidden="1" x14ac:dyDescent="0.25">
      <c r="A518" s="249" t="str">
        <f t="shared" si="26"/>
        <v>5</v>
      </c>
      <c r="B518" s="249" t="str">
        <f>VLOOKUP($D518,'[4]1. Mesures'!$A$2:$G$116,6,0)</f>
        <v>OS 5.4</v>
      </c>
      <c r="C518" s="249" t="str">
        <f>VLOOKUP($D518,'[4]1. Mesures'!$A$2:$G$116,7,0)</f>
        <v>OO 5.4.2</v>
      </c>
      <c r="D518" s="249" t="str">
        <f t="shared" si="27"/>
        <v>M 5.20</v>
      </c>
      <c r="E518" s="250" t="s">
        <v>1064</v>
      </c>
      <c r="F518" s="249" t="str">
        <f>VLOOKUP(E518,'5.2 Actions'!$A$3:$B$720,2,0)</f>
        <v>Mener des campagnes d’information sur le phénomène d’algues bleues</v>
      </c>
      <c r="G518" s="251">
        <f>VLOOKUP(E518,'[4]5.2 Actions'!$A$3:$D$718,4,0)</f>
        <v>0</v>
      </c>
      <c r="H518" s="252">
        <f>VLOOKUP($E518,'5.1 Budget'!$A$4:$H$729,2,0)</f>
        <v>0</v>
      </c>
      <c r="I518" s="252">
        <f>VLOOKUP($E518,'5.1 Budget'!$A$4:$H$729,3,0)</f>
        <v>0</v>
      </c>
      <c r="J518" s="252">
        <f>VLOOKUP($E518,'5.1 Budget'!$A$4:$H$729,4,0)</f>
        <v>0</v>
      </c>
      <c r="K518" s="252">
        <f>VLOOKUP($E518,'5.1 Budget'!$A$4:$H$729,5,0)</f>
        <v>0</v>
      </c>
      <c r="L518" s="252">
        <f>VLOOKUP($E518,'5.1 Budget'!$A$4:$H$729,6,0)</f>
        <v>0</v>
      </c>
      <c r="M518" s="252">
        <f>VLOOKUP($E518,'5.1 Budget'!$A$4:$H$729,7,0)</f>
        <v>0</v>
      </c>
      <c r="N518" s="252">
        <f>VLOOKUP($E518,'5.1 Budget'!$A$4:$H$729,8,0)</f>
        <v>0</v>
      </c>
      <c r="V518" t="str">
        <f>VLOOKUP(D518,'[4]1. Mesures'!$A$1:$B$116,2,0)</f>
        <v>Adopter les mesures de prévention contre les crises écologiques (dont les algues bleues et chutes d’oxygène dissous dans l’eau) de manière coordonnée entre gestionnaires</v>
      </c>
      <c r="W518" t="str">
        <f>VLOOKUP(B518,[1]HIERARCH!$A$1:$B$57,2,0)</f>
        <v>OS 5.4 : Diminuer la vulnérabilité des habitants et du territoire face aux épisodes de sécheresse</v>
      </c>
      <c r="X518" t="str">
        <f>VLOOKUP(C518,[1]HIERARCH!$A$2:$B$57,2,0)</f>
        <v xml:space="preserve">OO 5.4.2 : Préserver les ressources en eau en fonction des usages et des bénéfices écosystémiques qu’elles nous rendent  </v>
      </c>
      <c r="Y518" t="str">
        <f t="shared" si="25"/>
        <v>Mener des campagnes d’information sur le phénomène d’algues bleues…</v>
      </c>
    </row>
    <row r="519" spans="1:25" hidden="1" x14ac:dyDescent="0.25">
      <c r="A519" s="249" t="str">
        <f t="shared" si="26"/>
        <v>5</v>
      </c>
      <c r="B519" s="249" t="str">
        <f>VLOOKUP($D519,'[4]1. Mesures'!$A$2:$G$116,6,0)</f>
        <v>OS 5.4</v>
      </c>
      <c r="C519" s="249" t="str">
        <f>VLOOKUP($D519,'[4]1. Mesures'!$A$2:$G$116,7,0)</f>
        <v>OO 5.4.2</v>
      </c>
      <c r="D519" s="249" t="str">
        <f t="shared" si="27"/>
        <v>M 5.20</v>
      </c>
      <c r="E519" s="250" t="s">
        <v>1065</v>
      </c>
      <c r="F519" s="249" t="str">
        <f>VLOOKUP(E519,'5.2 Actions'!$A$3:$B$720,2,0)</f>
        <v>Prise de mesures ponctuelles au moyen de la sonde multiparamètres mobile et de tests immuno-enzymatiques ELISA quand cela s’avère pertinent (par ex : suspicion de bloom de cyanobactéries, surmortalité de poissons)</v>
      </c>
      <c r="G519" s="251">
        <f>VLOOKUP(E519,'[4]5.2 Actions'!$A$3:$D$718,4,0)</f>
        <v>0</v>
      </c>
      <c r="H519" s="252">
        <f>VLOOKUP($E519,'5.1 Budget'!$A$4:$H$729,2,0)</f>
        <v>2000</v>
      </c>
      <c r="I519" s="252">
        <f>VLOOKUP($E519,'5.1 Budget'!$A$4:$H$729,3,0)</f>
        <v>2000</v>
      </c>
      <c r="J519" s="252">
        <f>VLOOKUP($E519,'5.1 Budget'!$A$4:$H$729,4,0)</f>
        <v>2000</v>
      </c>
      <c r="K519" s="252">
        <f>VLOOKUP($E519,'5.1 Budget'!$A$4:$H$729,5,0)</f>
        <v>2000</v>
      </c>
      <c r="L519" s="252">
        <f>VLOOKUP($E519,'5.1 Budget'!$A$4:$H$729,6,0)</f>
        <v>2000</v>
      </c>
      <c r="M519" s="252">
        <f>VLOOKUP($E519,'5.1 Budget'!$A$4:$H$729,7,0)</f>
        <v>2000</v>
      </c>
      <c r="N519" s="252">
        <f>VLOOKUP($E519,'5.1 Budget'!$A$4:$H$729,8,0)</f>
        <v>12000</v>
      </c>
      <c r="V519" t="str">
        <f>VLOOKUP(D519,'[4]1. Mesures'!$A$1:$B$116,2,0)</f>
        <v>Adopter les mesures de prévention contre les crises écologiques (dont les algues bleues et chutes d’oxygène dissous dans l’eau) de manière coordonnée entre gestionnaires</v>
      </c>
      <c r="W519" t="str">
        <f>VLOOKUP(B519,[1]HIERARCH!$A$1:$B$57,2,0)</f>
        <v>OS 5.4 : Diminuer la vulnérabilité des habitants et du territoire face aux épisodes de sécheresse</v>
      </c>
      <c r="X519" t="str">
        <f>VLOOKUP(C519,[1]HIERARCH!$A$2:$B$57,2,0)</f>
        <v xml:space="preserve">OO 5.4.2 : Préserver les ressources en eau en fonction des usages et des bénéfices écosystémiques qu’elles nous rendent  </v>
      </c>
      <c r="Y519" t="str">
        <f t="shared" si="25"/>
        <v>Prise de mesures ponctuelles au moyen de la sonde multiparamètres mobile et de tests immuno-enzymatiques ELISA quand cel…</v>
      </c>
    </row>
    <row r="520" spans="1:25" hidden="1" x14ac:dyDescent="0.25">
      <c r="A520" s="249" t="str">
        <f t="shared" si="26"/>
        <v>5</v>
      </c>
      <c r="B520" s="249" t="str">
        <f>VLOOKUP($D520,'[4]1. Mesures'!$A$2:$G$116,6,0)</f>
        <v>OS 5.4</v>
      </c>
      <c r="C520" s="249" t="str">
        <f>VLOOKUP($D520,'[4]1. Mesures'!$A$2:$G$116,7,0)</f>
        <v>OO 5.4.2</v>
      </c>
      <c r="D520" s="249" t="str">
        <f t="shared" si="27"/>
        <v>M 5.20</v>
      </c>
      <c r="E520" s="250" t="s">
        <v>1066</v>
      </c>
      <c r="F520" s="249" t="str">
        <f>VLOOKUP(E520,'5.2 Actions'!$A$3:$B$720,2,0)</f>
        <v>Etudier les phénomènes de surmortalité de poissons  : analyse de données qualité de la (les) sonde(s) en continu FlowBru sur le Canal, analyse de données ponctuelles de la sonde qualité mobile et des tests immuno-enzymatiques ELISA récoltées dans le Canal, installation et analyse de données qualité des robots du projet Smart Water, et modélisation des blooms d’algues bleues, dans l’optique de comprendre les phénomènes à l’origine de la surmortalité des poissons de rechercher des solutions permettant d’en réduire les effets</v>
      </c>
      <c r="G520" s="251">
        <f>VLOOKUP(E520,'[4]5.2 Actions'!$A$3:$D$718,4,0)</f>
        <v>0</v>
      </c>
      <c r="H520" s="252">
        <f>VLOOKUP($E520,'5.1 Budget'!$A$4:$H$729,2,0)</f>
        <v>0</v>
      </c>
      <c r="I520" s="252">
        <f>VLOOKUP($E520,'5.1 Budget'!$A$4:$H$729,3,0)</f>
        <v>0</v>
      </c>
      <c r="J520" s="252">
        <f>VLOOKUP($E520,'5.1 Budget'!$A$4:$H$729,4,0)</f>
        <v>0</v>
      </c>
      <c r="K520" s="252">
        <f>VLOOKUP($E520,'5.1 Budget'!$A$4:$H$729,5,0)</f>
        <v>0</v>
      </c>
      <c r="L520" s="252">
        <f>VLOOKUP($E520,'5.1 Budget'!$A$4:$H$729,6,0)</f>
        <v>0</v>
      </c>
      <c r="M520" s="252">
        <f>VLOOKUP($E520,'5.1 Budget'!$A$4:$H$729,7,0)</f>
        <v>0</v>
      </c>
      <c r="N520" s="252">
        <f>VLOOKUP($E520,'5.1 Budget'!$A$4:$H$729,8,0)</f>
        <v>0</v>
      </c>
      <c r="V520" t="str">
        <f>VLOOKUP(D520,'[4]1. Mesures'!$A$1:$B$116,2,0)</f>
        <v>Adopter les mesures de prévention contre les crises écologiques (dont les algues bleues et chutes d’oxygène dissous dans l’eau) de manière coordonnée entre gestionnaires</v>
      </c>
      <c r="W520" t="str">
        <f>VLOOKUP(B520,[1]HIERARCH!$A$1:$B$57,2,0)</f>
        <v>OS 5.4 : Diminuer la vulnérabilité des habitants et du territoire face aux épisodes de sécheresse</v>
      </c>
      <c r="X520" t="str">
        <f>VLOOKUP(C520,[1]HIERARCH!$A$2:$B$57,2,0)</f>
        <v xml:space="preserve">OO 5.4.2 : Préserver les ressources en eau en fonction des usages et des bénéfices écosystémiques qu’elles nous rendent  </v>
      </c>
      <c r="Y520" t="str">
        <f t="shared" si="25"/>
        <v>Etudier les phénomènes de surmortalité de poissons  : analyse de données qualité de la (les) sonde(s) en continu FlowBru…</v>
      </c>
    </row>
    <row r="521" spans="1:25" hidden="1" x14ac:dyDescent="0.25">
      <c r="A521" s="249" t="str">
        <f t="shared" si="26"/>
        <v>5</v>
      </c>
      <c r="B521" s="249" t="str">
        <f>VLOOKUP($D521,'[4]1. Mesures'!$A$2:$G$116,6,0)</f>
        <v>OS 5.4</v>
      </c>
      <c r="C521" s="249" t="str">
        <f>VLOOKUP($D521,'[4]1. Mesures'!$A$2:$G$116,7,0)</f>
        <v>OO 5.4.2</v>
      </c>
      <c r="D521" s="249" t="str">
        <f t="shared" si="27"/>
        <v>M 5.20</v>
      </c>
      <c r="E521" s="250" t="s">
        <v>1067</v>
      </c>
      <c r="F521" s="249" t="str">
        <f>VLOOKUP(E521,'5.2 Actions'!$A$3:$B$720,2,0)</f>
        <v>Etudier la faisabilité de mettre en œuvre des actions ou d’installer des dispositifs sur le Canal permettant d’apporter de l’oxygène en période d’hypoxie (ou de risque d’hypoxie, comme lors de blooms d’algues bleues ou de sécheresse) (tels que, de façon non-exhaustive : renouvellement d’eau, aérateur, barrière à bulles, installation locale de radeaux végétalisés)</v>
      </c>
      <c r="G521" s="251">
        <f>VLOOKUP(E521,'[4]5.2 Actions'!$A$3:$D$718,4,0)</f>
        <v>0</v>
      </c>
      <c r="H521" s="252">
        <f>VLOOKUP($E521,'5.1 Budget'!$A$4:$H$729,2,0)</f>
        <v>0</v>
      </c>
      <c r="I521" s="252">
        <f>VLOOKUP($E521,'5.1 Budget'!$A$4:$H$729,3,0)</f>
        <v>0</v>
      </c>
      <c r="J521" s="252">
        <f>VLOOKUP($E521,'5.1 Budget'!$A$4:$H$729,4,0)</f>
        <v>0</v>
      </c>
      <c r="K521" s="252">
        <f>VLOOKUP($E521,'5.1 Budget'!$A$4:$H$729,5,0)</f>
        <v>0</v>
      </c>
      <c r="L521" s="252">
        <f>VLOOKUP($E521,'5.1 Budget'!$A$4:$H$729,6,0)</f>
        <v>0</v>
      </c>
      <c r="M521" s="252">
        <f>VLOOKUP($E521,'5.1 Budget'!$A$4:$H$729,7,0)</f>
        <v>0</v>
      </c>
      <c r="N521" s="252">
        <f>VLOOKUP($E521,'5.1 Budget'!$A$4:$H$729,8,0)</f>
        <v>0</v>
      </c>
      <c r="V521" t="str">
        <f>VLOOKUP(D521,'[4]1. Mesures'!$A$1:$B$116,2,0)</f>
        <v>Adopter les mesures de prévention contre les crises écologiques (dont les algues bleues et chutes d’oxygène dissous dans l’eau) de manière coordonnée entre gestionnaires</v>
      </c>
      <c r="W521" t="str">
        <f>VLOOKUP(B521,[1]HIERARCH!$A$1:$B$57,2,0)</f>
        <v>OS 5.4 : Diminuer la vulnérabilité des habitants et du territoire face aux épisodes de sécheresse</v>
      </c>
      <c r="X521" t="str">
        <f>VLOOKUP(C521,[1]HIERARCH!$A$2:$B$57,2,0)</f>
        <v xml:space="preserve">OO 5.4.2 : Préserver les ressources en eau en fonction des usages et des bénéfices écosystémiques qu’elles nous rendent  </v>
      </c>
      <c r="Y521" t="str">
        <f t="shared" si="25"/>
        <v>Etudier la faisabilité de mettre en œuvre des actions ou d’installer des dispositifs sur le Canal permettant d’apporter …</v>
      </c>
    </row>
    <row r="522" spans="1:25" hidden="1" x14ac:dyDescent="0.25">
      <c r="A522" s="249" t="str">
        <f t="shared" si="26"/>
        <v>5</v>
      </c>
      <c r="B522" s="249" t="str">
        <f>VLOOKUP($D522,'[4]1. Mesures'!$A$2:$G$116,6,0)</f>
        <v>OS 5.4</v>
      </c>
      <c r="C522" s="249" t="str">
        <f>VLOOKUP($D522,'[4]1. Mesures'!$A$2:$G$116,7,0)</f>
        <v>OO 5.4.2</v>
      </c>
      <c r="D522" s="249" t="str">
        <f t="shared" si="27"/>
        <v>M 5.20</v>
      </c>
      <c r="E522" s="250" t="s">
        <v>1068</v>
      </c>
      <c r="F522" s="249" t="str">
        <f>VLOOKUP(E522,'5.2 Actions'!$A$3:$B$720,2,0)</f>
        <v>Étudier la possibilité d’ouvrir les écluses pour renouveler les eaux du Canal en cas de besoin (canicule/sécheresse/manque de passage de bateau/présence de blooms de cyanobactéries/eau très turbide/hypoxie/animaux en détresse ou morts)</v>
      </c>
      <c r="G522" s="251">
        <f>VLOOKUP(E522,'[4]5.2 Actions'!$A$3:$D$718,4,0)</f>
        <v>0</v>
      </c>
      <c r="H522" s="252">
        <f>VLOOKUP($E522,'5.1 Budget'!$A$4:$H$729,2,0)</f>
        <v>0</v>
      </c>
      <c r="I522" s="252">
        <f>VLOOKUP($E522,'5.1 Budget'!$A$4:$H$729,3,0)</f>
        <v>0</v>
      </c>
      <c r="J522" s="252">
        <f>VLOOKUP($E522,'5.1 Budget'!$A$4:$H$729,4,0)</f>
        <v>0</v>
      </c>
      <c r="K522" s="252">
        <f>VLOOKUP($E522,'5.1 Budget'!$A$4:$H$729,5,0)</f>
        <v>0</v>
      </c>
      <c r="L522" s="252">
        <f>VLOOKUP($E522,'5.1 Budget'!$A$4:$H$729,6,0)</f>
        <v>0</v>
      </c>
      <c r="M522" s="252">
        <f>VLOOKUP($E522,'5.1 Budget'!$A$4:$H$729,7,0)</f>
        <v>0</v>
      </c>
      <c r="N522" s="252">
        <f>VLOOKUP($E522,'5.1 Budget'!$A$4:$H$729,8,0)</f>
        <v>0</v>
      </c>
      <c r="V522" t="str">
        <f>VLOOKUP(D522,'[4]1. Mesures'!$A$1:$B$116,2,0)</f>
        <v>Adopter les mesures de prévention contre les crises écologiques (dont les algues bleues et chutes d’oxygène dissous dans l’eau) de manière coordonnée entre gestionnaires</v>
      </c>
      <c r="W522" t="str">
        <f>VLOOKUP(B522,[1]HIERARCH!$A$1:$B$57,2,0)</f>
        <v>OS 5.4 : Diminuer la vulnérabilité des habitants et du territoire face aux épisodes de sécheresse</v>
      </c>
      <c r="X522" t="str">
        <f>VLOOKUP(C522,[1]HIERARCH!$A$2:$B$57,2,0)</f>
        <v xml:space="preserve">OO 5.4.2 : Préserver les ressources en eau en fonction des usages et des bénéfices écosystémiques qu’elles nous rendent  </v>
      </c>
      <c r="Y522" t="str">
        <f t="shared" si="25"/>
        <v>Étudier la possibilité d’ouvrir les écluses pour renouveler les eaux du Canal en cas de besoin (canicule/sécheresse/manq…</v>
      </c>
    </row>
    <row r="523" spans="1:25" hidden="1" x14ac:dyDescent="0.25">
      <c r="A523" s="249" t="str">
        <f t="shared" si="26"/>
        <v>5</v>
      </c>
      <c r="B523" s="249" t="str">
        <f>VLOOKUP($D523,'[4]1. Mesures'!$A$2:$G$116,6,0)</f>
        <v>OS 5.4</v>
      </c>
      <c r="C523" s="249" t="str">
        <f>VLOOKUP($D523,'[4]1. Mesures'!$A$2:$G$116,7,0)</f>
        <v>OO 5.4.2</v>
      </c>
      <c r="D523" s="249" t="str">
        <f t="shared" si="27"/>
        <v>M 5.21</v>
      </c>
      <c r="E523" s="250" t="s">
        <v>1069</v>
      </c>
      <c r="F523" s="249" t="str">
        <f>VLOOKUP(E523,'5.2 Actions'!$A$3:$B$720,2,0)</f>
        <v>Revoir le choix des végétaux à mettre en place dans les espaces verts bruxellois</v>
      </c>
      <c r="G523" s="251">
        <f>VLOOKUP(E523,'[4]5.2 Actions'!$A$3:$D$718,4,0)</f>
        <v>0</v>
      </c>
      <c r="H523" s="252">
        <f>VLOOKUP($E523,'5.1 Budget'!$A$4:$H$729,2,0)</f>
        <v>0</v>
      </c>
      <c r="I523" s="252">
        <f>VLOOKUP($E523,'5.1 Budget'!$A$4:$H$729,3,0)</f>
        <v>0</v>
      </c>
      <c r="J523" s="252">
        <f>VLOOKUP($E523,'5.1 Budget'!$A$4:$H$729,4,0)</f>
        <v>0</v>
      </c>
      <c r="K523" s="252">
        <f>VLOOKUP($E523,'5.1 Budget'!$A$4:$H$729,5,0)</f>
        <v>0</v>
      </c>
      <c r="L523" s="252">
        <f>VLOOKUP($E523,'5.1 Budget'!$A$4:$H$729,6,0)</f>
        <v>0</v>
      </c>
      <c r="M523" s="252">
        <f>VLOOKUP($E523,'5.1 Budget'!$A$4:$H$729,7,0)</f>
        <v>0</v>
      </c>
      <c r="N523" s="252">
        <f>VLOOKUP($E523,'5.1 Budget'!$A$4:$H$729,8,0)</f>
        <v>0</v>
      </c>
      <c r="V523" t="str">
        <f>VLOOKUP(D523,'[4]1. Mesures'!$A$1:$B$116,2,0)</f>
        <v xml:space="preserve">Mettre en place une gestion raisonnée de l’eau dans les espaces verts régionaux et communaux </v>
      </c>
      <c r="W523" t="str">
        <f>VLOOKUP(B523,[1]HIERARCH!$A$1:$B$57,2,0)</f>
        <v>OS 5.4 : Diminuer la vulnérabilité des habitants et du territoire face aux épisodes de sécheresse</v>
      </c>
      <c r="X523" t="str">
        <f>VLOOKUP(C523,[1]HIERARCH!$A$2:$B$57,2,0)</f>
        <v xml:space="preserve">OO 5.4.2 : Préserver les ressources en eau en fonction des usages et des bénéfices écosystémiques qu’elles nous rendent  </v>
      </c>
      <c r="Y523" t="str">
        <f t="shared" si="25"/>
        <v>Revoir le choix des végétaux à mettre en place dans les espaces verts bruxellois…</v>
      </c>
    </row>
    <row r="524" spans="1:25" hidden="1" x14ac:dyDescent="0.25">
      <c r="A524" s="249" t="str">
        <f t="shared" si="26"/>
        <v>5</v>
      </c>
      <c r="B524" s="249" t="str">
        <f>VLOOKUP($D524,'[4]1. Mesures'!$A$2:$G$116,6,0)</f>
        <v>OS 5.4</v>
      </c>
      <c r="C524" s="249" t="str">
        <f>VLOOKUP($D524,'[4]1. Mesures'!$A$2:$G$116,7,0)</f>
        <v>OO 5.4.2</v>
      </c>
      <c r="D524" s="249" t="str">
        <f t="shared" si="27"/>
        <v>M 5.21</v>
      </c>
      <c r="E524" s="250" t="s">
        <v>1070</v>
      </c>
      <c r="F524" s="249" t="str">
        <f>VLOOKUP(E524,'5.2 Actions'!$A$3:$B$720,2,0)</f>
        <v>Concevoir les espaces verts et apporter les aménagements nécessaires à une gestion plus rationnelle de l’eau</v>
      </c>
      <c r="G524" s="251">
        <f>VLOOKUP(E524,'[4]5.2 Actions'!$A$3:$D$718,4,0)</f>
        <v>0</v>
      </c>
      <c r="H524" s="252">
        <f>VLOOKUP($E524,'5.1 Budget'!$A$4:$H$729,2,0)</f>
        <v>0</v>
      </c>
      <c r="I524" s="252">
        <f>VLOOKUP($E524,'5.1 Budget'!$A$4:$H$729,3,0)</f>
        <v>0</v>
      </c>
      <c r="J524" s="252">
        <f>VLOOKUP($E524,'5.1 Budget'!$A$4:$H$729,4,0)</f>
        <v>0</v>
      </c>
      <c r="K524" s="252">
        <f>VLOOKUP($E524,'5.1 Budget'!$A$4:$H$729,5,0)</f>
        <v>0</v>
      </c>
      <c r="L524" s="252">
        <f>VLOOKUP($E524,'5.1 Budget'!$A$4:$H$729,6,0)</f>
        <v>0</v>
      </c>
      <c r="M524" s="252">
        <f>VLOOKUP($E524,'5.1 Budget'!$A$4:$H$729,7,0)</f>
        <v>0</v>
      </c>
      <c r="N524" s="252">
        <f>VLOOKUP($E524,'5.1 Budget'!$A$4:$H$729,8,0)</f>
        <v>0</v>
      </c>
      <c r="V524" t="str">
        <f>VLOOKUP(D524,'[4]1. Mesures'!$A$1:$B$116,2,0)</f>
        <v xml:space="preserve">Mettre en place une gestion raisonnée de l’eau dans les espaces verts régionaux et communaux </v>
      </c>
      <c r="W524" t="str">
        <f>VLOOKUP(B524,[1]HIERARCH!$A$1:$B$57,2,0)</f>
        <v>OS 5.4 : Diminuer la vulnérabilité des habitants et du territoire face aux épisodes de sécheresse</v>
      </c>
      <c r="X524" t="str">
        <f>VLOOKUP(C524,[1]HIERARCH!$A$2:$B$57,2,0)</f>
        <v xml:space="preserve">OO 5.4.2 : Préserver les ressources en eau en fonction des usages et des bénéfices écosystémiques qu’elles nous rendent  </v>
      </c>
      <c r="Y524" t="str">
        <f t="shared" si="25"/>
        <v>Concevoir les espaces verts et apporter les aménagements nécessaires à une gestion plus rationnelle de l’eau…</v>
      </c>
    </row>
    <row r="525" spans="1:25" hidden="1" x14ac:dyDescent="0.25">
      <c r="A525" s="249" t="str">
        <f t="shared" si="26"/>
        <v>5</v>
      </c>
      <c r="B525" s="249" t="str">
        <f>VLOOKUP($D525,'[4]1. Mesures'!$A$2:$G$116,6,0)</f>
        <v>OS 5.4</v>
      </c>
      <c r="C525" s="249" t="str">
        <f>VLOOKUP($D525,'[4]1. Mesures'!$A$2:$G$116,7,0)</f>
        <v>OO 5.4.2</v>
      </c>
      <c r="D525" s="249" t="str">
        <f t="shared" si="27"/>
        <v>M 5.21</v>
      </c>
      <c r="E525" s="250" t="s">
        <v>1072</v>
      </c>
      <c r="F525" s="249" t="str">
        <f>VLOOKUP(E525,'5.2 Actions'!$A$3:$B$720,2,0)</f>
        <v>Prendre les mesures visant à diminuer le recours à l’eau potable en favorisant l’eau pluviale et en limitant les besoins en eau</v>
      </c>
      <c r="G525" s="251">
        <f>VLOOKUP(E525,'[4]5.2 Actions'!$A$3:$D$718,4,0)</f>
        <v>0</v>
      </c>
      <c r="H525" s="252">
        <f>VLOOKUP($E525,'5.1 Budget'!$A$4:$H$729,2,0)</f>
        <v>0</v>
      </c>
      <c r="I525" s="252">
        <f>VLOOKUP($E525,'5.1 Budget'!$A$4:$H$729,3,0)</f>
        <v>0</v>
      </c>
      <c r="J525" s="252">
        <f>VLOOKUP($E525,'5.1 Budget'!$A$4:$H$729,4,0)</f>
        <v>0</v>
      </c>
      <c r="K525" s="252">
        <f>VLOOKUP($E525,'5.1 Budget'!$A$4:$H$729,5,0)</f>
        <v>0</v>
      </c>
      <c r="L525" s="252">
        <f>VLOOKUP($E525,'5.1 Budget'!$A$4:$H$729,6,0)</f>
        <v>0</v>
      </c>
      <c r="M525" s="252">
        <f>VLOOKUP($E525,'5.1 Budget'!$A$4:$H$729,7,0)</f>
        <v>0</v>
      </c>
      <c r="N525" s="252">
        <f>VLOOKUP($E525,'5.1 Budget'!$A$4:$H$729,8,0)</f>
        <v>0</v>
      </c>
      <c r="V525" t="str">
        <f>VLOOKUP(D525,'[4]1. Mesures'!$A$1:$B$116,2,0)</f>
        <v xml:space="preserve">Mettre en place une gestion raisonnée de l’eau dans les espaces verts régionaux et communaux </v>
      </c>
      <c r="W525" t="str">
        <f>VLOOKUP(B525,[1]HIERARCH!$A$1:$B$57,2,0)</f>
        <v>OS 5.4 : Diminuer la vulnérabilité des habitants et du territoire face aux épisodes de sécheresse</v>
      </c>
      <c r="X525" t="str">
        <f>VLOOKUP(C525,[1]HIERARCH!$A$2:$B$57,2,0)</f>
        <v xml:space="preserve">OO 5.4.2 : Préserver les ressources en eau en fonction des usages et des bénéfices écosystémiques qu’elles nous rendent  </v>
      </c>
      <c r="Y525" t="str">
        <f t="shared" si="25"/>
        <v>Prendre les mesures visant à diminuer le recours à l’eau potable en favorisant l’eau pluviale et en limitant les besoins…</v>
      </c>
    </row>
    <row r="526" spans="1:25" hidden="1" x14ac:dyDescent="0.25">
      <c r="A526" s="249" t="str">
        <f t="shared" si="26"/>
        <v>5</v>
      </c>
      <c r="B526" s="249" t="str">
        <f>VLOOKUP($D526,'[4]1. Mesures'!$A$2:$G$116,6,0)</f>
        <v>OS 5.4</v>
      </c>
      <c r="C526" s="249" t="str">
        <f>VLOOKUP($D526,'[4]1. Mesures'!$A$2:$G$116,7,0)</f>
        <v>OO 5.4.2</v>
      </c>
      <c r="D526" s="249" t="str">
        <f t="shared" si="27"/>
        <v>M 5.21</v>
      </c>
      <c r="E526" s="250" t="s">
        <v>1071</v>
      </c>
      <c r="F526" s="249" t="str">
        <f>VLOOKUP(E526,'5.2 Actions'!$A$3:$B$720,2,0)</f>
        <v>Communication et sensibilisation à cette gestion raisonnée des espaces verts via un référentiel de gestion écologique</v>
      </c>
      <c r="G526" s="251">
        <f>VLOOKUP(E526,'[4]5.2 Actions'!$A$3:$D$718,4,0)</f>
        <v>0</v>
      </c>
      <c r="H526" s="252">
        <f>VLOOKUP($E526,'5.1 Budget'!$A$4:$H$729,2,0)</f>
        <v>0</v>
      </c>
      <c r="I526" s="252">
        <f>VLOOKUP($E526,'5.1 Budget'!$A$4:$H$729,3,0)</f>
        <v>0</v>
      </c>
      <c r="J526" s="252">
        <f>VLOOKUP($E526,'5.1 Budget'!$A$4:$H$729,4,0)</f>
        <v>0</v>
      </c>
      <c r="K526" s="252">
        <f>VLOOKUP($E526,'5.1 Budget'!$A$4:$H$729,5,0)</f>
        <v>0</v>
      </c>
      <c r="L526" s="252">
        <f>VLOOKUP($E526,'5.1 Budget'!$A$4:$H$729,6,0)</f>
        <v>0</v>
      </c>
      <c r="M526" s="252">
        <f>VLOOKUP($E526,'5.1 Budget'!$A$4:$H$729,7,0)</f>
        <v>0</v>
      </c>
      <c r="N526" s="252">
        <f>VLOOKUP($E526,'5.1 Budget'!$A$4:$H$729,8,0)</f>
        <v>0</v>
      </c>
      <c r="V526" t="str">
        <f>VLOOKUP(D526,'[4]1. Mesures'!$A$1:$B$116,2,0)</f>
        <v xml:space="preserve">Mettre en place une gestion raisonnée de l’eau dans les espaces verts régionaux et communaux </v>
      </c>
      <c r="W526" t="str">
        <f>VLOOKUP(B526,[1]HIERARCH!$A$1:$B$57,2,0)</f>
        <v>OS 5.4 : Diminuer la vulnérabilité des habitants et du territoire face aux épisodes de sécheresse</v>
      </c>
      <c r="X526" t="str">
        <f>VLOOKUP(C526,[1]HIERARCH!$A$2:$B$57,2,0)</f>
        <v xml:space="preserve">OO 5.4.2 : Préserver les ressources en eau en fonction des usages et des bénéfices écosystémiques qu’elles nous rendent  </v>
      </c>
      <c r="Y526" t="str">
        <f t="shared" si="25"/>
        <v>Communication et sensibilisation à cette gestion raisonnée des espaces verts via un référentiel de gestion écologique…</v>
      </c>
    </row>
    <row r="527" spans="1:25" hidden="1" x14ac:dyDescent="0.25">
      <c r="A527" s="249" t="str">
        <f t="shared" si="26"/>
        <v>5</v>
      </c>
      <c r="B527" s="249" t="str">
        <f>VLOOKUP($D527,'[4]1. Mesures'!$A$2:$G$116,6,0)</f>
        <v>OS 5.4</v>
      </c>
      <c r="C527" s="249" t="str">
        <f>VLOOKUP($D527,'[4]1. Mesures'!$A$2:$G$116,7,0)</f>
        <v>OO 5.4.2</v>
      </c>
      <c r="D527" s="249" t="str">
        <f t="shared" si="27"/>
        <v>M 5.22</v>
      </c>
      <c r="E527" s="250" t="s">
        <v>1073</v>
      </c>
      <c r="F527" s="249" t="str">
        <f>VLOOKUP(E527,'5.2 Actions'!$A$3:$B$720,2,0)</f>
        <v>Tous publics :
Accompagner les différentes catégories de public par le développement d’outils techniques notamment pour estimer les besoins en eaux (calculateur) et pour identifier les solutions à mettre en place au cas par cas.</v>
      </c>
      <c r="G527" s="251">
        <f>VLOOKUP(E527,'[4]5.2 Actions'!$A$3:$D$718,4,0)</f>
        <v>0</v>
      </c>
      <c r="H527" s="252">
        <f>VLOOKUP($E527,'5.1 Budget'!$A$4:$H$729,2,0)</f>
        <v>0</v>
      </c>
      <c r="I527" s="252">
        <f>VLOOKUP($E527,'5.1 Budget'!$A$4:$H$729,3,0)</f>
        <v>0</v>
      </c>
      <c r="J527" s="252">
        <f>VLOOKUP($E527,'5.1 Budget'!$A$4:$H$729,4,0)</f>
        <v>0</v>
      </c>
      <c r="K527" s="252">
        <f>VLOOKUP($E527,'5.1 Budget'!$A$4:$H$729,5,0)</f>
        <v>0</v>
      </c>
      <c r="L527" s="252">
        <f>VLOOKUP($E527,'5.1 Budget'!$A$4:$H$729,6,0)</f>
        <v>0</v>
      </c>
      <c r="M527" s="252">
        <f>VLOOKUP($E527,'5.1 Budget'!$A$4:$H$729,7,0)</f>
        <v>0</v>
      </c>
      <c r="N527" s="252">
        <f>VLOOKUP($E527,'5.1 Budget'!$A$4:$H$729,8,0)</f>
        <v>0</v>
      </c>
      <c r="V527" t="str">
        <f>VLOOKUP(D527,'[4]1. Mesures'!$A$1:$B$116,2,0)</f>
        <v>Garantir une utilisation rationnelle de l’eau dans l’agriculture urbaine, optimiser l’arrosage et privilégier des sources d’approvisionnement en eau alternatives à l’eau potable</v>
      </c>
      <c r="W527" t="str">
        <f>VLOOKUP(B527,[1]HIERARCH!$A$1:$B$57,2,0)</f>
        <v>OS 5.4 : Diminuer la vulnérabilité des habitants et du territoire face aux épisodes de sécheresse</v>
      </c>
      <c r="X527" t="str">
        <f>VLOOKUP(C527,[1]HIERARCH!$A$2:$B$57,2,0)</f>
        <v xml:space="preserve">OO 5.4.2 : Préserver les ressources en eau en fonction des usages et des bénéfices écosystémiques qu’elles nous rendent  </v>
      </c>
      <c r="Y527" t="str">
        <f t="shared" si="25"/>
        <v>Tous publics :
Accompagner les différentes catégories de public par le développement d’outils techniques notamment pour …</v>
      </c>
    </row>
    <row r="528" spans="1:25" hidden="1" x14ac:dyDescent="0.25">
      <c r="A528" s="249" t="str">
        <f t="shared" si="26"/>
        <v>5</v>
      </c>
      <c r="B528" s="249" t="str">
        <f>VLOOKUP($D528,'[4]1. Mesures'!$A$2:$G$116,6,0)</f>
        <v>OS 5.4</v>
      </c>
      <c r="C528" s="249" t="str">
        <f>VLOOKUP($D528,'[4]1. Mesures'!$A$2:$G$116,7,0)</f>
        <v>OO 5.4.2</v>
      </c>
      <c r="D528" s="249" t="str">
        <f t="shared" si="27"/>
        <v>M 5.22</v>
      </c>
      <c r="E528" s="250" t="s">
        <v>1074</v>
      </c>
      <c r="F528" s="249" t="str">
        <f>VLOOKUP(E528,'5.2 Actions'!$A$3:$B$720,2,0)</f>
        <v>Maraîchers/cultures Professionnels
- Mise en place d’un soutien dédicacé pour une transition vers des pratiques plus exemplaires en s’appuyant sur les structures existantes (primes à la récupération, pour la réalisation d’audits…);
- Prise en  compte de la question de la gestion de l’eau lors de l’attribution de subsides (ex. appel à projets en agriculture durable, économie et emploi)  et lors de l’acquisition de foncier ou création infrastructures (conditionnalités de certaines aides à étudier)
Ces actions s’établissent en coordination avec la Stratégie Good Food vers un système alimentaire durable en Région de Bruxelles-Capitale</v>
      </c>
      <c r="G528" s="251">
        <f>VLOOKUP(E528,'[4]5.2 Actions'!$A$3:$D$718,4,0)</f>
        <v>0</v>
      </c>
      <c r="H528" s="252">
        <f>VLOOKUP($E528,'5.1 Budget'!$A$4:$H$729,2,0)</f>
        <v>0</v>
      </c>
      <c r="I528" s="252">
        <f>VLOOKUP($E528,'5.1 Budget'!$A$4:$H$729,3,0)</f>
        <v>100000</v>
      </c>
      <c r="J528" s="252">
        <f>VLOOKUP($E528,'5.1 Budget'!$A$4:$H$729,4,0)</f>
        <v>100000</v>
      </c>
      <c r="K528" s="252">
        <f>VLOOKUP($E528,'5.1 Budget'!$A$4:$H$729,5,0)</f>
        <v>100000</v>
      </c>
      <c r="L528" s="252">
        <f>VLOOKUP($E528,'5.1 Budget'!$A$4:$H$729,6,0)</f>
        <v>0</v>
      </c>
      <c r="M528" s="252">
        <f>VLOOKUP($E528,'5.1 Budget'!$A$4:$H$729,7,0)</f>
        <v>0</v>
      </c>
      <c r="N528" s="252">
        <f>VLOOKUP($E528,'5.1 Budget'!$A$4:$H$729,8,0)</f>
        <v>300000</v>
      </c>
      <c r="V528" t="str">
        <f>VLOOKUP(D528,'[4]1. Mesures'!$A$1:$B$116,2,0)</f>
        <v>Garantir une utilisation rationnelle de l’eau dans l’agriculture urbaine, optimiser l’arrosage et privilégier des sources d’approvisionnement en eau alternatives à l’eau potable</v>
      </c>
      <c r="W528" t="str">
        <f>VLOOKUP(B528,[1]HIERARCH!$A$1:$B$57,2,0)</f>
        <v>OS 5.4 : Diminuer la vulnérabilité des habitants et du territoire face aux épisodes de sécheresse</v>
      </c>
      <c r="X528" t="str">
        <f>VLOOKUP(C528,[1]HIERARCH!$A$2:$B$57,2,0)</f>
        <v xml:space="preserve">OO 5.4.2 : Préserver les ressources en eau en fonction des usages et des bénéfices écosystémiques qu’elles nous rendent  </v>
      </c>
      <c r="Y528" t="str">
        <f t="shared" si="25"/>
        <v>Maraîchers/cultures Professionnels
- Mise en place d’un soutien dédicacé pour une transition vers des pratiques plus exe…</v>
      </c>
    </row>
    <row r="529" spans="1:25" hidden="1" x14ac:dyDescent="0.25">
      <c r="A529" s="249" t="str">
        <f t="shared" si="26"/>
        <v>5</v>
      </c>
      <c r="B529" s="249" t="str">
        <f>VLOOKUP($D529,'[4]1. Mesures'!$A$2:$G$116,6,0)</f>
        <v>OS 5.4</v>
      </c>
      <c r="C529" s="249" t="str">
        <f>VLOOKUP($D529,'[4]1. Mesures'!$A$2:$G$116,7,0)</f>
        <v>OO 5.4.2</v>
      </c>
      <c r="D529" s="249" t="str">
        <f t="shared" si="27"/>
        <v>M 5.22</v>
      </c>
      <c r="E529" s="250" t="s">
        <v>1075</v>
      </c>
      <c r="F529" s="249" t="str">
        <f>VLOOKUP(E529,'5.2 Actions'!$A$3:$B$720,2,0)</f>
        <v>Potagers collectifs :
encourager le placement et le raccordement des citernes de récupération d’eau de pluie et pratiques agricoles économes en eaux par de de l’accompagnement via :
a)     via formations (voir M 5.4), et développement de contenus didactiques ;
b)     l’adoption et révision des Chartes et pratiques associées, notamment en incitant à une mise en commun des ressources (citerne enterrée de récupération de grande capacité, mise en place d’un référent Eau, constitution de stocks communs en hiver sur une parcelle,…) ;
c)) Soutien à la mise en place de projets exemplaires via appel à projet Inspirons le quartier (projets collectifs citoyens) ou Actions Climat (projets communaux) – voir M.8.5</v>
      </c>
      <c r="G529" s="251">
        <f>VLOOKUP(E529,'[4]5.2 Actions'!$A$3:$D$718,4,0)</f>
        <v>0</v>
      </c>
      <c r="H529" s="252">
        <f>VLOOKUP($E529,'5.1 Budget'!$A$4:$H$729,2,0)</f>
        <v>0</v>
      </c>
      <c r="I529" s="252">
        <f>VLOOKUP($E529,'5.1 Budget'!$A$4:$H$729,3,0)</f>
        <v>0</v>
      </c>
      <c r="J529" s="252">
        <f>VLOOKUP($E529,'5.1 Budget'!$A$4:$H$729,4,0)</f>
        <v>0</v>
      </c>
      <c r="K529" s="252">
        <f>VLOOKUP($E529,'5.1 Budget'!$A$4:$H$729,5,0)</f>
        <v>0</v>
      </c>
      <c r="L529" s="252">
        <f>VLOOKUP($E529,'5.1 Budget'!$A$4:$H$729,6,0)</f>
        <v>0</v>
      </c>
      <c r="M529" s="252">
        <f>VLOOKUP($E529,'5.1 Budget'!$A$4:$H$729,7,0)</f>
        <v>0</v>
      </c>
      <c r="N529" s="252">
        <f>VLOOKUP($E529,'5.1 Budget'!$A$4:$H$729,8,0)</f>
        <v>0</v>
      </c>
      <c r="V529" t="str">
        <f>VLOOKUP(D529,'[4]1. Mesures'!$A$1:$B$116,2,0)</f>
        <v>Garantir une utilisation rationnelle de l’eau dans l’agriculture urbaine, optimiser l’arrosage et privilégier des sources d’approvisionnement en eau alternatives à l’eau potable</v>
      </c>
      <c r="W529" t="str">
        <f>VLOOKUP(B529,[1]HIERARCH!$A$1:$B$57,2,0)</f>
        <v>OS 5.4 : Diminuer la vulnérabilité des habitants et du territoire face aux épisodes de sécheresse</v>
      </c>
      <c r="X529" t="str">
        <f>VLOOKUP(C529,[1]HIERARCH!$A$2:$B$57,2,0)</f>
        <v xml:space="preserve">OO 5.4.2 : Préserver les ressources en eau en fonction des usages et des bénéfices écosystémiques qu’elles nous rendent  </v>
      </c>
      <c r="Y529" t="str">
        <f t="shared" si="25"/>
        <v>Potagers collectifs :
encourager le placement et le raccordement des citernes de récupération d’eau de pluie et pratique…</v>
      </c>
    </row>
    <row r="530" spans="1:25" hidden="1" x14ac:dyDescent="0.25">
      <c r="A530" s="249" t="str">
        <f t="shared" si="26"/>
        <v>5</v>
      </c>
      <c r="B530" s="249" t="str">
        <f>VLOOKUP($D530,'[4]1. Mesures'!$A$2:$G$116,6,0)</f>
        <v>OS 5.4</v>
      </c>
      <c r="C530" s="249" t="str">
        <f>VLOOKUP($D530,'[4]1. Mesures'!$A$2:$G$116,7,0)</f>
        <v>OO 5.4.2</v>
      </c>
      <c r="D530" s="249" t="str">
        <f t="shared" si="27"/>
        <v>M 5.22</v>
      </c>
      <c r="E530" s="250" t="s">
        <v>1076</v>
      </c>
      <c r="F530" s="249" t="str">
        <f>VLOOKUP(E530,'5.2 Actions'!$A$3:$B$720,2,0)</f>
        <v>Dans les potagers sous gestion de Bruxelles Environnement, étudier au regard des contraintes éventuelles (enjeux paysagers,…) des alternatives (techniques ou de mise en œuvre) à l’utilisation d’eau potable (bornes fontaines) pour l’irrigation</v>
      </c>
      <c r="G530" s="251">
        <f>VLOOKUP(E530,'[4]5.2 Actions'!$A$3:$D$718,4,0)</f>
        <v>0</v>
      </c>
      <c r="H530" s="252">
        <f>VLOOKUP($E530,'5.1 Budget'!$A$4:$H$729,2,0)</f>
        <v>0</v>
      </c>
      <c r="I530" s="252">
        <f>VLOOKUP($E530,'5.1 Budget'!$A$4:$H$729,3,0)</f>
        <v>0</v>
      </c>
      <c r="J530" s="252">
        <f>VLOOKUP($E530,'5.1 Budget'!$A$4:$H$729,4,0)</f>
        <v>70000</v>
      </c>
      <c r="K530" s="252">
        <f>VLOOKUP($E530,'5.1 Budget'!$A$4:$H$729,5,0)</f>
        <v>0</v>
      </c>
      <c r="L530" s="252">
        <f>VLOOKUP($E530,'5.1 Budget'!$A$4:$H$729,6,0)</f>
        <v>0</v>
      </c>
      <c r="M530" s="252">
        <f>VLOOKUP($E530,'5.1 Budget'!$A$4:$H$729,7,0)</f>
        <v>0</v>
      </c>
      <c r="N530" s="252">
        <f>VLOOKUP($E530,'5.1 Budget'!$A$4:$H$729,8,0)</f>
        <v>70000</v>
      </c>
      <c r="V530" t="str">
        <f>VLOOKUP(D530,'[4]1. Mesures'!$A$1:$B$116,2,0)</f>
        <v>Garantir une utilisation rationnelle de l’eau dans l’agriculture urbaine, optimiser l’arrosage et privilégier des sources d’approvisionnement en eau alternatives à l’eau potable</v>
      </c>
      <c r="W530" t="str">
        <f>VLOOKUP(B530,[1]HIERARCH!$A$1:$B$57,2,0)</f>
        <v>OS 5.4 : Diminuer la vulnérabilité des habitants et du territoire face aux épisodes de sécheresse</v>
      </c>
      <c r="X530" t="str">
        <f>VLOOKUP(C530,[1]HIERARCH!$A$2:$B$57,2,0)</f>
        <v xml:space="preserve">OO 5.4.2 : Préserver les ressources en eau en fonction des usages et des bénéfices écosystémiques qu’elles nous rendent  </v>
      </c>
      <c r="Y530" t="str">
        <f t="shared" si="25"/>
        <v>Dans les potagers sous gestion de Bruxelles Environnement, étudier au regard des contraintes éventuelles (enjeux paysage…</v>
      </c>
    </row>
    <row r="531" spans="1:25" hidden="1" x14ac:dyDescent="0.25">
      <c r="A531" s="249" t="str">
        <f t="shared" si="26"/>
        <v>5</v>
      </c>
      <c r="B531" s="249" t="str">
        <f>VLOOKUP($D531,'[4]1. Mesures'!$A$2:$G$116,6,0)</f>
        <v>OS 5.4</v>
      </c>
      <c r="C531" s="249" t="str">
        <f>VLOOKUP($D531,'[4]1. Mesures'!$A$2:$G$116,7,0)</f>
        <v>OO 5.4.2</v>
      </c>
      <c r="D531" s="249" t="str">
        <f t="shared" si="27"/>
        <v>M 5.22</v>
      </c>
      <c r="E531" s="250" t="s">
        <v>1077</v>
      </c>
      <c r="F531" s="249" t="str">
        <f>VLOOKUP(E531,'5.2 Actions'!$A$3:$B$720,2,0)</f>
        <v>Lors de projet d’urbanisation ou de revitalisation urbaine, analyser systématiquement la possibilité de répondre aux besoins en eau de l’agriculture urbaine à proximité via la récupération d’eaux de toitures (convention pour alimenter les potagers)</v>
      </c>
      <c r="G531" s="251">
        <f>VLOOKUP(E531,'[4]5.2 Actions'!$A$3:$D$718,4,0)</f>
        <v>0</v>
      </c>
      <c r="H531" s="252">
        <f>VLOOKUP($E531,'5.1 Budget'!$A$4:$H$729,2,0)</f>
        <v>0</v>
      </c>
      <c r="I531" s="252">
        <f>VLOOKUP($E531,'5.1 Budget'!$A$4:$H$729,3,0)</f>
        <v>0</v>
      </c>
      <c r="J531" s="252">
        <f>VLOOKUP($E531,'5.1 Budget'!$A$4:$H$729,4,0)</f>
        <v>0</v>
      </c>
      <c r="K531" s="252">
        <f>VLOOKUP($E531,'5.1 Budget'!$A$4:$H$729,5,0)</f>
        <v>0</v>
      </c>
      <c r="L531" s="252">
        <f>VLOOKUP($E531,'5.1 Budget'!$A$4:$H$729,6,0)</f>
        <v>0</v>
      </c>
      <c r="M531" s="252">
        <f>VLOOKUP($E531,'5.1 Budget'!$A$4:$H$729,7,0)</f>
        <v>0</v>
      </c>
      <c r="N531" s="252">
        <f>VLOOKUP($E531,'5.1 Budget'!$A$4:$H$729,8,0)</f>
        <v>0</v>
      </c>
      <c r="V531" t="str">
        <f>VLOOKUP(D531,'[4]1. Mesures'!$A$1:$B$116,2,0)</f>
        <v>Garantir une utilisation rationnelle de l’eau dans l’agriculture urbaine, optimiser l’arrosage et privilégier des sources d’approvisionnement en eau alternatives à l’eau potable</v>
      </c>
      <c r="W531" t="str">
        <f>VLOOKUP(B531,[1]HIERARCH!$A$1:$B$57,2,0)</f>
        <v>OS 5.4 : Diminuer la vulnérabilité des habitants et du territoire face aux épisodes de sécheresse</v>
      </c>
      <c r="X531" t="str">
        <f>VLOOKUP(C531,[1]HIERARCH!$A$2:$B$57,2,0)</f>
        <v xml:space="preserve">OO 5.4.2 : Préserver les ressources en eau en fonction des usages et des bénéfices écosystémiques qu’elles nous rendent  </v>
      </c>
      <c r="Y531" t="str">
        <f t="shared" si="25"/>
        <v>Lors de projet d’urbanisation ou de revitalisation urbaine, analyser systématiquement la possibilité de répondre aux bes…</v>
      </c>
    </row>
    <row r="532" spans="1:25" hidden="1" x14ac:dyDescent="0.25">
      <c r="A532" s="249" t="str">
        <f t="shared" si="26"/>
        <v>5</v>
      </c>
      <c r="B532" s="249" t="str">
        <f>VLOOKUP($D532,'[4]1. Mesures'!$A$2:$G$116,6,0)</f>
        <v>OS 5.4</v>
      </c>
      <c r="C532" s="249" t="str">
        <f>VLOOKUP($D532,'[4]1. Mesures'!$A$2:$G$116,7,0)</f>
        <v>OO 5.4.2</v>
      </c>
      <c r="D532" s="249" t="str">
        <f t="shared" si="27"/>
        <v>M 5.22</v>
      </c>
      <c r="E532" s="250" t="s">
        <v>1078</v>
      </c>
      <c r="F532" s="249" t="str">
        <f>VLOOKUP(E532,'5.2 Actions'!$A$3:$B$720,2,0)</f>
        <v>Tous publics :
Développer des lignes directrices permettant d’assurer l’équilibre entre enjeux socio-économiques (continuité d’approvisionnement en eau) et environnementaux (préservation de la ressource) en se basant sur quelques cas d’étude (10 aine)</v>
      </c>
      <c r="G532" s="251">
        <f>VLOOKUP(E532,'[4]5.2 Actions'!$A$3:$D$718,4,0)</f>
        <v>0</v>
      </c>
      <c r="H532" s="252">
        <f>VLOOKUP($E532,'5.1 Budget'!$A$4:$H$729,2,0)</f>
        <v>0</v>
      </c>
      <c r="I532" s="252">
        <f>VLOOKUP($E532,'5.1 Budget'!$A$4:$H$729,3,0)</f>
        <v>0</v>
      </c>
      <c r="J532" s="252">
        <f>VLOOKUP($E532,'5.1 Budget'!$A$4:$H$729,4,0)</f>
        <v>0</v>
      </c>
      <c r="K532" s="252">
        <f>VLOOKUP($E532,'5.1 Budget'!$A$4:$H$729,5,0)</f>
        <v>0</v>
      </c>
      <c r="L532" s="252">
        <f>VLOOKUP($E532,'5.1 Budget'!$A$4:$H$729,6,0)</f>
        <v>0</v>
      </c>
      <c r="M532" s="252">
        <f>VLOOKUP($E532,'5.1 Budget'!$A$4:$H$729,7,0)</f>
        <v>0</v>
      </c>
      <c r="N532" s="252">
        <f>VLOOKUP($E532,'5.1 Budget'!$A$4:$H$729,8,0)</f>
        <v>0</v>
      </c>
      <c r="V532" t="str">
        <f>VLOOKUP(D532,'[4]1. Mesures'!$A$1:$B$116,2,0)</f>
        <v>Garantir une utilisation rationnelle de l’eau dans l’agriculture urbaine, optimiser l’arrosage et privilégier des sources d’approvisionnement en eau alternatives à l’eau potable</v>
      </c>
      <c r="W532" t="str">
        <f>VLOOKUP(B532,[1]HIERARCH!$A$1:$B$57,2,0)</f>
        <v>OS 5.4 : Diminuer la vulnérabilité des habitants et du territoire face aux épisodes de sécheresse</v>
      </c>
      <c r="X532" t="str">
        <f>VLOOKUP(C532,[1]HIERARCH!$A$2:$B$57,2,0)</f>
        <v xml:space="preserve">OO 5.4.2 : Préserver les ressources en eau en fonction des usages et des bénéfices écosystémiques qu’elles nous rendent  </v>
      </c>
      <c r="Y532" t="str">
        <f t="shared" si="25"/>
        <v>Tous publics :
Développer des lignes directrices permettant d’assurer l’équilibre entre enjeux socio-économiques (contin…</v>
      </c>
    </row>
    <row r="533" spans="1:25" hidden="1" x14ac:dyDescent="0.25">
      <c r="A533" s="249" t="str">
        <f t="shared" si="26"/>
        <v>5</v>
      </c>
      <c r="B533" s="249" t="str">
        <f>VLOOKUP($D533,'[4]1. Mesures'!$A$2:$G$116,6,0)</f>
        <v>OS 5.4</v>
      </c>
      <c r="C533" s="249" t="str">
        <f>VLOOKUP($D533,'[4]1. Mesures'!$A$2:$G$116,7,0)</f>
        <v>OO 5.4.2</v>
      </c>
      <c r="D533" s="249" t="str">
        <f t="shared" si="27"/>
        <v>M 5.22</v>
      </c>
      <c r="E533" s="250" t="s">
        <v>1079</v>
      </c>
      <c r="F533" s="249" t="str">
        <f>VLOOKUP(E533,'5.2 Actions'!$A$3:$B$720,2,0)</f>
        <v>Tous publics :
Etudier le coût-bénéfice d’alternatives à l’eau potable aux regards notamment des aspects sanitaires et traitements possibles (eaux grises, eaux d’exhaure, …) et intégrer le cas échéant aux lignes directrices, en coordination avec les instances fédérales (Afsca,…)</v>
      </c>
      <c r="G533" s="251">
        <f>VLOOKUP(E533,'[4]5.2 Actions'!$A$3:$D$718,4,0)</f>
        <v>0</v>
      </c>
      <c r="H533" s="252">
        <f>VLOOKUP($E533,'5.1 Budget'!$A$4:$H$729,2,0)</f>
        <v>0</v>
      </c>
      <c r="I533" s="252">
        <f>VLOOKUP($E533,'5.1 Budget'!$A$4:$H$729,3,0)</f>
        <v>0</v>
      </c>
      <c r="J533" s="252">
        <f>VLOOKUP($E533,'5.1 Budget'!$A$4:$H$729,4,0)</f>
        <v>29000</v>
      </c>
      <c r="K533" s="252">
        <f>VLOOKUP($E533,'5.1 Budget'!$A$4:$H$729,5,0)</f>
        <v>31000</v>
      </c>
      <c r="L533" s="252">
        <f>VLOOKUP($E533,'5.1 Budget'!$A$4:$H$729,6,0)</f>
        <v>0</v>
      </c>
      <c r="M533" s="252">
        <f>VLOOKUP($E533,'5.1 Budget'!$A$4:$H$729,7,0)</f>
        <v>0</v>
      </c>
      <c r="N533" s="252">
        <f>VLOOKUP($E533,'5.1 Budget'!$A$4:$H$729,8,0)</f>
        <v>60000</v>
      </c>
      <c r="V533" t="str">
        <f>VLOOKUP(D533,'[4]1. Mesures'!$A$1:$B$116,2,0)</f>
        <v>Garantir une utilisation rationnelle de l’eau dans l’agriculture urbaine, optimiser l’arrosage et privilégier des sources d’approvisionnement en eau alternatives à l’eau potable</v>
      </c>
      <c r="W533" t="str">
        <f>VLOOKUP(B533,[1]HIERARCH!$A$1:$B$57,2,0)</f>
        <v>OS 5.4 : Diminuer la vulnérabilité des habitants et du territoire face aux épisodes de sécheresse</v>
      </c>
      <c r="X533" t="str">
        <f>VLOOKUP(C533,[1]HIERARCH!$A$2:$B$57,2,0)</f>
        <v xml:space="preserve">OO 5.4.2 : Préserver les ressources en eau en fonction des usages et des bénéfices écosystémiques qu’elles nous rendent  </v>
      </c>
      <c r="Y533" t="str">
        <f t="shared" si="25"/>
        <v>Tous publics :
Etudier le coût-bénéfice d’alternatives à l’eau potable aux regards notamment des aspects sanitaires et t…</v>
      </c>
    </row>
    <row r="534" spans="1:25" hidden="1" x14ac:dyDescent="0.25">
      <c r="A534" s="249" t="str">
        <f t="shared" si="26"/>
        <v>5</v>
      </c>
      <c r="B534" s="249" t="str">
        <f>VLOOKUP($D534,'[4]1. Mesures'!$A$2:$G$116,6,0)</f>
        <v>OS 5.5</v>
      </c>
      <c r="C534" s="249" t="str">
        <f>VLOOKUP($D534,'[4]1. Mesures'!$A$2:$G$116,7,0)</f>
        <v>-</v>
      </c>
      <c r="D534" s="249" t="str">
        <f t="shared" si="27"/>
        <v>M 5.23</v>
      </c>
      <c r="E534" s="250" t="s">
        <v>1080</v>
      </c>
      <c r="F534" s="249" t="str">
        <f>VLOOKUP(E534,'5.2 Actions'!$A$3:$B$720,2,0)</f>
        <v>Mise en place formelle et officielle de la cellule « sécheresse », groupe de travail initialement mis en place pour l’élaboration de ces mesures, en identifiant et attribuant les rôles à chaque intervenant.</v>
      </c>
      <c r="G534" s="251">
        <f>VLOOKUP(E534,'[4]5.2 Actions'!$A$3:$D$718,4,0)</f>
        <v>0</v>
      </c>
      <c r="H534" s="252">
        <f>VLOOKUP($E534,'5.1 Budget'!$A$4:$H$729,2,0)</f>
        <v>0</v>
      </c>
      <c r="I534" s="252">
        <f>VLOOKUP($E534,'5.1 Budget'!$A$4:$H$729,3,0)</f>
        <v>0</v>
      </c>
      <c r="J534" s="252">
        <f>VLOOKUP($E534,'5.1 Budget'!$A$4:$H$729,4,0)</f>
        <v>0</v>
      </c>
      <c r="K534" s="252">
        <f>VLOOKUP($E534,'5.1 Budget'!$A$4:$H$729,5,0)</f>
        <v>0</v>
      </c>
      <c r="L534" s="252">
        <f>VLOOKUP($E534,'5.1 Budget'!$A$4:$H$729,6,0)</f>
        <v>0</v>
      </c>
      <c r="M534" s="252">
        <f>VLOOKUP($E534,'5.1 Budget'!$A$4:$H$729,7,0)</f>
        <v>0</v>
      </c>
      <c r="N534" s="252">
        <f>VLOOKUP($E534,'5.1 Budget'!$A$4:$H$729,8,0)</f>
        <v>0</v>
      </c>
      <c r="V534" t="str">
        <f>VLOOKUP(D534,'[4]1. Mesures'!$A$1:$B$116,2,0)</f>
        <v>Instaurer une cellule « sécheresse » dans le cadre de la plateforme de coordination des opérateurs et acteurs de l’eau afin de coordonner l’action et la communication de la Région en cas de (risque de) crise</v>
      </c>
      <c r="W534" t="str">
        <f>VLOOKUP(B534,[1]HIERARCH!$A$1:$B$57,2,0)</f>
        <v>OS 5.5 : Assurer la gestion de crise</v>
      </c>
      <c r="X534" t="e">
        <f>VLOOKUP(C534,[1]HIERARCH!$A$2:$B$57,2,0)</f>
        <v>#N/A</v>
      </c>
      <c r="Y534" t="str">
        <f t="shared" ref="Y534:Y609" si="28">LEFT(F534,120)&amp;"…"</f>
        <v>Mise en place formelle et officielle de la cellule « sécheresse », groupe de travail initialement mis en place pour l’él…</v>
      </c>
    </row>
    <row r="535" spans="1:25" hidden="1" x14ac:dyDescent="0.25">
      <c r="A535" s="249" t="str">
        <f t="shared" ref="A535:A610" si="29">LEFT(E535,1)</f>
        <v>5</v>
      </c>
      <c r="B535" s="249" t="str">
        <f>VLOOKUP($D535,'[4]1. Mesures'!$A$2:$G$116,6,0)</f>
        <v>OS 5.5</v>
      </c>
      <c r="C535" s="249" t="str">
        <f>VLOOKUP($D535,'[4]1. Mesures'!$A$2:$G$116,7,0)</f>
        <v>-</v>
      </c>
      <c r="D535" s="249" t="str">
        <f t="shared" si="27"/>
        <v>M 5.23</v>
      </c>
      <c r="E535" s="250" t="s">
        <v>1081</v>
      </c>
      <c r="F535" s="249" t="str">
        <f>VLOOKUP(E535,'5.2 Actions'!$A$3:$B$720,2,0)</f>
        <v>Assurer une communication cohérente à travers cette cellule « sécheresse »</v>
      </c>
      <c r="G535" s="251">
        <f>VLOOKUP(E535,'[4]5.2 Actions'!$A$3:$D$718,4,0)</f>
        <v>0</v>
      </c>
      <c r="H535" s="252">
        <f>VLOOKUP($E535,'5.1 Budget'!$A$4:$H$729,2,0)</f>
        <v>0</v>
      </c>
      <c r="I535" s="252">
        <f>VLOOKUP($E535,'5.1 Budget'!$A$4:$H$729,3,0)</f>
        <v>0</v>
      </c>
      <c r="J535" s="252">
        <f>VLOOKUP($E535,'5.1 Budget'!$A$4:$H$729,4,0)</f>
        <v>0</v>
      </c>
      <c r="K535" s="252">
        <f>VLOOKUP($E535,'5.1 Budget'!$A$4:$H$729,5,0)</f>
        <v>0</v>
      </c>
      <c r="L535" s="252">
        <f>VLOOKUP($E535,'5.1 Budget'!$A$4:$H$729,6,0)</f>
        <v>0</v>
      </c>
      <c r="M535" s="252">
        <f>VLOOKUP($E535,'5.1 Budget'!$A$4:$H$729,7,0)</f>
        <v>0</v>
      </c>
      <c r="N535" s="252">
        <f>VLOOKUP($E535,'5.1 Budget'!$A$4:$H$729,8,0)</f>
        <v>0</v>
      </c>
      <c r="V535" t="str">
        <f>VLOOKUP(D535,'[4]1. Mesures'!$A$1:$B$116,2,0)</f>
        <v>Instaurer une cellule « sécheresse » dans le cadre de la plateforme de coordination des opérateurs et acteurs de l’eau afin de coordonner l’action et la communication de la Région en cas de (risque de) crise</v>
      </c>
      <c r="W535" t="str">
        <f>VLOOKUP(B535,[1]HIERARCH!$A$1:$B$57,2,0)</f>
        <v>OS 5.5 : Assurer la gestion de crise</v>
      </c>
      <c r="X535" t="e">
        <f>VLOOKUP(C535,[1]HIERARCH!$A$2:$B$57,2,0)</f>
        <v>#N/A</v>
      </c>
      <c r="Y535" t="str">
        <f t="shared" si="28"/>
        <v>Assurer une communication cohérente à travers cette cellule « sécheresse »…</v>
      </c>
    </row>
    <row r="536" spans="1:25" hidden="1" x14ac:dyDescent="0.25">
      <c r="A536" s="249" t="str">
        <f t="shared" si="29"/>
        <v>5</v>
      </c>
      <c r="B536" s="249" t="str">
        <f>VLOOKUP($D536,'[4]1. Mesures'!$A$2:$G$116,6,0)</f>
        <v>OS 5.5</v>
      </c>
      <c r="C536" s="249" t="str">
        <f>VLOOKUP($D536,'[4]1. Mesures'!$A$2:$G$116,7,0)</f>
        <v>-</v>
      </c>
      <c r="D536" s="249" t="str">
        <f t="shared" si="27"/>
        <v>M 5.24</v>
      </c>
      <c r="E536" s="250" t="s">
        <v>1082</v>
      </c>
      <c r="F536" s="249" t="str">
        <f>VLOOKUP(E536,'5.2 Actions'!$A$3:$B$720,2,0)</f>
        <v>Au sein de la cellule Sécheresse (cf. M 5.23), créer une groupe de travail impliquant les différents acteurs de l’eau, les services météorologiques et les autorités gérant les crises sur le terrain afin de s’accorder sur un indicateur « sécheresse » permettant de déterminer les phases d’alerte</v>
      </c>
      <c r="G536" s="251">
        <f>VLOOKUP(E536,'[4]5.2 Actions'!$A$3:$D$718,4,0)</f>
        <v>0</v>
      </c>
      <c r="H536" s="252">
        <f>VLOOKUP($E536,'5.1 Budget'!$A$4:$H$729,2,0)</f>
        <v>25000</v>
      </c>
      <c r="I536" s="252">
        <f>VLOOKUP($E536,'5.1 Budget'!$A$4:$H$729,3,0)</f>
        <v>25000</v>
      </c>
      <c r="J536" s="252">
        <f>VLOOKUP($E536,'5.1 Budget'!$A$4:$H$729,4,0)</f>
        <v>10000</v>
      </c>
      <c r="K536" s="252">
        <f>VLOOKUP($E536,'5.1 Budget'!$A$4:$H$729,5,0)</f>
        <v>10000</v>
      </c>
      <c r="L536" s="252">
        <f>VLOOKUP($E536,'5.1 Budget'!$A$4:$H$729,6,0)</f>
        <v>10000</v>
      </c>
      <c r="M536" s="252">
        <f>VLOOKUP($E536,'5.1 Budget'!$A$4:$H$729,7,0)</f>
        <v>10000</v>
      </c>
      <c r="N536" s="252">
        <f>VLOOKUP($E536,'5.1 Budget'!$A$4:$H$729,8,0)</f>
        <v>90000</v>
      </c>
      <c r="V536" t="str">
        <f>VLOOKUP(D536,'[4]1. Mesures'!$A$1:$B$116,2,0)</f>
        <v xml:space="preserve">Réaliser et exploiter un système de prédiction et d'alerte en matière d’inondation et de sécheresse  </v>
      </c>
      <c r="W536" t="str">
        <f>VLOOKUP(B536,[1]HIERARCH!$A$1:$B$57,2,0)</f>
        <v>OS 5.5 : Assurer la gestion de crise</v>
      </c>
      <c r="X536" t="e">
        <f>VLOOKUP(C536,[1]HIERARCH!$A$2:$B$57,2,0)</f>
        <v>#N/A</v>
      </c>
      <c r="Y536" t="str">
        <f t="shared" si="28"/>
        <v>Au sein de la cellule Sécheresse (cf. M 5.23), créer une groupe de travail impliquant les différents acteurs de l’eau, l…</v>
      </c>
    </row>
    <row r="537" spans="1:25" hidden="1" x14ac:dyDescent="0.25">
      <c r="A537" s="249" t="str">
        <f t="shared" si="29"/>
        <v>5</v>
      </c>
      <c r="B537" s="249" t="str">
        <f>VLOOKUP($D537,'[4]1. Mesures'!$A$2:$G$116,6,0)</f>
        <v>OS 5.5</v>
      </c>
      <c r="C537" s="249" t="str">
        <f>VLOOKUP($D537,'[4]1. Mesures'!$A$2:$G$116,7,0)</f>
        <v>-</v>
      </c>
      <c r="D537" s="249" t="str">
        <f t="shared" si="27"/>
        <v>M 5.24</v>
      </c>
      <c r="E537" s="250" t="s">
        <v>1083</v>
      </c>
      <c r="F537" s="249" t="str">
        <f>VLOOKUP(E537,'5.2 Actions'!$A$3:$B$720,2,0)</f>
        <v>Mettre en place un premier système d'alerte pour les inondations fluviales. Préalablement, les démarches auprès des autorités flamandes seront entreprises pour établir un partenariat dans le cadre de waterinfo, et adapter le cas échéant le format et le traitement de nos données d’observations et de simulations</v>
      </c>
      <c r="G537" s="251">
        <f>VLOOKUP(E537,'[4]5.2 Actions'!$A$3:$D$718,4,0)</f>
        <v>0</v>
      </c>
      <c r="H537" s="252">
        <f>VLOOKUP($E537,'5.1 Budget'!$A$4:$H$729,2,0)</f>
        <v>25000</v>
      </c>
      <c r="I537" s="252">
        <f>VLOOKUP($E537,'5.1 Budget'!$A$4:$H$729,3,0)</f>
        <v>10000</v>
      </c>
      <c r="J537" s="252">
        <f>VLOOKUP($E537,'5.1 Budget'!$A$4:$H$729,4,0)</f>
        <v>10000</v>
      </c>
      <c r="K537" s="252">
        <f>VLOOKUP($E537,'5.1 Budget'!$A$4:$H$729,5,0)</f>
        <v>10000</v>
      </c>
      <c r="L537" s="252">
        <f>VLOOKUP($E537,'5.1 Budget'!$A$4:$H$729,6,0)</f>
        <v>10000</v>
      </c>
      <c r="M537" s="252">
        <f>VLOOKUP($E537,'5.1 Budget'!$A$4:$H$729,7,0)</f>
        <v>10000</v>
      </c>
      <c r="N537" s="252">
        <f>VLOOKUP($E537,'5.1 Budget'!$A$4:$H$729,8,0)</f>
        <v>75000</v>
      </c>
      <c r="V537" t="str">
        <f>VLOOKUP(D537,'[4]1. Mesures'!$A$1:$B$116,2,0)</f>
        <v xml:space="preserve">Réaliser et exploiter un système de prédiction et d'alerte en matière d’inondation et de sécheresse  </v>
      </c>
      <c r="W537" t="str">
        <f>VLOOKUP(B537,[1]HIERARCH!$A$1:$B$57,2,0)</f>
        <v>OS 5.5 : Assurer la gestion de crise</v>
      </c>
      <c r="X537" t="e">
        <f>VLOOKUP(C537,[1]HIERARCH!$A$2:$B$57,2,0)</f>
        <v>#N/A</v>
      </c>
      <c r="Y537" t="str">
        <f t="shared" si="28"/>
        <v>Mettre en place un premier système d'alerte pour les inondations fluviales. Préalablement, les démarches auprès des auto…</v>
      </c>
    </row>
    <row r="538" spans="1:25" hidden="1" x14ac:dyDescent="0.25">
      <c r="A538" s="249" t="str">
        <f t="shared" si="29"/>
        <v>5</v>
      </c>
      <c r="B538" s="249" t="str">
        <f>VLOOKUP($D538,'[4]1. Mesures'!$A$2:$G$116,6,0)</f>
        <v>OS 5.5</v>
      </c>
      <c r="C538" s="249" t="str">
        <f>VLOOKUP($D538,'[4]1. Mesures'!$A$2:$G$116,7,0)</f>
        <v>-</v>
      </c>
      <c r="D538" s="249" t="str">
        <f t="shared" si="27"/>
        <v>M 5.24</v>
      </c>
      <c r="E538" s="250" t="s">
        <v>1084</v>
      </c>
      <c r="F538" s="249" t="str">
        <f>VLOOKUP(E538,'5.2 Actions'!$A$3:$B$720,2,0)</f>
        <v>Opérationaliser le « nowcasting » orage et le déclenchement de phase d’alerte « sécheresse » sur base de l’indicateur développé et des échanges avec les centre de crise wallon et commission sécheresse de Flandre</v>
      </c>
      <c r="G538" s="251">
        <f>VLOOKUP(E538,'[4]5.2 Actions'!$A$3:$D$718,4,0)</f>
        <v>0</v>
      </c>
      <c r="H538" s="252">
        <f>VLOOKUP($E538,'5.1 Budget'!$A$4:$H$729,2,0)</f>
        <v>25000</v>
      </c>
      <c r="I538" s="252">
        <f>VLOOKUP($E538,'5.1 Budget'!$A$4:$H$729,3,0)</f>
        <v>25000</v>
      </c>
      <c r="J538" s="252">
        <f>VLOOKUP($E538,'5.1 Budget'!$A$4:$H$729,4,0)</f>
        <v>10000</v>
      </c>
      <c r="K538" s="252">
        <f>VLOOKUP($E538,'5.1 Budget'!$A$4:$H$729,5,0)</f>
        <v>10000</v>
      </c>
      <c r="L538" s="252">
        <f>VLOOKUP($E538,'5.1 Budget'!$A$4:$H$729,6,0)</f>
        <v>10000</v>
      </c>
      <c r="M538" s="252">
        <f>VLOOKUP($E538,'5.1 Budget'!$A$4:$H$729,7,0)</f>
        <v>10000</v>
      </c>
      <c r="N538" s="252">
        <f>VLOOKUP($E538,'5.1 Budget'!$A$4:$H$729,8,0)</f>
        <v>90000</v>
      </c>
      <c r="V538" t="str">
        <f>VLOOKUP(D538,'[4]1. Mesures'!$A$1:$B$116,2,0)</f>
        <v xml:space="preserve">Réaliser et exploiter un système de prédiction et d'alerte en matière d’inondation et de sécheresse  </v>
      </c>
      <c r="W538" t="str">
        <f>VLOOKUP(B538,[1]HIERARCH!$A$1:$B$57,2,0)</f>
        <v>OS 5.5 : Assurer la gestion de crise</v>
      </c>
      <c r="X538" t="e">
        <f>VLOOKUP(C538,[1]HIERARCH!$A$2:$B$57,2,0)</f>
        <v>#N/A</v>
      </c>
      <c r="Y538" t="str">
        <f t="shared" si="28"/>
        <v>Opérationaliser le « nowcasting » orage et le déclenchement de phase d’alerte « sécheresse » sur base de l’indicateur dé…</v>
      </c>
    </row>
    <row r="539" spans="1:25" hidden="1" x14ac:dyDescent="0.25">
      <c r="A539" s="249" t="str">
        <f t="shared" si="29"/>
        <v>5</v>
      </c>
      <c r="B539" s="249" t="str">
        <f>VLOOKUP($D539,'[4]1. Mesures'!$A$2:$G$116,6,0)</f>
        <v>OS 5.5</v>
      </c>
      <c r="C539" s="249" t="str">
        <f>VLOOKUP($D539,'[4]1. Mesures'!$A$2:$G$116,7,0)</f>
        <v>-</v>
      </c>
      <c r="D539" s="249" t="str">
        <f t="shared" ref="D539:D577" si="30">"M"&amp;" "&amp;LEFT(E539,4)</f>
        <v>M 5.24</v>
      </c>
      <c r="E539" s="250" t="s">
        <v>1085</v>
      </c>
      <c r="F539" s="249" t="str">
        <f>VLOOKUP(E539,'5.2 Actions'!$A$3:$B$720,2,0)</f>
        <v>Etendre le système d’alerte fluvial en y intégrant les inondations pluviales, sur base de l’expérience acquise avec le système fluvial.</v>
      </c>
      <c r="G539" s="251">
        <f>VLOOKUP(E539,'[4]5.2 Actions'!$A$3:$D$718,4,0)</f>
        <v>0</v>
      </c>
      <c r="H539" s="252">
        <f>VLOOKUP($E539,'5.1 Budget'!$A$4:$H$729,2,0)</f>
        <v>0</v>
      </c>
      <c r="I539" s="252">
        <f>VLOOKUP($E539,'5.1 Budget'!$A$4:$H$729,3,0)</f>
        <v>50000</v>
      </c>
      <c r="J539" s="252">
        <f>VLOOKUP($E539,'5.1 Budget'!$A$4:$H$729,4,0)</f>
        <v>50000</v>
      </c>
      <c r="K539" s="252">
        <f>VLOOKUP($E539,'5.1 Budget'!$A$4:$H$729,5,0)</f>
        <v>10000</v>
      </c>
      <c r="L539" s="252">
        <f>VLOOKUP($E539,'5.1 Budget'!$A$4:$H$729,6,0)</f>
        <v>10000</v>
      </c>
      <c r="M539" s="252">
        <f>VLOOKUP($E539,'5.1 Budget'!$A$4:$H$729,7,0)</f>
        <v>10000</v>
      </c>
      <c r="N539" s="252">
        <f>VLOOKUP($E539,'5.1 Budget'!$A$4:$H$729,8,0)</f>
        <v>130000</v>
      </c>
      <c r="V539" t="str">
        <f>VLOOKUP(D539,'[4]1. Mesures'!$A$1:$B$116,2,0)</f>
        <v xml:space="preserve">Réaliser et exploiter un système de prédiction et d'alerte en matière d’inondation et de sécheresse  </v>
      </c>
      <c r="W539" t="str">
        <f>VLOOKUP(B539,[1]HIERARCH!$A$1:$B$57,2,0)</f>
        <v>OS 5.5 : Assurer la gestion de crise</v>
      </c>
      <c r="X539" t="e">
        <f>VLOOKUP(C539,[1]HIERARCH!$A$2:$B$57,2,0)</f>
        <v>#N/A</v>
      </c>
      <c r="Y539" t="str">
        <f t="shared" si="28"/>
        <v>Etendre le système d’alerte fluvial en y intégrant les inondations pluviales, sur base de l’expérience acquise avec le s…</v>
      </c>
    </row>
    <row r="540" spans="1:25" hidden="1" x14ac:dyDescent="0.25">
      <c r="A540" s="249" t="str">
        <f t="shared" si="29"/>
        <v>5</v>
      </c>
      <c r="B540" s="249" t="str">
        <f>VLOOKUP($D540,'[4]1. Mesures'!$A$2:$G$116,6,0)</f>
        <v>OS 5.5</v>
      </c>
      <c r="C540" s="249" t="str">
        <f>VLOOKUP($D540,'[4]1. Mesures'!$A$2:$G$116,7,0)</f>
        <v>-</v>
      </c>
      <c r="D540" s="249" t="str">
        <f t="shared" si="30"/>
        <v>M 5.24</v>
      </c>
      <c r="E540" s="250" t="s">
        <v>1086</v>
      </c>
      <c r="F540" s="249" t="str">
        <f>VLOOKUP(E540,'5.2 Actions'!$A$3:$B$720,2,0)</f>
        <v>Valoriser le système dans le cadre de la gestion dynamique visant à limiter les déversements d’orage (cf. M 1.9)</v>
      </c>
      <c r="G540" s="251">
        <f>VLOOKUP(E540,'[4]5.2 Actions'!$A$3:$D$718,4,0)</f>
        <v>0</v>
      </c>
      <c r="H540" s="252">
        <f>VLOOKUP($E540,'5.1 Budget'!$A$4:$H$729,2,0)</f>
        <v>0</v>
      </c>
      <c r="I540" s="252">
        <f>VLOOKUP($E540,'5.1 Budget'!$A$4:$H$729,3,0)</f>
        <v>0</v>
      </c>
      <c r="J540" s="252">
        <f>VLOOKUP($E540,'5.1 Budget'!$A$4:$H$729,4,0)</f>
        <v>0</v>
      </c>
      <c r="K540" s="252">
        <f>VLOOKUP($E540,'5.1 Budget'!$A$4:$H$729,5,0)</f>
        <v>0</v>
      </c>
      <c r="L540" s="252">
        <f>VLOOKUP($E540,'5.1 Budget'!$A$4:$H$729,6,0)</f>
        <v>0</v>
      </c>
      <c r="M540" s="252">
        <f>VLOOKUP($E540,'5.1 Budget'!$A$4:$H$729,7,0)</f>
        <v>0</v>
      </c>
      <c r="N540" s="252">
        <f>VLOOKUP($E540,'5.1 Budget'!$A$4:$H$729,8,0)</f>
        <v>0</v>
      </c>
      <c r="V540" t="str">
        <f>VLOOKUP(D540,'[4]1. Mesures'!$A$1:$B$116,2,0)</f>
        <v xml:space="preserve">Réaliser et exploiter un système de prédiction et d'alerte en matière d’inondation et de sécheresse  </v>
      </c>
      <c r="W540" t="str">
        <f>VLOOKUP(B540,[1]HIERARCH!$A$1:$B$57,2,0)</f>
        <v>OS 5.5 : Assurer la gestion de crise</v>
      </c>
      <c r="X540" t="e">
        <f>VLOOKUP(C540,[1]HIERARCH!$A$2:$B$57,2,0)</f>
        <v>#N/A</v>
      </c>
      <c r="Y540" t="str">
        <f t="shared" si="28"/>
        <v>Valoriser le système dans le cadre de la gestion dynamique visant à limiter les déversements d’orage (cf. M 1.9)…</v>
      </c>
    </row>
    <row r="541" spans="1:25" hidden="1" x14ac:dyDescent="0.25">
      <c r="A541" s="249" t="str">
        <f t="shared" si="29"/>
        <v>5</v>
      </c>
      <c r="B541" s="249" t="str">
        <f>VLOOKUP($D541,'[4]1. Mesures'!$A$2:$G$116,6,0)</f>
        <v>OS 5.5</v>
      </c>
      <c r="C541" s="249" t="str">
        <f>VLOOKUP($D541,'[4]1. Mesures'!$A$2:$G$116,7,0)</f>
        <v>-</v>
      </c>
      <c r="D541" s="249" t="str">
        <f t="shared" si="30"/>
        <v>M 5.25</v>
      </c>
      <c r="E541" s="250" t="s">
        <v>1087</v>
      </c>
      <c r="F541" s="249" t="str">
        <f>VLOOKUP(E541,'5.2 Actions'!$A$3:$B$720,2,0)</f>
        <v>Etablir une évaluation de la planification d’intervention d’urgence telle qu’actuellement en vigueur en Région de Bruxelles-Capitale, dresser un état des lieux sur le fonctionnement propre des intervenants (opérateur de l’eau, services d'intervention), les moyens particuliers d'intervention disponibles, les coordonnées des personnes spécifiquement concernées par le risque, et se nourrir des outils existants dans les autres Régions ou mis en place suite aux expériences récentes de gestion de crise.</v>
      </c>
      <c r="G541" s="251">
        <f>VLOOKUP(E541,'[4]5.2 Actions'!$A$3:$D$718,4,0)</f>
        <v>0</v>
      </c>
      <c r="H541" s="252">
        <f>VLOOKUP($E541,'5.1 Budget'!$A$4:$H$729,2,0)</f>
        <v>0</v>
      </c>
      <c r="I541" s="252">
        <f>VLOOKUP($E541,'5.1 Budget'!$A$4:$H$729,3,0)</f>
        <v>0</v>
      </c>
      <c r="J541" s="252">
        <f>VLOOKUP($E541,'5.1 Budget'!$A$4:$H$729,4,0)</f>
        <v>0</v>
      </c>
      <c r="K541" s="252">
        <f>VLOOKUP($E541,'5.1 Budget'!$A$4:$H$729,5,0)</f>
        <v>0</v>
      </c>
      <c r="L541" s="252">
        <f>VLOOKUP($E541,'5.1 Budget'!$A$4:$H$729,6,0)</f>
        <v>0</v>
      </c>
      <c r="M541" s="252">
        <f>VLOOKUP($E541,'5.1 Budget'!$A$4:$H$729,7,0)</f>
        <v>0</v>
      </c>
      <c r="N541" s="252">
        <f>VLOOKUP($E541,'5.1 Budget'!$A$4:$H$729,8,0)</f>
        <v>0</v>
      </c>
      <c r="V541" t="str">
        <f>VLOOKUP(D541,'[4]1. Mesures'!$A$1:$B$116,2,0)</f>
        <v>Etablir et mettre en place un Plan d'Intervention d'Urgence Particulier propre aux  thématiques « inondation » et « sécheresse »</v>
      </c>
      <c r="W541" t="str">
        <f>VLOOKUP(B541,[1]HIERARCH!$A$1:$B$57,2,0)</f>
        <v>OS 5.5 : Assurer la gestion de crise</v>
      </c>
      <c r="X541" t="e">
        <f>VLOOKUP(C541,[1]HIERARCH!$A$2:$B$57,2,0)</f>
        <v>#N/A</v>
      </c>
      <c r="Y541" t="str">
        <f t="shared" si="28"/>
        <v>Etablir une évaluation de la planification d’intervention d’urgence telle qu’actuellement en vigueur en Région de Bruxel…</v>
      </c>
    </row>
    <row r="542" spans="1:25" hidden="1" x14ac:dyDescent="0.25">
      <c r="A542" s="249" t="str">
        <f t="shared" si="29"/>
        <v>5</v>
      </c>
      <c r="B542" s="249" t="str">
        <f>VLOOKUP($D542,'[4]1. Mesures'!$A$2:$G$116,6,0)</f>
        <v>OS 5.5</v>
      </c>
      <c r="C542" s="249" t="str">
        <f>VLOOKUP($D542,'[4]1. Mesures'!$A$2:$G$116,7,0)</f>
        <v>-</v>
      </c>
      <c r="D542" s="249" t="str">
        <f t="shared" si="30"/>
        <v>M 5.25</v>
      </c>
      <c r="E542" s="250" t="s">
        <v>1088</v>
      </c>
      <c r="F542" s="249" t="str">
        <f>VLOOKUP(E542,'5.2 Actions'!$A$3:$B$720,2,0)</f>
        <v>Sur base de l’évaluation, établir une « fiche-réflexe » ou un « schéma d’alerte » qui serait adapté pour une situation de crise (inondation ou sécheresse) comme prémisse au Plan Particulier d’Urgence et d’intervention (PPUI)</v>
      </c>
      <c r="G542" s="251">
        <f>VLOOKUP(E542,'[4]5.2 Actions'!$A$3:$D$718,4,0)</f>
        <v>0</v>
      </c>
      <c r="H542" s="252">
        <f>VLOOKUP($E542,'5.1 Budget'!$A$4:$H$729,2,0)</f>
        <v>0</v>
      </c>
      <c r="I542" s="252">
        <f>VLOOKUP($E542,'5.1 Budget'!$A$4:$H$729,3,0)</f>
        <v>0</v>
      </c>
      <c r="J542" s="252">
        <f>VLOOKUP($E542,'5.1 Budget'!$A$4:$H$729,4,0)</f>
        <v>0</v>
      </c>
      <c r="K542" s="252">
        <f>VLOOKUP($E542,'5.1 Budget'!$A$4:$H$729,5,0)</f>
        <v>0</v>
      </c>
      <c r="L542" s="252">
        <f>VLOOKUP($E542,'5.1 Budget'!$A$4:$H$729,6,0)</f>
        <v>0</v>
      </c>
      <c r="M542" s="252">
        <f>VLOOKUP($E542,'5.1 Budget'!$A$4:$H$729,7,0)</f>
        <v>0</v>
      </c>
      <c r="N542" s="252">
        <f>VLOOKUP($E542,'5.1 Budget'!$A$4:$H$729,8,0)</f>
        <v>0</v>
      </c>
      <c r="V542" t="str">
        <f>VLOOKUP(D542,'[4]1. Mesures'!$A$1:$B$116,2,0)</f>
        <v>Etablir et mettre en place un Plan d'Intervention d'Urgence Particulier propre aux  thématiques « inondation » et « sécheresse »</v>
      </c>
      <c r="W542" t="str">
        <f>VLOOKUP(B542,[1]HIERARCH!$A$1:$B$57,2,0)</f>
        <v>OS 5.5 : Assurer la gestion de crise</v>
      </c>
      <c r="X542" t="e">
        <f>VLOOKUP(C542,[1]HIERARCH!$A$2:$B$57,2,0)</f>
        <v>#N/A</v>
      </c>
      <c r="Y542" t="str">
        <f t="shared" si="28"/>
        <v>Sur base de l’évaluation, établir une « fiche-réflexe » ou un « schéma d’alerte » qui serait adapté pour une situation d…</v>
      </c>
    </row>
    <row r="543" spans="1:25" hidden="1" x14ac:dyDescent="0.25">
      <c r="A543" s="249" t="str">
        <f t="shared" si="29"/>
        <v>5</v>
      </c>
      <c r="B543" s="249" t="str">
        <f>VLOOKUP($D543,'[4]1. Mesures'!$A$2:$G$116,6,0)</f>
        <v>OS 5.5</v>
      </c>
      <c r="C543" s="249" t="str">
        <f>VLOOKUP($D543,'[4]1. Mesures'!$A$2:$G$116,7,0)</f>
        <v>-</v>
      </c>
      <c r="D543" s="249" t="str">
        <f t="shared" si="30"/>
        <v>M 5.25</v>
      </c>
      <c r="E543" s="250" t="s">
        <v>1089</v>
      </c>
      <c r="F543" s="249" t="str">
        <f>VLOOKUP(E543,'5.2 Actions'!$A$3:$B$720,2,0)</f>
        <v>Réaliser un Plan Particulier d'Urgence et d'Intervention consacré au risque spécifique d’inondation et de sécheresse, qui :
-  décrit les risques et détermine les zones de planification d'urgence, distingue les différents scénarios possibles et les procédures d'intervention spécifiques à chacun d’eux, détermine l'organisation de la coordination des opérations et la chaine de commandement sous la direction de BPS;
- détermine les mesures de protection des biens et des personnes (notamment des intervenants), les localisations pouvant être intégrée dans un dispositif opérationnel (établissement d’un poste de commandement opérationnel multidisciplinaire, d’un éventuel poste médical avancé, d’un centre d’accueil pour personnes impliquées, d’un centre d’accueil pour la presse, etc.)d) détermine les procédures d'information des services de secours et de la population.</v>
      </c>
      <c r="G543" s="251">
        <f>VLOOKUP(E543,'[4]5.2 Actions'!$A$3:$D$718,4,0)</f>
        <v>0</v>
      </c>
      <c r="H543" s="252">
        <f>VLOOKUP($E543,'5.1 Budget'!$A$4:$H$729,2,0)</f>
        <v>0</v>
      </c>
      <c r="I543" s="252">
        <f>VLOOKUP($E543,'5.1 Budget'!$A$4:$H$729,3,0)</f>
        <v>0</v>
      </c>
      <c r="J543" s="252">
        <f>VLOOKUP($E543,'5.1 Budget'!$A$4:$H$729,4,0)</f>
        <v>0</v>
      </c>
      <c r="K543" s="252">
        <f>VLOOKUP($E543,'5.1 Budget'!$A$4:$H$729,5,0)</f>
        <v>0</v>
      </c>
      <c r="L543" s="252">
        <f>VLOOKUP($E543,'5.1 Budget'!$A$4:$H$729,6,0)</f>
        <v>0</v>
      </c>
      <c r="M543" s="252">
        <f>VLOOKUP($E543,'5.1 Budget'!$A$4:$H$729,7,0)</f>
        <v>0</v>
      </c>
      <c r="N543" s="252">
        <f>VLOOKUP($E543,'5.1 Budget'!$A$4:$H$729,8,0)</f>
        <v>0</v>
      </c>
      <c r="V543" t="str">
        <f>VLOOKUP(D543,'[4]1. Mesures'!$A$1:$B$116,2,0)</f>
        <v>Etablir et mettre en place un Plan d'Intervention d'Urgence Particulier propre aux  thématiques « inondation » et « sécheresse »</v>
      </c>
      <c r="W543" t="str">
        <f>VLOOKUP(B543,[1]HIERARCH!$A$1:$B$57,2,0)</f>
        <v>OS 5.5 : Assurer la gestion de crise</v>
      </c>
      <c r="X543" t="e">
        <f>VLOOKUP(C543,[1]HIERARCH!$A$2:$B$57,2,0)</f>
        <v>#N/A</v>
      </c>
      <c r="Y543" t="str">
        <f t="shared" si="28"/>
        <v>Réaliser un Plan Particulier d'Urgence et d'Intervention consacré au risque spécifique d’inondation et de sécheresse, qu…</v>
      </c>
    </row>
    <row r="544" spans="1:25" hidden="1" x14ac:dyDescent="0.25">
      <c r="A544" s="249" t="str">
        <f t="shared" si="29"/>
        <v>5</v>
      </c>
      <c r="B544" s="249" t="str">
        <f>VLOOKUP($D544,'[4]1. Mesures'!$A$2:$G$116,6,0)</f>
        <v>OS 5.5</v>
      </c>
      <c r="C544" s="249" t="str">
        <f>VLOOKUP($D544,'[4]1. Mesures'!$A$2:$G$116,7,0)</f>
        <v>-</v>
      </c>
      <c r="D544" s="249" t="str">
        <f t="shared" si="30"/>
        <v>M 5.25</v>
      </c>
      <c r="E544" s="250" t="s">
        <v>1090</v>
      </c>
      <c r="F544" s="249" t="str">
        <f>VLOOKUP(E544,'5.2 Actions'!$A$3:$B$720,2,0)</f>
        <v>Intégrer aux Plans d'Intervention Psychosociale existants la prise en compte spécifique du risque d'inondation et de sécheresse et préparer notamment l'accompagnement psychologique des victimes, ainsi que leur éventuel relogement temporaire (recensement de la population potentiellement concernée, identification des possibilités de relogement et de catering existantes, prise des contacts préalables nécessaires)</v>
      </c>
      <c r="G544" s="251">
        <f>VLOOKUP(E544,'[4]5.2 Actions'!$A$3:$D$718,4,0)</f>
        <v>0</v>
      </c>
      <c r="H544" s="252">
        <f>VLOOKUP($E544,'5.1 Budget'!$A$4:$H$729,2,0)</f>
        <v>0</v>
      </c>
      <c r="I544" s="252">
        <f>VLOOKUP($E544,'5.1 Budget'!$A$4:$H$729,3,0)</f>
        <v>0</v>
      </c>
      <c r="J544" s="252">
        <f>VLOOKUP($E544,'5.1 Budget'!$A$4:$H$729,4,0)</f>
        <v>0</v>
      </c>
      <c r="K544" s="252">
        <f>VLOOKUP($E544,'5.1 Budget'!$A$4:$H$729,5,0)</f>
        <v>0</v>
      </c>
      <c r="L544" s="252">
        <f>VLOOKUP($E544,'5.1 Budget'!$A$4:$H$729,6,0)</f>
        <v>0</v>
      </c>
      <c r="M544" s="252">
        <f>VLOOKUP($E544,'5.1 Budget'!$A$4:$H$729,7,0)</f>
        <v>0</v>
      </c>
      <c r="N544" s="252">
        <f>VLOOKUP($E544,'5.1 Budget'!$A$4:$H$729,8,0)</f>
        <v>0</v>
      </c>
      <c r="V544" t="str">
        <f>VLOOKUP(D544,'[4]1. Mesures'!$A$1:$B$116,2,0)</f>
        <v>Etablir et mettre en place un Plan d'Intervention d'Urgence Particulier propre aux  thématiques « inondation » et « sécheresse »</v>
      </c>
      <c r="W544" t="str">
        <f>VLOOKUP(B544,[1]HIERARCH!$A$1:$B$57,2,0)</f>
        <v>OS 5.5 : Assurer la gestion de crise</v>
      </c>
      <c r="X544" t="e">
        <f>VLOOKUP(C544,[1]HIERARCH!$A$2:$B$57,2,0)</f>
        <v>#N/A</v>
      </c>
      <c r="Y544" t="str">
        <f t="shared" si="28"/>
        <v>Intégrer aux Plans d'Intervention Psychosociale existants la prise en compte spécifique du risque d'inondation et de séc…</v>
      </c>
    </row>
    <row r="545" spans="1:25" hidden="1" x14ac:dyDescent="0.25">
      <c r="A545" s="249" t="str">
        <f t="shared" si="29"/>
        <v>5</v>
      </c>
      <c r="B545" s="249" t="str">
        <f>VLOOKUP($D545,'[4]1. Mesures'!$A$2:$G$116,6,0)</f>
        <v>OS 5.5</v>
      </c>
      <c r="C545" s="249" t="str">
        <f>VLOOKUP($D545,'[4]1. Mesures'!$A$2:$G$116,7,0)</f>
        <v>-</v>
      </c>
      <c r="D545" s="249" t="str">
        <f t="shared" si="30"/>
        <v>M 5.25</v>
      </c>
      <c r="E545" s="250" t="s">
        <v>1091</v>
      </c>
      <c r="F545" s="249" t="str">
        <f>VLOOKUP(E545,'5.2 Actions'!$A$3:$B$720,2,0)</f>
        <v>Organiser à fréquence régulière des exercices spécifiquement consacrés à la problématique des inondations en vue notamment de :
- sensibiliser les participants,
- favoriser et tester la gestion tant mono- que multidisciplinaire de l’intervention portant sur divers aspects tels que la mise en alerte, le commandement, la communication ou encore la coordination,
- améliorer les connaissances, savoir, savoir-faire et savoir être sur le terrain,- connaitre et faire connaitre l’ensemble des acteurs concernés,- rendre chaque intervenant capable de réagir à l’imprévu et de faire face à la situation d’urgence et de stress,- évaluer l’application des différents plans et procédures existants, leur interaction et, le cas échéant, les adapter aux conclusions de l’évaluation consécutive à l'exercice.</v>
      </c>
      <c r="G545" s="251">
        <f>VLOOKUP(E545,'[4]5.2 Actions'!$A$3:$D$718,4,0)</f>
        <v>0</v>
      </c>
      <c r="H545" s="252">
        <f>VLOOKUP($E545,'5.1 Budget'!$A$4:$H$729,2,0)</f>
        <v>0</v>
      </c>
      <c r="I545" s="252">
        <f>VLOOKUP($E545,'5.1 Budget'!$A$4:$H$729,3,0)</f>
        <v>0</v>
      </c>
      <c r="J545" s="252">
        <f>VLOOKUP($E545,'5.1 Budget'!$A$4:$H$729,4,0)</f>
        <v>0</v>
      </c>
      <c r="K545" s="252">
        <f>VLOOKUP($E545,'5.1 Budget'!$A$4:$H$729,5,0)</f>
        <v>0</v>
      </c>
      <c r="L545" s="252">
        <f>VLOOKUP($E545,'5.1 Budget'!$A$4:$H$729,6,0)</f>
        <v>0</v>
      </c>
      <c r="M545" s="252">
        <f>VLOOKUP($E545,'5.1 Budget'!$A$4:$H$729,7,0)</f>
        <v>0</v>
      </c>
      <c r="N545" s="252">
        <f>VLOOKUP($E545,'5.1 Budget'!$A$4:$H$729,8,0)</f>
        <v>0</v>
      </c>
      <c r="V545" t="str">
        <f>VLOOKUP(D545,'[4]1. Mesures'!$A$1:$B$116,2,0)</f>
        <v>Etablir et mettre en place un Plan d'Intervention d'Urgence Particulier propre aux  thématiques « inondation » et « sécheresse »</v>
      </c>
      <c r="W545" t="str">
        <f>VLOOKUP(B545,[1]HIERARCH!$A$1:$B$57,2,0)</f>
        <v>OS 5.5 : Assurer la gestion de crise</v>
      </c>
      <c r="X545" t="e">
        <f>VLOOKUP(C545,[1]HIERARCH!$A$2:$B$57,2,0)</f>
        <v>#N/A</v>
      </c>
      <c r="Y545" t="str">
        <f t="shared" si="28"/>
        <v>Organiser à fréquence régulière des exercices spécifiquement consacrés à la problématique des inondations en vue notamme…</v>
      </c>
    </row>
    <row r="546" spans="1:25" hidden="1" x14ac:dyDescent="0.25">
      <c r="A546" s="249" t="str">
        <f t="shared" si="29"/>
        <v>5</v>
      </c>
      <c r="B546" s="249" t="str">
        <f>VLOOKUP($D546,'[4]1. Mesures'!$A$2:$G$116,6,0)</f>
        <v>OS 5.6</v>
      </c>
      <c r="C546" s="249" t="str">
        <f>VLOOKUP($D546,'[4]1. Mesures'!$A$2:$G$116,7,0)</f>
        <v>OO 5.6.2</v>
      </c>
      <c r="D546" s="249" t="str">
        <f t="shared" si="30"/>
        <v>M 5.26</v>
      </c>
      <c r="E546" s="250" t="s">
        <v>1092</v>
      </c>
      <c r="F546" s="249" t="str">
        <f>VLOOKUP(E546,'5.2 Actions'!$A$3:$B$720,2,0)</f>
        <v>Harmoniser et valider les données ‘quantité’ de Flowbru</v>
      </c>
      <c r="G546" s="251">
        <f>VLOOKUP(E546,'[4]5.2 Actions'!$A$3:$D$718,4,0)</f>
        <v>0</v>
      </c>
      <c r="H546" s="252">
        <f>VLOOKUP($E546,'5.1 Budget'!$A$4:$H$729,2,0)</f>
        <v>25000</v>
      </c>
      <c r="I546" s="252">
        <f>VLOOKUP($E546,'5.1 Budget'!$A$4:$H$729,3,0)</f>
        <v>25000</v>
      </c>
      <c r="J546" s="252">
        <f>VLOOKUP($E546,'5.1 Budget'!$A$4:$H$729,4,0)</f>
        <v>0</v>
      </c>
      <c r="K546" s="252">
        <f>VLOOKUP($E546,'5.1 Budget'!$A$4:$H$729,5,0)</f>
        <v>0</v>
      </c>
      <c r="L546" s="252">
        <f>VLOOKUP($E546,'5.1 Budget'!$A$4:$H$729,6,0)</f>
        <v>0</v>
      </c>
      <c r="M546" s="252">
        <f>VLOOKUP($E546,'5.1 Budget'!$A$4:$H$729,7,0)</f>
        <v>0</v>
      </c>
      <c r="N546" s="252">
        <f>VLOOKUP($E546,'5.1 Budget'!$A$4:$H$729,8,0)</f>
        <v>50000</v>
      </c>
      <c r="V546" t="str">
        <f>VLOOKUP(D546,'[4]1. Mesures'!$A$1:$B$116,2,0)</f>
        <v xml:space="preserve">Modéliser hydrauliquement les axes d’écoulements principaux (cours d’eau, grands collecteurs et leurs bassins d’orage) et leurs interactions pour affiner l’établissement des zones inondables et servir à la gestion dynamique.  </v>
      </c>
      <c r="W546" t="str">
        <f>VLOOKUP(B546,[1]HIERARCH!$A$1:$B$57,2,0)</f>
        <v>OS 5.6 : Informer, sensibiliser et améliorer l'état des connaissances</v>
      </c>
      <c r="X546" t="str">
        <f>VLOOKUP(C546,[1]HIERARCH!$A$2:$B$57,2,0)</f>
        <v>OO 5.6.2 : Mener une politique de recherche visant l’amélioration de la résilience du territoire.</v>
      </c>
      <c r="Y546" t="str">
        <f t="shared" si="28"/>
        <v>Harmoniser et valider les données ‘quantité’ de Flowbru…</v>
      </c>
    </row>
    <row r="547" spans="1:25" hidden="1" x14ac:dyDescent="0.25">
      <c r="A547" s="249" t="str">
        <f t="shared" si="29"/>
        <v>5</v>
      </c>
      <c r="B547" s="249" t="str">
        <f>VLOOKUP($D547,'[4]1. Mesures'!$A$2:$G$116,6,0)</f>
        <v>OS 5.6</v>
      </c>
      <c r="C547" s="249" t="str">
        <f>VLOOKUP($D547,'[4]1. Mesures'!$A$2:$G$116,7,0)</f>
        <v>OO 5.6.2</v>
      </c>
      <c r="D547" s="249" t="str">
        <f t="shared" si="30"/>
        <v>M 5.26</v>
      </c>
      <c r="E547" s="250" t="s">
        <v>1093</v>
      </c>
      <c r="F547" s="249" t="str">
        <f>VLOOKUP(E547,'5.2 Actions'!$A$3:$B$720,2,0)</f>
        <v>Harmoniser les données géométriques des réseaux</v>
      </c>
      <c r="G547" s="251">
        <f>VLOOKUP(E547,'[4]5.2 Actions'!$A$3:$D$718,4,0)</f>
        <v>0</v>
      </c>
      <c r="H547" s="252">
        <f>VLOOKUP($E547,'5.1 Budget'!$A$4:$H$729,2,0)</f>
        <v>10000</v>
      </c>
      <c r="I547" s="252">
        <f>VLOOKUP($E547,'5.1 Budget'!$A$4:$H$729,3,0)</f>
        <v>10000</v>
      </c>
      <c r="J547" s="252">
        <f>VLOOKUP($E547,'5.1 Budget'!$A$4:$H$729,4,0)</f>
        <v>0</v>
      </c>
      <c r="K547" s="252">
        <f>VLOOKUP($E547,'5.1 Budget'!$A$4:$H$729,5,0)</f>
        <v>0</v>
      </c>
      <c r="L547" s="252">
        <f>VLOOKUP($E547,'5.1 Budget'!$A$4:$H$729,6,0)</f>
        <v>0</v>
      </c>
      <c r="M547" s="252">
        <f>VLOOKUP($E547,'5.1 Budget'!$A$4:$H$729,7,0)</f>
        <v>0</v>
      </c>
      <c r="N547" s="252">
        <f>VLOOKUP($E547,'5.1 Budget'!$A$4:$H$729,8,0)</f>
        <v>20000</v>
      </c>
      <c r="V547" t="str">
        <f>VLOOKUP(D547,'[4]1. Mesures'!$A$1:$B$116,2,0)</f>
        <v xml:space="preserve">Modéliser hydrauliquement les axes d’écoulements principaux (cours d’eau, grands collecteurs et leurs bassins d’orage) et leurs interactions pour affiner l’établissement des zones inondables et servir à la gestion dynamique.  </v>
      </c>
      <c r="W547" t="str">
        <f>VLOOKUP(B547,[1]HIERARCH!$A$1:$B$57,2,0)</f>
        <v>OS 5.6 : Informer, sensibiliser et améliorer l'état des connaissances</v>
      </c>
      <c r="X547" t="str">
        <f>VLOOKUP(C547,[1]HIERARCH!$A$2:$B$57,2,0)</f>
        <v>OO 5.6.2 : Mener une politique de recherche visant l’amélioration de la résilience du territoire.</v>
      </c>
      <c r="Y547" t="str">
        <f t="shared" si="28"/>
        <v>Harmoniser les données géométriques des réseaux…</v>
      </c>
    </row>
    <row r="548" spans="1:25" hidden="1" x14ac:dyDescent="0.25">
      <c r="A548" s="249" t="str">
        <f t="shared" si="29"/>
        <v>5</v>
      </c>
      <c r="B548" s="249" t="str">
        <f>VLOOKUP($D548,'[4]1. Mesures'!$A$2:$G$116,6,0)</f>
        <v>OS 5.6</v>
      </c>
      <c r="C548" s="249" t="str">
        <f>VLOOKUP($D548,'[4]1. Mesures'!$A$2:$G$116,7,0)</f>
        <v>OO 5.6.2</v>
      </c>
      <c r="D548" s="249" t="str">
        <f t="shared" si="30"/>
        <v>M 5.26</v>
      </c>
      <c r="E548" s="250" t="s">
        <v>1094</v>
      </c>
      <c r="F548" s="249" t="str">
        <f>VLOOKUP(E548,'5.2 Actions'!$A$3:$B$720,2,0)</f>
        <v>Faire évoluer le GT Carto vers un GT Modélisation, harmoniser les outils de modélisation</v>
      </c>
      <c r="G548" s="251">
        <f>VLOOKUP(E548,'[4]5.2 Actions'!$A$3:$D$718,4,0)</f>
        <v>0</v>
      </c>
      <c r="H548" s="252">
        <f>VLOOKUP($E548,'5.1 Budget'!$A$4:$H$729,2,0)</f>
        <v>0</v>
      </c>
      <c r="I548" s="252">
        <f>VLOOKUP($E548,'5.1 Budget'!$A$4:$H$729,3,0)</f>
        <v>0</v>
      </c>
      <c r="J548" s="252">
        <f>VLOOKUP($E548,'5.1 Budget'!$A$4:$H$729,4,0)</f>
        <v>0</v>
      </c>
      <c r="K548" s="252">
        <f>VLOOKUP($E548,'5.1 Budget'!$A$4:$H$729,5,0)</f>
        <v>0</v>
      </c>
      <c r="L548" s="252">
        <f>VLOOKUP($E548,'5.1 Budget'!$A$4:$H$729,6,0)</f>
        <v>0</v>
      </c>
      <c r="M548" s="252">
        <f>VLOOKUP($E548,'5.1 Budget'!$A$4:$H$729,7,0)</f>
        <v>0</v>
      </c>
      <c r="N548" s="252">
        <f>VLOOKUP($E548,'5.1 Budget'!$A$4:$H$729,8,0)</f>
        <v>0</v>
      </c>
      <c r="V548" t="str">
        <f>VLOOKUP(D548,'[4]1. Mesures'!$A$1:$B$116,2,0)</f>
        <v xml:space="preserve">Modéliser hydrauliquement les axes d’écoulements principaux (cours d’eau, grands collecteurs et leurs bassins d’orage) et leurs interactions pour affiner l’établissement des zones inondables et servir à la gestion dynamique.  </v>
      </c>
      <c r="W548" t="str">
        <f>VLOOKUP(B548,[1]HIERARCH!$A$1:$B$57,2,0)</f>
        <v>OS 5.6 : Informer, sensibiliser et améliorer l'état des connaissances</v>
      </c>
      <c r="X548" t="str">
        <f>VLOOKUP(C548,[1]HIERARCH!$A$2:$B$57,2,0)</f>
        <v>OO 5.6.2 : Mener une politique de recherche visant l’amélioration de la résilience du territoire.</v>
      </c>
      <c r="Y548" t="str">
        <f t="shared" si="28"/>
        <v>Faire évoluer le GT Carto vers un GT Modélisation, harmoniser les outils de modélisation…</v>
      </c>
    </row>
    <row r="549" spans="1:25" hidden="1" x14ac:dyDescent="0.25">
      <c r="A549" s="249" t="str">
        <f t="shared" si="29"/>
        <v>5</v>
      </c>
      <c r="B549" s="249" t="str">
        <f>VLOOKUP($D549,'[4]1. Mesures'!$A$2:$G$116,6,0)</f>
        <v>OS 5.6</v>
      </c>
      <c r="C549" s="249" t="str">
        <f>VLOOKUP($D549,'[4]1. Mesures'!$A$2:$G$116,7,0)</f>
        <v>OO 5.6.2</v>
      </c>
      <c r="D549" s="249" t="str">
        <f t="shared" si="30"/>
        <v>M 5.26</v>
      </c>
      <c r="E549" s="250" t="s">
        <v>1095</v>
      </c>
      <c r="F549" s="249" t="str">
        <f>VLOOKUP(E549,'5.2 Actions'!$A$3:$B$720,2,0)</f>
        <v>Réalisation des modèles hydrauliques interconnectés simplifiés</v>
      </c>
      <c r="G549" s="251">
        <f>VLOOKUP(E549,'[4]5.2 Actions'!$A$3:$D$718,4,0)</f>
        <v>0</v>
      </c>
      <c r="H549" s="252">
        <f>VLOOKUP($E549,'5.1 Budget'!$A$4:$H$729,2,0)</f>
        <v>0</v>
      </c>
      <c r="I549" s="252">
        <f>VLOOKUP($E549,'5.1 Budget'!$A$4:$H$729,3,0)</f>
        <v>50000</v>
      </c>
      <c r="J549" s="252">
        <f>VLOOKUP($E549,'5.1 Budget'!$A$4:$H$729,4,0)</f>
        <v>50000</v>
      </c>
      <c r="K549" s="252">
        <f>VLOOKUP($E549,'5.1 Budget'!$A$4:$H$729,5,0)</f>
        <v>0</v>
      </c>
      <c r="L549" s="252">
        <f>VLOOKUP($E549,'5.1 Budget'!$A$4:$H$729,6,0)</f>
        <v>0</v>
      </c>
      <c r="M549" s="252">
        <f>VLOOKUP($E549,'5.1 Budget'!$A$4:$H$729,7,0)</f>
        <v>0</v>
      </c>
      <c r="N549" s="252">
        <f>VLOOKUP($E549,'5.1 Budget'!$A$4:$H$729,8,0)</f>
        <v>100000</v>
      </c>
      <c r="V549" t="str">
        <f>VLOOKUP(D549,'[4]1. Mesures'!$A$1:$B$116,2,0)</f>
        <v xml:space="preserve">Modéliser hydrauliquement les axes d’écoulements principaux (cours d’eau, grands collecteurs et leurs bassins d’orage) et leurs interactions pour affiner l’établissement des zones inondables et servir à la gestion dynamique.  </v>
      </c>
      <c r="W549" t="str">
        <f>VLOOKUP(B549,[1]HIERARCH!$A$1:$B$57,2,0)</f>
        <v>OS 5.6 : Informer, sensibiliser et améliorer l'état des connaissances</v>
      </c>
      <c r="X549" t="str">
        <f>VLOOKUP(C549,[1]HIERARCH!$A$2:$B$57,2,0)</f>
        <v>OO 5.6.2 : Mener une politique de recherche visant l’amélioration de la résilience du territoire.</v>
      </c>
      <c r="Y549" t="str">
        <f t="shared" si="28"/>
        <v>Réalisation des modèles hydrauliques interconnectés simplifiés…</v>
      </c>
    </row>
    <row r="550" spans="1:25" hidden="1" x14ac:dyDescent="0.25">
      <c r="A550" s="249" t="str">
        <f t="shared" si="29"/>
        <v>5</v>
      </c>
      <c r="B550" s="249" t="str">
        <f>VLOOKUP($D550,'[4]1. Mesures'!$A$2:$G$116,6,0)</f>
        <v>OS 5.6</v>
      </c>
      <c r="C550" s="249" t="str">
        <f>VLOOKUP($D550,'[4]1. Mesures'!$A$2:$G$116,7,0)</f>
        <v>OO 5.6.2</v>
      </c>
      <c r="D550" s="249" t="str">
        <f t="shared" si="30"/>
        <v>M 5.26</v>
      </c>
      <c r="E550" s="250" t="s">
        <v>1096</v>
      </c>
      <c r="F550" s="249" t="str">
        <f>VLOOKUP(E550,'5.2 Actions'!$A$3:$B$720,2,0)</f>
        <v>Réalisation des modèles hydrologiques simplifiés</v>
      </c>
      <c r="G550" s="251">
        <f>VLOOKUP(E550,'[4]5.2 Actions'!$A$3:$D$718,4,0)</f>
        <v>0</v>
      </c>
      <c r="H550" s="252">
        <f>VLOOKUP($E550,'5.1 Budget'!$A$4:$H$729,2,0)</f>
        <v>25000</v>
      </c>
      <c r="I550" s="252">
        <f>VLOOKUP($E550,'5.1 Budget'!$A$4:$H$729,3,0)</f>
        <v>25000</v>
      </c>
      <c r="J550" s="252">
        <f>VLOOKUP($E550,'5.1 Budget'!$A$4:$H$729,4,0)</f>
        <v>0</v>
      </c>
      <c r="K550" s="252">
        <f>VLOOKUP($E550,'5.1 Budget'!$A$4:$H$729,5,0)</f>
        <v>0</v>
      </c>
      <c r="L550" s="252">
        <f>VLOOKUP($E550,'5.1 Budget'!$A$4:$H$729,6,0)</f>
        <v>0</v>
      </c>
      <c r="M550" s="252">
        <f>VLOOKUP($E550,'5.1 Budget'!$A$4:$H$729,7,0)</f>
        <v>0</v>
      </c>
      <c r="N550" s="252">
        <f>VLOOKUP($E550,'5.1 Budget'!$A$4:$H$729,8,0)</f>
        <v>50000</v>
      </c>
      <c r="V550" t="str">
        <f>VLOOKUP(D550,'[4]1. Mesures'!$A$1:$B$116,2,0)</f>
        <v xml:space="preserve">Modéliser hydrauliquement les axes d’écoulements principaux (cours d’eau, grands collecteurs et leurs bassins d’orage) et leurs interactions pour affiner l’établissement des zones inondables et servir à la gestion dynamique.  </v>
      </c>
      <c r="W550" t="str">
        <f>VLOOKUP(B550,[1]HIERARCH!$A$1:$B$57,2,0)</f>
        <v>OS 5.6 : Informer, sensibiliser et améliorer l'état des connaissances</v>
      </c>
      <c r="X550" t="str">
        <f>VLOOKUP(C550,[1]HIERARCH!$A$2:$B$57,2,0)</f>
        <v>OO 5.6.2 : Mener une politique de recherche visant l’amélioration de la résilience du territoire.</v>
      </c>
      <c r="Y550" t="str">
        <f t="shared" si="28"/>
        <v>Réalisation des modèles hydrologiques simplifiés…</v>
      </c>
    </row>
    <row r="551" spans="1:25" hidden="1" x14ac:dyDescent="0.25">
      <c r="A551" s="249" t="str">
        <f t="shared" si="29"/>
        <v>5</v>
      </c>
      <c r="B551" s="249" t="str">
        <f>VLOOKUP($D551,'[4]1. Mesures'!$A$2:$G$116,6,0)</f>
        <v>OS 5.6</v>
      </c>
      <c r="C551" s="249" t="str">
        <f>VLOOKUP($D551,'[4]1. Mesures'!$A$2:$G$116,7,0)</f>
        <v>OO 5.6.2</v>
      </c>
      <c r="D551" s="249" t="str">
        <f t="shared" si="30"/>
        <v>M 5.26</v>
      </c>
      <c r="E551" s="250" t="s">
        <v>1097</v>
      </c>
      <c r="F551" s="249" t="str">
        <f>VLOOKUP(E551,'5.2 Actions'!$A$3:$B$720,2,0)</f>
        <v>Identifier les zones de débordement, améliorer les cartes d’aléa d’inondation pluviale</v>
      </c>
      <c r="G551" s="251">
        <f>VLOOKUP(E551,'[4]5.2 Actions'!$A$3:$D$718,4,0)</f>
        <v>0</v>
      </c>
      <c r="H551" s="252">
        <f>VLOOKUP($E551,'5.1 Budget'!$A$4:$H$729,2,0)</f>
        <v>0</v>
      </c>
      <c r="I551" s="252">
        <f>VLOOKUP($E551,'5.1 Budget'!$A$4:$H$729,3,0)</f>
        <v>0</v>
      </c>
      <c r="J551" s="252">
        <f>VLOOKUP($E551,'5.1 Budget'!$A$4:$H$729,4,0)</f>
        <v>0</v>
      </c>
      <c r="K551" s="252">
        <f>VLOOKUP($E551,'5.1 Budget'!$A$4:$H$729,5,0)</f>
        <v>0</v>
      </c>
      <c r="L551" s="252">
        <f>VLOOKUP($E551,'5.1 Budget'!$A$4:$H$729,6,0)</f>
        <v>0</v>
      </c>
      <c r="M551" s="252">
        <f>VLOOKUP($E551,'5.1 Budget'!$A$4:$H$729,7,0)</f>
        <v>0</v>
      </c>
      <c r="N551" s="252">
        <f>VLOOKUP($E551,'5.1 Budget'!$A$4:$H$729,8,0)</f>
        <v>0</v>
      </c>
      <c r="V551" t="str">
        <f>VLOOKUP(D551,'[4]1. Mesures'!$A$1:$B$116,2,0)</f>
        <v xml:space="preserve">Modéliser hydrauliquement les axes d’écoulements principaux (cours d’eau, grands collecteurs et leurs bassins d’orage) et leurs interactions pour affiner l’établissement des zones inondables et servir à la gestion dynamique.  </v>
      </c>
      <c r="W551" t="str">
        <f>VLOOKUP(B551,[1]HIERARCH!$A$1:$B$57,2,0)</f>
        <v>OS 5.6 : Informer, sensibiliser et améliorer l'état des connaissances</v>
      </c>
      <c r="X551" t="str">
        <f>VLOOKUP(C551,[1]HIERARCH!$A$2:$B$57,2,0)</f>
        <v>OO 5.6.2 : Mener une politique de recherche visant l’amélioration de la résilience du territoire.</v>
      </c>
      <c r="Y551" t="str">
        <f t="shared" si="28"/>
        <v>Identifier les zones de débordement, améliorer les cartes d’aléa d’inondation pluviale…</v>
      </c>
    </row>
    <row r="552" spans="1:25" hidden="1" x14ac:dyDescent="0.25">
      <c r="A552" s="249" t="str">
        <f t="shared" si="29"/>
        <v>5</v>
      </c>
      <c r="B552" s="249" t="str">
        <f>VLOOKUP($D552,'[4]1. Mesures'!$A$2:$G$116,6,0)</f>
        <v>OS 5.6</v>
      </c>
      <c r="C552" s="249" t="str">
        <f>VLOOKUP($D552,'[4]1. Mesures'!$A$2:$G$116,7,0)</f>
        <v>OO 5.6.2</v>
      </c>
      <c r="D552" s="249" t="str">
        <f t="shared" si="30"/>
        <v>M 5.26</v>
      </c>
      <c r="E552" s="250" t="s">
        <v>1098</v>
      </c>
      <c r="F552" s="249" t="str">
        <f>VLOOKUP(E552,'5.2 Actions'!$A$3:$B$720,2,0)</f>
        <v>Analyser virtuellement les scénarios de gestion dynamiques</v>
      </c>
      <c r="G552" s="251">
        <f>VLOOKUP(E552,'[4]5.2 Actions'!$A$3:$D$718,4,0)</f>
        <v>0</v>
      </c>
      <c r="H552" s="252">
        <f>VLOOKUP($E552,'5.1 Budget'!$A$4:$H$729,2,0)</f>
        <v>0</v>
      </c>
      <c r="I552" s="252">
        <f>VLOOKUP($E552,'5.1 Budget'!$A$4:$H$729,3,0)</f>
        <v>0</v>
      </c>
      <c r="J552" s="252">
        <f>VLOOKUP($E552,'5.1 Budget'!$A$4:$H$729,4,0)</f>
        <v>30000</v>
      </c>
      <c r="K552" s="252">
        <f>VLOOKUP($E552,'5.1 Budget'!$A$4:$H$729,5,0)</f>
        <v>0</v>
      </c>
      <c r="L552" s="252">
        <f>VLOOKUP($E552,'5.1 Budget'!$A$4:$H$729,6,0)</f>
        <v>0</v>
      </c>
      <c r="M552" s="252">
        <f>VLOOKUP($E552,'5.1 Budget'!$A$4:$H$729,7,0)</f>
        <v>0</v>
      </c>
      <c r="N552" s="252">
        <f>VLOOKUP($E552,'5.1 Budget'!$A$4:$H$729,8,0)</f>
        <v>30000</v>
      </c>
      <c r="V552" t="str">
        <f>VLOOKUP(D552,'[4]1. Mesures'!$A$1:$B$116,2,0)</f>
        <v xml:space="preserve">Modéliser hydrauliquement les axes d’écoulements principaux (cours d’eau, grands collecteurs et leurs bassins d’orage) et leurs interactions pour affiner l’établissement des zones inondables et servir à la gestion dynamique.  </v>
      </c>
      <c r="W552" t="str">
        <f>VLOOKUP(B552,[1]HIERARCH!$A$1:$B$57,2,0)</f>
        <v>OS 5.6 : Informer, sensibiliser et améliorer l'état des connaissances</v>
      </c>
      <c r="X552" t="str">
        <f>VLOOKUP(C552,[1]HIERARCH!$A$2:$B$57,2,0)</f>
        <v>OO 5.6.2 : Mener une politique de recherche visant l’amélioration de la résilience du territoire.</v>
      </c>
      <c r="Y552" t="str">
        <f t="shared" si="28"/>
        <v>Analyser virtuellement les scénarios de gestion dynamiques…</v>
      </c>
    </row>
    <row r="553" spans="1:25" hidden="1" x14ac:dyDescent="0.25">
      <c r="A553" s="249" t="str">
        <f t="shared" si="29"/>
        <v>5</v>
      </c>
      <c r="B553" s="249" t="str">
        <f>VLOOKUP($D553,'[4]1. Mesures'!$A$2:$G$116,6,0)</f>
        <v>OS 5.6</v>
      </c>
      <c r="C553" s="249" t="str">
        <f>VLOOKUP($D553,'[4]1. Mesures'!$A$2:$G$116,7,0)</f>
        <v>OO 5.6.2</v>
      </c>
      <c r="D553" s="249" t="str">
        <f t="shared" si="30"/>
        <v>M 5.27</v>
      </c>
      <c r="E553" s="250" t="s">
        <v>1099</v>
      </c>
      <c r="F553" s="249" t="str">
        <f>VLOOKUP(E553,'5.2 Actions'!$A$3:$B$720,2,0)</f>
        <v>Optimiser les captages actuellement exploités par VIVAQUA où certaines portions, bien qu’autorisées, sont en décharge permanente à cause d’une grande sensibilité aux évènements pluvieux. Une modernisation de ces captages (avec ou sans traitement selon les cas) permettrait d’adduire des volumes supplémentaires</v>
      </c>
      <c r="G553" s="251">
        <f>VLOOKUP(E553,'[4]5.2 Actions'!$A$3:$D$718,4,0)</f>
        <v>0</v>
      </c>
      <c r="H553" s="252">
        <f>VLOOKUP($E553,'5.1 Budget'!$A$4:$H$729,2,0)</f>
        <v>0</v>
      </c>
      <c r="I553" s="252">
        <f>VLOOKUP($E553,'5.1 Budget'!$A$4:$H$729,3,0)</f>
        <v>0</v>
      </c>
      <c r="J553" s="252">
        <f>VLOOKUP($E553,'5.1 Budget'!$A$4:$H$729,4,0)</f>
        <v>0</v>
      </c>
      <c r="K553" s="252">
        <f>VLOOKUP($E553,'5.1 Budget'!$A$4:$H$729,5,0)</f>
        <v>0</v>
      </c>
      <c r="L553" s="252">
        <f>VLOOKUP($E553,'5.1 Budget'!$A$4:$H$729,6,0)</f>
        <v>0</v>
      </c>
      <c r="M553" s="252">
        <f>VLOOKUP($E553,'5.1 Budget'!$A$4:$H$729,7,0)</f>
        <v>0</v>
      </c>
      <c r="N553" s="252">
        <f>VLOOKUP($E553,'5.1 Budget'!$A$4:$H$729,8,0)</f>
        <v>0</v>
      </c>
      <c r="V553" t="str">
        <f>VLOOKUP(D553,'[4]1. Mesures'!$A$1:$B$116,2,0)</f>
        <v>Poursuivre les recherches sur la disponibilité et l’exploitation possible d’aquifères plus profonds, d’eaux de carrière ou d’autres zones exploitables comme sources d’approvisionnement d’eau potable</v>
      </c>
      <c r="W553" t="str">
        <f>VLOOKUP(B553,[1]HIERARCH!$A$1:$B$57,2,0)</f>
        <v>OS 5.6 : Informer, sensibiliser et améliorer l'état des connaissances</v>
      </c>
      <c r="X553" t="str">
        <f>VLOOKUP(C553,[1]HIERARCH!$A$2:$B$57,2,0)</f>
        <v>OO 5.6.2 : Mener une politique de recherche visant l’amélioration de la résilience du territoire.</v>
      </c>
      <c r="Y553" t="str">
        <f t="shared" si="28"/>
        <v>Optimiser les captages actuellement exploités par VIVAQUA où certaines portions, bien qu’autorisées, sont en décharge pe…</v>
      </c>
    </row>
    <row r="554" spans="1:25" hidden="1" x14ac:dyDescent="0.25">
      <c r="A554" s="249" t="str">
        <f t="shared" si="29"/>
        <v>5</v>
      </c>
      <c r="B554" s="249" t="str">
        <f>VLOOKUP($D554,'[4]1. Mesures'!$A$2:$G$116,6,0)</f>
        <v>OS 5.6</v>
      </c>
      <c r="C554" s="249" t="str">
        <f>VLOOKUP($D554,'[4]1. Mesures'!$A$2:$G$116,7,0)</f>
        <v>OO 5.6.2</v>
      </c>
      <c r="D554" s="249" t="str">
        <f t="shared" si="30"/>
        <v>M 5.27</v>
      </c>
      <c r="E554" s="250" t="s">
        <v>1100</v>
      </c>
      <c r="F554" s="249" t="str">
        <f>VLOOKUP(E554,'5.2 Actions'!$A$3:$B$720,2,0)</f>
        <v>Optimiser les captages actuellement exploités par VIVAQUA où un fonctionnement alternatif est possible moyennant une adaptation des autorisations ou des captages où les autorisations permettent le prélèvement de volumes supplémentaires moyennant de nouvelles installations</v>
      </c>
      <c r="G554" s="251">
        <f>VLOOKUP(E554,'[4]5.2 Actions'!$A$3:$D$718,4,0)</f>
        <v>0</v>
      </c>
      <c r="H554" s="252">
        <f>VLOOKUP($E554,'5.1 Budget'!$A$4:$H$729,2,0)</f>
        <v>0</v>
      </c>
      <c r="I554" s="252">
        <f>VLOOKUP($E554,'5.1 Budget'!$A$4:$H$729,3,0)</f>
        <v>0</v>
      </c>
      <c r="J554" s="252">
        <f>VLOOKUP($E554,'5.1 Budget'!$A$4:$H$729,4,0)</f>
        <v>0</v>
      </c>
      <c r="K554" s="252">
        <f>VLOOKUP($E554,'5.1 Budget'!$A$4:$H$729,5,0)</f>
        <v>0</v>
      </c>
      <c r="L554" s="252">
        <f>VLOOKUP($E554,'5.1 Budget'!$A$4:$H$729,6,0)</f>
        <v>0</v>
      </c>
      <c r="M554" s="252">
        <f>VLOOKUP($E554,'5.1 Budget'!$A$4:$H$729,7,0)</f>
        <v>0</v>
      </c>
      <c r="N554" s="252">
        <f>VLOOKUP($E554,'5.1 Budget'!$A$4:$H$729,8,0)</f>
        <v>0</v>
      </c>
      <c r="V554" t="str">
        <f>VLOOKUP(D554,'[4]1. Mesures'!$A$1:$B$116,2,0)</f>
        <v>Poursuivre les recherches sur la disponibilité et l’exploitation possible d’aquifères plus profonds, d’eaux de carrière ou d’autres zones exploitables comme sources d’approvisionnement d’eau potable</v>
      </c>
      <c r="W554" t="str">
        <f>VLOOKUP(B554,[1]HIERARCH!$A$1:$B$57,2,0)</f>
        <v>OS 5.6 : Informer, sensibiliser et améliorer l'état des connaissances</v>
      </c>
      <c r="X554" t="str">
        <f>VLOOKUP(C554,[1]HIERARCH!$A$2:$B$57,2,0)</f>
        <v>OO 5.6.2 : Mener une politique de recherche visant l’amélioration de la résilience du territoire.</v>
      </c>
      <c r="Y554" t="str">
        <f t="shared" si="28"/>
        <v>Optimiser les captages actuellement exploités par VIVAQUA où un fonctionnement alternatif est possible moyennant une ada…</v>
      </c>
    </row>
    <row r="555" spans="1:25" hidden="1" x14ac:dyDescent="0.25">
      <c r="A555" s="249" t="str">
        <f t="shared" si="29"/>
        <v>5</v>
      </c>
      <c r="B555" s="249" t="str">
        <f>VLOOKUP($D555,'[4]1. Mesures'!$A$2:$G$116,6,0)</f>
        <v>OS 5.6</v>
      </c>
      <c r="C555" s="249" t="str">
        <f>VLOOKUP($D555,'[4]1. Mesures'!$A$2:$G$116,7,0)</f>
        <v>OO 5.6.2</v>
      </c>
      <c r="D555" s="249" t="str">
        <f t="shared" si="30"/>
        <v>M 5.27</v>
      </c>
      <c r="E555" s="250" t="s">
        <v>1101</v>
      </c>
      <c r="F555" s="249" t="str">
        <f>VLOOKUP(E555,'5.2 Actions'!$A$3:$B$720,2,0)</f>
        <v>Réhabiliter les anciens captages ou la mise en adduction des eaux de dalots (des drains construits sous certaines portions des collecteurs d’amenée des eaux et dont les eaux sont mises en décharge) est également une piste que VIVAQUA investigue depuis qu’un monitoring de ces eaux, initié dans le Water Quantity Plan, a montré qu’elles étaient potables ou potabilisables</v>
      </c>
      <c r="G555" s="251">
        <f>VLOOKUP(E555,'[4]5.2 Actions'!$A$3:$D$718,4,0)</f>
        <v>0</v>
      </c>
      <c r="H555" s="252">
        <f>VLOOKUP($E555,'5.1 Budget'!$A$4:$H$729,2,0)</f>
        <v>0</v>
      </c>
      <c r="I555" s="252">
        <f>VLOOKUP($E555,'5.1 Budget'!$A$4:$H$729,3,0)</f>
        <v>0</v>
      </c>
      <c r="J555" s="252">
        <f>VLOOKUP($E555,'5.1 Budget'!$A$4:$H$729,4,0)</f>
        <v>0</v>
      </c>
      <c r="K555" s="252">
        <f>VLOOKUP($E555,'5.1 Budget'!$A$4:$H$729,5,0)</f>
        <v>0</v>
      </c>
      <c r="L555" s="252">
        <f>VLOOKUP($E555,'5.1 Budget'!$A$4:$H$729,6,0)</f>
        <v>0</v>
      </c>
      <c r="M555" s="252">
        <f>VLOOKUP($E555,'5.1 Budget'!$A$4:$H$729,7,0)</f>
        <v>0</v>
      </c>
      <c r="N555" s="252">
        <f>VLOOKUP($E555,'5.1 Budget'!$A$4:$H$729,8,0)</f>
        <v>0</v>
      </c>
      <c r="V555" t="str">
        <f>VLOOKUP(D555,'[4]1. Mesures'!$A$1:$B$116,2,0)</f>
        <v>Poursuivre les recherches sur la disponibilité et l’exploitation possible d’aquifères plus profonds, d’eaux de carrière ou d’autres zones exploitables comme sources d’approvisionnement d’eau potable</v>
      </c>
      <c r="W555" t="str">
        <f>VLOOKUP(B555,[1]HIERARCH!$A$1:$B$57,2,0)</f>
        <v>OS 5.6 : Informer, sensibiliser et améliorer l'état des connaissances</v>
      </c>
      <c r="X555" t="str">
        <f>VLOOKUP(C555,[1]HIERARCH!$A$2:$B$57,2,0)</f>
        <v>OO 5.6.2 : Mener une politique de recherche visant l’amélioration de la résilience du territoire.</v>
      </c>
      <c r="Y555" t="str">
        <f t="shared" si="28"/>
        <v>Réhabiliter les anciens captages ou la mise en adduction des eaux de dalots (des drains construits sous certaines portio…</v>
      </c>
    </row>
    <row r="556" spans="1:25" hidden="1" x14ac:dyDescent="0.25">
      <c r="A556" s="249" t="str">
        <f t="shared" si="29"/>
        <v>5</v>
      </c>
      <c r="B556" s="249" t="str">
        <f>VLOOKUP($D556,'[4]1. Mesures'!$A$2:$G$116,6,0)</f>
        <v>OS 5.6</v>
      </c>
      <c r="C556" s="249" t="str">
        <f>VLOOKUP($D556,'[4]1. Mesures'!$A$2:$G$116,7,0)</f>
        <v>OO 5.6.2</v>
      </c>
      <c r="D556" s="249" t="str">
        <f t="shared" si="30"/>
        <v>M 5.27</v>
      </c>
      <c r="E556" s="250" t="s">
        <v>1102</v>
      </c>
      <c r="F556" s="249" t="str">
        <f>VLOOKUP(E556,'5.2 Actions'!$A$3:$B$720,2,0)</f>
        <v>Valoriser les eaux d’exhaure de carrières, eaux qui sont aujourd’hui rejetées dans les eaux de surface alors qu’elles sont potables ou potabilisables. VIVAQUA étudie d’ores et déjà une piste très concrète</v>
      </c>
      <c r="G556" s="251">
        <f>VLOOKUP(E556,'[4]5.2 Actions'!$A$3:$D$718,4,0)</f>
        <v>0</v>
      </c>
      <c r="H556" s="252">
        <f>VLOOKUP($E556,'5.1 Budget'!$A$4:$H$729,2,0)</f>
        <v>0</v>
      </c>
      <c r="I556" s="252">
        <f>VLOOKUP($E556,'5.1 Budget'!$A$4:$H$729,3,0)</f>
        <v>0</v>
      </c>
      <c r="J556" s="252">
        <f>VLOOKUP($E556,'5.1 Budget'!$A$4:$H$729,4,0)</f>
        <v>0</v>
      </c>
      <c r="K556" s="252">
        <f>VLOOKUP($E556,'5.1 Budget'!$A$4:$H$729,5,0)</f>
        <v>0</v>
      </c>
      <c r="L556" s="252">
        <f>VLOOKUP($E556,'5.1 Budget'!$A$4:$H$729,6,0)</f>
        <v>0</v>
      </c>
      <c r="M556" s="252">
        <f>VLOOKUP($E556,'5.1 Budget'!$A$4:$H$729,7,0)</f>
        <v>0</v>
      </c>
      <c r="N556" s="252">
        <f>VLOOKUP($E556,'5.1 Budget'!$A$4:$H$729,8,0)</f>
        <v>0</v>
      </c>
      <c r="V556" t="str">
        <f>VLOOKUP(D556,'[4]1. Mesures'!$A$1:$B$116,2,0)</f>
        <v>Poursuivre les recherches sur la disponibilité et l’exploitation possible d’aquifères plus profonds, d’eaux de carrière ou d’autres zones exploitables comme sources d’approvisionnement d’eau potable</v>
      </c>
      <c r="W556" t="str">
        <f>VLOOKUP(B556,[1]HIERARCH!$A$1:$B$57,2,0)</f>
        <v>OS 5.6 : Informer, sensibiliser et améliorer l'état des connaissances</v>
      </c>
      <c r="X556" t="str">
        <f>VLOOKUP(C556,[1]HIERARCH!$A$2:$B$57,2,0)</f>
        <v>OO 5.6.2 : Mener une politique de recherche visant l’amélioration de la résilience du territoire.</v>
      </c>
      <c r="Y556" t="str">
        <f t="shared" si="28"/>
        <v>Valoriser les eaux d’exhaure de carrières, eaux qui sont aujourd’hui rejetées dans les eaux de surface alors qu’elles so…</v>
      </c>
    </row>
    <row r="557" spans="1:25" hidden="1" x14ac:dyDescent="0.25">
      <c r="A557" s="249" t="str">
        <f t="shared" si="29"/>
        <v>5</v>
      </c>
      <c r="B557" s="249" t="str">
        <f>VLOOKUP($D557,'[4]1. Mesures'!$A$2:$G$116,6,0)</f>
        <v>OS 5.6</v>
      </c>
      <c r="C557" s="249" t="str">
        <f>VLOOKUP($D557,'[4]1. Mesures'!$A$2:$G$116,7,0)</f>
        <v>OO 5.6.2</v>
      </c>
      <c r="D557" s="249" t="str">
        <f t="shared" si="30"/>
        <v>M 5.27</v>
      </c>
      <c r="E557" s="250" t="s">
        <v>1103</v>
      </c>
      <c r="F557" s="249" t="str">
        <f>VLOOKUP(E557,'5.2 Actions'!$A$3:$B$720,2,0)</f>
        <v>Prospecter de nouveaux sites de captage le long du réseau d’adduction de VIVAQUA, tant pour des besoins d’eau en continu que pour satisfaire à des pics de consommation. Un exemple est l’aquifère du socle paléozoïque présent sous Bruxelles à plus grande profondeur ou dans le Nord Namurois et le Brabant Wallon</v>
      </c>
      <c r="G557" s="251">
        <f>VLOOKUP(E557,'[4]5.2 Actions'!$A$3:$D$718,4,0)</f>
        <v>0</v>
      </c>
      <c r="H557" s="252">
        <f>VLOOKUP($E557,'5.1 Budget'!$A$4:$H$729,2,0)</f>
        <v>0</v>
      </c>
      <c r="I557" s="252">
        <f>VLOOKUP($E557,'5.1 Budget'!$A$4:$H$729,3,0)</f>
        <v>0</v>
      </c>
      <c r="J557" s="252">
        <f>VLOOKUP($E557,'5.1 Budget'!$A$4:$H$729,4,0)</f>
        <v>0</v>
      </c>
      <c r="K557" s="252">
        <f>VLOOKUP($E557,'5.1 Budget'!$A$4:$H$729,5,0)</f>
        <v>0</v>
      </c>
      <c r="L557" s="252">
        <f>VLOOKUP($E557,'5.1 Budget'!$A$4:$H$729,6,0)</f>
        <v>0</v>
      </c>
      <c r="M557" s="252">
        <f>VLOOKUP($E557,'5.1 Budget'!$A$4:$H$729,7,0)</f>
        <v>0</v>
      </c>
      <c r="N557" s="252">
        <f>VLOOKUP($E557,'5.1 Budget'!$A$4:$H$729,8,0)</f>
        <v>0</v>
      </c>
      <c r="V557" t="str">
        <f>VLOOKUP(D557,'[4]1. Mesures'!$A$1:$B$116,2,0)</f>
        <v>Poursuivre les recherches sur la disponibilité et l’exploitation possible d’aquifères plus profonds, d’eaux de carrière ou d’autres zones exploitables comme sources d’approvisionnement d’eau potable</v>
      </c>
      <c r="W557" t="str">
        <f>VLOOKUP(B557,[1]HIERARCH!$A$1:$B$57,2,0)</f>
        <v>OS 5.6 : Informer, sensibiliser et améliorer l'état des connaissances</v>
      </c>
      <c r="X557" t="str">
        <f>VLOOKUP(C557,[1]HIERARCH!$A$2:$B$57,2,0)</f>
        <v>OO 5.6.2 : Mener une politique de recherche visant l’amélioration de la résilience du territoire.</v>
      </c>
      <c r="Y557" t="str">
        <f t="shared" si="28"/>
        <v>Prospecter de nouveaux sites de captage le long du réseau d’adduction de VIVAQUA, tant pour des besoins d’eau en continu…</v>
      </c>
    </row>
    <row r="558" spans="1:25" hidden="1" x14ac:dyDescent="0.25">
      <c r="A558" s="249" t="str">
        <f t="shared" si="29"/>
        <v>5</v>
      </c>
      <c r="B558" s="249" t="str">
        <f>VLOOKUP($D558,'[4]1. Mesures'!$A$2:$G$116,6,0)</f>
        <v>OS 5.6</v>
      </c>
      <c r="C558" s="249" t="str">
        <f>VLOOKUP($D558,'[4]1. Mesures'!$A$2:$G$116,7,0)</f>
        <v>OO 5.6.2</v>
      </c>
      <c r="D558" s="249" t="str">
        <f t="shared" si="30"/>
        <v>M 5.27</v>
      </c>
      <c r="E558" s="250" t="s">
        <v>1104</v>
      </c>
      <c r="F558" s="249" t="str">
        <f>VLOOKUP(E558,'5.2 Actions'!$A$3:$B$720,2,0)</f>
        <v>Mettre en place l’entretien et la régénération des ouvrages de captage au niveau de Bruxelles. La prospection du socle paléozoïque est également une piste envisagée pour le prélèvement ponctuel d’eau potable ou potabilisable lors de pics de consommation.</v>
      </c>
      <c r="G558" s="251">
        <f>VLOOKUP(E558,'[4]5.2 Actions'!$A$3:$D$718,4,0)</f>
        <v>0</v>
      </c>
      <c r="H558" s="252">
        <f>VLOOKUP($E558,'5.1 Budget'!$A$4:$H$729,2,0)</f>
        <v>0</v>
      </c>
      <c r="I558" s="252">
        <f>VLOOKUP($E558,'5.1 Budget'!$A$4:$H$729,3,0)</f>
        <v>0</v>
      </c>
      <c r="J558" s="252">
        <f>VLOOKUP($E558,'5.1 Budget'!$A$4:$H$729,4,0)</f>
        <v>0</v>
      </c>
      <c r="K558" s="252">
        <f>VLOOKUP($E558,'5.1 Budget'!$A$4:$H$729,5,0)</f>
        <v>0</v>
      </c>
      <c r="L558" s="252">
        <f>VLOOKUP($E558,'5.1 Budget'!$A$4:$H$729,6,0)</f>
        <v>0</v>
      </c>
      <c r="M558" s="252">
        <f>VLOOKUP($E558,'5.1 Budget'!$A$4:$H$729,7,0)</f>
        <v>0</v>
      </c>
      <c r="N558" s="252">
        <f>VLOOKUP($E558,'5.1 Budget'!$A$4:$H$729,8,0)</f>
        <v>0</v>
      </c>
      <c r="V558" t="str">
        <f>VLOOKUP(D558,'[4]1. Mesures'!$A$1:$B$116,2,0)</f>
        <v>Poursuivre les recherches sur la disponibilité et l’exploitation possible d’aquifères plus profonds, d’eaux de carrière ou d’autres zones exploitables comme sources d’approvisionnement d’eau potable</v>
      </c>
      <c r="W558" t="str">
        <f>VLOOKUP(B558,[1]HIERARCH!$A$1:$B$57,2,0)</f>
        <v>OS 5.6 : Informer, sensibiliser et améliorer l'état des connaissances</v>
      </c>
      <c r="X558" t="str">
        <f>VLOOKUP(C558,[1]HIERARCH!$A$2:$B$57,2,0)</f>
        <v>OO 5.6.2 : Mener une politique de recherche visant l’amélioration de la résilience du territoire.</v>
      </c>
      <c r="Y558" t="str">
        <f t="shared" si="28"/>
        <v>Mettre en place l’entretien et la régénération des ouvrages de captage au niveau de Bruxelles. La prospection du socle p…</v>
      </c>
    </row>
    <row r="559" spans="1:25" hidden="1" x14ac:dyDescent="0.25">
      <c r="A559" s="249" t="str">
        <f t="shared" si="29"/>
        <v>5</v>
      </c>
      <c r="B559" s="249" t="str">
        <f>VLOOKUP($D559,'[4]1. Mesures'!$A$2:$G$116,6,0)</f>
        <v>OS 5.6</v>
      </c>
      <c r="C559" s="249" t="str">
        <f>VLOOKUP($D559,'[4]1. Mesures'!$A$2:$G$116,7,0)</f>
        <v>OO 5.6.2</v>
      </c>
      <c r="D559" s="249" t="str">
        <f t="shared" si="30"/>
        <v>M 5.28</v>
      </c>
      <c r="E559" s="250" t="s">
        <v>1105</v>
      </c>
      <c r="F559" s="249" t="str">
        <f>VLOOKUP(E559,'5.2 Actions'!$A$3:$B$720,2,0)</f>
        <v>Analyse de l’opportunité de recourir à la recharge artificielle et/ou à des aménagements favorisant l’infiltration des eaux de pluie (à plus large échelle que la GiEP)</v>
      </c>
      <c r="G559" s="251">
        <f>VLOOKUP(E559,'[4]5.2 Actions'!$A$3:$D$718,4,0)</f>
        <v>0</v>
      </c>
      <c r="H559" s="252">
        <f>VLOOKUP($E559,'5.1 Budget'!$A$4:$H$729,2,0)</f>
        <v>0</v>
      </c>
      <c r="I559" s="252">
        <f>VLOOKUP($E559,'5.1 Budget'!$A$4:$H$729,3,0)</f>
        <v>0</v>
      </c>
      <c r="J559" s="252">
        <f>VLOOKUP($E559,'5.1 Budget'!$A$4:$H$729,4,0)</f>
        <v>0</v>
      </c>
      <c r="K559" s="252">
        <f>VLOOKUP($E559,'5.1 Budget'!$A$4:$H$729,5,0)</f>
        <v>0</v>
      </c>
      <c r="L559" s="252">
        <f>VLOOKUP($E559,'5.1 Budget'!$A$4:$H$729,6,0)</f>
        <v>0</v>
      </c>
      <c r="M559" s="252">
        <f>VLOOKUP($E559,'5.1 Budget'!$A$4:$H$729,7,0)</f>
        <v>0</v>
      </c>
      <c r="N559" s="252">
        <f>VLOOKUP($E559,'5.1 Budget'!$A$4:$H$729,8,0)</f>
        <v>0</v>
      </c>
      <c r="V559" t="str">
        <f>VLOOKUP(D559,'[4]1. Mesures'!$A$1:$B$116,2,0)</f>
        <v xml:space="preserve">Analyser les possibilités de stockage dans les aquifères profonds lors de la période de recharge des nappes afin d’augmenter la disponibilité en eau brute </v>
      </c>
      <c r="W559" t="str">
        <f>VLOOKUP(B559,[1]HIERARCH!$A$1:$B$57,2,0)</f>
        <v>OS 5.6 : Informer, sensibiliser et améliorer l'état des connaissances</v>
      </c>
      <c r="X559" t="str">
        <f>VLOOKUP(C559,[1]HIERARCH!$A$2:$B$57,2,0)</f>
        <v>OO 5.6.2 : Mener une politique de recherche visant l’amélioration de la résilience du territoire.</v>
      </c>
      <c r="Y559" t="str">
        <f t="shared" si="28"/>
        <v>Analyse de l’opportunité de recourir à la recharge artificielle et/ou à des aménagements favorisant l’infiltration des e…</v>
      </c>
    </row>
    <row r="560" spans="1:25" hidden="1" x14ac:dyDescent="0.25">
      <c r="A560" s="249" t="str">
        <f t="shared" si="29"/>
        <v>5</v>
      </c>
      <c r="B560" s="249" t="str">
        <f>VLOOKUP($D560,'[4]1. Mesures'!$A$2:$G$116,6,0)</f>
        <v>OS 5.6</v>
      </c>
      <c r="C560" s="249" t="str">
        <f>VLOOKUP($D560,'[4]1. Mesures'!$A$2:$G$116,7,0)</f>
        <v>OO 5.6.2</v>
      </c>
      <c r="D560" s="249" t="str">
        <f t="shared" si="30"/>
        <v>M 5.28</v>
      </c>
      <c r="E560" s="250" t="s">
        <v>1106</v>
      </c>
      <c r="F560" s="249" t="str">
        <f>VLOOKUP(E560,'5.2 Actions'!$A$3:$B$720,2,0)</f>
        <v>Identifier les lieux qui s’y disposent, le cas échéant</v>
      </c>
      <c r="G560" s="251">
        <f>VLOOKUP(E560,'[4]5.2 Actions'!$A$3:$D$718,4,0)</f>
        <v>0</v>
      </c>
      <c r="H560" s="252">
        <f>VLOOKUP($E560,'5.1 Budget'!$A$4:$H$729,2,0)</f>
        <v>0</v>
      </c>
      <c r="I560" s="252">
        <f>VLOOKUP($E560,'5.1 Budget'!$A$4:$H$729,3,0)</f>
        <v>0</v>
      </c>
      <c r="J560" s="252">
        <f>VLOOKUP($E560,'5.1 Budget'!$A$4:$H$729,4,0)</f>
        <v>0</v>
      </c>
      <c r="K560" s="252">
        <f>VLOOKUP($E560,'5.1 Budget'!$A$4:$H$729,5,0)</f>
        <v>0</v>
      </c>
      <c r="L560" s="252">
        <f>VLOOKUP($E560,'5.1 Budget'!$A$4:$H$729,6,0)</f>
        <v>0</v>
      </c>
      <c r="M560" s="252">
        <f>VLOOKUP($E560,'5.1 Budget'!$A$4:$H$729,7,0)</f>
        <v>0</v>
      </c>
      <c r="N560" s="252">
        <f>VLOOKUP($E560,'5.1 Budget'!$A$4:$H$729,8,0)</f>
        <v>0</v>
      </c>
      <c r="V560" t="str">
        <f>VLOOKUP(D560,'[4]1. Mesures'!$A$1:$B$116,2,0)</f>
        <v xml:space="preserve">Analyser les possibilités de stockage dans les aquifères profonds lors de la période de recharge des nappes afin d’augmenter la disponibilité en eau brute </v>
      </c>
      <c r="W560" t="str">
        <f>VLOOKUP(B560,[1]HIERARCH!$A$1:$B$57,2,0)</f>
        <v>OS 5.6 : Informer, sensibiliser et améliorer l'état des connaissances</v>
      </c>
      <c r="X560" t="str">
        <f>VLOOKUP(C560,[1]HIERARCH!$A$2:$B$57,2,0)</f>
        <v>OO 5.6.2 : Mener une politique de recherche visant l’amélioration de la résilience du territoire.</v>
      </c>
      <c r="Y560" t="str">
        <f t="shared" si="28"/>
        <v>Identifier les lieux qui s’y disposent, le cas échéant…</v>
      </c>
    </row>
    <row r="561" spans="1:25" hidden="1" x14ac:dyDescent="0.25">
      <c r="A561" s="249" t="str">
        <f t="shared" si="29"/>
        <v>5</v>
      </c>
      <c r="B561" s="249" t="str">
        <f>VLOOKUP($D561,'[4]1. Mesures'!$A$2:$G$116,6,0)</f>
        <v>OS 5.6</v>
      </c>
      <c r="C561" s="249" t="str">
        <f>VLOOKUP($D561,'[4]1. Mesures'!$A$2:$G$116,7,0)</f>
        <v>OO 5.6.1</v>
      </c>
      <c r="D561" s="249" t="str">
        <f t="shared" si="30"/>
        <v>M 5.29</v>
      </c>
      <c r="E561" s="250" t="s">
        <v>1107</v>
      </c>
      <c r="F561" s="249" t="str">
        <f>VLOOKUP(E561,'5.2 Actions'!$A$3:$B$720,2,0)</f>
        <v>Mener une politique de communication portant sur la culture du risque lié aux inondations et aux épisodes de sécheresse pour la Région via les canaux appropriés.</v>
      </c>
      <c r="G561" s="251">
        <f>VLOOKUP(E561,'[4]5.2 Actions'!$A$3:$D$718,4,0)</f>
        <v>0</v>
      </c>
      <c r="H561" s="252">
        <f>VLOOKUP($E561,'5.1 Budget'!$A$4:$H$729,2,0)</f>
        <v>0</v>
      </c>
      <c r="I561" s="252">
        <f>VLOOKUP($E561,'5.1 Budget'!$A$4:$H$729,3,0)</f>
        <v>0</v>
      </c>
      <c r="J561" s="252">
        <f>VLOOKUP($E561,'5.1 Budget'!$A$4:$H$729,4,0)</f>
        <v>0</v>
      </c>
      <c r="K561" s="252">
        <f>VLOOKUP($E561,'5.1 Budget'!$A$4:$H$729,5,0)</f>
        <v>0</v>
      </c>
      <c r="L561" s="252">
        <f>VLOOKUP($E561,'5.1 Budget'!$A$4:$H$729,6,0)</f>
        <v>0</v>
      </c>
      <c r="M561" s="252">
        <f>VLOOKUP($E561,'5.1 Budget'!$A$4:$H$729,7,0)</f>
        <v>0</v>
      </c>
      <c r="N561" s="252">
        <f>VLOOKUP($E561,'5.1 Budget'!$A$4:$H$729,8,0)</f>
        <v>0</v>
      </c>
      <c r="V561" t="str">
        <f>VLOOKUP(D561,'[4]1. Mesures'!$A$1:$B$116,2,0)</f>
        <v>Mener une politique de communication portant sur le changement climatique et les sujets impactés en lien avec la thématique de l’eau</v>
      </c>
      <c r="W561" t="str">
        <f>VLOOKUP(B561,[1]HIERARCH!$A$1:$B$57,2,0)</f>
        <v>OS 5.6 : Informer, sensibiliser et améliorer l'état des connaissances</v>
      </c>
      <c r="X561" t="str">
        <f>VLOOKUP(C561,[1]HIERARCH!$A$2:$B$57,2,0)</f>
        <v>OO 5.6.1 : Informer et sensibiliser les citoyens à la gestion des risques liés aux inondations et à la sécheresse</v>
      </c>
      <c r="Y561" t="str">
        <f t="shared" si="28"/>
        <v>Mener une politique de communication portant sur la culture du risque lié aux inondations et aux épisodes de sécheresse …</v>
      </c>
    </row>
    <row r="562" spans="1:25" hidden="1" x14ac:dyDescent="0.25">
      <c r="A562" s="249" t="str">
        <f t="shared" si="29"/>
        <v>5</v>
      </c>
      <c r="B562" s="249" t="str">
        <f>VLOOKUP($D562,'[4]1. Mesures'!$A$2:$G$116,6,0)</f>
        <v>OS 5.6</v>
      </c>
      <c r="C562" s="249" t="str">
        <f>VLOOKUP($D562,'[4]1. Mesures'!$A$2:$G$116,7,0)</f>
        <v>OO 5.6.1</v>
      </c>
      <c r="D562" s="249" t="str">
        <f t="shared" si="30"/>
        <v>M 5.29</v>
      </c>
      <c r="E562" s="250" t="s">
        <v>1108</v>
      </c>
      <c r="F562" s="249" t="str">
        <f>VLOOKUP(E562,'5.2 Actions'!$A$3:$B$720,2,0)</f>
        <v>Prévenir et accompagner les personnes sinistrées en cas de survenance d’inondation ou de sécheresse</v>
      </c>
      <c r="G562" s="251">
        <f>VLOOKUP(E562,'[4]5.2 Actions'!$A$3:$D$718,4,0)</f>
        <v>0</v>
      </c>
      <c r="H562" s="252">
        <f>VLOOKUP($E562,'5.1 Budget'!$A$4:$H$729,2,0)</f>
        <v>0</v>
      </c>
      <c r="I562" s="252">
        <f>VLOOKUP($E562,'5.1 Budget'!$A$4:$H$729,3,0)</f>
        <v>0</v>
      </c>
      <c r="J562" s="252">
        <f>VLOOKUP($E562,'5.1 Budget'!$A$4:$H$729,4,0)</f>
        <v>0</v>
      </c>
      <c r="K562" s="252">
        <f>VLOOKUP($E562,'5.1 Budget'!$A$4:$H$729,5,0)</f>
        <v>0</v>
      </c>
      <c r="L562" s="252">
        <f>VLOOKUP($E562,'5.1 Budget'!$A$4:$H$729,6,0)</f>
        <v>0</v>
      </c>
      <c r="M562" s="252">
        <f>VLOOKUP($E562,'5.1 Budget'!$A$4:$H$729,7,0)</f>
        <v>0</v>
      </c>
      <c r="N562" s="252">
        <f>VLOOKUP($E562,'5.1 Budget'!$A$4:$H$729,8,0)</f>
        <v>0</v>
      </c>
      <c r="V562" t="str">
        <f>VLOOKUP(D562,'[4]1. Mesures'!$A$1:$B$116,2,0)</f>
        <v>Mener une politique de communication portant sur le changement climatique et les sujets impactés en lien avec la thématique de l’eau</v>
      </c>
      <c r="W562" t="str">
        <f>VLOOKUP(B562,[1]HIERARCH!$A$1:$B$57,2,0)</f>
        <v>OS 5.6 : Informer, sensibiliser et améliorer l'état des connaissances</v>
      </c>
      <c r="X562" t="str">
        <f>VLOOKUP(C562,[1]HIERARCH!$A$2:$B$57,2,0)</f>
        <v>OO 5.6.1 : Informer et sensibiliser les citoyens à la gestion des risques liés aux inondations et à la sécheresse</v>
      </c>
      <c r="Y562" t="str">
        <f t="shared" si="28"/>
        <v>Prévenir et accompagner les personnes sinistrées en cas de survenance d’inondation ou de sécheresse…</v>
      </c>
    </row>
    <row r="563" spans="1:25" hidden="1" x14ac:dyDescent="0.25">
      <c r="A563" s="249" t="str">
        <f t="shared" si="29"/>
        <v>5</v>
      </c>
      <c r="B563" s="249" t="str">
        <f>VLOOKUP($D563,'[4]1. Mesures'!$A$2:$G$116,6,0)</f>
        <v>OS 5.6</v>
      </c>
      <c r="C563" s="249" t="str">
        <f>VLOOKUP($D563,'[4]1. Mesures'!$A$2:$G$116,7,0)</f>
        <v>OO 5.6.1</v>
      </c>
      <c r="D563" s="249" t="str">
        <f t="shared" si="30"/>
        <v>M 5.29</v>
      </c>
      <c r="E563" s="250" t="s">
        <v>1109</v>
      </c>
      <c r="F563" s="249" t="str">
        <f>VLOOKUP(E563,'5.2 Actions'!$A$3:$B$720,2,0)</f>
        <v>GiEP et mesures de protection 
Proposer des séances de sensibilisation, de partage d’expériences et d’échanges de connaissance sous forme de visites, de conférences ou d’atelier dirigées vers tous les publics professionnels ou privés.</v>
      </c>
      <c r="G563" s="251">
        <f>VLOOKUP(E563,'[4]5.2 Actions'!$A$3:$D$718,4,0)</f>
        <v>0</v>
      </c>
      <c r="H563" s="252">
        <f>VLOOKUP($E563,'5.1 Budget'!$A$4:$H$729,2,0)</f>
        <v>10000</v>
      </c>
      <c r="I563" s="252">
        <f>VLOOKUP($E563,'5.1 Budget'!$A$4:$H$729,3,0)</f>
        <v>10000</v>
      </c>
      <c r="J563" s="252">
        <f>VLOOKUP($E563,'5.1 Budget'!$A$4:$H$729,4,0)</f>
        <v>10000</v>
      </c>
      <c r="K563" s="252">
        <f>VLOOKUP($E563,'5.1 Budget'!$A$4:$H$729,5,0)</f>
        <v>10000</v>
      </c>
      <c r="L563" s="252">
        <f>VLOOKUP($E563,'5.1 Budget'!$A$4:$H$729,6,0)</f>
        <v>10000</v>
      </c>
      <c r="M563" s="252">
        <f>VLOOKUP($E563,'5.1 Budget'!$A$4:$H$729,7,0)</f>
        <v>10000</v>
      </c>
      <c r="N563" s="252">
        <f>VLOOKUP($E563,'5.1 Budget'!$A$4:$H$729,8,0)</f>
        <v>60000</v>
      </c>
      <c r="V563" t="str">
        <f>VLOOKUP(D563,'[4]1. Mesures'!$A$1:$B$116,2,0)</f>
        <v>Mener une politique de communication portant sur le changement climatique et les sujets impactés en lien avec la thématique de l’eau</v>
      </c>
      <c r="W563" t="str">
        <f>VLOOKUP(B563,[1]HIERARCH!$A$1:$B$57,2,0)</f>
        <v>OS 5.6 : Informer, sensibiliser et améliorer l'état des connaissances</v>
      </c>
      <c r="X563" t="str">
        <f>VLOOKUP(C563,[1]HIERARCH!$A$2:$B$57,2,0)</f>
        <v>OO 5.6.1 : Informer et sensibiliser les citoyens à la gestion des risques liés aux inondations et à la sécheresse</v>
      </c>
      <c r="Y563" t="str">
        <f t="shared" si="28"/>
        <v>GiEP et mesures de protection 
Proposer des séances de sensibilisation, de partage d’expériences et d’échanges de connai…</v>
      </c>
    </row>
    <row r="564" spans="1:25" hidden="1" x14ac:dyDescent="0.25">
      <c r="A564" s="249" t="str">
        <f t="shared" si="29"/>
        <v>5</v>
      </c>
      <c r="B564" s="249" t="str">
        <f>VLOOKUP($D564,'[4]1. Mesures'!$A$2:$G$116,6,0)</f>
        <v>OS 5.6</v>
      </c>
      <c r="C564" s="249" t="str">
        <f>VLOOKUP($D564,'[4]1. Mesures'!$A$2:$G$116,7,0)</f>
        <v>OO 5.6.1</v>
      </c>
      <c r="D564" s="249" t="str">
        <f t="shared" si="30"/>
        <v>M 5.29</v>
      </c>
      <c r="E564" s="250" t="s">
        <v>1110</v>
      </c>
      <c r="F564" s="249" t="str">
        <f>VLOOKUP(E564,'5.2 Actions'!$A$3:$B$720,2,0)</f>
        <v>GiEP et mesures de protection
Offrir une gamme de formations adaptées aux différents publics (régionaux, communaux, bâti, espace public, professionnels, sensibilisation, avancés,…). Les formations sont assurées par le Facilitateur Eau (avec sous-traitants selon besoin) et co-organisées soit par le Département Eau, soit par le Service Formation de BE.</v>
      </c>
      <c r="G564" s="251">
        <f>VLOOKUP(E564,'[4]5.2 Actions'!$A$3:$D$718,4,0)</f>
        <v>0</v>
      </c>
      <c r="H564" s="252">
        <f>VLOOKUP($E564,'5.1 Budget'!$A$4:$H$729,2,0)</f>
        <v>30000</v>
      </c>
      <c r="I564" s="252">
        <f>VLOOKUP($E564,'5.1 Budget'!$A$4:$H$729,3,0)</f>
        <v>30000</v>
      </c>
      <c r="J564" s="252">
        <f>VLOOKUP($E564,'5.1 Budget'!$A$4:$H$729,4,0)</f>
        <v>30000</v>
      </c>
      <c r="K564" s="252">
        <f>VLOOKUP($E564,'5.1 Budget'!$A$4:$H$729,5,0)</f>
        <v>30000</v>
      </c>
      <c r="L564" s="252">
        <f>VLOOKUP($E564,'5.1 Budget'!$A$4:$H$729,6,0)</f>
        <v>30000</v>
      </c>
      <c r="M564" s="252">
        <f>VLOOKUP($E564,'5.1 Budget'!$A$4:$H$729,7,0)</f>
        <v>30000</v>
      </c>
      <c r="N564" s="252">
        <f>VLOOKUP($E564,'5.1 Budget'!$A$4:$H$729,8,0)</f>
        <v>180000</v>
      </c>
      <c r="V564" t="str">
        <f>VLOOKUP(D564,'[4]1. Mesures'!$A$1:$B$116,2,0)</f>
        <v>Mener une politique de communication portant sur le changement climatique et les sujets impactés en lien avec la thématique de l’eau</v>
      </c>
      <c r="W564" t="str">
        <f>VLOOKUP(B564,[1]HIERARCH!$A$1:$B$57,2,0)</f>
        <v>OS 5.6 : Informer, sensibiliser et améliorer l'état des connaissances</v>
      </c>
      <c r="X564" t="str">
        <f>VLOOKUP(C564,[1]HIERARCH!$A$2:$B$57,2,0)</f>
        <v>OO 5.6.1 : Informer et sensibiliser les citoyens à la gestion des risques liés aux inondations et à la sécheresse</v>
      </c>
      <c r="Y564" t="str">
        <f t="shared" si="28"/>
        <v>GiEP et mesures de protection
Offrir une gamme de formations adaptées aux différents publics (régionaux, communaux, bâti…</v>
      </c>
    </row>
    <row r="565" spans="1:25" hidden="1" x14ac:dyDescent="0.25">
      <c r="A565" s="249" t="str">
        <f t="shared" si="29"/>
        <v>5</v>
      </c>
      <c r="B565" s="249" t="str">
        <f>VLOOKUP($D565,'[4]1. Mesures'!$A$2:$G$116,6,0)</f>
        <v>OS 5.6</v>
      </c>
      <c r="C565" s="249" t="str">
        <f>VLOOKUP($D565,'[4]1. Mesures'!$A$2:$G$116,7,0)</f>
        <v>OO 5.6.1</v>
      </c>
      <c r="D565" s="249" t="str">
        <f t="shared" si="30"/>
        <v>M 5.29</v>
      </c>
      <c r="E565" s="250" t="s">
        <v>1111</v>
      </c>
      <c r="F565" s="249" t="str">
        <f>VLOOKUP(E565,'5.2 Actions'!$A$3:$B$720,2,0)</f>
        <v>GiEP et mesures de protection
Développer et diffuser du contenu à destination des particuliers en vue de les informer/sensibiliser au mieux sur leur rôle et les actions qui sont entre leurs mains, via tous les canaux de communication de BE mais aussi  via nos partenaires externes dans leurs missions quotidiennes (homegrade.brussels, le Réseau Habitat, associations proches des citoyens,…). Des FAQs seraient également développées dans cet objectif et un canal de communication ad hoc identifié pour répondre de manière personnalisée aux questions plus spécifiques.</v>
      </c>
      <c r="G565" s="251">
        <f>VLOOKUP(E565,'[4]5.2 Actions'!$A$3:$D$718,4,0)</f>
        <v>0</v>
      </c>
      <c r="H565" s="252">
        <f>VLOOKUP($E565,'5.1 Budget'!$A$4:$H$729,2,0)</f>
        <v>0</v>
      </c>
      <c r="I565" s="252">
        <f>VLOOKUP($E565,'5.1 Budget'!$A$4:$H$729,3,0)</f>
        <v>0</v>
      </c>
      <c r="J565" s="252">
        <f>VLOOKUP($E565,'5.1 Budget'!$A$4:$H$729,4,0)</f>
        <v>0</v>
      </c>
      <c r="K565" s="252">
        <f>VLOOKUP($E565,'5.1 Budget'!$A$4:$H$729,5,0)</f>
        <v>0</v>
      </c>
      <c r="L565" s="252">
        <f>VLOOKUP($E565,'5.1 Budget'!$A$4:$H$729,6,0)</f>
        <v>0</v>
      </c>
      <c r="M565" s="252">
        <f>VLOOKUP($E565,'5.1 Budget'!$A$4:$H$729,7,0)</f>
        <v>0</v>
      </c>
      <c r="N565" s="252">
        <f>VLOOKUP($E565,'5.1 Budget'!$A$4:$H$729,8,0)</f>
        <v>0</v>
      </c>
      <c r="V565" t="str">
        <f>VLOOKUP(D565,'[4]1. Mesures'!$A$1:$B$116,2,0)</f>
        <v>Mener une politique de communication portant sur le changement climatique et les sujets impactés en lien avec la thématique de l’eau</v>
      </c>
      <c r="W565" t="str">
        <f>VLOOKUP(B565,[1]HIERARCH!$A$1:$B$57,2,0)</f>
        <v>OS 5.6 : Informer, sensibiliser et améliorer l'état des connaissances</v>
      </c>
      <c r="X565" t="str">
        <f>VLOOKUP(C565,[1]HIERARCH!$A$2:$B$57,2,0)</f>
        <v>OO 5.6.1 : Informer et sensibiliser les citoyens à la gestion des risques liés aux inondations et à la sécheresse</v>
      </c>
      <c r="Y565" t="str">
        <f t="shared" si="28"/>
        <v>GiEP et mesures de protection
Développer et diffuser du contenu à destination des particuliers en vue de les informer/se…</v>
      </c>
    </row>
    <row r="566" spans="1:25" hidden="1" x14ac:dyDescent="0.25">
      <c r="A566" s="249" t="str">
        <f t="shared" si="29"/>
        <v>5</v>
      </c>
      <c r="B566" s="249" t="str">
        <f>VLOOKUP($D566,'[4]1. Mesures'!$A$2:$G$116,6,0)</f>
        <v>OS 5.6</v>
      </c>
      <c r="C566" s="249" t="str">
        <f>VLOOKUP($D566,'[4]1. Mesures'!$A$2:$G$116,7,0)</f>
        <v>OO 5.6.1</v>
      </c>
      <c r="D566" s="249" t="str">
        <f t="shared" si="30"/>
        <v>M 5.29</v>
      </c>
      <c r="E566" s="250" t="s">
        <v>1112</v>
      </c>
      <c r="F566" s="249" t="str">
        <f>VLOOKUP(E566,'5.2 Actions'!$A$3:$B$720,2,0)</f>
        <v>GiEP et mesures de protection
Envoi vers M 5.5 : carte du Maillage Pluie</v>
      </c>
      <c r="G566" s="251">
        <f>VLOOKUP(E566,'[4]5.2 Actions'!$A$3:$D$718,4,0)</f>
        <v>0</v>
      </c>
      <c r="H566" s="252">
        <f>VLOOKUP($E566,'5.1 Budget'!$A$4:$H$729,2,0)</f>
        <v>0</v>
      </c>
      <c r="I566" s="252">
        <f>VLOOKUP($E566,'5.1 Budget'!$A$4:$H$729,3,0)</f>
        <v>0</v>
      </c>
      <c r="J566" s="252">
        <f>VLOOKUP($E566,'5.1 Budget'!$A$4:$H$729,4,0)</f>
        <v>0</v>
      </c>
      <c r="K566" s="252">
        <f>VLOOKUP($E566,'5.1 Budget'!$A$4:$H$729,5,0)</f>
        <v>0</v>
      </c>
      <c r="L566" s="252">
        <f>VLOOKUP($E566,'5.1 Budget'!$A$4:$H$729,6,0)</f>
        <v>0</v>
      </c>
      <c r="M566" s="252">
        <f>VLOOKUP($E566,'5.1 Budget'!$A$4:$H$729,7,0)</f>
        <v>0</v>
      </c>
      <c r="N566" s="252">
        <f>VLOOKUP($E566,'5.1 Budget'!$A$4:$H$729,8,0)</f>
        <v>0</v>
      </c>
      <c r="V566" t="str">
        <f>VLOOKUP(D566,'[4]1. Mesures'!$A$1:$B$116,2,0)</f>
        <v>Mener une politique de communication portant sur le changement climatique et les sujets impactés en lien avec la thématique de l’eau</v>
      </c>
      <c r="W566" t="str">
        <f>VLOOKUP(B566,[1]HIERARCH!$A$1:$B$57,2,0)</f>
        <v>OS 5.6 : Informer, sensibiliser et améliorer l'état des connaissances</v>
      </c>
      <c r="X566" t="str">
        <f>VLOOKUP(C566,[1]HIERARCH!$A$2:$B$57,2,0)</f>
        <v>OO 5.6.1 : Informer et sensibiliser les citoyens à la gestion des risques liés aux inondations et à la sécheresse</v>
      </c>
      <c r="Y566" t="str">
        <f t="shared" si="28"/>
        <v>GiEP et mesures de protection
Envoi vers M 5.5 : carte du Maillage Pluie…</v>
      </c>
    </row>
    <row r="567" spans="1:25" hidden="1" x14ac:dyDescent="0.25">
      <c r="A567" s="249" t="str">
        <f t="shared" si="29"/>
        <v>5</v>
      </c>
      <c r="B567" s="249" t="str">
        <f>VLOOKUP($D567,'[4]1. Mesures'!$A$2:$G$116,6,0)</f>
        <v>OS 5.6</v>
      </c>
      <c r="C567" s="249" t="str">
        <f>VLOOKUP($D567,'[4]1. Mesures'!$A$2:$G$116,7,0)</f>
        <v>OO 5.6.1</v>
      </c>
      <c r="D567" s="249" t="str">
        <f t="shared" si="30"/>
        <v>M 5.29</v>
      </c>
      <c r="E567" s="250" t="s">
        <v>1113</v>
      </c>
      <c r="F567" s="249" t="str">
        <f>VLOOKUP(E567,'5.2 Actions'!$A$3:$B$720,2,0)</f>
        <v>GiEP et mesures de protection
Développer des contenus en commun et intégrer aux outils existants un focus sur des réalisations exemplaires (success-story)  en espaces publics pour les mettre en avant et leur offrir une visibilité plus pérenne</v>
      </c>
      <c r="G567" s="251">
        <f>VLOOKUP(E567,'[4]5.2 Actions'!$A$3:$D$718,4,0)</f>
        <v>0</v>
      </c>
      <c r="H567" s="252">
        <f>VLOOKUP($E567,'5.1 Budget'!$A$4:$H$729,2,0)</f>
        <v>0</v>
      </c>
      <c r="I567" s="252">
        <f>VLOOKUP($E567,'5.1 Budget'!$A$4:$H$729,3,0)</f>
        <v>0</v>
      </c>
      <c r="J567" s="252">
        <f>VLOOKUP($E567,'5.1 Budget'!$A$4:$H$729,4,0)</f>
        <v>0</v>
      </c>
      <c r="K567" s="252">
        <f>VLOOKUP($E567,'5.1 Budget'!$A$4:$H$729,5,0)</f>
        <v>0</v>
      </c>
      <c r="L567" s="252">
        <f>VLOOKUP($E567,'5.1 Budget'!$A$4:$H$729,6,0)</f>
        <v>0</v>
      </c>
      <c r="M567" s="252">
        <f>VLOOKUP($E567,'5.1 Budget'!$A$4:$H$729,7,0)</f>
        <v>0</v>
      </c>
      <c r="N567" s="252">
        <f>VLOOKUP($E567,'5.1 Budget'!$A$4:$H$729,8,0)</f>
        <v>0</v>
      </c>
      <c r="V567" t="str">
        <f>VLOOKUP(D567,'[4]1. Mesures'!$A$1:$B$116,2,0)</f>
        <v>Mener une politique de communication portant sur le changement climatique et les sujets impactés en lien avec la thématique de l’eau</v>
      </c>
      <c r="W567" t="str">
        <f>VLOOKUP(B567,[1]HIERARCH!$A$1:$B$57,2,0)</f>
        <v>OS 5.6 : Informer, sensibiliser et améliorer l'état des connaissances</v>
      </c>
      <c r="X567" t="str">
        <f>VLOOKUP(C567,[1]HIERARCH!$A$2:$B$57,2,0)</f>
        <v>OO 5.6.1 : Informer et sensibiliser les citoyens à la gestion des risques liés aux inondations et à la sécheresse</v>
      </c>
      <c r="Y567" t="str">
        <f t="shared" si="28"/>
        <v>GiEP et mesures de protection
Développer des contenus en commun et intégrer aux outils existants un focus sur des réalis…</v>
      </c>
    </row>
    <row r="568" spans="1:25" hidden="1" x14ac:dyDescent="0.25">
      <c r="A568" s="249" t="str">
        <f t="shared" si="29"/>
        <v>5</v>
      </c>
      <c r="B568" s="249" t="str">
        <f>VLOOKUP($D568,'[4]1. Mesures'!$A$2:$G$116,6,0)</f>
        <v>OS 5.6</v>
      </c>
      <c r="C568" s="249" t="str">
        <f>VLOOKUP($D568,'[4]1. Mesures'!$A$2:$G$116,7,0)</f>
        <v>OO 5.6.1</v>
      </c>
      <c r="D568" s="249" t="str">
        <f t="shared" si="30"/>
        <v>M 5.29</v>
      </c>
      <c r="E568" s="250" t="s">
        <v>1114</v>
      </c>
      <c r="F568" s="249" t="str">
        <f>VLOOKUP(E568,'5.2 Actions'!$A$3:$B$720,2,0)</f>
        <v>Sécheresse
Communiquer sur l’effet d’Îlots de chaleur urbain (ICU) et la manière de limiter localement cet effet</v>
      </c>
      <c r="G568" s="251">
        <f>VLOOKUP(E568,'[4]5.2 Actions'!$A$3:$D$718,4,0)</f>
        <v>0</v>
      </c>
      <c r="H568" s="252">
        <f>VLOOKUP($E568,'5.1 Budget'!$A$4:$H$729,2,0)</f>
        <v>0</v>
      </c>
      <c r="I568" s="252">
        <f>VLOOKUP($E568,'5.1 Budget'!$A$4:$H$729,3,0)</f>
        <v>0</v>
      </c>
      <c r="J568" s="252">
        <f>VLOOKUP($E568,'5.1 Budget'!$A$4:$H$729,4,0)</f>
        <v>0</v>
      </c>
      <c r="K568" s="252">
        <f>VLOOKUP($E568,'5.1 Budget'!$A$4:$H$729,5,0)</f>
        <v>0</v>
      </c>
      <c r="L568" s="252">
        <f>VLOOKUP($E568,'5.1 Budget'!$A$4:$H$729,6,0)</f>
        <v>0</v>
      </c>
      <c r="M568" s="252">
        <f>VLOOKUP($E568,'5.1 Budget'!$A$4:$H$729,7,0)</f>
        <v>0</v>
      </c>
      <c r="N568" s="252">
        <f>VLOOKUP($E568,'5.1 Budget'!$A$4:$H$729,8,0)</f>
        <v>0</v>
      </c>
      <c r="V568" t="str">
        <f>VLOOKUP(D568,'[4]1. Mesures'!$A$1:$B$116,2,0)</f>
        <v>Mener une politique de communication portant sur le changement climatique et les sujets impactés en lien avec la thématique de l’eau</v>
      </c>
      <c r="W568" t="str">
        <f>VLOOKUP(B568,[1]HIERARCH!$A$1:$B$57,2,0)</f>
        <v>OS 5.6 : Informer, sensibiliser et améliorer l'état des connaissances</v>
      </c>
      <c r="X568" t="str">
        <f>VLOOKUP(C568,[1]HIERARCH!$A$2:$B$57,2,0)</f>
        <v>OO 5.6.1 : Informer et sensibiliser les citoyens à la gestion des risques liés aux inondations et à la sécheresse</v>
      </c>
      <c r="Y568" t="str">
        <f t="shared" si="28"/>
        <v>Sécheresse
Communiquer sur l’effet d’Îlots de chaleur urbain (ICU) et la manière de limiter localement cet effet…</v>
      </c>
    </row>
    <row r="569" spans="1:25" hidden="1" x14ac:dyDescent="0.25">
      <c r="A569" s="249" t="str">
        <f t="shared" si="29"/>
        <v>5</v>
      </c>
      <c r="B569" s="249" t="str">
        <f>VLOOKUP($D569,'[4]1. Mesures'!$A$2:$G$116,6,0)</f>
        <v>OS 5.6</v>
      </c>
      <c r="C569" s="249" t="str">
        <f>VLOOKUP($D569,'[4]1. Mesures'!$A$2:$G$116,7,0)</f>
        <v>OO 5.6.1</v>
      </c>
      <c r="D569" s="249" t="str">
        <f t="shared" si="30"/>
        <v>M 5.29</v>
      </c>
      <c r="E569" s="250" t="s">
        <v>1115</v>
      </c>
      <c r="F569" s="249" t="str">
        <f>VLOOKUP(E569,'5.2 Actions'!$A$3:$B$720,2,0)</f>
        <v>Inondation
Conscientiser les habitants sur l’impact favorable de l’adaptation du bâti.</v>
      </c>
      <c r="G569" s="251">
        <f>VLOOKUP(E569,'[4]5.2 Actions'!$A$3:$D$718,4,0)</f>
        <v>0</v>
      </c>
      <c r="H569" s="252">
        <f>VLOOKUP($E569,'5.1 Budget'!$A$4:$H$729,2,0)</f>
        <v>0</v>
      </c>
      <c r="I569" s="252">
        <f>VLOOKUP($E569,'5.1 Budget'!$A$4:$H$729,3,0)</f>
        <v>0</v>
      </c>
      <c r="J569" s="252">
        <f>VLOOKUP($E569,'5.1 Budget'!$A$4:$H$729,4,0)</f>
        <v>0</v>
      </c>
      <c r="K569" s="252">
        <f>VLOOKUP($E569,'5.1 Budget'!$A$4:$H$729,5,0)</f>
        <v>0</v>
      </c>
      <c r="L569" s="252">
        <f>VLOOKUP($E569,'5.1 Budget'!$A$4:$H$729,6,0)</f>
        <v>0</v>
      </c>
      <c r="M569" s="252">
        <f>VLOOKUP($E569,'5.1 Budget'!$A$4:$H$729,7,0)</f>
        <v>0</v>
      </c>
      <c r="N569" s="252">
        <f>VLOOKUP($E569,'5.1 Budget'!$A$4:$H$729,8,0)</f>
        <v>0</v>
      </c>
      <c r="V569" t="str">
        <f>VLOOKUP(D569,'[4]1. Mesures'!$A$1:$B$116,2,0)</f>
        <v>Mener une politique de communication portant sur le changement climatique et les sujets impactés en lien avec la thématique de l’eau</v>
      </c>
      <c r="W569" t="str">
        <f>VLOOKUP(B569,[1]HIERARCH!$A$1:$B$57,2,0)</f>
        <v>OS 5.6 : Informer, sensibiliser et améliorer l'état des connaissances</v>
      </c>
      <c r="X569" t="str">
        <f>VLOOKUP(C569,[1]HIERARCH!$A$2:$B$57,2,0)</f>
        <v>OO 5.6.1 : Informer et sensibiliser les citoyens à la gestion des risques liés aux inondations et à la sécheresse</v>
      </c>
      <c r="Y569" t="str">
        <f t="shared" si="28"/>
        <v>Inondation
Conscientiser les habitants sur l’impact favorable de l’adaptation du bâti.…</v>
      </c>
    </row>
    <row r="570" spans="1:25" hidden="1" x14ac:dyDescent="0.25">
      <c r="A570" s="249" t="str">
        <f t="shared" si="29"/>
        <v>5</v>
      </c>
      <c r="B570" s="249" t="str">
        <f>VLOOKUP($D570,'[4]1. Mesures'!$A$2:$G$116,6,0)</f>
        <v>OS 5.6</v>
      </c>
      <c r="C570" s="249" t="str">
        <f>VLOOKUP($D570,'[4]1. Mesures'!$A$2:$G$116,7,0)</f>
        <v>OO 5.6.2</v>
      </c>
      <c r="D570" s="249" t="str">
        <f t="shared" si="30"/>
        <v>M 5.30</v>
      </c>
      <c r="E570" s="250" t="s">
        <v>1127</v>
      </c>
      <c r="F570" s="249" t="str">
        <f>VLOOKUP(E570,'5.2 Actions'!$A$3:$B$720,2,0)</f>
        <v>Finaliser le projet prioritaire 25 - Water Quantity Plan (phase 2 : 2025-2040)</v>
      </c>
      <c r="G570" s="251">
        <f>VLOOKUP(E570,'[4]5.2 Actions'!$A$3:$D$718,4,0)</f>
        <v>0</v>
      </c>
      <c r="H570" s="252">
        <f>VLOOKUP($E570,'5.1 Budget'!$A$4:$H$729,2,0)</f>
        <v>0</v>
      </c>
      <c r="I570" s="252">
        <f>VLOOKUP($E570,'5.1 Budget'!$A$4:$H$729,3,0)</f>
        <v>0</v>
      </c>
      <c r="J570" s="252">
        <f>VLOOKUP($E570,'5.1 Budget'!$A$4:$H$729,4,0)</f>
        <v>0</v>
      </c>
      <c r="K570" s="252">
        <f>VLOOKUP($E570,'5.1 Budget'!$A$4:$H$729,5,0)</f>
        <v>0</v>
      </c>
      <c r="L570" s="252">
        <f>VLOOKUP($E570,'5.1 Budget'!$A$4:$H$729,6,0)</f>
        <v>0</v>
      </c>
      <c r="M570" s="252">
        <f>VLOOKUP($E570,'5.1 Budget'!$A$4:$H$729,7,0)</f>
        <v>0</v>
      </c>
      <c r="N570" s="252">
        <f>VLOOKUP($E570,'5.1 Budget'!$A$4:$H$729,8,0)</f>
        <v>0</v>
      </c>
      <c r="V570" t="str">
        <f>VLOOKUP(D570,'[4]1. Mesures'!$A$1:$B$116,2,0)</f>
        <v xml:space="preserve">Mener une politique de recherche et développement portant sur les différents sujets destinés à améliorer la résilience de la RBC face au changement climatique </v>
      </c>
      <c r="W570" t="str">
        <f>VLOOKUP(B570,[1]HIERARCH!$A$1:$B$57,2,0)</f>
        <v>OS 5.6 : Informer, sensibiliser et améliorer l'état des connaissances</v>
      </c>
      <c r="X570" t="str">
        <f>VLOOKUP(C570,[1]HIERARCH!$A$2:$B$57,2,0)</f>
        <v>OO 5.6.2 : Mener une politique de recherche visant l’amélioration de la résilience du territoire.</v>
      </c>
      <c r="Y570" t="str">
        <f t="shared" si="28"/>
        <v>Finaliser le projet prioritaire 25 - Water Quantity Plan (phase 2 : 2025-2040)…</v>
      </c>
    </row>
    <row r="571" spans="1:25" hidden="1" x14ac:dyDescent="0.25">
      <c r="A571" s="249" t="str">
        <f t="shared" si="29"/>
        <v>5</v>
      </c>
      <c r="B571" s="249" t="str">
        <f>VLOOKUP($D571,'[4]1. Mesures'!$A$2:$G$116,6,0)</f>
        <v>OS 5.6</v>
      </c>
      <c r="C571" s="249" t="str">
        <f>VLOOKUP($D571,'[4]1. Mesures'!$A$2:$G$116,7,0)</f>
        <v>OO 5.6.2</v>
      </c>
      <c r="D571" s="249" t="str">
        <f t="shared" si="30"/>
        <v>M 5.30</v>
      </c>
      <c r="E571" s="250" t="s">
        <v>1128</v>
      </c>
      <c r="F571" s="249" t="str">
        <f>VLOOKUP(E571,'5.2 Actions'!$A$3:$B$720,2,0)</f>
        <v>Communiquer sur le Water Quantity Plan</v>
      </c>
      <c r="G571" s="251">
        <f>VLOOKUP(E571,'[4]5.2 Actions'!$A$3:$D$718,4,0)</f>
        <v>0</v>
      </c>
      <c r="H571" s="252">
        <f>VLOOKUP($E571,'5.1 Budget'!$A$4:$H$729,2,0)</f>
        <v>0</v>
      </c>
      <c r="I571" s="252">
        <f>VLOOKUP($E571,'5.1 Budget'!$A$4:$H$729,3,0)</f>
        <v>0</v>
      </c>
      <c r="J571" s="252">
        <f>VLOOKUP($E571,'5.1 Budget'!$A$4:$H$729,4,0)</f>
        <v>0</v>
      </c>
      <c r="K571" s="252">
        <f>VLOOKUP($E571,'5.1 Budget'!$A$4:$H$729,5,0)</f>
        <v>0</v>
      </c>
      <c r="L571" s="252">
        <f>VLOOKUP($E571,'5.1 Budget'!$A$4:$H$729,6,0)</f>
        <v>0</v>
      </c>
      <c r="M571" s="252">
        <f>VLOOKUP($E571,'5.1 Budget'!$A$4:$H$729,7,0)</f>
        <v>0</v>
      </c>
      <c r="N571" s="252">
        <f>VLOOKUP($E571,'5.1 Budget'!$A$4:$H$729,8,0)</f>
        <v>0</v>
      </c>
      <c r="V571" t="str">
        <f>VLOOKUP(D571,'[4]1. Mesures'!$A$1:$B$116,2,0)</f>
        <v xml:space="preserve">Mener une politique de recherche et développement portant sur les différents sujets destinés à améliorer la résilience de la RBC face au changement climatique </v>
      </c>
      <c r="W571" t="str">
        <f>VLOOKUP(B571,[1]HIERARCH!$A$1:$B$57,2,0)</f>
        <v>OS 5.6 : Informer, sensibiliser et améliorer l'état des connaissances</v>
      </c>
      <c r="X571" t="str">
        <f>VLOOKUP(C571,[1]HIERARCH!$A$2:$B$57,2,0)</f>
        <v>OO 5.6.2 : Mener une politique de recherche visant l’amélioration de la résilience du territoire.</v>
      </c>
      <c r="Y571" t="str">
        <f t="shared" si="28"/>
        <v>Communiquer sur le Water Quantity Plan…</v>
      </c>
    </row>
    <row r="572" spans="1:25" hidden="1" x14ac:dyDescent="0.25">
      <c r="A572" s="249" t="str">
        <f t="shared" si="29"/>
        <v>5</v>
      </c>
      <c r="B572" s="249" t="str">
        <f>VLOOKUP($D572,'[4]1. Mesures'!$A$2:$G$116,6,0)</f>
        <v>OS 5.6</v>
      </c>
      <c r="C572" s="249" t="str">
        <f>VLOOKUP($D572,'[4]1. Mesures'!$A$2:$G$116,7,0)</f>
        <v>OO 5.6.2</v>
      </c>
      <c r="D572" s="249" t="str">
        <f t="shared" si="30"/>
        <v>M 5.30</v>
      </c>
      <c r="E572" s="250" t="s">
        <v>1129</v>
      </c>
      <c r="F572" s="249" t="str">
        <f>VLOOKUP(E572,'5.2 Actions'!$A$3:$B$720,2,0)</f>
        <v>Assurer une veille scientifique et poursuivre la collecte de données utiles</v>
      </c>
      <c r="G572" s="251">
        <f>VLOOKUP(E572,'[4]5.2 Actions'!$A$3:$D$718,4,0)</f>
        <v>0</v>
      </c>
      <c r="H572" s="252">
        <f>VLOOKUP($E572,'5.1 Budget'!$A$4:$H$729,2,0)</f>
        <v>0</v>
      </c>
      <c r="I572" s="252">
        <f>VLOOKUP($E572,'5.1 Budget'!$A$4:$H$729,3,0)</f>
        <v>0</v>
      </c>
      <c r="J572" s="252">
        <f>VLOOKUP($E572,'5.1 Budget'!$A$4:$H$729,4,0)</f>
        <v>0</v>
      </c>
      <c r="K572" s="252">
        <f>VLOOKUP($E572,'5.1 Budget'!$A$4:$H$729,5,0)</f>
        <v>0</v>
      </c>
      <c r="L572" s="252">
        <f>VLOOKUP($E572,'5.1 Budget'!$A$4:$H$729,6,0)</f>
        <v>0</v>
      </c>
      <c r="M572" s="252">
        <f>VLOOKUP($E572,'5.1 Budget'!$A$4:$H$729,7,0)</f>
        <v>0</v>
      </c>
      <c r="N572" s="252">
        <f>VLOOKUP($E572,'5.1 Budget'!$A$4:$H$729,8,0)</f>
        <v>0</v>
      </c>
      <c r="V572" t="str">
        <f>VLOOKUP(D572,'[4]1. Mesures'!$A$1:$B$116,2,0)</f>
        <v xml:space="preserve">Mener une politique de recherche et développement portant sur les différents sujets destinés à améliorer la résilience de la RBC face au changement climatique </v>
      </c>
      <c r="W572" t="str">
        <f>VLOOKUP(B572,[1]HIERARCH!$A$1:$B$57,2,0)</f>
        <v>OS 5.6 : Informer, sensibiliser et améliorer l'état des connaissances</v>
      </c>
      <c r="X572" t="str">
        <f>VLOOKUP(C572,[1]HIERARCH!$A$2:$B$57,2,0)</f>
        <v>OO 5.6.2 : Mener une politique de recherche visant l’amélioration de la résilience du territoire.</v>
      </c>
      <c r="Y572" t="str">
        <f t="shared" si="28"/>
        <v>Assurer une veille scientifique et poursuivre la collecte de données utiles…</v>
      </c>
    </row>
    <row r="573" spans="1:25" hidden="1" x14ac:dyDescent="0.25">
      <c r="A573" s="249" t="str">
        <f t="shared" si="29"/>
        <v>5</v>
      </c>
      <c r="B573" s="249" t="str">
        <f>VLOOKUP($D573,'[4]1. Mesures'!$A$2:$G$116,6,0)</f>
        <v>OS 5.6</v>
      </c>
      <c r="C573" s="249" t="str">
        <f>VLOOKUP($D573,'[4]1. Mesures'!$A$2:$G$116,7,0)</f>
        <v>OO 5.6.2</v>
      </c>
      <c r="D573" s="249" t="str">
        <f t="shared" si="30"/>
        <v>M 5.30</v>
      </c>
      <c r="E573" s="250" t="s">
        <v>1130</v>
      </c>
      <c r="F573" s="249" t="str">
        <f>VLOOKUP(E573,'5.2 Actions'!$A$3:$B$720,2,0)</f>
        <v>Évaluer (sur base de modélisation et de scénarios climatiques) l’impact du changement climatique sur les eaux souterraines : baisse piézométrique, baisse de débit de la galerie VIVAQUA et de l’alimentation des eaux de surface, impact sur les écosystèmes dépendants des eaux souterraines, incidence sur les usages des eaux souterraines (captages et géothermie)</v>
      </c>
      <c r="G573" s="251">
        <f>VLOOKUP(E573,'[4]5.2 Actions'!$A$3:$D$718,4,0)</f>
        <v>0</v>
      </c>
      <c r="H573" s="252">
        <f>VLOOKUP($E573,'5.1 Budget'!$A$4:$H$729,2,0)</f>
        <v>0</v>
      </c>
      <c r="I573" s="252">
        <f>VLOOKUP($E573,'5.1 Budget'!$A$4:$H$729,3,0)</f>
        <v>0</v>
      </c>
      <c r="J573" s="252">
        <f>VLOOKUP($E573,'5.1 Budget'!$A$4:$H$729,4,0)</f>
        <v>0</v>
      </c>
      <c r="K573" s="252">
        <f>VLOOKUP($E573,'5.1 Budget'!$A$4:$H$729,5,0)</f>
        <v>0</v>
      </c>
      <c r="L573" s="252">
        <f>VLOOKUP($E573,'5.1 Budget'!$A$4:$H$729,6,0)</f>
        <v>0</v>
      </c>
      <c r="M573" s="252">
        <f>VLOOKUP($E573,'5.1 Budget'!$A$4:$H$729,7,0)</f>
        <v>0</v>
      </c>
      <c r="N573" s="252">
        <f>VLOOKUP($E573,'5.1 Budget'!$A$4:$H$729,8,0)</f>
        <v>0</v>
      </c>
      <c r="V573" t="str">
        <f>VLOOKUP(D573,'[4]1. Mesures'!$A$1:$B$116,2,0)</f>
        <v xml:space="preserve">Mener une politique de recherche et développement portant sur les différents sujets destinés à améliorer la résilience de la RBC face au changement climatique </v>
      </c>
      <c r="W573" t="str">
        <f>VLOOKUP(B573,[1]HIERARCH!$A$1:$B$57,2,0)</f>
        <v>OS 5.6 : Informer, sensibiliser et améliorer l'état des connaissances</v>
      </c>
      <c r="X573" t="str">
        <f>VLOOKUP(C573,[1]HIERARCH!$A$2:$B$57,2,0)</f>
        <v>OO 5.6.2 : Mener une politique de recherche visant l’amélioration de la résilience du territoire.</v>
      </c>
      <c r="Y573" t="str">
        <f t="shared" si="28"/>
        <v>Évaluer (sur base de modélisation et de scénarios climatiques) l’impact du changement climatique sur les eaux souterrain…</v>
      </c>
    </row>
    <row r="574" spans="1:25" hidden="1" x14ac:dyDescent="0.25">
      <c r="A574" s="249" t="str">
        <f t="shared" si="29"/>
        <v>5</v>
      </c>
      <c r="B574" s="249" t="str">
        <f>VLOOKUP($D574,'[4]1. Mesures'!$A$2:$G$116,6,0)</f>
        <v>OS 5.6</v>
      </c>
      <c r="C574" s="249" t="str">
        <f>VLOOKUP($D574,'[4]1. Mesures'!$A$2:$G$116,7,0)</f>
        <v>OO 5.6.2</v>
      </c>
      <c r="D574" s="249" t="str">
        <f t="shared" si="30"/>
        <v>M 5.30</v>
      </c>
      <c r="E574" s="250" t="s">
        <v>1131</v>
      </c>
      <c r="F574" s="249" t="str">
        <f>VLOOKUP(E574,'5.2 Actions'!$A$3:$B$720,2,0)</f>
        <v>Evaluer l’impact du changement climatique sur les étangs en termes budgétaire afin de pouvoir anticiper l’ampleur des surcoûts à prévoir</v>
      </c>
      <c r="G574" s="251">
        <f>VLOOKUP(E574,'[4]5.2 Actions'!$A$3:$D$718,4,0)</f>
        <v>0</v>
      </c>
      <c r="H574" s="252">
        <f>VLOOKUP($E574,'5.1 Budget'!$A$4:$H$729,2,0)</f>
        <v>0</v>
      </c>
      <c r="I574" s="252">
        <f>VLOOKUP($E574,'5.1 Budget'!$A$4:$H$729,3,0)</f>
        <v>0</v>
      </c>
      <c r="J574" s="252">
        <f>VLOOKUP($E574,'5.1 Budget'!$A$4:$H$729,4,0)</f>
        <v>0</v>
      </c>
      <c r="K574" s="252">
        <f>VLOOKUP($E574,'5.1 Budget'!$A$4:$H$729,5,0)</f>
        <v>0</v>
      </c>
      <c r="L574" s="252">
        <f>VLOOKUP($E574,'5.1 Budget'!$A$4:$H$729,6,0)</f>
        <v>0</v>
      </c>
      <c r="M574" s="252">
        <f>VLOOKUP($E574,'5.1 Budget'!$A$4:$H$729,7,0)</f>
        <v>0</v>
      </c>
      <c r="N574" s="252">
        <f>VLOOKUP($E574,'5.1 Budget'!$A$4:$H$729,8,0)</f>
        <v>0</v>
      </c>
      <c r="V574" t="str">
        <f>VLOOKUP(D574,'[4]1. Mesures'!$A$1:$B$116,2,0)</f>
        <v xml:space="preserve">Mener une politique de recherche et développement portant sur les différents sujets destinés à améliorer la résilience de la RBC face au changement climatique </v>
      </c>
      <c r="W574" t="str">
        <f>VLOOKUP(B574,[1]HIERARCH!$A$1:$B$57,2,0)</f>
        <v>OS 5.6 : Informer, sensibiliser et améliorer l'état des connaissances</v>
      </c>
      <c r="X574" t="str">
        <f>VLOOKUP(C574,[1]HIERARCH!$A$2:$B$57,2,0)</f>
        <v>OO 5.6.2 : Mener une politique de recherche visant l’amélioration de la résilience du territoire.</v>
      </c>
      <c r="Y574" t="str">
        <f t="shared" si="28"/>
        <v>Evaluer l’impact du changement climatique sur les étangs en termes budgétaire afin de pouvoir anticiper l’ampleur des su…</v>
      </c>
    </row>
    <row r="575" spans="1:25" hidden="1" x14ac:dyDescent="0.25">
      <c r="A575" s="249" t="str">
        <f t="shared" si="29"/>
        <v>5</v>
      </c>
      <c r="B575" s="249" t="str">
        <f>VLOOKUP($D575,'[4]1. Mesures'!$A$2:$G$116,6,0)</f>
        <v>OS 5.6</v>
      </c>
      <c r="C575" s="249" t="str">
        <f>VLOOKUP($D575,'[4]1. Mesures'!$A$2:$G$116,7,0)</f>
        <v>OO 5.6.2</v>
      </c>
      <c r="D575" s="249" t="str">
        <f t="shared" si="30"/>
        <v>M 5.30</v>
      </c>
      <c r="E575" s="250" t="s">
        <v>1132</v>
      </c>
      <c r="F575" s="249" t="str">
        <f>VLOOKUP(E575,'5.2 Actions'!$A$3:$B$720,2,0)</f>
        <v>Évaluer l’impact du changement climatique sur la qualité des masses d’eau de surface</v>
      </c>
      <c r="G575" s="251">
        <f>VLOOKUP(E575,'[4]5.2 Actions'!$A$3:$D$718,4,0)</f>
        <v>0</v>
      </c>
      <c r="H575" s="252">
        <f>VLOOKUP($E575,'5.1 Budget'!$A$4:$H$729,2,0)</f>
        <v>0</v>
      </c>
      <c r="I575" s="252">
        <f>VLOOKUP($E575,'5.1 Budget'!$A$4:$H$729,3,0)</f>
        <v>0</v>
      </c>
      <c r="J575" s="252">
        <f>VLOOKUP($E575,'5.1 Budget'!$A$4:$H$729,4,0)</f>
        <v>10000</v>
      </c>
      <c r="K575" s="252">
        <f>VLOOKUP($E575,'5.1 Budget'!$A$4:$H$729,5,0)</f>
        <v>0</v>
      </c>
      <c r="L575" s="252">
        <f>VLOOKUP($E575,'5.1 Budget'!$A$4:$H$729,6,0)</f>
        <v>10000</v>
      </c>
      <c r="M575" s="252">
        <f>VLOOKUP($E575,'5.1 Budget'!$A$4:$H$729,7,0)</f>
        <v>0</v>
      </c>
      <c r="N575" s="252">
        <f>VLOOKUP($E575,'5.1 Budget'!$A$4:$H$729,8,0)</f>
        <v>20000</v>
      </c>
      <c r="V575" t="str">
        <f>VLOOKUP(D575,'[4]1. Mesures'!$A$1:$B$116,2,0)</f>
        <v xml:space="preserve">Mener une politique de recherche et développement portant sur les différents sujets destinés à améliorer la résilience de la RBC face au changement climatique </v>
      </c>
      <c r="W575" t="str">
        <f>VLOOKUP(B575,[1]HIERARCH!$A$1:$B$57,2,0)</f>
        <v>OS 5.6 : Informer, sensibiliser et améliorer l'état des connaissances</v>
      </c>
      <c r="X575" t="str">
        <f>VLOOKUP(C575,[1]HIERARCH!$A$2:$B$57,2,0)</f>
        <v>OO 5.6.2 : Mener une politique de recherche visant l’amélioration de la résilience du territoire.</v>
      </c>
      <c r="Y575" t="str">
        <f t="shared" si="28"/>
        <v>Évaluer l’impact du changement climatique sur la qualité des masses d’eau de surface…</v>
      </c>
    </row>
    <row r="576" spans="1:25" hidden="1" x14ac:dyDescent="0.25">
      <c r="A576" s="249" t="str">
        <f t="shared" si="29"/>
        <v>5</v>
      </c>
      <c r="B576" s="249" t="str">
        <f>VLOOKUP($D576,'[4]1. Mesures'!$A$2:$G$116,6,0)</f>
        <v>OS 5.6</v>
      </c>
      <c r="C576" s="249" t="str">
        <f>VLOOKUP($D576,'[4]1. Mesures'!$A$2:$G$116,7,0)</f>
        <v>OO 5.6.2</v>
      </c>
      <c r="D576" s="249" t="str">
        <f t="shared" si="30"/>
        <v>M 5.30</v>
      </c>
      <c r="E576" s="250" t="s">
        <v>1133</v>
      </c>
      <c r="F576" s="249" t="str">
        <f>VLOOKUP(E576,'5.2 Actions'!$A$3:$B$720,2,0)</f>
        <v>Encourager les projets d’innovation en matière de résilience de la Région face aux perturbations du cycle de l’eau</v>
      </c>
      <c r="G576" s="251">
        <f>VLOOKUP(E576,'[4]5.2 Actions'!$A$3:$D$718,4,0)</f>
        <v>0</v>
      </c>
      <c r="H576" s="252">
        <f>VLOOKUP($E576,'5.1 Budget'!$A$4:$H$729,2,0)</f>
        <v>0</v>
      </c>
      <c r="I576" s="252">
        <f>VLOOKUP($E576,'5.1 Budget'!$A$4:$H$729,3,0)</f>
        <v>0</v>
      </c>
      <c r="J576" s="252">
        <f>VLOOKUP($E576,'5.1 Budget'!$A$4:$H$729,4,0)</f>
        <v>0</v>
      </c>
      <c r="K576" s="252">
        <f>VLOOKUP($E576,'5.1 Budget'!$A$4:$H$729,5,0)</f>
        <v>0</v>
      </c>
      <c r="L576" s="252">
        <f>VLOOKUP($E576,'5.1 Budget'!$A$4:$H$729,6,0)</f>
        <v>0</v>
      </c>
      <c r="M576" s="252">
        <f>VLOOKUP($E576,'5.1 Budget'!$A$4:$H$729,7,0)</f>
        <v>0</v>
      </c>
      <c r="N576" s="252">
        <f>VLOOKUP($E576,'5.1 Budget'!$A$4:$H$729,8,0)</f>
        <v>0</v>
      </c>
      <c r="V576" t="str">
        <f>VLOOKUP(D576,'[4]1. Mesures'!$A$1:$B$116,2,0)</f>
        <v xml:space="preserve">Mener une politique de recherche et développement portant sur les différents sujets destinés à améliorer la résilience de la RBC face au changement climatique </v>
      </c>
      <c r="W576" t="str">
        <f>VLOOKUP(B576,[1]HIERARCH!$A$1:$B$57,2,0)</f>
        <v>OS 5.6 : Informer, sensibiliser et améliorer l'état des connaissances</v>
      </c>
      <c r="X576" t="str">
        <f>VLOOKUP(C576,[1]HIERARCH!$A$2:$B$57,2,0)</f>
        <v>OO 5.6.2 : Mener une politique de recherche visant l’amélioration de la résilience du territoire.</v>
      </c>
      <c r="Y576" t="str">
        <f t="shared" si="28"/>
        <v>Encourager les projets d’innovation en matière de résilience de la Région face aux perturbations du cycle de l’eau…</v>
      </c>
    </row>
    <row r="577" spans="1:25" hidden="1" x14ac:dyDescent="0.25">
      <c r="A577" s="249" t="str">
        <f t="shared" si="29"/>
        <v>5</v>
      </c>
      <c r="B577" s="249" t="str">
        <f>VLOOKUP($D577,'[4]1. Mesures'!$A$2:$G$116,6,0)</f>
        <v>OS 5.6</v>
      </c>
      <c r="C577" s="249" t="str">
        <f>VLOOKUP($D577,'[4]1. Mesures'!$A$2:$G$116,7,0)</f>
        <v>OO 5.6.2</v>
      </c>
      <c r="D577" s="249" t="str">
        <f t="shared" si="30"/>
        <v>M 5.30</v>
      </c>
      <c r="E577" s="250" t="s">
        <v>1134</v>
      </c>
      <c r="F577" s="249" t="str">
        <f>VLOOKUP(E577,'5.2 Actions'!$A$3:$B$720,2,0)</f>
        <v>Prendre part aux appels à projets menant à des partenariats européens d’innovation</v>
      </c>
      <c r="G577" s="251">
        <f>VLOOKUP(E577,'[4]5.2 Actions'!$A$3:$D$718,4,0)</f>
        <v>0</v>
      </c>
      <c r="H577" s="252">
        <f>VLOOKUP($E577,'5.1 Budget'!$A$4:$H$729,2,0)</f>
        <v>0</v>
      </c>
      <c r="I577" s="252">
        <f>VLOOKUP($E577,'5.1 Budget'!$A$4:$H$729,3,0)</f>
        <v>0</v>
      </c>
      <c r="J577" s="252">
        <f>VLOOKUP($E577,'5.1 Budget'!$A$4:$H$729,4,0)</f>
        <v>0</v>
      </c>
      <c r="K577" s="252">
        <f>VLOOKUP($E577,'5.1 Budget'!$A$4:$H$729,5,0)</f>
        <v>0</v>
      </c>
      <c r="L577" s="252">
        <f>VLOOKUP($E577,'5.1 Budget'!$A$4:$H$729,6,0)</f>
        <v>0</v>
      </c>
      <c r="M577" s="252">
        <f>VLOOKUP($E577,'5.1 Budget'!$A$4:$H$729,7,0)</f>
        <v>0</v>
      </c>
      <c r="N577" s="252">
        <f>VLOOKUP($E577,'5.1 Budget'!$A$4:$H$729,8,0)</f>
        <v>0</v>
      </c>
      <c r="V577" t="str">
        <f>VLOOKUP(D577,'[4]1. Mesures'!$A$1:$B$116,2,0)</f>
        <v xml:space="preserve">Mener une politique de recherche et développement portant sur les différents sujets destinés à améliorer la résilience de la RBC face au changement climatique </v>
      </c>
      <c r="W577" t="str">
        <f>VLOOKUP(B577,[1]HIERARCH!$A$1:$B$57,2,0)</f>
        <v>OS 5.6 : Informer, sensibiliser et améliorer l'état des connaissances</v>
      </c>
      <c r="X577" t="str">
        <f>VLOOKUP(C577,[1]HIERARCH!$A$2:$B$57,2,0)</f>
        <v>OO 5.6.2 : Mener une politique de recherche visant l’amélioration de la résilience du territoire.</v>
      </c>
      <c r="Y577" t="str">
        <f t="shared" si="28"/>
        <v>Prendre part aux appels à projets menant à des partenariats européens d’innovation…</v>
      </c>
    </row>
    <row r="578" spans="1:25" hidden="1" x14ac:dyDescent="0.25">
      <c r="A578" s="249" t="str">
        <f t="shared" si="29"/>
        <v>6</v>
      </c>
      <c r="B578" s="249" t="str">
        <f>VLOOKUP($D578,'[4]1. Mesures'!$A$2:$G$116,6,0)</f>
        <v>OS 6.1</v>
      </c>
      <c r="C578" s="249" t="str">
        <f>VLOOKUP($D578,'[4]1. Mesures'!$A$2:$G$116,7,0)</f>
        <v>OO 6.1.1</v>
      </c>
      <c r="D578" s="249" t="str">
        <f t="shared" ref="D578:D653" si="31">"M"&amp;" "&amp;LEFT(E578,3)</f>
        <v>M 6.1</v>
      </c>
      <c r="E578" s="250" t="s">
        <v>1161</v>
      </c>
      <c r="F578" s="249" t="str">
        <f>VLOOKUP(E578,'5.2 Actions'!$A$3:$B$720,2,0)</f>
        <v>Etablir une vision programmatique par sous-bassin versant pour les travaux extraordinaires à réaliser sur le réseau hydrographique</v>
      </c>
      <c r="G578" s="251">
        <f>VLOOKUP(E578,'[4]5.2 Actions'!$A$3:$D$718,4,0)</f>
        <v>0</v>
      </c>
      <c r="H578" s="252">
        <f>VLOOKUP($E578,'5.1 Budget'!$A$4:$H$729,2,0)</f>
        <v>0</v>
      </c>
      <c r="I578" s="252">
        <f>VLOOKUP($E578,'5.1 Budget'!$A$4:$H$729,3,0)</f>
        <v>0</v>
      </c>
      <c r="J578" s="252">
        <f>VLOOKUP($E578,'5.1 Budget'!$A$4:$H$729,4,0)</f>
        <v>0</v>
      </c>
      <c r="K578" s="252">
        <f>VLOOKUP($E578,'5.1 Budget'!$A$4:$H$729,5,0)</f>
        <v>0</v>
      </c>
      <c r="L578" s="252">
        <f>VLOOKUP($E578,'5.1 Budget'!$A$4:$H$729,6,0)</f>
        <v>0</v>
      </c>
      <c r="M578" s="252">
        <f>VLOOKUP($E578,'5.1 Budget'!$A$4:$H$729,7,0)</f>
        <v>0</v>
      </c>
      <c r="N578" s="252">
        <f>VLOOKUP($E578,'5.1 Budget'!$A$4:$H$729,8,0)</f>
        <v>0</v>
      </c>
      <c r="V578" t="str">
        <f>VLOOKUP(D578,'[4]1. Mesures'!$A$1:$B$116,2,0)</f>
        <v>Elaborer un plan de gestion des cours d’eau par sous-bassin versant</v>
      </c>
      <c r="W578" t="e">
        <f>VLOOKUP(B578,[1]HIERARCH!$A$1:$B$57,2,0)</f>
        <v>#N/A</v>
      </c>
      <c r="X578" t="str">
        <f>VLOOKUP(C578,[1]HIERARCH!$A$2:$B$57,2,0)</f>
        <v>Mettre en valeur les cours d'eau, les étangs, les zones humides d'un point de vue écologique et paysager</v>
      </c>
      <c r="Y578" t="str">
        <f t="shared" si="28"/>
        <v>Etablir une vision programmatique par sous-bassin versant pour les travaux extraordinaires à réaliser sur le réseau hydr…</v>
      </c>
    </row>
    <row r="579" spans="1:25" hidden="1" x14ac:dyDescent="0.25">
      <c r="A579" s="249" t="str">
        <f t="shared" si="29"/>
        <v>6</v>
      </c>
      <c r="B579" s="249" t="str">
        <f>VLOOKUP($D579,'[4]1. Mesures'!$A$2:$G$116,6,0)</f>
        <v>OS 6.1</v>
      </c>
      <c r="C579" s="249" t="str">
        <f>VLOOKUP($D579,'[4]1. Mesures'!$A$2:$G$116,7,0)</f>
        <v>OO 6.1.1</v>
      </c>
      <c r="D579" s="249" t="str">
        <f t="shared" si="31"/>
        <v>M 6.1</v>
      </c>
      <c r="E579" s="250" t="s">
        <v>1162</v>
      </c>
      <c r="F579" s="249" t="str">
        <f>VLOOKUP(E579,'5.2 Actions'!$A$3:$B$720,2,0)</f>
        <v>Etablir un plan d’entretien par sous-bassin versant pour les travaux ordinaires et de lutte contre les espèces invasives</v>
      </c>
      <c r="G579" s="251">
        <f>VLOOKUP(E579,'[4]5.2 Actions'!$A$3:$D$718,4,0)</f>
        <v>0</v>
      </c>
      <c r="H579" s="252">
        <f>VLOOKUP($E579,'5.1 Budget'!$A$4:$H$729,2,0)</f>
        <v>0</v>
      </c>
      <c r="I579" s="252">
        <f>VLOOKUP($E579,'5.1 Budget'!$A$4:$H$729,3,0)</f>
        <v>0</v>
      </c>
      <c r="J579" s="252">
        <f>VLOOKUP($E579,'5.1 Budget'!$A$4:$H$729,4,0)</f>
        <v>0</v>
      </c>
      <c r="K579" s="252">
        <f>VLOOKUP($E579,'5.1 Budget'!$A$4:$H$729,5,0)</f>
        <v>0</v>
      </c>
      <c r="L579" s="252">
        <f>VLOOKUP($E579,'5.1 Budget'!$A$4:$H$729,6,0)</f>
        <v>0</v>
      </c>
      <c r="M579" s="252">
        <f>VLOOKUP($E579,'5.1 Budget'!$A$4:$H$729,7,0)</f>
        <v>0</v>
      </c>
      <c r="N579" s="252">
        <f>VLOOKUP($E579,'5.1 Budget'!$A$4:$H$729,8,0)</f>
        <v>0</v>
      </c>
      <c r="V579" t="str">
        <f>VLOOKUP(D579,'[4]1. Mesures'!$A$1:$B$116,2,0)</f>
        <v>Elaborer un plan de gestion des cours d’eau par sous-bassin versant</v>
      </c>
      <c r="W579" t="e">
        <f>VLOOKUP(B579,[1]HIERARCH!$A$1:$B$57,2,0)</f>
        <v>#N/A</v>
      </c>
      <c r="X579" t="str">
        <f>VLOOKUP(C579,[1]HIERARCH!$A$2:$B$57,2,0)</f>
        <v>Mettre en valeur les cours d'eau, les étangs, les zones humides d'un point de vue écologique et paysager</v>
      </c>
      <c r="Y579" t="str">
        <f t="shared" si="28"/>
        <v>Etablir un plan d’entretien par sous-bassin versant pour les travaux ordinaires et de lutte contre les espèces invasives…</v>
      </c>
    </row>
    <row r="580" spans="1:25" hidden="1" x14ac:dyDescent="0.25">
      <c r="A580" s="249" t="str">
        <f t="shared" si="29"/>
        <v>6</v>
      </c>
      <c r="B580" s="249" t="str">
        <f>VLOOKUP($D580,'[4]1. Mesures'!$A$2:$G$116,6,0)</f>
        <v>OS 6.1</v>
      </c>
      <c r="C580" s="249" t="str">
        <f>VLOOKUP($D580,'[4]1. Mesures'!$A$2:$G$116,7,0)</f>
        <v>OO 6.1.1</v>
      </c>
      <c r="D580" s="249" t="str">
        <f t="shared" si="31"/>
        <v>M 6.2</v>
      </c>
      <c r="E580" s="250" t="s">
        <v>1176</v>
      </c>
      <c r="F580" s="249" t="str">
        <f>VLOOKUP(E580,'5.2 Actions'!$A$3:$B$720,2,0)</f>
        <v>Finalisation et approbation du plan de gestion des étangs</v>
      </c>
      <c r="G580" s="251">
        <f>VLOOKUP(E580,'[4]5.2 Actions'!$A$3:$D$718,4,0)</f>
        <v>0</v>
      </c>
      <c r="H580" s="252">
        <f>VLOOKUP($E580,'5.1 Budget'!$A$4:$H$729,2,0)</f>
        <v>0</v>
      </c>
      <c r="I580" s="252">
        <f>VLOOKUP($E580,'5.1 Budget'!$A$4:$H$729,3,0)</f>
        <v>0</v>
      </c>
      <c r="J580" s="252">
        <f>VLOOKUP($E580,'5.1 Budget'!$A$4:$H$729,4,0)</f>
        <v>0</v>
      </c>
      <c r="K580" s="252">
        <f>VLOOKUP($E580,'5.1 Budget'!$A$4:$H$729,5,0)</f>
        <v>0</v>
      </c>
      <c r="L580" s="252">
        <f>VLOOKUP($E580,'5.1 Budget'!$A$4:$H$729,6,0)</f>
        <v>0</v>
      </c>
      <c r="M580" s="252">
        <f>VLOOKUP($E580,'5.1 Budget'!$A$4:$H$729,7,0)</f>
        <v>0</v>
      </c>
      <c r="N580" s="252">
        <f>VLOOKUP($E580,'5.1 Budget'!$A$4:$H$729,8,0)</f>
        <v>0</v>
      </c>
      <c r="V580" t="str">
        <f>VLOOKUP(D580,'[4]1. Mesures'!$A$1:$B$116,2,0)</f>
        <v xml:space="preserve">Etablir un plan de gestion spécifique pour les étangs régionaux </v>
      </c>
      <c r="W580" t="e">
        <f>VLOOKUP(B580,[1]HIERARCH!$A$1:$B$57,2,0)</f>
        <v>#N/A</v>
      </c>
      <c r="X580" t="str">
        <f>VLOOKUP(C580,[1]HIERARCH!$A$2:$B$57,2,0)</f>
        <v>Mettre en valeur les cours d'eau, les étangs, les zones humides d'un point de vue écologique et paysager</v>
      </c>
      <c r="Y580" t="str">
        <f t="shared" si="28"/>
        <v>Finalisation et approbation du plan de gestion des étangs…</v>
      </c>
    </row>
    <row r="581" spans="1:25" hidden="1" x14ac:dyDescent="0.25">
      <c r="A581" s="249" t="str">
        <f t="shared" si="29"/>
        <v>6</v>
      </c>
      <c r="B581" s="249" t="str">
        <f>VLOOKUP($D581,'[4]1. Mesures'!$A$2:$G$116,6,0)</f>
        <v>OS 6.1</v>
      </c>
      <c r="C581" s="249" t="str">
        <f>VLOOKUP($D581,'[4]1. Mesures'!$A$2:$G$116,7,0)</f>
        <v>OO 6.1.1</v>
      </c>
      <c r="D581" s="249" t="str">
        <f t="shared" si="31"/>
        <v>M 6.2</v>
      </c>
      <c r="E581" s="250" t="s">
        <v>1177</v>
      </c>
      <c r="F581" s="249" t="str">
        <f>VLOOKUP(E581,'5.2 Actions'!$A$3:$B$720,2,0)</f>
        <v>Mener à bien le Projet « SmartWater », projet de sciences citoyennes de monitoring pour optimiser l'état des eaux de surface et comprenant un volet de modélisation des cyanobactéries, pour orienter la gestion des étangs selon les résultats observés</v>
      </c>
      <c r="G581" s="251">
        <f>VLOOKUP(E581,'[4]5.2 Actions'!$A$3:$D$718,4,0)</f>
        <v>0</v>
      </c>
      <c r="H581" s="252">
        <f>VLOOKUP($E581,'5.1 Budget'!$A$4:$H$729,2,0)</f>
        <v>68600</v>
      </c>
      <c r="I581" s="252">
        <f>VLOOKUP($E581,'5.1 Budget'!$A$4:$H$729,3,0)</f>
        <v>68600</v>
      </c>
      <c r="J581" s="252">
        <f>VLOOKUP($E581,'5.1 Budget'!$A$4:$H$729,4,0)</f>
        <v>0</v>
      </c>
      <c r="K581" s="252">
        <f>VLOOKUP($E581,'5.1 Budget'!$A$4:$H$729,5,0)</f>
        <v>0</v>
      </c>
      <c r="L581" s="252">
        <f>VLOOKUP($E581,'5.1 Budget'!$A$4:$H$729,6,0)</f>
        <v>0</v>
      </c>
      <c r="M581" s="252">
        <f>VLOOKUP($E581,'5.1 Budget'!$A$4:$H$729,7,0)</f>
        <v>0</v>
      </c>
      <c r="N581" s="252">
        <f>VLOOKUP($E581,'5.1 Budget'!$A$4:$H$729,8,0)</f>
        <v>137200</v>
      </c>
      <c r="V581" t="str">
        <f>VLOOKUP(D581,'[4]1. Mesures'!$A$1:$B$116,2,0)</f>
        <v xml:space="preserve">Etablir un plan de gestion spécifique pour les étangs régionaux </v>
      </c>
      <c r="W581" t="e">
        <f>VLOOKUP(B581,[1]HIERARCH!$A$1:$B$57,2,0)</f>
        <v>#N/A</v>
      </c>
      <c r="X581" t="str">
        <f>VLOOKUP(C581,[1]HIERARCH!$A$2:$B$57,2,0)</f>
        <v>Mettre en valeur les cours d'eau, les étangs, les zones humides d'un point de vue écologique et paysager</v>
      </c>
      <c r="Y581" t="str">
        <f t="shared" si="28"/>
        <v>Mener à bien le Projet « SmartWater », projet de sciences citoyennes de monitoring pour optimiser l'état des eaux de sur…</v>
      </c>
    </row>
    <row r="582" spans="1:25" hidden="1" x14ac:dyDescent="0.25">
      <c r="A582" s="249" t="str">
        <f t="shared" si="29"/>
        <v>6</v>
      </c>
      <c r="B582" s="249" t="str">
        <f>VLOOKUP($D582,'[4]1. Mesures'!$A$2:$G$116,6,0)</f>
        <v>OS 6.1</v>
      </c>
      <c r="C582" s="249" t="str">
        <f>VLOOKUP($D582,'[4]1. Mesures'!$A$2:$G$116,7,0)</f>
        <v>OO 6.1.1</v>
      </c>
      <c r="D582" s="249" t="str">
        <f t="shared" si="31"/>
        <v>M 6.2</v>
      </c>
      <c r="E582" s="250" t="s">
        <v>1178</v>
      </c>
      <c r="F582" s="249" t="str">
        <f>VLOOKUP(E582,'5.2 Actions'!$A$3:$B$720,2,0)</f>
        <v>Intégration du plan de gestion des étangs dans les différents plans de gestion des sites Natura 2000</v>
      </c>
      <c r="G582" s="251">
        <f>VLOOKUP(E582,'[4]5.2 Actions'!$A$3:$D$718,4,0)</f>
        <v>0</v>
      </c>
      <c r="H582" s="252">
        <f>VLOOKUP($E582,'5.1 Budget'!$A$4:$H$729,2,0)</f>
        <v>0</v>
      </c>
      <c r="I582" s="252">
        <f>VLOOKUP($E582,'5.1 Budget'!$A$4:$H$729,3,0)</f>
        <v>0</v>
      </c>
      <c r="J582" s="252">
        <f>VLOOKUP($E582,'5.1 Budget'!$A$4:$H$729,4,0)</f>
        <v>0</v>
      </c>
      <c r="K582" s="252">
        <f>VLOOKUP($E582,'5.1 Budget'!$A$4:$H$729,5,0)</f>
        <v>0</v>
      </c>
      <c r="L582" s="252">
        <f>VLOOKUP($E582,'5.1 Budget'!$A$4:$H$729,6,0)</f>
        <v>0</v>
      </c>
      <c r="M582" s="252">
        <f>VLOOKUP($E582,'5.1 Budget'!$A$4:$H$729,7,0)</f>
        <v>0</v>
      </c>
      <c r="N582" s="252">
        <f>VLOOKUP($E582,'5.1 Budget'!$A$4:$H$729,8,0)</f>
        <v>0</v>
      </c>
      <c r="V582" t="str">
        <f>VLOOKUP(D582,'[4]1. Mesures'!$A$1:$B$116,2,0)</f>
        <v xml:space="preserve">Etablir un plan de gestion spécifique pour les étangs régionaux </v>
      </c>
      <c r="W582" t="e">
        <f>VLOOKUP(B582,[1]HIERARCH!$A$1:$B$57,2,0)</f>
        <v>#N/A</v>
      </c>
      <c r="X582" t="str">
        <f>VLOOKUP(C582,[1]HIERARCH!$A$2:$B$57,2,0)</f>
        <v>Mettre en valeur les cours d'eau, les étangs, les zones humides d'un point de vue écologique et paysager</v>
      </c>
      <c r="Y582" t="str">
        <f t="shared" si="28"/>
        <v>Intégration du plan de gestion des étangs dans les différents plans de gestion des sites Natura 2000…</v>
      </c>
    </row>
    <row r="583" spans="1:25" hidden="1" x14ac:dyDescent="0.25">
      <c r="A583" s="249" t="str">
        <f t="shared" si="29"/>
        <v>6</v>
      </c>
      <c r="B583" s="249" t="str">
        <f>VLOOKUP($D583,'[4]1. Mesures'!$A$2:$G$116,6,0)</f>
        <v>OS 6.1</v>
      </c>
      <c r="C583" s="249" t="str">
        <f>VLOOKUP($D583,'[4]1. Mesures'!$A$2:$G$116,7,0)</f>
        <v>OO 6.1.1</v>
      </c>
      <c r="D583" s="249" t="str">
        <f t="shared" si="31"/>
        <v>M 6.2</v>
      </c>
      <c r="E583" s="250" t="s">
        <v>1179</v>
      </c>
      <c r="F583" s="249" t="str">
        <f>VLOOKUP(E583,'5.2 Actions'!$A$3:$B$720,2,0)</f>
        <v>Mesure de suivi de la qualité des étangs et du degré d’envasement : monitoring de la qualité de la colonne d’eau, des sédiments et de la qualité biologique, bathymétries, et autres suivis réguliers ou ponctuels</v>
      </c>
      <c r="G583" s="251">
        <f>VLOOKUP(E583,'[4]5.2 Actions'!$A$3:$D$718,4,0)</f>
        <v>0</v>
      </c>
      <c r="H583" s="252">
        <f>VLOOKUP($E583,'5.1 Budget'!$A$4:$H$729,2,0)</f>
        <v>8000</v>
      </c>
      <c r="I583" s="252">
        <f>VLOOKUP($E583,'5.1 Budget'!$A$4:$H$729,3,0)</f>
        <v>8000</v>
      </c>
      <c r="J583" s="252">
        <f>VLOOKUP($E583,'5.1 Budget'!$A$4:$H$729,4,0)</f>
        <v>8000</v>
      </c>
      <c r="K583" s="252">
        <f>VLOOKUP($E583,'5.1 Budget'!$A$4:$H$729,5,0)</f>
        <v>8000</v>
      </c>
      <c r="L583" s="252">
        <f>VLOOKUP($E583,'5.1 Budget'!$A$4:$H$729,6,0)</f>
        <v>8000</v>
      </c>
      <c r="M583" s="252">
        <f>VLOOKUP($E583,'5.1 Budget'!$A$4:$H$729,7,0)</f>
        <v>8000</v>
      </c>
      <c r="N583" s="252">
        <f>VLOOKUP($E583,'5.1 Budget'!$A$4:$H$729,8,0)</f>
        <v>48000</v>
      </c>
      <c r="V583" t="str">
        <f>VLOOKUP(D583,'[4]1. Mesures'!$A$1:$B$116,2,0)</f>
        <v xml:space="preserve">Etablir un plan de gestion spécifique pour les étangs régionaux </v>
      </c>
      <c r="W583" t="e">
        <f>VLOOKUP(B583,[1]HIERARCH!$A$1:$B$57,2,0)</f>
        <v>#N/A</v>
      </c>
      <c r="X583" t="str">
        <f>VLOOKUP(C583,[1]HIERARCH!$A$2:$B$57,2,0)</f>
        <v>Mettre en valeur les cours d'eau, les étangs, les zones humides d'un point de vue écologique et paysager</v>
      </c>
      <c r="Y583" t="str">
        <f t="shared" si="28"/>
        <v>Mesure de suivi de la qualité des étangs et du degré d’envasement : monitoring de la qualité de la colonne d’eau, des sé…</v>
      </c>
    </row>
    <row r="584" spans="1:25" hidden="1" x14ac:dyDescent="0.25">
      <c r="A584" s="249" t="str">
        <f t="shared" si="29"/>
        <v>6</v>
      </c>
      <c r="B584" s="249" t="str">
        <f>VLOOKUP($D584,'[4]1. Mesures'!$A$2:$G$116,6,0)</f>
        <v>OS 6.1</v>
      </c>
      <c r="C584" s="249" t="str">
        <f>VLOOKUP($D584,'[4]1. Mesures'!$A$2:$G$116,7,0)</f>
        <v>OO 6.1.1</v>
      </c>
      <c r="D584" s="249" t="str">
        <f t="shared" si="31"/>
        <v>M 6.3</v>
      </c>
      <c r="E584" s="250" t="s">
        <v>1180</v>
      </c>
      <c r="F584" s="249" t="str">
        <f>VLOOKUP(E584,'5.2 Actions'!$A$3:$B$720,2,0)</f>
        <v>Réaliser les entretiens des siphons</v>
      </c>
      <c r="G584" s="251">
        <f>VLOOKUP(E584,'[4]5.2 Actions'!$A$3:$D$718,4,0)</f>
        <v>0</v>
      </c>
      <c r="H584" s="252">
        <f>VLOOKUP($E584,'5.1 Budget'!$A$4:$H$729,2,0)</f>
        <v>50000</v>
      </c>
      <c r="I584" s="252">
        <f>VLOOKUP($E584,'5.1 Budget'!$A$4:$H$729,3,0)</f>
        <v>50000</v>
      </c>
      <c r="J584" s="252">
        <f>VLOOKUP($E584,'5.1 Budget'!$A$4:$H$729,4,0)</f>
        <v>50000</v>
      </c>
      <c r="K584" s="252">
        <f>VLOOKUP($E584,'5.1 Budget'!$A$4:$H$729,5,0)</f>
        <v>50000</v>
      </c>
      <c r="L584" s="252">
        <f>VLOOKUP($E584,'5.1 Budget'!$A$4:$H$729,6,0)</f>
        <v>50000</v>
      </c>
      <c r="M584" s="252">
        <f>VLOOKUP($E584,'5.1 Budget'!$A$4:$H$729,7,0)</f>
        <v>50000</v>
      </c>
      <c r="N584" s="252">
        <f>VLOOKUP($E584,'5.1 Budget'!$A$4:$H$729,8,0)</f>
        <v>300000</v>
      </c>
      <c r="V584" t="str">
        <f>VLOOKUP(D584,'[4]1. Mesures'!$A$1:$B$116,2,0)</f>
        <v xml:space="preserve">Réaliser les travaux de gestion ordinaire des cours d’eau non navigables et des étangs </v>
      </c>
      <c r="W584" t="e">
        <f>VLOOKUP(B584,[1]HIERARCH!$A$1:$B$57,2,0)</f>
        <v>#N/A</v>
      </c>
      <c r="X584" t="str">
        <f>VLOOKUP(C584,[1]HIERARCH!$A$2:$B$57,2,0)</f>
        <v>Mettre en valeur les cours d'eau, les étangs, les zones humides d'un point de vue écologique et paysager</v>
      </c>
      <c r="Y584" t="str">
        <f t="shared" si="28"/>
        <v>Réaliser les entretiens des siphons…</v>
      </c>
    </row>
    <row r="585" spans="1:25" hidden="1" x14ac:dyDescent="0.25">
      <c r="A585" s="249" t="str">
        <f t="shared" si="29"/>
        <v>6</v>
      </c>
      <c r="B585" s="249" t="str">
        <f>VLOOKUP($D585,'[4]1. Mesures'!$A$2:$G$116,6,0)</f>
        <v>OS 6.1</v>
      </c>
      <c r="C585" s="249" t="str">
        <f>VLOOKUP($D585,'[4]1. Mesures'!$A$2:$G$116,7,0)</f>
        <v>OO 6.1.1</v>
      </c>
      <c r="D585" s="249" t="str">
        <f t="shared" si="31"/>
        <v>M 6.3</v>
      </c>
      <c r="E585" s="250" t="s">
        <v>1181</v>
      </c>
      <c r="F585" s="249" t="str">
        <f>VLOOKUP(E585,'5.2 Actions'!$A$3:$B$720,2,0)</f>
        <v>Mener des actions ponctuelles d’investigation et de débouchage</v>
      </c>
      <c r="G585" s="251">
        <f>VLOOKUP(E585,'[4]5.2 Actions'!$A$3:$D$718,4,0)</f>
        <v>0</v>
      </c>
      <c r="H585" s="252">
        <f>VLOOKUP($E585,'5.1 Budget'!$A$4:$H$729,2,0)</f>
        <v>35000</v>
      </c>
      <c r="I585" s="252">
        <f>VLOOKUP($E585,'5.1 Budget'!$A$4:$H$729,3,0)</f>
        <v>35000</v>
      </c>
      <c r="J585" s="252">
        <f>VLOOKUP($E585,'5.1 Budget'!$A$4:$H$729,4,0)</f>
        <v>35000</v>
      </c>
      <c r="K585" s="252">
        <f>VLOOKUP($E585,'5.1 Budget'!$A$4:$H$729,5,0)</f>
        <v>35000</v>
      </c>
      <c r="L585" s="252">
        <f>VLOOKUP($E585,'5.1 Budget'!$A$4:$H$729,6,0)</f>
        <v>35000</v>
      </c>
      <c r="M585" s="252">
        <f>VLOOKUP($E585,'5.1 Budget'!$A$4:$H$729,7,0)</f>
        <v>35000</v>
      </c>
      <c r="N585" s="252">
        <f>VLOOKUP($E585,'5.1 Budget'!$A$4:$H$729,8,0)</f>
        <v>210000</v>
      </c>
      <c r="V585" t="str">
        <f>VLOOKUP(D585,'[4]1. Mesures'!$A$1:$B$116,2,0)</f>
        <v xml:space="preserve">Réaliser les travaux de gestion ordinaire des cours d’eau non navigables et des étangs </v>
      </c>
      <c r="W585" t="e">
        <f>VLOOKUP(B585,[1]HIERARCH!$A$1:$B$57,2,0)</f>
        <v>#N/A</v>
      </c>
      <c r="X585" t="str">
        <f>VLOOKUP(C585,[1]HIERARCH!$A$2:$B$57,2,0)</f>
        <v>Mettre en valeur les cours d'eau, les étangs, les zones humides d'un point de vue écologique et paysager</v>
      </c>
      <c r="Y585" t="str">
        <f t="shared" si="28"/>
        <v>Mener des actions ponctuelles d’investigation et de débouchage…</v>
      </c>
    </row>
    <row r="586" spans="1:25" hidden="1" x14ac:dyDescent="0.25">
      <c r="A586" s="249" t="str">
        <f t="shared" si="29"/>
        <v>6</v>
      </c>
      <c r="B586" s="249" t="str">
        <f>VLOOKUP($D586,'[4]1. Mesures'!$A$2:$G$116,6,0)</f>
        <v>OS 6.1</v>
      </c>
      <c r="C586" s="249" t="str">
        <f>VLOOKUP($D586,'[4]1. Mesures'!$A$2:$G$116,7,0)</f>
        <v>OO 6.1.1</v>
      </c>
      <c r="D586" s="249" t="str">
        <f t="shared" si="31"/>
        <v>M 6.3</v>
      </c>
      <c r="E586" s="250" t="s">
        <v>1182</v>
      </c>
      <c r="F586" s="249" t="str">
        <f>VLOOKUP(E586,'5.2 Actions'!$A$3:$B$720,2,0)</f>
        <v>Réaliser les travaux  d’entretien hydraulique sur les cours d’eau et étangs (y compris curage des cours d’eau en plein air ou en pertuis)</v>
      </c>
      <c r="G586" s="251">
        <f>VLOOKUP(E586,'[4]5.2 Actions'!$A$3:$D$718,4,0)</f>
        <v>0</v>
      </c>
      <c r="H586" s="252">
        <f>VLOOKUP($E586,'5.1 Budget'!$A$4:$H$729,2,0)</f>
        <v>300000</v>
      </c>
      <c r="I586" s="252">
        <f>VLOOKUP($E586,'5.1 Budget'!$A$4:$H$729,3,0)</f>
        <v>300000</v>
      </c>
      <c r="J586" s="252">
        <f>VLOOKUP($E586,'5.1 Budget'!$A$4:$H$729,4,0)</f>
        <v>300000</v>
      </c>
      <c r="K586" s="252">
        <f>VLOOKUP($E586,'5.1 Budget'!$A$4:$H$729,5,0)</f>
        <v>300000</v>
      </c>
      <c r="L586" s="252">
        <f>VLOOKUP($E586,'5.1 Budget'!$A$4:$H$729,6,0)</f>
        <v>300000</v>
      </c>
      <c r="M586" s="252">
        <f>VLOOKUP($E586,'5.1 Budget'!$A$4:$H$729,7,0)</f>
        <v>300000</v>
      </c>
      <c r="N586" s="252">
        <f>VLOOKUP($E586,'5.1 Budget'!$A$4:$H$729,8,0)</f>
        <v>1800000</v>
      </c>
      <c r="V586" t="str">
        <f>VLOOKUP(D586,'[4]1. Mesures'!$A$1:$B$116,2,0)</f>
        <v xml:space="preserve">Réaliser les travaux de gestion ordinaire des cours d’eau non navigables et des étangs </v>
      </c>
      <c r="W586" t="e">
        <f>VLOOKUP(B586,[1]HIERARCH!$A$1:$B$57,2,0)</f>
        <v>#N/A</v>
      </c>
      <c r="X586" t="str">
        <f>VLOOKUP(C586,[1]HIERARCH!$A$2:$B$57,2,0)</f>
        <v>Mettre en valeur les cours d'eau, les étangs, les zones humides d'un point de vue écologique et paysager</v>
      </c>
      <c r="Y586" t="str">
        <f t="shared" si="28"/>
        <v>Réaliser les travaux  d’entretien hydraulique sur les cours d’eau et étangs (y compris curage des cours d’eau en plein a…</v>
      </c>
    </row>
    <row r="587" spans="1:25" hidden="1" x14ac:dyDescent="0.25">
      <c r="A587" s="249" t="str">
        <f t="shared" si="29"/>
        <v>6</v>
      </c>
      <c r="B587" s="249" t="str">
        <f>VLOOKUP($D587,'[4]1. Mesures'!$A$2:$G$116,6,0)</f>
        <v>OS 6.1</v>
      </c>
      <c r="C587" s="249" t="str">
        <f>VLOOKUP($D587,'[4]1. Mesures'!$A$2:$G$116,7,0)</f>
        <v>OO 6.1.1</v>
      </c>
      <c r="D587" s="249" t="str">
        <f t="shared" si="31"/>
        <v>M 6.3</v>
      </c>
      <c r="E587" s="250" t="s">
        <v>1183</v>
      </c>
      <c r="F587" s="249" t="str">
        <f>VLOOKUP(E587,'5.2 Actions'!$A$3:$B$720,2,0)</f>
        <v>Réaliser des plantations, débroussaillages, des actions d’éco-pâturage, de nettoyage et d’élagage</v>
      </c>
      <c r="G587" s="251">
        <f>VLOOKUP(E587,'[4]5.2 Actions'!$A$3:$D$718,4,0)</f>
        <v>0</v>
      </c>
      <c r="H587" s="252">
        <f>VLOOKUP($E587,'5.1 Budget'!$A$4:$H$729,2,0)</f>
        <v>250000</v>
      </c>
      <c r="I587" s="252">
        <f>VLOOKUP($E587,'5.1 Budget'!$A$4:$H$729,3,0)</f>
        <v>250000</v>
      </c>
      <c r="J587" s="252">
        <f>VLOOKUP($E587,'5.1 Budget'!$A$4:$H$729,4,0)</f>
        <v>250000</v>
      </c>
      <c r="K587" s="252">
        <f>VLOOKUP($E587,'5.1 Budget'!$A$4:$H$729,5,0)</f>
        <v>250000</v>
      </c>
      <c r="L587" s="252">
        <f>VLOOKUP($E587,'5.1 Budget'!$A$4:$H$729,6,0)</f>
        <v>250000</v>
      </c>
      <c r="M587" s="252">
        <f>VLOOKUP($E587,'5.1 Budget'!$A$4:$H$729,7,0)</f>
        <v>250000</v>
      </c>
      <c r="N587" s="252">
        <f>VLOOKUP($E587,'5.1 Budget'!$A$4:$H$729,8,0)</f>
        <v>1500000</v>
      </c>
      <c r="V587" t="str">
        <f>VLOOKUP(D587,'[4]1. Mesures'!$A$1:$B$116,2,0)</f>
        <v xml:space="preserve">Réaliser les travaux de gestion ordinaire des cours d’eau non navigables et des étangs </v>
      </c>
      <c r="W587" t="e">
        <f>VLOOKUP(B587,[1]HIERARCH!$A$1:$B$57,2,0)</f>
        <v>#N/A</v>
      </c>
      <c r="X587" t="str">
        <f>VLOOKUP(C587,[1]HIERARCH!$A$2:$B$57,2,0)</f>
        <v>Mettre en valeur les cours d'eau, les étangs, les zones humides d'un point de vue écologique et paysager</v>
      </c>
      <c r="Y587" t="str">
        <f t="shared" si="28"/>
        <v>Réaliser des plantations, débroussaillages, des actions d’éco-pâturage, de nettoyage et d’élagage…</v>
      </c>
    </row>
    <row r="588" spans="1:25" hidden="1" x14ac:dyDescent="0.25">
      <c r="A588" s="249" t="str">
        <f t="shared" si="29"/>
        <v>6</v>
      </c>
      <c r="B588" s="249" t="str">
        <f>VLOOKUP($D588,'[4]1. Mesures'!$A$2:$G$116,6,0)</f>
        <v>OS 6.1</v>
      </c>
      <c r="C588" s="249" t="str">
        <f>VLOOKUP($D588,'[4]1. Mesures'!$A$2:$G$116,7,0)</f>
        <v>OO 6.1.1</v>
      </c>
      <c r="D588" s="249" t="str">
        <f t="shared" si="31"/>
        <v>M 6.3</v>
      </c>
      <c r="E588" s="250" t="s">
        <v>1184</v>
      </c>
      <c r="F588" s="249" t="str">
        <f>VLOOKUP(E588,'5.2 Actions'!$A$3:$B$720,2,0)</f>
        <v>Assurer les curages  d’entretien nécessaires des étangs et mares</v>
      </c>
      <c r="G588" s="251">
        <f>VLOOKUP(E588,'[4]5.2 Actions'!$A$3:$D$718,4,0)</f>
        <v>0</v>
      </c>
      <c r="H588" s="252">
        <f>VLOOKUP($E588,'5.1 Budget'!$A$4:$H$729,2,0)</f>
        <v>200000</v>
      </c>
      <c r="I588" s="252">
        <f>VLOOKUP($E588,'5.1 Budget'!$A$4:$H$729,3,0)</f>
        <v>140000</v>
      </c>
      <c r="J588" s="252">
        <f>VLOOKUP($E588,'5.1 Budget'!$A$4:$H$729,4,0)</f>
        <v>490000</v>
      </c>
      <c r="K588" s="252">
        <f>VLOOKUP($E588,'5.1 Budget'!$A$4:$H$729,5,0)</f>
        <v>120000</v>
      </c>
      <c r="L588" s="252">
        <f>VLOOKUP($E588,'5.1 Budget'!$A$4:$H$729,6,0)</f>
        <v>0</v>
      </c>
      <c r="M588" s="252">
        <f>VLOOKUP($E588,'5.1 Budget'!$A$4:$H$729,7,0)</f>
        <v>0</v>
      </c>
      <c r="N588" s="252">
        <f>VLOOKUP($E588,'5.1 Budget'!$A$4:$H$729,8,0)</f>
        <v>950000</v>
      </c>
      <c r="V588" t="str">
        <f>VLOOKUP(D588,'[4]1. Mesures'!$A$1:$B$116,2,0)</f>
        <v xml:space="preserve">Réaliser les travaux de gestion ordinaire des cours d’eau non navigables et des étangs </v>
      </c>
      <c r="W588" t="e">
        <f>VLOOKUP(B588,[1]HIERARCH!$A$1:$B$57,2,0)</f>
        <v>#N/A</v>
      </c>
      <c r="X588" t="str">
        <f>VLOOKUP(C588,[1]HIERARCH!$A$2:$B$57,2,0)</f>
        <v>Mettre en valeur les cours d'eau, les étangs, les zones humides d'un point de vue écologique et paysager</v>
      </c>
      <c r="Y588" t="str">
        <f t="shared" si="28"/>
        <v>Assurer les curages  d’entretien nécessaires des étangs et mares…</v>
      </c>
    </row>
    <row r="589" spans="1:25" hidden="1" x14ac:dyDescent="0.25">
      <c r="A589" s="249" t="str">
        <f t="shared" si="29"/>
        <v>6</v>
      </c>
      <c r="B589" s="249" t="str">
        <f>VLOOKUP($D589,'[4]1. Mesures'!$A$2:$G$116,6,0)</f>
        <v>OS 6.1</v>
      </c>
      <c r="C589" s="249" t="str">
        <f>VLOOKUP($D589,'[4]1. Mesures'!$A$2:$G$116,7,0)</f>
        <v>OO 6.1.1</v>
      </c>
      <c r="D589" s="249" t="str">
        <f t="shared" si="31"/>
        <v>M 6.3</v>
      </c>
      <c r="E589" s="250" t="s">
        <v>1185</v>
      </c>
      <c r="F589" s="249" t="str">
        <f>VLOOKUP(E589,'5.2 Actions'!$A$3:$B$720,2,0)</f>
        <v>Evaluer les rôles et responsabilités des gestionnaires présumés (évacuation des produits de fauches, plan de plantation avec des plantes indigènes, ….)</v>
      </c>
      <c r="G589" s="251">
        <f>VLOOKUP(E589,'[4]5.2 Actions'!$A$3:$D$718,4,0)</f>
        <v>0</v>
      </c>
      <c r="H589" s="252">
        <f>VLOOKUP($E589,'5.1 Budget'!$A$4:$H$729,2,0)</f>
        <v>0</v>
      </c>
      <c r="I589" s="252">
        <f>VLOOKUP($E589,'5.1 Budget'!$A$4:$H$729,3,0)</f>
        <v>0</v>
      </c>
      <c r="J589" s="252">
        <f>VLOOKUP($E589,'5.1 Budget'!$A$4:$H$729,4,0)</f>
        <v>0</v>
      </c>
      <c r="K589" s="252">
        <f>VLOOKUP($E589,'5.1 Budget'!$A$4:$H$729,5,0)</f>
        <v>0</v>
      </c>
      <c r="L589" s="252">
        <f>VLOOKUP($E589,'5.1 Budget'!$A$4:$H$729,6,0)</f>
        <v>0</v>
      </c>
      <c r="M589" s="252">
        <f>VLOOKUP($E589,'5.1 Budget'!$A$4:$H$729,7,0)</f>
        <v>0</v>
      </c>
      <c r="N589" s="252">
        <f>VLOOKUP($E589,'5.1 Budget'!$A$4:$H$729,8,0)</f>
        <v>0</v>
      </c>
      <c r="V589" t="str">
        <f>VLOOKUP(D589,'[4]1. Mesures'!$A$1:$B$116,2,0)</f>
        <v xml:space="preserve">Réaliser les travaux de gestion ordinaire des cours d’eau non navigables et des étangs </v>
      </c>
      <c r="W589" t="e">
        <f>VLOOKUP(B589,[1]HIERARCH!$A$1:$B$57,2,0)</f>
        <v>#N/A</v>
      </c>
      <c r="X589" t="str">
        <f>VLOOKUP(C589,[1]HIERARCH!$A$2:$B$57,2,0)</f>
        <v>Mettre en valeur les cours d'eau, les étangs, les zones humides d'un point de vue écologique et paysager</v>
      </c>
      <c r="Y589" t="str">
        <f t="shared" si="28"/>
        <v>Evaluer les rôles et responsabilités des gestionnaires présumés (évacuation des produits de fauches, plan de plantation …</v>
      </c>
    </row>
    <row r="590" spans="1:25" hidden="1" x14ac:dyDescent="0.25">
      <c r="A590" s="249" t="str">
        <f t="shared" si="29"/>
        <v>6</v>
      </c>
      <c r="B590" s="249" t="str">
        <f>VLOOKUP($D590,'[4]1. Mesures'!$A$2:$G$116,6,0)</f>
        <v>OS 6.1</v>
      </c>
      <c r="C590" s="249" t="str">
        <f>VLOOKUP($D590,'[4]1. Mesures'!$A$2:$G$116,7,0)</f>
        <v>OO 6.1.1</v>
      </c>
      <c r="D590" s="249" t="str">
        <f t="shared" si="31"/>
        <v>M 6.3</v>
      </c>
      <c r="E590" s="250" t="s">
        <v>1186</v>
      </c>
      <c r="F590" s="249" t="str">
        <f>VLOOKUP(E590,'5.2 Actions'!$A$3:$B$720,2,0)</f>
        <v>Entretenir le pertuis de la Senne (ouvrage)</v>
      </c>
      <c r="G590" s="251">
        <f>VLOOKUP(E590,'[4]5.2 Actions'!$A$3:$D$718,4,0)</f>
        <v>0</v>
      </c>
      <c r="H590" s="252">
        <f>VLOOKUP($E590,'5.1 Budget'!$A$4:$H$729,2,0)</f>
        <v>0</v>
      </c>
      <c r="I590" s="252">
        <f>VLOOKUP($E590,'5.1 Budget'!$A$4:$H$729,3,0)</f>
        <v>0</v>
      </c>
      <c r="J590" s="252">
        <f>VLOOKUP($E590,'5.1 Budget'!$A$4:$H$729,4,0)</f>
        <v>0</v>
      </c>
      <c r="K590" s="252">
        <f>VLOOKUP($E590,'5.1 Budget'!$A$4:$H$729,5,0)</f>
        <v>0</v>
      </c>
      <c r="L590" s="252">
        <f>VLOOKUP($E590,'5.1 Budget'!$A$4:$H$729,6,0)</f>
        <v>0</v>
      </c>
      <c r="M590" s="252">
        <f>VLOOKUP($E590,'5.1 Budget'!$A$4:$H$729,7,0)</f>
        <v>0</v>
      </c>
      <c r="N590" s="252">
        <f>VLOOKUP($E590,'5.1 Budget'!$A$4:$H$729,8,0)</f>
        <v>0</v>
      </c>
      <c r="V590" t="str">
        <f>VLOOKUP(D590,'[4]1. Mesures'!$A$1:$B$116,2,0)</f>
        <v xml:space="preserve">Réaliser les travaux de gestion ordinaire des cours d’eau non navigables et des étangs </v>
      </c>
      <c r="W590" t="e">
        <f>VLOOKUP(B590,[1]HIERARCH!$A$1:$B$57,2,0)</f>
        <v>#N/A</v>
      </c>
      <c r="X590" t="str">
        <f>VLOOKUP(C590,[1]HIERARCH!$A$2:$B$57,2,0)</f>
        <v>Mettre en valeur les cours d'eau, les étangs, les zones humides d'un point de vue écologique et paysager</v>
      </c>
      <c r="Y590" t="str">
        <f t="shared" si="28"/>
        <v>Entretenir le pertuis de la Senne (ouvrage)…</v>
      </c>
    </row>
    <row r="591" spans="1:25" hidden="1" x14ac:dyDescent="0.25">
      <c r="A591" s="249" t="str">
        <f t="shared" si="29"/>
        <v>6</v>
      </c>
      <c r="B591" s="249" t="str">
        <f>VLOOKUP($D591,'[4]1. Mesures'!$A$2:$G$116,6,0)</f>
        <v>OS 6.1</v>
      </c>
      <c r="C591" s="249" t="str">
        <f>VLOOKUP($D591,'[4]1. Mesures'!$A$2:$G$116,7,0)</f>
        <v>OO 6.1.1</v>
      </c>
      <c r="D591" s="249" t="str">
        <f t="shared" si="31"/>
        <v>M 6.3</v>
      </c>
      <c r="E591" s="250" t="s">
        <v>1187</v>
      </c>
      <c r="F591" s="249" t="str">
        <f>VLOOKUP(E591,'5.2 Actions'!$A$3:$B$720,2,0)</f>
        <v>Evacuer préventivement les sources d’embâcles le long des cours d’eau (branchages,…)</v>
      </c>
      <c r="G591" s="251">
        <f>VLOOKUP(E591,'[4]5.2 Actions'!$A$3:$D$718,4,0)</f>
        <v>0</v>
      </c>
      <c r="H591" s="252">
        <f>VLOOKUP($E591,'5.1 Budget'!$A$4:$H$729,2,0)</f>
        <v>0</v>
      </c>
      <c r="I591" s="252">
        <f>VLOOKUP($E591,'5.1 Budget'!$A$4:$H$729,3,0)</f>
        <v>0</v>
      </c>
      <c r="J591" s="252">
        <f>VLOOKUP($E591,'5.1 Budget'!$A$4:$H$729,4,0)</f>
        <v>0</v>
      </c>
      <c r="K591" s="252">
        <f>VLOOKUP($E591,'5.1 Budget'!$A$4:$H$729,5,0)</f>
        <v>0</v>
      </c>
      <c r="L591" s="252">
        <f>VLOOKUP($E591,'5.1 Budget'!$A$4:$H$729,6,0)</f>
        <v>0</v>
      </c>
      <c r="M591" s="252">
        <f>VLOOKUP($E591,'5.1 Budget'!$A$4:$H$729,7,0)</f>
        <v>0</v>
      </c>
      <c r="N591" s="252">
        <f>VLOOKUP($E591,'5.1 Budget'!$A$4:$H$729,8,0)</f>
        <v>0</v>
      </c>
      <c r="V591" t="str">
        <f>VLOOKUP(D591,'[4]1. Mesures'!$A$1:$B$116,2,0)</f>
        <v xml:space="preserve">Réaliser les travaux de gestion ordinaire des cours d’eau non navigables et des étangs </v>
      </c>
      <c r="W591" t="e">
        <f>VLOOKUP(B591,[1]HIERARCH!$A$1:$B$57,2,0)</f>
        <v>#N/A</v>
      </c>
      <c r="X591" t="str">
        <f>VLOOKUP(C591,[1]HIERARCH!$A$2:$B$57,2,0)</f>
        <v>Mettre en valeur les cours d'eau, les étangs, les zones humides d'un point de vue écologique et paysager</v>
      </c>
      <c r="Y591" t="str">
        <f t="shared" si="28"/>
        <v>Evacuer préventivement les sources d’embâcles le long des cours d’eau (branchages,…)…</v>
      </c>
    </row>
    <row r="592" spans="1:25" hidden="1" x14ac:dyDescent="0.25">
      <c r="A592" s="249" t="str">
        <f t="shared" si="29"/>
        <v>6</v>
      </c>
      <c r="B592" s="249" t="str">
        <f>VLOOKUP($D592,'[4]1. Mesures'!$A$2:$G$116,6,0)</f>
        <v>OS 6.1</v>
      </c>
      <c r="C592" s="249" t="str">
        <f>VLOOKUP($D592,'[4]1. Mesures'!$A$2:$G$116,7,0)</f>
        <v>OO 6.1.1</v>
      </c>
      <c r="D592" s="249" t="str">
        <f t="shared" si="31"/>
        <v>M 6.4</v>
      </c>
      <c r="E592" s="250" t="s">
        <v>1188</v>
      </c>
      <c r="F592" s="249" t="str">
        <f>VLOOKUP(E592,'5.2 Actions'!$A$3:$B$720,2,0)</f>
        <v>Identification et géolocalisation des résurgences</v>
      </c>
      <c r="G592" s="251">
        <f>VLOOKUP(E592,'[4]5.2 Actions'!$A$3:$D$718,4,0)</f>
        <v>0</v>
      </c>
      <c r="H592" s="252">
        <f>VLOOKUP($E592,'5.1 Budget'!$A$4:$H$729,2,0)</f>
        <v>10000</v>
      </c>
      <c r="I592" s="252">
        <f>VLOOKUP($E592,'5.1 Budget'!$A$4:$H$729,3,0)</f>
        <v>10000</v>
      </c>
      <c r="J592" s="252">
        <f>VLOOKUP($E592,'5.1 Budget'!$A$4:$H$729,4,0)</f>
        <v>10000</v>
      </c>
      <c r="K592" s="252">
        <f>VLOOKUP($E592,'5.1 Budget'!$A$4:$H$729,5,0)</f>
        <v>10000</v>
      </c>
      <c r="L592" s="252">
        <f>VLOOKUP($E592,'5.1 Budget'!$A$4:$H$729,6,0)</f>
        <v>10000</v>
      </c>
      <c r="M592" s="252">
        <f>VLOOKUP($E592,'5.1 Budget'!$A$4:$H$729,7,0)</f>
        <v>10000</v>
      </c>
      <c r="N592" s="252">
        <f>VLOOKUP($E592,'5.1 Budget'!$A$4:$H$729,8,0)</f>
        <v>60000</v>
      </c>
      <c r="V592" t="str">
        <f>VLOOKUP(D592,'[4]1. Mesures'!$A$1:$B$116,2,0)</f>
        <v>Inventorier et cartographier les sources dans un souci de préservation du patrimoine naturel et d’éventuelles reconnexions au réseau hydrographique</v>
      </c>
      <c r="W592" t="e">
        <f>VLOOKUP(B592,[1]HIERARCH!$A$1:$B$57,2,0)</f>
        <v>#N/A</v>
      </c>
      <c r="X592" t="str">
        <f>VLOOKUP(C592,[1]HIERARCH!$A$2:$B$57,2,0)</f>
        <v>Mettre en valeur les cours d'eau, les étangs, les zones humides d'un point de vue écologique et paysager</v>
      </c>
      <c r="Y592" t="str">
        <f t="shared" si="28"/>
        <v>Identification et géolocalisation des résurgences…</v>
      </c>
    </row>
    <row r="593" spans="1:25" hidden="1" x14ac:dyDescent="0.25">
      <c r="A593" s="249" t="str">
        <f t="shared" si="29"/>
        <v>6</v>
      </c>
      <c r="B593" s="249" t="str">
        <f>VLOOKUP($D593,'[4]1. Mesures'!$A$2:$G$116,6,0)</f>
        <v>OS 6.1</v>
      </c>
      <c r="C593" s="249" t="str">
        <f>VLOOKUP($D593,'[4]1. Mesures'!$A$2:$G$116,7,0)</f>
        <v>OO 6.1.1</v>
      </c>
      <c r="D593" s="249" t="str">
        <f t="shared" si="31"/>
        <v>M 6.4</v>
      </c>
      <c r="E593" s="250" t="s">
        <v>1189</v>
      </c>
      <c r="F593" s="249" t="str">
        <f>VLOOKUP(E593,'5.2 Actions'!$A$3:$B$720,2,0)</f>
        <v>Validation hydrogéologique et intégration dans une base de données et outils cartographiques (atlas, geodata)</v>
      </c>
      <c r="G593" s="251">
        <f>VLOOKUP(E593,'[4]5.2 Actions'!$A$3:$D$718,4,0)</f>
        <v>0</v>
      </c>
      <c r="H593" s="252">
        <f>VLOOKUP($E593,'5.1 Budget'!$A$4:$H$729,2,0)</f>
        <v>0</v>
      </c>
      <c r="I593" s="252">
        <f>VLOOKUP($E593,'5.1 Budget'!$A$4:$H$729,3,0)</f>
        <v>0</v>
      </c>
      <c r="J593" s="252">
        <f>VLOOKUP($E593,'5.1 Budget'!$A$4:$H$729,4,0)</f>
        <v>0</v>
      </c>
      <c r="K593" s="252">
        <f>VLOOKUP($E593,'5.1 Budget'!$A$4:$H$729,5,0)</f>
        <v>0</v>
      </c>
      <c r="L593" s="252">
        <f>VLOOKUP($E593,'5.1 Budget'!$A$4:$H$729,6,0)</f>
        <v>0</v>
      </c>
      <c r="M593" s="252">
        <f>VLOOKUP($E593,'5.1 Budget'!$A$4:$H$729,7,0)</f>
        <v>0</v>
      </c>
      <c r="N593" s="252">
        <f>VLOOKUP($E593,'5.1 Budget'!$A$4:$H$729,8,0)</f>
        <v>0</v>
      </c>
      <c r="V593" t="str">
        <f>VLOOKUP(D593,'[4]1. Mesures'!$A$1:$B$116,2,0)</f>
        <v>Inventorier et cartographier les sources dans un souci de préservation du patrimoine naturel et d’éventuelles reconnexions au réseau hydrographique</v>
      </c>
      <c r="W593" t="e">
        <f>VLOOKUP(B593,[1]HIERARCH!$A$1:$B$57,2,0)</f>
        <v>#N/A</v>
      </c>
      <c r="X593" t="str">
        <f>VLOOKUP(C593,[1]HIERARCH!$A$2:$B$57,2,0)</f>
        <v>Mettre en valeur les cours d'eau, les étangs, les zones humides d'un point de vue écologique et paysager</v>
      </c>
      <c r="Y593" t="str">
        <f t="shared" si="28"/>
        <v>Validation hydrogéologique et intégration dans une base de données et outils cartographiques (atlas, geodata)…</v>
      </c>
    </row>
    <row r="594" spans="1:25" hidden="1" x14ac:dyDescent="0.25">
      <c r="A594" s="249" t="str">
        <f t="shared" si="29"/>
        <v>6</v>
      </c>
      <c r="B594" s="249" t="str">
        <f>VLOOKUP($D594,'[4]1. Mesures'!$A$2:$G$116,6,0)</f>
        <v>OS 6.1</v>
      </c>
      <c r="C594" s="249" t="str">
        <f>VLOOKUP($D594,'[4]1. Mesures'!$A$2:$G$116,7,0)</f>
        <v>OO 6.1.1</v>
      </c>
      <c r="D594" s="249" t="str">
        <f t="shared" si="31"/>
        <v>M 6.4</v>
      </c>
      <c r="E594" s="250" t="s">
        <v>1190</v>
      </c>
      <c r="F594" s="249" t="str">
        <f>VLOOKUP(E594,'5.2 Actions'!$A$3:$B$720,2,0)</f>
        <v>Communication et mise à disposition des cartes de sensibilisation au public</v>
      </c>
      <c r="G594" s="251">
        <f>VLOOKUP(E594,'[4]5.2 Actions'!$A$3:$D$718,4,0)</f>
        <v>0</v>
      </c>
      <c r="H594" s="252">
        <f>VLOOKUP($E594,'5.1 Budget'!$A$4:$H$729,2,0)</f>
        <v>0</v>
      </c>
      <c r="I594" s="252">
        <f>VLOOKUP($E594,'5.1 Budget'!$A$4:$H$729,3,0)</f>
        <v>0</v>
      </c>
      <c r="J594" s="252">
        <f>VLOOKUP($E594,'5.1 Budget'!$A$4:$H$729,4,0)</f>
        <v>0</v>
      </c>
      <c r="K594" s="252">
        <f>VLOOKUP($E594,'5.1 Budget'!$A$4:$H$729,5,0)</f>
        <v>0</v>
      </c>
      <c r="L594" s="252">
        <f>VLOOKUP($E594,'5.1 Budget'!$A$4:$H$729,6,0)</f>
        <v>0</v>
      </c>
      <c r="M594" s="252">
        <f>VLOOKUP($E594,'5.1 Budget'!$A$4:$H$729,7,0)</f>
        <v>0</v>
      </c>
      <c r="N594" s="252">
        <f>VLOOKUP($E594,'5.1 Budget'!$A$4:$H$729,8,0)</f>
        <v>0</v>
      </c>
      <c r="V594" t="str">
        <f>VLOOKUP(D594,'[4]1. Mesures'!$A$1:$B$116,2,0)</f>
        <v>Inventorier et cartographier les sources dans un souci de préservation du patrimoine naturel et d’éventuelles reconnexions au réseau hydrographique</v>
      </c>
      <c r="W594" t="e">
        <f>VLOOKUP(B594,[1]HIERARCH!$A$1:$B$57,2,0)</f>
        <v>#N/A</v>
      </c>
      <c r="X594" t="str">
        <f>VLOOKUP(C594,[1]HIERARCH!$A$2:$B$57,2,0)</f>
        <v>Mettre en valeur les cours d'eau, les étangs, les zones humides d'un point de vue écologique et paysager</v>
      </c>
      <c r="Y594" t="str">
        <f t="shared" si="28"/>
        <v>Communication et mise à disposition des cartes de sensibilisation au public…</v>
      </c>
    </row>
    <row r="595" spans="1:25" hidden="1" x14ac:dyDescent="0.25">
      <c r="A595" s="249" t="str">
        <f t="shared" si="29"/>
        <v>6</v>
      </c>
      <c r="B595" s="249" t="str">
        <f>VLOOKUP($D595,'[4]1. Mesures'!$A$2:$G$116,6,0)</f>
        <v>OS 6.1</v>
      </c>
      <c r="C595" s="249" t="str">
        <f>VLOOKUP($D595,'[4]1. Mesures'!$A$2:$G$116,7,0)</f>
        <v>OO 6.1.1</v>
      </c>
      <c r="D595" s="249" t="str">
        <f t="shared" si="31"/>
        <v>M 6.4</v>
      </c>
      <c r="E595" s="250" t="s">
        <v>1191</v>
      </c>
      <c r="F595" s="249" t="str">
        <f>VLOOKUP(E595,'5.2 Actions'!$A$3:$B$720,2,0)</f>
        <v>Envisager la mise en valeur des sources par l’amélioration de leur visibilité dans l’espace public</v>
      </c>
      <c r="G595" s="251">
        <f>VLOOKUP(E595,'[4]5.2 Actions'!$A$3:$D$718,4,0)</f>
        <v>0</v>
      </c>
      <c r="H595" s="252">
        <f>VLOOKUP($E595,'5.1 Budget'!$A$4:$H$729,2,0)</f>
        <v>0</v>
      </c>
      <c r="I595" s="252">
        <f>VLOOKUP($E595,'5.1 Budget'!$A$4:$H$729,3,0)</f>
        <v>5000</v>
      </c>
      <c r="J595" s="252">
        <f>VLOOKUP($E595,'5.1 Budget'!$A$4:$H$729,4,0)</f>
        <v>5000</v>
      </c>
      <c r="K595" s="252">
        <f>VLOOKUP($E595,'5.1 Budget'!$A$4:$H$729,5,0)</f>
        <v>5000</v>
      </c>
      <c r="L595" s="252">
        <f>VLOOKUP($E595,'5.1 Budget'!$A$4:$H$729,6,0)</f>
        <v>5000</v>
      </c>
      <c r="M595" s="252">
        <f>VLOOKUP($E595,'5.1 Budget'!$A$4:$H$729,7,0)</f>
        <v>5000</v>
      </c>
      <c r="N595" s="252">
        <f>VLOOKUP($E595,'5.1 Budget'!$A$4:$H$729,8,0)</f>
        <v>25000</v>
      </c>
      <c r="V595" t="str">
        <f>VLOOKUP(D595,'[4]1. Mesures'!$A$1:$B$116,2,0)</f>
        <v>Inventorier et cartographier les sources dans un souci de préservation du patrimoine naturel et d’éventuelles reconnexions au réseau hydrographique</v>
      </c>
      <c r="W595" t="e">
        <f>VLOOKUP(B595,[1]HIERARCH!$A$1:$B$57,2,0)</f>
        <v>#N/A</v>
      </c>
      <c r="X595" t="str">
        <f>VLOOKUP(C595,[1]HIERARCH!$A$2:$B$57,2,0)</f>
        <v>Mettre en valeur les cours d'eau, les étangs, les zones humides d'un point de vue écologique et paysager</v>
      </c>
      <c r="Y595" t="str">
        <f t="shared" si="28"/>
        <v>Envisager la mise en valeur des sources par l’amélioration de leur visibilité dans l’espace public…</v>
      </c>
    </row>
    <row r="596" spans="1:25" hidden="1" x14ac:dyDescent="0.25">
      <c r="A596" s="249" t="str">
        <f t="shared" si="29"/>
        <v>6</v>
      </c>
      <c r="B596" s="249" t="str">
        <f>VLOOKUP($D596,'[4]1. Mesures'!$A$2:$G$116,6,0)</f>
        <v>OS 6.1</v>
      </c>
      <c r="C596" s="249" t="str">
        <f>VLOOKUP($D596,'[4]1. Mesures'!$A$2:$G$116,7,0)</f>
        <v>OO 6.1.1</v>
      </c>
      <c r="D596" s="249" t="str">
        <f t="shared" si="31"/>
        <v>M 6.5</v>
      </c>
      <c r="E596" s="250" t="s">
        <v>1192</v>
      </c>
      <c r="F596" s="249" t="str">
        <f>VLOOKUP(E596,'5.2 Actions'!$A$3:$B$720,2,0)</f>
        <v>Assurer une présence sur terrain pour sensibiliser, contrôler et, le cas échéant, sanctionner les personnes qui contreviendraient aux règles établies pour la préservation du réseau hydrographique (y compris formation des agents)</v>
      </c>
      <c r="G596" s="251">
        <f>VLOOKUP(E596,'[4]5.2 Actions'!$A$3:$D$718,4,0)</f>
        <v>0</v>
      </c>
      <c r="H596" s="252">
        <f>VLOOKUP($E596,'5.1 Budget'!$A$4:$H$729,2,0)</f>
        <v>0</v>
      </c>
      <c r="I596" s="252">
        <f>VLOOKUP($E596,'5.1 Budget'!$A$4:$H$729,3,0)</f>
        <v>0</v>
      </c>
      <c r="J596" s="252">
        <f>VLOOKUP($E596,'5.1 Budget'!$A$4:$H$729,4,0)</f>
        <v>0</v>
      </c>
      <c r="K596" s="252">
        <f>VLOOKUP($E596,'5.1 Budget'!$A$4:$H$729,5,0)</f>
        <v>0</v>
      </c>
      <c r="L596" s="252">
        <f>VLOOKUP($E596,'5.1 Budget'!$A$4:$H$729,6,0)</f>
        <v>0</v>
      </c>
      <c r="M596" s="252">
        <f>VLOOKUP($E596,'5.1 Budget'!$A$4:$H$729,7,0)</f>
        <v>0</v>
      </c>
      <c r="N596" s="252">
        <f>VLOOKUP($E596,'5.1 Budget'!$A$4:$H$729,8,0)</f>
        <v>0</v>
      </c>
      <c r="V596" t="str">
        <f>VLOOKUP(D596,'[4]1. Mesures'!$A$1:$B$116,2,0)</f>
        <v>Assurer le contrôle de la législation en vigueur en matière de protection du réseau hydrographique</v>
      </c>
      <c r="W596" t="e">
        <f>VLOOKUP(B596,[1]HIERARCH!$A$1:$B$57,2,0)</f>
        <v>#N/A</v>
      </c>
      <c r="X596" t="str">
        <f>VLOOKUP(C596,[1]HIERARCH!$A$2:$B$57,2,0)</f>
        <v>Mettre en valeur les cours d'eau, les étangs, les zones humides d'un point de vue écologique et paysager</v>
      </c>
      <c r="Y596" t="str">
        <f t="shared" si="28"/>
        <v>Assurer une présence sur terrain pour sensibiliser, contrôler et, le cas échéant, sanctionner les personnes qui contrevi…</v>
      </c>
    </row>
    <row r="597" spans="1:25" hidden="1" x14ac:dyDescent="0.25">
      <c r="A597" s="249" t="str">
        <f t="shared" si="29"/>
        <v>6</v>
      </c>
      <c r="B597" s="249" t="str">
        <f>VLOOKUP($D597,'[4]1. Mesures'!$A$2:$G$116,6,0)</f>
        <v>OS 6.1</v>
      </c>
      <c r="C597" s="249" t="str">
        <f>VLOOKUP($D597,'[4]1. Mesures'!$A$2:$G$116,7,0)</f>
        <v>OO 6.1.2</v>
      </c>
      <c r="D597" s="249" t="str">
        <f t="shared" si="31"/>
        <v>M 6.6</v>
      </c>
      <c r="E597" s="250" t="s">
        <v>3009</v>
      </c>
      <c r="F597" s="249" t="str">
        <f>VLOOKUP(E597,'5.2 Actions'!$A$3:$B$720,2,0)</f>
        <v>Réaliser une étude pour créer une promenade lors de l’aménagement de berges de la Senne et lit naturels et d’un bras mort à hauteur de la Rue du Charroi (île Sainte Hélène, en aval du Boulevard Paepsem) (partie balade - voir également fiche M1.2)</v>
      </c>
      <c r="G597" s="251"/>
      <c r="H597" s="252"/>
      <c r="I597" s="252"/>
      <c r="J597" s="252"/>
      <c r="K597" s="252"/>
      <c r="L597" s="252"/>
      <c r="M597" s="252"/>
      <c r="N597" s="252"/>
    </row>
    <row r="598" spans="1:25" hidden="1" x14ac:dyDescent="0.25">
      <c r="A598" s="249" t="str">
        <f t="shared" si="29"/>
        <v>6</v>
      </c>
      <c r="B598" s="249" t="str">
        <f>VLOOKUP($D598,'[4]1. Mesures'!$A$2:$G$116,6,0)</f>
        <v>OS 6.1</v>
      </c>
      <c r="C598" s="249" t="str">
        <f>VLOOKUP($D598,'[4]1. Mesures'!$A$2:$G$116,7,0)</f>
        <v>OO 6.1.2</v>
      </c>
      <c r="D598" s="249" t="str">
        <f t="shared" si="31"/>
        <v>M 6.6</v>
      </c>
      <c r="E598" s="250" t="s">
        <v>3010</v>
      </c>
      <c r="F598" s="249" t="str">
        <f>VLOOKUP(E598,'5.2 Actions'!$A$3:$B$720,2,0)</f>
        <v>Poursuivre l’aménagement de berges de la Senne et lit naturels et d’un bras mort à hauteur de la Rue du Charroi (île Sainte Hélène, en aval du Boulevard Paepsem)
(partie  promenade - voir également fiche M1.2 pour la renaturation)</v>
      </c>
      <c r="G598" s="251"/>
      <c r="H598" s="252"/>
      <c r="I598" s="252"/>
      <c r="J598" s="252"/>
      <c r="K598" s="252"/>
      <c r="L598" s="252"/>
      <c r="M598" s="252"/>
      <c r="N598" s="252"/>
    </row>
    <row r="599" spans="1:25" hidden="1" x14ac:dyDescent="0.25">
      <c r="A599" s="249" t="str">
        <f t="shared" si="29"/>
        <v>6</v>
      </c>
      <c r="B599" s="249" t="str">
        <f>VLOOKUP($D599,'[4]1. Mesures'!$A$2:$G$116,6,0)</f>
        <v>OS 6.1</v>
      </c>
      <c r="C599" s="249" t="str">
        <f>VLOOKUP($D599,'[4]1. Mesures'!$A$2:$G$116,7,0)</f>
        <v>OO 6.1.2</v>
      </c>
      <c r="D599" s="249" t="str">
        <f t="shared" si="31"/>
        <v>M 6.6</v>
      </c>
      <c r="E599" s="250" t="s">
        <v>3011</v>
      </c>
      <c r="F599" s="249" t="str">
        <f>VLOOKUP(E599,'5.2 Actions'!$A$3:$B$720,2,0)</f>
        <v>Réaliser une étude de faisabilité pour l’aménagement d’une promenade le long de la Senne entre la Rue du Charroi et la Rue des Vétérinaires</v>
      </c>
      <c r="G599" s="251"/>
      <c r="H599" s="252"/>
      <c r="I599" s="252"/>
      <c r="J599" s="252"/>
      <c r="K599" s="252"/>
      <c r="L599" s="252"/>
      <c r="M599" s="252"/>
      <c r="N599" s="252"/>
    </row>
    <row r="600" spans="1:25" hidden="1" x14ac:dyDescent="0.25">
      <c r="A600" s="249" t="str">
        <f t="shared" si="29"/>
        <v>6</v>
      </c>
      <c r="B600" s="249" t="str">
        <f>VLOOKUP($D600,'[4]1. Mesures'!$A$2:$G$116,6,0)</f>
        <v>OS 6.1</v>
      </c>
      <c r="C600" s="249" t="str">
        <f>VLOOKUP($D600,'[4]1. Mesures'!$A$2:$G$116,7,0)</f>
        <v>OO 6.1.2</v>
      </c>
      <c r="D600" s="249" t="str">
        <f t="shared" si="31"/>
        <v>M 6.6</v>
      </c>
      <c r="E600" s="250" t="s">
        <v>3012</v>
      </c>
      <c r="F600" s="249" t="str">
        <f>VLOOKUP(E600,'5.2 Actions'!$A$3:$B$720,2,0)</f>
        <v>Projet « Max-sur-Senne » : réaménagement du parc Maximilien avec mise à ciel ouvert de la Senne sur une longueur de 580 m minimum – Etude (partie promenade - voir également fiche M 1.1 pour la mise à ciel ouvert du cours d’eau)</v>
      </c>
      <c r="G600" s="251"/>
      <c r="H600" s="252"/>
      <c r="I600" s="252"/>
      <c r="J600" s="252"/>
      <c r="K600" s="252"/>
      <c r="L600" s="252"/>
      <c r="M600" s="252"/>
      <c r="N600" s="252"/>
    </row>
    <row r="601" spans="1:25" hidden="1" x14ac:dyDescent="0.25">
      <c r="A601" s="249" t="str">
        <f t="shared" si="29"/>
        <v>6</v>
      </c>
      <c r="B601" s="249" t="str">
        <f>VLOOKUP($D601,'[4]1. Mesures'!$A$2:$G$116,6,0)</f>
        <v>OS 6.1</v>
      </c>
      <c r="C601" s="249" t="str">
        <f>VLOOKUP($D601,'[4]1. Mesures'!$A$2:$G$116,7,0)</f>
        <v>OO 6.1.2</v>
      </c>
      <c r="D601" s="249" t="str">
        <f t="shared" si="31"/>
        <v>M 6.6</v>
      </c>
      <c r="E601" s="250" t="s">
        <v>3013</v>
      </c>
      <c r="F601" s="249" t="str">
        <f>VLOOKUP(E601,'5.2 Actions'!$A$3:$B$720,2,0)</f>
        <v>Projet « Max-sur-Senne » : réaménagement du parc Maximilien avec mise à ciel ouvert de la Senne sur une longueur de 580 m minimum – Travaux (partie promenade - voir également fiche M 1.1 pour la mise à ciel ouvert du cours d’eau)</v>
      </c>
      <c r="G601" s="251"/>
      <c r="H601" s="252"/>
      <c r="I601" s="252"/>
      <c r="J601" s="252"/>
      <c r="K601" s="252"/>
      <c r="L601" s="252"/>
      <c r="M601" s="252"/>
      <c r="N601" s="252"/>
    </row>
    <row r="602" spans="1:25" hidden="1" x14ac:dyDescent="0.25">
      <c r="A602" s="249" t="str">
        <f t="shared" si="29"/>
        <v>6</v>
      </c>
      <c r="B602" s="249" t="str">
        <f>VLOOKUP($D602,'[4]1. Mesures'!$A$2:$G$116,6,0)</f>
        <v>OS 6.1</v>
      </c>
      <c r="C602" s="249" t="str">
        <f>VLOOKUP($D602,'[4]1. Mesures'!$A$2:$G$116,7,0)</f>
        <v>OO 6.1.2</v>
      </c>
      <c r="D602" s="249" t="str">
        <f t="shared" si="31"/>
        <v>M 6.6</v>
      </c>
      <c r="E602" s="250" t="s">
        <v>3014</v>
      </c>
      <c r="F602" s="249" t="str">
        <f>VLOOKUP(E602,'5.2 Actions'!$A$3:$B$720,2,0)</f>
        <v>Mettre en valeur la Senne sur le site de Schaerbeek Formation par la création de promenade – phase étude (partie promenade  - voir également fiche M 1.1 pour la mise à ciel ouvert du cours d’eau)</v>
      </c>
      <c r="G602" s="251"/>
      <c r="H602" s="252"/>
      <c r="I602" s="252"/>
      <c r="J602" s="252"/>
      <c r="K602" s="252"/>
      <c r="L602" s="252"/>
      <c r="M602" s="252"/>
      <c r="N602" s="252"/>
    </row>
    <row r="603" spans="1:25" hidden="1" x14ac:dyDescent="0.25">
      <c r="A603" s="249" t="str">
        <f t="shared" si="29"/>
        <v>6</v>
      </c>
      <c r="B603" s="249" t="str">
        <f>VLOOKUP($D603,'[4]1. Mesures'!$A$2:$G$116,6,0)</f>
        <v>OS 6.1</v>
      </c>
      <c r="C603" s="249" t="str">
        <f>VLOOKUP($D603,'[4]1. Mesures'!$A$2:$G$116,7,0)</f>
        <v>OO 6.1.2</v>
      </c>
      <c r="D603" s="249" t="str">
        <f t="shared" si="31"/>
        <v>M 6.6</v>
      </c>
      <c r="E603" s="250" t="s">
        <v>3015</v>
      </c>
      <c r="F603" s="249" t="str">
        <f>VLOOKUP(E603,'5.2 Actions'!$A$3:$B$720,2,0)</f>
        <v>Mettre en valeur la Senne sur le site de Schaerbeek Formation par la création de promenade – phase travaux (partie promenade - voir également fiche M 1.1 pour la mise à ciel ouvert du cours d’eau)</v>
      </c>
      <c r="G603" s="251"/>
      <c r="H603" s="252"/>
      <c r="I603" s="252"/>
      <c r="J603" s="252"/>
      <c r="K603" s="252"/>
      <c r="L603" s="252"/>
      <c r="M603" s="252"/>
      <c r="N603" s="252"/>
    </row>
    <row r="604" spans="1:25" hidden="1" x14ac:dyDescent="0.25">
      <c r="A604" s="249" t="str">
        <f t="shared" si="29"/>
        <v>6</v>
      </c>
      <c r="B604" s="249" t="str">
        <f>VLOOKUP($D604,'[4]1. Mesures'!$A$2:$G$116,6,0)</f>
        <v>OS 6.1</v>
      </c>
      <c r="C604" s="249" t="str">
        <f>VLOOKUP($D604,'[4]1. Mesures'!$A$2:$G$116,7,0)</f>
        <v>OO 6.1.2</v>
      </c>
      <c r="D604" s="249" t="str">
        <f t="shared" si="31"/>
        <v>M 6.6</v>
      </c>
      <c r="E604" s="250" t="s">
        <v>3016</v>
      </c>
      <c r="F604" s="249" t="str">
        <f>VLOOKUP(E604,'5.2 Actions'!$A$3:$B$720,2,0)</f>
        <v>Réaliser une étude interne de faisabilité pour l’ouverture de la promenade existante du domaine de Val Duchesse  pour permettre la promenade le long de la Woluwe</v>
      </c>
      <c r="G604" s="251"/>
      <c r="H604" s="252"/>
      <c r="I604" s="252"/>
      <c r="J604" s="252"/>
      <c r="K604" s="252"/>
      <c r="L604" s="252"/>
      <c r="M604" s="252"/>
      <c r="N604" s="252"/>
    </row>
    <row r="605" spans="1:25" hidden="1" x14ac:dyDescent="0.25">
      <c r="A605" s="249" t="str">
        <f t="shared" si="29"/>
        <v>6</v>
      </c>
      <c r="B605" s="249" t="str">
        <f>VLOOKUP($D605,'[4]1. Mesures'!$A$2:$G$116,6,0)</f>
        <v>OS 6.1</v>
      </c>
      <c r="C605" s="249" t="str">
        <f>VLOOKUP($D605,'[4]1. Mesures'!$A$2:$G$116,7,0)</f>
        <v>OO 6.1.2</v>
      </c>
      <c r="D605" s="249" t="str">
        <f t="shared" si="31"/>
        <v>M 6.6</v>
      </c>
      <c r="E605" s="250" t="s">
        <v>3017</v>
      </c>
      <c r="F605" s="249" t="str">
        <f>VLOOKUP(E605,'5.2 Actions'!$A$3:$B$720,2,0)</f>
        <v>Mettre en valeur le réseau hydrographique et son histoire au travers de promenades thématiques</v>
      </c>
      <c r="G605" s="251"/>
      <c r="H605" s="252"/>
      <c r="I605" s="252"/>
      <c r="J605" s="252"/>
      <c r="K605" s="252"/>
      <c r="L605" s="252"/>
      <c r="M605" s="252"/>
      <c r="N605" s="252"/>
    </row>
    <row r="606" spans="1:25" hidden="1" x14ac:dyDescent="0.25">
      <c r="A606" s="249" t="str">
        <f t="shared" si="29"/>
        <v>6</v>
      </c>
      <c r="B606" s="249" t="str">
        <f>VLOOKUP($D606,'[4]1. Mesures'!$A$2:$G$116,6,0)</f>
        <v>OS 6.1</v>
      </c>
      <c r="C606" s="249" t="str">
        <f>VLOOKUP($D606,'[4]1. Mesures'!$A$2:$G$116,7,0)</f>
        <v>OO 6.1.2</v>
      </c>
      <c r="D606" s="249" t="str">
        <f t="shared" si="31"/>
        <v>M 6.6</v>
      </c>
      <c r="E606" s="250" t="s">
        <v>3018</v>
      </c>
      <c r="F606" s="249" t="str">
        <f>VLOOKUP(E606,'5.2 Actions'!$A$3:$B$720,2,0)</f>
        <v>Aménager des berges naturelles et d’une promenade entre la Rue du Charroi et la Rue des Vétérinaires – Etude (partie promenade - voir également fiche M1.2 pour la renaturation)</v>
      </c>
      <c r="G606" s="251"/>
      <c r="H606" s="252"/>
      <c r="I606" s="252"/>
      <c r="J606" s="252"/>
      <c r="K606" s="252"/>
      <c r="L606" s="252"/>
      <c r="M606" s="252"/>
      <c r="N606" s="252"/>
    </row>
    <row r="607" spans="1:25" hidden="1" x14ac:dyDescent="0.25">
      <c r="A607" s="249" t="str">
        <f t="shared" si="29"/>
        <v>6</v>
      </c>
      <c r="B607" s="249" t="str">
        <f>VLOOKUP($D607,'[4]1. Mesures'!$A$2:$G$116,6,0)</f>
        <v>OS 6.1</v>
      </c>
      <c r="C607" s="249" t="str">
        <f>VLOOKUP($D607,'[4]1. Mesures'!$A$2:$G$116,7,0)</f>
        <v>OO 6.1.2</v>
      </c>
      <c r="D607" s="249" t="str">
        <f t="shared" si="31"/>
        <v>M 6.6</v>
      </c>
      <c r="E607" s="250" t="s">
        <v>3019</v>
      </c>
      <c r="F607" s="249" t="str">
        <f>VLOOKUP(E607,'5.2 Actions'!$A$3:$B$720,2,0)</f>
        <v>Aménager des berges naturelles entre la Dérivation d’Aa et la Rue Bollinckx – Etude (voir également fiche M1.2 pour la renaturation)</v>
      </c>
      <c r="G607" s="251"/>
      <c r="H607" s="252"/>
      <c r="I607" s="252"/>
      <c r="J607" s="252"/>
      <c r="K607" s="252"/>
      <c r="L607" s="252"/>
      <c r="M607" s="252"/>
      <c r="N607" s="252"/>
    </row>
    <row r="608" spans="1:25" hidden="1" x14ac:dyDescent="0.25">
      <c r="A608" s="249" t="str">
        <f t="shared" si="29"/>
        <v>6</v>
      </c>
      <c r="B608" s="249" t="str">
        <f>VLOOKUP($D608,'[4]1. Mesures'!$A$2:$G$116,6,0)</f>
        <v>OS 6.1</v>
      </c>
      <c r="C608" s="249" t="str">
        <f>VLOOKUP($D608,'[4]1. Mesures'!$A$2:$G$116,7,0)</f>
        <v>OO 6.1.2</v>
      </c>
      <c r="D608" s="249" t="str">
        <f t="shared" si="31"/>
        <v>M 6.6</v>
      </c>
      <c r="E608" s="250" t="s">
        <v>3020</v>
      </c>
      <c r="F608" s="249" t="str">
        <f>VLOOKUP(E608,'5.2 Actions'!$A$3:$B$720,2,0)</f>
        <v>Aménager des berges naturelles entre la Dérivation d’Aa et la Rue Bollinckx – Travaux (voir également fiche M1.2 pour la renaturation)</v>
      </c>
      <c r="G608" s="251"/>
      <c r="H608" s="252"/>
      <c r="I608" s="252"/>
      <c r="J608" s="252"/>
      <c r="K608" s="252"/>
      <c r="L608" s="252"/>
      <c r="M608" s="252"/>
      <c r="N608" s="252"/>
    </row>
    <row r="609" spans="1:25" hidden="1" x14ac:dyDescent="0.25">
      <c r="A609" s="249" t="str">
        <f t="shared" si="29"/>
        <v>6</v>
      </c>
      <c r="B609" s="249" t="str">
        <f>VLOOKUP($D609,'[4]1. Mesures'!$A$2:$G$116,6,0)</f>
        <v>OS 6.1</v>
      </c>
      <c r="C609" s="249" t="str">
        <f>VLOOKUP($D609,'[4]1. Mesures'!$A$2:$G$116,7,0)</f>
        <v>OO 6.1.2</v>
      </c>
      <c r="D609" s="249" t="str">
        <f t="shared" si="31"/>
        <v>M 6.7</v>
      </c>
      <c r="E609" s="250" t="s">
        <v>1193</v>
      </c>
      <c r="F609" s="249" t="str">
        <f>VLOOKUP(E609,'5.2 Actions'!$A$3:$B$720,2,0)</f>
        <v>Mener une étude projet d’aménagement d’un étang de baignade et ses abords (pour les parties qui ne concernent pas l’étang de baignade, voir également fiche M 3.7)</v>
      </c>
      <c r="G609" s="251">
        <f>VLOOKUP(E609,'[4]5.2 Actions'!$A$3:$D$718,4,0)</f>
        <v>0</v>
      </c>
      <c r="H609" s="252">
        <f>VLOOKUP($E609,'5.1 Budget'!$A$4:$H$729,2,0)</f>
        <v>200000</v>
      </c>
      <c r="I609" s="252">
        <f>VLOOKUP($E609,'5.1 Budget'!$A$4:$H$729,3,0)</f>
        <v>65000</v>
      </c>
      <c r="J609" s="252">
        <f>VLOOKUP($E609,'5.1 Budget'!$A$4:$H$729,4,0)</f>
        <v>0</v>
      </c>
      <c r="K609" s="252">
        <f>VLOOKUP($E609,'5.1 Budget'!$A$4:$H$729,5,0)</f>
        <v>0</v>
      </c>
      <c r="L609" s="252">
        <f>VLOOKUP($E609,'5.1 Budget'!$A$4:$H$729,6,0)</f>
        <v>0</v>
      </c>
      <c r="M609" s="252">
        <f>VLOOKUP($E609,'5.1 Budget'!$A$4:$H$729,7,0)</f>
        <v>0</v>
      </c>
      <c r="N609" s="252">
        <f>VLOOKUP($E609,'5.1 Budget'!$A$4:$H$729,8,0)</f>
        <v>265000</v>
      </c>
      <c r="V609" t="str">
        <f>VLOOKUP(D609,'[4]1. Mesures'!$A$1:$B$116,2,0)</f>
        <v>Encadrer la pratique de la baignade dans un étang régional</v>
      </c>
      <c r="W609" t="e">
        <f>VLOOKUP(B609,[1]HIERARCH!$A$1:$B$57,2,0)</f>
        <v>#N/A</v>
      </c>
      <c r="X609" t="str">
        <f>VLOOKUP(C609,[1]HIERARCH!$A$2:$B$57,2,0)</f>
        <v>Développer et encadrer la pratique de loisirs et activités récréatives liés à l’eau</v>
      </c>
      <c r="Y609" t="str">
        <f t="shared" si="28"/>
        <v>Mener une étude projet d’aménagement d’un étang de baignade et ses abords (pour les parties qui ne concernent pas l’étan…</v>
      </c>
    </row>
    <row r="610" spans="1:25" hidden="1" x14ac:dyDescent="0.25">
      <c r="A610" s="249" t="str">
        <f t="shared" si="29"/>
        <v>6</v>
      </c>
      <c r="B610" s="249" t="str">
        <f>VLOOKUP($D610,'[4]1. Mesures'!$A$2:$G$116,6,0)</f>
        <v>OS 6.1</v>
      </c>
      <c r="C610" s="249" t="str">
        <f>VLOOKUP($D610,'[4]1. Mesures'!$A$2:$G$116,7,0)</f>
        <v>OO 6.1.2</v>
      </c>
      <c r="D610" s="249" t="str">
        <f t="shared" si="31"/>
        <v>M 6.7</v>
      </c>
      <c r="E610" s="250" t="s">
        <v>1194</v>
      </c>
      <c r="F610" s="249" t="str">
        <f>VLOOKUP(E610,'5.2 Actions'!$A$3:$B$720,2,0)</f>
        <v>Adapter le cadre réglementaire des piscines</v>
      </c>
      <c r="G610" s="251">
        <f>VLOOKUP(E610,'[4]5.2 Actions'!$A$3:$D$718,4,0)</f>
        <v>0</v>
      </c>
      <c r="H610" s="252">
        <f>VLOOKUP($E610,'5.1 Budget'!$A$4:$H$729,2,0)</f>
        <v>0</v>
      </c>
      <c r="I610" s="252">
        <f>VLOOKUP($E610,'5.1 Budget'!$A$4:$H$729,3,0)</f>
        <v>0</v>
      </c>
      <c r="J610" s="252">
        <f>VLOOKUP($E610,'5.1 Budget'!$A$4:$H$729,4,0)</f>
        <v>0</v>
      </c>
      <c r="K610" s="252">
        <f>VLOOKUP($E610,'5.1 Budget'!$A$4:$H$729,5,0)</f>
        <v>0</v>
      </c>
      <c r="L610" s="252">
        <f>VLOOKUP($E610,'5.1 Budget'!$A$4:$H$729,6,0)</f>
        <v>0</v>
      </c>
      <c r="M610" s="252">
        <f>VLOOKUP($E610,'5.1 Budget'!$A$4:$H$729,7,0)</f>
        <v>0</v>
      </c>
      <c r="N610" s="252">
        <f>VLOOKUP($E610,'5.1 Budget'!$A$4:$H$729,8,0)</f>
        <v>0</v>
      </c>
      <c r="V610" t="str">
        <f>VLOOKUP(D610,'[4]1. Mesures'!$A$1:$B$116,2,0)</f>
        <v>Encadrer la pratique de la baignade dans un étang régional</v>
      </c>
      <c r="W610" t="e">
        <f>VLOOKUP(B610,[1]HIERARCH!$A$1:$B$57,2,0)</f>
        <v>#N/A</v>
      </c>
      <c r="X610" t="str">
        <f>VLOOKUP(C610,[1]HIERARCH!$A$2:$B$57,2,0)</f>
        <v>Développer et encadrer la pratique de loisirs et activités récréatives liés à l’eau</v>
      </c>
      <c r="Y610" t="str">
        <f t="shared" ref="Y610:Y673" si="32">LEFT(F610,120)&amp;"…"</f>
        <v>Adapter le cadre réglementaire des piscines…</v>
      </c>
    </row>
    <row r="611" spans="1:25" hidden="1" x14ac:dyDescent="0.25">
      <c r="A611" s="249" t="str">
        <f t="shared" ref="A611:A674" si="33">LEFT(E611,1)</f>
        <v>6</v>
      </c>
      <c r="B611" s="249" t="str">
        <f>VLOOKUP($D611,'[4]1. Mesures'!$A$2:$G$116,6,0)</f>
        <v>OS 6.1</v>
      </c>
      <c r="C611" s="249" t="str">
        <f>VLOOKUP($D611,'[4]1. Mesures'!$A$2:$G$116,7,0)</f>
        <v>OO 6.1.2</v>
      </c>
      <c r="D611" s="249" t="str">
        <f t="shared" si="31"/>
        <v>M 6.7</v>
      </c>
      <c r="E611" s="250" t="s">
        <v>1195</v>
      </c>
      <c r="F611" s="249" t="str">
        <f>VLOOKUP(E611,'5.2 Actions'!$A$3:$B$720,2,0)</f>
        <v>Réaliser les travaux d’aménagement d’un étang de baignade et de ses abords (pour les parties qui ne concernent pas l’étang de baignade, voir également fiche M 3.7)</v>
      </c>
      <c r="G611" s="251">
        <f>VLOOKUP(E611,'[4]5.2 Actions'!$A$3:$D$718,4,0)</f>
        <v>0</v>
      </c>
      <c r="H611" s="252">
        <f>VLOOKUP($E611,'5.1 Budget'!$A$4:$H$729,2,0)</f>
        <v>0</v>
      </c>
      <c r="I611" s="252">
        <f>VLOOKUP($E611,'5.1 Budget'!$A$4:$H$729,3,0)</f>
        <v>2000000</v>
      </c>
      <c r="J611" s="252">
        <f>VLOOKUP($E611,'5.1 Budget'!$A$4:$H$729,4,0)</f>
        <v>4200000</v>
      </c>
      <c r="K611" s="252">
        <f>VLOOKUP($E611,'5.1 Budget'!$A$4:$H$729,5,0)</f>
        <v>0</v>
      </c>
      <c r="L611" s="252">
        <f>VLOOKUP($E611,'5.1 Budget'!$A$4:$H$729,6,0)</f>
        <v>0</v>
      </c>
      <c r="M611" s="252">
        <f>VLOOKUP($E611,'5.1 Budget'!$A$4:$H$729,7,0)</f>
        <v>0</v>
      </c>
      <c r="N611" s="252">
        <f>VLOOKUP($E611,'5.1 Budget'!$A$4:$H$729,8,0)</f>
        <v>6200000</v>
      </c>
      <c r="V611" t="str">
        <f>VLOOKUP(D611,'[4]1. Mesures'!$A$1:$B$116,2,0)</f>
        <v>Encadrer la pratique de la baignade dans un étang régional</v>
      </c>
      <c r="W611" t="e">
        <f>VLOOKUP(B611,[1]HIERARCH!$A$1:$B$57,2,0)</f>
        <v>#N/A</v>
      </c>
      <c r="X611" t="str">
        <f>VLOOKUP(C611,[1]HIERARCH!$A$2:$B$57,2,0)</f>
        <v>Développer et encadrer la pratique de loisirs et activités récréatives liés à l’eau</v>
      </c>
      <c r="Y611" t="str">
        <f t="shared" si="32"/>
        <v>Réaliser les travaux d’aménagement d’un étang de baignade et de ses abords (pour les parties qui ne concernent pas l’éta…</v>
      </c>
    </row>
    <row r="612" spans="1:25" hidden="1" x14ac:dyDescent="0.25">
      <c r="A612" s="249" t="str">
        <f t="shared" si="33"/>
        <v>6</v>
      </c>
      <c r="B612" s="249" t="str">
        <f>VLOOKUP($D612,'[4]1. Mesures'!$A$2:$G$116,6,0)</f>
        <v>OS 6.1</v>
      </c>
      <c r="C612" s="249" t="str">
        <f>VLOOKUP($D612,'[4]1. Mesures'!$A$2:$G$116,7,0)</f>
        <v>OO 6.1.2</v>
      </c>
      <c r="D612" s="249" t="str">
        <f t="shared" si="31"/>
        <v>M 6.7</v>
      </c>
      <c r="E612" s="250" t="s">
        <v>1196</v>
      </c>
      <c r="F612" s="249" t="str">
        <f>VLOOKUP(E612,'5.2 Actions'!$A$3:$B$720,2,0)</f>
        <v>Gestion de l’étang de baignade</v>
      </c>
      <c r="G612" s="251">
        <f>VLOOKUP(E612,'[4]5.2 Actions'!$A$3:$D$718,4,0)</f>
        <v>0</v>
      </c>
      <c r="H612" s="252">
        <f>VLOOKUP($E612,'5.1 Budget'!$A$4:$H$729,2,0)</f>
        <v>0</v>
      </c>
      <c r="I612" s="252">
        <f>VLOOKUP($E612,'5.1 Budget'!$A$4:$H$729,3,0)</f>
        <v>0</v>
      </c>
      <c r="J612" s="252">
        <f>VLOOKUP($E612,'5.1 Budget'!$A$4:$H$729,4,0)</f>
        <v>0</v>
      </c>
      <c r="K612" s="252">
        <f>VLOOKUP($E612,'5.1 Budget'!$A$4:$H$729,5,0)</f>
        <v>0</v>
      </c>
      <c r="L612" s="252">
        <f>VLOOKUP($E612,'5.1 Budget'!$A$4:$H$729,6,0)</f>
        <v>0</v>
      </c>
      <c r="M612" s="252">
        <f>VLOOKUP($E612,'5.1 Budget'!$A$4:$H$729,7,0)</f>
        <v>0</v>
      </c>
      <c r="N612" s="252">
        <f>VLOOKUP($E612,'5.1 Budget'!$A$4:$H$729,8,0)</f>
        <v>0</v>
      </c>
      <c r="V612" t="str">
        <f>VLOOKUP(D612,'[4]1. Mesures'!$A$1:$B$116,2,0)</f>
        <v>Encadrer la pratique de la baignade dans un étang régional</v>
      </c>
      <c r="W612" t="e">
        <f>VLOOKUP(B612,[1]HIERARCH!$A$1:$B$57,2,0)</f>
        <v>#N/A</v>
      </c>
      <c r="X612" t="str">
        <f>VLOOKUP(C612,[1]HIERARCH!$A$2:$B$57,2,0)</f>
        <v>Développer et encadrer la pratique de loisirs et activités récréatives liés à l’eau</v>
      </c>
      <c r="Y612" t="str">
        <f t="shared" si="32"/>
        <v>Gestion de l’étang de baignade…</v>
      </c>
    </row>
    <row r="613" spans="1:25" hidden="1" x14ac:dyDescent="0.25">
      <c r="A613" s="249" t="str">
        <f t="shared" si="33"/>
        <v>6</v>
      </c>
      <c r="B613" s="249" t="str">
        <f>VLOOKUP($D613,'[4]1. Mesures'!$A$2:$G$116,6,0)</f>
        <v>OS 6.1</v>
      </c>
      <c r="C613" s="249" t="str">
        <f>VLOOKUP($D613,'[4]1. Mesures'!$A$2:$G$116,7,0)</f>
        <v>OO 6.1.2</v>
      </c>
      <c r="D613" s="249" t="str">
        <f t="shared" si="31"/>
        <v>M 6.8</v>
      </c>
      <c r="E613" s="250" t="s">
        <v>1197</v>
      </c>
      <c r="F613" s="249" t="str">
        <f>VLOOKUP(E613,'5.2 Actions'!$A$3:$B$720,2,0)</f>
        <v xml:space="preserve">Etablir une vision interne et partagée de la pratique de la pêche en Région de Bruxelles-Capitale </v>
      </c>
      <c r="G613" s="251">
        <f>VLOOKUP(E613,'[4]5.2 Actions'!$A$3:$D$718,4,0)</f>
        <v>0</v>
      </c>
      <c r="H613" s="252">
        <f>VLOOKUP($E613,'5.1 Budget'!$A$4:$H$729,2,0)</f>
        <v>0</v>
      </c>
      <c r="I613" s="252">
        <f>VLOOKUP($E613,'5.1 Budget'!$A$4:$H$729,3,0)</f>
        <v>0</v>
      </c>
      <c r="J613" s="252">
        <f>VLOOKUP($E613,'5.1 Budget'!$A$4:$H$729,4,0)</f>
        <v>0</v>
      </c>
      <c r="K613" s="252">
        <f>VLOOKUP($E613,'5.1 Budget'!$A$4:$H$729,5,0)</f>
        <v>0</v>
      </c>
      <c r="L613" s="252">
        <f>VLOOKUP($E613,'5.1 Budget'!$A$4:$H$729,6,0)</f>
        <v>0</v>
      </c>
      <c r="M613" s="252">
        <f>VLOOKUP($E613,'5.1 Budget'!$A$4:$H$729,7,0)</f>
        <v>0</v>
      </c>
      <c r="N613" s="252">
        <f>VLOOKUP($E613,'5.1 Budget'!$A$4:$H$729,8,0)</f>
        <v>0</v>
      </c>
      <c r="V613" t="str">
        <f>VLOOKUP(D613,'[4]1. Mesures'!$A$1:$B$116,2,0)</f>
        <v>Réglementer et contrôler la pratique de la pêche en Région de Bruxelles-Capitale</v>
      </c>
      <c r="W613" t="e">
        <f>VLOOKUP(B613,[1]HIERARCH!$A$1:$B$57,2,0)</f>
        <v>#N/A</v>
      </c>
      <c r="X613" t="str">
        <f>VLOOKUP(C613,[1]HIERARCH!$A$2:$B$57,2,0)</f>
        <v>Développer et encadrer la pratique de loisirs et activités récréatives liés à l’eau</v>
      </c>
      <c r="Y613" t="str">
        <f t="shared" si="32"/>
        <v>Etablir une vision interne et partagée de la pratique de la pêche en Région de Bruxelles-Capitale …</v>
      </c>
    </row>
    <row r="614" spans="1:25" hidden="1" x14ac:dyDescent="0.25">
      <c r="A614" s="249" t="str">
        <f t="shared" si="33"/>
        <v>6</v>
      </c>
      <c r="B614" s="249" t="str">
        <f>VLOOKUP($D614,'[4]1. Mesures'!$A$2:$G$116,6,0)</f>
        <v>OS 6.1</v>
      </c>
      <c r="C614" s="249" t="str">
        <f>VLOOKUP($D614,'[4]1. Mesures'!$A$2:$G$116,7,0)</f>
        <v>OO 6.1.2</v>
      </c>
      <c r="D614" s="249" t="str">
        <f t="shared" si="31"/>
        <v>M 6.8</v>
      </c>
      <c r="E614" s="250" t="s">
        <v>1198</v>
      </c>
      <c r="F614" s="249" t="str">
        <f>VLOOKUP(E614,'5.2 Actions'!$A$3:$B$720,2,0)</f>
        <v xml:space="preserve">Rédiger et adopter un arrêté fixant la réglementation et le contrôle de la pratique de la pêche en Région de Bruxelles-Capitale </v>
      </c>
      <c r="G614" s="251">
        <f>VLOOKUP(E614,'[4]5.2 Actions'!$A$3:$D$718,4,0)</f>
        <v>0</v>
      </c>
      <c r="H614" s="252">
        <f>VLOOKUP($E614,'5.1 Budget'!$A$4:$H$729,2,0)</f>
        <v>0</v>
      </c>
      <c r="I614" s="252">
        <f>VLOOKUP($E614,'5.1 Budget'!$A$4:$H$729,3,0)</f>
        <v>0</v>
      </c>
      <c r="J614" s="252">
        <f>VLOOKUP($E614,'5.1 Budget'!$A$4:$H$729,4,0)</f>
        <v>0</v>
      </c>
      <c r="K614" s="252">
        <f>VLOOKUP($E614,'5.1 Budget'!$A$4:$H$729,5,0)</f>
        <v>0</v>
      </c>
      <c r="L614" s="252">
        <f>VLOOKUP($E614,'5.1 Budget'!$A$4:$H$729,6,0)</f>
        <v>0</v>
      </c>
      <c r="M614" s="252">
        <f>VLOOKUP($E614,'5.1 Budget'!$A$4:$H$729,7,0)</f>
        <v>0</v>
      </c>
      <c r="N614" s="252">
        <f>VLOOKUP($E614,'5.1 Budget'!$A$4:$H$729,8,0)</f>
        <v>0</v>
      </c>
      <c r="V614" t="str">
        <f>VLOOKUP(D614,'[4]1. Mesures'!$A$1:$B$116,2,0)</f>
        <v>Réglementer et contrôler la pratique de la pêche en Région de Bruxelles-Capitale</v>
      </c>
      <c r="W614" t="e">
        <f>VLOOKUP(B614,[1]HIERARCH!$A$1:$B$57,2,0)</f>
        <v>#N/A</v>
      </c>
      <c r="X614" t="str">
        <f>VLOOKUP(C614,[1]HIERARCH!$A$2:$B$57,2,0)</f>
        <v>Développer et encadrer la pratique de loisirs et activités récréatives liés à l’eau</v>
      </c>
      <c r="Y614" t="str">
        <f t="shared" si="32"/>
        <v>Rédiger et adopter un arrêté fixant la réglementation et le contrôle de la pratique de la pêche en Région de Bruxelles-C…</v>
      </c>
    </row>
    <row r="615" spans="1:25" hidden="1" x14ac:dyDescent="0.25">
      <c r="A615" s="249" t="str">
        <f t="shared" si="33"/>
        <v>6</v>
      </c>
      <c r="B615" s="249" t="str">
        <f>VLOOKUP($D615,'[4]1. Mesures'!$A$2:$G$116,6,0)</f>
        <v>OS 6.1</v>
      </c>
      <c r="C615" s="249" t="str">
        <f>VLOOKUP($D615,'[4]1. Mesures'!$A$2:$G$116,7,0)</f>
        <v>OO 6.1.2</v>
      </c>
      <c r="D615" s="249" t="str">
        <f t="shared" si="31"/>
        <v>M 6.8</v>
      </c>
      <c r="E615" s="250" t="s">
        <v>1199</v>
      </c>
      <c r="F615" s="249" t="str">
        <f>VLOOKUP(E615,'5.2 Actions'!$A$3:$B$720,2,0)</f>
        <v>Mettre en œuvre les instruments définis dans l’arrêté</v>
      </c>
      <c r="G615" s="251">
        <f>VLOOKUP(E615,'[4]5.2 Actions'!$A$3:$D$718,4,0)</f>
        <v>0</v>
      </c>
      <c r="H615" s="252">
        <f>VLOOKUP($E615,'5.1 Budget'!$A$4:$H$729,2,0)</f>
        <v>0</v>
      </c>
      <c r="I615" s="252">
        <f>VLOOKUP($E615,'5.1 Budget'!$A$4:$H$729,3,0)</f>
        <v>0</v>
      </c>
      <c r="J615" s="252">
        <f>VLOOKUP($E615,'5.1 Budget'!$A$4:$H$729,4,0)</f>
        <v>0</v>
      </c>
      <c r="K615" s="252">
        <f>VLOOKUP($E615,'5.1 Budget'!$A$4:$H$729,5,0)</f>
        <v>0</v>
      </c>
      <c r="L615" s="252">
        <f>VLOOKUP($E615,'5.1 Budget'!$A$4:$H$729,6,0)</f>
        <v>0</v>
      </c>
      <c r="M615" s="252">
        <f>VLOOKUP($E615,'5.1 Budget'!$A$4:$H$729,7,0)</f>
        <v>0</v>
      </c>
      <c r="N615" s="252">
        <f>VLOOKUP($E615,'5.1 Budget'!$A$4:$H$729,8,0)</f>
        <v>0</v>
      </c>
      <c r="V615" t="str">
        <f>VLOOKUP(D615,'[4]1. Mesures'!$A$1:$B$116,2,0)</f>
        <v>Réglementer et contrôler la pratique de la pêche en Région de Bruxelles-Capitale</v>
      </c>
      <c r="W615" t="e">
        <f>VLOOKUP(B615,[1]HIERARCH!$A$1:$B$57,2,0)</f>
        <v>#N/A</v>
      </c>
      <c r="X615" t="str">
        <f>VLOOKUP(C615,[1]HIERARCH!$A$2:$B$57,2,0)</f>
        <v>Développer et encadrer la pratique de loisirs et activités récréatives liés à l’eau</v>
      </c>
      <c r="Y615" t="str">
        <f t="shared" si="32"/>
        <v>Mettre en œuvre les instruments définis dans l’arrêté…</v>
      </c>
    </row>
    <row r="616" spans="1:25" hidden="1" x14ac:dyDescent="0.25">
      <c r="A616" s="249" t="str">
        <f t="shared" si="33"/>
        <v>6</v>
      </c>
      <c r="B616" s="249" t="str">
        <f>VLOOKUP($D616,'[4]1. Mesures'!$A$2:$G$116,6,0)</f>
        <v>OS 6.1</v>
      </c>
      <c r="C616" s="249" t="str">
        <f>VLOOKUP($D616,'[4]1. Mesures'!$A$2:$G$116,7,0)</f>
        <v>OO 6.1.2</v>
      </c>
      <c r="D616" s="249" t="str">
        <f t="shared" si="31"/>
        <v>M 6.8</v>
      </c>
      <c r="E616" s="250" t="s">
        <v>1200</v>
      </c>
      <c r="F616" s="249" t="str">
        <f>VLOOKUP(E616,'5.2 Actions'!$A$3:$B$720,2,0)</f>
        <v>Rédiger un cadre de bonnes pratiques pour la promotion d’une pratique plus durable de la pêche dans les espaces privés et communaux</v>
      </c>
      <c r="G616" s="251">
        <f>VLOOKUP(E616,'[4]5.2 Actions'!$A$3:$D$718,4,0)</f>
        <v>0</v>
      </c>
      <c r="H616" s="252">
        <f>VLOOKUP($E616,'5.1 Budget'!$A$4:$H$729,2,0)</f>
        <v>0</v>
      </c>
      <c r="I616" s="252">
        <f>VLOOKUP($E616,'5.1 Budget'!$A$4:$H$729,3,0)</f>
        <v>0</v>
      </c>
      <c r="J616" s="252">
        <f>VLOOKUP($E616,'5.1 Budget'!$A$4:$H$729,4,0)</f>
        <v>0</v>
      </c>
      <c r="K616" s="252">
        <f>VLOOKUP($E616,'5.1 Budget'!$A$4:$H$729,5,0)</f>
        <v>0</v>
      </c>
      <c r="L616" s="252">
        <f>VLOOKUP($E616,'5.1 Budget'!$A$4:$H$729,6,0)</f>
        <v>0</v>
      </c>
      <c r="M616" s="252">
        <f>VLOOKUP($E616,'5.1 Budget'!$A$4:$H$729,7,0)</f>
        <v>0</v>
      </c>
      <c r="N616" s="252">
        <f>VLOOKUP($E616,'5.1 Budget'!$A$4:$H$729,8,0)</f>
        <v>0</v>
      </c>
      <c r="V616" t="str">
        <f>VLOOKUP(D616,'[4]1. Mesures'!$A$1:$B$116,2,0)</f>
        <v>Réglementer et contrôler la pratique de la pêche en Région de Bruxelles-Capitale</v>
      </c>
      <c r="W616" t="e">
        <f>VLOOKUP(B616,[1]HIERARCH!$A$1:$B$57,2,0)</f>
        <v>#N/A</v>
      </c>
      <c r="X616" t="str">
        <f>VLOOKUP(C616,[1]HIERARCH!$A$2:$B$57,2,0)</f>
        <v>Développer et encadrer la pratique de loisirs et activités récréatives liés à l’eau</v>
      </c>
      <c r="Y616" t="str">
        <f t="shared" si="32"/>
        <v>Rédiger un cadre de bonnes pratiques pour la promotion d’une pratique plus durable de la pêche dans les espaces privés e…</v>
      </c>
    </row>
    <row r="617" spans="1:25" hidden="1" x14ac:dyDescent="0.25">
      <c r="A617" s="249" t="str">
        <f t="shared" si="33"/>
        <v>6</v>
      </c>
      <c r="B617" s="249" t="str">
        <f>VLOOKUP($D617,'[4]1. Mesures'!$A$2:$G$116,6,0)</f>
        <v>OS 6.1</v>
      </c>
      <c r="C617" s="249" t="str">
        <f>VLOOKUP($D617,'[4]1. Mesures'!$A$2:$G$116,7,0)</f>
        <v>OO 6.1.2</v>
      </c>
      <c r="D617" s="249" t="str">
        <f t="shared" si="31"/>
        <v>M 6.9</v>
      </c>
      <c r="E617" s="250" t="s">
        <v>1201</v>
      </c>
      <c r="F617" s="249" t="str">
        <f>VLOOKUP(E617,'5.2 Actions'!$A$3:$B$720,2,0)</f>
        <v>Etudier les différents traitements d’eau permettant d’assurer une recirculation d’eau tout en facilitant la gestion et l’entretien des installations</v>
      </c>
      <c r="G617" s="251">
        <f>VLOOKUP(E617,'[4]5.2 Actions'!$A$3:$D$718,4,0)</f>
        <v>0</v>
      </c>
      <c r="H617" s="252">
        <f>VLOOKUP($E617,'5.1 Budget'!$A$4:$H$729,2,0)</f>
        <v>50000</v>
      </c>
      <c r="I617" s="252">
        <f>VLOOKUP($E617,'5.1 Budget'!$A$4:$H$729,3,0)</f>
        <v>0</v>
      </c>
      <c r="J617" s="252">
        <f>VLOOKUP($E617,'5.1 Budget'!$A$4:$H$729,4,0)</f>
        <v>0</v>
      </c>
      <c r="K617" s="252">
        <f>VLOOKUP($E617,'5.1 Budget'!$A$4:$H$729,5,0)</f>
        <v>0</v>
      </c>
      <c r="L617" s="252">
        <f>VLOOKUP($E617,'5.1 Budget'!$A$4:$H$729,6,0)</f>
        <v>0</v>
      </c>
      <c r="M617" s="252">
        <f>VLOOKUP($E617,'5.1 Budget'!$A$4:$H$729,7,0)</f>
        <v>0</v>
      </c>
      <c r="N617" s="252">
        <f>VLOOKUP($E617,'5.1 Budget'!$A$4:$H$729,8,0)</f>
        <v>50000</v>
      </c>
      <c r="V617" t="str">
        <f>VLOOKUP(D617,'[4]1. Mesures'!$A$1:$B$116,2,0)</f>
        <v>Mettre en place et entretenir des jeux d’eau dans les plaines de jeu régionales et communales</v>
      </c>
      <c r="W617" t="e">
        <f>VLOOKUP(B617,[1]HIERARCH!$A$1:$B$57,2,0)</f>
        <v>#N/A</v>
      </c>
      <c r="X617" t="str">
        <f>VLOOKUP(C617,[1]HIERARCH!$A$2:$B$57,2,0)</f>
        <v>Développer et encadrer la pratique de loisirs et activités récréatives liés à l’eau</v>
      </c>
      <c r="Y617" t="str">
        <f t="shared" si="32"/>
        <v>Etudier les différents traitements d’eau permettant d’assurer une recirculation d’eau tout en facilitant la gestion et l…</v>
      </c>
    </row>
    <row r="618" spans="1:25" hidden="1" x14ac:dyDescent="0.25">
      <c r="A618" s="249" t="str">
        <f t="shared" si="33"/>
        <v>6</v>
      </c>
      <c r="B618" s="249" t="str">
        <f>VLOOKUP($D618,'[4]1. Mesures'!$A$2:$G$116,6,0)</f>
        <v>OS 6.1</v>
      </c>
      <c r="C618" s="249" t="str">
        <f>VLOOKUP($D618,'[4]1. Mesures'!$A$2:$G$116,7,0)</f>
        <v>OO 6.1.2</v>
      </c>
      <c r="D618" s="249" t="str">
        <f t="shared" si="31"/>
        <v>M 6.9</v>
      </c>
      <c r="E618" s="250" t="s">
        <v>1202</v>
      </c>
      <c r="F618" s="249" t="str">
        <f>VLOOKUP(E618,'5.2 Actions'!$A$3:$B$720,2,0)</f>
        <v>Mettre en œuvre la plaine de jeu d’eau de l’hippodrome d’Uccle-Boitsfort</v>
      </c>
      <c r="G618" s="251">
        <f>VLOOKUP(E618,'[4]5.2 Actions'!$A$3:$D$718,4,0)</f>
        <v>0</v>
      </c>
      <c r="H618" s="252">
        <f>VLOOKUP($E618,'5.1 Budget'!$A$4:$H$729,2,0)</f>
        <v>0</v>
      </c>
      <c r="I618" s="252">
        <f>VLOOKUP($E618,'5.1 Budget'!$A$4:$H$729,3,0)</f>
        <v>250000</v>
      </c>
      <c r="J618" s="252">
        <f>VLOOKUP($E618,'5.1 Budget'!$A$4:$H$729,4,0)</f>
        <v>0</v>
      </c>
      <c r="K618" s="252">
        <f>VLOOKUP($E618,'5.1 Budget'!$A$4:$H$729,5,0)</f>
        <v>0</v>
      </c>
      <c r="L618" s="252">
        <f>VLOOKUP($E618,'5.1 Budget'!$A$4:$H$729,6,0)</f>
        <v>0</v>
      </c>
      <c r="M618" s="252">
        <f>VLOOKUP($E618,'5.1 Budget'!$A$4:$H$729,7,0)</f>
        <v>0</v>
      </c>
      <c r="N618" s="252">
        <f>VLOOKUP($E618,'5.1 Budget'!$A$4:$H$729,8,0)</f>
        <v>250000</v>
      </c>
      <c r="V618" t="str">
        <f>VLOOKUP(D618,'[4]1. Mesures'!$A$1:$B$116,2,0)</f>
        <v>Mettre en place et entretenir des jeux d’eau dans les plaines de jeu régionales et communales</v>
      </c>
      <c r="W618" t="e">
        <f>VLOOKUP(B618,[1]HIERARCH!$A$1:$B$57,2,0)</f>
        <v>#N/A</v>
      </c>
      <c r="X618" t="str">
        <f>VLOOKUP(C618,[1]HIERARCH!$A$2:$B$57,2,0)</f>
        <v>Développer et encadrer la pratique de loisirs et activités récréatives liés à l’eau</v>
      </c>
      <c r="Y618" t="str">
        <f t="shared" si="32"/>
        <v>Mettre en œuvre la plaine de jeu d’eau de l’hippodrome d’Uccle-Boitsfort…</v>
      </c>
    </row>
    <row r="619" spans="1:25" hidden="1" x14ac:dyDescent="0.25">
      <c r="A619" s="249" t="str">
        <f t="shared" si="33"/>
        <v>6</v>
      </c>
      <c r="B619" s="249" t="str">
        <f>VLOOKUP($D619,'[4]1. Mesures'!$A$2:$G$116,6,0)</f>
        <v>OS 6.1</v>
      </c>
      <c r="C619" s="249" t="str">
        <f>VLOOKUP($D619,'[4]1. Mesures'!$A$2:$G$116,7,0)</f>
        <v>OO 6.1.2</v>
      </c>
      <c r="D619" s="249" t="str">
        <f t="shared" si="31"/>
        <v>M 6.9</v>
      </c>
      <c r="E619" s="250" t="s">
        <v>1203</v>
      </c>
      <c r="F619" s="249" t="str">
        <f>VLOOKUP(E619,'5.2 Actions'!$A$3:$B$720,2,0)</f>
        <v>Etudier et mettre en œuvre un pôle récréatif au niveau du parc régional de la Pede comprenant des jeux d’eau</v>
      </c>
      <c r="G619" s="251">
        <f>VLOOKUP(E619,'[4]5.2 Actions'!$A$3:$D$718,4,0)</f>
        <v>0</v>
      </c>
      <c r="H619" s="252">
        <f>VLOOKUP($E619,'5.1 Budget'!$A$4:$H$729,2,0)</f>
        <v>0</v>
      </c>
      <c r="I619" s="252">
        <f>VLOOKUP($E619,'5.1 Budget'!$A$4:$H$729,3,0)</f>
        <v>0</v>
      </c>
      <c r="J619" s="252">
        <f>VLOOKUP($E619,'5.1 Budget'!$A$4:$H$729,4,0)</f>
        <v>0</v>
      </c>
      <c r="K619" s="252">
        <f>VLOOKUP($E619,'5.1 Budget'!$A$4:$H$729,5,0)</f>
        <v>0</v>
      </c>
      <c r="L619" s="252">
        <f>VLOOKUP($E619,'5.1 Budget'!$A$4:$H$729,6,0)</f>
        <v>250000</v>
      </c>
      <c r="M619" s="252">
        <f>VLOOKUP($E619,'5.1 Budget'!$A$4:$H$729,7,0)</f>
        <v>0</v>
      </c>
      <c r="N619" s="252">
        <f>VLOOKUP($E619,'5.1 Budget'!$A$4:$H$729,8,0)</f>
        <v>250000</v>
      </c>
      <c r="V619" t="str">
        <f>VLOOKUP(D619,'[4]1. Mesures'!$A$1:$B$116,2,0)</f>
        <v>Mettre en place et entretenir des jeux d’eau dans les plaines de jeu régionales et communales</v>
      </c>
      <c r="W619" t="e">
        <f>VLOOKUP(B619,[1]HIERARCH!$A$1:$B$57,2,0)</f>
        <v>#N/A</v>
      </c>
      <c r="X619" t="str">
        <f>VLOOKUP(C619,[1]HIERARCH!$A$2:$B$57,2,0)</f>
        <v>Développer et encadrer la pratique de loisirs et activités récréatives liés à l’eau</v>
      </c>
      <c r="Y619" t="str">
        <f t="shared" si="32"/>
        <v>Etudier et mettre en œuvre un pôle récréatif au niveau du parc régional de la Pede comprenant des jeux d’eau…</v>
      </c>
    </row>
    <row r="620" spans="1:25" hidden="1" x14ac:dyDescent="0.25">
      <c r="A620" s="249" t="str">
        <f t="shared" si="33"/>
        <v>6</v>
      </c>
      <c r="B620" s="249" t="str">
        <f>VLOOKUP($D620,'[4]1. Mesures'!$A$2:$G$116,6,0)</f>
        <v>OS 6.1</v>
      </c>
      <c r="C620" s="249" t="str">
        <f>VLOOKUP($D620,'[4]1. Mesures'!$A$2:$G$116,7,0)</f>
        <v>OO 6.1.2</v>
      </c>
      <c r="D620" s="249" t="str">
        <f t="shared" si="31"/>
        <v>M 6.9</v>
      </c>
      <c r="E620" s="250" t="s">
        <v>1204</v>
      </c>
      <c r="F620" s="249" t="str">
        <f>VLOOKUP(E620,'5.2 Actions'!$A$3:$B$720,2,0)</f>
        <v>Assurer l’entretien des installations</v>
      </c>
      <c r="G620" s="251">
        <f>VLOOKUP(E620,'[4]5.2 Actions'!$A$3:$D$718,4,0)</f>
        <v>0</v>
      </c>
      <c r="H620" s="252">
        <f>VLOOKUP($E620,'5.1 Budget'!$A$4:$H$729,2,0)</f>
        <v>24000</v>
      </c>
      <c r="I620" s="252">
        <f>VLOOKUP($E620,'5.1 Budget'!$A$4:$H$729,3,0)</f>
        <v>32000</v>
      </c>
      <c r="J620" s="252">
        <f>VLOOKUP($E620,'5.1 Budget'!$A$4:$H$729,4,0)</f>
        <v>40000</v>
      </c>
      <c r="K620" s="252">
        <f>VLOOKUP($E620,'5.1 Budget'!$A$4:$H$729,5,0)</f>
        <v>40000</v>
      </c>
      <c r="L620" s="252">
        <f>VLOOKUP($E620,'5.1 Budget'!$A$4:$H$729,6,0)</f>
        <v>40000</v>
      </c>
      <c r="M620" s="252">
        <f>VLOOKUP($E620,'5.1 Budget'!$A$4:$H$729,7,0)</f>
        <v>40000</v>
      </c>
      <c r="N620" s="252">
        <f>VLOOKUP($E620,'5.1 Budget'!$A$4:$H$729,8,0)</f>
        <v>216000</v>
      </c>
      <c r="V620" t="str">
        <f>VLOOKUP(D620,'[4]1. Mesures'!$A$1:$B$116,2,0)</f>
        <v>Mettre en place et entretenir des jeux d’eau dans les plaines de jeu régionales et communales</v>
      </c>
      <c r="W620" t="e">
        <f>VLOOKUP(B620,[1]HIERARCH!$A$1:$B$57,2,0)</f>
        <v>#N/A</v>
      </c>
      <c r="X620" t="str">
        <f>VLOOKUP(C620,[1]HIERARCH!$A$2:$B$57,2,0)</f>
        <v>Développer et encadrer la pratique de loisirs et activités récréatives liés à l’eau</v>
      </c>
      <c r="Y620" t="str">
        <f t="shared" si="32"/>
        <v>Assurer l’entretien des installations…</v>
      </c>
    </row>
    <row r="621" spans="1:25" hidden="1" x14ac:dyDescent="0.25">
      <c r="A621" s="249" t="str">
        <f t="shared" si="33"/>
        <v>6</v>
      </c>
      <c r="B621" s="249" t="str">
        <f>VLOOKUP($D621,'[4]1. Mesures'!$A$2:$G$116,6,0)</f>
        <v>OS 6.1</v>
      </c>
      <c r="C621" s="249" t="str">
        <f>VLOOKUP($D621,'[4]1. Mesures'!$A$2:$G$116,7,0)</f>
        <v>OO 6.1.3</v>
      </c>
      <c r="D621" s="249" t="str">
        <f>"M"&amp;" "&amp;LEFT(E621,4)</f>
        <v>M 6.10</v>
      </c>
      <c r="E621" s="250" t="s">
        <v>1163</v>
      </c>
      <c r="F621" s="249" t="str">
        <f>VLOOKUP(E621,'5.2 Actions'!$A$3:$B$720,2,0)</f>
        <v>Réaliser des aménagements divers pour renforcer la place du Canal dans l’environnement urbain en fonction de développements de projets portés par le Port de Bruxelles, les entreprises portuaires ou par d’autres acteurs publics (par exemple : création de connexions cyclo-piétonnes, d’espaces accessibles au public, d’abaissements de quais...) </v>
      </c>
      <c r="G621" s="251">
        <f>VLOOKUP(E621,'[4]5.2 Actions'!$A$3:$D$718,4,0)</f>
        <v>0</v>
      </c>
      <c r="H621" s="252">
        <f>VLOOKUP($E621,'5.1 Budget'!$A$4:$H$729,2,0)</f>
        <v>0</v>
      </c>
      <c r="I621" s="252">
        <f>VLOOKUP($E621,'5.1 Budget'!$A$4:$H$729,3,0)</f>
        <v>0</v>
      </c>
      <c r="J621" s="252">
        <f>VLOOKUP($E621,'5.1 Budget'!$A$4:$H$729,4,0)</f>
        <v>0</v>
      </c>
      <c r="K621" s="252">
        <f>VLOOKUP($E621,'5.1 Budget'!$A$4:$H$729,5,0)</f>
        <v>0</v>
      </c>
      <c r="L621" s="252">
        <f>VLOOKUP($E621,'5.1 Budget'!$A$4:$H$729,6,0)</f>
        <v>0</v>
      </c>
      <c r="M621" s="252">
        <f>VLOOKUP($E621,'5.1 Budget'!$A$4:$H$729,7,0)</f>
        <v>0</v>
      </c>
      <c r="N621" s="252">
        <f>VLOOKUP($E621,'5.1 Budget'!$A$4:$H$729,8,0)</f>
        <v>0</v>
      </c>
      <c r="V621" t="str">
        <f>VLOOKUP(D621,'[4]1. Mesures'!$A$1:$B$116,2,0)</f>
        <v xml:space="preserve">Poursuivre et étendre l'ensemble des actions lancées par le Port de Bruxelles, par les contrats de quartier et autres acteurs publics dans la zone du Canal </v>
      </c>
      <c r="W621" t="e">
        <f>VLOOKUP(B621,[1]HIERARCH!$A$1:$B$57,2,0)</f>
        <v>#N/A</v>
      </c>
      <c r="X621" t="str">
        <f>VLOOKUP(C621,[1]HIERARCH!$A$2:$B$57,2,0)</f>
        <v xml:space="preserve">Valoriser le Canal en tant qu’axe structurant du territoire régional   </v>
      </c>
      <c r="Y621" t="str">
        <f t="shared" si="32"/>
        <v>Réaliser des aménagements divers pour renforcer la place du Canal dans l’environnement urbain en fonction de développeme…</v>
      </c>
    </row>
    <row r="622" spans="1:25" hidden="1" x14ac:dyDescent="0.25">
      <c r="A622" s="249" t="str">
        <f t="shared" si="33"/>
        <v>6</v>
      </c>
      <c r="B622" s="249" t="str">
        <f>VLOOKUP($D622,'[4]1. Mesures'!$A$2:$G$116,6,0)</f>
        <v>OS 6.1</v>
      </c>
      <c r="C622" s="249" t="str">
        <f>VLOOKUP($D622,'[4]1. Mesures'!$A$2:$G$116,7,0)</f>
        <v>OO 6.1.3</v>
      </c>
      <c r="D622" s="249" t="str">
        <f t="shared" ref="D622:D633" si="34">"M"&amp;" "&amp;LEFT(E622,4)</f>
        <v>M 6.10</v>
      </c>
      <c r="E622" s="250" t="s">
        <v>1164</v>
      </c>
      <c r="F622" s="249" t="str">
        <f>VLOOKUP(E622,'5.2 Actions'!$A$3:$B$720,2,0)</f>
        <v>Mise en place d’une dynamique de communication avec les habitants/riverains</v>
      </c>
      <c r="G622" s="251">
        <f>VLOOKUP(E622,'[4]5.2 Actions'!$A$3:$D$718,4,0)</f>
        <v>0</v>
      </c>
      <c r="H622" s="252">
        <f>VLOOKUP($E622,'5.1 Budget'!$A$4:$H$729,2,0)</f>
        <v>0</v>
      </c>
      <c r="I622" s="252">
        <f>VLOOKUP($E622,'5.1 Budget'!$A$4:$H$729,3,0)</f>
        <v>0</v>
      </c>
      <c r="J622" s="252">
        <f>VLOOKUP($E622,'5.1 Budget'!$A$4:$H$729,4,0)</f>
        <v>0</v>
      </c>
      <c r="K622" s="252">
        <f>VLOOKUP($E622,'5.1 Budget'!$A$4:$H$729,5,0)</f>
        <v>0</v>
      </c>
      <c r="L622" s="252">
        <f>VLOOKUP($E622,'5.1 Budget'!$A$4:$H$729,6,0)</f>
        <v>0</v>
      </c>
      <c r="M622" s="252">
        <f>VLOOKUP($E622,'5.1 Budget'!$A$4:$H$729,7,0)</f>
        <v>0</v>
      </c>
      <c r="N622" s="252">
        <f>VLOOKUP($E622,'5.1 Budget'!$A$4:$H$729,8,0)</f>
        <v>0</v>
      </c>
      <c r="V622" t="str">
        <f>VLOOKUP(D622,'[4]1. Mesures'!$A$1:$B$116,2,0)</f>
        <v xml:space="preserve">Poursuivre et étendre l'ensemble des actions lancées par le Port de Bruxelles, par les contrats de quartier et autres acteurs publics dans la zone du Canal </v>
      </c>
      <c r="W622" t="e">
        <f>VLOOKUP(B622,[1]HIERARCH!$A$1:$B$57,2,0)</f>
        <v>#N/A</v>
      </c>
      <c r="X622" t="str">
        <f>VLOOKUP(C622,[1]HIERARCH!$A$2:$B$57,2,0)</f>
        <v xml:space="preserve">Valoriser le Canal en tant qu’axe structurant du territoire régional   </v>
      </c>
      <c r="Y622" t="str">
        <f t="shared" si="32"/>
        <v>Mise en place d’une dynamique de communication avec les habitants/riverains…</v>
      </c>
    </row>
    <row r="623" spans="1:25" hidden="1" x14ac:dyDescent="0.25">
      <c r="A623" s="249" t="str">
        <f t="shared" si="33"/>
        <v>6</v>
      </c>
      <c r="B623" s="249" t="str">
        <f>VLOOKUP($D623,'[4]1. Mesures'!$A$2:$G$116,6,0)</f>
        <v>OS 6.1</v>
      </c>
      <c r="C623" s="249" t="str">
        <f>VLOOKUP($D623,'[4]1. Mesures'!$A$2:$G$116,7,0)</f>
        <v>OO 6.1.3</v>
      </c>
      <c r="D623" s="249" t="str">
        <f t="shared" si="34"/>
        <v>M 6.11</v>
      </c>
      <c r="E623" s="250" t="s">
        <v>1165</v>
      </c>
      <c r="F623" s="249" t="str">
        <f>VLOOKUP(E623,'5.2 Actions'!$A$3:$B$720,2,0)</f>
        <v>Organisation par le Port d’événements tout public, comme la « fête du Port »</v>
      </c>
      <c r="G623" s="251">
        <f>VLOOKUP(E623,'[4]5.2 Actions'!$A$3:$D$718,4,0)</f>
        <v>0</v>
      </c>
      <c r="H623" s="252">
        <f>VLOOKUP($E623,'5.1 Budget'!$A$4:$H$729,2,0)</f>
        <v>0</v>
      </c>
      <c r="I623" s="252">
        <f>VLOOKUP($E623,'5.1 Budget'!$A$4:$H$729,3,0)</f>
        <v>0</v>
      </c>
      <c r="J623" s="252">
        <f>VLOOKUP($E623,'5.1 Budget'!$A$4:$H$729,4,0)</f>
        <v>0</v>
      </c>
      <c r="K623" s="252">
        <f>VLOOKUP($E623,'5.1 Budget'!$A$4:$H$729,5,0)</f>
        <v>0</v>
      </c>
      <c r="L623" s="252">
        <f>VLOOKUP($E623,'5.1 Budget'!$A$4:$H$729,6,0)</f>
        <v>0</v>
      </c>
      <c r="M623" s="252">
        <f>VLOOKUP($E623,'5.1 Budget'!$A$4:$H$729,7,0)</f>
        <v>0</v>
      </c>
      <c r="N623" s="252">
        <f>VLOOKUP($E623,'5.1 Budget'!$A$4:$H$729,8,0)</f>
        <v>0</v>
      </c>
      <c r="V623" t="str">
        <f>VLOOKUP(D623,'[4]1. Mesures'!$A$1:$B$116,2,0)</f>
        <v>Encadrer les activités nautiques et récréatives sur et aux abords du Canal</v>
      </c>
      <c r="W623" t="e">
        <f>VLOOKUP(B623,[1]HIERARCH!$A$1:$B$57,2,0)</f>
        <v>#N/A</v>
      </c>
      <c r="X623" t="str">
        <f>VLOOKUP(C623,[1]HIERARCH!$A$2:$B$57,2,0)</f>
        <v xml:space="preserve">Valoriser le Canal en tant qu’axe structurant du territoire régional   </v>
      </c>
      <c r="Y623" t="str">
        <f t="shared" si="32"/>
        <v>Organisation par le Port d’événements tout public, comme la « fête du Port »…</v>
      </c>
    </row>
    <row r="624" spans="1:25" hidden="1" x14ac:dyDescent="0.25">
      <c r="A624" s="249" t="str">
        <f t="shared" si="33"/>
        <v>6</v>
      </c>
      <c r="B624" s="249" t="str">
        <f>VLOOKUP($D624,'[4]1. Mesures'!$A$2:$G$116,6,0)</f>
        <v>OS 6.1</v>
      </c>
      <c r="C624" s="249" t="str">
        <f>VLOOKUP($D624,'[4]1. Mesures'!$A$2:$G$116,7,0)</f>
        <v>OO 6.1.3</v>
      </c>
      <c r="D624" s="249" t="str">
        <f t="shared" si="34"/>
        <v>M 6.11</v>
      </c>
      <c r="E624" s="250" t="s">
        <v>1166</v>
      </c>
      <c r="F624" s="249" t="str">
        <f>VLOOKUP(E624,'5.2 Actions'!$A$3:$B$720,2,0)</f>
        <v>Encadrer les activités nautiques et récréatives sur la voie d’eau et assurer l’entretien des quais, pontons et berges pour en permettre la pratique en toute sécurité</v>
      </c>
      <c r="G624" s="251">
        <f>VLOOKUP(E624,'[4]5.2 Actions'!$A$3:$D$718,4,0)</f>
        <v>0</v>
      </c>
      <c r="H624" s="252">
        <f>VLOOKUP($E624,'5.1 Budget'!$A$4:$H$729,2,0)</f>
        <v>0</v>
      </c>
      <c r="I624" s="252">
        <f>VLOOKUP($E624,'5.1 Budget'!$A$4:$H$729,3,0)</f>
        <v>0</v>
      </c>
      <c r="J624" s="252">
        <f>VLOOKUP($E624,'5.1 Budget'!$A$4:$H$729,4,0)</f>
        <v>0</v>
      </c>
      <c r="K624" s="252">
        <f>VLOOKUP($E624,'5.1 Budget'!$A$4:$H$729,5,0)</f>
        <v>0</v>
      </c>
      <c r="L624" s="252">
        <f>VLOOKUP($E624,'5.1 Budget'!$A$4:$H$729,6,0)</f>
        <v>0</v>
      </c>
      <c r="M624" s="252">
        <f>VLOOKUP($E624,'5.1 Budget'!$A$4:$H$729,7,0)</f>
        <v>0</v>
      </c>
      <c r="N624" s="252">
        <f>VLOOKUP($E624,'5.1 Budget'!$A$4:$H$729,8,0)</f>
        <v>0</v>
      </c>
      <c r="V624" t="str">
        <f>VLOOKUP(D624,'[4]1. Mesures'!$A$1:$B$116,2,0)</f>
        <v>Encadrer les activités nautiques et récréatives sur et aux abords du Canal</v>
      </c>
      <c r="W624" t="e">
        <f>VLOOKUP(B624,[1]HIERARCH!$A$1:$B$57,2,0)</f>
        <v>#N/A</v>
      </c>
      <c r="X624" t="str">
        <f>VLOOKUP(C624,[1]HIERARCH!$A$2:$B$57,2,0)</f>
        <v xml:space="preserve">Valoriser le Canal en tant qu’axe structurant du territoire régional   </v>
      </c>
      <c r="Y624" t="str">
        <f t="shared" si="32"/>
        <v>Encadrer les activités nautiques et récréatives sur la voie d’eau et assurer l’entretien des quais, pontons et berges po…</v>
      </c>
    </row>
    <row r="625" spans="1:25" hidden="1" x14ac:dyDescent="0.25">
      <c r="A625" s="249" t="str">
        <f t="shared" si="33"/>
        <v>6</v>
      </c>
      <c r="B625" s="249" t="str">
        <f>VLOOKUP($D625,'[4]1. Mesures'!$A$2:$G$116,6,0)</f>
        <v>OS 6.1</v>
      </c>
      <c r="C625" s="249" t="str">
        <f>VLOOKUP($D625,'[4]1. Mesures'!$A$2:$G$116,7,0)</f>
        <v>OO 6.1.3</v>
      </c>
      <c r="D625" s="249" t="str">
        <f t="shared" si="34"/>
        <v>M 6.11</v>
      </c>
      <c r="E625" s="250" t="s">
        <v>1167</v>
      </c>
      <c r="F625" s="249" t="str">
        <f>VLOOKUP(E625,'5.2 Actions'!$A$3:$B$720,2,0)</f>
        <v>Autoriser, sous forme de convention, l’organisation d’activités ponctuelles, festives et/ou récréatives</v>
      </c>
      <c r="G625" s="251">
        <f>VLOOKUP(E625,'[4]5.2 Actions'!$A$3:$D$718,4,0)</f>
        <v>0</v>
      </c>
      <c r="H625" s="252">
        <f>VLOOKUP($E625,'5.1 Budget'!$A$4:$H$729,2,0)</f>
        <v>0</v>
      </c>
      <c r="I625" s="252">
        <f>VLOOKUP($E625,'5.1 Budget'!$A$4:$H$729,3,0)</f>
        <v>0</v>
      </c>
      <c r="J625" s="252">
        <f>VLOOKUP($E625,'5.1 Budget'!$A$4:$H$729,4,0)</f>
        <v>0</v>
      </c>
      <c r="K625" s="252">
        <f>VLOOKUP($E625,'5.1 Budget'!$A$4:$H$729,5,0)</f>
        <v>0</v>
      </c>
      <c r="L625" s="252">
        <f>VLOOKUP($E625,'5.1 Budget'!$A$4:$H$729,6,0)</f>
        <v>0</v>
      </c>
      <c r="M625" s="252">
        <f>VLOOKUP($E625,'5.1 Budget'!$A$4:$H$729,7,0)</f>
        <v>0</v>
      </c>
      <c r="N625" s="252">
        <f>VLOOKUP($E625,'5.1 Budget'!$A$4:$H$729,8,0)</f>
        <v>0</v>
      </c>
      <c r="V625" t="str">
        <f>VLOOKUP(D625,'[4]1. Mesures'!$A$1:$B$116,2,0)</f>
        <v>Encadrer les activités nautiques et récréatives sur et aux abords du Canal</v>
      </c>
      <c r="W625" t="e">
        <f>VLOOKUP(B625,[1]HIERARCH!$A$1:$B$57,2,0)</f>
        <v>#N/A</v>
      </c>
      <c r="X625" t="str">
        <f>VLOOKUP(C625,[1]HIERARCH!$A$2:$B$57,2,0)</f>
        <v xml:space="preserve">Valoriser le Canal en tant qu’axe structurant du territoire régional   </v>
      </c>
      <c r="Y625" t="str">
        <f t="shared" si="32"/>
        <v>Autoriser, sous forme de convention, l’organisation d’activités ponctuelles, festives et/ou récréatives…</v>
      </c>
    </row>
    <row r="626" spans="1:25" hidden="1" x14ac:dyDescent="0.25">
      <c r="A626" s="249" t="str">
        <f t="shared" si="33"/>
        <v>6</v>
      </c>
      <c r="B626" s="249" t="str">
        <f>VLOOKUP($D626,'[4]1. Mesures'!$A$2:$G$116,6,0)</f>
        <v>OS 6.1</v>
      </c>
      <c r="C626" s="249" t="str">
        <f>VLOOKUP($D626,'[4]1. Mesures'!$A$2:$G$116,7,0)</f>
        <v>OO 6.1.3</v>
      </c>
      <c r="D626" s="249" t="str">
        <f t="shared" si="34"/>
        <v>M 6.11</v>
      </c>
      <c r="E626" s="250" t="s">
        <v>1168</v>
      </c>
      <c r="F626" s="249" t="str">
        <f>VLOOKUP(E626,'5.2 Actions'!$A$3:$B$720,2,0)</f>
        <v>Communiquer adéquatement sur les activités autorisées ou interdites sur la voie d’eau (pêche, navimodélisme, baignade)</v>
      </c>
      <c r="G626" s="251">
        <f>VLOOKUP(E626,'[4]5.2 Actions'!$A$3:$D$718,4,0)</f>
        <v>0</v>
      </c>
      <c r="H626" s="252">
        <f>VLOOKUP($E626,'5.1 Budget'!$A$4:$H$729,2,0)</f>
        <v>0</v>
      </c>
      <c r="I626" s="252">
        <f>VLOOKUP($E626,'5.1 Budget'!$A$4:$H$729,3,0)</f>
        <v>0</v>
      </c>
      <c r="J626" s="252">
        <f>VLOOKUP($E626,'5.1 Budget'!$A$4:$H$729,4,0)</f>
        <v>0</v>
      </c>
      <c r="K626" s="252">
        <f>VLOOKUP($E626,'5.1 Budget'!$A$4:$H$729,5,0)</f>
        <v>0</v>
      </c>
      <c r="L626" s="252">
        <f>VLOOKUP($E626,'5.1 Budget'!$A$4:$H$729,6,0)</f>
        <v>0</v>
      </c>
      <c r="M626" s="252">
        <f>VLOOKUP($E626,'5.1 Budget'!$A$4:$H$729,7,0)</f>
        <v>0</v>
      </c>
      <c r="N626" s="252">
        <f>VLOOKUP($E626,'5.1 Budget'!$A$4:$H$729,8,0)</f>
        <v>0</v>
      </c>
      <c r="V626" t="str">
        <f>VLOOKUP(D626,'[4]1. Mesures'!$A$1:$B$116,2,0)</f>
        <v>Encadrer les activités nautiques et récréatives sur et aux abords du Canal</v>
      </c>
      <c r="W626" t="e">
        <f>VLOOKUP(B626,[1]HIERARCH!$A$1:$B$57,2,0)</f>
        <v>#N/A</v>
      </c>
      <c r="X626" t="str">
        <f>VLOOKUP(C626,[1]HIERARCH!$A$2:$B$57,2,0)</f>
        <v xml:space="preserve">Valoriser le Canal en tant qu’axe structurant du territoire régional   </v>
      </c>
      <c r="Y626" t="str">
        <f t="shared" si="32"/>
        <v>Communiquer adéquatement sur les activités autorisées ou interdites sur la voie d’eau (pêche, navimodélisme, baignade)…</v>
      </c>
    </row>
    <row r="627" spans="1:25" hidden="1" x14ac:dyDescent="0.25">
      <c r="A627" s="249" t="str">
        <f t="shared" si="33"/>
        <v>6</v>
      </c>
      <c r="B627" s="249" t="str">
        <f>VLOOKUP($D627,'[4]1. Mesures'!$A$2:$G$116,6,0)</f>
        <v>OS 6.2</v>
      </c>
      <c r="C627" s="249" t="str">
        <f>VLOOKUP($D627,'[4]1. Mesures'!$A$2:$G$116,7,0)</f>
        <v>-</v>
      </c>
      <c r="D627" s="249" t="str">
        <f t="shared" si="34"/>
        <v>M 6.12</v>
      </c>
      <c r="E627" s="250" t="s">
        <v>1169</v>
      </c>
      <c r="F627" s="249" t="str">
        <f>VLOOKUP(E627,'5.2 Actions'!$A$3:$B$720,2,0)</f>
        <v xml:space="preserve">Recenser les cours d’eau non navigables classés / non classés pouvant faire l’objet d’un statut particulier de protection et valider cette proposition de classement auprès des communes. </v>
      </c>
      <c r="G627" s="251">
        <f>VLOOKUP(E627,'[4]5.2 Actions'!$A$3:$D$718,4,0)</f>
        <v>0</v>
      </c>
      <c r="H627" s="252">
        <f>VLOOKUP($E627,'5.1 Budget'!$A$4:$H$729,2,0)</f>
        <v>0</v>
      </c>
      <c r="I627" s="252">
        <f>VLOOKUP($E627,'5.1 Budget'!$A$4:$H$729,3,0)</f>
        <v>0</v>
      </c>
      <c r="J627" s="252">
        <f>VLOOKUP($E627,'5.1 Budget'!$A$4:$H$729,4,0)</f>
        <v>0</v>
      </c>
      <c r="K627" s="252">
        <f>VLOOKUP($E627,'5.1 Budget'!$A$4:$H$729,5,0)</f>
        <v>0</v>
      </c>
      <c r="L627" s="252">
        <f>VLOOKUP($E627,'5.1 Budget'!$A$4:$H$729,6,0)</f>
        <v>0</v>
      </c>
      <c r="M627" s="252">
        <f>VLOOKUP($E627,'5.1 Budget'!$A$4:$H$729,7,0)</f>
        <v>0</v>
      </c>
      <c r="N627" s="252">
        <f>VLOOKUP($E627,'5.1 Budget'!$A$4:$H$729,8,0)</f>
        <v>0</v>
      </c>
      <c r="V627" t="str">
        <f>VLOOKUP(D627,'[4]1. Mesures'!$A$1:$B$116,2,0)</f>
        <v>Actualiser l’Atlas des cours d’eau non navigables et en assurer la diffusion</v>
      </c>
      <c r="W627" t="str">
        <f>VLOOKUP(B627,[1]HIERARCH!$A$1:$B$57,2,0)</f>
        <v xml:space="preserve">Renforcer l’éducation, la sensibilisation et la pédagogie autour de la thématique de l’eau </v>
      </c>
      <c r="X627" t="e">
        <f>VLOOKUP(C627,[1]HIERARCH!$A$2:$B$57,2,0)</f>
        <v>#N/A</v>
      </c>
      <c r="Y627" t="str">
        <f t="shared" si="32"/>
        <v>Recenser les cours d’eau non navigables classés / non classés pouvant faire l’objet d’un statut particulier de protectio…</v>
      </c>
    </row>
    <row r="628" spans="1:25" hidden="1" x14ac:dyDescent="0.25">
      <c r="A628" s="249" t="str">
        <f t="shared" si="33"/>
        <v>6</v>
      </c>
      <c r="B628" s="249" t="str">
        <f>VLOOKUP($D628,'[4]1. Mesures'!$A$2:$G$116,6,0)</f>
        <v>OS 6.2</v>
      </c>
      <c r="C628" s="249" t="str">
        <f>VLOOKUP($D628,'[4]1. Mesures'!$A$2:$G$116,7,0)</f>
        <v>-</v>
      </c>
      <c r="D628" s="249" t="str">
        <f t="shared" si="34"/>
        <v>M 6.12</v>
      </c>
      <c r="E628" s="250" t="s">
        <v>1170</v>
      </c>
      <c r="F628" s="249" t="str">
        <f>VLOOKUP(E628,'5.2 Actions'!$A$3:$B$720,2,0)</f>
        <v>Recenser et désigner les étangs régionaux</v>
      </c>
      <c r="G628" s="251">
        <f>VLOOKUP(E628,'[4]5.2 Actions'!$A$3:$D$718,4,0)</f>
        <v>0</v>
      </c>
      <c r="H628" s="252">
        <f>VLOOKUP($E628,'5.1 Budget'!$A$4:$H$729,2,0)</f>
        <v>0</v>
      </c>
      <c r="I628" s="252">
        <f>VLOOKUP($E628,'5.1 Budget'!$A$4:$H$729,3,0)</f>
        <v>0</v>
      </c>
      <c r="J628" s="252">
        <f>VLOOKUP($E628,'5.1 Budget'!$A$4:$H$729,4,0)</f>
        <v>0</v>
      </c>
      <c r="K628" s="252">
        <f>VLOOKUP($E628,'5.1 Budget'!$A$4:$H$729,5,0)</f>
        <v>0</v>
      </c>
      <c r="L628" s="252">
        <f>VLOOKUP($E628,'5.1 Budget'!$A$4:$H$729,6,0)</f>
        <v>0</v>
      </c>
      <c r="M628" s="252">
        <f>VLOOKUP($E628,'5.1 Budget'!$A$4:$H$729,7,0)</f>
        <v>0</v>
      </c>
      <c r="N628" s="252">
        <f>VLOOKUP($E628,'5.1 Budget'!$A$4:$H$729,8,0)</f>
        <v>0</v>
      </c>
      <c r="V628" t="str">
        <f>VLOOKUP(D628,'[4]1. Mesures'!$A$1:$B$116,2,0)</f>
        <v>Actualiser l’Atlas des cours d’eau non navigables et en assurer la diffusion</v>
      </c>
      <c r="W628" t="str">
        <f>VLOOKUP(B628,[1]HIERARCH!$A$1:$B$57,2,0)</f>
        <v xml:space="preserve">Renforcer l’éducation, la sensibilisation et la pédagogie autour de la thématique de l’eau </v>
      </c>
      <c r="X628" t="e">
        <f>VLOOKUP(C628,[1]HIERARCH!$A$2:$B$57,2,0)</f>
        <v>#N/A</v>
      </c>
      <c r="Y628" t="str">
        <f t="shared" si="32"/>
        <v>Recenser et désigner les étangs régionaux…</v>
      </c>
    </row>
    <row r="629" spans="1:25" hidden="1" x14ac:dyDescent="0.25">
      <c r="A629" s="249" t="str">
        <f t="shared" si="33"/>
        <v>6</v>
      </c>
      <c r="B629" s="249" t="str">
        <f>VLOOKUP($D629,'[4]1. Mesures'!$A$2:$G$116,6,0)</f>
        <v>OS 6.2</v>
      </c>
      <c r="C629" s="249" t="str">
        <f>VLOOKUP($D629,'[4]1. Mesures'!$A$2:$G$116,7,0)</f>
        <v>-</v>
      </c>
      <c r="D629" s="249" t="str">
        <f t="shared" si="34"/>
        <v>M 6.12</v>
      </c>
      <c r="E629" s="250" t="s">
        <v>1171</v>
      </c>
      <c r="F629" s="249" t="str">
        <f>VLOOKUP(E629,'5.2 Actions'!$A$3:$B$720,2,0)</f>
        <v>Faire les relevés topographiques par des géomètres pour les tronçons du réseau hydrographique qui n'ont pas encore fait l'objet d'un relevé récent ou qui ont fait l'objet de travaux d’aménagement ou de rénovation pour la mise à jour continue de l’Atlas.</v>
      </c>
      <c r="G629" s="251">
        <f>VLOOKUP(E629,'[4]5.2 Actions'!$A$3:$D$718,4,0)</f>
        <v>0</v>
      </c>
      <c r="H629" s="252">
        <f>VLOOKUP($E629,'5.1 Budget'!$A$4:$H$729,2,0)</f>
        <v>50000</v>
      </c>
      <c r="I629" s="252">
        <f>VLOOKUP($E629,'5.1 Budget'!$A$4:$H$729,3,0)</f>
        <v>50000</v>
      </c>
      <c r="J629" s="252">
        <f>VLOOKUP($E629,'5.1 Budget'!$A$4:$H$729,4,0)</f>
        <v>50000</v>
      </c>
      <c r="K629" s="252">
        <f>VLOOKUP($E629,'5.1 Budget'!$A$4:$H$729,5,0)</f>
        <v>50000</v>
      </c>
      <c r="L629" s="252">
        <f>VLOOKUP($E629,'5.1 Budget'!$A$4:$H$729,6,0)</f>
        <v>50000</v>
      </c>
      <c r="M629" s="252">
        <f>VLOOKUP($E629,'5.1 Budget'!$A$4:$H$729,7,0)</f>
        <v>50000</v>
      </c>
      <c r="N629" s="252">
        <f>VLOOKUP($E629,'5.1 Budget'!$A$4:$H$729,8,0)</f>
        <v>300000</v>
      </c>
      <c r="V629" t="str">
        <f>VLOOKUP(D629,'[4]1. Mesures'!$A$1:$B$116,2,0)</f>
        <v>Actualiser l’Atlas des cours d’eau non navigables et en assurer la diffusion</v>
      </c>
      <c r="W629" t="str">
        <f>VLOOKUP(B629,[1]HIERARCH!$A$1:$B$57,2,0)</f>
        <v xml:space="preserve">Renforcer l’éducation, la sensibilisation et la pédagogie autour de la thématique de l’eau </v>
      </c>
      <c r="X629" t="e">
        <f>VLOOKUP(C629,[1]HIERARCH!$A$2:$B$57,2,0)</f>
        <v>#N/A</v>
      </c>
      <c r="Y629" t="str">
        <f t="shared" si="32"/>
        <v>Faire les relevés topographiques par des géomètres pour les tronçons du réseau hydrographique qui n'ont pas encore fait …</v>
      </c>
    </row>
    <row r="630" spans="1:25" hidden="1" x14ac:dyDescent="0.25">
      <c r="A630" s="249" t="str">
        <f t="shared" si="33"/>
        <v>6</v>
      </c>
      <c r="B630" s="249" t="str">
        <f>VLOOKUP($D630,'[4]1. Mesures'!$A$2:$G$116,6,0)</f>
        <v>OS 6.2</v>
      </c>
      <c r="C630" s="249" t="str">
        <f>VLOOKUP($D630,'[4]1. Mesures'!$A$2:$G$116,7,0)</f>
        <v>-</v>
      </c>
      <c r="D630" s="249" t="str">
        <f t="shared" si="34"/>
        <v>M 6.12</v>
      </c>
      <c r="E630" s="250" t="s">
        <v>1172</v>
      </c>
      <c r="F630" s="249" t="str">
        <f>VLOOKUP(E630,'5.2 Actions'!$A$3:$B$720,2,0)</f>
        <v xml:space="preserve">Introduire l’ensemble des données relevées dans une base de données informatique géoréférencée, valider ces données et définir la forme, le contenu et la présentation de l'Atlas. </v>
      </c>
      <c r="G630" s="251">
        <f>VLOOKUP(E630,'[4]5.2 Actions'!$A$3:$D$718,4,0)</f>
        <v>0</v>
      </c>
      <c r="H630" s="252">
        <f>VLOOKUP($E630,'5.1 Budget'!$A$4:$H$729,2,0)</f>
        <v>0</v>
      </c>
      <c r="I630" s="252">
        <f>VLOOKUP($E630,'5.1 Budget'!$A$4:$H$729,3,0)</f>
        <v>0</v>
      </c>
      <c r="J630" s="252">
        <f>VLOOKUP($E630,'5.1 Budget'!$A$4:$H$729,4,0)</f>
        <v>0</v>
      </c>
      <c r="K630" s="252">
        <f>VLOOKUP($E630,'5.1 Budget'!$A$4:$H$729,5,0)</f>
        <v>0</v>
      </c>
      <c r="L630" s="252">
        <f>VLOOKUP($E630,'5.1 Budget'!$A$4:$H$729,6,0)</f>
        <v>0</v>
      </c>
      <c r="M630" s="252">
        <f>VLOOKUP($E630,'5.1 Budget'!$A$4:$H$729,7,0)</f>
        <v>0</v>
      </c>
      <c r="N630" s="252">
        <f>VLOOKUP($E630,'5.1 Budget'!$A$4:$H$729,8,0)</f>
        <v>0</v>
      </c>
      <c r="V630" t="str">
        <f>VLOOKUP(D630,'[4]1. Mesures'!$A$1:$B$116,2,0)</f>
        <v>Actualiser l’Atlas des cours d’eau non navigables et en assurer la diffusion</v>
      </c>
      <c r="W630" t="str">
        <f>VLOOKUP(B630,[1]HIERARCH!$A$1:$B$57,2,0)</f>
        <v xml:space="preserve">Renforcer l’éducation, la sensibilisation et la pédagogie autour de la thématique de l’eau </v>
      </c>
      <c r="X630" t="e">
        <f>VLOOKUP(C630,[1]HIERARCH!$A$2:$B$57,2,0)</f>
        <v>#N/A</v>
      </c>
      <c r="Y630" t="str">
        <f t="shared" si="32"/>
        <v>Introduire l’ensemble des données relevées dans une base de données informatique géoréférencée, valider ces données et d…</v>
      </c>
    </row>
    <row r="631" spans="1:25" hidden="1" x14ac:dyDescent="0.25">
      <c r="A631" s="249" t="str">
        <f t="shared" si="33"/>
        <v>6</v>
      </c>
      <c r="B631" s="249" t="str">
        <f>VLOOKUP($D631,'[4]1. Mesures'!$A$2:$G$116,6,0)</f>
        <v>OS 6.2</v>
      </c>
      <c r="C631" s="249" t="str">
        <f>VLOOKUP($D631,'[4]1. Mesures'!$A$2:$G$116,7,0)</f>
        <v>-</v>
      </c>
      <c r="D631" s="249" t="str">
        <f t="shared" si="34"/>
        <v>M 6.12</v>
      </c>
      <c r="E631" s="250" t="s">
        <v>1173</v>
      </c>
      <c r="F631" s="249" t="str">
        <f>VLOOKUP(E631,'5.2 Actions'!$A$3:$B$720,2,0)</f>
        <v>Rédiger et adopter l’arrêté du Gouvernement opérant le classement des cours d’eau non navigables et approuvant l’Atlas</v>
      </c>
      <c r="G631" s="251">
        <f>VLOOKUP(E631,'[4]5.2 Actions'!$A$3:$D$718,4,0)</f>
        <v>0</v>
      </c>
      <c r="H631" s="252">
        <f>VLOOKUP($E631,'5.1 Budget'!$A$4:$H$729,2,0)</f>
        <v>0</v>
      </c>
      <c r="I631" s="252">
        <f>VLOOKUP($E631,'5.1 Budget'!$A$4:$H$729,3,0)</f>
        <v>0</v>
      </c>
      <c r="J631" s="252">
        <f>VLOOKUP($E631,'5.1 Budget'!$A$4:$H$729,4,0)</f>
        <v>0</v>
      </c>
      <c r="K631" s="252">
        <f>VLOOKUP($E631,'5.1 Budget'!$A$4:$H$729,5,0)</f>
        <v>0</v>
      </c>
      <c r="L631" s="252">
        <f>VLOOKUP($E631,'5.1 Budget'!$A$4:$H$729,6,0)</f>
        <v>0</v>
      </c>
      <c r="M631" s="252">
        <f>VLOOKUP($E631,'5.1 Budget'!$A$4:$H$729,7,0)</f>
        <v>0</v>
      </c>
      <c r="N631" s="252">
        <f>VLOOKUP($E631,'5.1 Budget'!$A$4:$H$729,8,0)</f>
        <v>0</v>
      </c>
      <c r="V631" t="str">
        <f>VLOOKUP(D631,'[4]1. Mesures'!$A$1:$B$116,2,0)</f>
        <v>Actualiser l’Atlas des cours d’eau non navigables et en assurer la diffusion</v>
      </c>
      <c r="W631" t="str">
        <f>VLOOKUP(B631,[1]HIERARCH!$A$1:$B$57,2,0)</f>
        <v xml:space="preserve">Renforcer l’éducation, la sensibilisation et la pédagogie autour de la thématique de l’eau </v>
      </c>
      <c r="X631" t="e">
        <f>VLOOKUP(C631,[1]HIERARCH!$A$2:$B$57,2,0)</f>
        <v>#N/A</v>
      </c>
      <c r="Y631" t="str">
        <f t="shared" si="32"/>
        <v>Rédiger et adopter l’arrêté du Gouvernement opérant le classement des cours d’eau non navigables et approuvant l’Atlas…</v>
      </c>
    </row>
    <row r="632" spans="1:25" hidden="1" x14ac:dyDescent="0.25">
      <c r="A632" s="249" t="str">
        <f t="shared" si="33"/>
        <v>6</v>
      </c>
      <c r="B632" s="249" t="str">
        <f>VLOOKUP($D632,'[4]1. Mesures'!$A$2:$G$116,6,0)</f>
        <v>OS 6.2</v>
      </c>
      <c r="C632" s="249" t="str">
        <f>VLOOKUP($D632,'[4]1. Mesures'!$A$2:$G$116,7,0)</f>
        <v>-</v>
      </c>
      <c r="D632" s="249" t="str">
        <f t="shared" si="34"/>
        <v>M 6.12</v>
      </c>
      <c r="E632" s="250" t="s">
        <v>1174</v>
      </c>
      <c r="F632" s="249" t="str">
        <f>VLOOKUP(E632,'5.2 Actions'!$A$3:$B$720,2,0)</f>
        <v>Enquête publique auprès des communes</v>
      </c>
      <c r="G632" s="251">
        <f>VLOOKUP(E632,'[4]5.2 Actions'!$A$3:$D$718,4,0)</f>
        <v>0</v>
      </c>
      <c r="H632" s="252">
        <f>VLOOKUP($E632,'5.1 Budget'!$A$4:$H$729,2,0)</f>
        <v>0</v>
      </c>
      <c r="I632" s="252">
        <f>VLOOKUP($E632,'5.1 Budget'!$A$4:$H$729,3,0)</f>
        <v>0</v>
      </c>
      <c r="J632" s="252">
        <f>VLOOKUP($E632,'5.1 Budget'!$A$4:$H$729,4,0)</f>
        <v>0</v>
      </c>
      <c r="K632" s="252">
        <f>VLOOKUP($E632,'5.1 Budget'!$A$4:$H$729,5,0)</f>
        <v>0</v>
      </c>
      <c r="L632" s="252">
        <f>VLOOKUP($E632,'5.1 Budget'!$A$4:$H$729,6,0)</f>
        <v>0</v>
      </c>
      <c r="M632" s="252">
        <f>VLOOKUP($E632,'5.1 Budget'!$A$4:$H$729,7,0)</f>
        <v>0</v>
      </c>
      <c r="N632" s="252">
        <f>VLOOKUP($E632,'5.1 Budget'!$A$4:$H$729,8,0)</f>
        <v>0</v>
      </c>
      <c r="V632" t="str">
        <f>VLOOKUP(D632,'[4]1. Mesures'!$A$1:$B$116,2,0)</f>
        <v>Actualiser l’Atlas des cours d’eau non navigables et en assurer la diffusion</v>
      </c>
      <c r="W632" t="str">
        <f>VLOOKUP(B632,[1]HIERARCH!$A$1:$B$57,2,0)</f>
        <v xml:space="preserve">Renforcer l’éducation, la sensibilisation et la pédagogie autour de la thématique de l’eau </v>
      </c>
      <c r="X632" t="e">
        <f>VLOOKUP(C632,[1]HIERARCH!$A$2:$B$57,2,0)</f>
        <v>#N/A</v>
      </c>
      <c r="Y632" t="str">
        <f t="shared" si="32"/>
        <v>Enquête publique auprès des communes…</v>
      </c>
    </row>
    <row r="633" spans="1:25" hidden="1" x14ac:dyDescent="0.25">
      <c r="A633" s="249" t="str">
        <f t="shared" si="33"/>
        <v>6</v>
      </c>
      <c r="B633" s="249" t="str">
        <f>VLOOKUP($D633,'[4]1. Mesures'!$A$2:$G$116,6,0)</f>
        <v>OS 6.2</v>
      </c>
      <c r="C633" s="249" t="str">
        <f>VLOOKUP($D633,'[4]1. Mesures'!$A$2:$G$116,7,0)</f>
        <v>-</v>
      </c>
      <c r="D633" s="249" t="str">
        <f t="shared" si="34"/>
        <v>M 6.12</v>
      </c>
      <c r="E633" s="250" t="s">
        <v>1175</v>
      </c>
      <c r="F633" s="249" t="str">
        <f>VLOOKUP(E633,'5.2 Actions'!$A$3:$B$720,2,0)</f>
        <v>Assurer la diffusion de l’Atlas</v>
      </c>
      <c r="G633" s="251">
        <f>VLOOKUP(E633,'[4]5.2 Actions'!$A$3:$D$718,4,0)</f>
        <v>0</v>
      </c>
      <c r="H633" s="252">
        <f>VLOOKUP($E633,'5.1 Budget'!$A$4:$H$729,2,0)</f>
        <v>0</v>
      </c>
      <c r="I633" s="252">
        <f>VLOOKUP($E633,'5.1 Budget'!$A$4:$H$729,3,0)</f>
        <v>0</v>
      </c>
      <c r="J633" s="252">
        <f>VLOOKUP($E633,'5.1 Budget'!$A$4:$H$729,4,0)</f>
        <v>0</v>
      </c>
      <c r="K633" s="252">
        <f>VLOOKUP($E633,'5.1 Budget'!$A$4:$H$729,5,0)</f>
        <v>0</v>
      </c>
      <c r="L633" s="252">
        <f>VLOOKUP($E633,'5.1 Budget'!$A$4:$H$729,6,0)</f>
        <v>0</v>
      </c>
      <c r="M633" s="252">
        <f>VLOOKUP($E633,'5.1 Budget'!$A$4:$H$729,7,0)</f>
        <v>0</v>
      </c>
      <c r="N633" s="252">
        <f>VLOOKUP($E633,'5.1 Budget'!$A$4:$H$729,8,0)</f>
        <v>0</v>
      </c>
      <c r="V633" t="str">
        <f>VLOOKUP(D633,'[4]1. Mesures'!$A$1:$B$116,2,0)</f>
        <v>Actualiser l’Atlas des cours d’eau non navigables et en assurer la diffusion</v>
      </c>
      <c r="W633" t="str">
        <f>VLOOKUP(B633,[1]HIERARCH!$A$1:$B$57,2,0)</f>
        <v xml:space="preserve">Renforcer l’éducation, la sensibilisation et la pédagogie autour de la thématique de l’eau </v>
      </c>
      <c r="X633" t="e">
        <f>VLOOKUP(C633,[1]HIERARCH!$A$2:$B$57,2,0)</f>
        <v>#N/A</v>
      </c>
      <c r="Y633" t="str">
        <f t="shared" si="32"/>
        <v>Assurer la diffusion de l’Atlas…</v>
      </c>
    </row>
    <row r="634" spans="1:25" hidden="1" x14ac:dyDescent="0.25">
      <c r="A634" s="249" t="str">
        <f t="shared" si="33"/>
        <v>7</v>
      </c>
      <c r="B634" s="249" t="str">
        <f>VLOOKUP($D634,'[4]1. Mesures'!$A$2:$G$116,6,0)</f>
        <v>OS 7.1</v>
      </c>
      <c r="C634" s="249" t="str">
        <f>VLOOKUP($D634,'[4]1. Mesures'!$A$2:$G$116,7,0)</f>
        <v>OO  7.1.1</v>
      </c>
      <c r="D634" s="249" t="str">
        <f t="shared" si="31"/>
        <v>M 7.1</v>
      </c>
      <c r="E634" s="250" t="s">
        <v>1205</v>
      </c>
      <c r="F634" s="249" t="str">
        <f>VLOOKUP(E634,'5.2 Actions'!$A$3:$B$720,2,0)</f>
        <v>Sectorisation accrue des réseaux.
1er Objectif: obtenir 65 zones DMA pour fin 2024 
2ème Objectif: obtenir 72 zones DMA pour fin 2027</v>
      </c>
      <c r="G634" s="251">
        <f>VLOOKUP(E634,'[4]5.2 Actions'!$A$3:$D$718,4,0)</f>
        <v>0</v>
      </c>
      <c r="H634" s="252">
        <f>VLOOKUP($E634,'5.1 Budget'!$A$4:$H$729,2,0)</f>
        <v>90000</v>
      </c>
      <c r="I634" s="252">
        <f>VLOOKUP($E634,'5.1 Budget'!$A$4:$H$729,3,0)</f>
        <v>60000</v>
      </c>
      <c r="J634" s="252">
        <f>VLOOKUP($E634,'5.1 Budget'!$A$4:$H$729,4,0)</f>
        <v>30000</v>
      </c>
      <c r="K634" s="252">
        <f>VLOOKUP($E634,'5.1 Budget'!$A$4:$H$729,5,0)</f>
        <v>30000</v>
      </c>
      <c r="L634" s="252">
        <f>VLOOKUP($E634,'5.1 Budget'!$A$4:$H$729,6,0)</f>
        <v>30000</v>
      </c>
      <c r="M634" s="252">
        <f>VLOOKUP($E634,'5.1 Budget'!$A$4:$H$729,7,0)</f>
        <v>30000</v>
      </c>
      <c r="N634" s="252">
        <f>VLOOKUP($E634,'5.1 Budget'!$A$4:$H$729,8,0)</f>
        <v>270000</v>
      </c>
      <c r="V634" t="str">
        <f>VLOOKUP(D634,'[4]1. Mesures'!$A$1:$B$116,2,0)</f>
        <v xml:space="preserve">Assurer l’entretien du réseau et optimiser son fonctionnement afin de  de lutter contre les fuites du réseau de distribution d'eau potable </v>
      </c>
      <c r="W634" t="str">
        <f>VLOOKUP(B634,[1]HIERARCH!$A$1:$B$57,2,0)</f>
        <v>Préserver et valoriser les ressources stratégiques en eau</v>
      </c>
      <c r="X634" t="e">
        <f>VLOOKUP(C634,[1]HIERARCH!$A$2:$B$57,2,0)</f>
        <v>#N/A</v>
      </c>
      <c r="Y634" t="str">
        <f t="shared" si="32"/>
        <v>Sectorisation accrue des réseaux.
1er Objectif: obtenir 65 zones DMA pour fin 2024 
2ème Objectif: obtenir 72 zones DMA …</v>
      </c>
    </row>
    <row r="635" spans="1:25" hidden="1" x14ac:dyDescent="0.25">
      <c r="A635" s="249" t="str">
        <f t="shared" si="33"/>
        <v>7</v>
      </c>
      <c r="B635" s="249" t="str">
        <f>VLOOKUP($D635,'[4]1. Mesures'!$A$2:$G$116,6,0)</f>
        <v>OS 7.1</v>
      </c>
      <c r="C635" s="249" t="str">
        <f>VLOOKUP($D635,'[4]1. Mesures'!$A$2:$G$116,7,0)</f>
        <v>OO  7.1.1</v>
      </c>
      <c r="D635" s="249" t="str">
        <f t="shared" si="31"/>
        <v>M 7.1</v>
      </c>
      <c r="E635" s="250" t="s">
        <v>1206</v>
      </c>
      <c r="F635" s="249" t="str">
        <f>VLOOKUP(E635,'5.2 Actions'!$A$3:$B$720,2,0)</f>
        <v>Campagne de détection de fuites via images par satellite . Vision des 2380 km de réseau en RBC tous les 3 ans</v>
      </c>
      <c r="G635" s="251">
        <f>VLOOKUP(E635,'[4]5.2 Actions'!$A$3:$D$718,4,0)</f>
        <v>0</v>
      </c>
      <c r="H635" s="252">
        <f>VLOOKUP($E635,'5.1 Budget'!$A$4:$H$729,2,0)</f>
        <v>100000</v>
      </c>
      <c r="I635" s="252">
        <f>VLOOKUP($E635,'5.1 Budget'!$A$4:$H$729,3,0)</f>
        <v>0</v>
      </c>
      <c r="J635" s="252">
        <f>VLOOKUP($E635,'5.1 Budget'!$A$4:$H$729,4,0)</f>
        <v>50000</v>
      </c>
      <c r="K635" s="252">
        <f>VLOOKUP($E635,'5.1 Budget'!$A$4:$H$729,5,0)</f>
        <v>50000</v>
      </c>
      <c r="L635" s="252">
        <f>VLOOKUP($E635,'5.1 Budget'!$A$4:$H$729,6,0)</f>
        <v>50000</v>
      </c>
      <c r="M635" s="252">
        <f>VLOOKUP($E635,'5.1 Budget'!$A$4:$H$729,7,0)</f>
        <v>0</v>
      </c>
      <c r="N635" s="252">
        <f>VLOOKUP($E635,'5.1 Budget'!$A$4:$H$729,8,0)</f>
        <v>250000</v>
      </c>
      <c r="V635" t="str">
        <f>VLOOKUP(D635,'[4]1. Mesures'!$A$1:$B$116,2,0)</f>
        <v xml:space="preserve">Assurer l’entretien du réseau et optimiser son fonctionnement afin de  de lutter contre les fuites du réseau de distribution d'eau potable </v>
      </c>
      <c r="W635" t="str">
        <f>VLOOKUP(B635,[1]HIERARCH!$A$1:$B$57,2,0)</f>
        <v>Préserver et valoriser les ressources stratégiques en eau</v>
      </c>
      <c r="X635" t="e">
        <f>VLOOKUP(C635,[1]HIERARCH!$A$2:$B$57,2,0)</f>
        <v>#N/A</v>
      </c>
      <c r="Y635" t="str">
        <f t="shared" si="32"/>
        <v>Campagne de détection de fuites via images par satellite . Vision des 2380 km de réseau en RBC tous les 3 ans…</v>
      </c>
    </row>
    <row r="636" spans="1:25" hidden="1" x14ac:dyDescent="0.25">
      <c r="A636" s="249" t="str">
        <f t="shared" si="33"/>
        <v>7</v>
      </c>
      <c r="B636" s="249" t="str">
        <f>VLOOKUP($D636,'[4]1. Mesures'!$A$2:$G$116,6,0)</f>
        <v>OS 7.1</v>
      </c>
      <c r="C636" s="249" t="str">
        <f>VLOOKUP($D636,'[4]1. Mesures'!$A$2:$G$116,7,0)</f>
        <v>OO  7.1.1</v>
      </c>
      <c r="D636" s="249" t="str">
        <f t="shared" si="31"/>
        <v>M 7.1</v>
      </c>
      <c r="E636" s="250" t="s">
        <v>1207</v>
      </c>
      <c r="F636" s="249" t="str">
        <f>VLOOKUP(E636,'5.2 Actions'!$A$3:$B$720,2,0)</f>
        <v>Réaliser une veille technologique sur les compteurs d’eau  à l’'aide du programme de monitoring Leakredux Totalement opérationnel en 2022 puis maintenance et mise à niveau annuelle en fonction de l’avancée de la sectorisation</v>
      </c>
      <c r="G636" s="251">
        <f>VLOOKUP(E636,'[4]5.2 Actions'!$A$3:$D$718,4,0)</f>
        <v>0</v>
      </c>
      <c r="H636" s="252">
        <f>VLOOKUP($E636,'5.1 Budget'!$A$4:$H$729,2,0)</f>
        <v>60000</v>
      </c>
      <c r="I636" s="252">
        <f>VLOOKUP($E636,'5.1 Budget'!$A$4:$H$729,3,0)</f>
        <v>65000</v>
      </c>
      <c r="J636" s="252">
        <f>VLOOKUP($E636,'5.1 Budget'!$A$4:$H$729,4,0)</f>
        <v>70000</v>
      </c>
      <c r="K636" s="252">
        <f>VLOOKUP($E636,'5.1 Budget'!$A$4:$H$729,5,0)</f>
        <v>70000</v>
      </c>
      <c r="L636" s="252">
        <f>VLOOKUP($E636,'5.1 Budget'!$A$4:$H$729,6,0)</f>
        <v>70000</v>
      </c>
      <c r="M636" s="252">
        <f>VLOOKUP($E636,'5.1 Budget'!$A$4:$H$729,7,0)</f>
        <v>70000</v>
      </c>
      <c r="N636" s="252">
        <f>VLOOKUP($E636,'5.1 Budget'!$A$4:$H$729,8,0)</f>
        <v>405000</v>
      </c>
      <c r="V636" t="str">
        <f>VLOOKUP(D636,'[4]1. Mesures'!$A$1:$B$116,2,0)</f>
        <v xml:space="preserve">Assurer l’entretien du réseau et optimiser son fonctionnement afin de  de lutter contre les fuites du réseau de distribution d'eau potable </v>
      </c>
      <c r="W636" t="str">
        <f>VLOOKUP(B636,[1]HIERARCH!$A$1:$B$57,2,0)</f>
        <v>Préserver et valoriser les ressources stratégiques en eau</v>
      </c>
      <c r="X636" t="e">
        <f>VLOOKUP(C636,[1]HIERARCH!$A$2:$B$57,2,0)</f>
        <v>#N/A</v>
      </c>
      <c r="Y636" t="str">
        <f t="shared" si="32"/>
        <v>Réaliser une veille technologique sur les compteurs d’eau  à l’'aide du programme de monitoring Leakredux Totalement opé…</v>
      </c>
    </row>
    <row r="637" spans="1:25" hidden="1" x14ac:dyDescent="0.25">
      <c r="A637" s="249" t="str">
        <f t="shared" si="33"/>
        <v>7</v>
      </c>
      <c r="B637" s="249" t="str">
        <f>VLOOKUP($D637,'[4]1. Mesures'!$A$2:$G$116,6,0)</f>
        <v>OS 7.1</v>
      </c>
      <c r="C637" s="249" t="str">
        <f>VLOOKUP($D637,'[4]1. Mesures'!$A$2:$G$116,7,0)</f>
        <v>OO  7.1.1</v>
      </c>
      <c r="D637" s="249" t="str">
        <f t="shared" si="31"/>
        <v>M 7.1</v>
      </c>
      <c r="E637" s="250" t="s">
        <v>1208</v>
      </c>
      <c r="F637" s="249" t="str">
        <f>VLOOKUP(E637,'5.2 Actions'!$A$3:$B$720,2,0)</f>
        <v>Assurer des équipes compétentes et efficaces permettant de réagir rapidement en cas de problèmes constatés (fuites, …) et apporter les correctifs nécessaires</v>
      </c>
      <c r="G637" s="251">
        <f>VLOOKUP(E637,'[4]5.2 Actions'!$A$3:$D$718,4,0)</f>
        <v>0</v>
      </c>
      <c r="H637" s="252">
        <f>VLOOKUP($E637,'5.1 Budget'!$A$4:$H$729,2,0)</f>
        <v>2850000</v>
      </c>
      <c r="I637" s="252">
        <f>VLOOKUP($E637,'5.1 Budget'!$A$4:$H$729,3,0)</f>
        <v>2850000</v>
      </c>
      <c r="J637" s="252">
        <f>VLOOKUP($E637,'5.1 Budget'!$A$4:$H$729,4,0)</f>
        <v>2850000</v>
      </c>
      <c r="K637" s="252">
        <f>VLOOKUP($E637,'5.1 Budget'!$A$4:$H$729,5,0)</f>
        <v>2850000</v>
      </c>
      <c r="L637" s="252">
        <f>VLOOKUP($E637,'5.1 Budget'!$A$4:$H$729,6,0)</f>
        <v>2850000</v>
      </c>
      <c r="M637" s="252">
        <f>VLOOKUP($E637,'5.1 Budget'!$A$4:$H$729,7,0)</f>
        <v>2850000</v>
      </c>
      <c r="N637" s="252">
        <f>VLOOKUP($E637,'5.1 Budget'!$A$4:$H$729,8,0)</f>
        <v>17100000</v>
      </c>
      <c r="V637" t="str">
        <f>VLOOKUP(D637,'[4]1. Mesures'!$A$1:$B$116,2,0)</f>
        <v xml:space="preserve">Assurer l’entretien du réseau et optimiser son fonctionnement afin de  de lutter contre les fuites du réseau de distribution d'eau potable </v>
      </c>
      <c r="W637" t="str">
        <f>VLOOKUP(B637,[1]HIERARCH!$A$1:$B$57,2,0)</f>
        <v>Préserver et valoriser les ressources stratégiques en eau</v>
      </c>
      <c r="X637" t="e">
        <f>VLOOKUP(C637,[1]HIERARCH!$A$2:$B$57,2,0)</f>
        <v>#N/A</v>
      </c>
      <c r="Y637" t="str">
        <f t="shared" si="32"/>
        <v>Assurer des équipes compétentes et efficaces permettant de réagir rapidement en cas de problèmes constatés (fuites, …) e…</v>
      </c>
    </row>
    <row r="638" spans="1:25" hidden="1" x14ac:dyDescent="0.25">
      <c r="A638" s="249" t="str">
        <f t="shared" si="33"/>
        <v>7</v>
      </c>
      <c r="B638" s="249" t="str">
        <f>VLOOKUP($D638,'[4]1. Mesures'!$A$2:$G$116,6,0)</f>
        <v>OS 7.1</v>
      </c>
      <c r="C638" s="249" t="str">
        <f>VLOOKUP($D638,'[4]1. Mesures'!$A$2:$G$116,7,0)</f>
        <v>OO  7.1.1</v>
      </c>
      <c r="D638" s="249" t="str">
        <f t="shared" si="31"/>
        <v>M 7.1</v>
      </c>
      <c r="E638" s="250" t="s">
        <v>1209</v>
      </c>
      <c r="F638" s="249" t="str">
        <f>VLOOKUP(E638,'5.2 Actions'!$A$3:$B$720,2,0)</f>
        <v>Tenir à jour une cartographie des réseaux localisant les conduites et leurs caractéristiques et leur état de vétusté</v>
      </c>
      <c r="G638" s="251">
        <f>VLOOKUP(E638,'[4]5.2 Actions'!$A$3:$D$718,4,0)</f>
        <v>0</v>
      </c>
      <c r="H638" s="252">
        <f>VLOOKUP($E638,'5.1 Budget'!$A$4:$H$729,2,0)</f>
        <v>100000</v>
      </c>
      <c r="I638" s="252">
        <f>VLOOKUP($E638,'5.1 Budget'!$A$4:$H$729,3,0)</f>
        <v>100000</v>
      </c>
      <c r="J638" s="252">
        <f>VLOOKUP($E638,'5.1 Budget'!$A$4:$H$729,4,0)</f>
        <v>100000</v>
      </c>
      <c r="K638" s="252">
        <f>VLOOKUP($E638,'5.1 Budget'!$A$4:$H$729,5,0)</f>
        <v>100000</v>
      </c>
      <c r="L638" s="252">
        <f>VLOOKUP($E638,'5.1 Budget'!$A$4:$H$729,6,0)</f>
        <v>100000</v>
      </c>
      <c r="M638" s="252">
        <f>VLOOKUP($E638,'5.1 Budget'!$A$4:$H$729,7,0)</f>
        <v>100000</v>
      </c>
      <c r="N638" s="252">
        <f>VLOOKUP($E638,'5.1 Budget'!$A$4:$H$729,8,0)</f>
        <v>600000</v>
      </c>
      <c r="V638" t="str">
        <f>VLOOKUP(D638,'[4]1. Mesures'!$A$1:$B$116,2,0)</f>
        <v xml:space="preserve">Assurer l’entretien du réseau et optimiser son fonctionnement afin de  de lutter contre les fuites du réseau de distribution d'eau potable </v>
      </c>
      <c r="W638" t="str">
        <f>VLOOKUP(B638,[1]HIERARCH!$A$1:$B$57,2,0)</f>
        <v>Préserver et valoriser les ressources stratégiques en eau</v>
      </c>
      <c r="X638" t="e">
        <f>VLOOKUP(C638,[1]HIERARCH!$A$2:$B$57,2,0)</f>
        <v>#N/A</v>
      </c>
      <c r="Y638" t="str">
        <f t="shared" si="32"/>
        <v>Tenir à jour une cartographie des réseaux localisant les conduites et leurs caractéristiques et leur état de vétusté…</v>
      </c>
    </row>
    <row r="639" spans="1:25" hidden="1" x14ac:dyDescent="0.25">
      <c r="A639" s="249" t="str">
        <f t="shared" si="33"/>
        <v>7</v>
      </c>
      <c r="B639" s="249" t="str">
        <f>VLOOKUP($D639,'[4]1. Mesures'!$A$2:$G$116,6,0)</f>
        <v>OS 7.1</v>
      </c>
      <c r="C639" s="249" t="str">
        <f>VLOOKUP($D639,'[4]1. Mesures'!$A$2:$G$116,7,0)</f>
        <v>OO  7.1.1</v>
      </c>
      <c r="D639" s="249" t="str">
        <f t="shared" si="31"/>
        <v>M 7.1</v>
      </c>
      <c r="E639" s="250" t="s">
        <v>1210</v>
      </c>
      <c r="F639" s="249" t="str">
        <f>VLOOKUP(E639,'5.2 Actions'!$A$3:$B$720,2,0)</f>
        <v>Réaliser les travaux de renouvellement des canalisations de distribution et répartition</v>
      </c>
      <c r="G639" s="251">
        <f>VLOOKUP(E639,'[4]5.2 Actions'!$A$3:$D$718,4,0)</f>
        <v>0</v>
      </c>
      <c r="H639" s="252">
        <f>VLOOKUP($E639,'5.1 Budget'!$A$4:$H$729,2,0)</f>
        <v>19925000</v>
      </c>
      <c r="I639" s="252">
        <f>VLOOKUP($E639,'5.1 Budget'!$A$4:$H$729,3,0)</f>
        <v>19925000</v>
      </c>
      <c r="J639" s="252">
        <f>VLOOKUP($E639,'5.1 Budget'!$A$4:$H$729,4,0)</f>
        <v>19925000</v>
      </c>
      <c r="K639" s="252">
        <f>VLOOKUP($E639,'5.1 Budget'!$A$4:$H$729,5,0)</f>
        <v>19925000</v>
      </c>
      <c r="L639" s="252">
        <f>VLOOKUP($E639,'5.1 Budget'!$A$4:$H$729,6,0)</f>
        <v>19925000</v>
      </c>
      <c r="M639" s="252">
        <f>VLOOKUP($E639,'5.1 Budget'!$A$4:$H$729,7,0)</f>
        <v>19925000</v>
      </c>
      <c r="N639" s="252">
        <f>VLOOKUP($E639,'5.1 Budget'!$A$4:$H$729,8,0)</f>
        <v>119550000</v>
      </c>
      <c r="V639" t="str">
        <f>VLOOKUP(D639,'[4]1. Mesures'!$A$1:$B$116,2,0)</f>
        <v xml:space="preserve">Assurer l’entretien du réseau et optimiser son fonctionnement afin de  de lutter contre les fuites du réseau de distribution d'eau potable </v>
      </c>
      <c r="W639" t="str">
        <f>VLOOKUP(B639,[1]HIERARCH!$A$1:$B$57,2,0)</f>
        <v>Préserver et valoriser les ressources stratégiques en eau</v>
      </c>
      <c r="X639" t="e">
        <f>VLOOKUP(C639,[1]HIERARCH!$A$2:$B$57,2,0)</f>
        <v>#N/A</v>
      </c>
      <c r="Y639" t="str">
        <f t="shared" si="32"/>
        <v>Réaliser les travaux de renouvellement des canalisations de distribution et répartition…</v>
      </c>
    </row>
    <row r="640" spans="1:25" hidden="1" x14ac:dyDescent="0.25">
      <c r="A640" s="249" t="str">
        <f t="shared" si="33"/>
        <v>7</v>
      </c>
      <c r="B640" s="249" t="str">
        <f>VLOOKUP($D640,'[4]1. Mesures'!$A$2:$G$116,6,0)</f>
        <v>OS 7.1</v>
      </c>
      <c r="C640" s="249" t="str">
        <f>VLOOKUP($D640,'[4]1. Mesures'!$A$2:$G$116,7,0)</f>
        <v>OO  7.1.1</v>
      </c>
      <c r="D640" s="249" t="str">
        <f t="shared" si="31"/>
        <v>M 7.1</v>
      </c>
      <c r="E640" s="250" t="s">
        <v>1211</v>
      </c>
      <c r="F640" s="249" t="str">
        <f>VLOOKUP(E640,'5.2 Actions'!$A$3:$B$720,2,0)</f>
        <v>Assurer un contrôle et entretien régulier des hydrants (à charge des communes après  2022)</v>
      </c>
      <c r="G640" s="251">
        <f>VLOOKUP(E640,'[4]5.2 Actions'!$A$3:$D$718,4,0)</f>
        <v>0</v>
      </c>
      <c r="H640" s="252">
        <f>VLOOKUP($E640,'5.1 Budget'!$A$4:$H$729,2,0)</f>
        <v>550000</v>
      </c>
      <c r="I640" s="252">
        <f>VLOOKUP($E640,'5.1 Budget'!$A$4:$H$729,3,0)</f>
        <v>550000</v>
      </c>
      <c r="J640" s="252">
        <f>VLOOKUP($E640,'5.1 Budget'!$A$4:$H$729,4,0)</f>
        <v>550000</v>
      </c>
      <c r="K640" s="252">
        <f>VLOOKUP($E640,'5.1 Budget'!$A$4:$H$729,5,0)</f>
        <v>550000</v>
      </c>
      <c r="L640" s="252">
        <f>VLOOKUP($E640,'5.1 Budget'!$A$4:$H$729,6,0)</f>
        <v>550000</v>
      </c>
      <c r="M640" s="252">
        <f>VLOOKUP($E640,'5.1 Budget'!$A$4:$H$729,7,0)</f>
        <v>550000</v>
      </c>
      <c r="N640" s="252">
        <f>VLOOKUP($E640,'5.1 Budget'!$A$4:$H$729,8,0)</f>
        <v>3300000</v>
      </c>
      <c r="V640" t="str">
        <f>VLOOKUP(D640,'[4]1. Mesures'!$A$1:$B$116,2,0)</f>
        <v xml:space="preserve">Assurer l’entretien du réseau et optimiser son fonctionnement afin de  de lutter contre les fuites du réseau de distribution d'eau potable </v>
      </c>
      <c r="W640" t="str">
        <f>VLOOKUP(B640,[1]HIERARCH!$A$1:$B$57,2,0)</f>
        <v>Préserver et valoriser les ressources stratégiques en eau</v>
      </c>
      <c r="X640" t="e">
        <f>VLOOKUP(C640,[1]HIERARCH!$A$2:$B$57,2,0)</f>
        <v>#N/A</v>
      </c>
      <c r="Y640" t="str">
        <f t="shared" si="32"/>
        <v>Assurer un contrôle et entretien régulier des hydrants (à charge des communes après  2022)…</v>
      </c>
    </row>
    <row r="641" spans="1:25" hidden="1" x14ac:dyDescent="0.25">
      <c r="A641" s="249" t="str">
        <f t="shared" si="33"/>
        <v>7</v>
      </c>
      <c r="B641" s="249" t="str">
        <f>VLOOKUP($D641,'[4]1. Mesures'!$A$2:$G$116,6,0)</f>
        <v>OS 7.1</v>
      </c>
      <c r="C641" s="249" t="str">
        <f>VLOOKUP($D641,'[4]1. Mesures'!$A$2:$G$116,7,0)</f>
        <v>OO  7.1.2</v>
      </c>
      <c r="D641" s="249" t="str">
        <f t="shared" si="31"/>
        <v>M 7.2</v>
      </c>
      <c r="E641" s="250" t="s">
        <v>1221</v>
      </c>
      <c r="F641" s="249" t="str">
        <f>VLOOKUP(E641,'5.2 Actions'!$A$3:$B$720,2,0)</f>
        <v>Encourager la fourniture de l’eau du robinet, à titre gratuit ou moyennant des frais de services peu élevés, dans l’HORECA, les cantines, les centres sportifs, les centres culturels et dans tous les types de services de restauration ainsi que lors d’événement organisés par ces services.
Pour les écoles, cet encouragement peut passer par la mise à disposition de dossiers pédagogiques par exemple.</v>
      </c>
      <c r="G641" s="251">
        <f>VLOOKUP(E641,'[4]5.2 Actions'!$A$3:$D$718,4,0)</f>
        <v>0</v>
      </c>
      <c r="H641" s="252">
        <f>VLOOKUP($E641,'5.1 Budget'!$A$4:$H$729,2,0)</f>
        <v>0</v>
      </c>
      <c r="I641" s="252">
        <f>VLOOKUP($E641,'5.1 Budget'!$A$4:$H$729,3,0)</f>
        <v>0</v>
      </c>
      <c r="J641" s="252">
        <f>VLOOKUP($E641,'5.1 Budget'!$A$4:$H$729,4,0)</f>
        <v>0</v>
      </c>
      <c r="K641" s="252">
        <f>VLOOKUP($E641,'5.1 Budget'!$A$4:$H$729,5,0)</f>
        <v>0</v>
      </c>
      <c r="L641" s="252">
        <f>VLOOKUP($E641,'5.1 Budget'!$A$4:$H$729,6,0)</f>
        <v>0</v>
      </c>
      <c r="M641" s="252">
        <f>VLOOKUP($E641,'5.1 Budget'!$A$4:$H$729,7,0)</f>
        <v>0</v>
      </c>
      <c r="N641" s="252">
        <f>VLOOKUP($E641,'5.1 Budget'!$A$4:$H$729,8,0)</f>
        <v>0</v>
      </c>
      <c r="V641" t="str">
        <f>VLOOKUP(D641,'[4]1. Mesures'!$A$1:$B$116,2,0)</f>
        <v>Promouvoir la consommation d'eau de distribution pour les besoins en eau potable</v>
      </c>
      <c r="W641" t="str">
        <f>VLOOKUP(B641,[1]HIERARCH!$A$1:$B$57,2,0)</f>
        <v>Préserver et valoriser les ressources stratégiques en eau</v>
      </c>
      <c r="X641" t="e">
        <f>VLOOKUP(C641,[1]HIERARCH!$A$2:$B$57,2,0)</f>
        <v>#N/A</v>
      </c>
      <c r="Y641" t="str">
        <f t="shared" si="32"/>
        <v>Encourager la fourniture de l’eau du robinet, à titre gratuit ou moyennant des frais de services peu élevés, dans l’HORE…</v>
      </c>
    </row>
    <row r="642" spans="1:25" hidden="1" x14ac:dyDescent="0.25">
      <c r="A642" s="249" t="str">
        <f t="shared" si="33"/>
        <v>7</v>
      </c>
      <c r="B642" s="249" t="str">
        <f>VLOOKUP($D642,'[4]1. Mesures'!$A$2:$G$116,6,0)</f>
        <v>OS 7.1</v>
      </c>
      <c r="C642" s="249" t="str">
        <f>VLOOKUP($D642,'[4]1. Mesures'!$A$2:$G$116,7,0)</f>
        <v>OO  7.1.2</v>
      </c>
      <c r="D642" s="249" t="str">
        <f t="shared" si="31"/>
        <v>M 7.2</v>
      </c>
      <c r="E642" s="250" t="s">
        <v>1222</v>
      </c>
      <c r="F642" s="249" t="str">
        <f>VLOOKUP(E642,'5.2 Actions'!$A$3:$B$720,2,0)</f>
        <v>Dans les secteurs momentanément non concernés par l’interdiction décrite dans le Brudalex : promouvoir dans tous les labels et chartes (Good Food, eco-schools, bubble, etc.) une utilisation rationnelle de l’eau et une utilisation de l’eau de distribution comme critère.</v>
      </c>
      <c r="G642" s="251">
        <f>VLOOKUP(E642,'[4]5.2 Actions'!$A$3:$D$718,4,0)</f>
        <v>0</v>
      </c>
      <c r="H642" s="252">
        <f>VLOOKUP($E642,'5.1 Budget'!$A$4:$H$729,2,0)</f>
        <v>0</v>
      </c>
      <c r="I642" s="252">
        <f>VLOOKUP($E642,'5.1 Budget'!$A$4:$H$729,3,0)</f>
        <v>0</v>
      </c>
      <c r="J642" s="252">
        <f>VLOOKUP($E642,'5.1 Budget'!$A$4:$H$729,4,0)</f>
        <v>0</v>
      </c>
      <c r="K642" s="252">
        <f>VLOOKUP($E642,'5.1 Budget'!$A$4:$H$729,5,0)</f>
        <v>0</v>
      </c>
      <c r="L642" s="252">
        <f>VLOOKUP($E642,'5.1 Budget'!$A$4:$H$729,6,0)</f>
        <v>0</v>
      </c>
      <c r="M642" s="252">
        <f>VLOOKUP($E642,'5.1 Budget'!$A$4:$H$729,7,0)</f>
        <v>0</v>
      </c>
      <c r="N642" s="252">
        <f>VLOOKUP($E642,'5.1 Budget'!$A$4:$H$729,8,0)</f>
        <v>0</v>
      </c>
      <c r="V642" t="str">
        <f>VLOOKUP(D642,'[4]1. Mesures'!$A$1:$B$116,2,0)</f>
        <v>Promouvoir la consommation d'eau de distribution pour les besoins en eau potable</v>
      </c>
      <c r="W642" t="str">
        <f>VLOOKUP(B642,[1]HIERARCH!$A$1:$B$57,2,0)</f>
        <v>Préserver et valoriser les ressources stratégiques en eau</v>
      </c>
      <c r="X642" t="e">
        <f>VLOOKUP(C642,[1]HIERARCH!$A$2:$B$57,2,0)</f>
        <v>#N/A</v>
      </c>
      <c r="Y642" t="str">
        <f t="shared" si="32"/>
        <v>Dans les secteurs momentanément non concernés par l’interdiction décrite dans le Brudalex : promouvoir dans tous les lab…</v>
      </c>
    </row>
    <row r="643" spans="1:25" hidden="1" x14ac:dyDescent="0.25">
      <c r="A643" s="249" t="str">
        <f t="shared" si="33"/>
        <v>7</v>
      </c>
      <c r="B643" s="249" t="str">
        <f>VLOOKUP($D643,'[4]1. Mesures'!$A$2:$G$116,6,0)</f>
        <v>OS 7.1</v>
      </c>
      <c r="C643" s="249" t="str">
        <f>VLOOKUP($D643,'[4]1. Mesures'!$A$2:$G$116,7,0)</f>
        <v>OO  7.1.2</v>
      </c>
      <c r="D643" s="249" t="str">
        <f t="shared" si="31"/>
        <v>M 7.2</v>
      </c>
      <c r="E643" s="250" t="s">
        <v>1223</v>
      </c>
      <c r="F643" s="249" t="str">
        <f>VLOOKUP(E643,'5.2 Actions'!$A$3:$B$720,2,0)</f>
        <v>Promotion et sensibilisation de l’utilisation de l’eau du robinet dans les établissements scolaires par l’installation de fontaines d’eau potable avec des  soutiens technique à la maintenance et pédagogique à la sensibilisation.</v>
      </c>
      <c r="G643" s="251">
        <f>VLOOKUP(E643,'[4]5.2 Actions'!$A$3:$D$718,4,0)</f>
        <v>0</v>
      </c>
      <c r="H643" s="252">
        <f>VLOOKUP($E643,'5.1 Budget'!$A$4:$H$729,2,0)</f>
        <v>0</v>
      </c>
      <c r="I643" s="252" t="str">
        <f>VLOOKUP($E643,'5.1 Budget'!$A$4:$H$729,3,0)</f>
        <v>10 000€</v>
      </c>
      <c r="J643" s="252" t="str">
        <f>VLOOKUP($E643,'5.1 Budget'!$A$4:$H$729,4,0)</f>
        <v>10 000€</v>
      </c>
      <c r="K643" s="252" t="str">
        <f>VLOOKUP($E643,'5.1 Budget'!$A$4:$H$729,5,0)</f>
        <v>10 000€</v>
      </c>
      <c r="L643" s="252" t="str">
        <f>VLOOKUP($E643,'5.1 Budget'!$A$4:$H$729,6,0)</f>
        <v>10 000€</v>
      </c>
      <c r="M643" s="252" t="str">
        <f>VLOOKUP($E643,'5.1 Budget'!$A$4:$H$729,7,0)</f>
        <v>10 000€</v>
      </c>
      <c r="N643" s="252">
        <f>VLOOKUP($E643,'5.1 Budget'!$A$4:$H$729,8,0)</f>
        <v>0</v>
      </c>
      <c r="V643" t="str">
        <f>VLOOKUP(D643,'[4]1. Mesures'!$A$1:$B$116,2,0)</f>
        <v>Promouvoir la consommation d'eau de distribution pour les besoins en eau potable</v>
      </c>
      <c r="W643" t="str">
        <f>VLOOKUP(B643,[1]HIERARCH!$A$1:$B$57,2,0)</f>
        <v>Préserver et valoriser les ressources stratégiques en eau</v>
      </c>
      <c r="X643" t="e">
        <f>VLOOKUP(C643,[1]HIERARCH!$A$2:$B$57,2,0)</f>
        <v>#N/A</v>
      </c>
      <c r="Y643" t="str">
        <f t="shared" si="32"/>
        <v>Promotion et sensibilisation de l’utilisation de l’eau du robinet dans les établissements scolaires par l’installation d…</v>
      </c>
    </row>
    <row r="644" spans="1:25" hidden="1" x14ac:dyDescent="0.25">
      <c r="A644" s="249" t="str">
        <f t="shared" si="33"/>
        <v>7</v>
      </c>
      <c r="B644" s="249" t="str">
        <f>VLOOKUP($D644,'[4]1. Mesures'!$A$2:$G$116,6,0)</f>
        <v>OS 7.1</v>
      </c>
      <c r="C644" s="249" t="str">
        <f>VLOOKUP($D644,'[4]1. Mesures'!$A$2:$G$116,7,0)</f>
        <v>OO  7.1.2</v>
      </c>
      <c r="D644" s="249" t="str">
        <f t="shared" si="31"/>
        <v>M 7.2</v>
      </c>
      <c r="E644" s="250" t="s">
        <v>1224</v>
      </c>
      <c r="F644" s="249" t="str">
        <f>VLOOKUP(E644,'5.2 Actions'!$A$3:$B$720,2,0)</f>
        <v>Imposer l’abandon du recours à l’eau en bouteille au profit de l’eau de distribution lors d’événements subventionnés par les pouvoirs publics.</v>
      </c>
      <c r="G644" s="251">
        <f>VLOOKUP(E644,'[4]5.2 Actions'!$A$3:$D$718,4,0)</f>
        <v>0</v>
      </c>
      <c r="H644" s="252">
        <f>VLOOKUP($E644,'5.1 Budget'!$A$4:$H$729,2,0)</f>
        <v>0</v>
      </c>
      <c r="I644" s="252">
        <f>VLOOKUP($E644,'5.1 Budget'!$A$4:$H$729,3,0)</f>
        <v>0</v>
      </c>
      <c r="J644" s="252">
        <f>VLOOKUP($E644,'5.1 Budget'!$A$4:$H$729,4,0)</f>
        <v>0</v>
      </c>
      <c r="K644" s="252">
        <f>VLOOKUP($E644,'5.1 Budget'!$A$4:$H$729,5,0)</f>
        <v>0</v>
      </c>
      <c r="L644" s="252">
        <f>VLOOKUP($E644,'5.1 Budget'!$A$4:$H$729,6,0)</f>
        <v>0</v>
      </c>
      <c r="M644" s="252">
        <f>VLOOKUP($E644,'5.1 Budget'!$A$4:$H$729,7,0)</f>
        <v>0</v>
      </c>
      <c r="N644" s="252">
        <f>VLOOKUP($E644,'5.1 Budget'!$A$4:$H$729,8,0)</f>
        <v>0</v>
      </c>
      <c r="V644" t="str">
        <f>VLOOKUP(D644,'[4]1. Mesures'!$A$1:$B$116,2,0)</f>
        <v>Promouvoir la consommation d'eau de distribution pour les besoins en eau potable</v>
      </c>
      <c r="W644" t="str">
        <f>VLOOKUP(B644,[1]HIERARCH!$A$1:$B$57,2,0)</f>
        <v>Préserver et valoriser les ressources stratégiques en eau</v>
      </c>
      <c r="X644" t="e">
        <f>VLOOKUP(C644,[1]HIERARCH!$A$2:$B$57,2,0)</f>
        <v>#N/A</v>
      </c>
      <c r="Y644" t="str">
        <f t="shared" si="32"/>
        <v>Imposer l’abandon du recours à l’eau en bouteille au profit de l’eau de distribution lors d’événements subventionnés par…</v>
      </c>
    </row>
    <row r="645" spans="1:25" hidden="1" x14ac:dyDescent="0.25">
      <c r="A645" s="249" t="str">
        <f t="shared" si="33"/>
        <v>7</v>
      </c>
      <c r="B645" s="249" t="str">
        <f>VLOOKUP($D645,'[4]1. Mesures'!$A$2:$G$116,6,0)</f>
        <v>OS 7.1</v>
      </c>
      <c r="C645" s="249" t="str">
        <f>VLOOKUP($D645,'[4]1. Mesures'!$A$2:$G$116,7,0)</f>
        <v>OO  7.1.2</v>
      </c>
      <c r="D645" s="249" t="str">
        <f t="shared" si="31"/>
        <v>M 7.2</v>
      </c>
      <c r="E645" s="250" t="s">
        <v>1225</v>
      </c>
      <c r="F645" s="249" t="str">
        <f>VLOOKUP(E645,'5.2 Actions'!$A$3:$B$720,2,0)</f>
        <v>Communiquer auprès des citoyens concernant la qualité de l’eau du robinet (via les réseaux sociaux, newsletter client, site web, stands pédagogiques, etc.).</v>
      </c>
      <c r="G645" s="251">
        <f>VLOOKUP(E645,'[4]5.2 Actions'!$A$3:$D$718,4,0)</f>
        <v>0</v>
      </c>
      <c r="H645" s="252">
        <f>VLOOKUP($E645,'5.1 Budget'!$A$4:$H$729,2,0)</f>
        <v>0</v>
      </c>
      <c r="I645" s="252">
        <f>VLOOKUP($E645,'5.1 Budget'!$A$4:$H$729,3,0)</f>
        <v>0</v>
      </c>
      <c r="J645" s="252">
        <f>VLOOKUP($E645,'5.1 Budget'!$A$4:$H$729,4,0)</f>
        <v>0</v>
      </c>
      <c r="K645" s="252">
        <f>VLOOKUP($E645,'5.1 Budget'!$A$4:$H$729,5,0)</f>
        <v>0</v>
      </c>
      <c r="L645" s="252">
        <f>VLOOKUP($E645,'5.1 Budget'!$A$4:$H$729,6,0)</f>
        <v>0</v>
      </c>
      <c r="M645" s="252">
        <f>VLOOKUP($E645,'5.1 Budget'!$A$4:$H$729,7,0)</f>
        <v>0</v>
      </c>
      <c r="N645" s="252">
        <f>VLOOKUP($E645,'5.1 Budget'!$A$4:$H$729,8,0)</f>
        <v>0</v>
      </c>
      <c r="V645" t="str">
        <f>VLOOKUP(D645,'[4]1. Mesures'!$A$1:$B$116,2,0)</f>
        <v>Promouvoir la consommation d'eau de distribution pour les besoins en eau potable</v>
      </c>
      <c r="W645" t="str">
        <f>VLOOKUP(B645,[1]HIERARCH!$A$1:$B$57,2,0)</f>
        <v>Préserver et valoriser les ressources stratégiques en eau</v>
      </c>
      <c r="X645" t="e">
        <f>VLOOKUP(C645,[1]HIERARCH!$A$2:$B$57,2,0)</f>
        <v>#N/A</v>
      </c>
      <c r="Y645" t="str">
        <f t="shared" si="32"/>
        <v>Communiquer auprès des citoyens concernant la qualité de l’eau du robinet (via les réseaux sociaux, newsletter client, s…</v>
      </c>
    </row>
    <row r="646" spans="1:25" hidden="1" x14ac:dyDescent="0.25">
      <c r="A646" s="249" t="str">
        <f t="shared" si="33"/>
        <v>7</v>
      </c>
      <c r="B646" s="249" t="str">
        <f>VLOOKUP($D646,'[4]1. Mesures'!$A$2:$G$116,6,0)</f>
        <v>OS 7.1</v>
      </c>
      <c r="C646" s="249" t="str">
        <f>VLOOKUP($D646,'[4]1. Mesures'!$A$2:$G$116,7,0)</f>
        <v>OO  7.1.2</v>
      </c>
      <c r="D646" s="249" t="str">
        <f t="shared" si="31"/>
        <v>M 7.2</v>
      </c>
      <c r="E646" s="250" t="s">
        <v>1226</v>
      </c>
      <c r="F646" s="249" t="str">
        <f>VLOOKUP(E646,'5.2 Actions'!$A$3:$B$720,2,0)</f>
        <v>Encourager l’utilisation de l’eau de distribution dans les espaces privés dans les communications régionales et communales (site Internet par exemple)</v>
      </c>
      <c r="G646" s="251">
        <f>VLOOKUP(E646,'[4]5.2 Actions'!$A$3:$D$718,4,0)</f>
        <v>0</v>
      </c>
      <c r="H646" s="252">
        <f>VLOOKUP($E646,'5.1 Budget'!$A$4:$H$729,2,0)</f>
        <v>0</v>
      </c>
      <c r="I646" s="252">
        <f>VLOOKUP($E646,'5.1 Budget'!$A$4:$H$729,3,0)</f>
        <v>0</v>
      </c>
      <c r="J646" s="252">
        <f>VLOOKUP($E646,'5.1 Budget'!$A$4:$H$729,4,0)</f>
        <v>0</v>
      </c>
      <c r="K646" s="252">
        <f>VLOOKUP($E646,'5.1 Budget'!$A$4:$H$729,5,0)</f>
        <v>0</v>
      </c>
      <c r="L646" s="252">
        <f>VLOOKUP($E646,'5.1 Budget'!$A$4:$H$729,6,0)</f>
        <v>0</v>
      </c>
      <c r="M646" s="252">
        <f>VLOOKUP($E646,'5.1 Budget'!$A$4:$H$729,7,0)</f>
        <v>0</v>
      </c>
      <c r="N646" s="252">
        <f>VLOOKUP($E646,'5.1 Budget'!$A$4:$H$729,8,0)</f>
        <v>0</v>
      </c>
      <c r="V646" t="str">
        <f>VLOOKUP(D646,'[4]1. Mesures'!$A$1:$B$116,2,0)</f>
        <v>Promouvoir la consommation d'eau de distribution pour les besoins en eau potable</v>
      </c>
      <c r="W646" t="str">
        <f>VLOOKUP(B646,[1]HIERARCH!$A$1:$B$57,2,0)</f>
        <v>Préserver et valoriser les ressources stratégiques en eau</v>
      </c>
      <c r="X646" t="e">
        <f>VLOOKUP(C646,[1]HIERARCH!$A$2:$B$57,2,0)</f>
        <v>#N/A</v>
      </c>
      <c r="Y646" t="str">
        <f t="shared" si="32"/>
        <v>Encourager l’utilisation de l’eau de distribution dans les espaces privés dans les communications régionales et communal…</v>
      </c>
    </row>
    <row r="647" spans="1:25" hidden="1" x14ac:dyDescent="0.25">
      <c r="A647" s="249" t="str">
        <f t="shared" si="33"/>
        <v>7</v>
      </c>
      <c r="B647" s="249" t="str">
        <f>VLOOKUP($D647,'[4]1. Mesures'!$A$2:$G$116,6,0)</f>
        <v>OS 7.1</v>
      </c>
      <c r="C647" s="249" t="str">
        <f>VLOOKUP($D647,'[4]1. Mesures'!$A$2:$G$116,7,0)</f>
        <v>OO  7.1.2</v>
      </c>
      <c r="D647" s="249" t="str">
        <f t="shared" si="31"/>
        <v>M 7.2</v>
      </c>
      <c r="E647" s="250" t="s">
        <v>1227</v>
      </c>
      <c r="F647" s="249" t="str">
        <f>VLOOKUP(E647,'5.2 Actions'!$A$3:$B$720,2,0)</f>
        <v>Proposition de mesures de Brudalex :
interdire aux autorités régionales  de servir des boissons dans des récipients à usage unique dans leurs propres activités et lors des événements qu'elles organisent
interdire la consommation des bouteilles d’eau au sein des bâtiments dépendants des pouvoirs publics régionaux et communaux, tout comme lors d’événements sponsorisés par ceux-ci.
Après, une première phase de mise en œuvre, élargir l’interdiction à tous les évènements accessibles au public tant en intérieur qu’en extérieur, en impliquant en particulier les fédérations sportives et les organisateurs d’évènements.</v>
      </c>
      <c r="G647" s="251">
        <f>VLOOKUP(E647,'[4]5.2 Actions'!$A$3:$D$718,4,0)</f>
        <v>0</v>
      </c>
      <c r="H647" s="252">
        <f>VLOOKUP($E647,'5.1 Budget'!$A$4:$H$729,2,0)</f>
        <v>0</v>
      </c>
      <c r="I647" s="252">
        <f>VLOOKUP($E647,'5.1 Budget'!$A$4:$H$729,3,0)</f>
        <v>0</v>
      </c>
      <c r="J647" s="252">
        <f>VLOOKUP($E647,'5.1 Budget'!$A$4:$H$729,4,0)</f>
        <v>0</v>
      </c>
      <c r="K647" s="252">
        <f>VLOOKUP($E647,'5.1 Budget'!$A$4:$H$729,5,0)</f>
        <v>0</v>
      </c>
      <c r="L647" s="252">
        <f>VLOOKUP($E647,'5.1 Budget'!$A$4:$H$729,6,0)</f>
        <v>0</v>
      </c>
      <c r="M647" s="252">
        <f>VLOOKUP($E647,'5.1 Budget'!$A$4:$H$729,7,0)</f>
        <v>0</v>
      </c>
      <c r="N647" s="252">
        <f>VLOOKUP($E647,'5.1 Budget'!$A$4:$H$729,8,0)</f>
        <v>0</v>
      </c>
      <c r="V647" t="str">
        <f>VLOOKUP(D647,'[4]1. Mesures'!$A$1:$B$116,2,0)</f>
        <v>Promouvoir la consommation d'eau de distribution pour les besoins en eau potable</v>
      </c>
      <c r="W647" t="str">
        <f>VLOOKUP(B647,[1]HIERARCH!$A$1:$B$57,2,0)</f>
        <v>Préserver et valoriser les ressources stratégiques en eau</v>
      </c>
      <c r="X647" t="e">
        <f>VLOOKUP(C647,[1]HIERARCH!$A$2:$B$57,2,0)</f>
        <v>#N/A</v>
      </c>
      <c r="Y647" t="str">
        <f t="shared" si="32"/>
        <v>Proposition de mesures de Brudalex :
interdire aux autorités régionales  de servir des boissons dans des récipients à us…</v>
      </c>
    </row>
    <row r="648" spans="1:25" hidden="1" x14ac:dyDescent="0.25">
      <c r="A648" s="249" t="str">
        <f t="shared" si="33"/>
        <v>7</v>
      </c>
      <c r="B648" s="249" t="str">
        <f>VLOOKUP($D648,'[4]1. Mesures'!$A$2:$G$116,6,0)</f>
        <v>OS 7.1</v>
      </c>
      <c r="C648" s="249" t="str">
        <f>VLOOKUP($D648,'[4]1. Mesures'!$A$2:$G$116,7,0)</f>
        <v>OO  7.1.2</v>
      </c>
      <c r="D648" s="249" t="str">
        <f t="shared" si="31"/>
        <v>M 7.3</v>
      </c>
      <c r="E648" s="250" t="s">
        <v>1228</v>
      </c>
      <c r="F648" s="249" t="str">
        <f>VLOOKUP(E648,'5.2 Actions'!$A$3:$B$720,2,0)</f>
        <v>Actualiser et améliorer le matériel et contenu existants</v>
      </c>
      <c r="G648" s="251">
        <f>VLOOKUP(E648,'[4]5.2 Actions'!$A$3:$D$718,4,0)</f>
        <v>0</v>
      </c>
      <c r="H648" s="252">
        <f>VLOOKUP($E648,'5.1 Budget'!$A$4:$H$729,2,0)</f>
        <v>0</v>
      </c>
      <c r="I648" s="252">
        <f>VLOOKUP($E648,'5.1 Budget'!$A$4:$H$729,3,0)</f>
        <v>0</v>
      </c>
      <c r="J648" s="252">
        <f>VLOOKUP($E648,'5.1 Budget'!$A$4:$H$729,4,0)</f>
        <v>0</v>
      </c>
      <c r="K648" s="252">
        <f>VLOOKUP($E648,'5.1 Budget'!$A$4:$H$729,5,0)</f>
        <v>0</v>
      </c>
      <c r="L648" s="252">
        <f>VLOOKUP($E648,'5.1 Budget'!$A$4:$H$729,6,0)</f>
        <v>0</v>
      </c>
      <c r="M648" s="252">
        <f>VLOOKUP($E648,'5.1 Budget'!$A$4:$H$729,7,0)</f>
        <v>0</v>
      </c>
      <c r="N648" s="252">
        <f>VLOOKUP($E648,'5.1 Budget'!$A$4:$H$729,8,0)</f>
        <v>0</v>
      </c>
      <c r="V648" t="str">
        <f>VLOOKUP(D648,'[4]1. Mesures'!$A$1:$B$116,2,0)</f>
        <v>Promouvoir, auprès des ménages, les comportements et équipements économes en eau ainsi que le recours à un approvisionnement en eau alternatif</v>
      </c>
      <c r="W648" t="str">
        <f>VLOOKUP(B648,[1]HIERARCH!$A$1:$B$57,2,0)</f>
        <v>Préserver et valoriser les ressources stratégiques en eau</v>
      </c>
      <c r="X648" t="e">
        <f>VLOOKUP(C648,[1]HIERARCH!$A$2:$B$57,2,0)</f>
        <v>#N/A</v>
      </c>
      <c r="Y648" t="str">
        <f t="shared" si="32"/>
        <v>Actualiser et améliorer le matériel et contenu existants…</v>
      </c>
    </row>
    <row r="649" spans="1:25" hidden="1" x14ac:dyDescent="0.25">
      <c r="A649" s="249" t="str">
        <f t="shared" si="33"/>
        <v>7</v>
      </c>
      <c r="B649" s="249" t="str">
        <f>VLOOKUP($D649,'[4]1. Mesures'!$A$2:$G$116,6,0)</f>
        <v>OS 7.1</v>
      </c>
      <c r="C649" s="249" t="str">
        <f>VLOOKUP($D649,'[4]1. Mesures'!$A$2:$G$116,7,0)</f>
        <v>OO  7.1.2</v>
      </c>
      <c r="D649" s="249" t="str">
        <f t="shared" si="31"/>
        <v>M 7.3</v>
      </c>
      <c r="E649" s="250" t="s">
        <v>1229</v>
      </c>
      <c r="F649" s="249" t="str">
        <f>VLOOKUP(E649,'5.2 Actions'!$A$3:$B$720,2,0)</f>
        <v>Optimaliser la promotion de ce matériel et contenu</v>
      </c>
      <c r="G649" s="251">
        <f>VLOOKUP(E649,'[4]5.2 Actions'!$A$3:$D$718,4,0)</f>
        <v>0</v>
      </c>
      <c r="H649" s="252">
        <f>VLOOKUP($E649,'5.1 Budget'!$A$4:$H$729,2,0)</f>
        <v>0</v>
      </c>
      <c r="I649" s="252">
        <f>VLOOKUP($E649,'5.1 Budget'!$A$4:$H$729,3,0)</f>
        <v>0</v>
      </c>
      <c r="J649" s="252">
        <f>VLOOKUP($E649,'5.1 Budget'!$A$4:$H$729,4,0)</f>
        <v>0</v>
      </c>
      <c r="K649" s="252">
        <f>VLOOKUP($E649,'5.1 Budget'!$A$4:$H$729,5,0)</f>
        <v>0</v>
      </c>
      <c r="L649" s="252">
        <f>VLOOKUP($E649,'5.1 Budget'!$A$4:$H$729,6,0)</f>
        <v>0</v>
      </c>
      <c r="M649" s="252">
        <f>VLOOKUP($E649,'5.1 Budget'!$A$4:$H$729,7,0)</f>
        <v>0</v>
      </c>
      <c r="N649" s="252">
        <f>VLOOKUP($E649,'5.1 Budget'!$A$4:$H$729,8,0)</f>
        <v>0</v>
      </c>
      <c r="V649" t="str">
        <f>VLOOKUP(D649,'[4]1. Mesures'!$A$1:$B$116,2,0)</f>
        <v>Promouvoir, auprès des ménages, les comportements et équipements économes en eau ainsi que le recours à un approvisionnement en eau alternatif</v>
      </c>
      <c r="W649" t="str">
        <f>VLOOKUP(B649,[1]HIERARCH!$A$1:$B$57,2,0)</f>
        <v>Préserver et valoriser les ressources stratégiques en eau</v>
      </c>
      <c r="X649" t="e">
        <f>VLOOKUP(C649,[1]HIERARCH!$A$2:$B$57,2,0)</f>
        <v>#N/A</v>
      </c>
      <c r="Y649" t="str">
        <f t="shared" si="32"/>
        <v>Optimaliser la promotion de ce matériel et contenu…</v>
      </c>
    </row>
    <row r="650" spans="1:25" hidden="1" x14ac:dyDescent="0.25">
      <c r="A650" s="249" t="str">
        <f t="shared" si="33"/>
        <v>7</v>
      </c>
      <c r="B650" s="249" t="str">
        <f>VLOOKUP($D650,'[4]1. Mesures'!$A$2:$G$116,6,0)</f>
        <v>OS 7.1</v>
      </c>
      <c r="C650" s="249" t="str">
        <f>VLOOKUP($D650,'[4]1. Mesures'!$A$2:$G$116,7,0)</f>
        <v>OO  7.1.2</v>
      </c>
      <c r="D650" s="249" t="str">
        <f t="shared" si="31"/>
        <v>M 7.3</v>
      </c>
      <c r="E650" s="250" t="s">
        <v>1230</v>
      </c>
      <c r="F650" s="249" t="str">
        <f>VLOOKUP(E650,'5.2 Actions'!$A$3:$B$720,2,0)</f>
        <v>Renforcer la promotion des équipements et aménagements sur les canaux BE</v>
      </c>
      <c r="G650" s="251">
        <f>VLOOKUP(E650,'[4]5.2 Actions'!$A$3:$D$718,4,0)</f>
        <v>0</v>
      </c>
      <c r="H650" s="252">
        <f>VLOOKUP($E650,'5.1 Budget'!$A$4:$H$729,2,0)</f>
        <v>0</v>
      </c>
      <c r="I650" s="252">
        <f>VLOOKUP($E650,'5.1 Budget'!$A$4:$H$729,3,0)</f>
        <v>0</v>
      </c>
      <c r="J650" s="252">
        <f>VLOOKUP($E650,'5.1 Budget'!$A$4:$H$729,4,0)</f>
        <v>0</v>
      </c>
      <c r="K650" s="252">
        <f>VLOOKUP($E650,'5.1 Budget'!$A$4:$H$729,5,0)</f>
        <v>0</v>
      </c>
      <c r="L650" s="252">
        <f>VLOOKUP($E650,'5.1 Budget'!$A$4:$H$729,6,0)</f>
        <v>0</v>
      </c>
      <c r="M650" s="252">
        <f>VLOOKUP($E650,'5.1 Budget'!$A$4:$H$729,7,0)</f>
        <v>0</v>
      </c>
      <c r="N650" s="252">
        <f>VLOOKUP($E650,'5.1 Budget'!$A$4:$H$729,8,0)</f>
        <v>0</v>
      </c>
      <c r="V650" t="str">
        <f>VLOOKUP(D650,'[4]1. Mesures'!$A$1:$B$116,2,0)</f>
        <v>Promouvoir, auprès des ménages, les comportements et équipements économes en eau ainsi que le recours à un approvisionnement en eau alternatif</v>
      </c>
      <c r="W650" t="str">
        <f>VLOOKUP(B650,[1]HIERARCH!$A$1:$B$57,2,0)</f>
        <v>Préserver et valoriser les ressources stratégiques en eau</v>
      </c>
      <c r="X650" t="e">
        <f>VLOOKUP(C650,[1]HIERARCH!$A$2:$B$57,2,0)</f>
        <v>#N/A</v>
      </c>
      <c r="Y650" t="str">
        <f t="shared" si="32"/>
        <v>Renforcer la promotion des équipements et aménagements sur les canaux BE…</v>
      </c>
    </row>
    <row r="651" spans="1:25" hidden="1" x14ac:dyDescent="0.25">
      <c r="A651" s="249" t="str">
        <f t="shared" si="33"/>
        <v>7</v>
      </c>
      <c r="B651" s="249" t="str">
        <f>VLOOKUP($D651,'[4]1. Mesures'!$A$2:$G$116,6,0)</f>
        <v>OS 7.1</v>
      </c>
      <c r="C651" s="249" t="str">
        <f>VLOOKUP($D651,'[4]1. Mesures'!$A$2:$G$116,7,0)</f>
        <v>OO  7.1.2</v>
      </c>
      <c r="D651" s="249" t="str">
        <f t="shared" si="31"/>
        <v>M 7.3</v>
      </c>
      <c r="E651" s="250" t="s">
        <v>1231</v>
      </c>
      <c r="F651" s="249" t="str">
        <f>VLOOKUP(E651,'5.2 Actions'!$A$3:$B$720,2,0)</f>
        <v>Renforcer la promotion des équipements et aménagements via les partenaires externes</v>
      </c>
      <c r="G651" s="251">
        <f>VLOOKUP(E651,'[4]5.2 Actions'!$A$3:$D$718,4,0)</f>
        <v>0</v>
      </c>
      <c r="H651" s="252">
        <f>VLOOKUP($E651,'5.1 Budget'!$A$4:$H$729,2,0)</f>
        <v>0</v>
      </c>
      <c r="I651" s="252">
        <f>VLOOKUP($E651,'5.1 Budget'!$A$4:$H$729,3,0)</f>
        <v>0</v>
      </c>
      <c r="J651" s="252">
        <f>VLOOKUP($E651,'5.1 Budget'!$A$4:$H$729,4,0)</f>
        <v>0</v>
      </c>
      <c r="K651" s="252">
        <f>VLOOKUP($E651,'5.1 Budget'!$A$4:$H$729,5,0)</f>
        <v>0</v>
      </c>
      <c r="L651" s="252">
        <f>VLOOKUP($E651,'5.1 Budget'!$A$4:$H$729,6,0)</f>
        <v>0</v>
      </c>
      <c r="M651" s="252">
        <f>VLOOKUP($E651,'5.1 Budget'!$A$4:$H$729,7,0)</f>
        <v>0</v>
      </c>
      <c r="N651" s="252">
        <f>VLOOKUP($E651,'5.1 Budget'!$A$4:$H$729,8,0)</f>
        <v>0</v>
      </c>
      <c r="V651" t="str">
        <f>VLOOKUP(D651,'[4]1. Mesures'!$A$1:$B$116,2,0)</f>
        <v>Promouvoir, auprès des ménages, les comportements et équipements économes en eau ainsi que le recours à un approvisionnement en eau alternatif</v>
      </c>
      <c r="W651" t="str">
        <f>VLOOKUP(B651,[1]HIERARCH!$A$1:$B$57,2,0)</f>
        <v>Préserver et valoriser les ressources stratégiques en eau</v>
      </c>
      <c r="X651" t="e">
        <f>VLOOKUP(C651,[1]HIERARCH!$A$2:$B$57,2,0)</f>
        <v>#N/A</v>
      </c>
      <c r="Y651" t="str">
        <f t="shared" si="32"/>
        <v>Renforcer la promotion des équipements et aménagements via les partenaires externes…</v>
      </c>
    </row>
    <row r="652" spans="1:25" hidden="1" x14ac:dyDescent="0.25">
      <c r="A652" s="249" t="str">
        <f t="shared" si="33"/>
        <v>7</v>
      </c>
      <c r="B652" s="249" t="str">
        <f>VLOOKUP($D652,'[4]1. Mesures'!$A$2:$G$116,6,0)</f>
        <v>OS 7.1</v>
      </c>
      <c r="C652" s="249" t="str">
        <f>VLOOKUP($D652,'[4]1. Mesures'!$A$2:$G$116,7,0)</f>
        <v>OO  7.1.2</v>
      </c>
      <c r="D652" s="249" t="str">
        <f t="shared" si="31"/>
        <v>M 7.3</v>
      </c>
      <c r="E652" s="250" t="s">
        <v>1232</v>
      </c>
      <c r="F652" s="249" t="str">
        <f>VLOOKUP(E652,'5.2 Actions'!$A$3:$B$720,2,0)</f>
        <v>Permettre aux usagers de l’eau de faire réaliser un « Audit Eau » de leurs installations (// waterscan)</v>
      </c>
      <c r="G652" s="251">
        <f>VLOOKUP(E652,'[4]5.2 Actions'!$A$3:$D$718,4,0)</f>
        <v>0</v>
      </c>
      <c r="H652" s="252">
        <f>VLOOKUP($E652,'5.1 Budget'!$A$4:$H$729,2,0)</f>
        <v>0</v>
      </c>
      <c r="I652" s="252">
        <f>VLOOKUP($E652,'5.1 Budget'!$A$4:$H$729,3,0)</f>
        <v>0</v>
      </c>
      <c r="J652" s="252">
        <f>VLOOKUP($E652,'5.1 Budget'!$A$4:$H$729,4,0)</f>
        <v>0</v>
      </c>
      <c r="K652" s="252">
        <f>VLOOKUP($E652,'5.1 Budget'!$A$4:$H$729,5,0)</f>
        <v>0</v>
      </c>
      <c r="L652" s="252">
        <f>VLOOKUP($E652,'5.1 Budget'!$A$4:$H$729,6,0)</f>
        <v>0</v>
      </c>
      <c r="M652" s="252">
        <f>VLOOKUP($E652,'5.1 Budget'!$A$4:$H$729,7,0)</f>
        <v>0</v>
      </c>
      <c r="N652" s="252">
        <f>VLOOKUP($E652,'5.1 Budget'!$A$4:$H$729,8,0)</f>
        <v>0</v>
      </c>
      <c r="V652" t="str">
        <f>VLOOKUP(D652,'[4]1. Mesures'!$A$1:$B$116,2,0)</f>
        <v>Promouvoir, auprès des ménages, les comportements et équipements économes en eau ainsi que le recours à un approvisionnement en eau alternatif</v>
      </c>
      <c r="W652" t="str">
        <f>VLOOKUP(B652,[1]HIERARCH!$A$1:$B$57,2,0)</f>
        <v>Préserver et valoriser les ressources stratégiques en eau</v>
      </c>
      <c r="X652" t="e">
        <f>VLOOKUP(C652,[1]HIERARCH!$A$2:$B$57,2,0)</f>
        <v>#N/A</v>
      </c>
      <c r="Y652" t="str">
        <f t="shared" si="32"/>
        <v>Permettre aux usagers de l’eau de faire réaliser un « Audit Eau » de leurs installations (// waterscan)…</v>
      </c>
    </row>
    <row r="653" spans="1:25" hidden="1" x14ac:dyDescent="0.25">
      <c r="A653" s="249" t="str">
        <f t="shared" si="33"/>
        <v>7</v>
      </c>
      <c r="B653" s="249" t="str">
        <f>VLOOKUP($D653,'[4]1. Mesures'!$A$2:$G$116,6,0)</f>
        <v>OS 7.1</v>
      </c>
      <c r="C653" s="249" t="str">
        <f>VLOOKUP($D653,'[4]1. Mesures'!$A$2:$G$116,7,0)</f>
        <v>OO  7.1.2</v>
      </c>
      <c r="D653" s="249" t="str">
        <f t="shared" si="31"/>
        <v>M 7.4</v>
      </c>
      <c r="E653" s="250" t="s">
        <v>1233</v>
      </c>
      <c r="F653" s="249" t="str">
        <f>VLOOKUP(E653,'5.2 Actions'!$A$3:$B$720,2,0)</f>
        <v>Evaluer la faisabilité d’introduire la thématique « eau » dans le programme PLAGE et son efficacité quant à son impact environnemental par rapport aux investissements consentis.</v>
      </c>
      <c r="G653" s="251">
        <f>VLOOKUP(E653,'[4]5.2 Actions'!$A$3:$D$718,4,0)</f>
        <v>0</v>
      </c>
      <c r="H653" s="252">
        <f>VLOOKUP($E653,'5.1 Budget'!$A$4:$H$729,2,0)</f>
        <v>0</v>
      </c>
      <c r="I653" s="252">
        <f>VLOOKUP($E653,'5.1 Budget'!$A$4:$H$729,3,0)</f>
        <v>0</v>
      </c>
      <c r="J653" s="252">
        <f>VLOOKUP($E653,'5.1 Budget'!$A$4:$H$729,4,0)</f>
        <v>0</v>
      </c>
      <c r="K653" s="252">
        <f>VLOOKUP($E653,'5.1 Budget'!$A$4:$H$729,5,0)</f>
        <v>0</v>
      </c>
      <c r="L653" s="252">
        <f>VLOOKUP($E653,'5.1 Budget'!$A$4:$H$729,6,0)</f>
        <v>0</v>
      </c>
      <c r="M653" s="252">
        <f>VLOOKUP($E653,'5.1 Budget'!$A$4:$H$729,7,0)</f>
        <v>0</v>
      </c>
      <c r="N653" s="252">
        <f>VLOOKUP($E653,'5.1 Budget'!$A$4:$H$729,8,0)</f>
        <v>0</v>
      </c>
      <c r="V653" t="str">
        <f>VLOOKUP(D653,'[4]1. Mesures'!$A$1:$B$116,2,0)</f>
        <v>Mettre en place un audit portant sur l’utilisation rationnelle de l’ eau dans les bâtiments du secteur tertiaire</v>
      </c>
      <c r="W653" t="str">
        <f>VLOOKUP(B653,[1]HIERARCH!$A$1:$B$57,2,0)</f>
        <v>Préserver et valoriser les ressources stratégiques en eau</v>
      </c>
      <c r="X653" t="e">
        <f>VLOOKUP(C653,[1]HIERARCH!$A$2:$B$57,2,0)</f>
        <v>#N/A</v>
      </c>
      <c r="Y653" t="str">
        <f t="shared" si="32"/>
        <v>Evaluer la faisabilité d’introduire la thématique « eau » dans le programme PLAGE et son efficacité quant à son impact e…</v>
      </c>
    </row>
    <row r="654" spans="1:25" hidden="1" x14ac:dyDescent="0.25">
      <c r="A654" s="249" t="str">
        <f t="shared" si="33"/>
        <v>7</v>
      </c>
      <c r="B654" s="249" t="str">
        <f>VLOOKUP($D654,'[4]1. Mesures'!$A$2:$G$116,6,0)</f>
        <v>OS 7.1</v>
      </c>
      <c r="C654" s="249" t="str">
        <f>VLOOKUP($D654,'[4]1. Mesures'!$A$2:$G$116,7,0)</f>
        <v>OO  7.1.2</v>
      </c>
      <c r="D654" s="249" t="str">
        <f t="shared" ref="D654:D715" si="35">"M"&amp;" "&amp;LEFT(E654,3)</f>
        <v>M 7.4</v>
      </c>
      <c r="E654" s="250" t="s">
        <v>1234</v>
      </c>
      <c r="F654" s="249" t="str">
        <f>VLOOKUP(E654,'5.2 Actions'!$A$3:$B$720,2,0)</f>
        <v>Préparer l’intégration à la démarche PLAGE en menant des projets pilotes de sensibilisation à la prise en compte de la performance en matière de consommation d’eau sur une base volontaire notamment via le réseau des « agents eau » communaux et les acteurs du PLAGE « énergie »</v>
      </c>
      <c r="G654" s="251">
        <f>VLOOKUP(E654,'[4]5.2 Actions'!$A$3:$D$718,4,0)</f>
        <v>0</v>
      </c>
      <c r="H654" s="252">
        <f>VLOOKUP($E654,'5.1 Budget'!$A$4:$H$729,2,0)</f>
        <v>0</v>
      </c>
      <c r="I654" s="252">
        <f>VLOOKUP($E654,'5.1 Budget'!$A$4:$H$729,3,0)</f>
        <v>100000</v>
      </c>
      <c r="J654" s="252">
        <f>VLOOKUP($E654,'5.1 Budget'!$A$4:$H$729,4,0)</f>
        <v>100000</v>
      </c>
      <c r="K654" s="252">
        <f>VLOOKUP($E654,'5.1 Budget'!$A$4:$H$729,5,0)</f>
        <v>100000</v>
      </c>
      <c r="L654" s="252">
        <f>VLOOKUP($E654,'5.1 Budget'!$A$4:$H$729,6,0)</f>
        <v>0</v>
      </c>
      <c r="M654" s="252">
        <f>VLOOKUP($E654,'5.1 Budget'!$A$4:$H$729,7,0)</f>
        <v>0</v>
      </c>
      <c r="N654" s="252">
        <f>VLOOKUP($E654,'5.1 Budget'!$A$4:$H$729,8,0)</f>
        <v>300000</v>
      </c>
      <c r="V654" t="str">
        <f>VLOOKUP(D654,'[4]1. Mesures'!$A$1:$B$116,2,0)</f>
        <v>Mettre en place un audit portant sur l’utilisation rationnelle de l’ eau dans les bâtiments du secteur tertiaire</v>
      </c>
      <c r="W654" t="str">
        <f>VLOOKUP(B654,[1]HIERARCH!$A$1:$B$57,2,0)</f>
        <v>Préserver et valoriser les ressources stratégiques en eau</v>
      </c>
      <c r="X654" t="e">
        <f>VLOOKUP(C654,[1]HIERARCH!$A$2:$B$57,2,0)</f>
        <v>#N/A</v>
      </c>
      <c r="Y654" t="str">
        <f t="shared" si="32"/>
        <v>Préparer l’intégration à la démarche PLAGE en menant des projets pilotes de sensibilisation à la prise en compte de la p…</v>
      </c>
    </row>
    <row r="655" spans="1:25" hidden="1" x14ac:dyDescent="0.25">
      <c r="A655" s="249" t="str">
        <f t="shared" si="33"/>
        <v>7</v>
      </c>
      <c r="B655" s="249" t="str">
        <f>VLOOKUP($D655,'[4]1. Mesures'!$A$2:$G$116,6,0)</f>
        <v>OS 7.1</v>
      </c>
      <c r="C655" s="249" t="str">
        <f>VLOOKUP($D655,'[4]1. Mesures'!$A$2:$G$116,7,0)</f>
        <v>OO  7.1.2</v>
      </c>
      <c r="D655" s="249" t="str">
        <f t="shared" si="35"/>
        <v>M 7.4</v>
      </c>
      <c r="E655" s="250" t="s">
        <v>1235</v>
      </c>
      <c r="F655" s="249" t="str">
        <f>VLOOKUP(E655,'5.2 Actions'!$A$3:$B$720,2,0)</f>
        <v>Modifier le Code bruxellois de l'Air, du Climat et de la Maîtrise de l'Energie</v>
      </c>
      <c r="G655" s="251">
        <f>VLOOKUP(E655,'[4]5.2 Actions'!$A$3:$D$718,4,0)</f>
        <v>0</v>
      </c>
      <c r="H655" s="252">
        <f>VLOOKUP($E655,'5.1 Budget'!$A$4:$H$729,2,0)</f>
        <v>0</v>
      </c>
      <c r="I655" s="252">
        <f>VLOOKUP($E655,'5.1 Budget'!$A$4:$H$729,3,0)</f>
        <v>0</v>
      </c>
      <c r="J655" s="252">
        <f>VLOOKUP($E655,'5.1 Budget'!$A$4:$H$729,4,0)</f>
        <v>0</v>
      </c>
      <c r="K655" s="252">
        <f>VLOOKUP($E655,'5.1 Budget'!$A$4:$H$729,5,0)</f>
        <v>0</v>
      </c>
      <c r="L655" s="252">
        <f>VLOOKUP($E655,'5.1 Budget'!$A$4:$H$729,6,0)</f>
        <v>0</v>
      </c>
      <c r="M655" s="252">
        <f>VLOOKUP($E655,'5.1 Budget'!$A$4:$H$729,7,0)</f>
        <v>0</v>
      </c>
      <c r="N655" s="252">
        <f>VLOOKUP($E655,'5.1 Budget'!$A$4:$H$729,8,0)</f>
        <v>0</v>
      </c>
      <c r="V655" t="str">
        <f>VLOOKUP(D655,'[4]1. Mesures'!$A$1:$B$116,2,0)</f>
        <v>Mettre en place un audit portant sur l’utilisation rationnelle de l’ eau dans les bâtiments du secteur tertiaire</v>
      </c>
      <c r="W655" t="str">
        <f>VLOOKUP(B655,[1]HIERARCH!$A$1:$B$57,2,0)</f>
        <v>Préserver et valoriser les ressources stratégiques en eau</v>
      </c>
      <c r="X655" t="e">
        <f>VLOOKUP(C655,[1]HIERARCH!$A$2:$B$57,2,0)</f>
        <v>#N/A</v>
      </c>
      <c r="Y655" t="str">
        <f t="shared" si="32"/>
        <v>Modifier le Code bruxellois de l'Air, du Climat et de la Maîtrise de l'Energie…</v>
      </c>
    </row>
    <row r="656" spans="1:25" hidden="1" x14ac:dyDescent="0.25">
      <c r="A656" s="249" t="str">
        <f t="shared" si="33"/>
        <v>7</v>
      </c>
      <c r="B656" s="249" t="str">
        <f>VLOOKUP($D656,'[4]1. Mesures'!$A$2:$G$116,6,0)</f>
        <v>OS 7.1</v>
      </c>
      <c r="C656" s="249" t="str">
        <f>VLOOKUP($D656,'[4]1. Mesures'!$A$2:$G$116,7,0)</f>
        <v>OO  7.1.2</v>
      </c>
      <c r="D656" s="249" t="str">
        <f t="shared" si="35"/>
        <v>M 7.4</v>
      </c>
      <c r="E656" s="250" t="s">
        <v>1236</v>
      </c>
      <c r="F656" s="249" t="str">
        <f>VLOOKUP(E656,'5.2 Actions'!$A$3:$B$720,2,0)</f>
        <v xml:space="preserve">Appliquer la législation révisée et complétée à la </v>
      </c>
      <c r="G656" s="251">
        <f>VLOOKUP(E656,'[4]5.2 Actions'!$A$3:$D$718,4,0)</f>
        <v>0</v>
      </c>
      <c r="H656" s="252">
        <f>VLOOKUP($E656,'5.1 Budget'!$A$4:$H$729,2,0)</f>
        <v>0</v>
      </c>
      <c r="I656" s="252">
        <f>VLOOKUP($E656,'5.1 Budget'!$A$4:$H$729,3,0)</f>
        <v>0</v>
      </c>
      <c r="J656" s="252">
        <f>VLOOKUP($E656,'5.1 Budget'!$A$4:$H$729,4,0)</f>
        <v>0</v>
      </c>
      <c r="K656" s="252">
        <f>VLOOKUP($E656,'5.1 Budget'!$A$4:$H$729,5,0)</f>
        <v>26150</v>
      </c>
      <c r="L656" s="252">
        <f>VLOOKUP($E656,'5.1 Budget'!$A$4:$H$729,6,0)</f>
        <v>16150</v>
      </c>
      <c r="M656" s="252">
        <f>VLOOKUP($E656,'5.1 Budget'!$A$4:$H$729,7,0)</f>
        <v>16150</v>
      </c>
      <c r="N656" s="252">
        <f>VLOOKUP($E656,'5.1 Budget'!$A$4:$H$729,8,0)</f>
        <v>58450</v>
      </c>
      <c r="V656" t="str">
        <f>VLOOKUP(D656,'[4]1. Mesures'!$A$1:$B$116,2,0)</f>
        <v>Mettre en place un audit portant sur l’utilisation rationnelle de l’ eau dans les bâtiments du secteur tertiaire</v>
      </c>
      <c r="W656" t="str">
        <f>VLOOKUP(B656,[1]HIERARCH!$A$1:$B$57,2,0)</f>
        <v>Préserver et valoriser les ressources stratégiques en eau</v>
      </c>
      <c r="X656" t="e">
        <f>VLOOKUP(C656,[1]HIERARCH!$A$2:$B$57,2,0)</f>
        <v>#N/A</v>
      </c>
      <c r="Y656" t="str">
        <f t="shared" si="32"/>
        <v>Appliquer la législation révisée et complétée à la …</v>
      </c>
    </row>
    <row r="657" spans="1:25" hidden="1" x14ac:dyDescent="0.25">
      <c r="A657" s="249" t="str">
        <f t="shared" si="33"/>
        <v>7</v>
      </c>
      <c r="B657" s="249" t="str">
        <f>VLOOKUP($D657,'[4]1. Mesures'!$A$2:$G$116,6,0)</f>
        <v>OS 7.1</v>
      </c>
      <c r="C657" s="249" t="str">
        <f>VLOOKUP($D657,'[4]1. Mesures'!$A$2:$G$116,7,0)</f>
        <v>OO  7.1.2</v>
      </c>
      <c r="D657" s="249" t="str">
        <f t="shared" si="35"/>
        <v>M 7.5</v>
      </c>
      <c r="E657" s="250" t="s">
        <v>1237</v>
      </c>
      <c r="F657" s="249" t="str">
        <f>VLOOKUP(E657,'5.2 Actions'!$A$3:$B$720,2,0)</f>
        <v>Actualiser, regrouper et améliorer le matériel et contenu existants relatifs aux bonnes pratiques, selon les secteurs cibles</v>
      </c>
      <c r="G657" s="251">
        <f>VLOOKUP(E657,'[4]5.2 Actions'!$A$3:$D$718,4,0)</f>
        <v>0</v>
      </c>
      <c r="H657" s="252">
        <f>VLOOKUP($E657,'5.1 Budget'!$A$4:$H$729,2,0)</f>
        <v>0</v>
      </c>
      <c r="I657" s="252">
        <f>VLOOKUP($E657,'5.1 Budget'!$A$4:$H$729,3,0)</f>
        <v>0</v>
      </c>
      <c r="J657" s="252">
        <f>VLOOKUP($E657,'5.1 Budget'!$A$4:$H$729,4,0)</f>
        <v>0</v>
      </c>
      <c r="K657" s="252">
        <f>VLOOKUP($E657,'5.1 Budget'!$A$4:$H$729,5,0)</f>
        <v>0</v>
      </c>
      <c r="L657" s="252">
        <f>VLOOKUP($E657,'5.1 Budget'!$A$4:$H$729,6,0)</f>
        <v>0</v>
      </c>
      <c r="M657" s="252">
        <f>VLOOKUP($E657,'5.1 Budget'!$A$4:$H$729,7,0)</f>
        <v>0</v>
      </c>
      <c r="N657" s="252">
        <f>VLOOKUP($E657,'5.1 Budget'!$A$4:$H$729,8,0)</f>
        <v>0</v>
      </c>
      <c r="V657" t="str">
        <f>VLOOKUP(D657,'[4]1. Mesures'!$A$1:$B$116,2,0)</f>
        <v>Promouvoir, auprès des consommateurs non-domestiques,  les comportements et équipements économes en eau ainsi que le recours à un approvisionnement en eau alternatif</v>
      </c>
      <c r="W657" t="str">
        <f>VLOOKUP(B657,[1]HIERARCH!$A$1:$B$57,2,0)</f>
        <v>Préserver et valoriser les ressources stratégiques en eau</v>
      </c>
      <c r="X657" t="e">
        <f>VLOOKUP(C657,[1]HIERARCH!$A$2:$B$57,2,0)</f>
        <v>#N/A</v>
      </c>
      <c r="Y657" t="str">
        <f t="shared" si="32"/>
        <v>Actualiser, regrouper et améliorer le matériel et contenu existants relatifs aux bonnes pratiques, selon les secteurs ci…</v>
      </c>
    </row>
    <row r="658" spans="1:25" hidden="1" x14ac:dyDescent="0.25">
      <c r="A658" s="249" t="str">
        <f t="shared" si="33"/>
        <v>7</v>
      </c>
      <c r="B658" s="249" t="str">
        <f>VLOOKUP($D658,'[4]1. Mesures'!$A$2:$G$116,6,0)</f>
        <v>OS 7.1</v>
      </c>
      <c r="C658" s="249" t="str">
        <f>VLOOKUP($D658,'[4]1. Mesures'!$A$2:$G$116,7,0)</f>
        <v>OO  7.1.2</v>
      </c>
      <c r="D658" s="249" t="str">
        <f t="shared" si="35"/>
        <v>M 7.5</v>
      </c>
      <c r="E658" s="250" t="s">
        <v>1238</v>
      </c>
      <c r="F658" s="249" t="str">
        <f>VLOOKUP(E658,'5.2 Actions'!$A$3:$B$720,2,0)</f>
        <v>Optimaliser la promotion de ce matériel et contenu</v>
      </c>
      <c r="G658" s="251">
        <f>VLOOKUP(E658,'[4]5.2 Actions'!$A$3:$D$718,4,0)</f>
        <v>0</v>
      </c>
      <c r="H658" s="252">
        <f>VLOOKUP($E658,'5.1 Budget'!$A$4:$H$729,2,0)</f>
        <v>0</v>
      </c>
      <c r="I658" s="252">
        <f>VLOOKUP($E658,'5.1 Budget'!$A$4:$H$729,3,0)</f>
        <v>0</v>
      </c>
      <c r="J658" s="252">
        <f>VLOOKUP($E658,'5.1 Budget'!$A$4:$H$729,4,0)</f>
        <v>0</v>
      </c>
      <c r="K658" s="252">
        <f>VLOOKUP($E658,'5.1 Budget'!$A$4:$H$729,5,0)</f>
        <v>0</v>
      </c>
      <c r="L658" s="252">
        <f>VLOOKUP($E658,'5.1 Budget'!$A$4:$H$729,6,0)</f>
        <v>0</v>
      </c>
      <c r="M658" s="252">
        <f>VLOOKUP($E658,'5.1 Budget'!$A$4:$H$729,7,0)</f>
        <v>0</v>
      </c>
      <c r="N658" s="252">
        <f>VLOOKUP($E658,'5.1 Budget'!$A$4:$H$729,8,0)</f>
        <v>0</v>
      </c>
      <c r="V658" t="str">
        <f>VLOOKUP(D658,'[4]1. Mesures'!$A$1:$B$116,2,0)</f>
        <v>Promouvoir, auprès des consommateurs non-domestiques,  les comportements et équipements économes en eau ainsi que le recours à un approvisionnement en eau alternatif</v>
      </c>
      <c r="W658" t="str">
        <f>VLOOKUP(B658,[1]HIERARCH!$A$1:$B$57,2,0)</f>
        <v>Préserver et valoriser les ressources stratégiques en eau</v>
      </c>
      <c r="X658" t="e">
        <f>VLOOKUP(C658,[1]HIERARCH!$A$2:$B$57,2,0)</f>
        <v>#N/A</v>
      </c>
      <c r="Y658" t="str">
        <f t="shared" si="32"/>
        <v>Optimaliser la promotion de ce matériel et contenu…</v>
      </c>
    </row>
    <row r="659" spans="1:25" hidden="1" x14ac:dyDescent="0.25">
      <c r="A659" s="249" t="str">
        <f t="shared" si="33"/>
        <v>7</v>
      </c>
      <c r="B659" s="249" t="str">
        <f>VLOOKUP($D659,'[4]1. Mesures'!$A$2:$G$116,6,0)</f>
        <v>OS 7.1</v>
      </c>
      <c r="C659" s="249" t="str">
        <f>VLOOKUP($D659,'[4]1. Mesures'!$A$2:$G$116,7,0)</f>
        <v>OO  7.1.2</v>
      </c>
      <c r="D659" s="249" t="str">
        <f t="shared" si="35"/>
        <v>M 7.5</v>
      </c>
      <c r="E659" s="250" t="s">
        <v>1239</v>
      </c>
      <c r="F659" s="249" t="str">
        <f>VLOOKUP(E659,'5.2 Actions'!$A$3:$B$720,2,0)</f>
        <v>Préparer des contenus, matériels, et formats adaptés, sur base des retours d’expérience</v>
      </c>
      <c r="G659" s="251">
        <f>VLOOKUP(E659,'[4]5.2 Actions'!$A$3:$D$718,4,0)</f>
        <v>0</v>
      </c>
      <c r="H659" s="252">
        <f>VLOOKUP($E659,'5.1 Budget'!$A$4:$H$729,2,0)</f>
        <v>0</v>
      </c>
      <c r="I659" s="252">
        <f>VLOOKUP($E659,'5.1 Budget'!$A$4:$H$729,3,0)</f>
        <v>0</v>
      </c>
      <c r="J659" s="252">
        <f>VLOOKUP($E659,'5.1 Budget'!$A$4:$H$729,4,0)</f>
        <v>0</v>
      </c>
      <c r="K659" s="252">
        <f>VLOOKUP($E659,'5.1 Budget'!$A$4:$H$729,5,0)</f>
        <v>0</v>
      </c>
      <c r="L659" s="252">
        <f>VLOOKUP($E659,'5.1 Budget'!$A$4:$H$729,6,0)</f>
        <v>0</v>
      </c>
      <c r="M659" s="252">
        <f>VLOOKUP($E659,'5.1 Budget'!$A$4:$H$729,7,0)</f>
        <v>0</v>
      </c>
      <c r="N659" s="252">
        <f>VLOOKUP($E659,'5.1 Budget'!$A$4:$H$729,8,0)</f>
        <v>0</v>
      </c>
      <c r="V659" t="str">
        <f>VLOOKUP(D659,'[4]1. Mesures'!$A$1:$B$116,2,0)</f>
        <v>Promouvoir, auprès des consommateurs non-domestiques,  les comportements et équipements économes en eau ainsi que le recours à un approvisionnement en eau alternatif</v>
      </c>
      <c r="W659" t="str">
        <f>VLOOKUP(B659,[1]HIERARCH!$A$1:$B$57,2,0)</f>
        <v>Préserver et valoriser les ressources stratégiques en eau</v>
      </c>
      <c r="X659" t="e">
        <f>VLOOKUP(C659,[1]HIERARCH!$A$2:$B$57,2,0)</f>
        <v>#N/A</v>
      </c>
      <c r="Y659" t="str">
        <f t="shared" si="32"/>
        <v>Préparer des contenus, matériels, et formats adaptés, sur base des retours d’expérience…</v>
      </c>
    </row>
    <row r="660" spans="1:25" hidden="1" x14ac:dyDescent="0.25">
      <c r="A660" s="249" t="str">
        <f t="shared" si="33"/>
        <v>7</v>
      </c>
      <c r="B660" s="249" t="str">
        <f>VLOOKUP($D660,'[4]1. Mesures'!$A$2:$G$116,6,0)</f>
        <v>OS 7.1</v>
      </c>
      <c r="C660" s="249" t="str">
        <f>VLOOKUP($D660,'[4]1. Mesures'!$A$2:$G$116,7,0)</f>
        <v>OO  7.1.2</v>
      </c>
      <c r="D660" s="249" t="str">
        <f t="shared" si="35"/>
        <v>M 7.5</v>
      </c>
      <c r="E660" s="250" t="s">
        <v>1240</v>
      </c>
      <c r="F660" s="249" t="str">
        <f>VLOOKUP(E660,'5.2 Actions'!$A$3:$B$720,2,0)</f>
        <v>Veiller à un partage large de ces recommandations concrètes</v>
      </c>
      <c r="G660" s="251">
        <f>VLOOKUP(E660,'[4]5.2 Actions'!$A$3:$D$718,4,0)</f>
        <v>0</v>
      </c>
      <c r="H660" s="252">
        <f>VLOOKUP($E660,'5.1 Budget'!$A$4:$H$729,2,0)</f>
        <v>0</v>
      </c>
      <c r="I660" s="252">
        <f>VLOOKUP($E660,'5.1 Budget'!$A$4:$H$729,3,0)</f>
        <v>0</v>
      </c>
      <c r="J660" s="252">
        <f>VLOOKUP($E660,'5.1 Budget'!$A$4:$H$729,4,0)</f>
        <v>0</v>
      </c>
      <c r="K660" s="252">
        <f>VLOOKUP($E660,'5.1 Budget'!$A$4:$H$729,5,0)</f>
        <v>0</v>
      </c>
      <c r="L660" s="252">
        <f>VLOOKUP($E660,'5.1 Budget'!$A$4:$H$729,6,0)</f>
        <v>0</v>
      </c>
      <c r="M660" s="252">
        <f>VLOOKUP($E660,'5.1 Budget'!$A$4:$H$729,7,0)</f>
        <v>0</v>
      </c>
      <c r="N660" s="252">
        <f>VLOOKUP($E660,'5.1 Budget'!$A$4:$H$729,8,0)</f>
        <v>0</v>
      </c>
      <c r="V660" t="str">
        <f>VLOOKUP(D660,'[4]1. Mesures'!$A$1:$B$116,2,0)</f>
        <v>Promouvoir, auprès des consommateurs non-domestiques,  les comportements et équipements économes en eau ainsi que le recours à un approvisionnement en eau alternatif</v>
      </c>
      <c r="W660" t="str">
        <f>VLOOKUP(B660,[1]HIERARCH!$A$1:$B$57,2,0)</f>
        <v>Préserver et valoriser les ressources stratégiques en eau</v>
      </c>
      <c r="X660" t="e">
        <f>VLOOKUP(C660,[1]HIERARCH!$A$2:$B$57,2,0)</f>
        <v>#N/A</v>
      </c>
      <c r="Y660" t="str">
        <f t="shared" si="32"/>
        <v>Veiller à un partage large de ces recommandations concrètes…</v>
      </c>
    </row>
    <row r="661" spans="1:25" hidden="1" x14ac:dyDescent="0.25">
      <c r="A661" s="249" t="str">
        <f t="shared" si="33"/>
        <v>7</v>
      </c>
      <c r="B661" s="249" t="str">
        <f>VLOOKUP($D661,'[4]1. Mesures'!$A$2:$G$116,6,0)</f>
        <v>OS 7.1</v>
      </c>
      <c r="C661" s="249" t="str">
        <f>VLOOKUP($D661,'[4]1. Mesures'!$A$2:$G$116,7,0)</f>
        <v>OO  7.1.2</v>
      </c>
      <c r="D661" s="249" t="str">
        <f t="shared" si="35"/>
        <v>M 7.5</v>
      </c>
      <c r="E661" s="250" t="s">
        <v>1241</v>
      </c>
      <c r="F661" s="249" t="str">
        <f>VLOOKUP(E661,'5.2 Actions'!$A$3:$B$720,2,0)</f>
        <v>Diffuser plus largement le  matériel existant à destination des écoles, le développer et soutenir les associations travaillant sur la thématique de l’utilisation rationnelle d’eau dans ce secteur.</v>
      </c>
      <c r="G661" s="251">
        <f>VLOOKUP(E661,'[4]5.2 Actions'!$A$3:$D$718,4,0)</f>
        <v>0</v>
      </c>
      <c r="H661" s="252">
        <f>VLOOKUP($E661,'5.1 Budget'!$A$4:$H$729,2,0)</f>
        <v>0</v>
      </c>
      <c r="I661" s="252">
        <f>VLOOKUP($E661,'5.1 Budget'!$A$4:$H$729,3,0)</f>
        <v>50000</v>
      </c>
      <c r="J661" s="252">
        <f>VLOOKUP($E661,'5.1 Budget'!$A$4:$H$729,4,0)</f>
        <v>50000</v>
      </c>
      <c r="K661" s="252">
        <f>VLOOKUP($E661,'5.1 Budget'!$A$4:$H$729,5,0)</f>
        <v>50000</v>
      </c>
      <c r="L661" s="252">
        <f>VLOOKUP($E661,'5.1 Budget'!$A$4:$H$729,6,0)</f>
        <v>50000</v>
      </c>
      <c r="M661" s="252">
        <f>VLOOKUP($E661,'5.1 Budget'!$A$4:$H$729,7,0)</f>
        <v>50000</v>
      </c>
      <c r="N661" s="252">
        <f>VLOOKUP($E661,'5.1 Budget'!$A$4:$H$729,8,0)</f>
        <v>250000</v>
      </c>
      <c r="V661" t="str">
        <f>VLOOKUP(D661,'[4]1. Mesures'!$A$1:$B$116,2,0)</f>
        <v>Promouvoir, auprès des consommateurs non-domestiques,  les comportements et équipements économes en eau ainsi que le recours à un approvisionnement en eau alternatif</v>
      </c>
      <c r="W661" t="str">
        <f>VLOOKUP(B661,[1]HIERARCH!$A$1:$B$57,2,0)</f>
        <v>Préserver et valoriser les ressources stratégiques en eau</v>
      </c>
      <c r="X661" t="e">
        <f>VLOOKUP(C661,[1]HIERARCH!$A$2:$B$57,2,0)</f>
        <v>#N/A</v>
      </c>
      <c r="Y661" t="str">
        <f t="shared" si="32"/>
        <v>Diffuser plus largement le  matériel existant à destination des écoles, le développer et soutenir les associations trava…</v>
      </c>
    </row>
    <row r="662" spans="1:25" hidden="1" x14ac:dyDescent="0.25">
      <c r="A662" s="249" t="str">
        <f t="shared" si="33"/>
        <v>7</v>
      </c>
      <c r="B662" s="249" t="str">
        <f>VLOOKUP($D662,'[4]1. Mesures'!$A$2:$G$116,6,0)</f>
        <v>OS 7.1</v>
      </c>
      <c r="C662" s="249" t="str">
        <f>VLOOKUP($D662,'[4]1. Mesures'!$A$2:$G$116,7,0)</f>
        <v>OO  7.1.2</v>
      </c>
      <c r="D662" s="249" t="str">
        <f t="shared" si="35"/>
        <v>M 7.5</v>
      </c>
      <c r="E662" s="250" t="s">
        <v>1242</v>
      </c>
      <c r="F662" s="249" t="str">
        <f>VLOOKUP(E662,'5.2 Actions'!$A$3:$B$720,2,0)</f>
        <v>Placer des compteurs « col de cygne » dans les communes partenaires pour identifier les consommations d’eau de certaines activités (marchés, …) en vue de chercher des approvisionnements alternatifs</v>
      </c>
      <c r="G662" s="251">
        <f>VLOOKUP(E662,'[4]5.2 Actions'!$A$3:$D$718,4,0)</f>
        <v>0</v>
      </c>
      <c r="H662" s="252">
        <f>VLOOKUP($E662,'5.1 Budget'!$A$4:$H$729,2,0)</f>
        <v>0</v>
      </c>
      <c r="I662" s="252">
        <f>VLOOKUP($E662,'5.1 Budget'!$A$4:$H$729,3,0)</f>
        <v>0</v>
      </c>
      <c r="J662" s="252">
        <f>VLOOKUP($E662,'5.1 Budget'!$A$4:$H$729,4,0)</f>
        <v>0</v>
      </c>
      <c r="K662" s="252">
        <f>VLOOKUP($E662,'5.1 Budget'!$A$4:$H$729,5,0)</f>
        <v>0</v>
      </c>
      <c r="L662" s="252">
        <f>VLOOKUP($E662,'5.1 Budget'!$A$4:$H$729,6,0)</f>
        <v>0</v>
      </c>
      <c r="M662" s="252">
        <f>VLOOKUP($E662,'5.1 Budget'!$A$4:$H$729,7,0)</f>
        <v>0</v>
      </c>
      <c r="N662" s="252">
        <f>VLOOKUP($E662,'5.1 Budget'!$A$4:$H$729,8,0)</f>
        <v>0</v>
      </c>
      <c r="V662" t="str">
        <f>VLOOKUP(D662,'[4]1. Mesures'!$A$1:$B$116,2,0)</f>
        <v>Promouvoir, auprès des consommateurs non-domestiques,  les comportements et équipements économes en eau ainsi que le recours à un approvisionnement en eau alternatif</v>
      </c>
      <c r="W662" t="str">
        <f>VLOOKUP(B662,[1]HIERARCH!$A$1:$B$57,2,0)</f>
        <v>Préserver et valoriser les ressources stratégiques en eau</v>
      </c>
      <c r="X662" t="e">
        <f>VLOOKUP(C662,[1]HIERARCH!$A$2:$B$57,2,0)</f>
        <v>#N/A</v>
      </c>
      <c r="Y662" t="str">
        <f t="shared" si="32"/>
        <v>Placer des compteurs « col de cygne » dans les communes partenaires pour identifier les consommations d’eau de certaines…</v>
      </c>
    </row>
    <row r="663" spans="1:25" hidden="1" x14ac:dyDescent="0.25">
      <c r="A663" s="249" t="str">
        <f t="shared" si="33"/>
        <v>7</v>
      </c>
      <c r="B663" s="249" t="str">
        <f>VLOOKUP($D663,'[4]1. Mesures'!$A$2:$G$116,6,0)</f>
        <v>OS 7.1</v>
      </c>
      <c r="C663" s="249" t="str">
        <f>VLOOKUP($D663,'[4]1. Mesures'!$A$2:$G$116,7,0)</f>
        <v>OO  7.1.2</v>
      </c>
      <c r="D663" s="249" t="str">
        <f t="shared" si="35"/>
        <v>M 7.5</v>
      </c>
      <c r="E663" s="250" t="s">
        <v>1243</v>
      </c>
      <c r="F663" s="249" t="str">
        <f>VLOOKUP(E663,'5.2 Actions'!$A$3:$B$720,2,0)</f>
        <v>Assurer un suivi systématique des consommations d’eau dans les potagers gérés par Bruxelles Environnement</v>
      </c>
      <c r="G663" s="251">
        <f>VLOOKUP(E663,'[4]5.2 Actions'!$A$3:$D$718,4,0)</f>
        <v>0</v>
      </c>
      <c r="H663" s="252">
        <f>VLOOKUP($E663,'5.1 Budget'!$A$4:$H$729,2,0)</f>
        <v>0</v>
      </c>
      <c r="I663" s="252">
        <f>VLOOKUP($E663,'5.1 Budget'!$A$4:$H$729,3,0)</f>
        <v>0</v>
      </c>
      <c r="J663" s="252">
        <f>VLOOKUP($E663,'5.1 Budget'!$A$4:$H$729,4,0)</f>
        <v>0</v>
      </c>
      <c r="K663" s="252">
        <f>VLOOKUP($E663,'5.1 Budget'!$A$4:$H$729,5,0)</f>
        <v>0</v>
      </c>
      <c r="L663" s="252">
        <f>VLOOKUP($E663,'5.1 Budget'!$A$4:$H$729,6,0)</f>
        <v>0</v>
      </c>
      <c r="M663" s="252">
        <f>VLOOKUP($E663,'5.1 Budget'!$A$4:$H$729,7,0)</f>
        <v>0</v>
      </c>
      <c r="N663" s="252">
        <f>VLOOKUP($E663,'5.1 Budget'!$A$4:$H$729,8,0)</f>
        <v>0</v>
      </c>
      <c r="V663" t="str">
        <f>VLOOKUP(D663,'[4]1. Mesures'!$A$1:$B$116,2,0)</f>
        <v>Promouvoir, auprès des consommateurs non-domestiques,  les comportements et équipements économes en eau ainsi que le recours à un approvisionnement en eau alternatif</v>
      </c>
      <c r="W663" t="str">
        <f>VLOOKUP(B663,[1]HIERARCH!$A$1:$B$57,2,0)</f>
        <v>Préserver et valoriser les ressources stratégiques en eau</v>
      </c>
      <c r="X663" t="e">
        <f>VLOOKUP(C663,[1]HIERARCH!$A$2:$B$57,2,0)</f>
        <v>#N/A</v>
      </c>
      <c r="Y663" t="str">
        <f t="shared" si="32"/>
        <v>Assurer un suivi systématique des consommations d’eau dans les potagers gérés par Bruxelles Environnement…</v>
      </c>
    </row>
    <row r="664" spans="1:25" hidden="1" x14ac:dyDescent="0.25">
      <c r="A664" s="249" t="str">
        <f t="shared" si="33"/>
        <v>7</v>
      </c>
      <c r="B664" s="249" t="str">
        <f>VLOOKUP($D664,'[4]1. Mesures'!$A$2:$G$116,6,0)</f>
        <v>OS 7.1</v>
      </c>
      <c r="C664" s="249" t="str">
        <f>VLOOKUP($D664,'[4]1. Mesures'!$A$2:$G$116,7,0)</f>
        <v>OO  7.1.2</v>
      </c>
      <c r="D664" s="249" t="str">
        <f t="shared" si="35"/>
        <v>M 7.5</v>
      </c>
      <c r="E664" s="250" t="s">
        <v>1244</v>
      </c>
      <c r="F664" s="249" t="str">
        <f>VLOOKUP(E664,'5.2 Actions'!$A$3:$B$720,2,0)</f>
        <v>Mettre en place en partenariat avec notamment les universités (écoles d’été), centre agro-écologique et FédéAU des formations sur l’utilisation rationnelle d’eau et bonnes pratiques agricoles (agro-écologiques,…) </v>
      </c>
      <c r="G664" s="251">
        <f>VLOOKUP(E664,'[4]5.2 Actions'!$A$3:$D$718,4,0)</f>
        <v>0</v>
      </c>
      <c r="H664" s="252">
        <f>VLOOKUP($E664,'5.1 Budget'!$A$4:$H$729,2,0)</f>
        <v>0</v>
      </c>
      <c r="I664" s="252">
        <f>VLOOKUP($E664,'5.1 Budget'!$A$4:$H$729,3,0)</f>
        <v>0</v>
      </c>
      <c r="J664" s="252">
        <f>VLOOKUP($E664,'5.1 Budget'!$A$4:$H$729,4,0)</f>
        <v>0</v>
      </c>
      <c r="K664" s="252">
        <f>VLOOKUP($E664,'5.1 Budget'!$A$4:$H$729,5,0)</f>
        <v>0</v>
      </c>
      <c r="L664" s="252">
        <f>VLOOKUP($E664,'5.1 Budget'!$A$4:$H$729,6,0)</f>
        <v>0</v>
      </c>
      <c r="M664" s="252">
        <f>VLOOKUP($E664,'5.1 Budget'!$A$4:$H$729,7,0)</f>
        <v>0</v>
      </c>
      <c r="N664" s="252">
        <f>VLOOKUP($E664,'5.1 Budget'!$A$4:$H$729,8,0)</f>
        <v>0</v>
      </c>
      <c r="V664" t="str">
        <f>VLOOKUP(D664,'[4]1. Mesures'!$A$1:$B$116,2,0)</f>
        <v>Promouvoir, auprès des consommateurs non-domestiques,  les comportements et équipements économes en eau ainsi que le recours à un approvisionnement en eau alternatif</v>
      </c>
      <c r="W664" t="str">
        <f>VLOOKUP(B664,[1]HIERARCH!$A$1:$B$57,2,0)</f>
        <v>Préserver et valoriser les ressources stratégiques en eau</v>
      </c>
      <c r="X664" t="e">
        <f>VLOOKUP(C664,[1]HIERARCH!$A$2:$B$57,2,0)</f>
        <v>#N/A</v>
      </c>
      <c r="Y664" t="str">
        <f t="shared" si="32"/>
        <v>Mettre en place en partenariat avec notamment les universités (écoles d’été), centre agro-écologique et FédéAU des forma…</v>
      </c>
    </row>
    <row r="665" spans="1:25" hidden="1" x14ac:dyDescent="0.25">
      <c r="A665" s="249" t="str">
        <f t="shared" si="33"/>
        <v>7</v>
      </c>
      <c r="B665" s="249" t="str">
        <f>VLOOKUP($D665,'[4]1. Mesures'!$A$2:$G$116,6,0)</f>
        <v>OS 7.2</v>
      </c>
      <c r="C665" s="249" t="str">
        <f>VLOOKUP($D665,'[4]1. Mesures'!$A$2:$G$116,7,0)</f>
        <v>-</v>
      </c>
      <c r="D665" s="249" t="str">
        <f t="shared" si="35"/>
        <v>M 7.6</v>
      </c>
      <c r="E665" s="250" t="s">
        <v>1250</v>
      </c>
      <c r="F665" s="249" t="str">
        <f>VLOOKUP(E665,'5.2 Actions'!$A$3:$B$720,2,0)</f>
        <v xml:space="preserve">Sensibiliser et/ou soutenir les projets d’innovation visant à valoriser les eaux issues des rabattements de nappe (cf. aussi M 8.5) </v>
      </c>
      <c r="G665" s="251">
        <f>VLOOKUP(E665,'[4]5.2 Actions'!$A$3:$D$718,4,0)</f>
        <v>0</v>
      </c>
      <c r="H665" s="252">
        <f>VLOOKUP($E665,'5.1 Budget'!$A$4:$H$729,2,0)</f>
        <v>100000</v>
      </c>
      <c r="I665" s="252">
        <f>VLOOKUP($E665,'5.1 Budget'!$A$4:$H$729,3,0)</f>
        <v>100000</v>
      </c>
      <c r="J665" s="252">
        <f>VLOOKUP($E665,'5.1 Budget'!$A$4:$H$729,4,0)</f>
        <v>100000</v>
      </c>
      <c r="K665" s="252">
        <f>VLOOKUP($E665,'5.1 Budget'!$A$4:$H$729,5,0)</f>
        <v>0</v>
      </c>
      <c r="L665" s="252">
        <f>VLOOKUP($E665,'5.1 Budget'!$A$4:$H$729,6,0)</f>
        <v>0</v>
      </c>
      <c r="M665" s="252">
        <f>VLOOKUP($E665,'5.1 Budget'!$A$4:$H$729,7,0)</f>
        <v>0</v>
      </c>
      <c r="N665" s="252">
        <f>VLOOKUP($E665,'5.1 Budget'!$A$4:$H$729,8,0)</f>
        <v>300000</v>
      </c>
      <c r="V665" t="str">
        <f>VLOOKUP(D665,'[4]1. Mesures'!$A$1:$B$116,2,0)</f>
        <v xml:space="preserve">Encadrer et valoriser l'eau issue des rabattements de nappe </v>
      </c>
      <c r="W665" t="str">
        <f>VLOOKUP(B665,[1]HIERARCH!$A$1:$B$57,2,0)</f>
        <v>Valoriser les ressources en eau jusqu'à présent inexploitées</v>
      </c>
      <c r="X665" t="e">
        <f>VLOOKUP(C665,[1]HIERARCH!$A$2:$B$57,2,0)</f>
        <v>#N/A</v>
      </c>
      <c r="Y665" t="str">
        <f t="shared" si="32"/>
        <v>Sensibiliser et/ou soutenir les projets d’innovation visant à valoriser les eaux issues des rabattements de nappe (cf. a…</v>
      </c>
    </row>
    <row r="666" spans="1:25" hidden="1" x14ac:dyDescent="0.25">
      <c r="A666" s="249" t="str">
        <f t="shared" si="33"/>
        <v>7</v>
      </c>
      <c r="B666" s="249" t="str">
        <f>VLOOKUP($D666,'[4]1. Mesures'!$A$2:$G$116,6,0)</f>
        <v>OS 7.2</v>
      </c>
      <c r="C666" s="249" t="str">
        <f>VLOOKUP($D666,'[4]1. Mesures'!$A$2:$G$116,7,0)</f>
        <v>-</v>
      </c>
      <c r="D666" s="249" t="str">
        <f t="shared" si="35"/>
        <v>M 7.6</v>
      </c>
      <c r="E666" s="250" t="s">
        <v>1245</v>
      </c>
      <c r="F666" s="249" t="str">
        <f>VLOOKUP(E666,'5.2 Actions'!$A$3:$B$720,2,0)</f>
        <v xml:space="preserve">Mettre en place un mécanisme financier incitatif à la valorisation des eaux de rabattement (telle une redevance ‘assainissement’ spécifique) </v>
      </c>
      <c r="G666" s="251">
        <f>VLOOKUP(E666,'[4]5.2 Actions'!$A$3:$D$718,4,0)</f>
        <v>0</v>
      </c>
      <c r="H666" s="252">
        <f>VLOOKUP($E666,'5.1 Budget'!$A$4:$H$729,2,0)</f>
        <v>0</v>
      </c>
      <c r="I666" s="252">
        <f>VLOOKUP($E666,'5.1 Budget'!$A$4:$H$729,3,0)</f>
        <v>0</v>
      </c>
      <c r="J666" s="252">
        <f>VLOOKUP($E666,'5.1 Budget'!$A$4:$H$729,4,0)</f>
        <v>0</v>
      </c>
      <c r="K666" s="252">
        <f>VLOOKUP($E666,'5.1 Budget'!$A$4:$H$729,5,0)</f>
        <v>0</v>
      </c>
      <c r="L666" s="252">
        <f>VLOOKUP($E666,'5.1 Budget'!$A$4:$H$729,6,0)</f>
        <v>0</v>
      </c>
      <c r="M666" s="252">
        <f>VLOOKUP($E666,'5.1 Budget'!$A$4:$H$729,7,0)</f>
        <v>0</v>
      </c>
      <c r="N666" s="252">
        <f>VLOOKUP($E666,'5.1 Budget'!$A$4:$H$729,8,0)</f>
        <v>0</v>
      </c>
      <c r="V666" t="str">
        <f>VLOOKUP(D666,'[4]1. Mesures'!$A$1:$B$116,2,0)</f>
        <v xml:space="preserve">Encadrer et valoriser l'eau issue des rabattements de nappe </v>
      </c>
      <c r="W666" t="str">
        <f>VLOOKUP(B666,[1]HIERARCH!$A$1:$B$57,2,0)</f>
        <v>Valoriser les ressources en eau jusqu'à présent inexploitées</v>
      </c>
      <c r="X666" t="e">
        <f>VLOOKUP(C666,[1]HIERARCH!$A$2:$B$57,2,0)</f>
        <v>#N/A</v>
      </c>
      <c r="Y666" t="str">
        <f t="shared" si="32"/>
        <v>Mettre en place un mécanisme financier incitatif à la valorisation des eaux de rabattement (telle une redevance ‘assaini…</v>
      </c>
    </row>
    <row r="667" spans="1:25" hidden="1" x14ac:dyDescent="0.25">
      <c r="A667" s="249" t="str">
        <f t="shared" si="33"/>
        <v>7</v>
      </c>
      <c r="B667" s="249" t="str">
        <f>VLOOKUP($D667,'[4]1. Mesures'!$A$2:$G$116,6,0)</f>
        <v>OS 7.2</v>
      </c>
      <c r="C667" s="249" t="str">
        <f>VLOOKUP($D667,'[4]1. Mesures'!$A$2:$G$116,7,0)</f>
        <v>-</v>
      </c>
      <c r="D667" s="249" t="str">
        <f t="shared" si="35"/>
        <v>M 7.6</v>
      </c>
      <c r="E667" s="250" t="s">
        <v>1246</v>
      </c>
      <c r="F667" s="249" t="str">
        <f>VLOOKUP(E667,'5.2 Actions'!$A$3:$B$720,2,0)</f>
        <v>Sensibiliser/informer les exploitants de chantier à la valorisation des eaux issues des rabattements de nappe</v>
      </c>
      <c r="G667" s="251">
        <f>VLOOKUP(E667,'[4]5.2 Actions'!$A$3:$D$718,4,0)</f>
        <v>0</v>
      </c>
      <c r="H667" s="252">
        <f>VLOOKUP($E667,'5.1 Budget'!$A$4:$H$729,2,0)</f>
        <v>0</v>
      </c>
      <c r="I667" s="252">
        <f>VLOOKUP($E667,'5.1 Budget'!$A$4:$H$729,3,0)</f>
        <v>0</v>
      </c>
      <c r="J667" s="252">
        <f>VLOOKUP($E667,'5.1 Budget'!$A$4:$H$729,4,0)</f>
        <v>0</v>
      </c>
      <c r="K667" s="252">
        <f>VLOOKUP($E667,'5.1 Budget'!$A$4:$H$729,5,0)</f>
        <v>0</v>
      </c>
      <c r="L667" s="252">
        <f>VLOOKUP($E667,'5.1 Budget'!$A$4:$H$729,6,0)</f>
        <v>0</v>
      </c>
      <c r="M667" s="252">
        <f>VLOOKUP($E667,'5.1 Budget'!$A$4:$H$729,7,0)</f>
        <v>0</v>
      </c>
      <c r="N667" s="252">
        <f>VLOOKUP($E667,'5.1 Budget'!$A$4:$H$729,8,0)</f>
        <v>0</v>
      </c>
      <c r="V667" t="str">
        <f>VLOOKUP(D667,'[4]1. Mesures'!$A$1:$B$116,2,0)</f>
        <v xml:space="preserve">Encadrer et valoriser l'eau issue des rabattements de nappe </v>
      </c>
      <c r="W667" t="str">
        <f>VLOOKUP(B667,[1]HIERARCH!$A$1:$B$57,2,0)</f>
        <v>Valoriser les ressources en eau jusqu'à présent inexploitées</v>
      </c>
      <c r="X667" t="e">
        <f>VLOOKUP(C667,[1]HIERARCH!$A$2:$B$57,2,0)</f>
        <v>#N/A</v>
      </c>
      <c r="Y667" t="str">
        <f t="shared" si="32"/>
        <v>Sensibiliser/informer les exploitants de chantier à la valorisation des eaux issues des rabattements de nappe…</v>
      </c>
    </row>
    <row r="668" spans="1:25" hidden="1" x14ac:dyDescent="0.25">
      <c r="A668" s="249" t="str">
        <f t="shared" si="33"/>
        <v>7</v>
      </c>
      <c r="B668" s="249" t="str">
        <f>VLOOKUP($D668,'[4]1. Mesures'!$A$2:$G$116,6,0)</f>
        <v>OS 7.2</v>
      </c>
      <c r="C668" s="249" t="str">
        <f>VLOOKUP($D668,'[4]1. Mesures'!$A$2:$G$116,7,0)</f>
        <v>-</v>
      </c>
      <c r="D668" s="249" t="str">
        <f t="shared" si="35"/>
        <v>M 7.6</v>
      </c>
      <c r="E668" s="250" t="s">
        <v>1247</v>
      </c>
      <c r="F668" s="249" t="str">
        <f>VLOOKUP(E668,'5.2 Actions'!$A$3:$B$720,2,0)</f>
        <v>Prévoir des conditions spécifiques dans les autorisations de captage visant à encourager une valorisation des eaux de rabattements et encadrant cette valorisation.</v>
      </c>
      <c r="G668" s="251">
        <f>VLOOKUP(E668,'[4]5.2 Actions'!$A$3:$D$718,4,0)</f>
        <v>0</v>
      </c>
      <c r="H668" s="252">
        <f>VLOOKUP($E668,'5.1 Budget'!$A$4:$H$729,2,0)</f>
        <v>0</v>
      </c>
      <c r="I668" s="252">
        <f>VLOOKUP($E668,'5.1 Budget'!$A$4:$H$729,3,0)</f>
        <v>0</v>
      </c>
      <c r="J668" s="252">
        <f>VLOOKUP($E668,'5.1 Budget'!$A$4:$H$729,4,0)</f>
        <v>0</v>
      </c>
      <c r="K668" s="252">
        <f>VLOOKUP($E668,'5.1 Budget'!$A$4:$H$729,5,0)</f>
        <v>0</v>
      </c>
      <c r="L668" s="252">
        <f>VLOOKUP($E668,'5.1 Budget'!$A$4:$H$729,6,0)</f>
        <v>0</v>
      </c>
      <c r="M668" s="252">
        <f>VLOOKUP($E668,'5.1 Budget'!$A$4:$H$729,7,0)</f>
        <v>0</v>
      </c>
      <c r="N668" s="252">
        <f>VLOOKUP($E668,'5.1 Budget'!$A$4:$H$729,8,0)</f>
        <v>0</v>
      </c>
      <c r="V668" t="str">
        <f>VLOOKUP(D668,'[4]1. Mesures'!$A$1:$B$116,2,0)</f>
        <v xml:space="preserve">Encadrer et valoriser l'eau issue des rabattements de nappe </v>
      </c>
      <c r="W668" t="str">
        <f>VLOOKUP(B668,[1]HIERARCH!$A$1:$B$57,2,0)</f>
        <v>Valoriser les ressources en eau jusqu'à présent inexploitées</v>
      </c>
      <c r="X668" t="e">
        <f>VLOOKUP(C668,[1]HIERARCH!$A$2:$B$57,2,0)</f>
        <v>#N/A</v>
      </c>
      <c r="Y668" t="str">
        <f t="shared" si="32"/>
        <v>Prévoir des conditions spécifiques dans les autorisations de captage visant à encourager une valorisation des eaux de ra…</v>
      </c>
    </row>
    <row r="669" spans="1:25" hidden="1" x14ac:dyDescent="0.25">
      <c r="A669" s="249" t="str">
        <f t="shared" si="33"/>
        <v>7</v>
      </c>
      <c r="B669" s="249" t="str">
        <f>VLOOKUP($D669,'[4]1. Mesures'!$A$2:$G$116,6,0)</f>
        <v>OS 7.2</v>
      </c>
      <c r="C669" s="249" t="str">
        <f>VLOOKUP($D669,'[4]1. Mesures'!$A$2:$G$116,7,0)</f>
        <v>-</v>
      </c>
      <c r="D669" s="249" t="str">
        <f t="shared" si="35"/>
        <v>M 7.6</v>
      </c>
      <c r="E669" s="250" t="s">
        <v>1248</v>
      </c>
      <c r="F669" s="249" t="str">
        <f>VLOOKUP(E669,'5.2 Actions'!$A$3:$B$720,2,0)</f>
        <v xml:space="preserve">Lever les éventuels freins pour le rejet des eaux de rabattement vers le réseau hydrographique :
- Faire évoluer les procédures permettant une valorisation de l’eau issue de rabattement temporaires et permanents en eau de surface ;
- Assurer la cohérence entre les  normes de qualité des eaux de surface avec celles des eaux du sol en cas de rabattement effectué dans le cadre d’un assainissement de sol pollué ;
- Prévoir ensuite les conditions spécifiques en cas de de rejet direct dans le réseau hydrographique (respect des berges et des normes de rejet) </v>
      </c>
      <c r="G669" s="251">
        <f>VLOOKUP(E669,'[4]5.2 Actions'!$A$3:$D$718,4,0)</f>
        <v>0</v>
      </c>
      <c r="H669" s="252">
        <f>VLOOKUP($E669,'5.1 Budget'!$A$4:$H$729,2,0)</f>
        <v>0</v>
      </c>
      <c r="I669" s="252">
        <f>VLOOKUP($E669,'5.1 Budget'!$A$4:$H$729,3,0)</f>
        <v>0</v>
      </c>
      <c r="J669" s="252">
        <f>VLOOKUP($E669,'5.1 Budget'!$A$4:$H$729,4,0)</f>
        <v>0</v>
      </c>
      <c r="K669" s="252">
        <f>VLOOKUP($E669,'5.1 Budget'!$A$4:$H$729,5,0)</f>
        <v>0</v>
      </c>
      <c r="L669" s="252">
        <f>VLOOKUP($E669,'5.1 Budget'!$A$4:$H$729,6,0)</f>
        <v>0</v>
      </c>
      <c r="M669" s="252">
        <f>VLOOKUP($E669,'5.1 Budget'!$A$4:$H$729,7,0)</f>
        <v>0</v>
      </c>
      <c r="N669" s="252">
        <f>VLOOKUP($E669,'5.1 Budget'!$A$4:$H$729,8,0)</f>
        <v>0</v>
      </c>
      <c r="V669" t="str">
        <f>VLOOKUP(D669,'[4]1. Mesures'!$A$1:$B$116,2,0)</f>
        <v xml:space="preserve">Encadrer et valoriser l'eau issue des rabattements de nappe </v>
      </c>
      <c r="W669" t="str">
        <f>VLOOKUP(B669,[1]HIERARCH!$A$1:$B$57,2,0)</f>
        <v>Valoriser les ressources en eau jusqu'à présent inexploitées</v>
      </c>
      <c r="X669" t="e">
        <f>VLOOKUP(C669,[1]HIERARCH!$A$2:$B$57,2,0)</f>
        <v>#N/A</v>
      </c>
      <c r="Y669" t="str">
        <f t="shared" si="32"/>
        <v>Lever les éventuels freins pour le rejet des eaux de rabattement vers le réseau hydrographique :
- Faire évoluer les pro…</v>
      </c>
    </row>
    <row r="670" spans="1:25" hidden="1" x14ac:dyDescent="0.25">
      <c r="A670" s="249" t="str">
        <f t="shared" si="33"/>
        <v>7</v>
      </c>
      <c r="B670" s="249" t="str">
        <f>VLOOKUP($D670,'[4]1. Mesures'!$A$2:$G$116,6,0)</f>
        <v>OS 7.2</v>
      </c>
      <c r="C670" s="249" t="str">
        <f>VLOOKUP($D670,'[4]1. Mesures'!$A$2:$G$116,7,0)</f>
        <v>-</v>
      </c>
      <c r="D670" s="249" t="str">
        <f t="shared" si="35"/>
        <v>M 7.6</v>
      </c>
      <c r="E670" s="250" t="s">
        <v>1249</v>
      </c>
      <c r="F670" s="249" t="str">
        <f>VLOOKUP(E670,'5.2 Actions'!$A$3:$B$720,2,0)</f>
        <v>Envisager une clause particulière dans les marchés publics de travaux des autorités publiques impliquant un rabattement de nappe afin de valoriser les eaux de rabattement et assurer un rôle d’exemplarité(*)</v>
      </c>
      <c r="G670" s="251">
        <f>VLOOKUP(E670,'[4]5.2 Actions'!$A$3:$D$718,4,0)</f>
        <v>0</v>
      </c>
      <c r="H670" s="252">
        <f>VLOOKUP($E670,'5.1 Budget'!$A$4:$H$729,2,0)</f>
        <v>0</v>
      </c>
      <c r="I670" s="252">
        <f>VLOOKUP($E670,'5.1 Budget'!$A$4:$H$729,3,0)</f>
        <v>0</v>
      </c>
      <c r="J670" s="252">
        <f>VLOOKUP($E670,'5.1 Budget'!$A$4:$H$729,4,0)</f>
        <v>0</v>
      </c>
      <c r="K670" s="252">
        <f>VLOOKUP($E670,'5.1 Budget'!$A$4:$H$729,5,0)</f>
        <v>0</v>
      </c>
      <c r="L670" s="252">
        <f>VLOOKUP($E670,'5.1 Budget'!$A$4:$H$729,6,0)</f>
        <v>0</v>
      </c>
      <c r="M670" s="252">
        <f>VLOOKUP($E670,'5.1 Budget'!$A$4:$H$729,7,0)</f>
        <v>0</v>
      </c>
      <c r="N670" s="252">
        <f>VLOOKUP($E670,'5.1 Budget'!$A$4:$H$729,8,0)</f>
        <v>0</v>
      </c>
      <c r="V670" t="str">
        <f>VLOOKUP(D670,'[4]1. Mesures'!$A$1:$B$116,2,0)</f>
        <v xml:space="preserve">Encadrer et valoriser l'eau issue des rabattements de nappe </v>
      </c>
      <c r="W670" t="str">
        <f>VLOOKUP(B670,[1]HIERARCH!$A$1:$B$57,2,0)</f>
        <v>Valoriser les ressources en eau jusqu'à présent inexploitées</v>
      </c>
      <c r="X670" t="e">
        <f>VLOOKUP(C670,[1]HIERARCH!$A$2:$B$57,2,0)</f>
        <v>#N/A</v>
      </c>
      <c r="Y670" t="str">
        <f t="shared" si="32"/>
        <v>Envisager une clause particulière dans les marchés publics de travaux des autorités publiques impliquant un rabattement …</v>
      </c>
    </row>
    <row r="671" spans="1:25" hidden="1" x14ac:dyDescent="0.25">
      <c r="A671" s="249" t="str">
        <f t="shared" si="33"/>
        <v>7</v>
      </c>
      <c r="B671" s="249" t="str">
        <f>VLOOKUP($D671,'[4]1. Mesures'!$A$2:$G$116,6,0)</f>
        <v>OS 7.2</v>
      </c>
      <c r="C671" s="249" t="str">
        <f>VLOOKUP($D671,'[4]1. Mesures'!$A$2:$G$116,7,0)</f>
        <v>-</v>
      </c>
      <c r="D671" s="249" t="str">
        <f t="shared" si="35"/>
        <v>M 7.7</v>
      </c>
      <c r="E671" s="250" t="s">
        <v>1251</v>
      </c>
      <c r="F671" s="249" t="str">
        <f>VLOOKUP(E671,'5.2 Actions'!$A$3:$B$720,2,0)</f>
        <v>Mise en place d’une installation pilote d’eau de "re-use" industrielle</v>
      </c>
      <c r="G671" s="251">
        <f>VLOOKUP(E671,'[4]5.2 Actions'!$A$3:$D$718,4,0)</f>
        <v>0</v>
      </c>
      <c r="H671" s="252">
        <f>VLOOKUP($E671,'5.1 Budget'!$A$4:$H$729,2,0)</f>
        <v>500000</v>
      </c>
      <c r="I671" s="252">
        <f>VLOOKUP($E671,'5.1 Budget'!$A$4:$H$729,3,0)</f>
        <v>0</v>
      </c>
      <c r="J671" s="252">
        <f>VLOOKUP($E671,'5.1 Budget'!$A$4:$H$729,4,0)</f>
        <v>0</v>
      </c>
      <c r="K671" s="252">
        <f>VLOOKUP($E671,'5.1 Budget'!$A$4:$H$729,5,0)</f>
        <v>0</v>
      </c>
      <c r="L671" s="252">
        <f>VLOOKUP($E671,'5.1 Budget'!$A$4:$H$729,6,0)</f>
        <v>0</v>
      </c>
      <c r="M671" s="252">
        <f>VLOOKUP($E671,'5.1 Budget'!$A$4:$H$729,7,0)</f>
        <v>0</v>
      </c>
      <c r="N671" s="252">
        <f>VLOOKUP($E671,'5.1 Budget'!$A$4:$H$729,8,0)</f>
        <v>500000</v>
      </c>
      <c r="V671" t="str">
        <f>VLOOKUP(D671,'[4]1. Mesures'!$A$1:$B$116,2,0)</f>
        <v>Encadrer et développer la réutilisation d'eaux de « deuxième circuit »  ("re-use")</v>
      </c>
      <c r="W671" t="str">
        <f>VLOOKUP(B671,[1]HIERARCH!$A$1:$B$57,2,0)</f>
        <v>Valoriser les ressources en eau jusqu'à présent inexploitées</v>
      </c>
      <c r="X671" t="e">
        <f>VLOOKUP(C671,[1]HIERARCH!$A$2:$B$57,2,0)</f>
        <v>#N/A</v>
      </c>
      <c r="Y671" t="str">
        <f t="shared" si="32"/>
        <v>Mise en place d’une installation pilote d’eau de "re-use" industrielle…</v>
      </c>
    </row>
    <row r="672" spans="1:25" hidden="1" x14ac:dyDescent="0.25">
      <c r="A672" s="249" t="str">
        <f t="shared" si="33"/>
        <v>7</v>
      </c>
      <c r="B672" s="249" t="str">
        <f>VLOOKUP($D672,'[4]1. Mesures'!$A$2:$G$116,6,0)</f>
        <v>OS 7.2</v>
      </c>
      <c r="C672" s="249" t="str">
        <f>VLOOKUP($D672,'[4]1. Mesures'!$A$2:$G$116,7,0)</f>
        <v>-</v>
      </c>
      <c r="D672" s="249" t="str">
        <f t="shared" si="35"/>
        <v>M 7.7</v>
      </c>
      <c r="E672" s="250" t="s">
        <v>1252</v>
      </c>
      <c r="F672" s="249" t="str">
        <f>VLOOKUP(E672,'5.2 Actions'!$A$3:$B$720,2,0)</f>
        <v xml:space="preserve">Adoption d’un arrêté spécifique à la réutilisation de l’eau de 2ème circuit (water reuse) </v>
      </c>
      <c r="G672" s="251">
        <f>VLOOKUP(E672,'[4]5.2 Actions'!$A$3:$D$718,4,0)</f>
        <v>0</v>
      </c>
      <c r="H672" s="252">
        <f>VLOOKUP($E672,'5.1 Budget'!$A$4:$H$729,2,0)</f>
        <v>0</v>
      </c>
      <c r="I672" s="252">
        <f>VLOOKUP($E672,'5.1 Budget'!$A$4:$H$729,3,0)</f>
        <v>0</v>
      </c>
      <c r="J672" s="252">
        <f>VLOOKUP($E672,'5.1 Budget'!$A$4:$H$729,4,0)</f>
        <v>0</v>
      </c>
      <c r="K672" s="252">
        <f>VLOOKUP($E672,'5.1 Budget'!$A$4:$H$729,5,0)</f>
        <v>0</v>
      </c>
      <c r="L672" s="252">
        <f>VLOOKUP($E672,'5.1 Budget'!$A$4:$H$729,6,0)</f>
        <v>0</v>
      </c>
      <c r="M672" s="252">
        <f>VLOOKUP($E672,'5.1 Budget'!$A$4:$H$729,7,0)</f>
        <v>0</v>
      </c>
      <c r="N672" s="252">
        <f>VLOOKUP($E672,'5.1 Budget'!$A$4:$H$729,8,0)</f>
        <v>0</v>
      </c>
      <c r="V672" t="str">
        <f>VLOOKUP(D672,'[4]1. Mesures'!$A$1:$B$116,2,0)</f>
        <v>Encadrer et développer la réutilisation d'eaux de « deuxième circuit »  ("re-use")</v>
      </c>
      <c r="W672" t="str">
        <f>VLOOKUP(B672,[1]HIERARCH!$A$1:$B$57,2,0)</f>
        <v>Valoriser les ressources en eau jusqu'à présent inexploitées</v>
      </c>
      <c r="X672" t="e">
        <f>VLOOKUP(C672,[1]HIERARCH!$A$2:$B$57,2,0)</f>
        <v>#N/A</v>
      </c>
      <c r="Y672" t="str">
        <f t="shared" si="32"/>
        <v>Adoption d’un arrêté spécifique à la réutilisation de l’eau de 2ème circuit (water reuse) …</v>
      </c>
    </row>
    <row r="673" spans="1:25" hidden="1" x14ac:dyDescent="0.25">
      <c r="A673" s="249" t="str">
        <f t="shared" si="33"/>
        <v>7</v>
      </c>
      <c r="B673" s="249" t="str">
        <f>VLOOKUP($D673,'[4]1. Mesures'!$A$2:$G$116,6,0)</f>
        <v>OS 7.2</v>
      </c>
      <c r="C673" s="249" t="str">
        <f>VLOOKUP($D673,'[4]1. Mesures'!$A$2:$G$116,7,0)</f>
        <v>-</v>
      </c>
      <c r="D673" s="249" t="str">
        <f t="shared" si="35"/>
        <v>M 7.7</v>
      </c>
      <c r="E673" s="250" t="s">
        <v>1253</v>
      </c>
      <c r="F673" s="249" t="str">
        <f>VLOOKUP(E673,'5.2 Actions'!$A$3:$B$720,2,0)</f>
        <v>Encourager le développement et le recours à l’eau de "re-use"</v>
      </c>
      <c r="G673" s="251">
        <f>VLOOKUP(E673,'[4]5.2 Actions'!$A$3:$D$718,4,0)</f>
        <v>0</v>
      </c>
      <c r="H673" s="252">
        <f>VLOOKUP($E673,'5.1 Budget'!$A$4:$H$729,2,0)</f>
        <v>0</v>
      </c>
      <c r="I673" s="252">
        <f>VLOOKUP($E673,'5.1 Budget'!$A$4:$H$729,3,0)</f>
        <v>0</v>
      </c>
      <c r="J673" s="252">
        <f>VLOOKUP($E673,'5.1 Budget'!$A$4:$H$729,4,0)</f>
        <v>0</v>
      </c>
      <c r="K673" s="252">
        <f>VLOOKUP($E673,'5.1 Budget'!$A$4:$H$729,5,0)</f>
        <v>0</v>
      </c>
      <c r="L673" s="252">
        <f>VLOOKUP($E673,'5.1 Budget'!$A$4:$H$729,6,0)</f>
        <v>0</v>
      </c>
      <c r="M673" s="252">
        <f>VLOOKUP($E673,'5.1 Budget'!$A$4:$H$729,7,0)</f>
        <v>0</v>
      </c>
      <c r="N673" s="252">
        <f>VLOOKUP($E673,'5.1 Budget'!$A$4:$H$729,8,0)</f>
        <v>0</v>
      </c>
      <c r="V673" t="str">
        <f>VLOOKUP(D673,'[4]1. Mesures'!$A$1:$B$116,2,0)</f>
        <v>Encadrer et développer la réutilisation d'eaux de « deuxième circuit »  ("re-use")</v>
      </c>
      <c r="W673" t="str">
        <f>VLOOKUP(B673,[1]HIERARCH!$A$1:$B$57,2,0)</f>
        <v>Valoriser les ressources en eau jusqu'à présent inexploitées</v>
      </c>
      <c r="X673" t="e">
        <f>VLOOKUP(C673,[1]HIERARCH!$A$2:$B$57,2,0)</f>
        <v>#N/A</v>
      </c>
      <c r="Y673" t="str">
        <f t="shared" si="32"/>
        <v>Encourager le développement et le recours à l’eau de "re-use"…</v>
      </c>
    </row>
    <row r="674" spans="1:25" hidden="1" x14ac:dyDescent="0.25">
      <c r="A674" s="249" t="str">
        <f t="shared" si="33"/>
        <v>7</v>
      </c>
      <c r="B674" s="249" t="str">
        <f>VLOOKUP($D674,'[4]1. Mesures'!$A$2:$G$116,6,0)</f>
        <v>OS 7.2</v>
      </c>
      <c r="C674" s="249" t="str">
        <f>VLOOKUP($D674,'[4]1. Mesures'!$A$2:$G$116,7,0)</f>
        <v>-</v>
      </c>
      <c r="D674" s="249" t="str">
        <f t="shared" si="35"/>
        <v>M 7.8</v>
      </c>
      <c r="E674" s="250" t="s">
        <v>1254</v>
      </c>
      <c r="F674" s="249" t="str">
        <f>VLOOKUP(E674,'5.2 Actions'!$A$3:$B$720,2,0)</f>
        <v>Déterminer les usages qui peuvent être faits des sources inventoriées en fonction de leur productivité et de la qualité des eaux</v>
      </c>
      <c r="G674" s="251">
        <f>VLOOKUP(E674,'[4]5.2 Actions'!$A$3:$D$718,4,0)</f>
        <v>0</v>
      </c>
      <c r="H674" s="252">
        <f>VLOOKUP($E674,'5.1 Budget'!$A$4:$H$729,2,0)</f>
        <v>0</v>
      </c>
      <c r="I674" s="252">
        <f>VLOOKUP($E674,'5.1 Budget'!$A$4:$H$729,3,0)</f>
        <v>0</v>
      </c>
      <c r="J674" s="252">
        <f>VLOOKUP($E674,'5.1 Budget'!$A$4:$H$729,4,0)</f>
        <v>0</v>
      </c>
      <c r="K674" s="252">
        <f>VLOOKUP($E674,'5.1 Budget'!$A$4:$H$729,5,0)</f>
        <v>0</v>
      </c>
      <c r="L674" s="252">
        <f>VLOOKUP($E674,'5.1 Budget'!$A$4:$H$729,6,0)</f>
        <v>0</v>
      </c>
      <c r="M674" s="252">
        <f>VLOOKUP($E674,'5.1 Budget'!$A$4:$H$729,7,0)</f>
        <v>0</v>
      </c>
      <c r="N674" s="252">
        <f>VLOOKUP($E674,'5.1 Budget'!$A$4:$H$729,8,0)</f>
        <v>0</v>
      </c>
      <c r="V674" t="str">
        <f>VLOOKUP(D674,'[4]1. Mesures'!$A$1:$B$116,2,0)</f>
        <v>Encadrer et réglementer l’usage des eaux provenant de sources</v>
      </c>
      <c r="W674" t="str">
        <f>VLOOKUP(B674,[1]HIERARCH!$A$1:$B$57,2,0)</f>
        <v>Valoriser les ressources en eau jusqu'à présent inexploitées</v>
      </c>
      <c r="X674" t="e">
        <f>VLOOKUP(C674,[1]HIERARCH!$A$2:$B$57,2,0)</f>
        <v>#N/A</v>
      </c>
      <c r="Y674" t="str">
        <f t="shared" ref="Y674:Y715" si="36">LEFT(F674,120)&amp;"…"</f>
        <v>Déterminer les usages qui peuvent être faits des sources inventoriées en fonction de leur productivité et de la qualité …</v>
      </c>
    </row>
    <row r="675" spans="1:25" hidden="1" x14ac:dyDescent="0.25">
      <c r="A675" s="249" t="str">
        <f t="shared" ref="A675:A715" si="37">LEFT(E675,1)</f>
        <v>7</v>
      </c>
      <c r="B675" s="249" t="str">
        <f>VLOOKUP($D675,'[4]1. Mesures'!$A$2:$G$116,6,0)</f>
        <v>OS 7.2</v>
      </c>
      <c r="C675" s="249" t="str">
        <f>VLOOKUP($D675,'[4]1. Mesures'!$A$2:$G$116,7,0)</f>
        <v>-</v>
      </c>
      <c r="D675" s="249" t="str">
        <f t="shared" si="35"/>
        <v>M 7.8</v>
      </c>
      <c r="E675" s="250" t="s">
        <v>1255</v>
      </c>
      <c r="F675" s="249" t="str">
        <f>VLOOKUP(E675,'5.2 Actions'!$A$3:$B$720,2,0)</f>
        <v>Mettre en place une signalétique adéquate en fonction des usages autorisés, lorsque l’usage de l’eau est autorisé.</v>
      </c>
      <c r="G675" s="251">
        <f>VLOOKUP(E675,'[4]5.2 Actions'!$A$3:$D$718,4,0)</f>
        <v>0</v>
      </c>
      <c r="H675" s="252">
        <f>VLOOKUP($E675,'5.1 Budget'!$A$4:$H$729,2,0)</f>
        <v>0</v>
      </c>
      <c r="I675" s="252">
        <f>VLOOKUP($E675,'5.1 Budget'!$A$4:$H$729,3,0)</f>
        <v>0</v>
      </c>
      <c r="J675" s="252">
        <f>VLOOKUP($E675,'5.1 Budget'!$A$4:$H$729,4,0)</f>
        <v>0</v>
      </c>
      <c r="K675" s="252">
        <f>VLOOKUP($E675,'5.1 Budget'!$A$4:$H$729,5,0)</f>
        <v>0</v>
      </c>
      <c r="L675" s="252">
        <f>VLOOKUP($E675,'5.1 Budget'!$A$4:$H$729,6,0)</f>
        <v>0</v>
      </c>
      <c r="M675" s="252">
        <f>VLOOKUP($E675,'5.1 Budget'!$A$4:$H$729,7,0)</f>
        <v>0</v>
      </c>
      <c r="N675" s="252">
        <f>VLOOKUP($E675,'5.1 Budget'!$A$4:$H$729,8,0)</f>
        <v>0</v>
      </c>
      <c r="V675" t="str">
        <f>VLOOKUP(D675,'[4]1. Mesures'!$A$1:$B$116,2,0)</f>
        <v>Encadrer et réglementer l’usage des eaux provenant de sources</v>
      </c>
      <c r="W675" t="str">
        <f>VLOOKUP(B675,[1]HIERARCH!$A$1:$B$57,2,0)</f>
        <v>Valoriser les ressources en eau jusqu'à présent inexploitées</v>
      </c>
      <c r="X675" t="e">
        <f>VLOOKUP(C675,[1]HIERARCH!$A$2:$B$57,2,0)</f>
        <v>#N/A</v>
      </c>
      <c r="Y675" t="str">
        <f t="shared" si="36"/>
        <v>Mettre en place une signalétique adéquate en fonction des usages autorisés, lorsque l’usage de l’eau est autorisé.…</v>
      </c>
    </row>
    <row r="676" spans="1:25" hidden="1" x14ac:dyDescent="0.25">
      <c r="A676" s="249" t="str">
        <f t="shared" si="37"/>
        <v>7</v>
      </c>
      <c r="B676" s="249" t="str">
        <f>VLOOKUP($D676,'[4]1. Mesures'!$A$2:$G$116,6,0)</f>
        <v>OS 7.3</v>
      </c>
      <c r="C676" s="249" t="str">
        <f>VLOOKUP($D676,'[4]1. Mesures'!$A$2:$G$116,7,0)</f>
        <v>OO 7.3.1</v>
      </c>
      <c r="D676" s="249" t="str">
        <f t="shared" si="35"/>
        <v>M 7.9</v>
      </c>
      <c r="E676" s="250" t="s">
        <v>1256</v>
      </c>
      <c r="F676" s="249" t="str">
        <f>VLOOKUP(E676,'5.2 Actions'!$A$3:$B$720,2,0)</f>
        <v>Consultation des experts et du secteur sur la règlementation à mettre en place pour les systèmes géothermiques fermés</v>
      </c>
      <c r="G676" s="251">
        <f>VLOOKUP(E676,'[4]5.2 Actions'!$A$3:$D$718,4,0)</f>
        <v>0</v>
      </c>
      <c r="H676" s="252">
        <f>VLOOKUP($E676,'5.1 Budget'!$A$4:$H$729,2,0)</f>
        <v>0</v>
      </c>
      <c r="I676" s="252">
        <f>VLOOKUP($E676,'5.1 Budget'!$A$4:$H$729,3,0)</f>
        <v>0</v>
      </c>
      <c r="J676" s="252">
        <f>VLOOKUP($E676,'5.1 Budget'!$A$4:$H$729,4,0)</f>
        <v>0</v>
      </c>
      <c r="K676" s="252">
        <f>VLOOKUP($E676,'5.1 Budget'!$A$4:$H$729,5,0)</f>
        <v>0</v>
      </c>
      <c r="L676" s="252">
        <f>VLOOKUP($E676,'5.1 Budget'!$A$4:$H$729,6,0)</f>
        <v>0</v>
      </c>
      <c r="M676" s="252">
        <f>VLOOKUP($E676,'5.1 Budget'!$A$4:$H$729,7,0)</f>
        <v>0</v>
      </c>
      <c r="N676" s="252">
        <f>VLOOKUP($E676,'5.1 Budget'!$A$4:$H$729,8,0)</f>
        <v>0</v>
      </c>
      <c r="V676" t="str">
        <f>VLOOKUP(D676,'[4]1. Mesures'!$A$1:$B$116,2,0)</f>
        <v>Adapter le cadre juridico-technique relatif aux systèmes géothermiques</v>
      </c>
      <c r="W676" t="str">
        <f>VLOOKUP(B676,[1]HIERARCH!$A$1:$B$57,2,0)</f>
        <v>Promouvoir la production d'énergie renouvelable à partir de l'eau</v>
      </c>
      <c r="X676" t="str">
        <f>VLOOKUP(C676,[1]HIERARCH!$A$2:$B$57,2,0)</f>
        <v>Encadrer et promouvoir la géothermie pour le chauffage et le refroidissement des bâtiments bruxellois (/du bâti ou parc immobilier bruxellois)</v>
      </c>
      <c r="Y676" t="str">
        <f t="shared" si="36"/>
        <v>Consultation des experts et du secteur sur la règlementation à mettre en place pour les systèmes géothermiques fermés…</v>
      </c>
    </row>
    <row r="677" spans="1:25" hidden="1" x14ac:dyDescent="0.25">
      <c r="A677" s="249" t="str">
        <f t="shared" si="37"/>
        <v>7</v>
      </c>
      <c r="B677" s="249" t="str">
        <f>VLOOKUP($D677,'[4]1. Mesures'!$A$2:$G$116,6,0)</f>
        <v>OS 7.3</v>
      </c>
      <c r="C677" s="249" t="str">
        <f>VLOOKUP($D677,'[4]1. Mesures'!$A$2:$G$116,7,0)</f>
        <v>OO 7.3.1</v>
      </c>
      <c r="D677" s="249" t="str">
        <f t="shared" si="35"/>
        <v>M 7.9</v>
      </c>
      <c r="E677" s="250" t="s">
        <v>1257</v>
      </c>
      <c r="F677" s="249" t="str">
        <f>VLOOKUP(E677,'5.2 Actions'!$A$3:$B$720,2,0)</f>
        <v xml:space="preserve"> Rédaction d’un arrêté relatif aux systèmes géothermiques fermés</v>
      </c>
      <c r="G677" s="251">
        <f>VLOOKUP(E677,'[4]5.2 Actions'!$A$3:$D$718,4,0)</f>
        <v>0</v>
      </c>
      <c r="H677" s="252">
        <f>VLOOKUP($E677,'5.1 Budget'!$A$4:$H$729,2,0)</f>
        <v>0</v>
      </c>
      <c r="I677" s="252">
        <f>VLOOKUP($E677,'5.1 Budget'!$A$4:$H$729,3,0)</f>
        <v>0</v>
      </c>
      <c r="J677" s="252">
        <f>VLOOKUP($E677,'5.1 Budget'!$A$4:$H$729,4,0)</f>
        <v>0</v>
      </c>
      <c r="K677" s="252">
        <f>VLOOKUP($E677,'5.1 Budget'!$A$4:$H$729,5,0)</f>
        <v>0</v>
      </c>
      <c r="L677" s="252">
        <f>VLOOKUP($E677,'5.1 Budget'!$A$4:$H$729,6,0)</f>
        <v>0</v>
      </c>
      <c r="M677" s="252">
        <f>VLOOKUP($E677,'5.1 Budget'!$A$4:$H$729,7,0)</f>
        <v>0</v>
      </c>
      <c r="N677" s="252">
        <f>VLOOKUP($E677,'5.1 Budget'!$A$4:$H$729,8,0)</f>
        <v>0</v>
      </c>
      <c r="V677" t="str">
        <f>VLOOKUP(D677,'[4]1. Mesures'!$A$1:$B$116,2,0)</f>
        <v>Adapter le cadre juridico-technique relatif aux systèmes géothermiques</v>
      </c>
      <c r="W677" t="str">
        <f>VLOOKUP(B677,[1]HIERARCH!$A$1:$B$57,2,0)</f>
        <v>Promouvoir la production d'énergie renouvelable à partir de l'eau</v>
      </c>
      <c r="X677" t="str">
        <f>VLOOKUP(C677,[1]HIERARCH!$A$2:$B$57,2,0)</f>
        <v>Encadrer et promouvoir la géothermie pour le chauffage et le refroidissement des bâtiments bruxellois (/du bâti ou parc immobilier bruxellois)</v>
      </c>
      <c r="Y677" t="str">
        <f t="shared" si="36"/>
        <v xml:space="preserve"> Rédaction d’un arrêté relatif aux systèmes géothermiques fermés…</v>
      </c>
    </row>
    <row r="678" spans="1:25" hidden="1" x14ac:dyDescent="0.25">
      <c r="A678" s="249" t="str">
        <f t="shared" si="37"/>
        <v>7</v>
      </c>
      <c r="B678" s="249" t="str">
        <f>VLOOKUP($D678,'[4]1. Mesures'!$A$2:$G$116,6,0)</f>
        <v>OS 7.3</v>
      </c>
      <c r="C678" s="249" t="str">
        <f>VLOOKUP($D678,'[4]1. Mesures'!$A$2:$G$116,7,0)</f>
        <v>OO 7.3.1</v>
      </c>
      <c r="D678" s="249" t="str">
        <f t="shared" si="35"/>
        <v>M 7.9</v>
      </c>
      <c r="E678" s="250" t="s">
        <v>1258</v>
      </c>
      <c r="F678" s="249" t="str">
        <f>VLOOKUP(E678,'5.2 Actions'!$A$3:$B$720,2,0)</f>
        <v>Adoption d’un arrêté déterminant des conditions-types pour les systèmes géothermiques fermés</v>
      </c>
      <c r="G678" s="251">
        <f>VLOOKUP(E678,'[4]5.2 Actions'!$A$3:$D$718,4,0)</f>
        <v>0</v>
      </c>
      <c r="H678" s="252">
        <f>VLOOKUP($E678,'5.1 Budget'!$A$4:$H$729,2,0)</f>
        <v>0</v>
      </c>
      <c r="I678" s="252">
        <f>VLOOKUP($E678,'5.1 Budget'!$A$4:$H$729,3,0)</f>
        <v>0</v>
      </c>
      <c r="J678" s="252">
        <f>VLOOKUP($E678,'5.1 Budget'!$A$4:$H$729,4,0)</f>
        <v>0</v>
      </c>
      <c r="K678" s="252">
        <f>VLOOKUP($E678,'5.1 Budget'!$A$4:$H$729,5,0)</f>
        <v>0</v>
      </c>
      <c r="L678" s="252">
        <f>VLOOKUP($E678,'5.1 Budget'!$A$4:$H$729,6,0)</f>
        <v>0</v>
      </c>
      <c r="M678" s="252">
        <f>VLOOKUP($E678,'5.1 Budget'!$A$4:$H$729,7,0)</f>
        <v>0</v>
      </c>
      <c r="N678" s="252">
        <f>VLOOKUP($E678,'5.1 Budget'!$A$4:$H$729,8,0)</f>
        <v>0</v>
      </c>
      <c r="V678" t="str">
        <f>VLOOKUP(D678,'[4]1. Mesures'!$A$1:$B$116,2,0)</f>
        <v>Adapter le cadre juridico-technique relatif aux systèmes géothermiques</v>
      </c>
      <c r="W678" t="str">
        <f>VLOOKUP(B678,[1]HIERARCH!$A$1:$B$57,2,0)</f>
        <v>Promouvoir la production d'énergie renouvelable à partir de l'eau</v>
      </c>
      <c r="X678" t="str">
        <f>VLOOKUP(C678,[1]HIERARCH!$A$2:$B$57,2,0)</f>
        <v>Encadrer et promouvoir la géothermie pour le chauffage et le refroidissement des bâtiments bruxellois (/du bâti ou parc immobilier bruxellois)</v>
      </c>
      <c r="Y678" t="str">
        <f t="shared" si="36"/>
        <v>Adoption d’un arrêté déterminant des conditions-types pour les systèmes géothermiques fermés…</v>
      </c>
    </row>
    <row r="679" spans="1:25" hidden="1" x14ac:dyDescent="0.25">
      <c r="A679" s="249" t="str">
        <f t="shared" si="37"/>
        <v>7</v>
      </c>
      <c r="B679" s="249" t="str">
        <f>VLOOKUP($D679,'[4]1. Mesures'!$A$2:$G$116,6,0)</f>
        <v>OS 7.3</v>
      </c>
      <c r="C679" s="249" t="str">
        <f>VLOOKUP($D679,'[4]1. Mesures'!$A$2:$G$116,7,0)</f>
        <v>OO 7.3.1</v>
      </c>
      <c r="D679" s="249" t="str">
        <f>"M"&amp;" "&amp;LEFT(E679,4)</f>
        <v>M 7.10</v>
      </c>
      <c r="E679" s="250" t="s">
        <v>1212</v>
      </c>
      <c r="F679" s="249" t="str">
        <f>VLOOKUP(E679,'5.2 Actions'!$A$3:$B$720,2,0)</f>
        <v>Recensement des installations géothermiques en Région de Bruxelles-Capitale</v>
      </c>
      <c r="G679" s="251">
        <f>VLOOKUP(E679,'[4]5.2 Actions'!$A$3:$D$718,4,0)</f>
        <v>0</v>
      </c>
      <c r="H679" s="252">
        <f>VLOOKUP($E679,'5.1 Budget'!$A$4:$H$729,2,0)</f>
        <v>0</v>
      </c>
      <c r="I679" s="252">
        <f>VLOOKUP($E679,'5.1 Budget'!$A$4:$H$729,3,0)</f>
        <v>0</v>
      </c>
      <c r="J679" s="252">
        <f>VLOOKUP($E679,'5.1 Budget'!$A$4:$H$729,4,0)</f>
        <v>0</v>
      </c>
      <c r="K679" s="252">
        <f>VLOOKUP($E679,'5.1 Budget'!$A$4:$H$729,5,0)</f>
        <v>0</v>
      </c>
      <c r="L679" s="252">
        <f>VLOOKUP($E679,'5.1 Budget'!$A$4:$H$729,6,0)</f>
        <v>0</v>
      </c>
      <c r="M679" s="252">
        <f>VLOOKUP($E679,'5.1 Budget'!$A$4:$H$729,7,0)</f>
        <v>0</v>
      </c>
      <c r="N679" s="252">
        <f>VLOOKUP($E679,'5.1 Budget'!$A$4:$H$729,8,0)</f>
        <v>0</v>
      </c>
      <c r="V679" t="str">
        <f>VLOOKUP(D679,'[4]1. Mesures'!$A$1:$B$116,2,0)</f>
        <v xml:space="preserve"> Régulariser l'ensemble des installations géothermiques soumises à permis d'environnement et les cartographier au sein d'un cadastre</v>
      </c>
      <c r="W679" t="str">
        <f>VLOOKUP(B679,[1]HIERARCH!$A$1:$B$57,2,0)</f>
        <v>Promouvoir la production d'énergie renouvelable à partir de l'eau</v>
      </c>
      <c r="X679" t="str">
        <f>VLOOKUP(C679,[1]HIERARCH!$A$2:$B$57,2,0)</f>
        <v>Encadrer et promouvoir la géothermie pour le chauffage et le refroidissement des bâtiments bruxellois (/du bâti ou parc immobilier bruxellois)</v>
      </c>
      <c r="Y679" t="str">
        <f t="shared" si="36"/>
        <v>Recensement des installations géothermiques en Région de Bruxelles-Capitale…</v>
      </c>
    </row>
    <row r="680" spans="1:25" hidden="1" x14ac:dyDescent="0.25">
      <c r="A680" s="249" t="str">
        <f t="shared" si="37"/>
        <v>7</v>
      </c>
      <c r="B680" s="249" t="str">
        <f>VLOOKUP($D680,'[4]1. Mesures'!$A$2:$G$116,6,0)</f>
        <v>OS 7.3</v>
      </c>
      <c r="C680" s="249" t="str">
        <f>VLOOKUP($D680,'[4]1. Mesures'!$A$2:$G$116,7,0)</f>
        <v>OO 7.3.1</v>
      </c>
      <c r="D680" s="249" t="str">
        <f t="shared" ref="D680:D687" si="38">"M"&amp;" "&amp;LEFT(E680,4)</f>
        <v>M 7.10</v>
      </c>
      <c r="E680" s="250" t="s">
        <v>1213</v>
      </c>
      <c r="F680" s="249" t="str">
        <f>VLOOKUP(E680,'5.2 Actions'!$A$3:$B$720,2,0)</f>
        <v>Régularisation des installations mises en service avant le 1er avril 2019 et n’ayant pas rempli une déclaration environnementale ne disposant pas d’un permis d’environnement pour exploiter</v>
      </c>
      <c r="G680" s="251">
        <f>VLOOKUP(E680,'[4]5.2 Actions'!$A$3:$D$718,4,0)</f>
        <v>0</v>
      </c>
      <c r="H680" s="252">
        <f>VLOOKUP($E680,'5.1 Budget'!$A$4:$H$729,2,0)</f>
        <v>0</v>
      </c>
      <c r="I680" s="252">
        <f>VLOOKUP($E680,'5.1 Budget'!$A$4:$H$729,3,0)</f>
        <v>0</v>
      </c>
      <c r="J680" s="252">
        <f>VLOOKUP($E680,'5.1 Budget'!$A$4:$H$729,4,0)</f>
        <v>0</v>
      </c>
      <c r="K680" s="252">
        <f>VLOOKUP($E680,'5.1 Budget'!$A$4:$H$729,5,0)</f>
        <v>0</v>
      </c>
      <c r="L680" s="252">
        <f>VLOOKUP($E680,'5.1 Budget'!$A$4:$H$729,6,0)</f>
        <v>0</v>
      </c>
      <c r="M680" s="252">
        <f>VLOOKUP($E680,'5.1 Budget'!$A$4:$H$729,7,0)</f>
        <v>0</v>
      </c>
      <c r="N680" s="252">
        <f>VLOOKUP($E680,'5.1 Budget'!$A$4:$H$729,8,0)</f>
        <v>0</v>
      </c>
      <c r="V680" t="str">
        <f>VLOOKUP(D680,'[4]1. Mesures'!$A$1:$B$116,2,0)</f>
        <v xml:space="preserve"> Régulariser l'ensemble des installations géothermiques soumises à permis d'environnement et les cartographier au sein d'un cadastre</v>
      </c>
      <c r="W680" t="str">
        <f>VLOOKUP(B680,[1]HIERARCH!$A$1:$B$57,2,0)</f>
        <v>Promouvoir la production d'énergie renouvelable à partir de l'eau</v>
      </c>
      <c r="X680" t="str">
        <f>VLOOKUP(C680,[1]HIERARCH!$A$2:$B$57,2,0)</f>
        <v>Encadrer et promouvoir la géothermie pour le chauffage et le refroidissement des bâtiments bruxellois (/du bâti ou parc immobilier bruxellois)</v>
      </c>
      <c r="Y680" t="str">
        <f t="shared" si="36"/>
        <v>Régularisation des installations mises en service avant le 1er avril 2019 et n’ayant pas rempli une déclaration environn…</v>
      </c>
    </row>
    <row r="681" spans="1:25" hidden="1" x14ac:dyDescent="0.25">
      <c r="A681" s="249" t="str">
        <f t="shared" si="37"/>
        <v>7</v>
      </c>
      <c r="B681" s="249" t="str">
        <f>VLOOKUP($D681,'[4]1. Mesures'!$A$2:$G$116,6,0)</f>
        <v>OS 7.3</v>
      </c>
      <c r="C681" s="249" t="str">
        <f>VLOOKUP($D681,'[4]1. Mesures'!$A$2:$G$116,7,0)</f>
        <v>OO 7.3.1</v>
      </c>
      <c r="D681" s="249" t="str">
        <f t="shared" si="38"/>
        <v>M 7.10</v>
      </c>
      <c r="E681" s="250" t="s">
        <v>1214</v>
      </c>
      <c r="F681" s="249" t="str">
        <f>VLOOKUP(E681,'5.2 Actions'!$A$3:$B$720,2,0)</f>
        <v>Mise à jour continue du cadastre des installations géothermiques</v>
      </c>
      <c r="G681" s="251">
        <f>VLOOKUP(E681,'[4]5.2 Actions'!$A$3:$D$718,4,0)</f>
        <v>0</v>
      </c>
      <c r="H681" s="252">
        <f>VLOOKUP($E681,'5.1 Budget'!$A$4:$H$729,2,0)</f>
        <v>0</v>
      </c>
      <c r="I681" s="252">
        <f>VLOOKUP($E681,'5.1 Budget'!$A$4:$H$729,3,0)</f>
        <v>0</v>
      </c>
      <c r="J681" s="252">
        <f>VLOOKUP($E681,'5.1 Budget'!$A$4:$H$729,4,0)</f>
        <v>0</v>
      </c>
      <c r="K681" s="252">
        <f>VLOOKUP($E681,'5.1 Budget'!$A$4:$H$729,5,0)</f>
        <v>0</v>
      </c>
      <c r="L681" s="252">
        <f>VLOOKUP($E681,'5.1 Budget'!$A$4:$H$729,6,0)</f>
        <v>0</v>
      </c>
      <c r="M681" s="252">
        <f>VLOOKUP($E681,'5.1 Budget'!$A$4:$H$729,7,0)</f>
        <v>0</v>
      </c>
      <c r="N681" s="252">
        <f>VLOOKUP($E681,'5.1 Budget'!$A$4:$H$729,8,0)</f>
        <v>0</v>
      </c>
      <c r="V681" t="str">
        <f>VLOOKUP(D681,'[4]1. Mesures'!$A$1:$B$116,2,0)</f>
        <v xml:space="preserve"> Régulariser l'ensemble des installations géothermiques soumises à permis d'environnement et les cartographier au sein d'un cadastre</v>
      </c>
      <c r="W681" t="str">
        <f>VLOOKUP(B681,[1]HIERARCH!$A$1:$B$57,2,0)</f>
        <v>Promouvoir la production d'énergie renouvelable à partir de l'eau</v>
      </c>
      <c r="X681" t="str">
        <f>VLOOKUP(C681,[1]HIERARCH!$A$2:$B$57,2,0)</f>
        <v>Encadrer et promouvoir la géothermie pour le chauffage et le refroidissement des bâtiments bruxellois (/du bâti ou parc immobilier bruxellois)</v>
      </c>
      <c r="Y681" t="str">
        <f t="shared" si="36"/>
        <v>Mise à jour continue du cadastre des installations géothermiques…</v>
      </c>
    </row>
    <row r="682" spans="1:25" hidden="1" x14ac:dyDescent="0.25">
      <c r="A682" s="249" t="str">
        <f t="shared" si="37"/>
        <v>7</v>
      </c>
      <c r="B682" s="249" t="str">
        <f>VLOOKUP($D682,'[4]1. Mesures'!$A$2:$G$116,6,0)</f>
        <v>OS 7.3</v>
      </c>
      <c r="C682" s="249" t="str">
        <f>VLOOKUP($D682,'[4]1. Mesures'!$A$2:$G$116,7,0)</f>
        <v>OO 7.3.1</v>
      </c>
      <c r="D682" s="249" t="str">
        <f t="shared" si="38"/>
        <v>M 7.11</v>
      </c>
      <c r="E682" s="250" t="s">
        <v>1215</v>
      </c>
      <c r="F682" s="249" t="str">
        <f>VLOOKUP(E682,'5.2 Actions'!$A$3:$B$720,2,0)</f>
        <v>Procéder aux upgrades de BrugeoTool (v2+) – fonctionnalité « analyse géothermique »</v>
      </c>
      <c r="G682" s="251">
        <f>VLOOKUP(E682,'[4]5.2 Actions'!$A$3:$D$718,4,0)</f>
        <v>0</v>
      </c>
      <c r="H682" s="252">
        <f>VLOOKUP($E682,'5.1 Budget'!$A$4:$H$729,2,0)</f>
        <v>0</v>
      </c>
      <c r="I682" s="252">
        <f>VLOOKUP($E682,'5.1 Budget'!$A$4:$H$729,3,0)</f>
        <v>0</v>
      </c>
      <c r="J682" s="252">
        <f>VLOOKUP($E682,'5.1 Budget'!$A$4:$H$729,4,0)</f>
        <v>0</v>
      </c>
      <c r="K682" s="252">
        <f>VLOOKUP($E682,'5.1 Budget'!$A$4:$H$729,5,0)</f>
        <v>0</v>
      </c>
      <c r="L682" s="252">
        <f>VLOOKUP($E682,'5.1 Budget'!$A$4:$H$729,6,0)</f>
        <v>0</v>
      </c>
      <c r="M682" s="252">
        <f>VLOOKUP($E682,'5.1 Budget'!$A$4:$H$729,7,0)</f>
        <v>0</v>
      </c>
      <c r="N682" s="252">
        <f>VLOOKUP($E682,'5.1 Budget'!$A$4:$H$729,8,0)</f>
        <v>0</v>
      </c>
      <c r="V682" t="str">
        <f>VLOOKUP(D682,'[4]1. Mesures'!$A$1:$B$116,2,0)</f>
        <v>Informer les maitres d'ouvrage et maitres d'œuvre sur le potentiel géothermique et développer des outils numériques d'aide à l'analyse de faisabilité et au pré-dimensionnement d’installations géothermiques..</v>
      </c>
      <c r="W682" t="str">
        <f>VLOOKUP(B682,[1]HIERARCH!$A$1:$B$57,2,0)</f>
        <v>Promouvoir la production d'énergie renouvelable à partir de l'eau</v>
      </c>
      <c r="X682" t="str">
        <f>VLOOKUP(C682,[1]HIERARCH!$A$2:$B$57,2,0)</f>
        <v>Encadrer et promouvoir la géothermie pour le chauffage et le refroidissement des bâtiments bruxellois (/du bâti ou parc immobilier bruxellois)</v>
      </c>
      <c r="Y682" t="str">
        <f t="shared" si="36"/>
        <v>Procéder aux upgrades de BrugeoTool (v2+) – fonctionnalité « analyse géothermique »…</v>
      </c>
    </row>
    <row r="683" spans="1:25" hidden="1" x14ac:dyDescent="0.25">
      <c r="A683" s="249" t="str">
        <f t="shared" si="37"/>
        <v>7</v>
      </c>
      <c r="B683" s="249" t="str">
        <f>VLOOKUP($D683,'[4]1. Mesures'!$A$2:$G$116,6,0)</f>
        <v>OS 7.3</v>
      </c>
      <c r="C683" s="249" t="str">
        <f>VLOOKUP($D683,'[4]1. Mesures'!$A$2:$G$116,7,0)</f>
        <v>OO 7.3.1</v>
      </c>
      <c r="D683" s="249" t="str">
        <f t="shared" si="38"/>
        <v>M 7.11</v>
      </c>
      <c r="E683" s="250" t="s">
        <v>1216</v>
      </c>
      <c r="F683" s="249" t="str">
        <f>VLOOKUP(E683,'5.2 Actions'!$A$3:$B$720,2,0)</f>
        <v>Pérenniser le réseau institutionnel et académique bruxellois constitué d’experts en géothermie</v>
      </c>
      <c r="G683" s="251">
        <f>VLOOKUP(E683,'[4]5.2 Actions'!$A$3:$D$718,4,0)</f>
        <v>0</v>
      </c>
      <c r="H683" s="252">
        <f>VLOOKUP($E683,'5.1 Budget'!$A$4:$H$729,2,0)</f>
        <v>0</v>
      </c>
      <c r="I683" s="252">
        <f>VLOOKUP($E683,'5.1 Budget'!$A$4:$H$729,3,0)</f>
        <v>0</v>
      </c>
      <c r="J683" s="252">
        <f>VLOOKUP($E683,'5.1 Budget'!$A$4:$H$729,4,0)</f>
        <v>0</v>
      </c>
      <c r="K683" s="252">
        <f>VLOOKUP($E683,'5.1 Budget'!$A$4:$H$729,5,0)</f>
        <v>0</v>
      </c>
      <c r="L683" s="252">
        <f>VLOOKUP($E683,'5.1 Budget'!$A$4:$H$729,6,0)</f>
        <v>0</v>
      </c>
      <c r="M683" s="252">
        <f>VLOOKUP($E683,'5.1 Budget'!$A$4:$H$729,7,0)</f>
        <v>0</v>
      </c>
      <c r="N683" s="252">
        <f>VLOOKUP($E683,'5.1 Budget'!$A$4:$H$729,8,0)</f>
        <v>0</v>
      </c>
      <c r="V683" t="str">
        <f>VLOOKUP(D683,'[4]1. Mesures'!$A$1:$B$116,2,0)</f>
        <v>Informer les maitres d'ouvrage et maitres d'œuvre sur le potentiel géothermique et développer des outils numériques d'aide à l'analyse de faisabilité et au pré-dimensionnement d’installations géothermiques..</v>
      </c>
      <c r="W683" t="str">
        <f>VLOOKUP(B683,[1]HIERARCH!$A$1:$B$57,2,0)</f>
        <v>Promouvoir la production d'énergie renouvelable à partir de l'eau</v>
      </c>
      <c r="X683" t="str">
        <f>VLOOKUP(C683,[1]HIERARCH!$A$2:$B$57,2,0)</f>
        <v>Encadrer et promouvoir la géothermie pour le chauffage et le refroidissement des bâtiments bruxellois (/du bâti ou parc immobilier bruxellois)</v>
      </c>
      <c r="Y683" t="str">
        <f t="shared" si="36"/>
        <v>Pérenniser le réseau institutionnel et académique bruxellois constitué d’experts en géothermie…</v>
      </c>
    </row>
    <row r="684" spans="1:25" hidden="1" x14ac:dyDescent="0.25">
      <c r="A684" s="249" t="str">
        <f t="shared" si="37"/>
        <v>7</v>
      </c>
      <c r="B684" s="249" t="str">
        <f>VLOOKUP($D684,'[4]1. Mesures'!$A$2:$G$116,6,0)</f>
        <v>OS 7.3</v>
      </c>
      <c r="C684" s="249" t="str">
        <f>VLOOKUP($D684,'[4]1. Mesures'!$A$2:$G$116,7,0)</f>
        <v>OO 7.3.1</v>
      </c>
      <c r="D684" s="249" t="str">
        <f t="shared" si="38"/>
        <v>M 7.11</v>
      </c>
      <c r="E684" s="250" t="s">
        <v>1217</v>
      </c>
      <c r="F684" s="249" t="str">
        <f>VLOOKUP(E684,'5.2 Actions'!$A$3:$B$720,2,0)</f>
        <v>Réaliser des missions de facilitation et de formations sur le thème de la géothermie</v>
      </c>
      <c r="G684" s="251">
        <f>VLOOKUP(E684,'[4]5.2 Actions'!$A$3:$D$718,4,0)</f>
        <v>0</v>
      </c>
      <c r="H684" s="252">
        <f>VLOOKUP($E684,'5.1 Budget'!$A$4:$H$729,2,0)</f>
        <v>0</v>
      </c>
      <c r="I684" s="252">
        <f>VLOOKUP($E684,'5.1 Budget'!$A$4:$H$729,3,0)</f>
        <v>0</v>
      </c>
      <c r="J684" s="252">
        <f>VLOOKUP($E684,'5.1 Budget'!$A$4:$H$729,4,0)</f>
        <v>0</v>
      </c>
      <c r="K684" s="252">
        <f>VLOOKUP($E684,'5.1 Budget'!$A$4:$H$729,5,0)</f>
        <v>0</v>
      </c>
      <c r="L684" s="252">
        <f>VLOOKUP($E684,'5.1 Budget'!$A$4:$H$729,6,0)</f>
        <v>0</v>
      </c>
      <c r="M684" s="252">
        <f>VLOOKUP($E684,'5.1 Budget'!$A$4:$H$729,7,0)</f>
        <v>0</v>
      </c>
      <c r="N684" s="252">
        <f>VLOOKUP($E684,'5.1 Budget'!$A$4:$H$729,8,0)</f>
        <v>0</v>
      </c>
      <c r="V684" t="str">
        <f>VLOOKUP(D684,'[4]1. Mesures'!$A$1:$B$116,2,0)</f>
        <v>Informer les maitres d'ouvrage et maitres d'œuvre sur le potentiel géothermique et développer des outils numériques d'aide à l'analyse de faisabilité et au pré-dimensionnement d’installations géothermiques..</v>
      </c>
      <c r="W684" t="str">
        <f>VLOOKUP(B684,[1]HIERARCH!$A$1:$B$57,2,0)</f>
        <v>Promouvoir la production d'énergie renouvelable à partir de l'eau</v>
      </c>
      <c r="X684" t="str">
        <f>VLOOKUP(C684,[1]HIERARCH!$A$2:$B$57,2,0)</f>
        <v>Encadrer et promouvoir la géothermie pour le chauffage et le refroidissement des bâtiments bruxellois (/du bâti ou parc immobilier bruxellois)</v>
      </c>
      <c r="Y684" t="str">
        <f t="shared" si="36"/>
        <v>Réaliser des missions de facilitation et de formations sur le thème de la géothermie…</v>
      </c>
    </row>
    <row r="685" spans="1:25" hidden="1" x14ac:dyDescent="0.25">
      <c r="A685" s="249" t="str">
        <f t="shared" si="37"/>
        <v>7</v>
      </c>
      <c r="B685" s="249" t="str">
        <f>VLOOKUP($D685,'[4]1. Mesures'!$A$2:$G$116,6,0)</f>
        <v>OS 7.3</v>
      </c>
      <c r="C685" s="249" t="str">
        <f>VLOOKUP($D685,'[4]1. Mesures'!$A$2:$G$116,7,0)</f>
        <v>OO 7.3.2</v>
      </c>
      <c r="D685" s="249" t="str">
        <f t="shared" si="38"/>
        <v>M 7.12</v>
      </c>
      <c r="E685" s="250" t="s">
        <v>1218</v>
      </c>
      <c r="F685" s="249" t="str">
        <f>VLOOKUP(E685,'5.2 Actions'!$A$3:$B$720,2,0)</f>
        <v>Assurer un monitoring du premier projet à Uccle afin de pouvoir évaluer les performances du système</v>
      </c>
      <c r="G685" s="251">
        <f>VLOOKUP(E685,'[4]5.2 Actions'!$A$3:$D$718,4,0)</f>
        <v>0</v>
      </c>
      <c r="H685" s="252">
        <f>VLOOKUP($E685,'5.1 Budget'!$A$4:$H$729,2,0)</f>
        <v>20000</v>
      </c>
      <c r="I685" s="252">
        <f>VLOOKUP($E685,'5.1 Budget'!$A$4:$H$729,3,0)</f>
        <v>5000</v>
      </c>
      <c r="J685" s="252">
        <f>VLOOKUP($E685,'5.1 Budget'!$A$4:$H$729,4,0)</f>
        <v>5000</v>
      </c>
      <c r="K685" s="252">
        <f>VLOOKUP($E685,'5.1 Budget'!$A$4:$H$729,5,0)</f>
        <v>0</v>
      </c>
      <c r="L685" s="252">
        <f>VLOOKUP($E685,'5.1 Budget'!$A$4:$H$729,6,0)</f>
        <v>0</v>
      </c>
      <c r="M685" s="252">
        <f>VLOOKUP($E685,'5.1 Budget'!$A$4:$H$729,7,0)</f>
        <v>0</v>
      </c>
      <c r="N685" s="252">
        <f>VLOOKUP($E685,'5.1 Budget'!$A$4:$H$729,8,0)</f>
        <v>30000</v>
      </c>
      <c r="V685" t="str">
        <f>VLOOKUP(D685,'[4]1. Mesures'!$A$1:$B$116,2,0)</f>
        <v xml:space="preserve">Analyser la reproductibilité des projets pilotes mis en place visant à récupérer la chaleur à partir des eaux usées transitant dans le réseau d’égouttage </v>
      </c>
      <c r="W685" t="str">
        <f>VLOOKUP(B685,[1]HIERARCH!$A$1:$B$57,2,0)</f>
        <v>Promouvoir la production d'énergie renouvelable à partir de l'eau</v>
      </c>
      <c r="X685" t="str">
        <f>VLOOKUP(C685,[1]HIERARCH!$A$2:$B$57,2,0)</f>
        <v>Promouvoir la récupération des calories présentes dans les eaux usées</v>
      </c>
      <c r="Y685" t="str">
        <f t="shared" si="36"/>
        <v>Assurer un monitoring du premier projet à Uccle afin de pouvoir évaluer les performances du système…</v>
      </c>
    </row>
    <row r="686" spans="1:25" hidden="1" x14ac:dyDescent="0.25">
      <c r="A686" s="249" t="str">
        <f t="shared" si="37"/>
        <v>7</v>
      </c>
      <c r="B686" s="249" t="str">
        <f>VLOOKUP($D686,'[4]1. Mesures'!$A$2:$G$116,6,0)</f>
        <v>OS 7.3</v>
      </c>
      <c r="C686" s="249" t="str">
        <f>VLOOKUP($D686,'[4]1. Mesures'!$A$2:$G$116,7,0)</f>
        <v>OO 7.3.2</v>
      </c>
      <c r="D686" s="249" t="str">
        <f t="shared" si="38"/>
        <v>M 7.12</v>
      </c>
      <c r="E686" s="250" t="s">
        <v>1219</v>
      </c>
      <c r="F686" s="249" t="str">
        <f>VLOOKUP(E686,'5.2 Actions'!$A$3:$B$720,2,0)</f>
        <v>Mise en œuvre d’un dispositif de riothermie pour le futur centre administratif de Bruxelles-Ville et assurer un monitoring de ce projet afin de pouvoir évaluer les performances du système</v>
      </c>
      <c r="G686" s="251">
        <f>VLOOKUP(E686,'[4]5.2 Actions'!$A$3:$D$718,4,0)</f>
        <v>0</v>
      </c>
      <c r="H686" s="252">
        <f>VLOOKUP($E686,'5.1 Budget'!$A$4:$H$729,2,0)</f>
        <v>20000</v>
      </c>
      <c r="I686" s="252">
        <f>VLOOKUP($E686,'5.1 Budget'!$A$4:$H$729,3,0)</f>
        <v>10000</v>
      </c>
      <c r="J686" s="252">
        <f>VLOOKUP($E686,'5.1 Budget'!$A$4:$H$729,4,0)</f>
        <v>5000</v>
      </c>
      <c r="K686" s="252">
        <f>VLOOKUP($E686,'5.1 Budget'!$A$4:$H$729,5,0)</f>
        <v>5000</v>
      </c>
      <c r="L686" s="252">
        <f>VLOOKUP($E686,'5.1 Budget'!$A$4:$H$729,6,0)</f>
        <v>0</v>
      </c>
      <c r="M686" s="252">
        <f>VLOOKUP($E686,'5.1 Budget'!$A$4:$H$729,7,0)</f>
        <v>0</v>
      </c>
      <c r="N686" s="252">
        <f>VLOOKUP($E686,'5.1 Budget'!$A$4:$H$729,8,0)</f>
        <v>40000</v>
      </c>
      <c r="V686" t="str">
        <f>VLOOKUP(D686,'[4]1. Mesures'!$A$1:$B$116,2,0)</f>
        <v xml:space="preserve">Analyser la reproductibilité des projets pilotes mis en place visant à récupérer la chaleur à partir des eaux usées transitant dans le réseau d’égouttage </v>
      </c>
      <c r="W686" t="str">
        <f>VLOOKUP(B686,[1]HIERARCH!$A$1:$B$57,2,0)</f>
        <v>Promouvoir la production d'énergie renouvelable à partir de l'eau</v>
      </c>
      <c r="X686" t="str">
        <f>VLOOKUP(C686,[1]HIERARCH!$A$2:$B$57,2,0)</f>
        <v>Promouvoir la récupération des calories présentes dans les eaux usées</v>
      </c>
      <c r="Y686" t="str">
        <f t="shared" si="36"/>
        <v>Mise en œuvre d’un dispositif de riothermie pour le futur centre administratif de Bruxelles-Ville et assurer un monitori…</v>
      </c>
    </row>
    <row r="687" spans="1:25" hidden="1" x14ac:dyDescent="0.25">
      <c r="A687" s="249" t="str">
        <f t="shared" si="37"/>
        <v>7</v>
      </c>
      <c r="B687" s="249" t="str">
        <f>VLOOKUP($D687,'[4]1. Mesures'!$A$2:$G$116,6,0)</f>
        <v>OS 7.3</v>
      </c>
      <c r="C687" s="249" t="str">
        <f>VLOOKUP($D687,'[4]1. Mesures'!$A$2:$G$116,7,0)</f>
        <v>OO 7.3.2</v>
      </c>
      <c r="D687" s="249" t="str">
        <f t="shared" si="38"/>
        <v>M 7.12</v>
      </c>
      <c r="E687" s="250" t="s">
        <v>1220</v>
      </c>
      <c r="F687" s="249" t="str">
        <f>VLOOKUP(E687,'5.2 Actions'!$A$3:$B$720,2,0)</f>
        <v>Assurer une veille technologique et collaborer avec les bureaux d’études et maitres d’ouvrage intéressés afin de développer différents projets et déterminer les avantages et limites de cette technique</v>
      </c>
      <c r="G687" s="251">
        <f>VLOOKUP(E687,'[4]5.2 Actions'!$A$3:$D$718,4,0)</f>
        <v>0</v>
      </c>
      <c r="H687" s="252">
        <f>VLOOKUP($E687,'5.1 Budget'!$A$4:$H$729,2,0)</f>
        <v>5000</v>
      </c>
      <c r="I687" s="252">
        <f>VLOOKUP($E687,'5.1 Budget'!$A$4:$H$729,3,0)</f>
        <v>10000</v>
      </c>
      <c r="J687" s="252">
        <f>VLOOKUP($E687,'5.1 Budget'!$A$4:$H$729,4,0)</f>
        <v>10000</v>
      </c>
      <c r="K687" s="252">
        <f>VLOOKUP($E687,'5.1 Budget'!$A$4:$H$729,5,0)</f>
        <v>10000</v>
      </c>
      <c r="L687" s="252">
        <f>VLOOKUP($E687,'5.1 Budget'!$A$4:$H$729,6,0)</f>
        <v>10000</v>
      </c>
      <c r="M687" s="252">
        <f>VLOOKUP($E687,'5.1 Budget'!$A$4:$H$729,7,0)</f>
        <v>10000</v>
      </c>
      <c r="N687" s="252">
        <f>VLOOKUP($E687,'5.1 Budget'!$A$4:$H$729,8,0)</f>
        <v>55000</v>
      </c>
      <c r="V687" t="str">
        <f>VLOOKUP(D687,'[4]1. Mesures'!$A$1:$B$116,2,0)</f>
        <v xml:space="preserve">Analyser la reproductibilité des projets pilotes mis en place visant à récupérer la chaleur à partir des eaux usées transitant dans le réseau d’égouttage </v>
      </c>
      <c r="W687" t="str">
        <f>VLOOKUP(B687,[1]HIERARCH!$A$1:$B$57,2,0)</f>
        <v>Promouvoir la production d'énergie renouvelable à partir de l'eau</v>
      </c>
      <c r="X687" t="str">
        <f>VLOOKUP(C687,[1]HIERARCH!$A$2:$B$57,2,0)</f>
        <v>Promouvoir la récupération des calories présentes dans les eaux usées</v>
      </c>
      <c r="Y687" t="str">
        <f t="shared" si="36"/>
        <v>Assurer une veille technologique et collaborer avec les bureaux d’études et maitres d’ouvrage intéressés afin de dévelop…</v>
      </c>
    </row>
    <row r="688" spans="1:25" hidden="1" x14ac:dyDescent="0.25">
      <c r="A688" s="249" t="str">
        <f t="shared" si="37"/>
        <v>8</v>
      </c>
      <c r="B688" s="249" t="str">
        <f>VLOOKUP($D688,'[4]1. Mesures'!$A$2:$G$116,6,0)</f>
        <v>OS 8.1</v>
      </c>
      <c r="C688" s="249" t="str">
        <f>VLOOKUP($D688,'[4]1. Mesures'!$A$2:$G$116,7,0)</f>
        <v>-</v>
      </c>
      <c r="D688" s="249" t="str">
        <f t="shared" si="35"/>
        <v>M 8.1</v>
      </c>
      <c r="E688" s="250" t="s">
        <v>1259</v>
      </c>
      <c r="F688" s="249" t="str">
        <f>VLOOKUP(E688,'5.2 Actions'!$A$3:$B$720,2,0)</f>
        <v xml:space="preserve">Rédaction coordonnée et concertée du plan faîtier </v>
      </c>
      <c r="G688" s="251">
        <f>VLOOKUP(E688,'[4]5.2 Actions'!$A$3:$D$718,4,0)</f>
        <v>0</v>
      </c>
      <c r="H688" s="252">
        <f>VLOOKUP($E688,'5.1 Budget'!$A$4:$H$729,2,0)</f>
        <v>0</v>
      </c>
      <c r="I688" s="252">
        <f>VLOOKUP($E688,'5.1 Budget'!$A$4:$H$729,3,0)</f>
        <v>0</v>
      </c>
      <c r="J688" s="252">
        <f>VLOOKUP($E688,'5.1 Budget'!$A$4:$H$729,4,0)</f>
        <v>0</v>
      </c>
      <c r="K688" s="252">
        <f>VLOOKUP($E688,'5.1 Budget'!$A$4:$H$729,5,0)</f>
        <v>0</v>
      </c>
      <c r="L688" s="252">
        <f>VLOOKUP($E688,'5.1 Budget'!$A$4:$H$729,6,0)</f>
        <v>0</v>
      </c>
      <c r="M688" s="252">
        <f>VLOOKUP($E688,'5.1 Budget'!$A$4:$H$729,7,0)</f>
        <v>0</v>
      </c>
      <c r="N688" s="252">
        <f>VLOOKUP($E688,'5.1 Budget'!$A$4:$H$729,8,0)</f>
        <v>0</v>
      </c>
      <c r="V688" t="str">
        <f>VLOOKUP(D688,'[4]1. Mesures'!$A$1:$B$116,2,0)</f>
        <v>Assurer et renforcer la coordination internationale au niveau du district hydrographique international de l'Escaut</v>
      </c>
      <c r="W688" t="str">
        <f>VLOOKUP(B688,[1]HIERARCH!$A$1:$B$57,2,0)</f>
        <v>Assurer une mise en œuvre coordonnée de la politique de l’eau</v>
      </c>
      <c r="X688" t="e">
        <f>VLOOKUP(C688,[1]HIERARCH!$A$2:$B$57,2,0)</f>
        <v>#N/A</v>
      </c>
      <c r="Y688" t="str">
        <f t="shared" si="36"/>
        <v>Rédaction coordonnée et concertée du plan faîtier …</v>
      </c>
    </row>
    <row r="689" spans="1:25" hidden="1" x14ac:dyDescent="0.25">
      <c r="A689" s="249" t="str">
        <f t="shared" si="37"/>
        <v>8</v>
      </c>
      <c r="B689" s="249" t="str">
        <f>VLOOKUP($D689,'[4]1. Mesures'!$A$2:$G$116,6,0)</f>
        <v>OS 8.1</v>
      </c>
      <c r="C689" s="249" t="str">
        <f>VLOOKUP($D689,'[4]1. Mesures'!$A$2:$G$116,7,0)</f>
        <v>-</v>
      </c>
      <c r="D689" s="249" t="str">
        <f t="shared" si="35"/>
        <v>M 8.1</v>
      </c>
      <c r="E689" s="250" t="s">
        <v>1260</v>
      </c>
      <c r="F689" s="249" t="str">
        <f>VLOOKUP(E689,'5.2 Actions'!$A$3:$B$720,2,0)</f>
        <v>Coordination et partage d’informations entre les Etats membres du DHI de l’Escaut</v>
      </c>
      <c r="G689" s="251">
        <f>VLOOKUP(E689,'[4]5.2 Actions'!$A$3:$D$718,4,0)</f>
        <v>0</v>
      </c>
      <c r="H689" s="252">
        <f>VLOOKUP($E689,'5.1 Budget'!$A$4:$H$729,2,0)</f>
        <v>0</v>
      </c>
      <c r="I689" s="252">
        <f>VLOOKUP($E689,'5.1 Budget'!$A$4:$H$729,3,0)</f>
        <v>0</v>
      </c>
      <c r="J689" s="252">
        <f>VLOOKUP($E689,'5.1 Budget'!$A$4:$H$729,4,0)</f>
        <v>0</v>
      </c>
      <c r="K689" s="252">
        <f>VLOOKUP($E689,'5.1 Budget'!$A$4:$H$729,5,0)</f>
        <v>0</v>
      </c>
      <c r="L689" s="252">
        <f>VLOOKUP($E689,'5.1 Budget'!$A$4:$H$729,6,0)</f>
        <v>0</v>
      </c>
      <c r="M689" s="252">
        <f>VLOOKUP($E689,'5.1 Budget'!$A$4:$H$729,7,0)</f>
        <v>0</v>
      </c>
      <c r="N689" s="252">
        <f>VLOOKUP($E689,'5.1 Budget'!$A$4:$H$729,8,0)</f>
        <v>0</v>
      </c>
      <c r="V689" t="str">
        <f>VLOOKUP(D689,'[4]1. Mesures'!$A$1:$B$116,2,0)</f>
        <v>Assurer et renforcer la coordination internationale au niveau du district hydrographique international de l'Escaut</v>
      </c>
      <c r="W689" t="str">
        <f>VLOOKUP(B689,[1]HIERARCH!$A$1:$B$57,2,0)</f>
        <v>Assurer une mise en œuvre coordonnée de la politique de l’eau</v>
      </c>
      <c r="X689" t="e">
        <f>VLOOKUP(C689,[1]HIERARCH!$A$2:$B$57,2,0)</f>
        <v>#N/A</v>
      </c>
      <c r="Y689" t="str">
        <f t="shared" si="36"/>
        <v>Coordination et partage d’informations entre les Etats membres du DHI de l’Escaut…</v>
      </c>
    </row>
    <row r="690" spans="1:25" hidden="1" x14ac:dyDescent="0.25">
      <c r="A690" s="249" t="str">
        <f t="shared" si="37"/>
        <v>8</v>
      </c>
      <c r="B690" s="249" t="str">
        <f>VLOOKUP($D690,'[4]1. Mesures'!$A$2:$G$116,6,0)</f>
        <v>OS 8.1</v>
      </c>
      <c r="C690" s="249" t="str">
        <f>VLOOKUP($D690,'[4]1. Mesures'!$A$2:$G$116,7,0)</f>
        <v>-</v>
      </c>
      <c r="D690" s="249" t="str">
        <f t="shared" si="35"/>
        <v>M 8.2</v>
      </c>
      <c r="E690" s="250" t="s">
        <v>1261</v>
      </c>
      <c r="F690" s="249" t="str">
        <f>VLOOKUP(E690,'5.2 Actions'!$A$3:$B$720,2,0)</f>
        <v xml:space="preserve">Participer aux réunions CCPIE </v>
      </c>
      <c r="G690" s="251">
        <f>VLOOKUP(E690,'[4]5.2 Actions'!$A$3:$D$718,4,0)</f>
        <v>0</v>
      </c>
      <c r="H690" s="252">
        <f>VLOOKUP($E690,'5.1 Budget'!$A$4:$H$729,2,0)</f>
        <v>0</v>
      </c>
      <c r="I690" s="252">
        <f>VLOOKUP($E690,'5.1 Budget'!$A$4:$H$729,3,0)</f>
        <v>0</v>
      </c>
      <c r="J690" s="252">
        <f>VLOOKUP($E690,'5.1 Budget'!$A$4:$H$729,4,0)</f>
        <v>0</v>
      </c>
      <c r="K690" s="252">
        <f>VLOOKUP($E690,'5.1 Budget'!$A$4:$H$729,5,0)</f>
        <v>0</v>
      </c>
      <c r="L690" s="252">
        <f>VLOOKUP($E690,'5.1 Budget'!$A$4:$H$729,6,0)</f>
        <v>0</v>
      </c>
      <c r="M690" s="252">
        <f>VLOOKUP($E690,'5.1 Budget'!$A$4:$H$729,7,0)</f>
        <v>0</v>
      </c>
      <c r="N690" s="252">
        <f>VLOOKUP($E690,'5.1 Budget'!$A$4:$H$729,8,0)</f>
        <v>0</v>
      </c>
      <c r="V690" t="str">
        <f>VLOOKUP(D690,'[4]1. Mesures'!$A$1:$B$116,2,0)</f>
        <v>Assurer une coordination interrégionale pour la gestion des masses d'eau transrégionales</v>
      </c>
      <c r="W690" t="str">
        <f>VLOOKUP(B690,[1]HIERARCH!$A$1:$B$57,2,0)</f>
        <v>Assurer une mise en œuvre coordonnée de la politique de l’eau</v>
      </c>
      <c r="X690" t="e">
        <f>VLOOKUP(C690,[1]HIERARCH!$A$2:$B$57,2,0)</f>
        <v>#N/A</v>
      </c>
      <c r="Y690" t="str">
        <f t="shared" si="36"/>
        <v>Participer aux réunions CCPIE …</v>
      </c>
    </row>
    <row r="691" spans="1:25" hidden="1" x14ac:dyDescent="0.25">
      <c r="A691" s="249" t="str">
        <f t="shared" si="37"/>
        <v>8</v>
      </c>
      <c r="B691" s="249" t="str">
        <f>VLOOKUP($D691,'[4]1. Mesures'!$A$2:$G$116,6,0)</f>
        <v>OS 8.1</v>
      </c>
      <c r="C691" s="249" t="str">
        <f>VLOOKUP($D691,'[4]1. Mesures'!$A$2:$G$116,7,0)</f>
        <v>-</v>
      </c>
      <c r="D691" s="249" t="str">
        <f t="shared" si="35"/>
        <v>M 8.2</v>
      </c>
      <c r="E691" s="250" t="s">
        <v>1262</v>
      </c>
      <c r="F691" s="249" t="str">
        <f>VLOOKUP(E691,'5.2 Actions'!$A$3:$B$720,2,0)</f>
        <v>Participer à la concertation transfrontière au niveau local (‘GOW’) (+- 1/an)</v>
      </c>
      <c r="G691" s="251">
        <f>VLOOKUP(E691,'[4]5.2 Actions'!$A$3:$D$718,4,0)</f>
        <v>0</v>
      </c>
      <c r="H691" s="252">
        <f>VLOOKUP($E691,'5.1 Budget'!$A$4:$H$729,2,0)</f>
        <v>0</v>
      </c>
      <c r="I691" s="252">
        <f>VLOOKUP($E691,'5.1 Budget'!$A$4:$H$729,3,0)</f>
        <v>0</v>
      </c>
      <c r="J691" s="252">
        <f>VLOOKUP($E691,'5.1 Budget'!$A$4:$H$729,4,0)</f>
        <v>0</v>
      </c>
      <c r="K691" s="252">
        <f>VLOOKUP($E691,'5.1 Budget'!$A$4:$H$729,5,0)</f>
        <v>0</v>
      </c>
      <c r="L691" s="252">
        <f>VLOOKUP($E691,'5.1 Budget'!$A$4:$H$729,6,0)</f>
        <v>0</v>
      </c>
      <c r="M691" s="252">
        <f>VLOOKUP($E691,'5.1 Budget'!$A$4:$H$729,7,0)</f>
        <v>0</v>
      </c>
      <c r="N691" s="252">
        <f>VLOOKUP($E691,'5.1 Budget'!$A$4:$H$729,8,0)</f>
        <v>0</v>
      </c>
      <c r="V691" t="str">
        <f>VLOOKUP(D691,'[4]1. Mesures'!$A$1:$B$116,2,0)</f>
        <v>Assurer une coordination interrégionale pour la gestion des masses d'eau transrégionales</v>
      </c>
      <c r="W691" t="str">
        <f>VLOOKUP(B691,[1]HIERARCH!$A$1:$B$57,2,0)</f>
        <v>Assurer une mise en œuvre coordonnée de la politique de l’eau</v>
      </c>
      <c r="X691" t="e">
        <f>VLOOKUP(C691,[1]HIERARCH!$A$2:$B$57,2,0)</f>
        <v>#N/A</v>
      </c>
      <c r="Y691" t="str">
        <f t="shared" si="36"/>
        <v>Participer à la concertation transfrontière au niveau local (‘GOW’) (+- 1/an)…</v>
      </c>
    </row>
    <row r="692" spans="1:25" hidden="1" x14ac:dyDescent="0.25">
      <c r="A692" s="249" t="str">
        <f t="shared" si="37"/>
        <v>8</v>
      </c>
      <c r="B692" s="249" t="str">
        <f>VLOOKUP($D692,'[4]1. Mesures'!$A$2:$G$116,6,0)</f>
        <v>OS 8.1</v>
      </c>
      <c r="C692" s="249" t="str">
        <f>VLOOKUP($D692,'[4]1. Mesures'!$A$2:$G$116,7,0)</f>
        <v>-</v>
      </c>
      <c r="D692" s="249" t="str">
        <f t="shared" si="35"/>
        <v>M 8.2</v>
      </c>
      <c r="E692" s="250" t="s">
        <v>1263</v>
      </c>
      <c r="F692" s="249" t="str">
        <f>VLOOKUP(E692,'5.2 Actions'!$A$3:$B$720,2,0)</f>
        <v>Mener à terme les actions bruxelloises inscrites dans le projet inter-régional LIFE Belini d’ici fin 2026 </v>
      </c>
      <c r="G692" s="251">
        <f>VLOOKUP(E692,'[4]5.2 Actions'!$A$3:$D$718,4,0)</f>
        <v>0</v>
      </c>
      <c r="H692" s="252">
        <f>VLOOKUP($E692,'5.1 Budget'!$A$4:$H$729,2,0)</f>
        <v>0</v>
      </c>
      <c r="I692" s="252">
        <f>VLOOKUP($E692,'5.1 Budget'!$A$4:$H$729,3,0)</f>
        <v>0</v>
      </c>
      <c r="J692" s="252">
        <f>VLOOKUP($E692,'5.1 Budget'!$A$4:$H$729,4,0)</f>
        <v>0</v>
      </c>
      <c r="K692" s="252">
        <f>VLOOKUP($E692,'5.1 Budget'!$A$4:$H$729,5,0)</f>
        <v>0</v>
      </c>
      <c r="L692" s="252">
        <f>VLOOKUP($E692,'5.1 Budget'!$A$4:$H$729,6,0)</f>
        <v>0</v>
      </c>
      <c r="M692" s="252">
        <f>VLOOKUP($E692,'5.1 Budget'!$A$4:$H$729,7,0)</f>
        <v>0</v>
      </c>
      <c r="N692" s="252">
        <f>VLOOKUP($E692,'5.1 Budget'!$A$4:$H$729,8,0)</f>
        <v>0</v>
      </c>
      <c r="V692" t="str">
        <f>VLOOKUP(D692,'[4]1. Mesures'!$A$1:$B$116,2,0)</f>
        <v>Assurer une coordination interrégionale pour la gestion des masses d'eau transrégionales</v>
      </c>
      <c r="W692" t="str">
        <f>VLOOKUP(B692,[1]HIERARCH!$A$1:$B$57,2,0)</f>
        <v>Assurer une mise en œuvre coordonnée de la politique de l’eau</v>
      </c>
      <c r="X692" t="e">
        <f>VLOOKUP(C692,[1]HIERARCH!$A$2:$B$57,2,0)</f>
        <v>#N/A</v>
      </c>
      <c r="Y692" t="str">
        <f t="shared" si="36"/>
        <v>Mener à terme les actions bruxelloises inscrites dans le projet inter-régional LIFE Belini d’ici fin 2026 …</v>
      </c>
    </row>
    <row r="693" spans="1:25" hidden="1" x14ac:dyDescent="0.25">
      <c r="A693" s="249" t="str">
        <f t="shared" si="37"/>
        <v>8</v>
      </c>
      <c r="B693" s="249" t="str">
        <f>VLOOKUP($D693,'[4]1. Mesures'!$A$2:$G$116,6,0)</f>
        <v>OS 8.1</v>
      </c>
      <c r="C693" s="249" t="str">
        <f>VLOOKUP($D693,'[4]1. Mesures'!$A$2:$G$116,7,0)</f>
        <v>-</v>
      </c>
      <c r="D693" s="249" t="str">
        <f t="shared" si="35"/>
        <v>M 8.2</v>
      </c>
      <c r="E693" s="250" t="s">
        <v>1264</v>
      </c>
      <c r="F693" s="249" t="str">
        <f>VLOOKUP(E693,'5.2 Actions'!$A$3:$B$720,2,0)</f>
        <v>Faciliter l'échange d'informations et en améliorer la transparence</v>
      </c>
      <c r="G693" s="251">
        <f>VLOOKUP(E693,'[4]5.2 Actions'!$A$3:$D$718,4,0)</f>
        <v>0</v>
      </c>
      <c r="H693" s="252">
        <f>VLOOKUP($E693,'5.1 Budget'!$A$4:$H$729,2,0)</f>
        <v>0</v>
      </c>
      <c r="I693" s="252">
        <f>VLOOKUP($E693,'5.1 Budget'!$A$4:$H$729,3,0)</f>
        <v>0</v>
      </c>
      <c r="J693" s="252">
        <f>VLOOKUP($E693,'5.1 Budget'!$A$4:$H$729,4,0)</f>
        <v>0</v>
      </c>
      <c r="K693" s="252">
        <f>VLOOKUP($E693,'5.1 Budget'!$A$4:$H$729,5,0)</f>
        <v>0</v>
      </c>
      <c r="L693" s="252">
        <f>VLOOKUP($E693,'5.1 Budget'!$A$4:$H$729,6,0)</f>
        <v>0</v>
      </c>
      <c r="M693" s="252">
        <f>VLOOKUP($E693,'5.1 Budget'!$A$4:$H$729,7,0)</f>
        <v>0</v>
      </c>
      <c r="N693" s="252">
        <f>VLOOKUP($E693,'5.1 Budget'!$A$4:$H$729,8,0)</f>
        <v>0</v>
      </c>
      <c r="V693" t="str">
        <f>VLOOKUP(D693,'[4]1. Mesures'!$A$1:$B$116,2,0)</f>
        <v>Assurer une coordination interrégionale pour la gestion des masses d'eau transrégionales</v>
      </c>
      <c r="W693" t="str">
        <f>VLOOKUP(B693,[1]HIERARCH!$A$1:$B$57,2,0)</f>
        <v>Assurer une mise en œuvre coordonnée de la politique de l’eau</v>
      </c>
      <c r="X693" t="e">
        <f>VLOOKUP(C693,[1]HIERARCH!$A$2:$B$57,2,0)</f>
        <v>#N/A</v>
      </c>
      <c r="Y693" t="str">
        <f t="shared" si="36"/>
        <v>Faciliter l'échange d'informations et en améliorer la transparence…</v>
      </c>
    </row>
    <row r="694" spans="1:25" hidden="1" x14ac:dyDescent="0.25">
      <c r="A694" s="249" t="str">
        <f t="shared" si="37"/>
        <v>8</v>
      </c>
      <c r="B694" s="249" t="str">
        <f>VLOOKUP($D694,'[4]1. Mesures'!$A$2:$G$116,6,0)</f>
        <v>OS 8.1</v>
      </c>
      <c r="C694" s="249" t="str">
        <f>VLOOKUP($D694,'[4]1. Mesures'!$A$2:$G$116,7,0)</f>
        <v>-</v>
      </c>
      <c r="D694" s="249" t="str">
        <f t="shared" si="35"/>
        <v>M 8.2</v>
      </c>
      <c r="E694" s="250" t="s">
        <v>1265</v>
      </c>
      <c r="F694" s="249" t="str">
        <f>VLOOKUP(E694,'5.2 Actions'!$A$3:$B$720,2,0)</f>
        <v>Poursuivre les échanges interrégionaux menant à une gestion coordonnée des voies navigables</v>
      </c>
      <c r="G694" s="251">
        <f>VLOOKUP(E694,'[4]5.2 Actions'!$A$3:$D$718,4,0)</f>
        <v>0</v>
      </c>
      <c r="H694" s="252">
        <f>VLOOKUP($E694,'5.1 Budget'!$A$4:$H$729,2,0)</f>
        <v>0</v>
      </c>
      <c r="I694" s="252">
        <f>VLOOKUP($E694,'5.1 Budget'!$A$4:$H$729,3,0)</f>
        <v>0</v>
      </c>
      <c r="J694" s="252">
        <f>VLOOKUP($E694,'5.1 Budget'!$A$4:$H$729,4,0)</f>
        <v>0</v>
      </c>
      <c r="K694" s="252">
        <f>VLOOKUP($E694,'5.1 Budget'!$A$4:$H$729,5,0)</f>
        <v>0</v>
      </c>
      <c r="L694" s="252">
        <f>VLOOKUP($E694,'5.1 Budget'!$A$4:$H$729,6,0)</f>
        <v>0</v>
      </c>
      <c r="M694" s="252">
        <f>VLOOKUP($E694,'5.1 Budget'!$A$4:$H$729,7,0)</f>
        <v>0</v>
      </c>
      <c r="N694" s="252">
        <f>VLOOKUP($E694,'5.1 Budget'!$A$4:$H$729,8,0)</f>
        <v>0</v>
      </c>
      <c r="V694" t="str">
        <f>VLOOKUP(D694,'[4]1. Mesures'!$A$1:$B$116,2,0)</f>
        <v>Assurer une coordination interrégionale pour la gestion des masses d'eau transrégionales</v>
      </c>
      <c r="W694" t="str">
        <f>VLOOKUP(B694,[1]HIERARCH!$A$1:$B$57,2,0)</f>
        <v>Assurer une mise en œuvre coordonnée de la politique de l’eau</v>
      </c>
      <c r="X694" t="e">
        <f>VLOOKUP(C694,[1]HIERARCH!$A$2:$B$57,2,0)</f>
        <v>#N/A</v>
      </c>
      <c r="Y694" t="str">
        <f t="shared" si="36"/>
        <v>Poursuivre les échanges interrégionaux menant à une gestion coordonnée des voies navigables…</v>
      </c>
    </row>
    <row r="695" spans="1:25" hidden="1" x14ac:dyDescent="0.25">
      <c r="A695" s="249" t="str">
        <f t="shared" si="37"/>
        <v>8</v>
      </c>
      <c r="B695" s="249" t="str">
        <f>VLOOKUP($D695,'[4]1. Mesures'!$A$2:$G$116,6,0)</f>
        <v>OS 8.1</v>
      </c>
      <c r="C695" s="249" t="str">
        <f>VLOOKUP($D695,'[4]1. Mesures'!$A$2:$G$116,7,0)</f>
        <v>-</v>
      </c>
      <c r="D695" s="249" t="str">
        <f t="shared" si="35"/>
        <v>M 8.3</v>
      </c>
      <c r="E695" s="250" t="s">
        <v>1266</v>
      </c>
      <c r="F695" s="249" t="str">
        <f>VLOOKUP(E695,'5.2 Actions'!$A$3:$B$720,2,0)</f>
        <v>Coordonner les missions de service public des opérateurs et acteurs dans la mise en œuvre de la politique de l’eau.</v>
      </c>
      <c r="G695" s="251">
        <f>VLOOKUP(E695,'[4]5.2 Actions'!$A$3:$D$718,4,0)</f>
        <v>0</v>
      </c>
      <c r="H695" s="252">
        <f>VLOOKUP($E695,'5.1 Budget'!$A$4:$H$729,2,0)</f>
        <v>100000</v>
      </c>
      <c r="I695" s="252">
        <f>VLOOKUP($E695,'5.1 Budget'!$A$4:$H$729,3,0)</f>
        <v>100000</v>
      </c>
      <c r="J695" s="252">
        <f>VLOOKUP($E695,'5.1 Budget'!$A$4:$H$729,4,0)</f>
        <v>100000</v>
      </c>
      <c r="K695" s="252">
        <f>VLOOKUP($E695,'5.1 Budget'!$A$4:$H$729,5,0)</f>
        <v>100000</v>
      </c>
      <c r="L695" s="252">
        <f>VLOOKUP($E695,'5.1 Budget'!$A$4:$H$729,6,0)</f>
        <v>100000</v>
      </c>
      <c r="M695" s="252">
        <f>VLOOKUP($E695,'5.1 Budget'!$A$4:$H$729,7,0)</f>
        <v>100000</v>
      </c>
      <c r="N695" s="252">
        <f>VLOOKUP($E695,'5.1 Budget'!$A$4:$H$729,8,0)</f>
        <v>600000</v>
      </c>
      <c r="V695" t="str">
        <f>VLOOKUP(D695,'[4]1. Mesures'!$A$1:$B$116,2,0)</f>
        <v xml:space="preserve">Assurer une gestion de l’eau cohérente et coordonnée au sein de la Région de Bruxelles-Capitale  (coordination intrarégionale) </v>
      </c>
      <c r="W695" t="str">
        <f>VLOOKUP(B695,[1]HIERARCH!$A$1:$B$57,2,0)</f>
        <v>Assurer une mise en œuvre coordonnée de la politique de l’eau</v>
      </c>
      <c r="X695" t="e">
        <f>VLOOKUP(C695,[1]HIERARCH!$A$2:$B$57,2,0)</f>
        <v>#N/A</v>
      </c>
      <c r="Y695" t="str">
        <f t="shared" si="36"/>
        <v>Coordonner les missions de service public des opérateurs et acteurs dans la mise en œuvre de la politique de l’eau.…</v>
      </c>
    </row>
    <row r="696" spans="1:25" hidden="1" x14ac:dyDescent="0.25">
      <c r="A696" s="249" t="str">
        <f t="shared" si="37"/>
        <v>8</v>
      </c>
      <c r="B696" s="249" t="str">
        <f>VLOOKUP($D696,'[4]1. Mesures'!$A$2:$G$116,6,0)</f>
        <v>OS 8.1</v>
      </c>
      <c r="C696" s="249" t="str">
        <f>VLOOKUP($D696,'[4]1. Mesures'!$A$2:$G$116,7,0)</f>
        <v>-</v>
      </c>
      <c r="D696" s="249" t="str">
        <f t="shared" si="35"/>
        <v>M 8.3</v>
      </c>
      <c r="E696" s="250" t="s">
        <v>1267</v>
      </c>
      <c r="F696" s="249" t="str">
        <f>VLOOKUP(E696,'5.2 Actions'!$A$3:$B$720,2,0)</f>
        <v>Renforcer la coordination thématique au sein de groupes de travail ad hoc créés dans le cadre de la Plateforme de coordination.</v>
      </c>
      <c r="G696" s="251">
        <f>VLOOKUP(E696,'[4]5.2 Actions'!$A$3:$D$718,4,0)</f>
        <v>0</v>
      </c>
      <c r="H696" s="252">
        <f>VLOOKUP($E696,'5.1 Budget'!$A$4:$H$729,2,0)</f>
        <v>0</v>
      </c>
      <c r="I696" s="252">
        <f>VLOOKUP($E696,'5.1 Budget'!$A$4:$H$729,3,0)</f>
        <v>0</v>
      </c>
      <c r="J696" s="252">
        <f>VLOOKUP($E696,'5.1 Budget'!$A$4:$H$729,4,0)</f>
        <v>0</v>
      </c>
      <c r="K696" s="252">
        <f>VLOOKUP($E696,'5.1 Budget'!$A$4:$H$729,5,0)</f>
        <v>0</v>
      </c>
      <c r="L696" s="252">
        <f>VLOOKUP($E696,'5.1 Budget'!$A$4:$H$729,6,0)</f>
        <v>0</v>
      </c>
      <c r="M696" s="252">
        <f>VLOOKUP($E696,'5.1 Budget'!$A$4:$H$729,7,0)</f>
        <v>0</v>
      </c>
      <c r="N696" s="252">
        <f>VLOOKUP($E696,'5.1 Budget'!$A$4:$H$729,8,0)</f>
        <v>0</v>
      </c>
      <c r="V696" t="str">
        <f>VLOOKUP(D696,'[4]1. Mesures'!$A$1:$B$116,2,0)</f>
        <v xml:space="preserve">Assurer une gestion de l’eau cohérente et coordonnée au sein de la Région de Bruxelles-Capitale  (coordination intrarégionale) </v>
      </c>
      <c r="W696" t="str">
        <f>VLOOKUP(B696,[1]HIERARCH!$A$1:$B$57,2,0)</f>
        <v>Assurer une mise en œuvre coordonnée de la politique de l’eau</v>
      </c>
      <c r="X696" t="e">
        <f>VLOOKUP(C696,[1]HIERARCH!$A$2:$B$57,2,0)</f>
        <v>#N/A</v>
      </c>
      <c r="Y696" t="str">
        <f t="shared" si="36"/>
        <v>Renforcer la coordination thématique au sein de groupes de travail ad hoc créés dans le cadre de la Plateforme de coordi…</v>
      </c>
    </row>
    <row r="697" spans="1:25" hidden="1" x14ac:dyDescent="0.25">
      <c r="A697" s="249" t="str">
        <f t="shared" si="37"/>
        <v>8</v>
      </c>
      <c r="B697" s="249" t="str">
        <f>VLOOKUP($D697,'[4]1. Mesures'!$A$2:$G$116,6,0)</f>
        <v>OS 8.1</v>
      </c>
      <c r="C697" s="249" t="str">
        <f>VLOOKUP($D697,'[4]1. Mesures'!$A$2:$G$116,7,0)</f>
        <v>-</v>
      </c>
      <c r="D697" s="249" t="str">
        <f t="shared" si="35"/>
        <v>M 8.3</v>
      </c>
      <c r="E697" s="250" t="s">
        <v>1268</v>
      </c>
      <c r="F697" s="249" t="str">
        <f>VLOOKUP(E697,'5.2 Actions'!$A$3:$B$720,2,0)</f>
        <v>Renforcer la coordination par bassin versant au sein de groupes de travail ad hoc créés dans le cadre de la Plateforme de coordination.</v>
      </c>
      <c r="G697" s="251">
        <f>VLOOKUP(E697,'[4]5.2 Actions'!$A$3:$D$718,4,0)</f>
        <v>0</v>
      </c>
      <c r="H697" s="252">
        <f>VLOOKUP($E697,'5.1 Budget'!$A$4:$H$729,2,0)</f>
        <v>0</v>
      </c>
      <c r="I697" s="252">
        <f>VLOOKUP($E697,'5.1 Budget'!$A$4:$H$729,3,0)</f>
        <v>0</v>
      </c>
      <c r="J697" s="252">
        <f>VLOOKUP($E697,'5.1 Budget'!$A$4:$H$729,4,0)</f>
        <v>0</v>
      </c>
      <c r="K697" s="252">
        <f>VLOOKUP($E697,'5.1 Budget'!$A$4:$H$729,5,0)</f>
        <v>0</v>
      </c>
      <c r="L697" s="252">
        <f>VLOOKUP($E697,'5.1 Budget'!$A$4:$H$729,6,0)</f>
        <v>0</v>
      </c>
      <c r="M697" s="252">
        <f>VLOOKUP($E697,'5.1 Budget'!$A$4:$H$729,7,0)</f>
        <v>0</v>
      </c>
      <c r="N697" s="252">
        <f>VLOOKUP($E697,'5.1 Budget'!$A$4:$H$729,8,0)</f>
        <v>0</v>
      </c>
      <c r="V697" t="str">
        <f>VLOOKUP(D697,'[4]1. Mesures'!$A$1:$B$116,2,0)</f>
        <v xml:space="preserve">Assurer une gestion de l’eau cohérente et coordonnée au sein de la Région de Bruxelles-Capitale  (coordination intrarégionale) </v>
      </c>
      <c r="W697" t="str">
        <f>VLOOKUP(B697,[1]HIERARCH!$A$1:$B$57,2,0)</f>
        <v>Assurer une mise en œuvre coordonnée de la politique de l’eau</v>
      </c>
      <c r="X697" t="e">
        <f>VLOOKUP(C697,[1]HIERARCH!$A$2:$B$57,2,0)</f>
        <v>#N/A</v>
      </c>
      <c r="Y697" t="str">
        <f t="shared" si="36"/>
        <v>Renforcer la coordination par bassin versant au sein de groupes de travail ad hoc créés dans le cadre de la Plateforme d…</v>
      </c>
    </row>
    <row r="698" spans="1:25" hidden="1" x14ac:dyDescent="0.25">
      <c r="A698" s="249" t="str">
        <f t="shared" si="37"/>
        <v>8</v>
      </c>
      <c r="B698" s="249" t="str">
        <f>VLOOKUP($D698,'[4]1. Mesures'!$A$2:$G$116,6,0)</f>
        <v>OS 8.1</v>
      </c>
      <c r="C698" s="249" t="str">
        <f>VLOOKUP($D698,'[4]1. Mesures'!$A$2:$G$116,7,0)</f>
        <v>-</v>
      </c>
      <c r="D698" s="249" t="str">
        <f t="shared" si="35"/>
        <v>M 8.3</v>
      </c>
      <c r="E698" s="250" t="s">
        <v>1269</v>
      </c>
      <c r="F698" s="249" t="str">
        <f>VLOOKUP(E698,'5.2 Actions'!$A$3:$B$720,2,0)</f>
        <v>Renforcer la coordination et l’échange entre les différents groupes de travail thématiques et par bassin versant avec les acteurs de l’eau (administrations régionales, associations, monde académique et de la recherche, etc.).</v>
      </c>
      <c r="G698" s="251">
        <f>VLOOKUP(E698,'[4]5.2 Actions'!$A$3:$D$718,4,0)</f>
        <v>0</v>
      </c>
      <c r="H698" s="252">
        <f>VLOOKUP($E698,'5.1 Budget'!$A$4:$H$729,2,0)</f>
        <v>0</v>
      </c>
      <c r="I698" s="252">
        <f>VLOOKUP($E698,'5.1 Budget'!$A$4:$H$729,3,0)</f>
        <v>0</v>
      </c>
      <c r="J698" s="252">
        <f>VLOOKUP($E698,'5.1 Budget'!$A$4:$H$729,4,0)</f>
        <v>0</v>
      </c>
      <c r="K698" s="252">
        <f>VLOOKUP($E698,'5.1 Budget'!$A$4:$H$729,5,0)</f>
        <v>0</v>
      </c>
      <c r="L698" s="252">
        <f>VLOOKUP($E698,'5.1 Budget'!$A$4:$H$729,6,0)</f>
        <v>0</v>
      </c>
      <c r="M698" s="252">
        <f>VLOOKUP($E698,'5.1 Budget'!$A$4:$H$729,7,0)</f>
        <v>0</v>
      </c>
      <c r="N698" s="252">
        <f>VLOOKUP($E698,'5.1 Budget'!$A$4:$H$729,8,0)</f>
        <v>0</v>
      </c>
      <c r="V698" t="str">
        <f>VLOOKUP(D698,'[4]1. Mesures'!$A$1:$B$116,2,0)</f>
        <v xml:space="preserve">Assurer une gestion de l’eau cohérente et coordonnée au sein de la Région de Bruxelles-Capitale  (coordination intrarégionale) </v>
      </c>
      <c r="W698" t="str">
        <f>VLOOKUP(B698,[1]HIERARCH!$A$1:$B$57,2,0)</f>
        <v>Assurer une mise en œuvre coordonnée de la politique de l’eau</v>
      </c>
      <c r="X698" t="e">
        <f>VLOOKUP(C698,[1]HIERARCH!$A$2:$B$57,2,0)</f>
        <v>#N/A</v>
      </c>
      <c r="Y698" t="str">
        <f t="shared" si="36"/>
        <v>Renforcer la coordination et l’échange entre les différents groupes de travail thématiques et par bassin versant avec le…</v>
      </c>
    </row>
    <row r="699" spans="1:25" hidden="1" x14ac:dyDescent="0.25">
      <c r="A699" s="249" t="str">
        <f t="shared" si="37"/>
        <v>8</v>
      </c>
      <c r="B699" s="249" t="str">
        <f>VLOOKUP($D699,'[4]1. Mesures'!$A$2:$G$116,6,0)</f>
        <v>OS 8.1</v>
      </c>
      <c r="C699" s="249" t="str">
        <f>VLOOKUP($D699,'[4]1. Mesures'!$A$2:$G$116,7,0)</f>
        <v>-</v>
      </c>
      <c r="D699" s="249" t="str">
        <f t="shared" si="35"/>
        <v>M 8.3</v>
      </c>
      <c r="E699" s="250" t="s">
        <v>1270</v>
      </c>
      <c r="F699" s="249" t="str">
        <f>VLOOKUP(E699,'5.2 Actions'!$A$3:$B$720,2,0)</f>
        <v>Faciliter l'échange d'informations en améliorant la transparence de la Plateforme de coordination et en intensifiant les échanges avec les autres acteurs régionaux concernés.</v>
      </c>
      <c r="G699" s="251">
        <f>VLOOKUP(E699,'[4]5.2 Actions'!$A$3:$D$718,4,0)</f>
        <v>0</v>
      </c>
      <c r="H699" s="252">
        <f>VLOOKUP($E699,'5.1 Budget'!$A$4:$H$729,2,0)</f>
        <v>0</v>
      </c>
      <c r="I699" s="252">
        <f>VLOOKUP($E699,'5.1 Budget'!$A$4:$H$729,3,0)</f>
        <v>0</v>
      </c>
      <c r="J699" s="252">
        <f>VLOOKUP($E699,'5.1 Budget'!$A$4:$H$729,4,0)</f>
        <v>0</v>
      </c>
      <c r="K699" s="252">
        <f>VLOOKUP($E699,'5.1 Budget'!$A$4:$H$729,5,0)</f>
        <v>0</v>
      </c>
      <c r="L699" s="252">
        <f>VLOOKUP($E699,'5.1 Budget'!$A$4:$H$729,6,0)</f>
        <v>0</v>
      </c>
      <c r="M699" s="252">
        <f>VLOOKUP($E699,'5.1 Budget'!$A$4:$H$729,7,0)</f>
        <v>0</v>
      </c>
      <c r="N699" s="252">
        <f>VLOOKUP($E699,'5.1 Budget'!$A$4:$H$729,8,0)</f>
        <v>0</v>
      </c>
      <c r="V699" t="str">
        <f>VLOOKUP(D699,'[4]1. Mesures'!$A$1:$B$116,2,0)</f>
        <v xml:space="preserve">Assurer une gestion de l’eau cohérente et coordonnée au sein de la Région de Bruxelles-Capitale  (coordination intrarégionale) </v>
      </c>
      <c r="W699" t="str">
        <f>VLOOKUP(B699,[1]HIERARCH!$A$1:$B$57,2,0)</f>
        <v>Assurer une mise en œuvre coordonnée de la politique de l’eau</v>
      </c>
      <c r="X699" t="e">
        <f>VLOOKUP(C699,[1]HIERARCH!$A$2:$B$57,2,0)</f>
        <v>#N/A</v>
      </c>
      <c r="Y699" t="str">
        <f t="shared" si="36"/>
        <v>Faciliter l'échange d'informations en améliorant la transparence de la Plateforme de coordination et en intensifiant les…</v>
      </c>
    </row>
    <row r="700" spans="1:25" hidden="1" x14ac:dyDescent="0.25">
      <c r="A700" s="249" t="str">
        <f t="shared" si="37"/>
        <v>8</v>
      </c>
      <c r="B700" s="249" t="str">
        <f>VLOOKUP($D700,'[4]1. Mesures'!$A$2:$G$116,6,0)</f>
        <v>OS 8.1</v>
      </c>
      <c r="C700" s="249" t="str">
        <f>VLOOKUP($D700,'[4]1. Mesures'!$A$2:$G$116,7,0)</f>
        <v>-</v>
      </c>
      <c r="D700" s="249" t="str">
        <f t="shared" si="35"/>
        <v>M 8.3</v>
      </c>
      <c r="E700" s="250" t="s">
        <v>1271</v>
      </c>
      <c r="F700" s="249" t="str">
        <f>VLOOKUP(E700,'5.2 Actions'!$A$3:$B$720,2,0)</f>
        <v>Émettre des avis coordonnés dans le cadre de modifications réglementaires, sur des projets d’aménagement du territoire, le développement d’outils, de méthodes ayant un impact sur le secteur de l’eau. Mais également émettre des réponses coordonnées suite à des interpellations d’un ou plusieurs opérateurs de l’eau.</v>
      </c>
      <c r="G700" s="251">
        <f>VLOOKUP(E700,'[4]5.2 Actions'!$A$3:$D$718,4,0)</f>
        <v>0</v>
      </c>
      <c r="H700" s="252">
        <f>VLOOKUP($E700,'5.1 Budget'!$A$4:$H$729,2,0)</f>
        <v>0</v>
      </c>
      <c r="I700" s="252">
        <f>VLOOKUP($E700,'5.1 Budget'!$A$4:$H$729,3,0)</f>
        <v>0</v>
      </c>
      <c r="J700" s="252">
        <f>VLOOKUP($E700,'5.1 Budget'!$A$4:$H$729,4,0)</f>
        <v>0</v>
      </c>
      <c r="K700" s="252">
        <f>VLOOKUP($E700,'5.1 Budget'!$A$4:$H$729,5,0)</f>
        <v>0</v>
      </c>
      <c r="L700" s="252">
        <f>VLOOKUP($E700,'5.1 Budget'!$A$4:$H$729,6,0)</f>
        <v>0</v>
      </c>
      <c r="M700" s="252">
        <f>VLOOKUP($E700,'5.1 Budget'!$A$4:$H$729,7,0)</f>
        <v>0</v>
      </c>
      <c r="N700" s="252">
        <f>VLOOKUP($E700,'5.1 Budget'!$A$4:$H$729,8,0)</f>
        <v>0</v>
      </c>
      <c r="V700" t="str">
        <f>VLOOKUP(D700,'[4]1. Mesures'!$A$1:$B$116,2,0)</f>
        <v xml:space="preserve">Assurer une gestion de l’eau cohérente et coordonnée au sein de la Région de Bruxelles-Capitale  (coordination intrarégionale) </v>
      </c>
      <c r="W700" t="str">
        <f>VLOOKUP(B700,[1]HIERARCH!$A$1:$B$57,2,0)</f>
        <v>Assurer une mise en œuvre coordonnée de la politique de l’eau</v>
      </c>
      <c r="X700" t="e">
        <f>VLOOKUP(C700,[1]HIERARCH!$A$2:$B$57,2,0)</f>
        <v>#N/A</v>
      </c>
      <c r="Y700" t="str">
        <f t="shared" si="36"/>
        <v>Émettre des avis coordonnés dans le cadre de modifications réglementaires, sur des projets d’aménagement du territoire, …</v>
      </c>
    </row>
    <row r="701" spans="1:25" hidden="1" x14ac:dyDescent="0.25">
      <c r="A701" s="249" t="str">
        <f t="shared" si="37"/>
        <v>8</v>
      </c>
      <c r="B701" s="249" t="str">
        <f>VLOOKUP($D701,'[4]1. Mesures'!$A$2:$G$116,6,0)</f>
        <v>OS 8.1</v>
      </c>
      <c r="C701" s="249" t="str">
        <f>VLOOKUP($D701,'[4]1. Mesures'!$A$2:$G$116,7,0)</f>
        <v>-</v>
      </c>
      <c r="D701" s="249" t="str">
        <f t="shared" si="35"/>
        <v>M 8.3</v>
      </c>
      <c r="E701" s="250" t="s">
        <v>1272</v>
      </c>
      <c r="F701" s="249" t="str">
        <f>VLOOKUP(E701,'5.2 Actions'!$A$3:$B$720,2,0)</f>
        <v>Organiser des événements d’échanges de connaissance :
avec les associations et le monde académique (les rencontres bruxelloises de l’eau) ;
avec les professionnels (la journée mondiale de l’eau)
avec les citoyens (les journées bruxelloises de l’eau)</v>
      </c>
      <c r="G701" s="251">
        <f>VLOOKUP(E701,'[4]5.2 Actions'!$A$3:$D$718,4,0)</f>
        <v>0</v>
      </c>
      <c r="H701" s="252">
        <f>VLOOKUP($E701,'5.1 Budget'!$A$4:$H$729,2,0)</f>
        <v>100000</v>
      </c>
      <c r="I701" s="252">
        <f>VLOOKUP($E701,'5.1 Budget'!$A$4:$H$729,3,0)</f>
        <v>100000</v>
      </c>
      <c r="J701" s="252">
        <f>VLOOKUP($E701,'5.1 Budget'!$A$4:$H$729,4,0)</f>
        <v>100000</v>
      </c>
      <c r="K701" s="252">
        <f>VLOOKUP($E701,'5.1 Budget'!$A$4:$H$729,5,0)</f>
        <v>100000</v>
      </c>
      <c r="L701" s="252">
        <f>VLOOKUP($E701,'5.1 Budget'!$A$4:$H$729,6,0)</f>
        <v>100000</v>
      </c>
      <c r="M701" s="252">
        <f>VLOOKUP($E701,'5.1 Budget'!$A$4:$H$729,7,0)</f>
        <v>100000</v>
      </c>
      <c r="N701" s="252">
        <f>VLOOKUP($E701,'5.1 Budget'!$A$4:$H$729,8,0)</f>
        <v>600000</v>
      </c>
      <c r="V701" t="str">
        <f>VLOOKUP(D701,'[4]1. Mesures'!$A$1:$B$116,2,0)</f>
        <v xml:space="preserve">Assurer une gestion de l’eau cohérente et coordonnée au sein de la Région de Bruxelles-Capitale  (coordination intrarégionale) </v>
      </c>
      <c r="W701" t="str">
        <f>VLOOKUP(B701,[1]HIERARCH!$A$1:$B$57,2,0)</f>
        <v>Assurer une mise en œuvre coordonnée de la politique de l’eau</v>
      </c>
      <c r="X701" t="e">
        <f>VLOOKUP(C701,[1]HIERARCH!$A$2:$B$57,2,0)</f>
        <v>#N/A</v>
      </c>
      <c r="Y701" t="str">
        <f t="shared" si="36"/>
        <v>Organiser des événements d’échanges de connaissance :
avec les associations et le monde académique (les rencontres bruxe…</v>
      </c>
    </row>
    <row r="702" spans="1:25" hidden="1" x14ac:dyDescent="0.25">
      <c r="A702" s="249" t="str">
        <f t="shared" si="37"/>
        <v>8</v>
      </c>
      <c r="B702" s="249" t="str">
        <f>VLOOKUP($D702,'[4]1. Mesures'!$A$2:$G$116,6,0)</f>
        <v>OS 8.2</v>
      </c>
      <c r="C702" s="249" t="str">
        <f>VLOOKUP($D702,'[4]1. Mesures'!$A$2:$G$116,7,0)</f>
        <v>-</v>
      </c>
      <c r="D702" s="249" t="str">
        <f t="shared" si="35"/>
        <v>M 8.4</v>
      </c>
      <c r="E702" s="250" t="s">
        <v>1273</v>
      </c>
      <c r="F702" s="249" t="str">
        <f>VLOOKUP(E702,'5.2 Actions'!$A$3:$B$720,2,0)</f>
        <v>Assurer l’organisation de séminaires/colloques sur les différentes thématiques de l’eau afin de permettre l’échange de bonnes pratiques et/ou de savoirs scientifiques.</v>
      </c>
      <c r="G702" s="251">
        <f>VLOOKUP(E702,'[4]5.2 Actions'!$A$3:$D$718,4,0)</f>
        <v>0</v>
      </c>
      <c r="H702" s="252">
        <f>VLOOKUP($E702,'5.1 Budget'!$A$4:$H$729,2,0)</f>
        <v>0</v>
      </c>
      <c r="I702" s="252">
        <f>VLOOKUP($E702,'5.1 Budget'!$A$4:$H$729,3,0)</f>
        <v>0</v>
      </c>
      <c r="J702" s="252">
        <f>VLOOKUP($E702,'5.1 Budget'!$A$4:$H$729,4,0)</f>
        <v>0</v>
      </c>
      <c r="K702" s="252">
        <f>VLOOKUP($E702,'5.1 Budget'!$A$4:$H$729,5,0)</f>
        <v>0</v>
      </c>
      <c r="L702" s="252">
        <f>VLOOKUP($E702,'5.1 Budget'!$A$4:$H$729,6,0)</f>
        <v>0</v>
      </c>
      <c r="M702" s="252">
        <f>VLOOKUP($E702,'5.1 Budget'!$A$4:$H$729,7,0)</f>
        <v>0</v>
      </c>
      <c r="N702" s="252">
        <f>VLOOKUP($E702,'5.1 Budget'!$A$4:$H$729,8,0)</f>
        <v>0</v>
      </c>
      <c r="V702" t="str">
        <f>VLOOKUP(D702,'[4]1. Mesures'!$A$1:$B$116,2,0)</f>
        <v>Encourager la participation d'acteurs bruxellois de l'eau aux associations européennes de l'eau</v>
      </c>
      <c r="W702" t="str">
        <f>VLOOKUP(B702,[1]HIERARCH!$A$1:$B$57,2,0)</f>
        <v>Echanger les expériences et les informations au niveau d’associations d’acteurs publics et privés bruxellois, belges et internationaux</v>
      </c>
      <c r="X702" t="e">
        <f>VLOOKUP(C702,[1]HIERARCH!$A$2:$B$57,2,0)</f>
        <v>#N/A</v>
      </c>
      <c r="Y702" t="str">
        <f t="shared" si="36"/>
        <v>Assurer l’organisation de séminaires/colloques sur les différentes thématiques de l’eau afin de permettre l’échange de b…</v>
      </c>
    </row>
    <row r="703" spans="1:25" hidden="1" x14ac:dyDescent="0.25">
      <c r="A703" s="249" t="str">
        <f t="shared" si="37"/>
        <v>8</v>
      </c>
      <c r="B703" s="249" t="str">
        <f>VLOOKUP($D703,'[4]1. Mesures'!$A$2:$G$116,6,0)</f>
        <v>OS 8.2</v>
      </c>
      <c r="C703" s="249" t="str">
        <f>VLOOKUP($D703,'[4]1. Mesures'!$A$2:$G$116,7,0)</f>
        <v>-</v>
      </c>
      <c r="D703" s="249" t="str">
        <f t="shared" si="35"/>
        <v>M 8.4</v>
      </c>
      <c r="E703" s="250" t="s">
        <v>1274</v>
      </c>
      <c r="F703" s="249" t="str">
        <f>VLOOKUP(E703,'5.2 Actions'!$A$3:$B$720,2,0)</f>
        <v>Participer en tant qu’observateur ou orateur aux séminaires/colloques/forums sur les différentes thématiques de l’eau pour veiller à ce que la RBC reste parfaitement informée des bonnes pratiques et/ou savoirs scientifiques internationaux, ou veiller en tant qu’orateur à partager/informer sur les bonnes pratiques et/ou savoirs scientifiques développés au sein de la Région.</v>
      </c>
      <c r="G703" s="251">
        <f>VLOOKUP(E703,'[4]5.2 Actions'!$A$3:$D$718,4,0)</f>
        <v>0</v>
      </c>
      <c r="H703" s="252">
        <f>VLOOKUP($E703,'5.1 Budget'!$A$4:$H$729,2,0)</f>
        <v>0</v>
      </c>
      <c r="I703" s="252">
        <f>VLOOKUP($E703,'5.1 Budget'!$A$4:$H$729,3,0)</f>
        <v>0</v>
      </c>
      <c r="J703" s="252">
        <f>VLOOKUP($E703,'5.1 Budget'!$A$4:$H$729,4,0)</f>
        <v>0</v>
      </c>
      <c r="K703" s="252">
        <f>VLOOKUP($E703,'5.1 Budget'!$A$4:$H$729,5,0)</f>
        <v>0</v>
      </c>
      <c r="L703" s="252">
        <f>VLOOKUP($E703,'5.1 Budget'!$A$4:$H$729,6,0)</f>
        <v>0</v>
      </c>
      <c r="M703" s="252">
        <f>VLOOKUP($E703,'5.1 Budget'!$A$4:$H$729,7,0)</f>
        <v>0</v>
      </c>
      <c r="N703" s="252">
        <f>VLOOKUP($E703,'5.1 Budget'!$A$4:$H$729,8,0)</f>
        <v>0</v>
      </c>
      <c r="V703" t="str">
        <f>VLOOKUP(D703,'[4]1. Mesures'!$A$1:$B$116,2,0)</f>
        <v>Encourager la participation d'acteurs bruxellois de l'eau aux associations européennes de l'eau</v>
      </c>
      <c r="W703" t="str">
        <f>VLOOKUP(B703,[1]HIERARCH!$A$1:$B$57,2,0)</f>
        <v>Echanger les expériences et les informations au niveau d’associations d’acteurs publics et privés bruxellois, belges et internationaux</v>
      </c>
      <c r="X703" t="e">
        <f>VLOOKUP(C703,[1]HIERARCH!$A$2:$B$57,2,0)</f>
        <v>#N/A</v>
      </c>
      <c r="Y703" t="str">
        <f t="shared" si="36"/>
        <v>Participer en tant qu’observateur ou orateur aux séminaires/colloques/forums sur les différentes thématiques de l’eau po…</v>
      </c>
    </row>
    <row r="704" spans="1:25" hidden="1" x14ac:dyDescent="0.25">
      <c r="A704" s="249" t="str">
        <f t="shared" si="37"/>
        <v>8</v>
      </c>
      <c r="B704" s="249" t="str">
        <f>VLOOKUP($D704,'[4]1. Mesures'!$A$2:$G$116,6,0)</f>
        <v>OS 8.2</v>
      </c>
      <c r="C704" s="249" t="str">
        <f>VLOOKUP($D704,'[4]1. Mesures'!$A$2:$G$116,7,0)</f>
        <v>-</v>
      </c>
      <c r="D704" s="249" t="str">
        <f t="shared" si="35"/>
        <v>M 8.4</v>
      </c>
      <c r="E704" s="250" t="s">
        <v>1275</v>
      </c>
      <c r="F704" s="249" t="str">
        <f>VLOOKUP(E704,'5.2 Actions'!$A$3:$B$720,2,0)</f>
        <v>Valoriser toujours davantage l’expérience de la RBC en matière de gestion de l’eau spécifique au milieu urbain au travers de la participation aux séminaires/colloques/forums sur les différentes thématiques de l’eau.</v>
      </c>
      <c r="G704" s="251">
        <f>VLOOKUP(E704,'[4]5.2 Actions'!$A$3:$D$718,4,0)</f>
        <v>0</v>
      </c>
      <c r="H704" s="252">
        <f>VLOOKUP($E704,'5.1 Budget'!$A$4:$H$729,2,0)</f>
        <v>0</v>
      </c>
      <c r="I704" s="252">
        <f>VLOOKUP($E704,'5.1 Budget'!$A$4:$H$729,3,0)</f>
        <v>0</v>
      </c>
      <c r="J704" s="252">
        <f>VLOOKUP($E704,'5.1 Budget'!$A$4:$H$729,4,0)</f>
        <v>0</v>
      </c>
      <c r="K704" s="252">
        <f>VLOOKUP($E704,'5.1 Budget'!$A$4:$H$729,5,0)</f>
        <v>0</v>
      </c>
      <c r="L704" s="252">
        <f>VLOOKUP($E704,'5.1 Budget'!$A$4:$H$729,6,0)</f>
        <v>0</v>
      </c>
      <c r="M704" s="252">
        <f>VLOOKUP($E704,'5.1 Budget'!$A$4:$H$729,7,0)</f>
        <v>0</v>
      </c>
      <c r="N704" s="252">
        <f>VLOOKUP($E704,'5.1 Budget'!$A$4:$H$729,8,0)</f>
        <v>0</v>
      </c>
      <c r="V704" t="str">
        <f>VLOOKUP(D704,'[4]1. Mesures'!$A$1:$B$116,2,0)</f>
        <v>Encourager la participation d'acteurs bruxellois de l'eau aux associations européennes de l'eau</v>
      </c>
      <c r="W704" t="str">
        <f>VLOOKUP(B704,[1]HIERARCH!$A$1:$B$57,2,0)</f>
        <v>Echanger les expériences et les informations au niveau d’associations d’acteurs publics et privés bruxellois, belges et internationaux</v>
      </c>
      <c r="X704" t="e">
        <f>VLOOKUP(C704,[1]HIERARCH!$A$2:$B$57,2,0)</f>
        <v>#N/A</v>
      </c>
      <c r="Y704" t="str">
        <f t="shared" si="36"/>
        <v>Valoriser toujours davantage l’expérience de la RBC en matière de gestion de l’eau spécifique au milieu urbain au traver…</v>
      </c>
    </row>
    <row r="705" spans="1:25" hidden="1" x14ac:dyDescent="0.25">
      <c r="A705" s="249" t="str">
        <f t="shared" si="37"/>
        <v>8</v>
      </c>
      <c r="B705" s="249" t="str">
        <f>VLOOKUP($D705,'[4]1. Mesures'!$A$2:$G$116,6,0)</f>
        <v>OS 8.2</v>
      </c>
      <c r="C705" s="249" t="str">
        <f>VLOOKUP($D705,'[4]1. Mesures'!$A$2:$G$116,7,0)</f>
        <v>-</v>
      </c>
      <c r="D705" s="249" t="str">
        <f t="shared" si="35"/>
        <v>M 8.5</v>
      </c>
      <c r="E705" s="250" t="s">
        <v>1276</v>
      </c>
      <c r="F705" s="249" t="str">
        <f>VLOOKUP(E705,'5.2 Actions'!$A$3:$B$720,2,0)</f>
        <v>Continuer l’« appel à projets » auprès des communes et CPAS bruxellois afin d’encourager prioritairement à réaliser des travaux d’aménagement « nature-based solutions » ou des études préalables. Les subsides ainsi octroyés sont de l’ordre de 400.000€/an pour les travaux et de 200.000€/an pour les études.
Les objectifs de l’appel à projets recouvrent également l’ensemble des mesures du PGE (donc lutte contre les inondations, utilisation rationnelle des ressources, etc.)
A noter l’existence d’un soutien complémentaire de Bruxelles Mobilité aux communes, via appel à projet pour petits projets de déminéralisation.</v>
      </c>
      <c r="G705" s="251">
        <f>VLOOKUP(E705,'[4]5.2 Actions'!$A$3:$D$718,4,0)</f>
        <v>0</v>
      </c>
      <c r="H705" s="252">
        <f>VLOOKUP($E705,'5.1 Budget'!$A$4:$H$729,2,0)</f>
        <v>800000</v>
      </c>
      <c r="I705" s="252">
        <f>VLOOKUP($E705,'5.1 Budget'!$A$4:$H$729,3,0)</f>
        <v>800000</v>
      </c>
      <c r="J705" s="252">
        <f>VLOOKUP($E705,'5.1 Budget'!$A$4:$H$729,4,0)</f>
        <v>800000</v>
      </c>
      <c r="K705" s="252">
        <f>VLOOKUP($E705,'5.1 Budget'!$A$4:$H$729,5,0)</f>
        <v>800000</v>
      </c>
      <c r="L705" s="252">
        <f>VLOOKUP($E705,'5.1 Budget'!$A$4:$H$729,6,0)</f>
        <v>800000</v>
      </c>
      <c r="M705" s="252">
        <f>VLOOKUP($E705,'5.1 Budget'!$A$4:$H$729,7,0)</f>
        <v>800000</v>
      </c>
      <c r="N705" s="252">
        <f>VLOOKUP($E705,'5.1 Budget'!$A$4:$H$729,8,0)</f>
        <v>4800000</v>
      </c>
      <c r="V705" t="str">
        <f>VLOOKUP(D705,'[4]1. Mesures'!$A$1:$B$116,2,0)</f>
        <v xml:space="preserve"> Concevoir, mettre en œuvre et promouvoir les mécanismes de soutien à la gestion durable de l’eau</v>
      </c>
      <c r="W705" t="str">
        <f>VLOOKUP(B705,[1]HIERARCH!$A$1:$B$57,2,0)</f>
        <v>Echanger les expériences et les informations au niveau d’associations d’acteurs publics et privés bruxellois, belges et internationaux</v>
      </c>
      <c r="X705" t="e">
        <f>VLOOKUP(C705,[1]HIERARCH!$A$2:$B$57,2,0)</f>
        <v>#N/A</v>
      </c>
      <c r="Y705" t="str">
        <f t="shared" si="36"/>
        <v>Continuer l’« appel à projets » auprès des communes et CPAS bruxellois afin d’encourager prioritairement à réaliser des …</v>
      </c>
    </row>
    <row r="706" spans="1:25" hidden="1" x14ac:dyDescent="0.25">
      <c r="A706" s="249" t="str">
        <f t="shared" si="37"/>
        <v>8</v>
      </c>
      <c r="B706" s="249" t="str">
        <f>VLOOKUP($D706,'[4]1. Mesures'!$A$2:$G$116,6,0)</f>
        <v>OS 8.2</v>
      </c>
      <c r="C706" s="249" t="str">
        <f>VLOOKUP($D706,'[4]1. Mesures'!$A$2:$G$116,7,0)</f>
        <v>-</v>
      </c>
      <c r="D706" s="249" t="str">
        <f t="shared" si="35"/>
        <v>M 8.5</v>
      </c>
      <c r="E706" s="250" t="s">
        <v>1279</v>
      </c>
      <c r="F706" s="249" t="str">
        <f>VLOOKUP(E706,'5.2 Actions'!$A$3:$B$720,2,0)</f>
        <v>Mettre en place ou étendre l’appel à projet 
- à d’autres institutions régionales (ex : STIB, BM,…) pour développer des projets « GIEP » d’aménagement du territoire ;
- vers des acteurs privés pour développer des initiatives GIEP sur leurs parcelles 
Action à développer dans l’appel à projets « Inspirons le quartier ».</v>
      </c>
      <c r="G706" s="251">
        <f>VLOOKUP(E706,'[4]5.2 Actions'!$A$3:$D$718,4,0)</f>
        <v>0</v>
      </c>
      <c r="H706" s="252">
        <f>VLOOKUP($E706,'5.1 Budget'!$A$4:$H$729,2,0)</f>
        <v>0</v>
      </c>
      <c r="I706" s="252">
        <f>VLOOKUP($E706,'5.1 Budget'!$A$4:$H$729,3,0)</f>
        <v>0</v>
      </c>
      <c r="J706" s="252">
        <f>VLOOKUP($E706,'5.1 Budget'!$A$4:$H$729,4,0)</f>
        <v>400000</v>
      </c>
      <c r="K706" s="252">
        <f>VLOOKUP($E706,'5.1 Budget'!$A$4:$H$729,5,0)</f>
        <v>400000</v>
      </c>
      <c r="L706" s="252">
        <f>VLOOKUP($E706,'5.1 Budget'!$A$4:$H$729,6,0)</f>
        <v>600000</v>
      </c>
      <c r="M706" s="252">
        <f>VLOOKUP($E706,'5.1 Budget'!$A$4:$H$729,7,0)</f>
        <v>600000</v>
      </c>
      <c r="N706" s="252">
        <f>VLOOKUP($E706,'5.1 Budget'!$A$4:$H$729,8,0)</f>
        <v>2000000</v>
      </c>
      <c r="V706" t="str">
        <f>VLOOKUP(D706,'[4]1. Mesures'!$A$1:$B$116,2,0)</f>
        <v xml:space="preserve"> Concevoir, mettre en œuvre et promouvoir les mécanismes de soutien à la gestion durable de l’eau</v>
      </c>
      <c r="W706" t="str">
        <f>VLOOKUP(B706,[1]HIERARCH!$A$1:$B$57,2,0)</f>
        <v>Echanger les expériences et les informations au niveau d’associations d’acteurs publics et privés bruxellois, belges et internationaux</v>
      </c>
      <c r="X706" t="e">
        <f>VLOOKUP(C706,[1]HIERARCH!$A$2:$B$57,2,0)</f>
        <v>#N/A</v>
      </c>
      <c r="Y706" t="str">
        <f t="shared" si="36"/>
        <v>Mettre en place ou étendre l’appel à projet 
- à d’autres institutions régionales (ex : STIB, BM,…) pour développer des …</v>
      </c>
    </row>
    <row r="707" spans="1:25" hidden="1" x14ac:dyDescent="0.25">
      <c r="A707" s="249" t="str">
        <f t="shared" si="37"/>
        <v>8</v>
      </c>
      <c r="B707" s="249" t="str">
        <f>VLOOKUP($D707,'[4]1. Mesures'!$A$2:$G$116,6,0)</f>
        <v>OS 8.2</v>
      </c>
      <c r="C707" s="249" t="str">
        <f>VLOOKUP($D707,'[4]1. Mesures'!$A$2:$G$116,7,0)</f>
        <v>-</v>
      </c>
      <c r="D707" s="249" t="str">
        <f t="shared" si="35"/>
        <v>M 8.5</v>
      </c>
      <c r="E707" s="250" t="s">
        <v>1280</v>
      </c>
      <c r="F707" s="249" t="str">
        <f>VLOOKUP(E707,'5.2 Actions'!$A$3:$B$720,2,0)</f>
        <v>Introduire la thématique Eau dans l’appel à projets           « Inspirons Le Quartier».</v>
      </c>
      <c r="G707" s="251">
        <f>VLOOKUP(E707,'[4]5.2 Actions'!$A$3:$D$718,4,0)</f>
        <v>0</v>
      </c>
      <c r="H707" s="252">
        <f>VLOOKUP($E707,'5.1 Budget'!$A$4:$H$729,2,0)</f>
        <v>0</v>
      </c>
      <c r="I707" s="252">
        <f>VLOOKUP($E707,'5.1 Budget'!$A$4:$H$729,3,0)</f>
        <v>100000</v>
      </c>
      <c r="J707" s="252">
        <f>VLOOKUP($E707,'5.1 Budget'!$A$4:$H$729,4,0)</f>
        <v>100000</v>
      </c>
      <c r="K707" s="252">
        <f>VLOOKUP($E707,'5.1 Budget'!$A$4:$H$729,5,0)</f>
        <v>100000</v>
      </c>
      <c r="L707" s="252">
        <f>VLOOKUP($E707,'5.1 Budget'!$A$4:$H$729,6,0)</f>
        <v>100000</v>
      </c>
      <c r="M707" s="252">
        <f>VLOOKUP($E707,'5.1 Budget'!$A$4:$H$729,7,0)</f>
        <v>100000</v>
      </c>
      <c r="N707" s="252">
        <f>VLOOKUP($E707,'5.1 Budget'!$A$4:$H$729,8,0)</f>
        <v>500000</v>
      </c>
      <c r="V707" t="str">
        <f>VLOOKUP(D707,'[4]1. Mesures'!$A$1:$B$116,2,0)</f>
        <v xml:space="preserve"> Concevoir, mettre en œuvre et promouvoir les mécanismes de soutien à la gestion durable de l’eau</v>
      </c>
      <c r="W707" t="str">
        <f>VLOOKUP(B707,[1]HIERARCH!$A$1:$B$57,2,0)</f>
        <v>Echanger les expériences et les informations au niveau d’associations d’acteurs publics et privés bruxellois, belges et internationaux</v>
      </c>
      <c r="X707" t="e">
        <f>VLOOKUP(C707,[1]HIERARCH!$A$2:$B$57,2,0)</f>
        <v>#N/A</v>
      </c>
      <c r="Y707" t="str">
        <f t="shared" si="36"/>
        <v>Introduire la thématique Eau dans l’appel à projets           « Inspirons Le Quartier».…</v>
      </c>
    </row>
    <row r="708" spans="1:25" hidden="1" x14ac:dyDescent="0.25">
      <c r="A708" s="249" t="str">
        <f t="shared" si="37"/>
        <v>8</v>
      </c>
      <c r="B708" s="249" t="str">
        <f>VLOOKUP($D708,'[4]1. Mesures'!$A$2:$G$116,6,0)</f>
        <v>OS 8.2</v>
      </c>
      <c r="C708" s="249" t="str">
        <f>VLOOKUP($D708,'[4]1. Mesures'!$A$2:$G$116,7,0)</f>
        <v>-</v>
      </c>
      <c r="D708" s="249" t="str">
        <f t="shared" si="35"/>
        <v>M 8.5</v>
      </c>
      <c r="E708" s="250" t="s">
        <v>1281</v>
      </c>
      <c r="F708" s="249" t="str">
        <f>VLOOKUP(E708,'5.2 Actions'!$A$3:$B$720,2,0)</f>
        <v>Soutenir les Pouvoirs organisateurs des écoles pour des projets de déminéralisation et végétalisation via l’appel à projet ‘Ré-création’.</v>
      </c>
      <c r="G708" s="251">
        <f>VLOOKUP(E708,'[4]5.2 Actions'!$A$3:$D$718,4,0)</f>
        <v>0</v>
      </c>
      <c r="H708" s="252">
        <f>VLOOKUP($E708,'5.1 Budget'!$A$4:$H$729,2,0)</f>
        <v>4500000</v>
      </c>
      <c r="I708" s="252">
        <f>VLOOKUP($E708,'5.1 Budget'!$A$4:$H$729,3,0)</f>
        <v>0</v>
      </c>
      <c r="J708" s="252">
        <f>VLOOKUP($E708,'5.1 Budget'!$A$4:$H$729,4,0)</f>
        <v>0</v>
      </c>
      <c r="K708" s="252">
        <f>VLOOKUP($E708,'5.1 Budget'!$A$4:$H$729,5,0)</f>
        <v>0</v>
      </c>
      <c r="L708" s="252">
        <f>VLOOKUP($E708,'5.1 Budget'!$A$4:$H$729,6,0)</f>
        <v>0</v>
      </c>
      <c r="M708" s="252">
        <f>VLOOKUP($E708,'5.1 Budget'!$A$4:$H$729,7,0)</f>
        <v>0</v>
      </c>
      <c r="N708" s="252">
        <f>VLOOKUP($E708,'5.1 Budget'!$A$4:$H$729,8,0)</f>
        <v>4500000</v>
      </c>
      <c r="V708" t="str">
        <f>VLOOKUP(D708,'[4]1. Mesures'!$A$1:$B$116,2,0)</f>
        <v xml:space="preserve"> Concevoir, mettre en œuvre et promouvoir les mécanismes de soutien à la gestion durable de l’eau</v>
      </c>
      <c r="W708" t="str">
        <f>VLOOKUP(B708,[1]HIERARCH!$A$1:$B$57,2,0)</f>
        <v>Echanger les expériences et les informations au niveau d’associations d’acteurs publics et privés bruxellois, belges et internationaux</v>
      </c>
      <c r="X708" t="e">
        <f>VLOOKUP(C708,[1]HIERARCH!$A$2:$B$57,2,0)</f>
        <v>#N/A</v>
      </c>
      <c r="Y708" t="str">
        <f t="shared" si="36"/>
        <v>Soutenir les Pouvoirs organisateurs des écoles pour des projets de déminéralisation et végétalisation via l’appel à proj…</v>
      </c>
    </row>
    <row r="709" spans="1:25" hidden="1" x14ac:dyDescent="0.25">
      <c r="A709" s="249" t="str">
        <f t="shared" si="37"/>
        <v>8</v>
      </c>
      <c r="B709" s="249" t="str">
        <f>VLOOKUP($D709,'[4]1. Mesures'!$A$2:$G$116,6,0)</f>
        <v>OS 8.2</v>
      </c>
      <c r="C709" s="249" t="str">
        <f>VLOOKUP($D709,'[4]1. Mesures'!$A$2:$G$116,7,0)</f>
        <v>-</v>
      </c>
      <c r="D709" s="249" t="str">
        <f t="shared" si="35"/>
        <v>M 8.5</v>
      </c>
      <c r="E709" s="250" t="s">
        <v>1282</v>
      </c>
      <c r="F709" s="249" t="str">
        <f>VLOOKUP(E709,'5.2 Actions'!$A$3:$B$720,2,0)</f>
        <v>Evaluer l’opportunité d’octroyer des primes aux communes plutôt que des subventions, pour faciliter leurs actions positives.</v>
      </c>
      <c r="G709" s="251">
        <f>VLOOKUP(E709,'[4]5.2 Actions'!$A$3:$D$718,4,0)</f>
        <v>0</v>
      </c>
      <c r="H709" s="252">
        <f>VLOOKUP($E709,'5.1 Budget'!$A$4:$H$729,2,0)</f>
        <v>0</v>
      </c>
      <c r="I709" s="252">
        <f>VLOOKUP($E709,'5.1 Budget'!$A$4:$H$729,3,0)</f>
        <v>0</v>
      </c>
      <c r="J709" s="252">
        <f>VLOOKUP($E709,'5.1 Budget'!$A$4:$H$729,4,0)</f>
        <v>0</v>
      </c>
      <c r="K709" s="252">
        <f>VLOOKUP($E709,'5.1 Budget'!$A$4:$H$729,5,0)</f>
        <v>0</v>
      </c>
      <c r="L709" s="252">
        <f>VLOOKUP($E709,'5.1 Budget'!$A$4:$H$729,6,0)</f>
        <v>0</v>
      </c>
      <c r="M709" s="252">
        <f>VLOOKUP($E709,'5.1 Budget'!$A$4:$H$729,7,0)</f>
        <v>0</v>
      </c>
      <c r="N709" s="252">
        <f>VLOOKUP($E709,'5.1 Budget'!$A$4:$H$729,8,0)</f>
        <v>0</v>
      </c>
      <c r="V709" t="str">
        <f>VLOOKUP(D709,'[4]1. Mesures'!$A$1:$B$116,2,0)</f>
        <v xml:space="preserve"> Concevoir, mettre en œuvre et promouvoir les mécanismes de soutien à la gestion durable de l’eau</v>
      </c>
      <c r="W709" t="str">
        <f>VLOOKUP(B709,[1]HIERARCH!$A$1:$B$57,2,0)</f>
        <v>Echanger les expériences et les informations au niveau d’associations d’acteurs publics et privés bruxellois, belges et internationaux</v>
      </c>
      <c r="X709" t="e">
        <f>VLOOKUP(C709,[1]HIERARCH!$A$2:$B$57,2,0)</f>
        <v>#N/A</v>
      </c>
      <c r="Y709" t="str">
        <f t="shared" si="36"/>
        <v>Evaluer l’opportunité d’octroyer des primes aux communes plutôt que des subventions, pour faciliter leurs actions positi…</v>
      </c>
    </row>
    <row r="710" spans="1:25" hidden="1" x14ac:dyDescent="0.25">
      <c r="A710" s="249" t="str">
        <f t="shared" si="37"/>
        <v>8</v>
      </c>
      <c r="B710" s="249" t="str">
        <f>VLOOKUP($D710,'[4]1. Mesures'!$A$2:$G$116,6,0)</f>
        <v>OS 8.2</v>
      </c>
      <c r="C710" s="249" t="str">
        <f>VLOOKUP($D710,'[4]1. Mesures'!$A$2:$G$116,7,0)</f>
        <v>-</v>
      </c>
      <c r="D710" s="249" t="str">
        <f t="shared" si="35"/>
        <v>M 8.5</v>
      </c>
      <c r="E710" s="250" t="s">
        <v>1283</v>
      </c>
      <c r="F710" s="249" t="str">
        <f>VLOOKUP(E710,'5.2 Actions'!$A$3:$B$720,2,0)</f>
        <v xml:space="preserve">Promouvoir un label visant à encourager et valoriser les projets GiEP « exemplaires » dans le domaine public ou privé en RBC.  </v>
      </c>
      <c r="G710" s="251">
        <f>VLOOKUP(E710,'[4]5.2 Actions'!$A$3:$D$718,4,0)</f>
        <v>0</v>
      </c>
      <c r="H710" s="252">
        <f>VLOOKUP($E710,'5.1 Budget'!$A$4:$H$729,2,0)</f>
        <v>0</v>
      </c>
      <c r="I710" s="252">
        <f>VLOOKUP($E710,'5.1 Budget'!$A$4:$H$729,3,0)</f>
        <v>0</v>
      </c>
      <c r="J710" s="252">
        <f>VLOOKUP($E710,'5.1 Budget'!$A$4:$H$729,4,0)</f>
        <v>0</v>
      </c>
      <c r="K710" s="252">
        <f>VLOOKUP($E710,'5.1 Budget'!$A$4:$H$729,5,0)</f>
        <v>0</v>
      </c>
      <c r="L710" s="252">
        <f>VLOOKUP($E710,'5.1 Budget'!$A$4:$H$729,6,0)</f>
        <v>0</v>
      </c>
      <c r="M710" s="252">
        <f>VLOOKUP($E710,'5.1 Budget'!$A$4:$H$729,7,0)</f>
        <v>0</v>
      </c>
      <c r="N710" s="252">
        <f>VLOOKUP($E710,'5.1 Budget'!$A$4:$H$729,8,0)</f>
        <v>0</v>
      </c>
      <c r="V710" t="str">
        <f>VLOOKUP(D710,'[4]1. Mesures'!$A$1:$B$116,2,0)</f>
        <v xml:space="preserve"> Concevoir, mettre en œuvre et promouvoir les mécanismes de soutien à la gestion durable de l’eau</v>
      </c>
      <c r="W710" t="str">
        <f>VLOOKUP(B710,[1]HIERARCH!$A$1:$B$57,2,0)</f>
        <v>Echanger les expériences et les informations au niveau d’associations d’acteurs publics et privés bruxellois, belges et internationaux</v>
      </c>
      <c r="X710" t="e">
        <f>VLOOKUP(C710,[1]HIERARCH!$A$2:$B$57,2,0)</f>
        <v>#N/A</v>
      </c>
      <c r="Y710" t="str">
        <f t="shared" si="36"/>
        <v>Promouvoir un label visant à encourager et valoriser les projets GiEP « exemplaires » dans le domaine public ou privé en…</v>
      </c>
    </row>
    <row r="711" spans="1:25" hidden="1" x14ac:dyDescent="0.25">
      <c r="A711" s="249" t="str">
        <f t="shared" si="37"/>
        <v>8</v>
      </c>
      <c r="B711" s="249" t="str">
        <f>VLOOKUP($D711,'[4]1. Mesures'!$A$2:$G$116,6,0)</f>
        <v>OS 8.2</v>
      </c>
      <c r="C711" s="249" t="str">
        <f>VLOOKUP($D711,'[4]1. Mesures'!$A$2:$G$116,7,0)</f>
        <v>-</v>
      </c>
      <c r="D711" s="249" t="str">
        <f t="shared" si="35"/>
        <v>M 8.5</v>
      </c>
      <c r="E711" s="250" t="s">
        <v>1284</v>
      </c>
      <c r="F711" s="249" t="str">
        <f>VLOOKUP(E711,'5.2 Actions'!$A$3:$B$720,2,0)</f>
        <v>Soutenir les mouvements citoyens et associatifs qui mettent en œuvre le PGE 2022-2027 et plus large (comme par exemple le soutien à l’éducation à l’eau sur la qualité de l’eau du robinet).</v>
      </c>
      <c r="G711" s="251">
        <f>VLOOKUP(E711,'[4]5.2 Actions'!$A$3:$D$718,4,0)</f>
        <v>0</v>
      </c>
      <c r="H711" s="252">
        <f>VLOOKUP($E711,'5.1 Budget'!$A$4:$H$729,2,0)</f>
        <v>450000</v>
      </c>
      <c r="I711" s="252">
        <f>VLOOKUP($E711,'5.1 Budget'!$A$4:$H$729,3,0)</f>
        <v>450000</v>
      </c>
      <c r="J711" s="252">
        <f>VLOOKUP($E711,'5.1 Budget'!$A$4:$H$729,4,0)</f>
        <v>450000</v>
      </c>
      <c r="K711" s="252">
        <f>VLOOKUP($E711,'5.1 Budget'!$A$4:$H$729,5,0)</f>
        <v>450000</v>
      </c>
      <c r="L711" s="252">
        <f>VLOOKUP($E711,'5.1 Budget'!$A$4:$H$729,6,0)</f>
        <v>450000</v>
      </c>
      <c r="M711" s="252">
        <f>VLOOKUP($E711,'5.1 Budget'!$A$4:$H$729,7,0)</f>
        <v>450000</v>
      </c>
      <c r="N711" s="252">
        <f>VLOOKUP($E711,'5.1 Budget'!$A$4:$H$729,8,0)</f>
        <v>2700000</v>
      </c>
      <c r="V711" t="str">
        <f>VLOOKUP(D711,'[4]1. Mesures'!$A$1:$B$116,2,0)</f>
        <v xml:space="preserve"> Concevoir, mettre en œuvre et promouvoir les mécanismes de soutien à la gestion durable de l’eau</v>
      </c>
      <c r="W711" t="str">
        <f>VLOOKUP(B711,[1]HIERARCH!$A$1:$B$57,2,0)</f>
        <v>Echanger les expériences et les informations au niveau d’associations d’acteurs publics et privés bruxellois, belges et internationaux</v>
      </c>
      <c r="X711" t="e">
        <f>VLOOKUP(C711,[1]HIERARCH!$A$2:$B$57,2,0)</f>
        <v>#N/A</v>
      </c>
      <c r="Y711" t="str">
        <f t="shared" si="36"/>
        <v>Soutenir les mouvements citoyens et associatifs qui mettent en œuvre le PGE 2022-2027 et plus large (comme par exemple l…</v>
      </c>
    </row>
    <row r="712" spans="1:25" hidden="1" x14ac:dyDescent="0.25">
      <c r="A712" s="249" t="str">
        <f t="shared" si="37"/>
        <v>8</v>
      </c>
      <c r="B712" s="249" t="str">
        <f>VLOOKUP($D712,'[4]1. Mesures'!$A$2:$G$116,6,0)</f>
        <v>OS 8.2</v>
      </c>
      <c r="C712" s="249" t="str">
        <f>VLOOKUP($D712,'[4]1. Mesures'!$A$2:$G$116,7,0)</f>
        <v>-</v>
      </c>
      <c r="D712" s="249" t="str">
        <f t="shared" si="35"/>
        <v>M 8.5</v>
      </c>
      <c r="E712" s="250" t="s">
        <v>1285</v>
      </c>
      <c r="F712" s="249" t="str">
        <f>VLOOKUP(E712,'5.2 Actions'!$A$3:$B$720,2,0)</f>
        <v>Réaliser un diagnostic des mécanismes financiers existants au sein des institutions régionales et communales  et assurer la promotion et diffusion large de cet existant via leurs canaux de communication, les différents canaux de communication de Bruxelles Environnement ainsi que ceux des autres organismes pour lesquels la thématique s’inscrit dans les missions quotidiennes (e.g. réseau habitat, Homegrade,…).</v>
      </c>
      <c r="G712" s="251">
        <f>VLOOKUP(E712,'[4]5.2 Actions'!$A$3:$D$718,4,0)</f>
        <v>0</v>
      </c>
      <c r="H712" s="252">
        <f>VLOOKUP($E712,'5.1 Budget'!$A$4:$H$729,2,0)</f>
        <v>20000</v>
      </c>
      <c r="I712" s="252">
        <f>VLOOKUP($E712,'5.1 Budget'!$A$4:$H$729,3,0)</f>
        <v>0</v>
      </c>
      <c r="J712" s="252">
        <f>VLOOKUP($E712,'5.1 Budget'!$A$4:$H$729,4,0)</f>
        <v>0</v>
      </c>
      <c r="K712" s="252">
        <f>VLOOKUP($E712,'5.1 Budget'!$A$4:$H$729,5,0)</f>
        <v>0</v>
      </c>
      <c r="L712" s="252">
        <f>VLOOKUP($E712,'5.1 Budget'!$A$4:$H$729,6,0)</f>
        <v>0</v>
      </c>
      <c r="M712" s="252">
        <f>VLOOKUP($E712,'5.1 Budget'!$A$4:$H$729,7,0)</f>
        <v>0</v>
      </c>
      <c r="N712" s="252">
        <f>VLOOKUP($E712,'5.1 Budget'!$A$4:$H$729,8,0)</f>
        <v>20000</v>
      </c>
      <c r="V712" t="str">
        <f>VLOOKUP(D712,'[4]1. Mesures'!$A$1:$B$116,2,0)</f>
        <v xml:space="preserve"> Concevoir, mettre en œuvre et promouvoir les mécanismes de soutien à la gestion durable de l’eau</v>
      </c>
      <c r="W712" t="str">
        <f>VLOOKUP(B712,[1]HIERARCH!$A$1:$B$57,2,0)</f>
        <v>Echanger les expériences et les informations au niveau d’associations d’acteurs publics et privés bruxellois, belges et internationaux</v>
      </c>
      <c r="X712" t="e">
        <f>VLOOKUP(C712,[1]HIERARCH!$A$2:$B$57,2,0)</f>
        <v>#N/A</v>
      </c>
      <c r="Y712" t="str">
        <f t="shared" si="36"/>
        <v>Réaliser un diagnostic des mécanismes financiers existants au sein des institutions régionales et communales  et assurer…</v>
      </c>
    </row>
    <row r="713" spans="1:25" hidden="1" x14ac:dyDescent="0.25">
      <c r="A713" s="249" t="str">
        <f t="shared" si="37"/>
        <v>8</v>
      </c>
      <c r="B713" s="249" t="str">
        <f>VLOOKUP($D713,'[4]1. Mesures'!$A$2:$G$116,6,0)</f>
        <v>OS 8.2</v>
      </c>
      <c r="C713" s="249" t="str">
        <f>VLOOKUP($D713,'[4]1. Mesures'!$A$2:$G$116,7,0)</f>
        <v>-</v>
      </c>
      <c r="D713" s="249" t="str">
        <f t="shared" si="35"/>
        <v>M 8.5</v>
      </c>
      <c r="E713" s="250" t="s">
        <v>1286</v>
      </c>
      <c r="F713" s="249" t="str">
        <f>VLOOKUP(E713,'5.2 Actions'!$A$3:$B$720,2,0)</f>
        <v>Réaliser un diagnostic des besoins spécifiques identifiés (e.g. demandes récurrentes, manques, raisons derrière le fait que certaines primes fonctionnement et d’autres moins, analyse des situations socio-économiques…).</v>
      </c>
      <c r="G713" s="251">
        <f>VLOOKUP(E713,'[4]5.2 Actions'!$A$3:$D$718,4,0)</f>
        <v>0</v>
      </c>
      <c r="H713" s="252">
        <f>VLOOKUP($E713,'5.1 Budget'!$A$4:$H$729,2,0)</f>
        <v>20000</v>
      </c>
      <c r="I713" s="252">
        <f>VLOOKUP($E713,'5.1 Budget'!$A$4:$H$729,3,0)</f>
        <v>0</v>
      </c>
      <c r="J713" s="252">
        <f>VLOOKUP($E713,'5.1 Budget'!$A$4:$H$729,4,0)</f>
        <v>0</v>
      </c>
      <c r="K713" s="252">
        <f>VLOOKUP($E713,'5.1 Budget'!$A$4:$H$729,5,0)</f>
        <v>0</v>
      </c>
      <c r="L713" s="252">
        <f>VLOOKUP($E713,'5.1 Budget'!$A$4:$H$729,6,0)</f>
        <v>0</v>
      </c>
      <c r="M713" s="252">
        <f>VLOOKUP($E713,'5.1 Budget'!$A$4:$H$729,7,0)</f>
        <v>0</v>
      </c>
      <c r="N713" s="252">
        <f>VLOOKUP($E713,'5.1 Budget'!$A$4:$H$729,8,0)</f>
        <v>20000</v>
      </c>
      <c r="V713" t="str">
        <f>VLOOKUP(D713,'[4]1. Mesures'!$A$1:$B$116,2,0)</f>
        <v xml:space="preserve"> Concevoir, mettre en œuvre et promouvoir les mécanismes de soutien à la gestion durable de l’eau</v>
      </c>
      <c r="W713" t="str">
        <f>VLOOKUP(B713,[1]HIERARCH!$A$1:$B$57,2,0)</f>
        <v>Echanger les expériences et les informations au niveau d’associations d’acteurs publics et privés bruxellois, belges et internationaux</v>
      </c>
      <c r="X713" t="e">
        <f>VLOOKUP(C713,[1]HIERARCH!$A$2:$B$57,2,0)</f>
        <v>#N/A</v>
      </c>
      <c r="Y713" t="str">
        <f t="shared" si="36"/>
        <v>Réaliser un diagnostic des besoins spécifiques identifiés (e.g. demandes récurrentes, manques, raisons derrière le fait …</v>
      </c>
    </row>
    <row r="714" spans="1:25" hidden="1" x14ac:dyDescent="0.25">
      <c r="A714" s="249" t="str">
        <f t="shared" si="37"/>
        <v>8</v>
      </c>
      <c r="B714" s="249" t="str">
        <f>VLOOKUP($D714,'[4]1. Mesures'!$A$2:$G$116,6,0)</f>
        <v>OS 8.2</v>
      </c>
      <c r="C714" s="249" t="str">
        <f>VLOOKUP($D714,'[4]1. Mesures'!$A$2:$G$116,7,0)</f>
        <v>-</v>
      </c>
      <c r="D714" s="249" t="str">
        <f t="shared" si="35"/>
        <v>M 8.5</v>
      </c>
      <c r="E714" s="250" t="s">
        <v>1277</v>
      </c>
      <c r="F714" s="249" t="str">
        <f>VLOOKUP(E714,'5.2 Actions'!$A$3:$B$720,2,0)</f>
        <v>Mettre en place des primes ou des ajouts/extensions de champ d’application pour des primes existantes à destination des particuliers et des professionnels, avec les informations sur les étapes juridiques à établir et les couts liés à l’encadrement RH.
Cette mesure devra être accompagnée d’une réflexion sur la situation socio-économique du public-cible (locataire ou propriétaire par exemple).</v>
      </c>
      <c r="G714" s="251">
        <f>VLOOKUP(E714,'[4]5.2 Actions'!$A$3:$D$718,4,0)</f>
        <v>0</v>
      </c>
      <c r="H714" s="252">
        <f>VLOOKUP($E714,'5.1 Budget'!$A$4:$H$729,2,0)</f>
        <v>0</v>
      </c>
      <c r="I714" s="252">
        <f>VLOOKUP($E714,'5.1 Budget'!$A$4:$H$729,3,0)</f>
        <v>0</v>
      </c>
      <c r="J714" s="252">
        <f>VLOOKUP($E714,'5.1 Budget'!$A$4:$H$729,4,0)</f>
        <v>50000</v>
      </c>
      <c r="K714" s="252">
        <f>VLOOKUP($E714,'5.1 Budget'!$A$4:$H$729,5,0)</f>
        <v>50000</v>
      </c>
      <c r="L714" s="252">
        <f>VLOOKUP($E714,'5.1 Budget'!$A$4:$H$729,6,0)</f>
        <v>50000</v>
      </c>
      <c r="M714" s="252">
        <f>VLOOKUP($E714,'5.1 Budget'!$A$4:$H$729,7,0)</f>
        <v>50000</v>
      </c>
      <c r="N714" s="252">
        <f>VLOOKUP($E714,'5.1 Budget'!$A$4:$H$729,8,0)</f>
        <v>200000</v>
      </c>
      <c r="V714" t="str">
        <f>VLOOKUP(D714,'[4]1. Mesures'!$A$1:$B$116,2,0)</f>
        <v xml:space="preserve"> Concevoir, mettre en œuvre et promouvoir les mécanismes de soutien à la gestion durable de l’eau</v>
      </c>
      <c r="W714" t="str">
        <f>VLOOKUP(B714,[1]HIERARCH!$A$1:$B$57,2,0)</f>
        <v>Echanger les expériences et les informations au niveau d’associations d’acteurs publics et privés bruxellois, belges et internationaux</v>
      </c>
      <c r="X714" t="e">
        <f>VLOOKUP(C714,[1]HIERARCH!$A$2:$B$57,2,0)</f>
        <v>#N/A</v>
      </c>
      <c r="Y714" t="str">
        <f t="shared" si="36"/>
        <v>Mettre en place des primes ou des ajouts/extensions de champ d’application pour des primes existantes à destination des …</v>
      </c>
    </row>
    <row r="715" spans="1:25" hidden="1" x14ac:dyDescent="0.25">
      <c r="A715" s="249" t="str">
        <f t="shared" si="37"/>
        <v>8</v>
      </c>
      <c r="B715" s="249" t="str">
        <f>VLOOKUP($D715,'[4]1. Mesures'!$A$2:$G$116,6,0)</f>
        <v>OS 8.2</v>
      </c>
      <c r="C715" s="249" t="str">
        <f>VLOOKUP($D715,'[4]1. Mesures'!$A$2:$G$116,7,0)</f>
        <v>-</v>
      </c>
      <c r="D715" s="249" t="str">
        <f t="shared" si="35"/>
        <v>M 8.5</v>
      </c>
      <c r="E715" s="250" t="s">
        <v>1278</v>
      </c>
      <c r="F715" s="249" t="str">
        <f>VLOOKUP(E715,'5.2 Actions'!$A$3:$B$720,2,0)</f>
        <v>Assurer l’actualisation régulière des informations disponibles sur les canaux de communication des instances délivrantes, les différents canaux de communication de Bruxelles Environnement ainsi que sur ceux des autres organismes pour lesquels la thématique s’inscrit dans les missions quotidiennes (e.g. réseau habitat, Homegrade,…).</v>
      </c>
      <c r="G715" s="251">
        <f>VLOOKUP(E715,'[4]5.2 Actions'!$A$3:$D$718,4,0)</f>
        <v>0</v>
      </c>
      <c r="H715" s="252">
        <f>VLOOKUP($E715,'5.1 Budget'!$A$4:$H$729,2,0)</f>
        <v>0</v>
      </c>
      <c r="I715" s="252">
        <f>VLOOKUP($E715,'5.1 Budget'!$A$4:$H$729,3,0)</f>
        <v>0</v>
      </c>
      <c r="J715" s="252">
        <f>VLOOKUP($E715,'5.1 Budget'!$A$4:$H$729,4,0)</f>
        <v>0</v>
      </c>
      <c r="K715" s="252">
        <f>VLOOKUP($E715,'5.1 Budget'!$A$4:$H$729,5,0)</f>
        <v>0</v>
      </c>
      <c r="L715" s="252">
        <f>VLOOKUP($E715,'5.1 Budget'!$A$4:$H$729,6,0)</f>
        <v>0</v>
      </c>
      <c r="M715" s="252">
        <f>VLOOKUP($E715,'5.1 Budget'!$A$4:$H$729,7,0)</f>
        <v>0</v>
      </c>
      <c r="N715" s="252">
        <f>VLOOKUP($E715,'5.1 Budget'!$A$4:$H$729,8,0)</f>
        <v>0</v>
      </c>
      <c r="V715" t="str">
        <f>VLOOKUP(D715,'[4]1. Mesures'!$A$1:$B$116,2,0)</f>
        <v xml:space="preserve"> Concevoir, mettre en œuvre et promouvoir les mécanismes de soutien à la gestion durable de l’eau</v>
      </c>
      <c r="W715" t="str">
        <f>VLOOKUP(B715,[1]HIERARCH!$A$1:$B$57,2,0)</f>
        <v>Echanger les expériences et les informations au niveau d’associations d’acteurs publics et privés bruxellois, belges et internationaux</v>
      </c>
      <c r="X715" t="e">
        <f>VLOOKUP(C715,[1]HIERARCH!$A$2:$B$57,2,0)</f>
        <v>#N/A</v>
      </c>
      <c r="Y715" t="str">
        <f t="shared" si="36"/>
        <v>Assurer l’actualisation régulière des informations disponibles sur les canaux de communication des instances délivrantes…</v>
      </c>
    </row>
  </sheetData>
  <autoFilter ref="A2:V715" xr:uid="{00000000-0009-0000-0000-00000C000000}">
    <filterColumn colId="3">
      <filters>
        <filter val="M 3.5"/>
      </filters>
    </filterColumn>
  </autoFilter>
  <mergeCells count="2">
    <mergeCell ref="H1:N1"/>
    <mergeCell ref="O1:U1"/>
  </mergeCells>
  <phoneticPr fontId="8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23"/>
  <dimension ref="A1:BX729"/>
  <sheetViews>
    <sheetView showGridLines="0" zoomScale="79" workbookViewId="0">
      <pane ySplit="3" topLeftCell="A4" activePane="bottomLeft" state="frozen"/>
      <selection pane="bottomLeft" activeCell="F25" sqref="F25"/>
    </sheetView>
  </sheetViews>
  <sheetFormatPr baseColWidth="10" defaultColWidth="10.85546875" defaultRowHeight="15" x14ac:dyDescent="0.25"/>
  <cols>
    <col min="1" max="1" width="11.85546875" bestFit="1" customWidth="1"/>
    <col min="2" max="2" width="12.5703125" bestFit="1" customWidth="1"/>
    <col min="3" max="3" width="14.140625" style="6" bestFit="1" customWidth="1"/>
    <col min="4" max="5" width="14.140625" bestFit="1" customWidth="1"/>
    <col min="6" max="6" width="15" bestFit="1" customWidth="1"/>
    <col min="7" max="7" width="13" style="6" bestFit="1" customWidth="1"/>
    <col min="8" max="8" width="18.7109375" customWidth="1"/>
    <col min="9" max="9" width="52.140625" customWidth="1"/>
    <col min="10" max="10" width="16.140625" customWidth="1"/>
    <col min="11" max="15" width="13.140625" bestFit="1" customWidth="1"/>
    <col min="16" max="16" width="17.140625" bestFit="1" customWidth="1"/>
    <col min="17" max="17" width="14.7109375" customWidth="1"/>
    <col min="18" max="18" width="14.140625" customWidth="1"/>
    <col min="23" max="23" width="20.85546875" customWidth="1"/>
  </cols>
  <sheetData>
    <row r="1" spans="1:76" x14ac:dyDescent="0.25">
      <c r="BA1" t="s">
        <v>395</v>
      </c>
      <c r="BE1" t="s">
        <v>396</v>
      </c>
      <c r="BF1" t="s">
        <v>397</v>
      </c>
      <c r="BM1" t="s">
        <v>395</v>
      </c>
      <c r="BQ1" t="s">
        <v>396</v>
      </c>
      <c r="BR1" t="s">
        <v>397</v>
      </c>
    </row>
    <row r="2" spans="1:76" ht="18" x14ac:dyDescent="0.25">
      <c r="B2" s="610" t="s">
        <v>1680</v>
      </c>
      <c r="C2" s="610"/>
      <c r="D2" s="610"/>
      <c r="E2" s="610"/>
      <c r="F2" s="610"/>
      <c r="G2" s="610"/>
      <c r="H2" s="611"/>
      <c r="I2" s="255"/>
      <c r="J2" s="612" t="s">
        <v>1681</v>
      </c>
      <c r="K2" s="612"/>
      <c r="L2" s="612"/>
      <c r="M2" s="612"/>
      <c r="N2" s="612"/>
      <c r="O2" s="612"/>
      <c r="P2" s="613"/>
      <c r="W2" t="s">
        <v>1682</v>
      </c>
      <c r="BA2" t="s">
        <v>394</v>
      </c>
      <c r="BC2" t="s">
        <v>398</v>
      </c>
      <c r="BE2" t="s">
        <v>399</v>
      </c>
      <c r="BF2" t="s">
        <v>398</v>
      </c>
      <c r="BH2" t="s">
        <v>394</v>
      </c>
      <c r="BM2" t="s">
        <v>394</v>
      </c>
      <c r="BO2" t="s">
        <v>398</v>
      </c>
      <c r="BQ2" t="s">
        <v>399</v>
      </c>
      <c r="BR2" t="s">
        <v>398</v>
      </c>
      <c r="BT2" t="s">
        <v>394</v>
      </c>
    </row>
    <row r="3" spans="1:76" ht="45" x14ac:dyDescent="0.25">
      <c r="A3" s="256" t="s">
        <v>1683</v>
      </c>
      <c r="B3" s="257">
        <v>2022</v>
      </c>
      <c r="C3" s="257">
        <v>2023</v>
      </c>
      <c r="D3" s="257">
        <v>2024</v>
      </c>
      <c r="E3" s="257">
        <v>2025</v>
      </c>
      <c r="F3" s="257">
        <v>2026</v>
      </c>
      <c r="G3" s="257">
        <v>2027</v>
      </c>
      <c r="H3" s="258" t="s">
        <v>394</v>
      </c>
      <c r="I3" s="258" t="s">
        <v>1684</v>
      </c>
      <c r="J3" s="259">
        <v>2022</v>
      </c>
      <c r="K3" s="259">
        <v>2023</v>
      </c>
      <c r="L3" s="259">
        <v>2024</v>
      </c>
      <c r="M3" s="259">
        <v>2025</v>
      </c>
      <c r="N3" s="259">
        <v>2026</v>
      </c>
      <c r="O3" s="259">
        <v>2027</v>
      </c>
      <c r="P3" s="260" t="s">
        <v>394</v>
      </c>
      <c r="Q3" s="6" t="s">
        <v>1685</v>
      </c>
      <c r="R3" s="6" t="s">
        <v>1686</v>
      </c>
      <c r="W3" s="261" t="s">
        <v>1687</v>
      </c>
      <c r="AY3" t="s">
        <v>400</v>
      </c>
      <c r="AZ3" t="s">
        <v>401</v>
      </c>
      <c r="BA3" t="s">
        <v>402</v>
      </c>
      <c r="BB3" t="s">
        <v>403</v>
      </c>
      <c r="BC3" t="s">
        <v>402</v>
      </c>
      <c r="BD3" t="s">
        <v>403</v>
      </c>
      <c r="BE3" t="s">
        <v>404</v>
      </c>
      <c r="BF3" t="s">
        <v>405</v>
      </c>
      <c r="BG3" t="s">
        <v>406</v>
      </c>
      <c r="BH3" t="s">
        <v>405</v>
      </c>
      <c r="BI3" t="s">
        <v>406</v>
      </c>
      <c r="BJ3" t="s">
        <v>407</v>
      </c>
      <c r="BK3" t="s">
        <v>395</v>
      </c>
      <c r="BL3" t="s">
        <v>408</v>
      </c>
      <c r="BM3" t="s">
        <v>402</v>
      </c>
      <c r="BN3" t="s">
        <v>403</v>
      </c>
      <c r="BO3" t="s">
        <v>402</v>
      </c>
      <c r="BP3" t="s">
        <v>403</v>
      </c>
      <c r="BQ3" t="s">
        <v>404</v>
      </c>
      <c r="BR3" t="s">
        <v>405</v>
      </c>
      <c r="BS3" t="s">
        <v>406</v>
      </c>
      <c r="BT3" t="s">
        <v>405</v>
      </c>
      <c r="BU3" t="s">
        <v>406</v>
      </c>
      <c r="BV3" t="s">
        <v>407</v>
      </c>
      <c r="BW3" t="s">
        <v>395</v>
      </c>
      <c r="BX3" t="s">
        <v>408</v>
      </c>
    </row>
    <row r="4" spans="1:76" x14ac:dyDescent="0.25">
      <c r="A4" s="262" t="s">
        <v>636</v>
      </c>
      <c r="B4" s="263">
        <v>100000</v>
      </c>
      <c r="C4" s="264"/>
      <c r="D4" s="264"/>
      <c r="E4" s="264"/>
      <c r="F4" s="264"/>
      <c r="G4" s="264"/>
      <c r="H4" s="265">
        <f>SUM(B4:G4)</f>
        <v>100000</v>
      </c>
      <c r="I4" s="265"/>
      <c r="J4" s="266"/>
      <c r="K4" s="266"/>
      <c r="L4" s="266"/>
      <c r="M4" s="266"/>
      <c r="N4" s="266"/>
      <c r="O4" s="266"/>
      <c r="P4" s="267">
        <f>SUM(J4:O4)</f>
        <v>0</v>
      </c>
      <c r="W4" s="268" t="s">
        <v>1688</v>
      </c>
    </row>
    <row r="5" spans="1:76" x14ac:dyDescent="0.25">
      <c r="A5" s="262" t="s">
        <v>640</v>
      </c>
      <c r="B5" s="269"/>
      <c r="C5" s="270">
        <v>1500000</v>
      </c>
      <c r="D5" s="270">
        <v>1200000</v>
      </c>
      <c r="E5" s="270">
        <v>1000000</v>
      </c>
      <c r="F5" s="270"/>
      <c r="G5" s="269"/>
      <c r="H5" s="265">
        <f t="shared" ref="H5:H68" si="0">SUM(B5:G5)</f>
        <v>3700000</v>
      </c>
      <c r="I5" s="271"/>
      <c r="J5" s="266"/>
      <c r="K5" s="266"/>
      <c r="L5" s="266"/>
      <c r="M5" s="266"/>
      <c r="N5" s="266"/>
      <c r="O5" s="266"/>
      <c r="P5" s="267">
        <f t="shared" ref="P5:P68" si="1">SUM(J5:O5)</f>
        <v>0</v>
      </c>
      <c r="W5" s="272" t="s">
        <v>1689</v>
      </c>
    </row>
    <row r="6" spans="1:76" x14ac:dyDescent="0.25">
      <c r="A6" s="262" t="s">
        <v>641</v>
      </c>
      <c r="B6" s="269"/>
      <c r="C6" s="270">
        <v>100000</v>
      </c>
      <c r="D6" s="269"/>
      <c r="E6" s="270"/>
      <c r="F6" s="270"/>
      <c r="G6" s="269"/>
      <c r="H6" s="265">
        <f t="shared" si="0"/>
        <v>100000</v>
      </c>
      <c r="I6" s="271"/>
      <c r="J6" s="266"/>
      <c r="K6" s="266"/>
      <c r="L6" s="266"/>
      <c r="M6" s="266"/>
      <c r="N6" s="266"/>
      <c r="O6" s="266"/>
      <c r="P6" s="267">
        <v>0</v>
      </c>
    </row>
    <row r="7" spans="1:76" x14ac:dyDescent="0.25">
      <c r="A7" s="262" t="s">
        <v>642</v>
      </c>
      <c r="B7" s="269"/>
      <c r="C7" s="269"/>
      <c r="D7" s="269"/>
      <c r="E7" s="270"/>
      <c r="F7" s="270"/>
      <c r="G7" s="273"/>
      <c r="H7" s="265">
        <f t="shared" si="0"/>
        <v>0</v>
      </c>
      <c r="I7" s="271"/>
      <c r="J7" s="266"/>
      <c r="K7" s="266"/>
      <c r="L7" s="266"/>
      <c r="M7" s="266"/>
      <c r="N7" s="266"/>
      <c r="O7" s="266"/>
      <c r="P7" s="267">
        <f t="shared" si="1"/>
        <v>0</v>
      </c>
    </row>
    <row r="8" spans="1:76" x14ac:dyDescent="0.25">
      <c r="A8" s="262" t="s">
        <v>643</v>
      </c>
      <c r="B8" s="270">
        <v>50000</v>
      </c>
      <c r="C8" s="269"/>
      <c r="D8" s="269"/>
      <c r="E8" s="270"/>
      <c r="F8" s="270"/>
      <c r="G8" s="270"/>
      <c r="H8" s="265">
        <f t="shared" si="0"/>
        <v>50000</v>
      </c>
      <c r="I8" s="271"/>
      <c r="J8" s="266"/>
      <c r="K8" s="266"/>
      <c r="L8" s="266"/>
      <c r="M8" s="266"/>
      <c r="N8" s="266"/>
      <c r="O8" s="266"/>
      <c r="P8" s="267">
        <f t="shared" si="1"/>
        <v>0</v>
      </c>
    </row>
    <row r="9" spans="1:76" x14ac:dyDescent="0.25">
      <c r="A9" s="262" t="s">
        <v>644</v>
      </c>
      <c r="B9" s="269"/>
      <c r="C9" s="270"/>
      <c r="D9" s="270">
        <v>1000000</v>
      </c>
      <c r="E9" s="270">
        <v>1000000</v>
      </c>
      <c r="F9" s="270"/>
      <c r="G9" s="270"/>
      <c r="H9" s="265">
        <f t="shared" si="0"/>
        <v>2000000</v>
      </c>
      <c r="I9" s="271"/>
      <c r="J9" s="266"/>
      <c r="K9" s="266"/>
      <c r="L9" s="266"/>
      <c r="M9" s="266"/>
      <c r="N9" s="266"/>
      <c r="O9" s="266"/>
      <c r="P9" s="267">
        <f t="shared" si="1"/>
        <v>0</v>
      </c>
    </row>
    <row r="10" spans="1:76" x14ac:dyDescent="0.25">
      <c r="A10" s="262" t="s">
        <v>645</v>
      </c>
      <c r="B10" s="270">
        <v>140000</v>
      </c>
      <c r="C10" s="270"/>
      <c r="D10" s="269"/>
      <c r="E10" s="270"/>
      <c r="F10" s="270"/>
      <c r="G10" s="269"/>
      <c r="H10" s="265">
        <f t="shared" si="0"/>
        <v>140000</v>
      </c>
      <c r="I10" s="271"/>
      <c r="J10" s="266"/>
      <c r="K10" s="266"/>
      <c r="L10" s="266"/>
      <c r="M10" s="266"/>
      <c r="N10" s="266"/>
      <c r="O10" s="266"/>
      <c r="P10" s="267">
        <f t="shared" si="1"/>
        <v>0</v>
      </c>
    </row>
    <row r="11" spans="1:76" x14ac:dyDescent="0.25">
      <c r="A11" s="262" t="s">
        <v>646</v>
      </c>
      <c r="B11" s="269"/>
      <c r="C11" s="269"/>
      <c r="D11" s="270">
        <v>1200000</v>
      </c>
      <c r="E11" s="270"/>
      <c r="F11" s="270"/>
      <c r="G11" s="269"/>
      <c r="H11" s="265">
        <f t="shared" si="0"/>
        <v>1200000</v>
      </c>
      <c r="I11" s="271"/>
      <c r="J11" s="266"/>
      <c r="K11" s="266"/>
      <c r="L11" s="266"/>
      <c r="M11" s="266"/>
      <c r="N11" s="266"/>
      <c r="O11" s="266"/>
      <c r="P11" s="267">
        <f t="shared" si="1"/>
        <v>0</v>
      </c>
    </row>
    <row r="12" spans="1:76" x14ac:dyDescent="0.25">
      <c r="A12" s="262" t="s">
        <v>647</v>
      </c>
      <c r="B12" s="269"/>
      <c r="C12" s="270">
        <v>90000</v>
      </c>
      <c r="D12" s="269"/>
      <c r="E12" s="270"/>
      <c r="F12" s="270"/>
      <c r="G12" s="269"/>
      <c r="H12" s="265">
        <f t="shared" si="0"/>
        <v>90000</v>
      </c>
      <c r="I12" s="271"/>
      <c r="J12" s="266"/>
      <c r="K12" s="266"/>
      <c r="L12" s="266"/>
      <c r="M12" s="266"/>
      <c r="N12" s="266"/>
      <c r="O12" s="266"/>
      <c r="P12" s="267">
        <f t="shared" si="1"/>
        <v>0</v>
      </c>
    </row>
    <row r="13" spans="1:76" x14ac:dyDescent="0.25">
      <c r="A13" s="262" t="s">
        <v>637</v>
      </c>
      <c r="B13" s="270"/>
      <c r="C13" s="270"/>
      <c r="D13" s="270"/>
      <c r="E13" s="270">
        <v>900000</v>
      </c>
      <c r="F13" s="270"/>
      <c r="G13" s="270"/>
      <c r="H13" s="265">
        <f t="shared" si="0"/>
        <v>900000</v>
      </c>
      <c r="I13" s="271"/>
      <c r="J13" s="266"/>
      <c r="K13" s="266"/>
      <c r="L13" s="266"/>
      <c r="M13" s="266"/>
      <c r="N13" s="266"/>
      <c r="O13" s="266"/>
      <c r="P13" s="267">
        <f t="shared" si="1"/>
        <v>0</v>
      </c>
    </row>
    <row r="14" spans="1:76" x14ac:dyDescent="0.25">
      <c r="A14" s="262" t="s">
        <v>638</v>
      </c>
      <c r="B14" s="270"/>
      <c r="C14" s="270"/>
      <c r="D14" s="270">
        <v>100000</v>
      </c>
      <c r="E14" s="270"/>
      <c r="F14" s="270"/>
      <c r="G14" s="270"/>
      <c r="H14" s="265">
        <f t="shared" si="0"/>
        <v>100000</v>
      </c>
      <c r="I14" s="271"/>
      <c r="J14" s="266"/>
      <c r="K14" s="266"/>
      <c r="L14" s="266"/>
      <c r="M14" s="266"/>
      <c r="N14" s="266"/>
      <c r="O14" s="266"/>
      <c r="P14" s="267">
        <f t="shared" si="1"/>
        <v>0</v>
      </c>
    </row>
    <row r="15" spans="1:76" x14ac:dyDescent="0.25">
      <c r="A15" s="262" t="s">
        <v>639</v>
      </c>
      <c r="B15" s="270"/>
      <c r="C15" s="270">
        <v>70000</v>
      </c>
      <c r="D15" s="270"/>
      <c r="E15" s="270"/>
      <c r="F15" s="270"/>
      <c r="G15" s="270"/>
      <c r="H15" s="265">
        <f t="shared" si="0"/>
        <v>70000</v>
      </c>
      <c r="I15" s="271"/>
      <c r="J15" s="266"/>
      <c r="K15" s="266"/>
      <c r="L15" s="266"/>
      <c r="M15" s="266"/>
      <c r="N15" s="266"/>
      <c r="O15" s="266"/>
      <c r="P15" s="267">
        <f t="shared" si="1"/>
        <v>0</v>
      </c>
    </row>
    <row r="16" spans="1:76" x14ac:dyDescent="0.25">
      <c r="A16" s="274" t="s">
        <v>648</v>
      </c>
      <c r="B16" s="275"/>
      <c r="C16" s="275"/>
      <c r="D16" s="275"/>
      <c r="E16" s="275"/>
      <c r="F16" s="275"/>
      <c r="G16" s="275"/>
      <c r="H16" s="265">
        <f t="shared" si="0"/>
        <v>0</v>
      </c>
      <c r="I16" s="271"/>
      <c r="J16" s="276"/>
      <c r="K16" s="276"/>
      <c r="L16" s="276"/>
      <c r="M16" s="276"/>
      <c r="N16" s="276"/>
      <c r="O16" s="276"/>
      <c r="P16" s="267">
        <f t="shared" si="1"/>
        <v>0</v>
      </c>
    </row>
    <row r="17" spans="1:16" x14ac:dyDescent="0.25">
      <c r="A17" s="274" t="s">
        <v>649</v>
      </c>
      <c r="B17" s="275"/>
      <c r="C17" s="275"/>
      <c r="D17" s="275"/>
      <c r="E17" s="275"/>
      <c r="F17" s="275"/>
      <c r="G17" s="275"/>
      <c r="H17" s="265">
        <f t="shared" si="0"/>
        <v>0</v>
      </c>
      <c r="I17" s="271"/>
      <c r="J17" s="276"/>
      <c r="K17" s="276"/>
      <c r="L17" s="276"/>
      <c r="M17" s="276"/>
      <c r="N17" s="276"/>
      <c r="O17" s="276"/>
      <c r="P17" s="267">
        <f t="shared" si="1"/>
        <v>0</v>
      </c>
    </row>
    <row r="18" spans="1:16" x14ac:dyDescent="0.25">
      <c r="A18" s="262" t="s">
        <v>700</v>
      </c>
      <c r="B18" s="270">
        <v>80000</v>
      </c>
      <c r="C18" s="270"/>
      <c r="D18" s="269"/>
      <c r="E18" s="270"/>
      <c r="F18" s="269"/>
      <c r="G18" s="269"/>
      <c r="H18" s="265">
        <f t="shared" si="0"/>
        <v>80000</v>
      </c>
      <c r="I18" s="277"/>
      <c r="J18" s="266"/>
      <c r="K18" s="266"/>
      <c r="L18" s="266"/>
      <c r="M18" s="266"/>
      <c r="N18" s="266"/>
      <c r="O18" s="266"/>
      <c r="P18" s="267">
        <f t="shared" si="1"/>
        <v>0</v>
      </c>
    </row>
    <row r="19" spans="1:16" x14ac:dyDescent="0.25">
      <c r="A19" s="262" t="s">
        <v>711</v>
      </c>
      <c r="B19" s="270"/>
      <c r="C19" s="270"/>
      <c r="D19" s="269"/>
      <c r="E19" s="270"/>
      <c r="F19" s="270">
        <v>1500000</v>
      </c>
      <c r="G19" s="270"/>
      <c r="H19" s="265">
        <f t="shared" si="0"/>
        <v>1500000</v>
      </c>
      <c r="I19" s="271"/>
      <c r="J19" s="266"/>
      <c r="K19" s="266"/>
      <c r="L19" s="266"/>
      <c r="M19" s="266"/>
      <c r="N19" s="266"/>
      <c r="O19" s="266"/>
      <c r="P19" s="267">
        <f t="shared" si="1"/>
        <v>0</v>
      </c>
    </row>
    <row r="20" spans="1:16" x14ac:dyDescent="0.25">
      <c r="A20" s="262" t="s">
        <v>721</v>
      </c>
      <c r="B20" s="270"/>
      <c r="C20" s="270"/>
      <c r="D20" s="269"/>
      <c r="E20" s="270"/>
      <c r="F20" s="270">
        <v>2500000</v>
      </c>
      <c r="G20" s="270"/>
      <c r="H20" s="265">
        <f t="shared" si="0"/>
        <v>2500000</v>
      </c>
      <c r="I20" s="271"/>
      <c r="J20" s="266"/>
      <c r="K20" s="266"/>
      <c r="L20" s="266"/>
      <c r="M20" s="266"/>
      <c r="N20" s="266"/>
      <c r="O20" s="266"/>
      <c r="P20" s="267">
        <f t="shared" si="1"/>
        <v>0</v>
      </c>
    </row>
    <row r="21" spans="1:16" x14ac:dyDescent="0.25">
      <c r="A21" s="262" t="s">
        <v>722</v>
      </c>
      <c r="B21" s="270">
        <v>90000</v>
      </c>
      <c r="C21" s="270"/>
      <c r="D21" s="269"/>
      <c r="E21" s="270"/>
      <c r="F21" s="270"/>
      <c r="G21" s="270"/>
      <c r="H21" s="265">
        <f t="shared" si="0"/>
        <v>90000</v>
      </c>
      <c r="I21" s="271"/>
      <c r="J21" s="266"/>
      <c r="K21" s="266"/>
      <c r="L21" s="266"/>
      <c r="M21" s="266"/>
      <c r="N21" s="266"/>
      <c r="O21" s="266"/>
      <c r="P21" s="267">
        <f t="shared" si="1"/>
        <v>0</v>
      </c>
    </row>
    <row r="22" spans="1:16" x14ac:dyDescent="0.25">
      <c r="A22" s="262" t="s">
        <v>723</v>
      </c>
      <c r="B22" s="270"/>
      <c r="C22" s="270">
        <v>550000</v>
      </c>
      <c r="D22" s="269"/>
      <c r="E22" s="270"/>
      <c r="F22" s="270"/>
      <c r="G22" s="270"/>
      <c r="H22" s="265">
        <f t="shared" si="0"/>
        <v>550000</v>
      </c>
      <c r="I22" s="271"/>
      <c r="J22" s="266"/>
      <c r="K22" s="266"/>
      <c r="L22" s="266"/>
      <c r="M22" s="266"/>
      <c r="N22" s="266"/>
      <c r="O22" s="266"/>
      <c r="P22" s="267">
        <f t="shared" si="1"/>
        <v>0</v>
      </c>
    </row>
    <row r="23" spans="1:16" x14ac:dyDescent="0.25">
      <c r="A23" s="262" t="s">
        <v>724</v>
      </c>
      <c r="B23" s="270"/>
      <c r="C23" s="270">
        <v>150000</v>
      </c>
      <c r="D23" s="269"/>
      <c r="E23" s="270"/>
      <c r="F23" s="270"/>
      <c r="G23" s="270"/>
      <c r="H23" s="265">
        <f t="shared" si="0"/>
        <v>150000</v>
      </c>
      <c r="I23" s="271"/>
      <c r="J23" s="266"/>
      <c r="K23" s="266"/>
      <c r="L23" s="266"/>
      <c r="M23" s="266"/>
      <c r="N23" s="266"/>
      <c r="O23" s="266"/>
      <c r="P23" s="267">
        <f t="shared" si="1"/>
        <v>0</v>
      </c>
    </row>
    <row r="24" spans="1:16" x14ac:dyDescent="0.25">
      <c r="A24" s="262" t="s">
        <v>725</v>
      </c>
      <c r="B24" s="270"/>
      <c r="C24" s="270"/>
      <c r="D24" s="269"/>
      <c r="E24" s="270"/>
      <c r="F24" s="270"/>
      <c r="G24" s="270">
        <v>600000</v>
      </c>
      <c r="H24" s="265">
        <f t="shared" si="0"/>
        <v>600000</v>
      </c>
      <c r="I24" s="271"/>
      <c r="J24" s="266"/>
      <c r="K24" s="266"/>
      <c r="L24" s="266"/>
      <c r="M24" s="266"/>
      <c r="N24" s="266"/>
      <c r="O24" s="266"/>
      <c r="P24" s="267">
        <f t="shared" si="1"/>
        <v>0</v>
      </c>
    </row>
    <row r="25" spans="1:16" x14ac:dyDescent="0.25">
      <c r="A25" s="262" t="s">
        <v>726</v>
      </c>
      <c r="B25" s="270"/>
      <c r="C25" s="270"/>
      <c r="D25" s="269"/>
      <c r="E25" s="270"/>
      <c r="F25" s="270">
        <v>150000</v>
      </c>
      <c r="G25" s="270"/>
      <c r="H25" s="265">
        <f t="shared" si="0"/>
        <v>150000</v>
      </c>
      <c r="I25" s="271"/>
      <c r="J25" s="266"/>
      <c r="K25" s="266"/>
      <c r="L25" s="266"/>
      <c r="M25" s="266"/>
      <c r="N25" s="266"/>
      <c r="O25" s="266"/>
      <c r="P25" s="267">
        <f t="shared" si="1"/>
        <v>0</v>
      </c>
    </row>
    <row r="26" spans="1:16" x14ac:dyDescent="0.25">
      <c r="A26" s="262" t="s">
        <v>727</v>
      </c>
      <c r="B26" s="270"/>
      <c r="C26" s="270"/>
      <c r="D26" s="269"/>
      <c r="E26" s="270"/>
      <c r="F26" s="270"/>
      <c r="G26" s="270">
        <v>50000</v>
      </c>
      <c r="H26" s="265">
        <f t="shared" si="0"/>
        <v>50000</v>
      </c>
      <c r="I26" s="271"/>
      <c r="J26" s="266"/>
      <c r="K26" s="266"/>
      <c r="L26" s="266"/>
      <c r="M26" s="266"/>
      <c r="N26" s="266"/>
      <c r="O26" s="266"/>
      <c r="P26" s="267">
        <f t="shared" si="1"/>
        <v>0</v>
      </c>
    </row>
    <row r="27" spans="1:16" x14ac:dyDescent="0.25">
      <c r="A27" s="262" t="s">
        <v>701</v>
      </c>
      <c r="B27" s="278"/>
      <c r="C27" s="278"/>
      <c r="D27" s="279"/>
      <c r="E27" s="278"/>
      <c r="F27" s="279"/>
      <c r="G27" s="279"/>
      <c r="H27" s="265">
        <f t="shared" si="0"/>
        <v>0</v>
      </c>
      <c r="I27" s="280" t="s">
        <v>1690</v>
      </c>
      <c r="J27" s="266"/>
      <c r="K27" s="266"/>
      <c r="L27" s="266"/>
      <c r="M27" s="266"/>
      <c r="N27" s="266"/>
      <c r="O27" s="266"/>
      <c r="P27" s="267">
        <f t="shared" si="1"/>
        <v>0</v>
      </c>
    </row>
    <row r="28" spans="1:16" x14ac:dyDescent="0.25">
      <c r="A28" s="262" t="s">
        <v>702</v>
      </c>
      <c r="B28" s="278"/>
      <c r="C28" s="278"/>
      <c r="D28" s="279"/>
      <c r="E28" s="278"/>
      <c r="F28" s="279"/>
      <c r="G28" s="279"/>
      <c r="H28" s="265">
        <f t="shared" si="0"/>
        <v>0</v>
      </c>
      <c r="I28" s="280" t="s">
        <v>1690</v>
      </c>
      <c r="J28" s="266"/>
      <c r="K28" s="266"/>
      <c r="L28" s="266"/>
      <c r="M28" s="266"/>
      <c r="N28" s="266"/>
      <c r="O28" s="266"/>
      <c r="P28" s="267">
        <f t="shared" si="1"/>
        <v>0</v>
      </c>
    </row>
    <row r="29" spans="1:16" x14ac:dyDescent="0.25">
      <c r="A29" s="262" t="s">
        <v>703</v>
      </c>
      <c r="B29" s="278"/>
      <c r="C29" s="278"/>
      <c r="D29" s="279"/>
      <c r="E29" s="278"/>
      <c r="F29" s="279"/>
      <c r="G29" s="279"/>
      <c r="H29" s="265">
        <f t="shared" si="0"/>
        <v>0</v>
      </c>
      <c r="I29" s="280" t="s">
        <v>1690</v>
      </c>
      <c r="J29" s="266"/>
      <c r="K29" s="266"/>
      <c r="L29" s="266"/>
      <c r="M29" s="266"/>
      <c r="N29" s="266"/>
      <c r="O29" s="266"/>
      <c r="P29" s="267">
        <f t="shared" si="1"/>
        <v>0</v>
      </c>
    </row>
    <row r="30" spans="1:16" x14ac:dyDescent="0.25">
      <c r="A30" s="262" t="s">
        <v>704</v>
      </c>
      <c r="B30" s="278"/>
      <c r="C30" s="278"/>
      <c r="D30" s="279"/>
      <c r="E30" s="278"/>
      <c r="F30" s="279"/>
      <c r="G30" s="279"/>
      <c r="H30" s="265">
        <f t="shared" si="0"/>
        <v>0</v>
      </c>
      <c r="I30" s="280" t="s">
        <v>1690</v>
      </c>
      <c r="J30" s="266"/>
      <c r="K30" s="266"/>
      <c r="L30" s="266"/>
      <c r="M30" s="266"/>
      <c r="N30" s="266"/>
      <c r="O30" s="266"/>
      <c r="P30" s="267">
        <f t="shared" si="1"/>
        <v>0</v>
      </c>
    </row>
    <row r="31" spans="1:16" x14ac:dyDescent="0.25">
      <c r="A31" s="262" t="s">
        <v>705</v>
      </c>
      <c r="B31" s="270">
        <v>90000</v>
      </c>
      <c r="C31" s="270"/>
      <c r="D31" s="269"/>
      <c r="E31" s="270"/>
      <c r="F31" s="269"/>
      <c r="G31" s="269"/>
      <c r="H31" s="265">
        <f t="shared" si="0"/>
        <v>90000</v>
      </c>
      <c r="I31" s="280"/>
      <c r="J31" s="266"/>
      <c r="K31" s="266"/>
      <c r="L31" s="266"/>
      <c r="M31" s="266"/>
      <c r="N31" s="266"/>
      <c r="O31" s="266"/>
      <c r="P31" s="267">
        <f t="shared" si="1"/>
        <v>0</v>
      </c>
    </row>
    <row r="32" spans="1:16" x14ac:dyDescent="0.25">
      <c r="A32" s="262" t="s">
        <v>706</v>
      </c>
      <c r="B32" s="270"/>
      <c r="C32" s="270">
        <v>600000</v>
      </c>
      <c r="D32" s="269"/>
      <c r="E32" s="270"/>
      <c r="F32" s="269"/>
      <c r="G32" s="269"/>
      <c r="H32" s="265">
        <f t="shared" si="0"/>
        <v>600000</v>
      </c>
      <c r="I32" s="280"/>
      <c r="J32" s="266"/>
      <c r="K32" s="266"/>
      <c r="L32" s="266"/>
      <c r="M32" s="266"/>
      <c r="N32" s="266"/>
      <c r="O32" s="266"/>
      <c r="P32" s="267">
        <f t="shared" si="1"/>
        <v>0</v>
      </c>
    </row>
    <row r="33" spans="1:16" x14ac:dyDescent="0.25">
      <c r="A33" s="262" t="s">
        <v>707</v>
      </c>
      <c r="B33" s="278"/>
      <c r="C33" s="278"/>
      <c r="D33" s="279"/>
      <c r="E33" s="278"/>
      <c r="F33" s="279"/>
      <c r="G33" s="279"/>
      <c r="H33" s="265">
        <f t="shared" si="0"/>
        <v>0</v>
      </c>
      <c r="I33" s="280" t="s">
        <v>1690</v>
      </c>
      <c r="J33" s="266"/>
      <c r="K33" s="266"/>
      <c r="L33" s="266"/>
      <c r="M33" s="266"/>
      <c r="N33" s="266"/>
      <c r="O33" s="266"/>
      <c r="P33" s="267">
        <f t="shared" si="1"/>
        <v>0</v>
      </c>
    </row>
    <row r="34" spans="1:16" x14ac:dyDescent="0.25">
      <c r="A34" s="262" t="s">
        <v>708</v>
      </c>
      <c r="B34" s="278"/>
      <c r="C34" s="278"/>
      <c r="D34" s="279"/>
      <c r="E34" s="278"/>
      <c r="F34" s="279"/>
      <c r="G34" s="279"/>
      <c r="H34" s="265">
        <f t="shared" si="0"/>
        <v>0</v>
      </c>
      <c r="I34" s="280" t="s">
        <v>1690</v>
      </c>
      <c r="J34" s="266"/>
      <c r="K34" s="266"/>
      <c r="L34" s="266"/>
      <c r="M34" s="266"/>
      <c r="N34" s="266"/>
      <c r="O34" s="266"/>
      <c r="P34" s="267">
        <f t="shared" si="1"/>
        <v>0</v>
      </c>
    </row>
    <row r="35" spans="1:16" x14ac:dyDescent="0.25">
      <c r="A35" s="262" t="s">
        <v>709</v>
      </c>
      <c r="B35" s="278"/>
      <c r="C35" s="278"/>
      <c r="D35" s="279"/>
      <c r="E35" s="278"/>
      <c r="F35" s="279"/>
      <c r="G35" s="279"/>
      <c r="H35" s="265">
        <f t="shared" si="0"/>
        <v>0</v>
      </c>
      <c r="I35" s="280" t="s">
        <v>1690</v>
      </c>
      <c r="J35" s="266"/>
      <c r="K35" s="266"/>
      <c r="L35" s="266"/>
      <c r="M35" s="266"/>
      <c r="N35" s="266"/>
      <c r="O35" s="266"/>
      <c r="P35" s="267">
        <f t="shared" si="1"/>
        <v>0</v>
      </c>
    </row>
    <row r="36" spans="1:16" x14ac:dyDescent="0.25">
      <c r="A36" s="262" t="s">
        <v>710</v>
      </c>
      <c r="B36" s="278"/>
      <c r="C36" s="278"/>
      <c r="D36" s="279"/>
      <c r="E36" s="278"/>
      <c r="F36" s="279"/>
      <c r="G36" s="279"/>
      <c r="H36" s="265">
        <f t="shared" si="0"/>
        <v>0</v>
      </c>
      <c r="I36" s="280" t="s">
        <v>1690</v>
      </c>
      <c r="J36" s="266"/>
      <c r="K36" s="266"/>
      <c r="L36" s="266"/>
      <c r="M36" s="266"/>
      <c r="N36" s="266"/>
      <c r="O36" s="266"/>
      <c r="P36" s="267">
        <f t="shared" si="1"/>
        <v>0</v>
      </c>
    </row>
    <row r="37" spans="1:16" x14ac:dyDescent="0.25">
      <c r="A37" s="262" t="s">
        <v>712</v>
      </c>
      <c r="B37" s="278"/>
      <c r="C37" s="278"/>
      <c r="D37" s="279"/>
      <c r="E37" s="278"/>
      <c r="F37" s="279"/>
      <c r="G37" s="279"/>
      <c r="H37" s="265">
        <f t="shared" si="0"/>
        <v>0</v>
      </c>
      <c r="I37" s="280" t="s">
        <v>1691</v>
      </c>
      <c r="J37" s="266"/>
      <c r="K37" s="266"/>
      <c r="L37" s="266"/>
      <c r="M37" s="266"/>
      <c r="N37" s="266"/>
      <c r="O37" s="266"/>
      <c r="P37" s="267">
        <f t="shared" si="1"/>
        <v>0</v>
      </c>
    </row>
    <row r="38" spans="1:16" x14ac:dyDescent="0.25">
      <c r="A38" s="262" t="s">
        <v>713</v>
      </c>
      <c r="B38" s="270">
        <v>200000</v>
      </c>
      <c r="C38" s="270"/>
      <c r="D38" s="269"/>
      <c r="E38" s="270"/>
      <c r="F38" s="269"/>
      <c r="G38" s="269"/>
      <c r="H38" s="265">
        <f t="shared" si="0"/>
        <v>200000</v>
      </c>
      <c r="I38" s="271"/>
      <c r="J38" s="266"/>
      <c r="K38" s="266"/>
      <c r="L38" s="266"/>
      <c r="M38" s="266"/>
      <c r="N38" s="266"/>
      <c r="O38" s="266"/>
      <c r="P38" s="267">
        <f t="shared" si="1"/>
        <v>0</v>
      </c>
    </row>
    <row r="39" spans="1:16" x14ac:dyDescent="0.25">
      <c r="A39" s="262" t="s">
        <v>714</v>
      </c>
      <c r="B39" s="270"/>
      <c r="C39" s="270">
        <v>30000</v>
      </c>
      <c r="D39" s="269"/>
      <c r="E39" s="270"/>
      <c r="F39" s="269"/>
      <c r="G39" s="269"/>
      <c r="H39" s="265">
        <f t="shared" si="0"/>
        <v>30000</v>
      </c>
      <c r="I39" s="271"/>
      <c r="J39" s="266"/>
      <c r="K39" s="266"/>
      <c r="L39" s="266"/>
      <c r="M39" s="266"/>
      <c r="N39" s="266"/>
      <c r="O39" s="266"/>
      <c r="P39" s="267">
        <f t="shared" si="1"/>
        <v>0</v>
      </c>
    </row>
    <row r="40" spans="1:16" x14ac:dyDescent="0.25">
      <c r="A40" s="262" t="s">
        <v>715</v>
      </c>
      <c r="B40" s="270"/>
      <c r="C40" s="270"/>
      <c r="D40" s="269"/>
      <c r="E40" s="270"/>
      <c r="F40" s="269"/>
      <c r="G40" s="269"/>
      <c r="H40" s="265">
        <f t="shared" si="0"/>
        <v>0</v>
      </c>
      <c r="I40" s="271"/>
      <c r="J40" s="266"/>
      <c r="K40" s="266"/>
      <c r="L40" s="266"/>
      <c r="M40" s="266"/>
      <c r="N40" s="266"/>
      <c r="O40" s="266"/>
      <c r="P40" s="267">
        <f t="shared" si="1"/>
        <v>0</v>
      </c>
    </row>
    <row r="41" spans="1:16" x14ac:dyDescent="0.25">
      <c r="A41" s="262" t="s">
        <v>716</v>
      </c>
      <c r="B41" s="270"/>
      <c r="C41" s="270">
        <v>250000</v>
      </c>
      <c r="D41" s="270">
        <v>300000</v>
      </c>
      <c r="E41" s="270">
        <v>285000</v>
      </c>
      <c r="F41" s="269"/>
      <c r="G41" s="269"/>
      <c r="H41" s="265">
        <f t="shared" si="0"/>
        <v>835000</v>
      </c>
      <c r="I41" s="271"/>
      <c r="J41" s="266"/>
      <c r="K41" s="266"/>
      <c r="L41" s="266"/>
      <c r="M41" s="266"/>
      <c r="N41" s="266"/>
      <c r="O41" s="266"/>
      <c r="P41" s="267">
        <f t="shared" si="1"/>
        <v>0</v>
      </c>
    </row>
    <row r="42" spans="1:16" x14ac:dyDescent="0.25">
      <c r="A42" s="262" t="s">
        <v>717</v>
      </c>
      <c r="B42" s="270"/>
      <c r="C42" s="270"/>
      <c r="D42" s="269"/>
      <c r="E42" s="270">
        <v>200000</v>
      </c>
      <c r="F42" s="269"/>
      <c r="G42" s="269"/>
      <c r="H42" s="265">
        <f t="shared" si="0"/>
        <v>200000</v>
      </c>
      <c r="I42" s="280" t="s">
        <v>1692</v>
      </c>
      <c r="J42" s="266"/>
      <c r="K42" s="266"/>
      <c r="L42" s="266"/>
      <c r="M42" s="266"/>
      <c r="N42" s="266"/>
      <c r="O42" s="266"/>
      <c r="P42" s="267">
        <f t="shared" si="1"/>
        <v>0</v>
      </c>
    </row>
    <row r="43" spans="1:16" x14ac:dyDescent="0.25">
      <c r="A43" s="262" t="s">
        <v>718</v>
      </c>
      <c r="B43" s="270"/>
      <c r="C43" s="270"/>
      <c r="D43" s="270">
        <v>300000</v>
      </c>
      <c r="E43" s="270"/>
      <c r="F43" s="270"/>
      <c r="G43" s="270"/>
      <c r="H43" s="265">
        <f t="shared" si="0"/>
        <v>300000</v>
      </c>
      <c r="I43" s="271"/>
      <c r="J43" s="266"/>
      <c r="K43" s="266"/>
      <c r="L43" s="266"/>
      <c r="M43" s="266"/>
      <c r="N43" s="266"/>
      <c r="O43" s="266"/>
      <c r="P43" s="267">
        <f t="shared" si="1"/>
        <v>0</v>
      </c>
    </row>
    <row r="44" spans="1:16" x14ac:dyDescent="0.25">
      <c r="A44" s="262" t="s">
        <v>719</v>
      </c>
      <c r="B44" s="270"/>
      <c r="C44" s="270"/>
      <c r="D44" s="270">
        <v>500000</v>
      </c>
      <c r="E44" s="270"/>
      <c r="F44" s="270"/>
      <c r="G44" s="270"/>
      <c r="H44" s="265">
        <f t="shared" si="0"/>
        <v>500000</v>
      </c>
      <c r="I44" s="280" t="s">
        <v>1688</v>
      </c>
      <c r="J44" s="266"/>
      <c r="K44" s="266"/>
      <c r="L44" s="266"/>
      <c r="M44" s="266"/>
      <c r="N44" s="266"/>
      <c r="O44" s="266"/>
      <c r="P44" s="267">
        <f t="shared" si="1"/>
        <v>0</v>
      </c>
    </row>
    <row r="45" spans="1:16" x14ac:dyDescent="0.25">
      <c r="A45" s="262" t="s">
        <v>720</v>
      </c>
      <c r="B45" s="270"/>
      <c r="C45" s="270"/>
      <c r="D45" s="270"/>
      <c r="E45" s="270">
        <v>200000</v>
      </c>
      <c r="F45" s="270"/>
      <c r="G45" s="270"/>
      <c r="H45" s="265">
        <f t="shared" si="0"/>
        <v>200000</v>
      </c>
      <c r="I45" s="280" t="s">
        <v>1688</v>
      </c>
      <c r="J45" s="266"/>
      <c r="K45" s="266"/>
      <c r="L45" s="266"/>
      <c r="M45" s="266"/>
      <c r="N45" s="266"/>
      <c r="O45" s="266"/>
      <c r="P45" s="267">
        <f t="shared" si="1"/>
        <v>0</v>
      </c>
    </row>
    <row r="46" spans="1:16" x14ac:dyDescent="0.25">
      <c r="A46" s="262" t="s">
        <v>775</v>
      </c>
      <c r="B46" s="281">
        <v>50000</v>
      </c>
      <c r="C46" s="281"/>
      <c r="D46" s="281"/>
      <c r="E46" s="281"/>
      <c r="F46" s="281"/>
      <c r="G46" s="281"/>
      <c r="H46" s="265">
        <f t="shared" si="0"/>
        <v>50000</v>
      </c>
      <c r="I46" s="271"/>
      <c r="J46" s="266"/>
      <c r="K46" s="266"/>
      <c r="L46" s="266"/>
      <c r="M46" s="266"/>
      <c r="N46" s="266"/>
      <c r="O46" s="266"/>
      <c r="P46" s="267">
        <f t="shared" si="1"/>
        <v>0</v>
      </c>
    </row>
    <row r="47" spans="1:16" x14ac:dyDescent="0.25">
      <c r="A47" s="262" t="s">
        <v>776</v>
      </c>
      <c r="B47" s="281"/>
      <c r="C47" s="281"/>
      <c r="D47" s="281">
        <v>50000</v>
      </c>
      <c r="E47" s="281"/>
      <c r="F47" s="281"/>
      <c r="G47" s="281"/>
      <c r="H47" s="265">
        <f t="shared" si="0"/>
        <v>50000</v>
      </c>
      <c r="I47" s="271"/>
      <c r="J47" s="266"/>
      <c r="K47" s="266"/>
      <c r="L47" s="266"/>
      <c r="M47" s="266"/>
      <c r="N47" s="266"/>
      <c r="O47" s="266"/>
      <c r="P47" s="267">
        <f t="shared" si="1"/>
        <v>0</v>
      </c>
    </row>
    <row r="48" spans="1:16" x14ac:dyDescent="0.25">
      <c r="A48" s="262" t="s">
        <v>777</v>
      </c>
      <c r="B48" s="281"/>
      <c r="C48" s="281"/>
      <c r="D48" s="281"/>
      <c r="E48" s="281"/>
      <c r="F48" s="281">
        <v>100000</v>
      </c>
      <c r="G48" s="281"/>
      <c r="H48" s="265">
        <f t="shared" si="0"/>
        <v>100000</v>
      </c>
      <c r="I48" s="271"/>
      <c r="J48" s="266"/>
      <c r="K48" s="266"/>
      <c r="L48" s="266"/>
      <c r="M48" s="266"/>
      <c r="N48" s="266"/>
      <c r="O48" s="266"/>
      <c r="P48" s="267">
        <f t="shared" si="1"/>
        <v>0</v>
      </c>
    </row>
    <row r="49" spans="1:16" x14ac:dyDescent="0.25">
      <c r="A49" s="262" t="s">
        <v>778</v>
      </c>
      <c r="B49" s="281"/>
      <c r="C49" s="281"/>
      <c r="D49" s="281"/>
      <c r="E49" s="281"/>
      <c r="F49" s="273"/>
      <c r="G49" s="281"/>
      <c r="H49" s="265">
        <f t="shared" si="0"/>
        <v>0</v>
      </c>
      <c r="I49" s="271"/>
      <c r="J49" s="266"/>
      <c r="K49" s="266"/>
      <c r="L49" s="266"/>
      <c r="M49" s="266"/>
      <c r="N49" s="266"/>
      <c r="O49" s="266"/>
      <c r="P49" s="267">
        <f t="shared" si="1"/>
        <v>0</v>
      </c>
    </row>
    <row r="50" spans="1:16" x14ac:dyDescent="0.25">
      <c r="A50" s="262" t="s">
        <v>779</v>
      </c>
      <c r="B50" s="281"/>
      <c r="C50" s="281"/>
      <c r="D50" s="281"/>
      <c r="E50" s="281"/>
      <c r="F50" s="281">
        <v>250000</v>
      </c>
      <c r="G50" s="281"/>
      <c r="H50" s="265">
        <f t="shared" si="0"/>
        <v>250000</v>
      </c>
      <c r="I50" s="271"/>
      <c r="J50" s="266"/>
      <c r="K50" s="266"/>
      <c r="L50" s="266"/>
      <c r="M50" s="266"/>
      <c r="N50" s="266"/>
      <c r="O50" s="266"/>
      <c r="P50" s="267">
        <f t="shared" si="1"/>
        <v>0</v>
      </c>
    </row>
    <row r="51" spans="1:16" x14ac:dyDescent="0.25">
      <c r="A51" s="262" t="s">
        <v>780</v>
      </c>
      <c r="B51" s="282"/>
      <c r="C51" s="282"/>
      <c r="D51" s="282"/>
      <c r="E51" s="282"/>
      <c r="F51" s="282"/>
      <c r="G51" s="282"/>
      <c r="H51" s="265">
        <f t="shared" si="0"/>
        <v>0</v>
      </c>
      <c r="I51" s="280" t="s">
        <v>1690</v>
      </c>
      <c r="J51" s="266"/>
      <c r="K51" s="266"/>
      <c r="L51" s="266"/>
      <c r="M51" s="266"/>
      <c r="N51" s="266"/>
      <c r="O51" s="266"/>
      <c r="P51" s="267">
        <f t="shared" si="1"/>
        <v>0</v>
      </c>
    </row>
    <row r="52" spans="1:16" x14ac:dyDescent="0.25">
      <c r="A52" s="262" t="s">
        <v>781</v>
      </c>
      <c r="B52" s="282"/>
      <c r="C52" s="282"/>
      <c r="D52" s="282"/>
      <c r="E52" s="282"/>
      <c r="F52" s="282"/>
      <c r="G52" s="282"/>
      <c r="H52" s="265">
        <f t="shared" si="0"/>
        <v>0</v>
      </c>
      <c r="I52" s="280" t="s">
        <v>1690</v>
      </c>
      <c r="J52" s="266"/>
      <c r="K52" s="266"/>
      <c r="L52" s="266"/>
      <c r="M52" s="266"/>
      <c r="N52" s="266"/>
      <c r="O52" s="266"/>
      <c r="P52" s="267">
        <f t="shared" si="1"/>
        <v>0</v>
      </c>
    </row>
    <row r="53" spans="1:16" x14ac:dyDescent="0.25">
      <c r="A53" s="262" t="s">
        <v>782</v>
      </c>
      <c r="B53" s="282"/>
      <c r="C53" s="282"/>
      <c r="D53" s="282"/>
      <c r="E53" s="282"/>
      <c r="F53" s="282"/>
      <c r="G53" s="282"/>
      <c r="H53" s="265">
        <f t="shared" si="0"/>
        <v>0</v>
      </c>
      <c r="I53" s="280" t="s">
        <v>1690</v>
      </c>
      <c r="J53" s="266"/>
      <c r="K53" s="266"/>
      <c r="L53" s="266"/>
      <c r="M53" s="266"/>
      <c r="N53" s="266"/>
      <c r="O53" s="266"/>
      <c r="P53" s="267">
        <f t="shared" si="1"/>
        <v>0</v>
      </c>
    </row>
    <row r="54" spans="1:16" x14ac:dyDescent="0.25">
      <c r="A54" s="262" t="s">
        <v>1693</v>
      </c>
      <c r="B54" s="282"/>
      <c r="C54" s="282"/>
      <c r="D54" s="282"/>
      <c r="E54" s="282"/>
      <c r="F54" s="282"/>
      <c r="G54" s="282"/>
      <c r="H54" s="265">
        <f t="shared" si="0"/>
        <v>0</v>
      </c>
      <c r="I54" s="280" t="s">
        <v>1690</v>
      </c>
      <c r="J54" s="266"/>
      <c r="K54" s="266"/>
      <c r="L54" s="266"/>
      <c r="M54" s="266"/>
      <c r="N54" s="266"/>
      <c r="O54" s="266"/>
      <c r="P54" s="267">
        <f t="shared" si="1"/>
        <v>0</v>
      </c>
    </row>
    <row r="55" spans="1:16" x14ac:dyDescent="0.25">
      <c r="A55" s="262" t="s">
        <v>783</v>
      </c>
      <c r="B55" s="283"/>
      <c r="C55" s="283"/>
      <c r="D55" s="283"/>
      <c r="E55" s="283"/>
      <c r="F55" s="283"/>
      <c r="G55" s="283"/>
      <c r="H55" s="265">
        <f t="shared" si="0"/>
        <v>0</v>
      </c>
      <c r="I55" s="284"/>
      <c r="J55" s="276"/>
      <c r="K55" s="276"/>
      <c r="L55" s="276"/>
      <c r="M55" s="276"/>
      <c r="N55" s="276"/>
      <c r="O55" s="276"/>
      <c r="P55" s="267">
        <f t="shared" si="1"/>
        <v>0</v>
      </c>
    </row>
    <row r="56" spans="1:16" x14ac:dyDescent="0.25">
      <c r="A56" s="262" t="s">
        <v>784</v>
      </c>
      <c r="B56" s="266"/>
      <c r="C56" s="266"/>
      <c r="D56" s="266"/>
      <c r="E56" s="266"/>
      <c r="F56" s="266"/>
      <c r="G56" s="266"/>
      <c r="H56" s="265">
        <f t="shared" si="0"/>
        <v>0</v>
      </c>
      <c r="I56" s="280"/>
      <c r="J56" s="266"/>
      <c r="K56" s="266"/>
      <c r="L56" s="266"/>
      <c r="M56" s="266"/>
      <c r="N56" s="266"/>
      <c r="O56" s="266"/>
      <c r="P56" s="267">
        <f t="shared" si="1"/>
        <v>0</v>
      </c>
    </row>
    <row r="57" spans="1:16" x14ac:dyDescent="0.25">
      <c r="A57" s="262" t="s">
        <v>789</v>
      </c>
      <c r="B57" s="266"/>
      <c r="C57" s="266"/>
      <c r="D57" s="266"/>
      <c r="E57" s="266"/>
      <c r="F57" s="266"/>
      <c r="G57" s="266"/>
      <c r="H57" s="265">
        <f t="shared" si="0"/>
        <v>0</v>
      </c>
      <c r="I57" s="280"/>
      <c r="J57" s="266"/>
      <c r="K57" s="266"/>
      <c r="L57" s="266"/>
      <c r="M57" s="266"/>
      <c r="N57" s="266"/>
      <c r="O57" s="266"/>
      <c r="P57" s="267">
        <f t="shared" si="1"/>
        <v>0</v>
      </c>
    </row>
    <row r="58" spans="1:16" x14ac:dyDescent="0.25">
      <c r="A58" s="262" t="s">
        <v>790</v>
      </c>
      <c r="B58" s="266"/>
      <c r="C58" s="266"/>
      <c r="D58" s="266"/>
      <c r="E58" s="266"/>
      <c r="F58" s="266"/>
      <c r="G58" s="266"/>
      <c r="H58" s="265">
        <f t="shared" si="0"/>
        <v>0</v>
      </c>
      <c r="I58" s="280"/>
      <c r="J58" s="266"/>
      <c r="K58" s="266"/>
      <c r="L58" s="266"/>
      <c r="M58" s="266"/>
      <c r="N58" s="266"/>
      <c r="O58" s="266"/>
      <c r="P58" s="267">
        <f t="shared" si="1"/>
        <v>0</v>
      </c>
    </row>
    <row r="59" spans="1:16" x14ac:dyDescent="0.25">
      <c r="A59" s="262" t="s">
        <v>791</v>
      </c>
      <c r="B59" s="266"/>
      <c r="C59" s="266"/>
      <c r="D59" s="266"/>
      <c r="E59" s="266"/>
      <c r="F59" s="266"/>
      <c r="G59" s="266"/>
      <c r="H59" s="265">
        <f t="shared" si="0"/>
        <v>0</v>
      </c>
      <c r="I59" s="280"/>
      <c r="J59" s="266"/>
      <c r="K59" s="266"/>
      <c r="L59" s="266"/>
      <c r="M59" s="266"/>
      <c r="N59" s="266"/>
      <c r="O59" s="266"/>
      <c r="P59" s="267">
        <f t="shared" si="1"/>
        <v>0</v>
      </c>
    </row>
    <row r="60" spans="1:16" x14ac:dyDescent="0.25">
      <c r="A60" s="262" t="s">
        <v>792</v>
      </c>
      <c r="B60" s="266"/>
      <c r="C60" s="266"/>
      <c r="D60" s="266"/>
      <c r="E60" s="266"/>
      <c r="F60" s="266"/>
      <c r="G60" s="266"/>
      <c r="H60" s="265">
        <f t="shared" si="0"/>
        <v>0</v>
      </c>
      <c r="I60" s="280"/>
      <c r="J60" s="266"/>
      <c r="K60" s="266"/>
      <c r="L60" s="266"/>
      <c r="M60" s="266"/>
      <c r="N60" s="266"/>
      <c r="O60" s="266"/>
      <c r="P60" s="267">
        <f t="shared" si="1"/>
        <v>0</v>
      </c>
    </row>
    <row r="61" spans="1:16" x14ac:dyDescent="0.25">
      <c r="A61" s="262" t="s">
        <v>793</v>
      </c>
      <c r="B61" s="266"/>
      <c r="C61" s="266"/>
      <c r="D61" s="266"/>
      <c r="E61" s="266"/>
      <c r="F61" s="266"/>
      <c r="G61" s="266"/>
      <c r="H61" s="265">
        <f t="shared" si="0"/>
        <v>0</v>
      </c>
      <c r="I61" s="280"/>
      <c r="J61" s="266"/>
      <c r="K61" s="266"/>
      <c r="L61" s="266"/>
      <c r="M61" s="266"/>
      <c r="N61" s="266"/>
      <c r="O61" s="266"/>
      <c r="P61" s="267">
        <f t="shared" si="1"/>
        <v>0</v>
      </c>
    </row>
    <row r="62" spans="1:16" x14ac:dyDescent="0.25">
      <c r="A62" s="262" t="s">
        <v>794</v>
      </c>
      <c r="B62" s="266"/>
      <c r="C62" s="266"/>
      <c r="D62" s="266"/>
      <c r="E62" s="266"/>
      <c r="F62" s="266"/>
      <c r="G62" s="266"/>
      <c r="H62" s="265">
        <f t="shared" si="0"/>
        <v>0</v>
      </c>
      <c r="I62" s="280"/>
      <c r="J62" s="266"/>
      <c r="K62" s="266"/>
      <c r="L62" s="266"/>
      <c r="M62" s="266"/>
      <c r="N62" s="266"/>
      <c r="O62" s="266"/>
      <c r="P62" s="267">
        <f t="shared" si="1"/>
        <v>0</v>
      </c>
    </row>
    <row r="63" spans="1:16" ht="85.5" x14ac:dyDescent="0.25">
      <c r="A63" s="262" t="s">
        <v>795</v>
      </c>
      <c r="B63" s="266">
        <v>40000</v>
      </c>
      <c r="C63" s="266">
        <v>40000</v>
      </c>
      <c r="D63" s="266">
        <v>40000</v>
      </c>
      <c r="E63" s="266">
        <v>45000</v>
      </c>
      <c r="F63" s="266"/>
      <c r="G63" s="266"/>
      <c r="H63" s="265">
        <f t="shared" si="0"/>
        <v>165000</v>
      </c>
      <c r="I63" s="280" t="s">
        <v>1694</v>
      </c>
      <c r="J63" s="266"/>
      <c r="K63" s="266"/>
      <c r="L63" s="266"/>
      <c r="M63" s="266"/>
      <c r="N63" s="266"/>
      <c r="O63" s="266"/>
      <c r="P63" s="267">
        <f t="shared" si="1"/>
        <v>0</v>
      </c>
    </row>
    <row r="64" spans="1:16" x14ac:dyDescent="0.25">
      <c r="A64" s="262" t="s">
        <v>796</v>
      </c>
      <c r="B64" s="266"/>
      <c r="C64" s="266"/>
      <c r="D64" s="266"/>
      <c r="E64" s="266"/>
      <c r="F64" s="266"/>
      <c r="G64" s="266"/>
      <c r="H64" s="265">
        <f t="shared" si="0"/>
        <v>0</v>
      </c>
      <c r="I64" s="280"/>
      <c r="J64" s="266"/>
      <c r="K64" s="266"/>
      <c r="L64" s="266"/>
      <c r="M64" s="266"/>
      <c r="N64" s="266"/>
      <c r="O64" s="266"/>
      <c r="P64" s="267">
        <f t="shared" si="1"/>
        <v>0</v>
      </c>
    </row>
    <row r="65" spans="1:16" x14ac:dyDescent="0.25">
      <c r="A65" s="262" t="s">
        <v>785</v>
      </c>
      <c r="B65" s="266"/>
      <c r="C65" s="266"/>
      <c r="D65" s="266"/>
      <c r="E65" s="266"/>
      <c r="F65" s="266"/>
      <c r="G65" s="266"/>
      <c r="H65" s="265">
        <f t="shared" si="0"/>
        <v>0</v>
      </c>
      <c r="I65" s="280"/>
      <c r="J65" s="266"/>
      <c r="K65" s="266"/>
      <c r="L65" s="266"/>
      <c r="M65" s="266"/>
      <c r="N65" s="266"/>
      <c r="O65" s="266"/>
      <c r="P65" s="267">
        <f t="shared" si="1"/>
        <v>0</v>
      </c>
    </row>
    <row r="66" spans="1:16" x14ac:dyDescent="0.25">
      <c r="A66" s="262" t="s">
        <v>786</v>
      </c>
      <c r="B66" s="266"/>
      <c r="C66" s="266"/>
      <c r="D66" s="266"/>
      <c r="E66" s="266"/>
      <c r="F66" s="266"/>
      <c r="G66" s="266"/>
      <c r="H66" s="265">
        <f t="shared" si="0"/>
        <v>0</v>
      </c>
      <c r="I66" s="280"/>
      <c r="J66" s="266"/>
      <c r="K66" s="266"/>
      <c r="L66" s="266"/>
      <c r="M66" s="266"/>
      <c r="N66" s="266"/>
      <c r="O66" s="266"/>
      <c r="P66" s="267">
        <f t="shared" si="1"/>
        <v>0</v>
      </c>
    </row>
    <row r="67" spans="1:16" x14ac:dyDescent="0.25">
      <c r="A67" s="262" t="s">
        <v>787</v>
      </c>
      <c r="B67" s="266"/>
      <c r="C67" s="266"/>
      <c r="D67" s="266"/>
      <c r="E67" s="266"/>
      <c r="F67" s="266"/>
      <c r="G67" s="266"/>
      <c r="H67" s="265">
        <f t="shared" si="0"/>
        <v>0</v>
      </c>
      <c r="I67" s="280"/>
      <c r="J67" s="266"/>
      <c r="K67" s="266"/>
      <c r="L67" s="266"/>
      <c r="M67" s="266"/>
      <c r="N67" s="266"/>
      <c r="O67" s="266"/>
      <c r="P67" s="267">
        <f t="shared" si="1"/>
        <v>0</v>
      </c>
    </row>
    <row r="68" spans="1:16" ht="71.25" x14ac:dyDescent="0.25">
      <c r="A68" s="262" t="s">
        <v>788</v>
      </c>
      <c r="B68" s="266"/>
      <c r="C68" s="266">
        <v>55000</v>
      </c>
      <c r="D68" s="266">
        <v>55000</v>
      </c>
      <c r="E68" s="266">
        <v>55000</v>
      </c>
      <c r="F68" s="266"/>
      <c r="G68" s="266"/>
      <c r="H68" s="265">
        <f t="shared" si="0"/>
        <v>165000</v>
      </c>
      <c r="I68" s="280" t="s">
        <v>1695</v>
      </c>
      <c r="J68" s="266"/>
      <c r="K68" s="266"/>
      <c r="L68" s="266"/>
      <c r="M68" s="266"/>
      <c r="N68" s="266"/>
      <c r="O68" s="266"/>
      <c r="P68" s="267">
        <f t="shared" si="1"/>
        <v>0</v>
      </c>
    </row>
    <row r="69" spans="1:16" x14ac:dyDescent="0.25">
      <c r="A69" s="262" t="s">
        <v>797</v>
      </c>
      <c r="B69" s="283"/>
      <c r="C69" s="283"/>
      <c r="D69" s="283"/>
      <c r="E69" s="283"/>
      <c r="F69" s="283"/>
      <c r="G69" s="283"/>
      <c r="H69" s="265">
        <f t="shared" ref="H69:H132" si="2">SUM(B69:G69)</f>
        <v>0</v>
      </c>
      <c r="I69" s="280" t="s">
        <v>1696</v>
      </c>
      <c r="J69" s="266"/>
      <c r="K69" s="266"/>
      <c r="L69" s="266"/>
      <c r="M69" s="266"/>
      <c r="N69" s="266"/>
      <c r="O69" s="266"/>
      <c r="P69" s="267">
        <f t="shared" ref="P69:P132" si="3">SUM(J69:O69)</f>
        <v>0</v>
      </c>
    </row>
    <row r="70" spans="1:16" x14ac:dyDescent="0.25">
      <c r="A70" s="262" t="s">
        <v>798</v>
      </c>
      <c r="B70" s="266"/>
      <c r="C70" s="266"/>
      <c r="D70" s="266"/>
      <c r="E70" s="266"/>
      <c r="F70" s="266"/>
      <c r="G70" s="266"/>
      <c r="H70" s="265">
        <f t="shared" si="2"/>
        <v>0</v>
      </c>
      <c r="I70" s="280"/>
      <c r="J70" s="266"/>
      <c r="K70" s="266"/>
      <c r="L70" s="266"/>
      <c r="M70" s="266"/>
      <c r="N70" s="266"/>
      <c r="O70" s="266"/>
      <c r="P70" s="267">
        <f t="shared" si="3"/>
        <v>0</v>
      </c>
    </row>
    <row r="71" spans="1:16" x14ac:dyDescent="0.25">
      <c r="A71" s="262" t="s">
        <v>809</v>
      </c>
      <c r="B71" s="266"/>
      <c r="C71" s="266"/>
      <c r="D71" s="266"/>
      <c r="E71" s="266"/>
      <c r="F71" s="266"/>
      <c r="G71" s="266"/>
      <c r="H71" s="265">
        <f t="shared" si="2"/>
        <v>0</v>
      </c>
      <c r="I71" s="280"/>
      <c r="J71" s="266"/>
      <c r="K71" s="266"/>
      <c r="L71" s="266"/>
      <c r="M71" s="266"/>
      <c r="N71" s="266"/>
      <c r="O71" s="266"/>
      <c r="P71" s="267">
        <f t="shared" si="3"/>
        <v>0</v>
      </c>
    </row>
    <row r="72" spans="1:16" x14ac:dyDescent="0.25">
      <c r="A72" s="262" t="s">
        <v>814</v>
      </c>
      <c r="B72" s="266"/>
      <c r="C72" s="266"/>
      <c r="D72" s="266"/>
      <c r="E72" s="266"/>
      <c r="F72" s="266"/>
      <c r="G72" s="266"/>
      <c r="H72" s="265">
        <f t="shared" si="2"/>
        <v>0</v>
      </c>
      <c r="I72" s="280"/>
      <c r="J72" s="266"/>
      <c r="K72" s="266"/>
      <c r="L72" s="266"/>
      <c r="M72" s="266"/>
      <c r="N72" s="266"/>
      <c r="O72" s="266"/>
      <c r="P72" s="267">
        <f t="shared" si="3"/>
        <v>0</v>
      </c>
    </row>
    <row r="73" spans="1:16" x14ac:dyDescent="0.25">
      <c r="A73" s="262" t="s">
        <v>815</v>
      </c>
      <c r="B73" s="266"/>
      <c r="C73" s="266"/>
      <c r="D73" s="266"/>
      <c r="E73" s="266"/>
      <c r="F73" s="266"/>
      <c r="G73" s="266"/>
      <c r="H73" s="265">
        <f t="shared" si="2"/>
        <v>0</v>
      </c>
      <c r="I73" s="280"/>
      <c r="J73" s="266"/>
      <c r="K73" s="266"/>
      <c r="L73" s="266"/>
      <c r="M73" s="266"/>
      <c r="N73" s="266"/>
      <c r="O73" s="266"/>
      <c r="P73" s="267">
        <f t="shared" si="3"/>
        <v>0</v>
      </c>
    </row>
    <row r="74" spans="1:16" x14ac:dyDescent="0.25">
      <c r="A74" s="262" t="s">
        <v>816</v>
      </c>
      <c r="B74" s="266"/>
      <c r="C74" s="266"/>
      <c r="D74" s="266"/>
      <c r="E74" s="266"/>
      <c r="F74" s="266"/>
      <c r="G74" s="266"/>
      <c r="H74" s="265">
        <f t="shared" si="2"/>
        <v>0</v>
      </c>
      <c r="I74" s="280"/>
      <c r="J74" s="266"/>
      <c r="K74" s="266"/>
      <c r="L74" s="266"/>
      <c r="M74" s="266"/>
      <c r="N74" s="266"/>
      <c r="O74" s="266"/>
      <c r="P74" s="267">
        <f t="shared" si="3"/>
        <v>0</v>
      </c>
    </row>
    <row r="75" spans="1:16" x14ac:dyDescent="0.25">
      <c r="A75" s="262" t="s">
        <v>817</v>
      </c>
      <c r="B75" s="266"/>
      <c r="C75" s="266"/>
      <c r="D75" s="266"/>
      <c r="E75" s="266"/>
      <c r="F75" s="266"/>
      <c r="G75" s="266"/>
      <c r="H75" s="265">
        <f t="shared" si="2"/>
        <v>0</v>
      </c>
      <c r="I75" s="280"/>
      <c r="J75" s="266"/>
      <c r="K75" s="266"/>
      <c r="L75" s="266"/>
      <c r="M75" s="266"/>
      <c r="N75" s="266"/>
      <c r="O75" s="266"/>
      <c r="P75" s="267">
        <f t="shared" si="3"/>
        <v>0</v>
      </c>
    </row>
    <row r="76" spans="1:16" x14ac:dyDescent="0.25">
      <c r="A76" s="262" t="s">
        <v>818</v>
      </c>
      <c r="B76" s="266"/>
      <c r="C76" s="266"/>
      <c r="D76" s="266"/>
      <c r="E76" s="266"/>
      <c r="F76" s="266"/>
      <c r="G76" s="266"/>
      <c r="H76" s="265">
        <f t="shared" si="2"/>
        <v>0</v>
      </c>
      <c r="I76" s="280"/>
      <c r="J76" s="266"/>
      <c r="K76" s="266"/>
      <c r="L76" s="266"/>
      <c r="M76" s="266"/>
      <c r="N76" s="266"/>
      <c r="O76" s="266"/>
      <c r="P76" s="267">
        <f t="shared" si="3"/>
        <v>0</v>
      </c>
    </row>
    <row r="77" spans="1:16" x14ac:dyDescent="0.25">
      <c r="A77" s="262" t="s">
        <v>819</v>
      </c>
      <c r="B77" s="266"/>
      <c r="C77" s="266"/>
      <c r="D77" s="266"/>
      <c r="E77" s="266"/>
      <c r="F77" s="266"/>
      <c r="G77" s="266"/>
      <c r="H77" s="265">
        <f t="shared" si="2"/>
        <v>0</v>
      </c>
      <c r="I77" s="280"/>
      <c r="J77" s="266"/>
      <c r="K77" s="266"/>
      <c r="L77" s="266"/>
      <c r="M77" s="266"/>
      <c r="N77" s="266"/>
      <c r="O77" s="266"/>
      <c r="P77" s="267">
        <f t="shared" si="3"/>
        <v>0</v>
      </c>
    </row>
    <row r="78" spans="1:16" x14ac:dyDescent="0.25">
      <c r="A78" s="262" t="s">
        <v>820</v>
      </c>
      <c r="B78" s="266">
        <v>25000</v>
      </c>
      <c r="C78" s="266"/>
      <c r="D78" s="266"/>
      <c r="E78" s="266"/>
      <c r="F78" s="266"/>
      <c r="G78" s="266"/>
      <c r="H78" s="265">
        <f t="shared" si="2"/>
        <v>25000</v>
      </c>
      <c r="I78" s="280"/>
      <c r="J78" s="266"/>
      <c r="K78" s="266"/>
      <c r="L78" s="266"/>
      <c r="M78" s="266"/>
      <c r="N78" s="266"/>
      <c r="O78" s="266"/>
      <c r="P78" s="267">
        <f t="shared" si="3"/>
        <v>0</v>
      </c>
    </row>
    <row r="79" spans="1:16" x14ac:dyDescent="0.25">
      <c r="A79" s="262" t="s">
        <v>799</v>
      </c>
      <c r="B79" s="266"/>
      <c r="C79" s="266"/>
      <c r="D79" s="266"/>
      <c r="E79" s="266"/>
      <c r="F79" s="266"/>
      <c r="G79" s="266"/>
      <c r="H79" s="265">
        <f t="shared" si="2"/>
        <v>0</v>
      </c>
      <c r="I79" s="280"/>
      <c r="J79" s="266"/>
      <c r="K79" s="266"/>
      <c r="L79" s="266"/>
      <c r="M79" s="266"/>
      <c r="N79" s="266"/>
      <c r="O79" s="266"/>
      <c r="P79" s="267">
        <f t="shared" si="3"/>
        <v>0</v>
      </c>
    </row>
    <row r="80" spans="1:16" x14ac:dyDescent="0.25">
      <c r="A80" s="262" t="s">
        <v>800</v>
      </c>
      <c r="B80" s="266"/>
      <c r="C80" s="266"/>
      <c r="D80" s="266"/>
      <c r="E80" s="266"/>
      <c r="F80" s="266"/>
      <c r="G80" s="266"/>
      <c r="H80" s="265">
        <f t="shared" si="2"/>
        <v>0</v>
      </c>
      <c r="I80" s="280"/>
      <c r="J80" s="266"/>
      <c r="K80" s="266"/>
      <c r="L80" s="266"/>
      <c r="M80" s="266"/>
      <c r="N80" s="266"/>
      <c r="O80" s="266"/>
      <c r="P80" s="267">
        <f t="shared" si="3"/>
        <v>0</v>
      </c>
    </row>
    <row r="81" spans="1:16" x14ac:dyDescent="0.25">
      <c r="A81" s="262" t="s">
        <v>801</v>
      </c>
      <c r="B81" s="283"/>
      <c r="C81" s="283"/>
      <c r="D81" s="283"/>
      <c r="E81" s="283"/>
      <c r="F81" s="283"/>
      <c r="G81" s="283"/>
      <c r="H81" s="265">
        <f t="shared" si="2"/>
        <v>0</v>
      </c>
      <c r="I81" s="280" t="s">
        <v>1697</v>
      </c>
      <c r="J81" s="266"/>
      <c r="K81" s="266"/>
      <c r="L81" s="266"/>
      <c r="M81" s="266"/>
      <c r="N81" s="266"/>
      <c r="O81" s="266"/>
      <c r="P81" s="267">
        <f t="shared" si="3"/>
        <v>0</v>
      </c>
    </row>
    <row r="82" spans="1:16" x14ac:dyDescent="0.25">
      <c r="A82" s="262" t="s">
        <v>802</v>
      </c>
      <c r="B82" s="283"/>
      <c r="C82" s="283"/>
      <c r="D82" s="283"/>
      <c r="E82" s="283"/>
      <c r="F82" s="283"/>
      <c r="G82" s="283"/>
      <c r="H82" s="265">
        <f t="shared" si="2"/>
        <v>0</v>
      </c>
      <c r="I82" s="280" t="s">
        <v>1697</v>
      </c>
      <c r="J82" s="266"/>
      <c r="K82" s="266"/>
      <c r="L82" s="266"/>
      <c r="M82" s="266"/>
      <c r="N82" s="266"/>
      <c r="O82" s="266"/>
      <c r="P82" s="267">
        <f t="shared" si="3"/>
        <v>0</v>
      </c>
    </row>
    <row r="83" spans="1:16" x14ac:dyDescent="0.25">
      <c r="A83" s="262" t="s">
        <v>803</v>
      </c>
      <c r="B83" s="283"/>
      <c r="C83" s="283"/>
      <c r="D83" s="283"/>
      <c r="E83" s="283"/>
      <c r="F83" s="283"/>
      <c r="G83" s="283"/>
      <c r="H83" s="265">
        <f t="shared" si="2"/>
        <v>0</v>
      </c>
      <c r="I83" s="280" t="s">
        <v>1697</v>
      </c>
      <c r="J83" s="266"/>
      <c r="K83" s="266"/>
      <c r="L83" s="266"/>
      <c r="M83" s="266"/>
      <c r="N83" s="266"/>
      <c r="O83" s="266"/>
      <c r="P83" s="267">
        <f t="shared" si="3"/>
        <v>0</v>
      </c>
    </row>
    <row r="84" spans="1:16" x14ac:dyDescent="0.25">
      <c r="A84" s="262" t="s">
        <v>804</v>
      </c>
      <c r="B84" s="283"/>
      <c r="C84" s="283"/>
      <c r="D84" s="283"/>
      <c r="E84" s="283"/>
      <c r="F84" s="283"/>
      <c r="G84" s="283"/>
      <c r="H84" s="265">
        <f t="shared" si="2"/>
        <v>0</v>
      </c>
      <c r="I84" s="280" t="s">
        <v>1697</v>
      </c>
      <c r="J84" s="266"/>
      <c r="K84" s="266"/>
      <c r="L84" s="266"/>
      <c r="M84" s="266"/>
      <c r="N84" s="266"/>
      <c r="O84" s="266"/>
      <c r="P84" s="267">
        <f t="shared" si="3"/>
        <v>0</v>
      </c>
    </row>
    <row r="85" spans="1:16" x14ac:dyDescent="0.25">
      <c r="A85" s="262" t="s">
        <v>805</v>
      </c>
      <c r="B85" s="283"/>
      <c r="C85" s="283"/>
      <c r="D85" s="283"/>
      <c r="E85" s="283"/>
      <c r="F85" s="283"/>
      <c r="G85" s="283"/>
      <c r="H85" s="265">
        <f t="shared" si="2"/>
        <v>0</v>
      </c>
      <c r="I85" s="280" t="s">
        <v>1697</v>
      </c>
      <c r="J85" s="266"/>
      <c r="K85" s="266"/>
      <c r="L85" s="266"/>
      <c r="M85" s="266"/>
      <c r="N85" s="266"/>
      <c r="O85" s="266"/>
      <c r="P85" s="267">
        <f t="shared" si="3"/>
        <v>0</v>
      </c>
    </row>
    <row r="86" spans="1:16" x14ac:dyDescent="0.25">
      <c r="A86" s="262" t="s">
        <v>806</v>
      </c>
      <c r="B86" s="266">
        <v>17000</v>
      </c>
      <c r="C86" s="266"/>
      <c r="D86" s="266"/>
      <c r="E86" s="266"/>
      <c r="F86" s="266"/>
      <c r="G86" s="266"/>
      <c r="H86" s="265">
        <f t="shared" si="2"/>
        <v>17000</v>
      </c>
      <c r="I86" s="280"/>
      <c r="J86" s="266"/>
      <c r="K86" s="266"/>
      <c r="L86" s="266"/>
      <c r="M86" s="266"/>
      <c r="N86" s="266"/>
      <c r="O86" s="266"/>
      <c r="P86" s="267">
        <f t="shared" si="3"/>
        <v>0</v>
      </c>
    </row>
    <row r="87" spans="1:16" x14ac:dyDescent="0.25">
      <c r="A87" s="262" t="s">
        <v>807</v>
      </c>
      <c r="B87" s="266"/>
      <c r="C87" s="266"/>
      <c r="D87" s="266"/>
      <c r="E87" s="266"/>
      <c r="F87" s="266"/>
      <c r="G87" s="266"/>
      <c r="H87" s="265">
        <f t="shared" si="2"/>
        <v>0</v>
      </c>
      <c r="I87" s="280"/>
      <c r="J87" s="266"/>
      <c r="K87" s="266"/>
      <c r="L87" s="266"/>
      <c r="M87" s="266"/>
      <c r="N87" s="266"/>
      <c r="O87" s="266"/>
      <c r="P87" s="267">
        <f t="shared" si="3"/>
        <v>0</v>
      </c>
    </row>
    <row r="88" spans="1:16" x14ac:dyDescent="0.25">
      <c r="A88" s="262" t="s">
        <v>808</v>
      </c>
      <c r="B88" s="266">
        <v>25000</v>
      </c>
      <c r="C88" s="266"/>
      <c r="D88" s="266"/>
      <c r="E88" s="266"/>
      <c r="F88" s="266"/>
      <c r="G88" s="266"/>
      <c r="H88" s="265">
        <f t="shared" si="2"/>
        <v>25000</v>
      </c>
      <c r="I88" s="280"/>
      <c r="J88" s="266"/>
      <c r="K88" s="266"/>
      <c r="L88" s="266"/>
      <c r="M88" s="266"/>
      <c r="N88" s="266"/>
      <c r="O88" s="266"/>
      <c r="P88" s="267">
        <f t="shared" si="3"/>
        <v>0</v>
      </c>
    </row>
    <row r="89" spans="1:16" x14ac:dyDescent="0.25">
      <c r="A89" s="262" t="s">
        <v>810</v>
      </c>
      <c r="B89" s="266"/>
      <c r="C89" s="266"/>
      <c r="D89" s="266"/>
      <c r="E89" s="266"/>
      <c r="F89" s="266"/>
      <c r="G89" s="266"/>
      <c r="H89" s="265">
        <f t="shared" si="2"/>
        <v>0</v>
      </c>
      <c r="I89" s="280"/>
      <c r="J89" s="266"/>
      <c r="K89" s="266"/>
      <c r="L89" s="266"/>
      <c r="M89" s="266"/>
      <c r="N89" s="266"/>
      <c r="O89" s="266"/>
      <c r="P89" s="267">
        <f t="shared" si="3"/>
        <v>0</v>
      </c>
    </row>
    <row r="90" spans="1:16" x14ac:dyDescent="0.25">
      <c r="A90" s="262" t="s">
        <v>811</v>
      </c>
      <c r="B90" s="266"/>
      <c r="C90" s="266"/>
      <c r="D90" s="266"/>
      <c r="E90" s="266"/>
      <c r="F90" s="266"/>
      <c r="G90" s="266"/>
      <c r="H90" s="265">
        <f t="shared" si="2"/>
        <v>0</v>
      </c>
      <c r="I90" s="280"/>
      <c r="J90" s="266"/>
      <c r="K90" s="266"/>
      <c r="L90" s="266"/>
      <c r="M90" s="266"/>
      <c r="N90" s="266"/>
      <c r="O90" s="266"/>
      <c r="P90" s="267">
        <f t="shared" si="3"/>
        <v>0</v>
      </c>
    </row>
    <row r="91" spans="1:16" x14ac:dyDescent="0.25">
      <c r="A91" s="262" t="s">
        <v>812</v>
      </c>
      <c r="B91" s="283"/>
      <c r="C91" s="283"/>
      <c r="D91" s="283"/>
      <c r="E91" s="283"/>
      <c r="F91" s="283"/>
      <c r="G91" s="283"/>
      <c r="H91" s="265">
        <f t="shared" si="2"/>
        <v>0</v>
      </c>
      <c r="I91" s="280" t="s">
        <v>1697</v>
      </c>
      <c r="J91" s="266"/>
      <c r="K91" s="266"/>
      <c r="L91" s="266"/>
      <c r="M91" s="266"/>
      <c r="N91" s="266"/>
      <c r="O91" s="266"/>
      <c r="P91" s="267">
        <f t="shared" si="3"/>
        <v>0</v>
      </c>
    </row>
    <row r="92" spans="1:16" x14ac:dyDescent="0.25">
      <c r="A92" s="262" t="s">
        <v>813</v>
      </c>
      <c r="B92" s="266"/>
      <c r="C92" s="266"/>
      <c r="D92" s="266"/>
      <c r="E92" s="266"/>
      <c r="F92" s="266"/>
      <c r="G92" s="266"/>
      <c r="H92" s="265">
        <f t="shared" si="2"/>
        <v>0</v>
      </c>
      <c r="I92" s="280"/>
      <c r="J92" s="266"/>
      <c r="K92" s="266"/>
      <c r="L92" s="266"/>
      <c r="M92" s="266"/>
      <c r="N92" s="266"/>
      <c r="O92" s="266"/>
      <c r="P92" s="267">
        <f t="shared" si="3"/>
        <v>0</v>
      </c>
    </row>
    <row r="93" spans="1:16" x14ac:dyDescent="0.25">
      <c r="A93" s="262" t="s">
        <v>821</v>
      </c>
      <c r="B93" s="266"/>
      <c r="C93" s="266"/>
      <c r="D93" s="266"/>
      <c r="E93" s="266"/>
      <c r="F93" s="266"/>
      <c r="G93" s="266"/>
      <c r="H93" s="265">
        <f t="shared" si="2"/>
        <v>0</v>
      </c>
      <c r="I93" s="280"/>
      <c r="J93" s="266"/>
      <c r="K93" s="266"/>
      <c r="L93" s="266"/>
      <c r="M93" s="266"/>
      <c r="N93" s="266"/>
      <c r="O93" s="266"/>
      <c r="P93" s="267">
        <f t="shared" si="3"/>
        <v>0</v>
      </c>
    </row>
    <row r="94" spans="1:16" x14ac:dyDescent="0.25">
      <c r="A94" s="262" t="s">
        <v>822</v>
      </c>
      <c r="B94" s="266">
        <v>100000</v>
      </c>
      <c r="C94" s="266"/>
      <c r="D94" s="266"/>
      <c r="E94" s="266">
        <v>100000</v>
      </c>
      <c r="F94" s="266"/>
      <c r="G94" s="266"/>
      <c r="H94" s="265">
        <f t="shared" si="2"/>
        <v>200000</v>
      </c>
      <c r="I94" s="280"/>
      <c r="J94" s="280"/>
      <c r="K94" s="280"/>
      <c r="L94" s="280"/>
      <c r="M94" s="280"/>
      <c r="N94" s="280"/>
      <c r="O94" s="280"/>
      <c r="P94" s="267">
        <f t="shared" si="3"/>
        <v>0</v>
      </c>
    </row>
    <row r="95" spans="1:16" x14ac:dyDescent="0.25">
      <c r="A95" s="262" t="s">
        <v>823</v>
      </c>
      <c r="B95" s="266"/>
      <c r="C95" s="266"/>
      <c r="D95" s="266"/>
      <c r="E95" s="266"/>
      <c r="F95" s="266"/>
      <c r="G95" s="266"/>
      <c r="H95" s="265">
        <f t="shared" si="2"/>
        <v>0</v>
      </c>
      <c r="I95" s="280"/>
      <c r="J95" s="280"/>
      <c r="K95" s="280"/>
      <c r="L95" s="280"/>
      <c r="M95" s="280"/>
      <c r="N95" s="280"/>
      <c r="O95" s="280"/>
      <c r="P95" s="267">
        <f t="shared" si="3"/>
        <v>0</v>
      </c>
    </row>
    <row r="96" spans="1:16" x14ac:dyDescent="0.25">
      <c r="A96" s="262" t="s">
        <v>824</v>
      </c>
      <c r="B96" s="266"/>
      <c r="C96" s="266"/>
      <c r="D96" s="266"/>
      <c r="E96" s="266"/>
      <c r="F96" s="266"/>
      <c r="G96" s="266"/>
      <c r="H96" s="265">
        <f t="shared" si="2"/>
        <v>0</v>
      </c>
      <c r="I96" s="280"/>
      <c r="J96" s="280"/>
      <c r="K96" s="280"/>
      <c r="L96" s="280"/>
      <c r="M96" s="280"/>
      <c r="N96" s="280"/>
      <c r="O96" s="280"/>
      <c r="P96" s="267">
        <f t="shared" si="3"/>
        <v>0</v>
      </c>
    </row>
    <row r="97" spans="1:16" x14ac:dyDescent="0.25">
      <c r="A97" s="262" t="s">
        <v>825</v>
      </c>
      <c r="B97" s="266"/>
      <c r="C97" s="266"/>
      <c r="D97" s="266"/>
      <c r="E97" s="266"/>
      <c r="F97" s="266"/>
      <c r="G97" s="266"/>
      <c r="H97" s="265">
        <f t="shared" si="2"/>
        <v>0</v>
      </c>
      <c r="I97" s="280"/>
      <c r="J97" s="280"/>
      <c r="K97" s="280"/>
      <c r="L97" s="280"/>
      <c r="M97" s="280"/>
      <c r="N97" s="280"/>
      <c r="O97" s="280"/>
      <c r="P97" s="267">
        <f t="shared" si="3"/>
        <v>0</v>
      </c>
    </row>
    <row r="98" spans="1:16" x14ac:dyDescent="0.25">
      <c r="A98" s="262" t="s">
        <v>826</v>
      </c>
      <c r="B98" s="266"/>
      <c r="C98" s="266"/>
      <c r="D98" s="266"/>
      <c r="E98" s="266"/>
      <c r="F98" s="266"/>
      <c r="G98" s="266"/>
      <c r="H98" s="265">
        <f t="shared" si="2"/>
        <v>0</v>
      </c>
      <c r="I98" s="280"/>
      <c r="J98" s="280"/>
      <c r="K98" s="280"/>
      <c r="L98" s="280"/>
      <c r="M98" s="280"/>
      <c r="N98" s="280"/>
      <c r="O98" s="280"/>
      <c r="P98" s="267">
        <f t="shared" si="3"/>
        <v>0</v>
      </c>
    </row>
    <row r="99" spans="1:16" x14ac:dyDescent="0.25">
      <c r="A99" s="262" t="s">
        <v>827</v>
      </c>
      <c r="B99" s="266"/>
      <c r="C99" s="266"/>
      <c r="D99" s="266"/>
      <c r="E99" s="266"/>
      <c r="F99" s="266"/>
      <c r="G99" s="266"/>
      <c r="H99" s="265">
        <f t="shared" si="2"/>
        <v>0</v>
      </c>
      <c r="I99" s="280"/>
      <c r="J99" s="280"/>
      <c r="K99" s="280"/>
      <c r="L99" s="280"/>
      <c r="M99" s="280"/>
      <c r="N99" s="280"/>
      <c r="O99" s="280"/>
      <c r="P99" s="267">
        <f t="shared" si="3"/>
        <v>0</v>
      </c>
    </row>
    <row r="100" spans="1:16" x14ac:dyDescent="0.25">
      <c r="A100" s="262" t="s">
        <v>828</v>
      </c>
      <c r="B100" s="266"/>
      <c r="C100" s="266"/>
      <c r="D100" s="266"/>
      <c r="E100" s="266"/>
      <c r="F100" s="266"/>
      <c r="G100" s="266"/>
      <c r="H100" s="265">
        <f t="shared" si="2"/>
        <v>0</v>
      </c>
      <c r="I100" s="280"/>
      <c r="J100" s="280"/>
      <c r="K100" s="280"/>
      <c r="L100" s="280"/>
      <c r="M100" s="280"/>
      <c r="N100" s="280"/>
      <c r="O100" s="280"/>
      <c r="P100" s="267">
        <f t="shared" si="3"/>
        <v>0</v>
      </c>
    </row>
    <row r="101" spans="1:16" x14ac:dyDescent="0.25">
      <c r="A101" s="262" t="s">
        <v>829</v>
      </c>
      <c r="B101" s="266"/>
      <c r="C101" s="266"/>
      <c r="D101" s="266"/>
      <c r="E101" s="266"/>
      <c r="F101" s="266"/>
      <c r="G101" s="266"/>
      <c r="H101" s="265">
        <f t="shared" si="2"/>
        <v>0</v>
      </c>
      <c r="I101" s="280"/>
      <c r="J101" s="280"/>
      <c r="K101" s="280"/>
      <c r="L101" s="280"/>
      <c r="M101" s="280"/>
      <c r="N101" s="280"/>
      <c r="O101" s="280"/>
      <c r="P101" s="267">
        <f t="shared" si="3"/>
        <v>0</v>
      </c>
    </row>
    <row r="102" spans="1:16" x14ac:dyDescent="0.25">
      <c r="A102" s="262" t="s">
        <v>830</v>
      </c>
      <c r="B102" s="266"/>
      <c r="C102" s="266"/>
      <c r="D102" s="266"/>
      <c r="E102" s="266"/>
      <c r="F102" s="266"/>
      <c r="G102" s="266"/>
      <c r="H102" s="265">
        <f t="shared" si="2"/>
        <v>0</v>
      </c>
      <c r="I102" s="280"/>
      <c r="J102" s="280"/>
      <c r="K102" s="280"/>
      <c r="L102" s="280"/>
      <c r="M102" s="280"/>
      <c r="N102" s="280"/>
      <c r="O102" s="280"/>
      <c r="P102" s="267">
        <f t="shared" si="3"/>
        <v>0</v>
      </c>
    </row>
    <row r="103" spans="1:16" x14ac:dyDescent="0.25">
      <c r="A103" s="262" t="s">
        <v>831</v>
      </c>
      <c r="B103" s="266"/>
      <c r="C103" s="266"/>
      <c r="D103" s="266"/>
      <c r="E103" s="266"/>
      <c r="F103" s="266"/>
      <c r="G103" s="266"/>
      <c r="H103" s="265">
        <f t="shared" si="2"/>
        <v>0</v>
      </c>
      <c r="I103" s="280"/>
      <c r="J103" s="280"/>
      <c r="K103" s="280"/>
      <c r="L103" s="280"/>
      <c r="M103" s="280"/>
      <c r="N103" s="280"/>
      <c r="O103" s="280"/>
      <c r="P103" s="267">
        <f t="shared" si="3"/>
        <v>0</v>
      </c>
    </row>
    <row r="104" spans="1:16" x14ac:dyDescent="0.25">
      <c r="A104" s="262" t="s">
        <v>832</v>
      </c>
      <c r="B104" s="266"/>
      <c r="C104" s="266">
        <v>40000</v>
      </c>
      <c r="D104" s="266">
        <v>35000</v>
      </c>
      <c r="E104" s="266"/>
      <c r="F104" s="266"/>
      <c r="G104" s="266"/>
      <c r="H104" s="265">
        <f t="shared" si="2"/>
        <v>75000</v>
      </c>
      <c r="I104" s="280"/>
      <c r="J104" s="280"/>
      <c r="K104" s="280"/>
      <c r="L104" s="280"/>
      <c r="M104" s="280"/>
      <c r="N104" s="280"/>
      <c r="O104" s="280"/>
      <c r="P104" s="267">
        <f t="shared" si="3"/>
        <v>0</v>
      </c>
    </row>
    <row r="105" spans="1:16" x14ac:dyDescent="0.25">
      <c r="A105" s="262" t="s">
        <v>833</v>
      </c>
      <c r="B105" s="266"/>
      <c r="C105" s="266"/>
      <c r="D105" s="266"/>
      <c r="E105" s="266"/>
      <c r="F105" s="266"/>
      <c r="G105" s="266"/>
      <c r="H105" s="265">
        <f t="shared" si="2"/>
        <v>0</v>
      </c>
      <c r="I105" s="280"/>
      <c r="J105" s="280"/>
      <c r="K105" s="280"/>
      <c r="L105" s="280"/>
      <c r="M105" s="280"/>
      <c r="N105" s="280"/>
      <c r="O105" s="280"/>
      <c r="P105" s="267">
        <f t="shared" si="3"/>
        <v>0</v>
      </c>
    </row>
    <row r="106" spans="1:16" x14ac:dyDescent="0.25">
      <c r="A106" s="262" t="s">
        <v>834</v>
      </c>
      <c r="B106" s="266">
        <v>15000</v>
      </c>
      <c r="C106" s="266"/>
      <c r="D106" s="266"/>
      <c r="E106" s="266"/>
      <c r="F106" s="266"/>
      <c r="G106" s="266"/>
      <c r="H106" s="265">
        <f t="shared" si="2"/>
        <v>15000</v>
      </c>
      <c r="I106" s="280"/>
      <c r="J106" s="280"/>
      <c r="K106" s="280"/>
      <c r="L106" s="280"/>
      <c r="M106" s="280"/>
      <c r="N106" s="280"/>
      <c r="O106" s="280"/>
      <c r="P106" s="267">
        <f t="shared" si="3"/>
        <v>0</v>
      </c>
    </row>
    <row r="107" spans="1:16" x14ac:dyDescent="0.25">
      <c r="A107" s="262" t="s">
        <v>835</v>
      </c>
      <c r="B107" s="266">
        <v>15000</v>
      </c>
      <c r="C107" s="266"/>
      <c r="D107" s="266"/>
      <c r="E107" s="266"/>
      <c r="F107" s="266"/>
      <c r="G107" s="266"/>
      <c r="H107" s="265">
        <f t="shared" si="2"/>
        <v>15000</v>
      </c>
      <c r="I107" s="280"/>
      <c r="J107" s="280"/>
      <c r="K107" s="280"/>
      <c r="L107" s="280"/>
      <c r="M107" s="280"/>
      <c r="N107" s="280"/>
      <c r="O107" s="280"/>
      <c r="P107" s="267">
        <f t="shared" si="3"/>
        <v>0</v>
      </c>
    </row>
    <row r="108" spans="1:16" x14ac:dyDescent="0.25">
      <c r="A108" s="262" t="s">
        <v>836</v>
      </c>
      <c r="B108" s="266"/>
      <c r="C108" s="266"/>
      <c r="D108" s="266"/>
      <c r="E108" s="266"/>
      <c r="F108" s="266"/>
      <c r="G108" s="266"/>
      <c r="H108" s="265">
        <f t="shared" si="2"/>
        <v>0</v>
      </c>
      <c r="I108" s="280" t="s">
        <v>1698</v>
      </c>
      <c r="J108" s="280"/>
      <c r="K108" s="280"/>
      <c r="L108" s="280"/>
      <c r="M108" s="280"/>
      <c r="N108" s="280"/>
      <c r="O108" s="280"/>
      <c r="P108" s="267">
        <f t="shared" si="3"/>
        <v>0</v>
      </c>
    </row>
    <row r="109" spans="1:16" x14ac:dyDescent="0.25">
      <c r="A109" s="262" t="s">
        <v>837</v>
      </c>
      <c r="B109" s="266"/>
      <c r="C109" s="266">
        <v>10000</v>
      </c>
      <c r="D109" s="266"/>
      <c r="E109" s="266"/>
      <c r="F109" s="266"/>
      <c r="G109" s="266"/>
      <c r="H109" s="265">
        <f t="shared" si="2"/>
        <v>10000</v>
      </c>
      <c r="I109" s="280"/>
      <c r="J109" s="280"/>
      <c r="K109" s="280"/>
      <c r="L109" s="280"/>
      <c r="M109" s="280"/>
      <c r="N109" s="280"/>
      <c r="O109" s="280"/>
      <c r="P109" s="267">
        <f t="shared" si="3"/>
        <v>0</v>
      </c>
    </row>
    <row r="110" spans="1:16" x14ac:dyDescent="0.25">
      <c r="A110" s="262" t="s">
        <v>838</v>
      </c>
      <c r="B110" s="266"/>
      <c r="C110" s="266">
        <v>200000</v>
      </c>
      <c r="D110" s="266">
        <v>200000</v>
      </c>
      <c r="E110" s="266">
        <v>200000</v>
      </c>
      <c r="F110" s="266">
        <v>200000</v>
      </c>
      <c r="G110" s="266">
        <v>200000</v>
      </c>
      <c r="H110" s="265">
        <f t="shared" si="2"/>
        <v>1000000</v>
      </c>
      <c r="I110" s="280"/>
      <c r="J110" s="280"/>
      <c r="K110" s="280"/>
      <c r="L110" s="280"/>
      <c r="M110" s="280"/>
      <c r="N110" s="280"/>
      <c r="O110" s="280"/>
      <c r="P110" s="267">
        <f t="shared" si="3"/>
        <v>0</v>
      </c>
    </row>
    <row r="111" spans="1:16" x14ac:dyDescent="0.25">
      <c r="A111" s="262" t="s">
        <v>839</v>
      </c>
      <c r="B111" s="266"/>
      <c r="C111" s="266"/>
      <c r="D111" s="266">
        <v>200000</v>
      </c>
      <c r="E111" s="266">
        <v>200000</v>
      </c>
      <c r="F111" s="266">
        <v>200000</v>
      </c>
      <c r="G111" s="266">
        <v>200000</v>
      </c>
      <c r="H111" s="265">
        <f t="shared" si="2"/>
        <v>800000</v>
      </c>
      <c r="I111" s="280"/>
      <c r="J111" s="280"/>
      <c r="K111" s="280"/>
      <c r="L111" s="280"/>
      <c r="M111" s="280"/>
      <c r="N111" s="280"/>
      <c r="O111" s="280"/>
      <c r="P111" s="267">
        <f t="shared" si="3"/>
        <v>0</v>
      </c>
    </row>
    <row r="112" spans="1:16" x14ac:dyDescent="0.25">
      <c r="A112" s="262" t="s">
        <v>840</v>
      </c>
      <c r="B112" s="266">
        <v>50000</v>
      </c>
      <c r="C112" s="266">
        <v>50000</v>
      </c>
      <c r="D112" s="266">
        <v>50000</v>
      </c>
      <c r="E112" s="266">
        <v>50000</v>
      </c>
      <c r="F112" s="266">
        <v>50000</v>
      </c>
      <c r="G112" s="266">
        <v>50000</v>
      </c>
      <c r="H112" s="265">
        <f t="shared" si="2"/>
        <v>300000</v>
      </c>
      <c r="I112" s="280"/>
      <c r="J112" s="280"/>
      <c r="K112" s="280"/>
      <c r="L112" s="280"/>
      <c r="M112" s="280"/>
      <c r="N112" s="280"/>
      <c r="O112" s="280"/>
      <c r="P112" s="267">
        <f t="shared" si="3"/>
        <v>0</v>
      </c>
    </row>
    <row r="113" spans="1:16" x14ac:dyDescent="0.25">
      <c r="A113" s="262" t="s">
        <v>841</v>
      </c>
      <c r="B113" s="266">
        <v>20000</v>
      </c>
      <c r="C113" s="266">
        <v>20000</v>
      </c>
      <c r="D113" s="266">
        <v>20000</v>
      </c>
      <c r="E113" s="266">
        <v>20000</v>
      </c>
      <c r="F113" s="266">
        <v>20000</v>
      </c>
      <c r="G113" s="266">
        <v>20000</v>
      </c>
      <c r="H113" s="265">
        <f t="shared" si="2"/>
        <v>120000</v>
      </c>
      <c r="I113" s="280"/>
      <c r="J113" s="280"/>
      <c r="K113" s="280"/>
      <c r="L113" s="280"/>
      <c r="M113" s="280"/>
      <c r="N113" s="280"/>
      <c r="O113" s="280"/>
      <c r="P113" s="267">
        <f t="shared" si="3"/>
        <v>0</v>
      </c>
    </row>
    <row r="114" spans="1:16" x14ac:dyDescent="0.25">
      <c r="A114" s="262" t="s">
        <v>842</v>
      </c>
      <c r="B114" s="283"/>
      <c r="C114" s="283"/>
      <c r="D114" s="283"/>
      <c r="E114" s="283"/>
      <c r="F114" s="283"/>
      <c r="G114" s="283"/>
      <c r="H114" s="265">
        <f t="shared" si="2"/>
        <v>0</v>
      </c>
      <c r="I114" s="280"/>
      <c r="J114" s="280"/>
      <c r="K114" s="280"/>
      <c r="L114" s="280"/>
      <c r="M114" s="280">
        <v>1000000</v>
      </c>
      <c r="N114" s="280">
        <v>1000000</v>
      </c>
      <c r="O114" s="280">
        <v>1000000</v>
      </c>
      <c r="P114" s="267">
        <f t="shared" si="3"/>
        <v>3000000</v>
      </c>
    </row>
    <row r="115" spans="1:16" x14ac:dyDescent="0.25">
      <c r="A115" s="262" t="s">
        <v>843</v>
      </c>
      <c r="B115" s="266"/>
      <c r="C115" s="266"/>
      <c r="D115" s="266"/>
      <c r="E115" s="266"/>
      <c r="F115" s="266"/>
      <c r="G115" s="266"/>
      <c r="H115" s="265">
        <f t="shared" si="2"/>
        <v>0</v>
      </c>
      <c r="I115" s="280"/>
      <c r="J115" s="280"/>
      <c r="K115" s="280"/>
      <c r="L115" s="280"/>
      <c r="M115" s="280"/>
      <c r="N115" s="280"/>
      <c r="O115" s="280"/>
      <c r="P115" s="267">
        <f t="shared" si="3"/>
        <v>0</v>
      </c>
    </row>
    <row r="116" spans="1:16" x14ac:dyDescent="0.25">
      <c r="A116" s="262" t="s">
        <v>844</v>
      </c>
      <c r="B116" s="266"/>
      <c r="C116" s="266"/>
      <c r="D116" s="266"/>
      <c r="E116" s="266"/>
      <c r="F116" s="266"/>
      <c r="G116" s="266"/>
      <c r="H116" s="265">
        <f t="shared" si="2"/>
        <v>0</v>
      </c>
      <c r="I116" s="280" t="s">
        <v>1699</v>
      </c>
      <c r="J116" s="280"/>
      <c r="K116" s="280"/>
      <c r="L116" s="280"/>
      <c r="M116" s="280"/>
      <c r="N116" s="280"/>
      <c r="O116" s="280"/>
      <c r="P116" s="267">
        <f t="shared" si="3"/>
        <v>0</v>
      </c>
    </row>
    <row r="117" spans="1:16" x14ac:dyDescent="0.25">
      <c r="A117" s="262" t="s">
        <v>845</v>
      </c>
      <c r="B117" s="266">
        <v>500000</v>
      </c>
      <c r="C117" s="266">
        <v>900000</v>
      </c>
      <c r="D117" s="266"/>
      <c r="E117" s="266"/>
      <c r="F117" s="266"/>
      <c r="G117" s="266"/>
      <c r="H117" s="265">
        <f t="shared" si="2"/>
        <v>1400000</v>
      </c>
      <c r="I117" s="280"/>
      <c r="J117" s="280"/>
      <c r="K117" s="280"/>
      <c r="L117" s="280"/>
      <c r="M117" s="280"/>
      <c r="N117" s="280"/>
      <c r="O117" s="280"/>
      <c r="P117" s="267">
        <f t="shared" si="3"/>
        <v>0</v>
      </c>
    </row>
    <row r="118" spans="1:16" x14ac:dyDescent="0.25">
      <c r="A118" s="262" t="s">
        <v>846</v>
      </c>
      <c r="B118" s="266"/>
      <c r="C118" s="266">
        <v>100000</v>
      </c>
      <c r="D118" s="266"/>
      <c r="E118" s="266"/>
      <c r="F118" s="266"/>
      <c r="G118" s="266"/>
      <c r="H118" s="265">
        <f t="shared" si="2"/>
        <v>100000</v>
      </c>
      <c r="I118" s="280"/>
      <c r="J118" s="280"/>
      <c r="K118" s="280"/>
      <c r="L118" s="280"/>
      <c r="M118" s="280"/>
      <c r="N118" s="280"/>
      <c r="O118" s="280"/>
      <c r="P118" s="267">
        <f t="shared" si="3"/>
        <v>0</v>
      </c>
    </row>
    <row r="119" spans="1:16" x14ac:dyDescent="0.25">
      <c r="A119" s="262" t="s">
        <v>847</v>
      </c>
      <c r="B119" s="266">
        <v>100000</v>
      </c>
      <c r="C119" s="266"/>
      <c r="D119" s="266"/>
      <c r="E119" s="266"/>
      <c r="F119" s="266"/>
      <c r="G119" s="266"/>
      <c r="H119" s="265">
        <f t="shared" si="2"/>
        <v>100000</v>
      </c>
      <c r="I119" s="280"/>
      <c r="J119" s="280"/>
      <c r="K119" s="280"/>
      <c r="L119" s="280"/>
      <c r="M119" s="280"/>
      <c r="N119" s="280"/>
      <c r="O119" s="280"/>
      <c r="P119" s="267">
        <f t="shared" si="3"/>
        <v>0</v>
      </c>
    </row>
    <row r="120" spans="1:16" x14ac:dyDescent="0.25">
      <c r="A120" s="262" t="s">
        <v>848</v>
      </c>
      <c r="B120" s="266"/>
      <c r="C120" s="266">
        <v>150000</v>
      </c>
      <c r="D120" s="266">
        <v>150000</v>
      </c>
      <c r="E120" s="266"/>
      <c r="F120" s="266"/>
      <c r="G120" s="266"/>
      <c r="H120" s="265">
        <f t="shared" si="2"/>
        <v>300000</v>
      </c>
      <c r="I120" s="280"/>
      <c r="J120" s="280"/>
      <c r="K120" s="280"/>
      <c r="L120" s="280"/>
      <c r="M120" s="280"/>
      <c r="N120" s="280"/>
      <c r="O120" s="280"/>
      <c r="P120" s="267">
        <f t="shared" si="3"/>
        <v>0</v>
      </c>
    </row>
    <row r="121" spans="1:16" x14ac:dyDescent="0.25">
      <c r="A121" s="262" t="s">
        <v>849</v>
      </c>
      <c r="B121" s="266"/>
      <c r="C121" s="266"/>
      <c r="D121" s="266"/>
      <c r="E121" s="266">
        <v>20000</v>
      </c>
      <c r="F121" s="266"/>
      <c r="G121" s="266"/>
      <c r="H121" s="265">
        <f t="shared" si="2"/>
        <v>20000</v>
      </c>
      <c r="I121" s="280"/>
      <c r="J121" s="280"/>
      <c r="K121" s="280"/>
      <c r="L121" s="280"/>
      <c r="M121" s="280"/>
      <c r="N121" s="280"/>
      <c r="O121" s="280"/>
      <c r="P121" s="267">
        <f t="shared" si="3"/>
        <v>0</v>
      </c>
    </row>
    <row r="122" spans="1:16" x14ac:dyDescent="0.25">
      <c r="A122" s="262" t="s">
        <v>850</v>
      </c>
      <c r="B122" s="266"/>
      <c r="C122" s="266"/>
      <c r="D122" s="266">
        <f>+SUM(D123:D124)</f>
        <v>1500000</v>
      </c>
      <c r="E122" s="266">
        <f t="shared" ref="E122:G122" si="4">+SUM(E123:E124)</f>
        <v>1150000</v>
      </c>
      <c r="F122" s="266">
        <f t="shared" si="4"/>
        <v>150000</v>
      </c>
      <c r="G122" s="266">
        <f t="shared" si="4"/>
        <v>150000</v>
      </c>
      <c r="H122" s="265">
        <f t="shared" si="2"/>
        <v>2950000</v>
      </c>
      <c r="I122" s="280"/>
      <c r="J122" s="280"/>
      <c r="K122" s="280"/>
      <c r="L122" s="280"/>
      <c r="M122" s="280"/>
      <c r="N122" s="280"/>
      <c r="O122" s="280"/>
      <c r="P122" s="267">
        <f t="shared" si="3"/>
        <v>0</v>
      </c>
    </row>
    <row r="123" spans="1:16" x14ac:dyDescent="0.25">
      <c r="A123" s="285" t="s">
        <v>1700</v>
      </c>
      <c r="B123" s="266"/>
      <c r="C123" s="266"/>
      <c r="D123" s="286">
        <v>1500000</v>
      </c>
      <c r="E123" s="286">
        <v>1000000</v>
      </c>
      <c r="F123" s="286"/>
      <c r="G123" s="286"/>
      <c r="H123" s="265">
        <f t="shared" si="2"/>
        <v>2500000</v>
      </c>
      <c r="I123" s="280" t="s">
        <v>23</v>
      </c>
      <c r="J123" s="280"/>
      <c r="K123" s="280"/>
      <c r="L123" s="280"/>
      <c r="M123" s="280"/>
      <c r="N123" s="280"/>
      <c r="O123" s="280"/>
      <c r="P123" s="267">
        <f t="shared" si="3"/>
        <v>0</v>
      </c>
    </row>
    <row r="124" spans="1:16" x14ac:dyDescent="0.25">
      <c r="A124" s="285" t="s">
        <v>1701</v>
      </c>
      <c r="B124" s="266"/>
      <c r="C124" s="266"/>
      <c r="D124" s="286"/>
      <c r="E124" s="286">
        <v>150000</v>
      </c>
      <c r="F124" s="286">
        <v>150000</v>
      </c>
      <c r="G124" s="286">
        <v>150000</v>
      </c>
      <c r="H124" s="265">
        <f t="shared" si="2"/>
        <v>450000</v>
      </c>
      <c r="I124" s="280" t="s">
        <v>41</v>
      </c>
      <c r="J124" s="280"/>
      <c r="K124" s="280"/>
      <c r="L124" s="280"/>
      <c r="M124" s="280"/>
      <c r="N124" s="280"/>
      <c r="O124" s="280"/>
      <c r="P124" s="267">
        <f t="shared" si="3"/>
        <v>0</v>
      </c>
    </row>
    <row r="125" spans="1:16" x14ac:dyDescent="0.25">
      <c r="A125" s="262" t="s">
        <v>851</v>
      </c>
      <c r="B125" s="266"/>
      <c r="C125" s="266"/>
      <c r="D125" s="266"/>
      <c r="E125" s="266"/>
      <c r="F125" s="266"/>
      <c r="G125" s="266"/>
      <c r="H125" s="265">
        <f t="shared" si="2"/>
        <v>0</v>
      </c>
      <c r="I125" s="280" t="s">
        <v>1702</v>
      </c>
      <c r="J125" s="280"/>
      <c r="K125" s="280"/>
      <c r="L125" s="280"/>
      <c r="M125" s="280"/>
      <c r="N125" s="280"/>
      <c r="O125" s="280"/>
      <c r="P125" s="267">
        <f t="shared" si="3"/>
        <v>0</v>
      </c>
    </row>
    <row r="126" spans="1:16" x14ac:dyDescent="0.25">
      <c r="A126" s="262" t="s">
        <v>650</v>
      </c>
      <c r="B126" s="266">
        <v>800000</v>
      </c>
      <c r="C126" s="266">
        <v>300000</v>
      </c>
      <c r="D126" s="266">
        <v>300000</v>
      </c>
      <c r="E126" s="266"/>
      <c r="F126" s="266"/>
      <c r="G126" s="266"/>
      <c r="H126" s="265">
        <f t="shared" si="2"/>
        <v>1400000</v>
      </c>
      <c r="I126" s="280"/>
      <c r="J126" s="280"/>
      <c r="K126" s="280"/>
      <c r="L126" s="280"/>
      <c r="M126" s="280"/>
      <c r="N126" s="280"/>
      <c r="O126" s="280"/>
      <c r="P126" s="267">
        <f t="shared" si="3"/>
        <v>0</v>
      </c>
    </row>
    <row r="127" spans="1:16" x14ac:dyDescent="0.25">
      <c r="A127" s="262" t="s">
        <v>651</v>
      </c>
      <c r="B127" s="266"/>
      <c r="C127" s="266"/>
      <c r="D127" s="266"/>
      <c r="E127" s="266"/>
      <c r="F127" s="266"/>
      <c r="G127" s="266"/>
      <c r="H127" s="265">
        <f t="shared" si="2"/>
        <v>0</v>
      </c>
      <c r="I127" s="280"/>
      <c r="J127" s="280"/>
      <c r="K127" s="280"/>
      <c r="L127" s="280"/>
      <c r="M127" s="280"/>
      <c r="N127" s="280"/>
      <c r="O127" s="280"/>
      <c r="P127" s="267">
        <f t="shared" si="3"/>
        <v>0</v>
      </c>
    </row>
    <row r="128" spans="1:16" x14ac:dyDescent="0.25">
      <c r="A128" s="262" t="s">
        <v>652</v>
      </c>
      <c r="B128" s="266"/>
      <c r="C128" s="266"/>
      <c r="D128" s="266"/>
      <c r="E128" s="266">
        <v>300000</v>
      </c>
      <c r="F128" s="266">
        <v>300000</v>
      </c>
      <c r="G128" s="266">
        <v>300000</v>
      </c>
      <c r="H128" s="265">
        <f t="shared" si="2"/>
        <v>900000</v>
      </c>
      <c r="I128" s="280"/>
      <c r="J128" s="280"/>
      <c r="K128" s="280"/>
      <c r="L128" s="280"/>
      <c r="M128" s="280"/>
      <c r="N128" s="280"/>
      <c r="O128" s="280"/>
      <c r="P128" s="267">
        <f t="shared" si="3"/>
        <v>0</v>
      </c>
    </row>
    <row r="129" spans="1:16" x14ac:dyDescent="0.25">
      <c r="A129" s="262" t="s">
        <v>653</v>
      </c>
      <c r="B129" s="266"/>
      <c r="C129" s="266"/>
      <c r="D129" s="266"/>
      <c r="E129" s="266"/>
      <c r="F129" s="266"/>
      <c r="G129" s="266"/>
      <c r="H129" s="265">
        <f t="shared" si="2"/>
        <v>0</v>
      </c>
      <c r="I129" s="280"/>
      <c r="J129" s="280"/>
      <c r="K129" s="280"/>
      <c r="L129" s="280"/>
      <c r="M129" s="280"/>
      <c r="N129" s="280"/>
      <c r="O129" s="280"/>
      <c r="P129" s="267">
        <f t="shared" si="3"/>
        <v>0</v>
      </c>
    </row>
    <row r="130" spans="1:16" x14ac:dyDescent="0.25">
      <c r="A130" s="262" t="s">
        <v>654</v>
      </c>
      <c r="B130" s="266">
        <v>0</v>
      </c>
      <c r="C130" s="266">
        <v>0</v>
      </c>
      <c r="D130" s="266">
        <v>0</v>
      </c>
      <c r="E130" s="266">
        <v>0</v>
      </c>
      <c r="F130" s="266">
        <v>0</v>
      </c>
      <c r="G130" s="266">
        <v>0</v>
      </c>
      <c r="H130" s="265">
        <f t="shared" si="2"/>
        <v>0</v>
      </c>
      <c r="I130" s="280"/>
      <c r="J130" s="280"/>
      <c r="K130" s="280"/>
      <c r="L130" s="280"/>
      <c r="M130" s="280"/>
      <c r="N130" s="280"/>
      <c r="O130" s="280"/>
      <c r="P130" s="267">
        <f t="shared" si="3"/>
        <v>0</v>
      </c>
    </row>
    <row r="131" spans="1:16" x14ac:dyDescent="0.25">
      <c r="A131" s="262" t="s">
        <v>657</v>
      </c>
      <c r="B131" s="266"/>
      <c r="C131" s="266"/>
      <c r="D131" s="266"/>
      <c r="E131" s="266"/>
      <c r="F131" s="266"/>
      <c r="G131" s="266"/>
      <c r="H131" s="265">
        <f t="shared" si="2"/>
        <v>0</v>
      </c>
      <c r="I131" s="280"/>
      <c r="J131" s="280"/>
      <c r="K131" s="280"/>
      <c r="L131" s="280"/>
      <c r="M131" s="280"/>
      <c r="N131" s="280"/>
      <c r="O131" s="280"/>
      <c r="P131" s="267">
        <f t="shared" si="3"/>
        <v>0</v>
      </c>
    </row>
    <row r="132" spans="1:16" x14ac:dyDescent="0.25">
      <c r="A132" s="262" t="s">
        <v>658</v>
      </c>
      <c r="B132" s="266">
        <v>22000</v>
      </c>
      <c r="C132" s="266"/>
      <c r="D132" s="266"/>
      <c r="E132" s="266"/>
      <c r="F132" s="266"/>
      <c r="G132" s="266"/>
      <c r="H132" s="265">
        <f t="shared" si="2"/>
        <v>22000</v>
      </c>
      <c r="I132" s="280"/>
      <c r="J132" s="280"/>
      <c r="K132" s="280"/>
      <c r="L132" s="280"/>
      <c r="M132" s="280"/>
      <c r="N132" s="280"/>
      <c r="O132" s="280"/>
      <c r="P132" s="267">
        <f t="shared" si="3"/>
        <v>0</v>
      </c>
    </row>
    <row r="133" spans="1:16" x14ac:dyDescent="0.25">
      <c r="A133" s="262" t="s">
        <v>659</v>
      </c>
      <c r="B133" s="266"/>
      <c r="C133" s="266">
        <v>200000</v>
      </c>
      <c r="D133" s="266"/>
      <c r="E133" s="266"/>
      <c r="F133" s="266"/>
      <c r="G133" s="266"/>
      <c r="H133" s="265">
        <f t="shared" ref="H133:H196" si="5">SUM(B133:G133)</f>
        <v>200000</v>
      </c>
      <c r="I133" s="280"/>
      <c r="J133" s="280"/>
      <c r="K133" s="280"/>
      <c r="L133" s="280"/>
      <c r="M133" s="280"/>
      <c r="N133" s="280"/>
      <c r="O133" s="280"/>
      <c r="P133" s="267">
        <f t="shared" ref="P133:P213" si="6">SUM(J133:O133)</f>
        <v>0</v>
      </c>
    </row>
    <row r="134" spans="1:16" x14ac:dyDescent="0.25">
      <c r="A134" s="262" t="s">
        <v>660</v>
      </c>
      <c r="B134" s="266"/>
      <c r="C134" s="266"/>
      <c r="D134" s="266"/>
      <c r="E134" s="266"/>
      <c r="F134" s="266"/>
      <c r="G134" s="266"/>
      <c r="H134" s="265">
        <f t="shared" si="5"/>
        <v>0</v>
      </c>
      <c r="I134" s="280"/>
      <c r="J134" s="280"/>
      <c r="K134" s="280"/>
      <c r="L134" s="280"/>
      <c r="M134" s="280"/>
      <c r="N134" s="280"/>
      <c r="O134" s="280"/>
      <c r="P134" s="267">
        <f t="shared" si="6"/>
        <v>0</v>
      </c>
    </row>
    <row r="135" spans="1:16" x14ac:dyDescent="0.25">
      <c r="A135" s="262" t="s">
        <v>661</v>
      </c>
      <c r="B135" s="266">
        <v>0</v>
      </c>
      <c r="C135" s="266">
        <v>0</v>
      </c>
      <c r="D135" s="266">
        <v>0</v>
      </c>
      <c r="E135" s="266">
        <v>0</v>
      </c>
      <c r="F135" s="266">
        <v>0</v>
      </c>
      <c r="G135" s="266">
        <v>0</v>
      </c>
      <c r="H135" s="265">
        <f t="shared" si="5"/>
        <v>0</v>
      </c>
      <c r="I135" s="280"/>
      <c r="J135" s="280"/>
      <c r="K135" s="280"/>
      <c r="L135" s="280"/>
      <c r="M135" s="280"/>
      <c r="N135" s="280"/>
      <c r="O135" s="280"/>
      <c r="P135" s="267">
        <f t="shared" si="6"/>
        <v>0</v>
      </c>
    </row>
    <row r="136" spans="1:16" x14ac:dyDescent="0.25">
      <c r="A136" s="262" t="s">
        <v>662</v>
      </c>
      <c r="B136" s="266"/>
      <c r="C136" s="266"/>
      <c r="D136" s="266"/>
      <c r="E136" s="266"/>
      <c r="F136" s="266"/>
      <c r="G136" s="266"/>
      <c r="H136" s="265">
        <f t="shared" si="5"/>
        <v>0</v>
      </c>
      <c r="I136" s="280" t="s">
        <v>1703</v>
      </c>
      <c r="J136" s="280"/>
      <c r="K136" s="280"/>
      <c r="L136" s="280"/>
      <c r="M136" s="280"/>
      <c r="N136" s="280"/>
      <c r="O136" s="280"/>
      <c r="P136" s="267">
        <f t="shared" si="6"/>
        <v>0</v>
      </c>
    </row>
    <row r="137" spans="1:16" x14ac:dyDescent="0.25">
      <c r="A137" s="262" t="s">
        <v>665</v>
      </c>
      <c r="B137" s="266"/>
      <c r="C137" s="266"/>
      <c r="D137" s="266"/>
      <c r="E137" s="266"/>
      <c r="F137" s="266"/>
      <c r="G137" s="266"/>
      <c r="H137" s="265">
        <f t="shared" si="5"/>
        <v>0</v>
      </c>
      <c r="I137" s="280" t="s">
        <v>1704</v>
      </c>
      <c r="J137" s="280"/>
      <c r="K137" s="280"/>
      <c r="L137" s="280"/>
      <c r="M137" s="280"/>
      <c r="N137" s="280"/>
      <c r="O137" s="280"/>
      <c r="P137" s="267">
        <f t="shared" si="6"/>
        <v>0</v>
      </c>
    </row>
    <row r="138" spans="1:16" x14ac:dyDescent="0.25">
      <c r="A138" s="262" t="s">
        <v>663</v>
      </c>
      <c r="B138" s="266"/>
      <c r="C138" s="266"/>
      <c r="D138" s="266"/>
      <c r="E138" s="266"/>
      <c r="F138" s="266"/>
      <c r="G138" s="266"/>
      <c r="H138" s="265">
        <f t="shared" si="5"/>
        <v>0</v>
      </c>
      <c r="I138" s="280"/>
      <c r="J138" s="280"/>
      <c r="K138" s="280"/>
      <c r="L138" s="280"/>
      <c r="M138" s="280"/>
      <c r="N138" s="280"/>
      <c r="O138" s="280"/>
      <c r="P138" s="267">
        <f t="shared" si="6"/>
        <v>0</v>
      </c>
    </row>
    <row r="139" spans="1:16" x14ac:dyDescent="0.25">
      <c r="A139" s="262" t="s">
        <v>664</v>
      </c>
      <c r="B139" s="266"/>
      <c r="C139" s="266"/>
      <c r="D139" s="266"/>
      <c r="E139" s="266"/>
      <c r="F139" s="266"/>
      <c r="G139" s="266"/>
      <c r="H139" s="265">
        <f t="shared" si="5"/>
        <v>0</v>
      </c>
      <c r="I139" s="280"/>
      <c r="J139" s="280"/>
      <c r="K139" s="280"/>
      <c r="L139" s="280"/>
      <c r="M139" s="280"/>
      <c r="N139" s="280"/>
      <c r="O139" s="280"/>
      <c r="P139" s="267">
        <f t="shared" si="6"/>
        <v>0</v>
      </c>
    </row>
    <row r="140" spans="1:16" x14ac:dyDescent="0.25">
      <c r="A140" s="262" t="s">
        <v>655</v>
      </c>
      <c r="B140" s="266">
        <v>35000</v>
      </c>
      <c r="C140" s="266">
        <v>35000</v>
      </c>
      <c r="D140" s="266">
        <v>35000</v>
      </c>
      <c r="E140" s="266">
        <v>35000</v>
      </c>
      <c r="F140" s="266">
        <v>35000</v>
      </c>
      <c r="G140" s="266">
        <v>35000</v>
      </c>
      <c r="H140" s="265">
        <f t="shared" si="5"/>
        <v>210000</v>
      </c>
      <c r="I140" s="280"/>
      <c r="J140" s="280"/>
      <c r="K140" s="280"/>
      <c r="L140" s="280"/>
      <c r="M140" s="280"/>
      <c r="N140" s="280"/>
      <c r="O140" s="280"/>
      <c r="P140" s="267">
        <f t="shared" si="6"/>
        <v>0</v>
      </c>
    </row>
    <row r="141" spans="1:16" x14ac:dyDescent="0.25">
      <c r="A141" s="262" t="s">
        <v>656</v>
      </c>
      <c r="B141" s="266"/>
      <c r="C141" s="266">
        <v>5000</v>
      </c>
      <c r="D141" s="266">
        <v>5000</v>
      </c>
      <c r="E141" s="266">
        <v>5000</v>
      </c>
      <c r="F141" s="266">
        <v>5000</v>
      </c>
      <c r="G141" s="266">
        <v>5000</v>
      </c>
      <c r="H141" s="265">
        <f t="shared" si="5"/>
        <v>25000</v>
      </c>
      <c r="I141" s="280"/>
      <c r="J141" s="280"/>
      <c r="K141" s="280"/>
      <c r="L141" s="280"/>
      <c r="M141" s="280"/>
      <c r="N141" s="280"/>
      <c r="O141" s="280"/>
      <c r="P141" s="267">
        <f t="shared" si="6"/>
        <v>0</v>
      </c>
    </row>
    <row r="142" spans="1:16" x14ac:dyDescent="0.25">
      <c r="A142" s="262" t="s">
        <v>666</v>
      </c>
      <c r="B142" s="283"/>
      <c r="C142" s="283"/>
      <c r="D142" s="283"/>
      <c r="E142" s="283"/>
      <c r="F142" s="283"/>
      <c r="G142" s="283"/>
      <c r="H142" s="265">
        <f t="shared" si="5"/>
        <v>0</v>
      </c>
      <c r="I142" s="280" t="s">
        <v>1705</v>
      </c>
      <c r="J142" s="280">
        <v>500000</v>
      </c>
      <c r="K142" s="280">
        <v>500000</v>
      </c>
      <c r="L142" s="280">
        <v>500000</v>
      </c>
      <c r="M142" s="280">
        <v>500000</v>
      </c>
      <c r="N142" s="280">
        <v>500000</v>
      </c>
      <c r="O142" s="280">
        <v>500000</v>
      </c>
      <c r="P142" s="267">
        <f t="shared" si="6"/>
        <v>3000000</v>
      </c>
    </row>
    <row r="143" spans="1:16" x14ac:dyDescent="0.25">
      <c r="A143" s="262" t="s">
        <v>667</v>
      </c>
      <c r="B143" s="266"/>
      <c r="C143" s="266"/>
      <c r="D143" s="266"/>
      <c r="E143" s="266"/>
      <c r="F143" s="266"/>
      <c r="G143" s="266"/>
      <c r="H143" s="265">
        <f t="shared" si="5"/>
        <v>0</v>
      </c>
      <c r="I143" s="280" t="s">
        <v>1706</v>
      </c>
      <c r="J143" s="280"/>
      <c r="K143" s="280"/>
      <c r="L143" s="280"/>
      <c r="M143" s="280"/>
      <c r="N143" s="280"/>
      <c r="O143" s="280"/>
      <c r="P143" s="267">
        <f t="shared" si="6"/>
        <v>0</v>
      </c>
    </row>
    <row r="144" spans="1:16" x14ac:dyDescent="0.25">
      <c r="A144" s="262" t="s">
        <v>1707</v>
      </c>
      <c r="B144" s="266"/>
      <c r="C144" s="266"/>
      <c r="D144" s="266"/>
      <c r="E144" s="266"/>
      <c r="F144" s="266"/>
      <c r="G144" s="266"/>
      <c r="H144" s="265">
        <f t="shared" si="5"/>
        <v>0</v>
      </c>
      <c r="I144" s="280" t="s">
        <v>1708</v>
      </c>
      <c r="J144" s="280"/>
      <c r="K144" s="280"/>
      <c r="L144" s="280"/>
      <c r="M144" s="280"/>
      <c r="N144" s="280"/>
      <c r="O144" s="280"/>
      <c r="P144" s="267">
        <f t="shared" si="6"/>
        <v>0</v>
      </c>
    </row>
    <row r="145" spans="1:16" x14ac:dyDescent="0.25">
      <c r="A145" s="262" t="s">
        <v>668</v>
      </c>
      <c r="B145" s="266"/>
      <c r="C145" s="266"/>
      <c r="D145" s="266"/>
      <c r="E145" s="266"/>
      <c r="F145" s="266"/>
      <c r="G145" s="266"/>
      <c r="H145" s="265">
        <f t="shared" si="5"/>
        <v>0</v>
      </c>
      <c r="I145" s="280"/>
      <c r="J145" s="280"/>
      <c r="K145" s="280"/>
      <c r="L145" s="280"/>
      <c r="M145" s="280"/>
      <c r="N145" s="280"/>
      <c r="O145" s="280"/>
      <c r="P145" s="267">
        <f t="shared" si="6"/>
        <v>0</v>
      </c>
    </row>
    <row r="146" spans="1:16" x14ac:dyDescent="0.25">
      <c r="A146" s="262" t="s">
        <v>669</v>
      </c>
      <c r="B146" s="266"/>
      <c r="C146" s="266"/>
      <c r="D146" s="266"/>
      <c r="E146" s="266"/>
      <c r="F146" s="266"/>
      <c r="G146" s="266"/>
      <c r="H146" s="265">
        <f t="shared" si="5"/>
        <v>0</v>
      </c>
      <c r="I146" s="280"/>
      <c r="J146" s="280"/>
      <c r="K146" s="280"/>
      <c r="L146" s="280"/>
      <c r="M146" s="280"/>
      <c r="N146" s="280"/>
      <c r="O146" s="280"/>
      <c r="P146" s="267">
        <f t="shared" si="6"/>
        <v>0</v>
      </c>
    </row>
    <row r="147" spans="1:16" x14ac:dyDescent="0.25">
      <c r="A147" s="262" t="s">
        <v>670</v>
      </c>
      <c r="B147" s="266"/>
      <c r="C147" s="266"/>
      <c r="D147" s="266"/>
      <c r="E147" s="266"/>
      <c r="F147" s="266"/>
      <c r="G147" s="266"/>
      <c r="H147" s="265">
        <f t="shared" si="5"/>
        <v>0</v>
      </c>
      <c r="I147" s="280"/>
      <c r="J147" s="280"/>
      <c r="K147" s="280"/>
      <c r="L147" s="280"/>
      <c r="M147" s="280"/>
      <c r="N147" s="280"/>
      <c r="O147" s="280"/>
      <c r="P147" s="267">
        <f t="shared" si="6"/>
        <v>0</v>
      </c>
    </row>
    <row r="148" spans="1:16" x14ac:dyDescent="0.25">
      <c r="A148" s="262" t="s">
        <v>671</v>
      </c>
      <c r="B148" s="266"/>
      <c r="C148" s="266"/>
      <c r="D148" s="266"/>
      <c r="E148" s="266"/>
      <c r="F148" s="266"/>
      <c r="G148" s="266"/>
      <c r="H148" s="265">
        <f t="shared" si="5"/>
        <v>0</v>
      </c>
      <c r="I148" s="280" t="s">
        <v>1709</v>
      </c>
      <c r="J148" s="280"/>
      <c r="K148" s="280"/>
      <c r="L148" s="280"/>
      <c r="M148" s="280"/>
      <c r="N148" s="280"/>
      <c r="O148" s="280"/>
      <c r="P148" s="267"/>
    </row>
    <row r="149" spans="1:16" x14ac:dyDescent="0.25">
      <c r="A149" s="262" t="s">
        <v>672</v>
      </c>
      <c r="B149" s="266"/>
      <c r="C149" s="266"/>
      <c r="D149" s="266"/>
      <c r="E149" s="266"/>
      <c r="F149" s="266"/>
      <c r="G149" s="266"/>
      <c r="H149" s="265">
        <f t="shared" si="5"/>
        <v>0</v>
      </c>
      <c r="I149" s="280" t="s">
        <v>1710</v>
      </c>
      <c r="J149" s="280"/>
      <c r="K149" s="280"/>
      <c r="L149" s="280"/>
      <c r="M149" s="280"/>
      <c r="N149" s="280"/>
      <c r="O149" s="280"/>
      <c r="P149" s="267"/>
    </row>
    <row r="150" spans="1:16" x14ac:dyDescent="0.25">
      <c r="A150" s="262" t="s">
        <v>673</v>
      </c>
      <c r="B150" s="266"/>
      <c r="C150" s="266"/>
      <c r="D150" s="266"/>
      <c r="E150" s="266"/>
      <c r="F150" s="266"/>
      <c r="G150" s="266"/>
      <c r="H150" s="265">
        <f t="shared" si="5"/>
        <v>0</v>
      </c>
      <c r="I150" s="280">
        <v>2026</v>
      </c>
      <c r="J150" s="280"/>
      <c r="K150" s="280"/>
      <c r="L150" s="280"/>
      <c r="M150" s="280"/>
      <c r="N150" s="280"/>
      <c r="O150" s="280"/>
      <c r="P150" s="267"/>
    </row>
    <row r="151" spans="1:16" x14ac:dyDescent="0.25">
      <c r="A151" s="262" t="s">
        <v>674</v>
      </c>
      <c r="B151" s="266"/>
      <c r="C151" s="266"/>
      <c r="D151" s="266"/>
      <c r="E151" s="266"/>
      <c r="F151" s="266"/>
      <c r="G151" s="266"/>
      <c r="H151" s="265">
        <f t="shared" si="5"/>
        <v>0</v>
      </c>
      <c r="I151" s="280" t="s">
        <v>1711</v>
      </c>
      <c r="J151" s="280"/>
      <c r="K151" s="280"/>
      <c r="L151" s="280"/>
      <c r="M151" s="280"/>
      <c r="N151" s="280"/>
      <c r="O151" s="280"/>
      <c r="P151" s="267"/>
    </row>
    <row r="152" spans="1:16" x14ac:dyDescent="0.25">
      <c r="A152" s="262" t="s">
        <v>2572</v>
      </c>
      <c r="B152" s="266">
        <v>0</v>
      </c>
      <c r="C152" s="266">
        <v>0</v>
      </c>
      <c r="D152" s="266">
        <v>0</v>
      </c>
      <c r="E152" s="266">
        <v>0</v>
      </c>
      <c r="F152" s="266">
        <v>0</v>
      </c>
      <c r="G152" s="266"/>
      <c r="H152" s="265">
        <f t="shared" si="5"/>
        <v>0</v>
      </c>
      <c r="I152" s="280"/>
      <c r="J152" s="280"/>
      <c r="K152" s="280"/>
      <c r="L152" s="280"/>
      <c r="M152" s="280"/>
      <c r="N152" s="280"/>
      <c r="O152" s="280"/>
      <c r="P152" s="267"/>
    </row>
    <row r="153" spans="1:16" x14ac:dyDescent="0.25">
      <c r="A153" s="262" t="s">
        <v>2574</v>
      </c>
      <c r="B153" s="266">
        <v>100000</v>
      </c>
      <c r="C153" s="266"/>
      <c r="D153" s="266"/>
      <c r="E153" s="266"/>
      <c r="F153" s="266"/>
      <c r="G153" s="266"/>
      <c r="H153" s="265">
        <f t="shared" si="5"/>
        <v>100000</v>
      </c>
      <c r="I153" s="280"/>
      <c r="J153" s="280"/>
      <c r="K153" s="280"/>
      <c r="L153" s="280"/>
      <c r="M153" s="280"/>
      <c r="N153" s="280"/>
      <c r="O153" s="280"/>
      <c r="P153" s="267"/>
    </row>
    <row r="154" spans="1:16" x14ac:dyDescent="0.25">
      <c r="A154" s="262" t="s">
        <v>2576</v>
      </c>
      <c r="B154" s="266"/>
      <c r="C154" s="266">
        <v>100000</v>
      </c>
      <c r="D154" s="266"/>
      <c r="E154" s="266"/>
      <c r="F154" s="266"/>
      <c r="G154" s="266"/>
      <c r="H154" s="265">
        <f t="shared" si="5"/>
        <v>100000</v>
      </c>
      <c r="I154" s="280"/>
      <c r="J154" s="280"/>
      <c r="K154" s="280"/>
      <c r="L154" s="280"/>
      <c r="M154" s="280"/>
      <c r="N154" s="280"/>
      <c r="O154" s="280"/>
      <c r="P154" s="267"/>
    </row>
    <row r="155" spans="1:16" x14ac:dyDescent="0.25">
      <c r="A155" s="262" t="s">
        <v>2578</v>
      </c>
      <c r="B155" s="266">
        <v>0</v>
      </c>
      <c r="C155" s="266">
        <v>0</v>
      </c>
      <c r="D155" s="266">
        <v>0</v>
      </c>
      <c r="E155" s="266">
        <v>0</v>
      </c>
      <c r="F155" s="266">
        <v>0</v>
      </c>
      <c r="G155" s="266">
        <v>0</v>
      </c>
      <c r="H155" s="265">
        <f t="shared" si="5"/>
        <v>0</v>
      </c>
      <c r="I155" s="280"/>
      <c r="J155" s="280"/>
      <c r="K155" s="280"/>
      <c r="L155" s="280"/>
      <c r="M155" s="280"/>
      <c r="N155" s="280"/>
      <c r="O155" s="280"/>
      <c r="P155" s="267"/>
    </row>
    <row r="156" spans="1:16" x14ac:dyDescent="0.25">
      <c r="A156" s="262" t="s">
        <v>2580</v>
      </c>
      <c r="B156" s="266">
        <v>0</v>
      </c>
      <c r="C156" s="266">
        <v>0</v>
      </c>
      <c r="D156" s="266">
        <v>0</v>
      </c>
      <c r="E156" s="266">
        <v>0</v>
      </c>
      <c r="F156" s="266">
        <v>0</v>
      </c>
      <c r="G156" s="266">
        <v>0</v>
      </c>
      <c r="H156" s="265">
        <f t="shared" si="5"/>
        <v>0</v>
      </c>
      <c r="I156" s="280"/>
      <c r="J156" s="280"/>
      <c r="K156" s="280"/>
      <c r="L156" s="280"/>
      <c r="M156" s="280"/>
      <c r="N156" s="280"/>
      <c r="O156" s="280"/>
      <c r="P156" s="267"/>
    </row>
    <row r="157" spans="1:16" x14ac:dyDescent="0.25">
      <c r="A157" s="262" t="s">
        <v>675</v>
      </c>
      <c r="B157" s="266"/>
      <c r="C157" s="266"/>
      <c r="D157" s="266"/>
      <c r="E157" s="266"/>
      <c r="F157" s="266"/>
      <c r="G157" s="266"/>
      <c r="H157" s="265">
        <f t="shared" si="5"/>
        <v>0</v>
      </c>
      <c r="I157" s="280"/>
      <c r="J157" s="280"/>
      <c r="K157" s="280"/>
      <c r="L157" s="280"/>
      <c r="M157" s="280"/>
      <c r="N157" s="280"/>
      <c r="O157" s="280"/>
      <c r="P157" s="267">
        <f t="shared" si="6"/>
        <v>0</v>
      </c>
    </row>
    <row r="158" spans="1:16" x14ac:dyDescent="0.25">
      <c r="A158" s="262" t="s">
        <v>678</v>
      </c>
      <c r="B158" s="283"/>
      <c r="C158" s="283"/>
      <c r="D158" s="283"/>
      <c r="E158" s="283"/>
      <c r="F158" s="283"/>
      <c r="G158" s="283"/>
      <c r="H158" s="265">
        <f t="shared" si="5"/>
        <v>0</v>
      </c>
      <c r="I158" s="280" t="s">
        <v>1712</v>
      </c>
      <c r="J158" s="280"/>
      <c r="K158" s="280"/>
      <c r="L158" s="280"/>
      <c r="M158" s="280"/>
      <c r="N158" s="280"/>
      <c r="O158" s="280"/>
      <c r="P158" s="267">
        <f t="shared" si="6"/>
        <v>0</v>
      </c>
    </row>
    <row r="159" spans="1:16" x14ac:dyDescent="0.25">
      <c r="A159" s="262" t="s">
        <v>676</v>
      </c>
      <c r="B159" s="266"/>
      <c r="C159" s="266"/>
      <c r="D159" s="266"/>
      <c r="E159" s="266"/>
      <c r="F159" s="266"/>
      <c r="G159" s="266"/>
      <c r="H159" s="265">
        <f t="shared" si="5"/>
        <v>0</v>
      </c>
      <c r="I159" s="280"/>
      <c r="J159" s="280"/>
      <c r="K159" s="280"/>
      <c r="L159" s="280"/>
      <c r="M159" s="280"/>
      <c r="N159" s="280"/>
      <c r="O159" s="280"/>
      <c r="P159" s="267">
        <f t="shared" si="6"/>
        <v>0</v>
      </c>
    </row>
    <row r="160" spans="1:16" x14ac:dyDescent="0.25">
      <c r="A160" s="262" t="s">
        <v>677</v>
      </c>
      <c r="B160" s="266">
        <v>15000</v>
      </c>
      <c r="C160" s="266">
        <v>15000</v>
      </c>
      <c r="D160" s="266">
        <v>15000</v>
      </c>
      <c r="E160" s="266">
        <v>15000</v>
      </c>
      <c r="F160" s="266">
        <v>15000</v>
      </c>
      <c r="G160" s="266">
        <v>15000</v>
      </c>
      <c r="H160" s="265">
        <f t="shared" si="5"/>
        <v>90000</v>
      </c>
      <c r="I160" s="280"/>
      <c r="J160" s="280"/>
      <c r="K160" s="280"/>
      <c r="L160" s="280"/>
      <c r="M160" s="280"/>
      <c r="N160" s="280"/>
      <c r="O160" s="280"/>
      <c r="P160" s="267">
        <f t="shared" si="6"/>
        <v>0</v>
      </c>
    </row>
    <row r="161" spans="1:16" x14ac:dyDescent="0.25">
      <c r="A161" s="262" t="s">
        <v>2797</v>
      </c>
      <c r="B161" s="266"/>
      <c r="C161" s="266"/>
      <c r="D161" s="266"/>
      <c r="E161" s="266"/>
      <c r="F161" s="266"/>
      <c r="G161" s="266"/>
      <c r="H161" s="265">
        <f t="shared" si="5"/>
        <v>0</v>
      </c>
      <c r="I161" s="280"/>
      <c r="J161" s="280"/>
      <c r="K161" s="280"/>
      <c r="L161" s="280"/>
      <c r="M161" s="280"/>
      <c r="N161" s="280"/>
      <c r="O161" s="280"/>
      <c r="P161" s="267"/>
    </row>
    <row r="162" spans="1:16" x14ac:dyDescent="0.25">
      <c r="A162" s="262" t="s">
        <v>2799</v>
      </c>
      <c r="B162" s="266"/>
      <c r="C162" s="266"/>
      <c r="D162" s="266"/>
      <c r="E162" s="266"/>
      <c r="F162" s="266"/>
      <c r="G162" s="266"/>
      <c r="H162" s="265">
        <f t="shared" si="5"/>
        <v>0</v>
      </c>
      <c r="I162" s="280"/>
      <c r="J162" s="280"/>
      <c r="K162" s="280"/>
      <c r="L162" s="280"/>
      <c r="M162" s="280"/>
      <c r="N162" s="280"/>
      <c r="O162" s="280"/>
      <c r="P162" s="267"/>
    </row>
    <row r="163" spans="1:16" x14ac:dyDescent="0.25">
      <c r="A163" s="262" t="s">
        <v>2801</v>
      </c>
      <c r="B163" s="266"/>
      <c r="C163" s="266"/>
      <c r="D163" s="266"/>
      <c r="E163" s="266"/>
      <c r="F163" s="266"/>
      <c r="G163" s="266"/>
      <c r="H163" s="265">
        <f t="shared" si="5"/>
        <v>0</v>
      </c>
      <c r="I163" s="280"/>
      <c r="J163" s="280"/>
      <c r="K163" s="280"/>
      <c r="L163" s="280"/>
      <c r="M163" s="280"/>
      <c r="N163" s="280"/>
      <c r="O163" s="280"/>
      <c r="P163" s="267"/>
    </row>
    <row r="164" spans="1:16" x14ac:dyDescent="0.25">
      <c r="A164" s="262" t="s">
        <v>2803</v>
      </c>
      <c r="B164" s="266"/>
      <c r="C164" s="266"/>
      <c r="D164" s="266"/>
      <c r="E164" s="266"/>
      <c r="F164" s="266"/>
      <c r="G164" s="266"/>
      <c r="H164" s="265">
        <f t="shared" si="5"/>
        <v>0</v>
      </c>
      <c r="I164" s="280"/>
      <c r="J164" s="280"/>
      <c r="K164" s="280"/>
      <c r="L164" s="280"/>
      <c r="M164" s="280"/>
      <c r="N164" s="280"/>
      <c r="O164" s="280"/>
      <c r="P164" s="267"/>
    </row>
    <row r="165" spans="1:16" x14ac:dyDescent="0.25">
      <c r="A165" s="262" t="s">
        <v>2805</v>
      </c>
      <c r="B165" s="266"/>
      <c r="C165" s="266"/>
      <c r="D165" s="266"/>
      <c r="E165" s="266"/>
      <c r="F165" s="266"/>
      <c r="G165" s="266"/>
      <c r="H165" s="265">
        <f t="shared" si="5"/>
        <v>0</v>
      </c>
      <c r="I165" s="280"/>
      <c r="J165" s="280"/>
      <c r="K165" s="280"/>
      <c r="L165" s="280"/>
      <c r="M165" s="280"/>
      <c r="N165" s="280"/>
      <c r="O165" s="280"/>
      <c r="P165" s="267"/>
    </row>
    <row r="166" spans="1:16" x14ac:dyDescent="0.25">
      <c r="A166" s="262" t="s">
        <v>2807</v>
      </c>
      <c r="B166" s="266"/>
      <c r="C166" s="266"/>
      <c r="D166" s="266"/>
      <c r="E166" s="266"/>
      <c r="F166" s="266"/>
      <c r="G166" s="266"/>
      <c r="H166" s="265">
        <f t="shared" si="5"/>
        <v>0</v>
      </c>
      <c r="I166" s="280"/>
      <c r="J166" s="280"/>
      <c r="K166" s="280"/>
      <c r="L166" s="280"/>
      <c r="M166" s="280"/>
      <c r="N166" s="280"/>
      <c r="O166" s="280"/>
      <c r="P166" s="267"/>
    </row>
    <row r="167" spans="1:16" x14ac:dyDescent="0.25">
      <c r="A167" s="262" t="s">
        <v>2809</v>
      </c>
      <c r="B167" s="266"/>
      <c r="C167" s="266"/>
      <c r="D167" s="266"/>
      <c r="E167" s="266"/>
      <c r="F167" s="266"/>
      <c r="G167" s="266"/>
      <c r="H167" s="265">
        <f t="shared" si="5"/>
        <v>0</v>
      </c>
      <c r="I167" s="280"/>
      <c r="J167" s="280"/>
      <c r="K167" s="280"/>
      <c r="L167" s="280"/>
      <c r="M167" s="280"/>
      <c r="N167" s="280"/>
      <c r="O167" s="280"/>
      <c r="P167" s="267"/>
    </row>
    <row r="168" spans="1:16" x14ac:dyDescent="0.25">
      <c r="A168" s="262" t="s">
        <v>2811</v>
      </c>
      <c r="B168" s="266"/>
      <c r="C168" s="266"/>
      <c r="D168" s="266"/>
      <c r="E168" s="266"/>
      <c r="F168" s="266"/>
      <c r="G168" s="266"/>
      <c r="H168" s="265">
        <f t="shared" si="5"/>
        <v>0</v>
      </c>
      <c r="I168" s="280"/>
      <c r="J168" s="280"/>
      <c r="K168" s="280"/>
      <c r="L168" s="280"/>
      <c r="M168" s="280"/>
      <c r="N168" s="280"/>
      <c r="O168" s="280"/>
      <c r="P168" s="267"/>
    </row>
    <row r="169" spans="1:16" x14ac:dyDescent="0.25">
      <c r="A169" s="262" t="s">
        <v>2813</v>
      </c>
      <c r="B169" s="266"/>
      <c r="C169" s="266"/>
      <c r="D169" s="266"/>
      <c r="E169" s="266"/>
      <c r="F169" s="266"/>
      <c r="G169" s="266"/>
      <c r="H169" s="265">
        <f t="shared" si="5"/>
        <v>0</v>
      </c>
      <c r="I169" s="280"/>
      <c r="J169" s="280"/>
      <c r="K169" s="280"/>
      <c r="L169" s="280"/>
      <c r="M169" s="280"/>
      <c r="N169" s="280"/>
      <c r="O169" s="280"/>
      <c r="P169" s="267"/>
    </row>
    <row r="170" spans="1:16" x14ac:dyDescent="0.25">
      <c r="A170" s="262" t="s">
        <v>679</v>
      </c>
      <c r="B170" s="266"/>
      <c r="C170" s="266"/>
      <c r="D170" s="266"/>
      <c r="E170" s="266">
        <v>50000</v>
      </c>
      <c r="F170" s="266"/>
      <c r="G170" s="266"/>
      <c r="H170" s="265">
        <f t="shared" si="5"/>
        <v>50000</v>
      </c>
      <c r="I170" s="280"/>
      <c r="J170" s="280"/>
      <c r="K170" s="280"/>
      <c r="L170" s="280"/>
      <c r="M170" s="280"/>
      <c r="N170" s="280"/>
      <c r="O170" s="280"/>
      <c r="P170" s="267">
        <f t="shared" si="6"/>
        <v>0</v>
      </c>
    </row>
    <row r="171" spans="1:16" x14ac:dyDescent="0.25">
      <c r="A171" s="262" t="s">
        <v>680</v>
      </c>
      <c r="B171" s="266"/>
      <c r="C171" s="266"/>
      <c r="D171" s="266"/>
      <c r="E171" s="266"/>
      <c r="F171" s="266">
        <v>750000</v>
      </c>
      <c r="G171" s="266"/>
      <c r="H171" s="265">
        <f t="shared" si="5"/>
        <v>750000</v>
      </c>
      <c r="I171" s="280"/>
      <c r="J171" s="280"/>
      <c r="K171" s="280"/>
      <c r="L171" s="280"/>
      <c r="M171" s="280"/>
      <c r="N171" s="280"/>
      <c r="O171" s="280"/>
      <c r="P171" s="267">
        <f t="shared" si="6"/>
        <v>0</v>
      </c>
    </row>
    <row r="172" spans="1:16" x14ac:dyDescent="0.25">
      <c r="A172" s="262" t="s">
        <v>681</v>
      </c>
      <c r="B172" s="266"/>
      <c r="C172" s="266"/>
      <c r="D172" s="266"/>
      <c r="E172" s="266"/>
      <c r="F172" s="266">
        <v>850000</v>
      </c>
      <c r="G172" s="266"/>
      <c r="H172" s="265">
        <f t="shared" si="5"/>
        <v>850000</v>
      </c>
      <c r="I172" s="280"/>
      <c r="J172" s="280"/>
      <c r="K172" s="280"/>
      <c r="L172" s="280"/>
      <c r="M172" s="280"/>
      <c r="N172" s="280"/>
      <c r="O172" s="280"/>
      <c r="P172" s="267">
        <f t="shared" si="6"/>
        <v>0</v>
      </c>
    </row>
    <row r="173" spans="1:16" x14ac:dyDescent="0.25">
      <c r="A173" s="262" t="s">
        <v>682</v>
      </c>
      <c r="B173" s="266"/>
      <c r="C173" s="266"/>
      <c r="D173" s="266"/>
      <c r="E173" s="266"/>
      <c r="F173" s="266"/>
      <c r="G173" s="266"/>
      <c r="H173" s="265">
        <f t="shared" si="5"/>
        <v>0</v>
      </c>
      <c r="I173" s="280"/>
      <c r="J173" s="280"/>
      <c r="K173" s="280"/>
      <c r="L173" s="280"/>
      <c r="M173" s="280"/>
      <c r="N173" s="280"/>
      <c r="O173" s="280"/>
      <c r="P173" s="267">
        <f t="shared" si="6"/>
        <v>0</v>
      </c>
    </row>
    <row r="174" spans="1:16" x14ac:dyDescent="0.25">
      <c r="A174" s="262" t="s">
        <v>683</v>
      </c>
      <c r="B174" s="266">
        <v>10000</v>
      </c>
      <c r="C174" s="266">
        <v>10000</v>
      </c>
      <c r="D174" s="266"/>
      <c r="E174" s="266"/>
      <c r="F174" s="266"/>
      <c r="G174" s="266"/>
      <c r="H174" s="265">
        <f t="shared" si="5"/>
        <v>20000</v>
      </c>
      <c r="I174" s="280"/>
      <c r="J174" s="280"/>
      <c r="K174" s="280"/>
      <c r="L174" s="280"/>
      <c r="M174" s="280"/>
      <c r="N174" s="280"/>
      <c r="O174" s="280"/>
      <c r="P174" s="267">
        <f t="shared" si="6"/>
        <v>0</v>
      </c>
    </row>
    <row r="175" spans="1:16" x14ac:dyDescent="0.25">
      <c r="A175" s="262" t="s">
        <v>684</v>
      </c>
      <c r="B175" s="266">
        <v>40000</v>
      </c>
      <c r="C175" s="266"/>
      <c r="D175" s="266"/>
      <c r="E175" s="266"/>
      <c r="F175" s="266"/>
      <c r="G175" s="266"/>
      <c r="H175" s="265">
        <f t="shared" si="5"/>
        <v>40000</v>
      </c>
      <c r="I175" s="280"/>
      <c r="J175" s="280"/>
      <c r="K175" s="280"/>
      <c r="L175" s="280"/>
      <c r="M175" s="280"/>
      <c r="N175" s="280"/>
      <c r="O175" s="280"/>
      <c r="P175" s="267">
        <f t="shared" si="6"/>
        <v>0</v>
      </c>
    </row>
    <row r="176" spans="1:16" x14ac:dyDescent="0.25">
      <c r="A176" s="262" t="s">
        <v>685</v>
      </c>
      <c r="B176" s="266"/>
      <c r="C176" s="266">
        <v>50000</v>
      </c>
      <c r="D176" s="266"/>
      <c r="E176" s="266"/>
      <c r="F176" s="266"/>
      <c r="G176" s="266"/>
      <c r="H176" s="265">
        <f t="shared" si="5"/>
        <v>50000</v>
      </c>
      <c r="I176" s="280"/>
      <c r="J176" s="280"/>
      <c r="K176" s="280"/>
      <c r="L176" s="280"/>
      <c r="M176" s="280"/>
      <c r="N176" s="280"/>
      <c r="O176" s="280"/>
      <c r="P176" s="267">
        <f t="shared" si="6"/>
        <v>0</v>
      </c>
    </row>
    <row r="177" spans="1:16" x14ac:dyDescent="0.25">
      <c r="A177" s="262" t="s">
        <v>686</v>
      </c>
      <c r="B177" s="266"/>
      <c r="C177" s="266"/>
      <c r="D177" s="266">
        <v>100000</v>
      </c>
      <c r="E177" s="266"/>
      <c r="F177" s="266"/>
      <c r="G177" s="266"/>
      <c r="H177" s="265">
        <f t="shared" si="5"/>
        <v>100000</v>
      </c>
      <c r="I177" s="280"/>
      <c r="J177" s="280"/>
      <c r="K177" s="280"/>
      <c r="L177" s="280"/>
      <c r="M177" s="280"/>
      <c r="N177" s="280"/>
      <c r="O177" s="280"/>
      <c r="P177" s="267">
        <f t="shared" si="6"/>
        <v>0</v>
      </c>
    </row>
    <row r="178" spans="1:16" x14ac:dyDescent="0.25">
      <c r="A178" s="262" t="s">
        <v>687</v>
      </c>
      <c r="B178" s="266">
        <v>3000</v>
      </c>
      <c r="C178" s="266">
        <v>3000</v>
      </c>
      <c r="D178" s="266">
        <v>3000</v>
      </c>
      <c r="E178" s="266">
        <v>3000</v>
      </c>
      <c r="F178" s="266">
        <v>3000</v>
      </c>
      <c r="G178" s="266">
        <v>3000</v>
      </c>
      <c r="H178" s="265">
        <f t="shared" si="5"/>
        <v>18000</v>
      </c>
      <c r="I178" s="280"/>
      <c r="J178" s="280"/>
      <c r="K178" s="280"/>
      <c r="L178" s="280"/>
      <c r="M178" s="280"/>
      <c r="N178" s="280"/>
      <c r="O178" s="280"/>
      <c r="P178" s="267">
        <f t="shared" si="6"/>
        <v>0</v>
      </c>
    </row>
    <row r="179" spans="1:16" x14ac:dyDescent="0.25">
      <c r="A179" s="262" t="s">
        <v>688</v>
      </c>
      <c r="B179" s="266"/>
      <c r="C179" s="266"/>
      <c r="D179" s="266"/>
      <c r="E179" s="266"/>
      <c r="F179" s="266"/>
      <c r="G179" s="266"/>
      <c r="H179" s="265">
        <f t="shared" si="5"/>
        <v>0</v>
      </c>
      <c r="I179" s="280"/>
      <c r="J179" s="280"/>
      <c r="K179" s="280"/>
      <c r="L179" s="280"/>
      <c r="M179" s="280"/>
      <c r="N179" s="280"/>
      <c r="O179" s="280"/>
      <c r="P179" s="267">
        <f t="shared" si="6"/>
        <v>0</v>
      </c>
    </row>
    <row r="180" spans="1:16" x14ac:dyDescent="0.25">
      <c r="A180" s="262" t="s">
        <v>689</v>
      </c>
      <c r="B180" s="266">
        <v>25580</v>
      </c>
      <c r="C180" s="266">
        <v>25580</v>
      </c>
      <c r="D180" s="266">
        <v>25580</v>
      </c>
      <c r="E180" s="266">
        <v>25580</v>
      </c>
      <c r="F180" s="266">
        <v>25580</v>
      </c>
      <c r="G180" s="266">
        <v>25580</v>
      </c>
      <c r="H180" s="265">
        <f t="shared" si="5"/>
        <v>153480</v>
      </c>
      <c r="I180" s="280"/>
      <c r="J180" s="280"/>
      <c r="K180" s="280"/>
      <c r="L180" s="280"/>
      <c r="M180" s="280"/>
      <c r="N180" s="280"/>
      <c r="O180" s="280"/>
      <c r="P180" s="267">
        <f t="shared" si="6"/>
        <v>0</v>
      </c>
    </row>
    <row r="181" spans="1:16" x14ac:dyDescent="0.25">
      <c r="A181" s="262" t="s">
        <v>691</v>
      </c>
      <c r="B181" s="266">
        <v>1816000</v>
      </c>
      <c r="C181" s="266">
        <v>1816000</v>
      </c>
      <c r="D181" s="266">
        <v>1816000</v>
      </c>
      <c r="E181" s="266">
        <v>1816000</v>
      </c>
      <c r="F181" s="266">
        <v>1816000</v>
      </c>
      <c r="G181" s="266">
        <v>1816000</v>
      </c>
      <c r="H181" s="265">
        <f t="shared" si="5"/>
        <v>10896000</v>
      </c>
      <c r="I181" s="280"/>
      <c r="J181" s="280"/>
      <c r="K181" s="280"/>
      <c r="L181" s="280"/>
      <c r="M181" s="280"/>
      <c r="N181" s="280"/>
      <c r="O181" s="280"/>
      <c r="P181" s="267">
        <f t="shared" si="6"/>
        <v>0</v>
      </c>
    </row>
    <row r="182" spans="1:16" x14ac:dyDescent="0.25">
      <c r="A182" s="262" t="s">
        <v>692</v>
      </c>
      <c r="B182" s="266"/>
      <c r="C182" s="266"/>
      <c r="D182" s="266"/>
      <c r="E182" s="266"/>
      <c r="F182" s="266"/>
      <c r="G182" s="266"/>
      <c r="H182" s="265">
        <f t="shared" si="5"/>
        <v>0</v>
      </c>
      <c r="I182" s="280"/>
      <c r="J182" s="280"/>
      <c r="K182" s="280"/>
      <c r="L182" s="280"/>
      <c r="M182" s="280"/>
      <c r="N182" s="280"/>
      <c r="O182" s="280"/>
      <c r="P182" s="267">
        <f t="shared" si="6"/>
        <v>0</v>
      </c>
    </row>
    <row r="183" spans="1:16" x14ac:dyDescent="0.25">
      <c r="A183" s="262" t="s">
        <v>693</v>
      </c>
      <c r="B183" s="266"/>
      <c r="C183" s="266"/>
      <c r="D183" s="266"/>
      <c r="E183" s="266"/>
      <c r="F183" s="266"/>
      <c r="G183" s="266"/>
      <c r="H183" s="265">
        <f t="shared" si="5"/>
        <v>0</v>
      </c>
      <c r="I183" s="280"/>
      <c r="J183" s="280"/>
      <c r="K183" s="280"/>
      <c r="L183" s="280"/>
      <c r="M183" s="280"/>
      <c r="N183" s="280"/>
      <c r="O183" s="280"/>
      <c r="P183" s="267">
        <f t="shared" si="6"/>
        <v>0</v>
      </c>
    </row>
    <row r="184" spans="1:16" x14ac:dyDescent="0.25">
      <c r="A184" s="262" t="s">
        <v>694</v>
      </c>
      <c r="B184" s="266"/>
      <c r="C184" s="266">
        <v>30000</v>
      </c>
      <c r="D184" s="266"/>
      <c r="E184" s="266"/>
      <c r="F184" s="266"/>
      <c r="G184" s="266"/>
      <c r="H184" s="265">
        <f t="shared" si="5"/>
        <v>30000</v>
      </c>
      <c r="I184" s="280"/>
      <c r="J184" s="280"/>
      <c r="K184" s="280"/>
      <c r="L184" s="280"/>
      <c r="M184" s="280"/>
      <c r="N184" s="280"/>
      <c r="O184" s="280"/>
      <c r="P184" s="267">
        <f t="shared" si="6"/>
        <v>0</v>
      </c>
    </row>
    <row r="185" spans="1:16" x14ac:dyDescent="0.25">
      <c r="A185" s="262" t="s">
        <v>695</v>
      </c>
      <c r="B185" s="266"/>
      <c r="C185" s="266"/>
      <c r="D185" s="266">
        <v>15000</v>
      </c>
      <c r="E185" s="266">
        <v>15000</v>
      </c>
      <c r="F185" s="266"/>
      <c r="G185" s="266"/>
      <c r="H185" s="265">
        <f t="shared" si="5"/>
        <v>30000</v>
      </c>
      <c r="I185" s="280"/>
      <c r="J185" s="280"/>
      <c r="K185" s="280"/>
      <c r="L185" s="280"/>
      <c r="M185" s="280"/>
      <c r="N185" s="280"/>
      <c r="O185" s="280"/>
      <c r="P185" s="267">
        <f t="shared" si="6"/>
        <v>0</v>
      </c>
    </row>
    <row r="186" spans="1:16" x14ac:dyDescent="0.25">
      <c r="A186" s="262" t="s">
        <v>699</v>
      </c>
      <c r="B186" s="283"/>
      <c r="C186" s="283"/>
      <c r="D186" s="283"/>
      <c r="E186" s="283"/>
      <c r="F186" s="283"/>
      <c r="G186" s="283"/>
      <c r="H186" s="265">
        <f t="shared" si="5"/>
        <v>0</v>
      </c>
      <c r="I186" s="280" t="s">
        <v>1713</v>
      </c>
      <c r="J186" s="280"/>
      <c r="K186" s="280"/>
      <c r="L186" s="280"/>
      <c r="M186" s="280"/>
      <c r="N186" s="280"/>
      <c r="O186" s="280"/>
      <c r="P186" s="267">
        <f t="shared" si="6"/>
        <v>0</v>
      </c>
    </row>
    <row r="187" spans="1:16" x14ac:dyDescent="0.25">
      <c r="A187" s="262" t="s">
        <v>696</v>
      </c>
      <c r="B187" s="266"/>
      <c r="C187" s="266"/>
      <c r="D187" s="266"/>
      <c r="E187" s="266"/>
      <c r="F187" s="266"/>
      <c r="G187" s="266"/>
      <c r="H187" s="265">
        <f t="shared" si="5"/>
        <v>0</v>
      </c>
      <c r="I187" s="280"/>
      <c r="J187" s="280"/>
      <c r="K187" s="280"/>
      <c r="L187" s="280"/>
      <c r="M187" s="280"/>
      <c r="N187" s="280"/>
      <c r="O187" s="280"/>
      <c r="P187" s="267">
        <f t="shared" si="6"/>
        <v>0</v>
      </c>
    </row>
    <row r="188" spans="1:16" x14ac:dyDescent="0.25">
      <c r="A188" s="262" t="s">
        <v>697</v>
      </c>
      <c r="B188" s="266"/>
      <c r="C188" s="266"/>
      <c r="D188" s="266"/>
      <c r="E188" s="266"/>
      <c r="F188" s="266"/>
      <c r="G188" s="266"/>
      <c r="H188" s="265">
        <f t="shared" si="5"/>
        <v>0</v>
      </c>
      <c r="I188" s="280"/>
      <c r="J188" s="280"/>
      <c r="K188" s="280"/>
      <c r="L188" s="280"/>
      <c r="M188" s="280"/>
      <c r="N188" s="280"/>
      <c r="O188" s="280"/>
      <c r="P188" s="267">
        <f t="shared" si="6"/>
        <v>0</v>
      </c>
    </row>
    <row r="189" spans="1:16" x14ac:dyDescent="0.25">
      <c r="A189" s="262" t="s">
        <v>698</v>
      </c>
      <c r="B189" s="266"/>
      <c r="C189" s="266"/>
      <c r="D189" s="266"/>
      <c r="E189" s="266"/>
      <c r="F189" s="266"/>
      <c r="G189" s="266"/>
      <c r="H189" s="265">
        <f t="shared" si="5"/>
        <v>0</v>
      </c>
      <c r="I189" s="280"/>
      <c r="J189" s="280"/>
      <c r="K189" s="280"/>
      <c r="L189" s="280"/>
      <c r="M189" s="280"/>
      <c r="N189" s="280"/>
      <c r="O189" s="280"/>
      <c r="P189" s="267">
        <f t="shared" si="6"/>
        <v>0</v>
      </c>
    </row>
    <row r="190" spans="1:16" x14ac:dyDescent="0.25">
      <c r="A190" s="262" t="s">
        <v>690</v>
      </c>
      <c r="B190" s="266"/>
      <c r="C190" s="266"/>
      <c r="D190" s="266"/>
      <c r="E190" s="266"/>
      <c r="F190" s="266"/>
      <c r="G190" s="266"/>
      <c r="H190" s="265">
        <f t="shared" si="5"/>
        <v>0</v>
      </c>
      <c r="I190" s="280"/>
      <c r="J190" s="280"/>
      <c r="K190" s="280"/>
      <c r="L190" s="280"/>
      <c r="M190" s="280"/>
      <c r="N190" s="280"/>
      <c r="O190" s="280"/>
      <c r="P190" s="267">
        <f t="shared" si="6"/>
        <v>0</v>
      </c>
    </row>
    <row r="191" spans="1:16" x14ac:dyDescent="0.25">
      <c r="A191" s="262" t="s">
        <v>2815</v>
      </c>
      <c r="B191" s="266"/>
      <c r="C191" s="266"/>
      <c r="D191" s="266"/>
      <c r="E191" s="266"/>
      <c r="F191" s="266"/>
      <c r="G191" s="266"/>
      <c r="H191" s="265">
        <f t="shared" si="5"/>
        <v>0</v>
      </c>
      <c r="I191" s="280"/>
      <c r="J191" s="280"/>
      <c r="K191" s="280"/>
      <c r="L191" s="280"/>
      <c r="M191" s="280"/>
      <c r="N191" s="280"/>
      <c r="O191" s="280"/>
      <c r="P191" s="267"/>
    </row>
    <row r="192" spans="1:16" x14ac:dyDescent="0.25">
      <c r="A192" s="262" t="s">
        <v>2817</v>
      </c>
      <c r="B192" s="266"/>
      <c r="C192" s="266"/>
      <c r="D192" s="266"/>
      <c r="E192" s="266"/>
      <c r="F192" s="266"/>
      <c r="G192" s="266"/>
      <c r="H192" s="265">
        <f t="shared" si="5"/>
        <v>0</v>
      </c>
      <c r="I192" s="280"/>
      <c r="J192" s="280"/>
      <c r="K192" s="280"/>
      <c r="L192" s="280"/>
      <c r="M192" s="280"/>
      <c r="N192" s="280"/>
      <c r="O192" s="280"/>
      <c r="P192" s="267"/>
    </row>
    <row r="193" spans="1:16" x14ac:dyDescent="0.25">
      <c r="A193" s="262" t="s">
        <v>2819</v>
      </c>
      <c r="B193" s="266"/>
      <c r="C193" s="266"/>
      <c r="D193" s="266"/>
      <c r="E193" s="266"/>
      <c r="F193" s="266"/>
      <c r="G193" s="266"/>
      <c r="H193" s="265">
        <f t="shared" si="5"/>
        <v>0</v>
      </c>
      <c r="I193" s="280"/>
      <c r="J193" s="280"/>
      <c r="K193" s="280"/>
      <c r="L193" s="280"/>
      <c r="M193" s="280"/>
      <c r="N193" s="280"/>
      <c r="O193" s="280"/>
      <c r="P193" s="267"/>
    </row>
    <row r="194" spans="1:16" x14ac:dyDescent="0.25">
      <c r="A194" s="262" t="s">
        <v>2821</v>
      </c>
      <c r="B194" s="266"/>
      <c r="C194" s="266"/>
      <c r="D194" s="266"/>
      <c r="E194" s="266"/>
      <c r="F194" s="266"/>
      <c r="G194" s="266"/>
      <c r="H194" s="265">
        <f t="shared" si="5"/>
        <v>0</v>
      </c>
      <c r="I194" s="280"/>
      <c r="J194" s="280"/>
      <c r="K194" s="280"/>
      <c r="L194" s="280"/>
      <c r="M194" s="280"/>
      <c r="N194" s="280"/>
      <c r="O194" s="280"/>
      <c r="P194" s="267"/>
    </row>
    <row r="195" spans="1:16" x14ac:dyDescent="0.25">
      <c r="A195" s="262" t="s">
        <v>2823</v>
      </c>
      <c r="B195" s="266"/>
      <c r="C195" s="266"/>
      <c r="D195" s="266"/>
      <c r="E195" s="266"/>
      <c r="F195" s="266"/>
      <c r="G195" s="266"/>
      <c r="H195" s="265">
        <f t="shared" si="5"/>
        <v>0</v>
      </c>
      <c r="I195" s="280"/>
      <c r="J195" s="280"/>
      <c r="K195" s="280"/>
      <c r="L195" s="280"/>
      <c r="M195" s="280"/>
      <c r="N195" s="280"/>
      <c r="O195" s="280"/>
      <c r="P195" s="267"/>
    </row>
    <row r="196" spans="1:16" x14ac:dyDescent="0.25">
      <c r="A196" s="262" t="s">
        <v>2825</v>
      </c>
      <c r="B196" s="266"/>
      <c r="C196" s="266"/>
      <c r="D196" s="266"/>
      <c r="E196" s="266"/>
      <c r="F196" s="266"/>
      <c r="G196" s="266"/>
      <c r="H196" s="265">
        <f t="shared" si="5"/>
        <v>0</v>
      </c>
      <c r="I196" s="280"/>
      <c r="J196" s="280"/>
      <c r="K196" s="280"/>
      <c r="L196" s="280"/>
      <c r="M196" s="280"/>
      <c r="N196" s="280"/>
      <c r="O196" s="280"/>
      <c r="P196" s="267"/>
    </row>
    <row r="197" spans="1:16" x14ac:dyDescent="0.25">
      <c r="A197" s="262" t="s">
        <v>2827</v>
      </c>
      <c r="B197" s="266"/>
      <c r="C197" s="266"/>
      <c r="D197" s="266"/>
      <c r="E197" s="266"/>
      <c r="F197" s="266"/>
      <c r="G197" s="266"/>
      <c r="H197" s="265">
        <f t="shared" ref="H197:H260" si="7">SUM(B197:G197)</f>
        <v>0</v>
      </c>
      <c r="I197" s="280"/>
      <c r="J197" s="280"/>
      <c r="K197" s="280"/>
      <c r="L197" s="280"/>
      <c r="M197" s="280"/>
      <c r="N197" s="280"/>
      <c r="O197" s="280"/>
      <c r="P197" s="267"/>
    </row>
    <row r="198" spans="1:16" x14ac:dyDescent="0.25">
      <c r="A198" s="262" t="s">
        <v>2829</v>
      </c>
      <c r="B198" s="266"/>
      <c r="C198" s="266"/>
      <c r="D198" s="266"/>
      <c r="E198" s="266"/>
      <c r="F198" s="266"/>
      <c r="G198" s="266"/>
      <c r="H198" s="265">
        <f t="shared" si="7"/>
        <v>0</v>
      </c>
      <c r="I198" s="280"/>
      <c r="J198" s="280"/>
      <c r="K198" s="280"/>
      <c r="L198" s="280"/>
      <c r="M198" s="280"/>
      <c r="N198" s="280"/>
      <c r="O198" s="280"/>
      <c r="P198" s="267"/>
    </row>
    <row r="199" spans="1:16" x14ac:dyDescent="0.25">
      <c r="A199" s="262" t="s">
        <v>2832</v>
      </c>
      <c r="B199" s="266"/>
      <c r="C199" s="266"/>
      <c r="D199" s="266"/>
      <c r="E199" s="266"/>
      <c r="F199" s="266"/>
      <c r="G199" s="266"/>
      <c r="H199" s="265">
        <f t="shared" si="7"/>
        <v>0</v>
      </c>
      <c r="I199" s="280"/>
      <c r="J199" s="280"/>
      <c r="K199" s="280"/>
      <c r="L199" s="280"/>
      <c r="M199" s="280"/>
      <c r="N199" s="280"/>
      <c r="O199" s="280"/>
      <c r="P199" s="267"/>
    </row>
    <row r="200" spans="1:16" x14ac:dyDescent="0.25">
      <c r="A200" s="262" t="s">
        <v>2835</v>
      </c>
      <c r="B200" s="266"/>
      <c r="C200" s="266"/>
      <c r="D200" s="266">
        <v>60000</v>
      </c>
      <c r="E200" s="266">
        <v>60000</v>
      </c>
      <c r="F200" s="266"/>
      <c r="G200" s="266"/>
      <c r="H200" s="265">
        <f t="shared" si="7"/>
        <v>120000</v>
      </c>
      <c r="I200" s="280"/>
      <c r="J200" s="280"/>
      <c r="K200" s="280"/>
      <c r="L200" s="280"/>
      <c r="M200" s="280"/>
      <c r="N200" s="280"/>
      <c r="O200" s="280"/>
      <c r="P200" s="267"/>
    </row>
    <row r="201" spans="1:16" x14ac:dyDescent="0.25">
      <c r="A201" s="262" t="s">
        <v>2837</v>
      </c>
      <c r="B201" s="266"/>
      <c r="C201" s="266"/>
      <c r="D201" s="266"/>
      <c r="E201" s="266"/>
      <c r="F201" s="266"/>
      <c r="G201" s="266"/>
      <c r="H201" s="265">
        <f t="shared" si="7"/>
        <v>0</v>
      </c>
      <c r="I201" s="280"/>
      <c r="J201" s="280"/>
      <c r="K201" s="280"/>
      <c r="L201" s="280"/>
      <c r="M201" s="280"/>
      <c r="N201" s="280"/>
      <c r="O201" s="280"/>
      <c r="P201" s="267"/>
    </row>
    <row r="202" spans="1:16" x14ac:dyDescent="0.25">
      <c r="A202" s="262" t="s">
        <v>2839</v>
      </c>
      <c r="B202" s="266"/>
      <c r="C202" s="266"/>
      <c r="D202" s="266"/>
      <c r="E202" s="266"/>
      <c r="F202" s="266"/>
      <c r="G202" s="266"/>
      <c r="H202" s="265">
        <f t="shared" si="7"/>
        <v>0</v>
      </c>
      <c r="I202" s="280"/>
      <c r="J202" s="280"/>
      <c r="K202" s="280"/>
      <c r="L202" s="280"/>
      <c r="M202" s="280"/>
      <c r="N202" s="280"/>
      <c r="O202" s="280"/>
      <c r="P202" s="267"/>
    </row>
    <row r="203" spans="1:16" x14ac:dyDescent="0.25">
      <c r="A203" s="262" t="s">
        <v>2841</v>
      </c>
      <c r="B203" s="266"/>
      <c r="C203" s="266"/>
      <c r="D203" s="266"/>
      <c r="E203" s="266"/>
      <c r="F203" s="266"/>
      <c r="G203" s="266"/>
      <c r="H203" s="265">
        <f t="shared" si="7"/>
        <v>0</v>
      </c>
      <c r="I203" s="280"/>
      <c r="J203" s="280"/>
      <c r="K203" s="280"/>
      <c r="L203" s="280"/>
      <c r="M203" s="280"/>
      <c r="N203" s="280"/>
      <c r="O203" s="280"/>
      <c r="P203" s="267"/>
    </row>
    <row r="204" spans="1:16" x14ac:dyDescent="0.25">
      <c r="A204" s="262" t="s">
        <v>728</v>
      </c>
      <c r="B204" s="266"/>
      <c r="C204" s="266">
        <v>169000</v>
      </c>
      <c r="D204" s="266"/>
      <c r="E204" s="266"/>
      <c r="F204" s="266">
        <v>163500</v>
      </c>
      <c r="G204" s="266"/>
      <c r="H204" s="265">
        <f t="shared" si="7"/>
        <v>332500</v>
      </c>
      <c r="I204" s="280"/>
      <c r="J204" s="280"/>
      <c r="K204" s="280"/>
      <c r="L204" s="280"/>
      <c r="M204" s="280"/>
      <c r="N204" s="280"/>
      <c r="O204" s="280"/>
      <c r="P204" s="267">
        <f t="shared" si="6"/>
        <v>0</v>
      </c>
    </row>
    <row r="205" spans="1:16" x14ac:dyDescent="0.25">
      <c r="A205" s="262" t="s">
        <v>730</v>
      </c>
      <c r="B205" s="266">
        <v>262000</v>
      </c>
      <c r="C205" s="266">
        <v>262000</v>
      </c>
      <c r="D205" s="266">
        <v>192000</v>
      </c>
      <c r="E205" s="266">
        <v>192000</v>
      </c>
      <c r="F205" s="266">
        <v>192000</v>
      </c>
      <c r="G205" s="266">
        <v>192000</v>
      </c>
      <c r="H205" s="265">
        <f t="shared" si="7"/>
        <v>1292000</v>
      </c>
      <c r="I205" s="280"/>
      <c r="J205" s="280"/>
      <c r="K205" s="280"/>
      <c r="L205" s="280"/>
      <c r="M205" s="280"/>
      <c r="N205" s="280"/>
      <c r="O205" s="280"/>
      <c r="P205" s="267">
        <f t="shared" si="6"/>
        <v>0</v>
      </c>
    </row>
    <row r="206" spans="1:16" x14ac:dyDescent="0.25">
      <c r="A206" s="262" t="s">
        <v>731</v>
      </c>
      <c r="B206" s="266"/>
      <c r="C206" s="266">
        <v>95000</v>
      </c>
      <c r="D206" s="266"/>
      <c r="E206" s="266"/>
      <c r="F206" s="266"/>
      <c r="G206" s="266"/>
      <c r="H206" s="265">
        <f t="shared" si="7"/>
        <v>95000</v>
      </c>
      <c r="I206" s="280"/>
      <c r="J206" s="280"/>
      <c r="K206" s="280">
        <v>95000</v>
      </c>
      <c r="L206" s="280"/>
      <c r="M206" s="280"/>
      <c r="N206" s="280">
        <v>95000</v>
      </c>
      <c r="O206" s="280"/>
      <c r="P206" s="267">
        <f t="shared" si="6"/>
        <v>190000</v>
      </c>
    </row>
    <row r="207" spans="1:16" x14ac:dyDescent="0.25">
      <c r="A207" s="262" t="s">
        <v>732</v>
      </c>
      <c r="B207" s="266"/>
      <c r="C207" s="266"/>
      <c r="D207" s="266">
        <v>50000</v>
      </c>
      <c r="E207" s="266"/>
      <c r="F207" s="266"/>
      <c r="G207" s="266"/>
      <c r="H207" s="265">
        <f t="shared" si="7"/>
        <v>50000</v>
      </c>
      <c r="I207" s="280"/>
      <c r="J207" s="280">
        <v>50000</v>
      </c>
      <c r="K207" s="280">
        <v>50000</v>
      </c>
      <c r="L207" s="280">
        <v>50000</v>
      </c>
      <c r="M207" s="280">
        <v>50000</v>
      </c>
      <c r="N207" s="280">
        <v>50000</v>
      </c>
      <c r="O207" s="280">
        <v>50000</v>
      </c>
      <c r="P207" s="267">
        <f t="shared" si="6"/>
        <v>300000</v>
      </c>
    </row>
    <row r="208" spans="1:16" x14ac:dyDescent="0.25">
      <c r="A208" s="262" t="s">
        <v>733</v>
      </c>
      <c r="B208" s="266"/>
      <c r="C208" s="266"/>
      <c r="D208" s="266"/>
      <c r="E208" s="266"/>
      <c r="F208" s="266"/>
      <c r="G208" s="266"/>
      <c r="H208" s="265">
        <f t="shared" si="7"/>
        <v>0</v>
      </c>
      <c r="I208" s="280"/>
      <c r="J208" s="280"/>
      <c r="K208" s="280"/>
      <c r="L208" s="280"/>
      <c r="M208" s="280"/>
      <c r="N208" s="280"/>
      <c r="O208" s="280"/>
      <c r="P208" s="267">
        <f t="shared" si="6"/>
        <v>0</v>
      </c>
    </row>
    <row r="209" spans="1:16" x14ac:dyDescent="0.25">
      <c r="A209" s="262" t="s">
        <v>734</v>
      </c>
      <c r="B209" s="266"/>
      <c r="C209" s="266"/>
      <c r="D209" s="266"/>
      <c r="E209" s="266"/>
      <c r="F209" s="266"/>
      <c r="G209" s="266"/>
      <c r="H209" s="265">
        <f t="shared" si="7"/>
        <v>0</v>
      </c>
      <c r="I209" s="280"/>
      <c r="J209" s="280"/>
      <c r="K209" s="280"/>
      <c r="L209" s="280"/>
      <c r="M209" s="280"/>
      <c r="N209" s="280"/>
      <c r="O209" s="280"/>
      <c r="P209" s="267">
        <f t="shared" si="6"/>
        <v>0</v>
      </c>
    </row>
    <row r="210" spans="1:16" x14ac:dyDescent="0.25">
      <c r="A210" s="262" t="s">
        <v>735</v>
      </c>
      <c r="B210" s="266"/>
      <c r="C210" s="266"/>
      <c r="D210" s="266"/>
      <c r="E210" s="266"/>
      <c r="F210" s="266"/>
      <c r="G210" s="266"/>
      <c r="H210" s="265">
        <f t="shared" si="7"/>
        <v>0</v>
      </c>
      <c r="I210" s="280"/>
      <c r="J210" s="280"/>
      <c r="K210" s="280"/>
      <c r="L210" s="280"/>
      <c r="M210" s="280"/>
      <c r="N210" s="280"/>
      <c r="O210" s="280"/>
      <c r="P210" s="267">
        <f t="shared" si="6"/>
        <v>0</v>
      </c>
    </row>
    <row r="211" spans="1:16" x14ac:dyDescent="0.25">
      <c r="A211" s="262" t="s">
        <v>736</v>
      </c>
      <c r="B211" s="266"/>
      <c r="C211" s="266"/>
      <c r="D211" s="266"/>
      <c r="E211" s="266"/>
      <c r="F211" s="266"/>
      <c r="G211" s="266"/>
      <c r="H211" s="265">
        <f t="shared" si="7"/>
        <v>0</v>
      </c>
      <c r="I211" s="280"/>
      <c r="J211" s="280"/>
      <c r="K211" s="280"/>
      <c r="L211" s="280"/>
      <c r="M211" s="280"/>
      <c r="N211" s="280"/>
      <c r="O211" s="280"/>
      <c r="P211" s="267">
        <f t="shared" si="6"/>
        <v>0</v>
      </c>
    </row>
    <row r="212" spans="1:16" x14ac:dyDescent="0.25">
      <c r="A212" s="262" t="s">
        <v>737</v>
      </c>
      <c r="B212" s="266"/>
      <c r="C212" s="266"/>
      <c r="D212" s="266"/>
      <c r="E212" s="266"/>
      <c r="F212" s="266"/>
      <c r="G212" s="266"/>
      <c r="H212" s="265">
        <f t="shared" si="7"/>
        <v>0</v>
      </c>
      <c r="I212" s="280"/>
      <c r="J212" s="280"/>
      <c r="K212" s="280"/>
      <c r="L212" s="280"/>
      <c r="M212" s="280"/>
      <c r="N212" s="280"/>
      <c r="O212" s="280"/>
      <c r="P212" s="267">
        <f t="shared" si="6"/>
        <v>0</v>
      </c>
    </row>
    <row r="213" spans="1:16" x14ac:dyDescent="0.25">
      <c r="A213" s="262" t="s">
        <v>729</v>
      </c>
      <c r="B213" s="266"/>
      <c r="C213" s="266"/>
      <c r="D213" s="266"/>
      <c r="E213" s="266"/>
      <c r="F213" s="266"/>
      <c r="G213" s="266"/>
      <c r="H213" s="265">
        <f t="shared" si="7"/>
        <v>0</v>
      </c>
      <c r="I213" s="280"/>
      <c r="J213" s="280"/>
      <c r="K213" s="280"/>
      <c r="L213" s="280"/>
      <c r="M213" s="280"/>
      <c r="N213" s="280"/>
      <c r="O213" s="280"/>
      <c r="P213" s="267">
        <f t="shared" si="6"/>
        <v>0</v>
      </c>
    </row>
    <row r="214" spans="1:16" x14ac:dyDescent="0.25">
      <c r="A214" s="262" t="s">
        <v>738</v>
      </c>
      <c r="B214" s="266">
        <v>250000</v>
      </c>
      <c r="C214" s="266">
        <v>350000</v>
      </c>
      <c r="D214" s="266">
        <v>350000</v>
      </c>
      <c r="E214" s="266">
        <v>350000</v>
      </c>
      <c r="F214" s="266">
        <v>350000</v>
      </c>
      <c r="G214" s="266">
        <v>350000</v>
      </c>
      <c r="H214" s="265">
        <f t="shared" si="7"/>
        <v>2000000</v>
      </c>
      <c r="I214" s="280"/>
      <c r="J214" s="280"/>
      <c r="K214" s="280"/>
      <c r="L214" s="280"/>
      <c r="M214" s="280"/>
      <c r="N214" s="280"/>
      <c r="O214" s="280"/>
    </row>
    <row r="215" spans="1:16" x14ac:dyDescent="0.25">
      <c r="A215" s="262" t="s">
        <v>742</v>
      </c>
      <c r="B215" s="266">
        <v>125000</v>
      </c>
      <c r="C215" s="266">
        <v>125000</v>
      </c>
      <c r="D215" s="266">
        <v>85000</v>
      </c>
      <c r="E215" s="266"/>
      <c r="F215" s="266"/>
      <c r="G215" s="266"/>
      <c r="H215" s="265">
        <f t="shared" si="7"/>
        <v>335000</v>
      </c>
      <c r="I215" s="280"/>
      <c r="J215" s="280"/>
      <c r="K215" s="280"/>
      <c r="L215" s="280"/>
      <c r="M215" s="280"/>
      <c r="N215" s="280"/>
      <c r="O215" s="280"/>
    </row>
    <row r="216" spans="1:16" x14ac:dyDescent="0.25">
      <c r="A216" s="262" t="s">
        <v>743</v>
      </c>
      <c r="B216" s="266">
        <v>140000</v>
      </c>
      <c r="C216" s="266">
        <v>70000</v>
      </c>
      <c r="D216" s="266">
        <v>70000</v>
      </c>
      <c r="E216" s="266"/>
      <c r="F216" s="266"/>
      <c r="G216" s="266"/>
      <c r="H216" s="265">
        <f t="shared" si="7"/>
        <v>280000</v>
      </c>
      <c r="I216" s="280"/>
      <c r="J216" s="280"/>
      <c r="K216" s="280"/>
      <c r="L216" s="280"/>
      <c r="M216" s="280"/>
      <c r="N216" s="280"/>
      <c r="O216" s="280"/>
    </row>
    <row r="217" spans="1:16" x14ac:dyDescent="0.25">
      <c r="A217" s="262" t="s">
        <v>744</v>
      </c>
      <c r="B217" s="266">
        <v>5000</v>
      </c>
      <c r="C217" s="266">
        <v>5000</v>
      </c>
      <c r="D217" s="266">
        <v>5000</v>
      </c>
      <c r="E217" s="266">
        <v>5000</v>
      </c>
      <c r="F217" s="266">
        <v>5000</v>
      </c>
      <c r="G217" s="266">
        <v>5000</v>
      </c>
      <c r="H217" s="265">
        <f t="shared" si="7"/>
        <v>30000</v>
      </c>
      <c r="I217" s="280"/>
      <c r="J217" s="280"/>
      <c r="K217" s="280"/>
      <c r="L217" s="280"/>
      <c r="M217" s="280"/>
      <c r="N217" s="280"/>
      <c r="O217" s="280"/>
    </row>
    <row r="218" spans="1:16" x14ac:dyDescent="0.25">
      <c r="A218" s="262" t="s">
        <v>745</v>
      </c>
      <c r="B218" s="266">
        <v>5000</v>
      </c>
      <c r="C218" s="266">
        <v>5000</v>
      </c>
      <c r="D218" s="266">
        <v>5000</v>
      </c>
      <c r="E218" s="266">
        <v>5000</v>
      </c>
      <c r="F218" s="266">
        <v>5000</v>
      </c>
      <c r="G218" s="266">
        <v>5000</v>
      </c>
      <c r="H218" s="265">
        <f t="shared" si="7"/>
        <v>30000</v>
      </c>
      <c r="I218" s="280"/>
      <c r="J218" s="280"/>
      <c r="K218" s="280"/>
      <c r="L218" s="280"/>
      <c r="M218" s="280"/>
      <c r="N218" s="280"/>
      <c r="O218" s="280"/>
    </row>
    <row r="219" spans="1:16" ht="42.75" x14ac:dyDescent="0.25">
      <c r="A219" s="262" t="s">
        <v>746</v>
      </c>
      <c r="B219" s="283"/>
      <c r="C219" s="283"/>
      <c r="D219" s="283"/>
      <c r="E219" s="283"/>
      <c r="F219" s="283"/>
      <c r="G219" s="283"/>
      <c r="H219" s="265">
        <f t="shared" si="7"/>
        <v>0</v>
      </c>
      <c r="I219" s="280" t="s">
        <v>1714</v>
      </c>
      <c r="J219" s="280"/>
      <c r="K219" s="280"/>
      <c r="L219" s="280"/>
      <c r="M219" s="280"/>
      <c r="N219" s="280"/>
      <c r="O219" s="280"/>
    </row>
    <row r="220" spans="1:16" x14ac:dyDescent="0.25">
      <c r="A220" s="262" t="s">
        <v>747</v>
      </c>
      <c r="B220" s="266">
        <v>105000</v>
      </c>
      <c r="C220" s="266">
        <v>105000</v>
      </c>
      <c r="D220" s="266">
        <v>105000</v>
      </c>
      <c r="E220" s="266"/>
      <c r="F220" s="266"/>
      <c r="G220" s="266"/>
      <c r="H220" s="265">
        <f t="shared" si="7"/>
        <v>315000</v>
      </c>
      <c r="I220" s="280"/>
      <c r="J220" s="280"/>
      <c r="K220" s="280"/>
      <c r="L220" s="280"/>
      <c r="M220" s="280"/>
      <c r="N220" s="280"/>
      <c r="O220" s="280"/>
    </row>
    <row r="221" spans="1:16" x14ac:dyDescent="0.25">
      <c r="A221" s="262" t="s">
        <v>748</v>
      </c>
      <c r="B221" s="266">
        <v>20000</v>
      </c>
      <c r="C221" s="266">
        <v>20000</v>
      </c>
      <c r="D221" s="266">
        <v>20000</v>
      </c>
      <c r="E221" s="266"/>
      <c r="F221" s="266"/>
      <c r="G221" s="266"/>
      <c r="H221" s="265">
        <f t="shared" si="7"/>
        <v>60000</v>
      </c>
      <c r="I221" s="280"/>
      <c r="J221" s="280"/>
      <c r="K221" s="280"/>
      <c r="L221" s="280"/>
      <c r="M221" s="280"/>
      <c r="N221" s="280"/>
      <c r="O221" s="280"/>
    </row>
    <row r="222" spans="1:16" x14ac:dyDescent="0.25">
      <c r="A222" s="262" t="s">
        <v>749</v>
      </c>
      <c r="B222" s="266">
        <v>20000</v>
      </c>
      <c r="C222" s="266"/>
      <c r="D222" s="266"/>
      <c r="E222" s="266"/>
      <c r="F222" s="266"/>
      <c r="G222" s="266"/>
      <c r="H222" s="265">
        <f t="shared" si="7"/>
        <v>20000</v>
      </c>
      <c r="I222" s="280"/>
      <c r="J222" s="280"/>
      <c r="K222" s="280"/>
      <c r="L222" s="280"/>
      <c r="M222" s="280"/>
      <c r="N222" s="280"/>
      <c r="O222" s="280"/>
    </row>
    <row r="223" spans="1:16" ht="42.75" x14ac:dyDescent="0.25">
      <c r="A223" s="262" t="s">
        <v>739</v>
      </c>
      <c r="B223" s="283"/>
      <c r="C223" s="283"/>
      <c r="D223" s="283"/>
      <c r="E223" s="283"/>
      <c r="F223" s="283"/>
      <c r="G223" s="283"/>
      <c r="H223" s="265">
        <f t="shared" si="7"/>
        <v>0</v>
      </c>
      <c r="I223" s="280" t="s">
        <v>1715</v>
      </c>
      <c r="J223" s="280"/>
      <c r="K223" s="280"/>
      <c r="L223" s="280"/>
      <c r="M223" s="280"/>
      <c r="N223" s="280"/>
      <c r="O223" s="280"/>
    </row>
    <row r="224" spans="1:16" x14ac:dyDescent="0.25">
      <c r="A224" s="262" t="s">
        <v>740</v>
      </c>
      <c r="B224" s="266"/>
      <c r="C224" s="266">
        <v>20000</v>
      </c>
      <c r="D224" s="266"/>
      <c r="E224" s="266"/>
      <c r="F224" s="266"/>
      <c r="G224" s="266"/>
      <c r="H224" s="265">
        <f t="shared" si="7"/>
        <v>20000</v>
      </c>
      <c r="I224" s="280"/>
      <c r="J224" s="280"/>
      <c r="K224" s="280"/>
      <c r="L224" s="280"/>
      <c r="M224" s="280"/>
      <c r="N224" s="280"/>
      <c r="O224" s="280"/>
    </row>
    <row r="225" spans="1:15" ht="42.75" x14ac:dyDescent="0.25">
      <c r="A225" s="262" t="s">
        <v>1597</v>
      </c>
      <c r="B225" s="266">
        <v>0</v>
      </c>
      <c r="C225" s="266">
        <v>0</v>
      </c>
      <c r="D225" s="266">
        <v>0</v>
      </c>
      <c r="E225" s="266">
        <v>0</v>
      </c>
      <c r="F225" s="266">
        <v>0</v>
      </c>
      <c r="G225" s="266">
        <v>0</v>
      </c>
      <c r="H225" s="265">
        <f t="shared" si="7"/>
        <v>0</v>
      </c>
      <c r="I225" s="280" t="s">
        <v>1714</v>
      </c>
      <c r="J225" s="280"/>
      <c r="K225" s="280"/>
      <c r="L225" s="280"/>
      <c r="M225" s="280"/>
      <c r="N225" s="280"/>
      <c r="O225" s="280"/>
    </row>
    <row r="226" spans="1:15" x14ac:dyDescent="0.25">
      <c r="A226" s="262" t="s">
        <v>2599</v>
      </c>
      <c r="B226" s="266"/>
      <c r="C226" s="266"/>
      <c r="D226" s="266"/>
      <c r="E226" s="266"/>
      <c r="F226" s="266"/>
      <c r="G226" s="266"/>
      <c r="H226" s="265">
        <f t="shared" si="7"/>
        <v>0</v>
      </c>
      <c r="I226" s="280"/>
      <c r="J226" s="280"/>
      <c r="K226" s="280"/>
      <c r="L226" s="280"/>
      <c r="M226" s="280"/>
      <c r="N226" s="280"/>
      <c r="O226" s="280"/>
    </row>
    <row r="227" spans="1:15" x14ac:dyDescent="0.25">
      <c r="A227" s="262" t="s">
        <v>2600</v>
      </c>
      <c r="B227" s="266"/>
      <c r="C227" s="266"/>
      <c r="D227" s="266"/>
      <c r="E227" s="266"/>
      <c r="F227" s="266"/>
      <c r="G227" s="266"/>
      <c r="H227" s="265">
        <f t="shared" si="7"/>
        <v>0</v>
      </c>
      <c r="I227" s="280"/>
      <c r="J227" s="280"/>
      <c r="K227" s="280"/>
      <c r="L227" s="280"/>
      <c r="M227" s="280"/>
      <c r="N227" s="280"/>
      <c r="O227" s="280"/>
    </row>
    <row r="228" spans="1:15" x14ac:dyDescent="0.25">
      <c r="A228" s="262" t="s">
        <v>2601</v>
      </c>
      <c r="B228" s="266"/>
      <c r="C228" s="266"/>
      <c r="D228" s="266"/>
      <c r="E228" s="266"/>
      <c r="F228" s="266"/>
      <c r="G228" s="266"/>
      <c r="H228" s="265">
        <f t="shared" si="7"/>
        <v>0</v>
      </c>
      <c r="I228" s="280"/>
      <c r="J228" s="280"/>
      <c r="K228" s="280"/>
      <c r="L228" s="280"/>
      <c r="M228" s="280"/>
      <c r="N228" s="280"/>
      <c r="O228" s="280"/>
    </row>
    <row r="229" spans="1:15" x14ac:dyDescent="0.25">
      <c r="A229" s="262" t="s">
        <v>750</v>
      </c>
      <c r="B229" s="266" t="s">
        <v>155</v>
      </c>
      <c r="C229" s="266" t="s">
        <v>155</v>
      </c>
      <c r="D229" s="266" t="s">
        <v>155</v>
      </c>
      <c r="E229" s="266" t="s">
        <v>155</v>
      </c>
      <c r="F229" s="266" t="s">
        <v>155</v>
      </c>
      <c r="G229" s="266" t="s">
        <v>155</v>
      </c>
      <c r="H229" s="265">
        <f t="shared" si="7"/>
        <v>0</v>
      </c>
      <c r="I229" s="280"/>
      <c r="J229" s="280"/>
      <c r="K229" s="280"/>
      <c r="L229" s="280"/>
      <c r="M229" s="280"/>
      <c r="N229" s="280"/>
      <c r="O229" s="280"/>
    </row>
    <row r="230" spans="1:15" x14ac:dyDescent="0.25">
      <c r="A230" s="262" t="s">
        <v>751</v>
      </c>
      <c r="B230" s="266" t="s">
        <v>155</v>
      </c>
      <c r="C230" s="266" t="s">
        <v>155</v>
      </c>
      <c r="D230" s="266" t="s">
        <v>155</v>
      </c>
      <c r="E230" s="266" t="s">
        <v>155</v>
      </c>
      <c r="F230" s="266" t="s">
        <v>155</v>
      </c>
      <c r="G230" s="266" t="s">
        <v>155</v>
      </c>
      <c r="H230" s="265">
        <f t="shared" si="7"/>
        <v>0</v>
      </c>
      <c r="I230" s="280"/>
      <c r="J230" s="280"/>
      <c r="K230" s="280"/>
      <c r="L230" s="280"/>
      <c r="M230" s="280"/>
      <c r="N230" s="280"/>
      <c r="O230" s="280"/>
    </row>
    <row r="231" spans="1:15" x14ac:dyDescent="0.25">
      <c r="A231" s="262" t="s">
        <v>752</v>
      </c>
      <c r="B231" s="266" t="s">
        <v>155</v>
      </c>
      <c r="C231" s="266" t="s">
        <v>155</v>
      </c>
      <c r="D231" s="266" t="s">
        <v>155</v>
      </c>
      <c r="E231" s="266" t="s">
        <v>155</v>
      </c>
      <c r="F231" s="266" t="s">
        <v>155</v>
      </c>
      <c r="G231" s="266" t="s">
        <v>155</v>
      </c>
      <c r="H231" s="265">
        <f t="shared" si="7"/>
        <v>0</v>
      </c>
      <c r="I231" s="280"/>
      <c r="J231" s="280"/>
      <c r="K231" s="280"/>
      <c r="L231" s="280"/>
      <c r="M231" s="280"/>
      <c r="N231" s="280"/>
      <c r="O231" s="280"/>
    </row>
    <row r="232" spans="1:15" x14ac:dyDescent="0.25">
      <c r="A232" s="262" t="s">
        <v>753</v>
      </c>
      <c r="B232" s="266" t="s">
        <v>155</v>
      </c>
      <c r="C232" s="266" t="s">
        <v>155</v>
      </c>
      <c r="D232" s="266" t="s">
        <v>155</v>
      </c>
      <c r="E232" s="266" t="s">
        <v>155</v>
      </c>
      <c r="F232" s="266" t="s">
        <v>155</v>
      </c>
      <c r="G232" s="266" t="s">
        <v>155</v>
      </c>
      <c r="H232" s="265">
        <f t="shared" si="7"/>
        <v>0</v>
      </c>
      <c r="I232" s="280"/>
      <c r="J232" s="280"/>
      <c r="K232" s="280"/>
      <c r="L232" s="280"/>
      <c r="M232" s="280"/>
      <c r="N232" s="280"/>
      <c r="O232" s="280"/>
    </row>
    <row r="233" spans="1:15" x14ac:dyDescent="0.25">
      <c r="A233" s="262" t="s">
        <v>754</v>
      </c>
      <c r="B233" s="266" t="s">
        <v>155</v>
      </c>
      <c r="C233" s="266" t="s">
        <v>155</v>
      </c>
      <c r="D233" s="266" t="s">
        <v>155</v>
      </c>
      <c r="E233" s="266" t="s">
        <v>155</v>
      </c>
      <c r="F233" s="266" t="s">
        <v>155</v>
      </c>
      <c r="G233" s="266" t="s">
        <v>155</v>
      </c>
      <c r="H233" s="265">
        <f t="shared" si="7"/>
        <v>0</v>
      </c>
      <c r="I233" s="280"/>
      <c r="J233" s="280"/>
      <c r="K233" s="280"/>
      <c r="L233" s="280"/>
      <c r="M233" s="280"/>
      <c r="N233" s="280"/>
      <c r="O233" s="280"/>
    </row>
    <row r="234" spans="1:15" x14ac:dyDescent="0.25">
      <c r="A234" s="262" t="s">
        <v>2602</v>
      </c>
      <c r="B234" s="266" t="s">
        <v>155</v>
      </c>
      <c r="C234" s="266" t="s">
        <v>155</v>
      </c>
      <c r="D234" s="266" t="s">
        <v>155</v>
      </c>
      <c r="E234" s="266" t="s">
        <v>155</v>
      </c>
      <c r="F234" s="266" t="s">
        <v>155</v>
      </c>
      <c r="G234" s="266" t="s">
        <v>155</v>
      </c>
      <c r="H234" s="265">
        <f t="shared" si="7"/>
        <v>0</v>
      </c>
      <c r="I234" s="280"/>
      <c r="J234" s="280"/>
      <c r="K234" s="280"/>
      <c r="L234" s="280"/>
      <c r="M234" s="280"/>
      <c r="N234" s="280"/>
      <c r="O234" s="280"/>
    </row>
    <row r="235" spans="1:15" x14ac:dyDescent="0.25">
      <c r="A235" s="262" t="s">
        <v>2603</v>
      </c>
      <c r="B235" s="266">
        <v>20000</v>
      </c>
      <c r="C235" s="266">
        <v>20000</v>
      </c>
      <c r="D235" s="266"/>
      <c r="E235" s="266"/>
      <c r="F235" s="266"/>
      <c r="G235" s="266"/>
      <c r="H235" s="265">
        <f t="shared" si="7"/>
        <v>40000</v>
      </c>
      <c r="I235" s="280"/>
      <c r="J235" s="280"/>
      <c r="K235" s="280"/>
      <c r="L235" s="280"/>
      <c r="M235" s="280"/>
      <c r="N235" s="280"/>
      <c r="O235" s="280"/>
    </row>
    <row r="236" spans="1:15" x14ac:dyDescent="0.25">
      <c r="A236" s="262" t="s">
        <v>2604</v>
      </c>
      <c r="B236" s="266" t="s">
        <v>155</v>
      </c>
      <c r="C236" s="266" t="s">
        <v>155</v>
      </c>
      <c r="D236" s="266" t="s">
        <v>155</v>
      </c>
      <c r="E236" s="266" t="s">
        <v>155</v>
      </c>
      <c r="F236" s="266" t="s">
        <v>155</v>
      </c>
      <c r="G236" s="266" t="s">
        <v>155</v>
      </c>
      <c r="H236" s="265">
        <f t="shared" si="7"/>
        <v>0</v>
      </c>
      <c r="I236" s="280"/>
      <c r="J236" s="280"/>
      <c r="K236" s="280"/>
      <c r="L236" s="280"/>
      <c r="M236" s="280"/>
      <c r="N236" s="280"/>
      <c r="O236" s="280"/>
    </row>
    <row r="237" spans="1:15" x14ac:dyDescent="0.25">
      <c r="A237" s="262" t="s">
        <v>755</v>
      </c>
      <c r="B237" s="266" t="s">
        <v>155</v>
      </c>
      <c r="C237" s="266" t="s">
        <v>155</v>
      </c>
      <c r="D237" s="266" t="s">
        <v>155</v>
      </c>
      <c r="E237" s="266" t="s">
        <v>155</v>
      </c>
      <c r="F237" s="266" t="s">
        <v>155</v>
      </c>
      <c r="G237" s="266" t="s">
        <v>155</v>
      </c>
      <c r="H237" s="265">
        <f t="shared" si="7"/>
        <v>0</v>
      </c>
      <c r="I237" s="280"/>
      <c r="J237" s="280"/>
      <c r="K237" s="280"/>
      <c r="L237" s="280"/>
      <c r="M237" s="280"/>
      <c r="N237" s="280"/>
      <c r="O237" s="280"/>
    </row>
    <row r="238" spans="1:15" x14ac:dyDescent="0.25">
      <c r="A238" s="262" t="s">
        <v>756</v>
      </c>
      <c r="B238" s="266" t="s">
        <v>155</v>
      </c>
      <c r="C238" s="266" t="s">
        <v>155</v>
      </c>
      <c r="D238" s="266" t="s">
        <v>155</v>
      </c>
      <c r="E238" s="266" t="s">
        <v>155</v>
      </c>
      <c r="F238" s="266" t="s">
        <v>155</v>
      </c>
      <c r="G238" s="266" t="s">
        <v>155</v>
      </c>
      <c r="H238" s="265">
        <f t="shared" si="7"/>
        <v>0</v>
      </c>
      <c r="I238" s="280"/>
      <c r="J238" s="280"/>
      <c r="K238" s="280"/>
      <c r="L238" s="280"/>
      <c r="M238" s="280"/>
      <c r="N238" s="280"/>
      <c r="O238" s="280"/>
    </row>
    <row r="239" spans="1:15" x14ac:dyDescent="0.25">
      <c r="A239" s="262" t="s">
        <v>757</v>
      </c>
      <c r="B239" s="266">
        <v>3750</v>
      </c>
      <c r="C239" s="266">
        <v>3800</v>
      </c>
      <c r="D239" s="266">
        <v>3800</v>
      </c>
      <c r="E239" s="266">
        <v>3800</v>
      </c>
      <c r="F239" s="266">
        <v>3800</v>
      </c>
      <c r="G239" s="266">
        <v>3850</v>
      </c>
      <c r="H239" s="265">
        <f t="shared" si="7"/>
        <v>22800</v>
      </c>
      <c r="I239" s="280"/>
      <c r="J239" s="280"/>
      <c r="K239" s="280"/>
      <c r="L239" s="280"/>
      <c r="M239" s="280"/>
      <c r="N239" s="280"/>
      <c r="O239" s="280"/>
    </row>
    <row r="240" spans="1:15" x14ac:dyDescent="0.25">
      <c r="A240" s="262" t="s">
        <v>758</v>
      </c>
      <c r="B240" s="266" t="s">
        <v>155</v>
      </c>
      <c r="C240" s="266" t="s">
        <v>155</v>
      </c>
      <c r="D240" s="266" t="s">
        <v>155</v>
      </c>
      <c r="E240" s="266" t="s">
        <v>155</v>
      </c>
      <c r="F240" s="266" t="s">
        <v>155</v>
      </c>
      <c r="G240" s="266" t="s">
        <v>155</v>
      </c>
      <c r="H240" s="265">
        <f t="shared" si="7"/>
        <v>0</v>
      </c>
      <c r="I240" s="280"/>
      <c r="J240" s="280"/>
      <c r="K240" s="280"/>
      <c r="L240" s="280"/>
      <c r="M240" s="280"/>
      <c r="N240" s="280"/>
      <c r="O240" s="280"/>
    </row>
    <row r="241" spans="1:15" x14ac:dyDescent="0.25">
      <c r="A241" s="262" t="s">
        <v>759</v>
      </c>
      <c r="B241" s="266" t="s">
        <v>155</v>
      </c>
      <c r="C241" s="266" t="s">
        <v>155</v>
      </c>
      <c r="D241" s="266" t="s">
        <v>155</v>
      </c>
      <c r="E241" s="266" t="s">
        <v>155</v>
      </c>
      <c r="F241" s="266" t="s">
        <v>155</v>
      </c>
      <c r="G241" s="266" t="s">
        <v>155</v>
      </c>
      <c r="H241" s="265">
        <f t="shared" si="7"/>
        <v>0</v>
      </c>
      <c r="I241" s="280"/>
      <c r="J241" s="280"/>
      <c r="K241" s="280"/>
      <c r="L241" s="280"/>
      <c r="M241" s="280"/>
      <c r="N241" s="280"/>
      <c r="O241" s="280"/>
    </row>
    <row r="242" spans="1:15" x14ac:dyDescent="0.25">
      <c r="A242" s="262" t="s">
        <v>760</v>
      </c>
      <c r="B242" s="266" t="s">
        <v>155</v>
      </c>
      <c r="C242" s="266" t="s">
        <v>155</v>
      </c>
      <c r="D242" s="266" t="s">
        <v>155</v>
      </c>
      <c r="E242" s="266" t="s">
        <v>155</v>
      </c>
      <c r="F242" s="266" t="s">
        <v>155</v>
      </c>
      <c r="G242" s="266" t="s">
        <v>155</v>
      </c>
      <c r="H242" s="265">
        <f t="shared" si="7"/>
        <v>0</v>
      </c>
      <c r="I242" s="280"/>
      <c r="J242" s="280"/>
      <c r="K242" s="280"/>
      <c r="L242" s="280"/>
      <c r="M242" s="280"/>
      <c r="N242" s="280"/>
      <c r="O242" s="280"/>
    </row>
    <row r="243" spans="1:15" x14ac:dyDescent="0.25">
      <c r="A243" s="262" t="s">
        <v>761</v>
      </c>
      <c r="B243" s="266" t="s">
        <v>155</v>
      </c>
      <c r="C243" s="266" t="s">
        <v>155</v>
      </c>
      <c r="D243" s="266" t="s">
        <v>155</v>
      </c>
      <c r="E243" s="266" t="s">
        <v>155</v>
      </c>
      <c r="F243" s="266" t="s">
        <v>155</v>
      </c>
      <c r="G243" s="266" t="s">
        <v>155</v>
      </c>
      <c r="H243" s="265">
        <f t="shared" si="7"/>
        <v>0</v>
      </c>
      <c r="I243" s="280"/>
      <c r="J243" s="280"/>
      <c r="K243" s="280"/>
      <c r="L243" s="280"/>
      <c r="M243" s="280"/>
      <c r="N243" s="280"/>
      <c r="O243" s="280"/>
    </row>
    <row r="244" spans="1:15" x14ac:dyDescent="0.25">
      <c r="A244" s="262" t="s">
        <v>762</v>
      </c>
      <c r="B244" s="266" t="s">
        <v>155</v>
      </c>
      <c r="C244" s="266" t="s">
        <v>155</v>
      </c>
      <c r="D244" s="266" t="s">
        <v>155</v>
      </c>
      <c r="E244" s="266" t="s">
        <v>155</v>
      </c>
      <c r="F244" s="266" t="s">
        <v>155</v>
      </c>
      <c r="G244" s="266" t="s">
        <v>155</v>
      </c>
      <c r="H244" s="265">
        <f t="shared" si="7"/>
        <v>0</v>
      </c>
      <c r="I244" s="280"/>
      <c r="J244" s="280"/>
      <c r="K244" s="280"/>
      <c r="L244" s="280"/>
      <c r="M244" s="280"/>
      <c r="N244" s="280"/>
      <c r="O244" s="280"/>
    </row>
    <row r="245" spans="1:15" x14ac:dyDescent="0.25">
      <c r="A245" s="262" t="s">
        <v>2605</v>
      </c>
      <c r="B245" s="266" t="s">
        <v>155</v>
      </c>
      <c r="C245" s="266" t="s">
        <v>155</v>
      </c>
      <c r="D245" s="266" t="s">
        <v>155</v>
      </c>
      <c r="E245" s="266" t="s">
        <v>155</v>
      </c>
      <c r="F245" s="266" t="s">
        <v>155</v>
      </c>
      <c r="G245" s="266" t="s">
        <v>155</v>
      </c>
      <c r="H245" s="265">
        <f t="shared" si="7"/>
        <v>0</v>
      </c>
      <c r="I245" s="280"/>
      <c r="J245" s="280"/>
      <c r="K245" s="280"/>
      <c r="L245" s="280"/>
      <c r="M245" s="280"/>
      <c r="N245" s="280"/>
      <c r="O245" s="280"/>
    </row>
    <row r="246" spans="1:15" x14ac:dyDescent="0.25">
      <c r="A246" s="262" t="s">
        <v>2861</v>
      </c>
      <c r="B246" s="266" t="s">
        <v>155</v>
      </c>
      <c r="C246" s="266" t="s">
        <v>155</v>
      </c>
      <c r="D246" s="266" t="s">
        <v>155</v>
      </c>
      <c r="E246" s="266" t="s">
        <v>155</v>
      </c>
      <c r="F246" s="266" t="s">
        <v>155</v>
      </c>
      <c r="G246" s="266" t="s">
        <v>155</v>
      </c>
      <c r="H246" s="265">
        <f t="shared" si="7"/>
        <v>0</v>
      </c>
      <c r="I246" s="280"/>
      <c r="J246" s="280"/>
      <c r="K246" s="280"/>
      <c r="L246" s="280"/>
      <c r="M246" s="280"/>
      <c r="N246" s="280"/>
      <c r="O246" s="280"/>
    </row>
    <row r="247" spans="1:15" x14ac:dyDescent="0.25">
      <c r="A247" s="262" t="s">
        <v>2607</v>
      </c>
      <c r="B247" s="266" t="s">
        <v>155</v>
      </c>
      <c r="C247" s="266" t="s">
        <v>155</v>
      </c>
      <c r="D247" s="266" t="s">
        <v>155</v>
      </c>
      <c r="E247" s="266" t="s">
        <v>155</v>
      </c>
      <c r="F247" s="266" t="s">
        <v>155</v>
      </c>
      <c r="G247" s="266" t="s">
        <v>155</v>
      </c>
      <c r="H247" s="265">
        <f t="shared" si="7"/>
        <v>0</v>
      </c>
      <c r="I247" s="280"/>
      <c r="J247" s="280"/>
      <c r="K247" s="280"/>
      <c r="L247" s="280"/>
      <c r="M247" s="280"/>
      <c r="N247" s="280"/>
      <c r="O247" s="280"/>
    </row>
    <row r="248" spans="1:15" x14ac:dyDescent="0.25">
      <c r="A248" s="262" t="s">
        <v>2608</v>
      </c>
      <c r="B248" s="266" t="s">
        <v>155</v>
      </c>
      <c r="C248" s="266" t="s">
        <v>155</v>
      </c>
      <c r="D248" s="266" t="s">
        <v>155</v>
      </c>
      <c r="E248" s="266" t="s">
        <v>155</v>
      </c>
      <c r="F248" s="266" t="s">
        <v>155</v>
      </c>
      <c r="G248" s="266" t="s">
        <v>155</v>
      </c>
      <c r="H248" s="265">
        <f t="shared" si="7"/>
        <v>0</v>
      </c>
      <c r="I248" s="280"/>
      <c r="J248" s="280"/>
      <c r="K248" s="280"/>
      <c r="L248" s="280"/>
      <c r="M248" s="280"/>
      <c r="N248" s="280"/>
      <c r="O248" s="280"/>
    </row>
    <row r="249" spans="1:15" x14ac:dyDescent="0.25">
      <c r="A249" s="262" t="s">
        <v>2862</v>
      </c>
      <c r="B249" s="287"/>
      <c r="C249" s="287"/>
      <c r="D249" s="287"/>
      <c r="E249" s="287"/>
      <c r="F249" s="287"/>
      <c r="G249" s="287"/>
      <c r="H249" s="265">
        <f t="shared" si="7"/>
        <v>0</v>
      </c>
      <c r="I249" s="280" t="s">
        <v>1716</v>
      </c>
      <c r="J249" s="280"/>
      <c r="K249" s="280"/>
      <c r="L249" s="280"/>
      <c r="M249" s="280"/>
      <c r="N249" s="280"/>
      <c r="O249" s="280"/>
    </row>
    <row r="250" spans="1:15" x14ac:dyDescent="0.25">
      <c r="A250" s="262" t="s">
        <v>763</v>
      </c>
      <c r="B250" s="266"/>
      <c r="C250" s="266"/>
      <c r="D250" s="266"/>
      <c r="E250" s="266"/>
      <c r="F250" s="266"/>
      <c r="G250" s="266"/>
      <c r="H250" s="265">
        <f t="shared" si="7"/>
        <v>0</v>
      </c>
      <c r="I250" s="280"/>
      <c r="J250" s="280"/>
      <c r="K250" s="280"/>
      <c r="L250" s="280"/>
      <c r="M250" s="280"/>
      <c r="N250" s="280"/>
      <c r="O250" s="280"/>
    </row>
    <row r="251" spans="1:15" x14ac:dyDescent="0.25">
      <c r="A251" s="262" t="s">
        <v>767</v>
      </c>
      <c r="B251" s="266">
        <v>77000</v>
      </c>
      <c r="C251" s="266"/>
      <c r="D251" s="266"/>
      <c r="E251" s="266"/>
      <c r="F251" s="266"/>
      <c r="G251" s="266"/>
      <c r="H251" s="265">
        <f t="shared" si="7"/>
        <v>77000</v>
      </c>
      <c r="I251" s="280"/>
      <c r="J251" s="280"/>
      <c r="K251" s="280"/>
      <c r="L251" s="280"/>
      <c r="M251" s="280"/>
      <c r="N251" s="280"/>
      <c r="O251" s="280"/>
    </row>
    <row r="252" spans="1:15" x14ac:dyDescent="0.25">
      <c r="A252" s="262" t="s">
        <v>768</v>
      </c>
      <c r="B252" s="266">
        <v>50000</v>
      </c>
      <c r="C252" s="266"/>
      <c r="D252" s="266"/>
      <c r="E252" s="266"/>
      <c r="F252" s="266"/>
      <c r="G252" s="266"/>
      <c r="H252" s="265">
        <f t="shared" si="7"/>
        <v>50000</v>
      </c>
      <c r="I252" s="280"/>
      <c r="J252" s="280"/>
      <c r="K252" s="280"/>
      <c r="L252" s="280"/>
      <c r="M252" s="280"/>
      <c r="N252" s="280"/>
      <c r="O252" s="280"/>
    </row>
    <row r="253" spans="1:15" x14ac:dyDescent="0.25">
      <c r="A253" s="262" t="s">
        <v>769</v>
      </c>
      <c r="B253" s="266"/>
      <c r="C253" s="266"/>
      <c r="D253" s="266">
        <v>40000</v>
      </c>
      <c r="E253" s="266"/>
      <c r="F253" s="266"/>
      <c r="G253" s="266"/>
      <c r="H253" s="265">
        <f t="shared" si="7"/>
        <v>40000</v>
      </c>
      <c r="I253" s="280"/>
      <c r="J253" s="280"/>
      <c r="K253" s="280"/>
      <c r="L253" s="280"/>
      <c r="M253" s="280"/>
      <c r="N253" s="280"/>
      <c r="O253" s="280"/>
    </row>
    <row r="254" spans="1:15" x14ac:dyDescent="0.25">
      <c r="A254" s="262" t="s">
        <v>770</v>
      </c>
      <c r="B254" s="266"/>
      <c r="C254" s="266"/>
      <c r="D254" s="266"/>
      <c r="E254" s="266">
        <v>50000</v>
      </c>
      <c r="F254" s="266"/>
      <c r="G254" s="266"/>
      <c r="H254" s="265">
        <f t="shared" si="7"/>
        <v>50000</v>
      </c>
      <c r="I254" s="280"/>
      <c r="J254" s="280"/>
      <c r="K254" s="280"/>
      <c r="L254" s="280"/>
      <c r="M254" s="280"/>
      <c r="N254" s="280"/>
      <c r="O254" s="280"/>
    </row>
    <row r="255" spans="1:15" x14ac:dyDescent="0.25">
      <c r="A255" s="262" t="s">
        <v>771</v>
      </c>
      <c r="B255" s="266">
        <v>30000</v>
      </c>
      <c r="C255" s="266">
        <v>50000</v>
      </c>
      <c r="D255" s="266"/>
      <c r="E255" s="266"/>
      <c r="F255" s="266"/>
      <c r="G255" s="266"/>
      <c r="H255" s="265">
        <f t="shared" si="7"/>
        <v>80000</v>
      </c>
      <c r="I255" s="280"/>
      <c r="J255" s="280"/>
      <c r="K255" s="280"/>
      <c r="L255" s="280"/>
      <c r="M255" s="280"/>
      <c r="N255" s="280"/>
      <c r="O255" s="280"/>
    </row>
    <row r="256" spans="1:15" x14ac:dyDescent="0.25">
      <c r="A256" s="262" t="s">
        <v>772</v>
      </c>
      <c r="B256" s="266"/>
      <c r="C256" s="266"/>
      <c r="D256" s="266"/>
      <c r="E256" s="266"/>
      <c r="F256" s="266"/>
      <c r="G256" s="266"/>
      <c r="H256" s="265">
        <f t="shared" si="7"/>
        <v>0</v>
      </c>
      <c r="I256" s="280"/>
      <c r="J256" s="280"/>
      <c r="K256" s="280"/>
      <c r="L256" s="280"/>
      <c r="M256" s="280"/>
      <c r="N256" s="280"/>
      <c r="O256" s="280"/>
    </row>
    <row r="257" spans="1:15" x14ac:dyDescent="0.25">
      <c r="A257" s="262" t="s">
        <v>773</v>
      </c>
      <c r="B257" s="266"/>
      <c r="C257" s="266">
        <v>0</v>
      </c>
      <c r="D257" s="266">
        <v>500000</v>
      </c>
      <c r="E257" s="266">
        <v>500000</v>
      </c>
      <c r="F257" s="266">
        <v>500000</v>
      </c>
      <c r="G257" s="266">
        <v>500000</v>
      </c>
      <c r="H257" s="265">
        <f t="shared" si="7"/>
        <v>2000000</v>
      </c>
      <c r="I257" s="280"/>
      <c r="J257" s="280"/>
      <c r="K257" s="280"/>
      <c r="L257" s="280"/>
      <c r="M257" s="280"/>
      <c r="N257" s="280"/>
      <c r="O257" s="280"/>
    </row>
    <row r="258" spans="1:15" x14ac:dyDescent="0.25">
      <c r="A258" s="262" t="s">
        <v>774</v>
      </c>
      <c r="B258" s="266"/>
      <c r="C258" s="288">
        <v>300000</v>
      </c>
      <c r="D258" s="266"/>
      <c r="E258" s="266"/>
      <c r="F258" s="266"/>
      <c r="G258" s="266"/>
      <c r="H258" s="265">
        <f t="shared" si="7"/>
        <v>300000</v>
      </c>
      <c r="I258" s="280"/>
      <c r="J258" s="280"/>
      <c r="K258" s="280"/>
      <c r="L258" s="280"/>
      <c r="M258" s="280"/>
      <c r="N258" s="280"/>
      <c r="O258" s="280"/>
    </row>
    <row r="259" spans="1:15" x14ac:dyDescent="0.25">
      <c r="A259" s="262" t="s">
        <v>764</v>
      </c>
      <c r="B259" s="266"/>
      <c r="C259" s="266"/>
      <c r="D259" s="266"/>
      <c r="E259" s="266">
        <v>0</v>
      </c>
      <c r="F259" s="266"/>
      <c r="G259" s="266"/>
      <c r="H259" s="265">
        <f t="shared" si="7"/>
        <v>0</v>
      </c>
      <c r="I259" s="280"/>
      <c r="J259" s="280"/>
      <c r="K259" s="280"/>
      <c r="L259" s="280"/>
      <c r="M259" s="280"/>
      <c r="N259" s="280"/>
      <c r="O259" s="280"/>
    </row>
    <row r="260" spans="1:15" x14ac:dyDescent="0.25">
      <c r="A260" s="262" t="s">
        <v>765</v>
      </c>
      <c r="B260" s="266"/>
      <c r="C260" s="266"/>
      <c r="D260" s="266"/>
      <c r="E260" s="266"/>
      <c r="F260" s="266"/>
      <c r="G260" s="266"/>
      <c r="H260" s="265">
        <f t="shared" si="7"/>
        <v>0</v>
      </c>
      <c r="I260" s="280"/>
      <c r="J260" s="280"/>
      <c r="K260" s="280"/>
      <c r="L260" s="280"/>
      <c r="M260" s="280"/>
      <c r="N260" s="280"/>
      <c r="O260" s="280"/>
    </row>
    <row r="261" spans="1:15" x14ac:dyDescent="0.25">
      <c r="A261" s="262" t="s">
        <v>766</v>
      </c>
      <c r="B261" s="266"/>
      <c r="C261" s="266"/>
      <c r="D261" s="266"/>
      <c r="E261" s="266"/>
      <c r="F261" s="266"/>
      <c r="G261" s="266"/>
      <c r="H261" s="265">
        <f t="shared" ref="H261:H324" si="8">SUM(B261:G261)</f>
        <v>0</v>
      </c>
      <c r="I261" s="280"/>
      <c r="J261" s="280"/>
      <c r="K261" s="280"/>
      <c r="L261" s="280"/>
      <c r="M261" s="280"/>
      <c r="N261" s="280"/>
      <c r="O261" s="280"/>
    </row>
    <row r="262" spans="1:15" x14ac:dyDescent="0.25">
      <c r="A262" s="262" t="s">
        <v>1599</v>
      </c>
      <c r="B262" s="266"/>
      <c r="C262" s="266"/>
      <c r="D262" s="266"/>
      <c r="E262" s="266"/>
      <c r="F262" s="266"/>
      <c r="G262" s="266"/>
      <c r="H262" s="265">
        <f t="shared" si="8"/>
        <v>0</v>
      </c>
      <c r="I262" s="280"/>
      <c r="J262" s="280"/>
      <c r="K262" s="280"/>
      <c r="L262" s="280"/>
      <c r="M262" s="280"/>
      <c r="N262" s="280"/>
      <c r="O262" s="280"/>
    </row>
    <row r="263" spans="1:15" x14ac:dyDescent="0.25">
      <c r="A263" s="113" t="s">
        <v>852</v>
      </c>
      <c r="B263" s="266">
        <v>0</v>
      </c>
      <c r="C263" s="266">
        <v>0</v>
      </c>
      <c r="D263" s="266">
        <v>0</v>
      </c>
      <c r="E263" s="266">
        <v>0</v>
      </c>
      <c r="F263" s="266">
        <v>0</v>
      </c>
      <c r="G263" s="266">
        <v>0</v>
      </c>
      <c r="H263" s="265">
        <f t="shared" si="8"/>
        <v>0</v>
      </c>
      <c r="I263" s="280"/>
      <c r="J263" s="280"/>
      <c r="K263" s="280"/>
      <c r="L263" s="280"/>
      <c r="M263" s="280"/>
      <c r="N263" s="280"/>
      <c r="O263" s="280"/>
    </row>
    <row r="264" spans="1:15" x14ac:dyDescent="0.25">
      <c r="A264" s="113" t="s">
        <v>860</v>
      </c>
      <c r="B264" s="266">
        <v>0</v>
      </c>
      <c r="C264" s="266">
        <v>0</v>
      </c>
      <c r="D264" s="266">
        <v>0</v>
      </c>
      <c r="E264" s="266">
        <v>0</v>
      </c>
      <c r="F264" s="266">
        <v>0</v>
      </c>
      <c r="G264" s="266">
        <v>0</v>
      </c>
      <c r="H264" s="265">
        <f t="shared" si="8"/>
        <v>0</v>
      </c>
      <c r="I264" s="280"/>
      <c r="J264" s="280"/>
      <c r="K264" s="280"/>
      <c r="L264" s="280"/>
      <c r="M264" s="280"/>
      <c r="N264" s="280"/>
      <c r="O264" s="280"/>
    </row>
    <row r="265" spans="1:15" x14ac:dyDescent="0.25">
      <c r="A265" s="113" t="s">
        <v>861</v>
      </c>
      <c r="B265" s="266">
        <v>0</v>
      </c>
      <c r="C265" s="266">
        <v>0</v>
      </c>
      <c r="D265" s="266">
        <v>0</v>
      </c>
      <c r="E265" s="266">
        <v>0</v>
      </c>
      <c r="F265" s="266">
        <v>0</v>
      </c>
      <c r="G265" s="266">
        <v>0</v>
      </c>
      <c r="H265" s="265">
        <f t="shared" si="8"/>
        <v>0</v>
      </c>
      <c r="I265" s="280"/>
      <c r="J265" s="280"/>
      <c r="K265" s="280"/>
      <c r="L265" s="280"/>
      <c r="M265" s="280"/>
      <c r="N265" s="280"/>
      <c r="O265" s="280"/>
    </row>
    <row r="266" spans="1:15" x14ac:dyDescent="0.25">
      <c r="A266" s="113" t="s">
        <v>862</v>
      </c>
      <c r="B266" s="266">
        <v>0</v>
      </c>
      <c r="C266" s="266">
        <v>0</v>
      </c>
      <c r="D266" s="266">
        <v>0</v>
      </c>
      <c r="E266" s="266">
        <v>0</v>
      </c>
      <c r="F266" s="266">
        <v>0</v>
      </c>
      <c r="G266" s="266">
        <v>0</v>
      </c>
      <c r="H266" s="265">
        <f t="shared" si="8"/>
        <v>0</v>
      </c>
      <c r="I266" s="280"/>
      <c r="J266" s="280"/>
      <c r="K266" s="280"/>
      <c r="L266" s="280"/>
      <c r="M266" s="280"/>
      <c r="N266" s="280"/>
      <c r="O266" s="280"/>
    </row>
    <row r="267" spans="1:15" x14ac:dyDescent="0.25">
      <c r="A267" s="113" t="s">
        <v>863</v>
      </c>
      <c r="B267" s="266">
        <v>0</v>
      </c>
      <c r="C267" s="266">
        <v>0</v>
      </c>
      <c r="D267" s="266">
        <v>0</v>
      </c>
      <c r="E267" s="266">
        <v>0</v>
      </c>
      <c r="F267" s="266">
        <v>0</v>
      </c>
      <c r="G267" s="266">
        <v>0</v>
      </c>
      <c r="H267" s="265">
        <f t="shared" si="8"/>
        <v>0</v>
      </c>
      <c r="I267" s="280"/>
      <c r="J267" s="280"/>
      <c r="K267" s="280"/>
      <c r="L267" s="280"/>
      <c r="M267" s="280"/>
      <c r="N267" s="280"/>
      <c r="O267" s="280"/>
    </row>
    <row r="268" spans="1:15" x14ac:dyDescent="0.25">
      <c r="A268" s="113" t="s">
        <v>864</v>
      </c>
      <c r="B268" s="266">
        <v>0</v>
      </c>
      <c r="C268" s="266">
        <v>0</v>
      </c>
      <c r="D268" s="266">
        <v>0</v>
      </c>
      <c r="E268" s="266">
        <v>0</v>
      </c>
      <c r="F268" s="266">
        <v>0</v>
      </c>
      <c r="G268" s="266">
        <v>0</v>
      </c>
      <c r="H268" s="265">
        <f t="shared" si="8"/>
        <v>0</v>
      </c>
      <c r="I268" s="280"/>
      <c r="J268" s="280"/>
      <c r="K268" s="280"/>
      <c r="L268" s="280"/>
      <c r="M268" s="280"/>
      <c r="N268" s="280"/>
      <c r="O268" s="280"/>
    </row>
    <row r="269" spans="1:15" x14ac:dyDescent="0.25">
      <c r="A269" s="113" t="s">
        <v>865</v>
      </c>
      <c r="B269" s="266">
        <v>0</v>
      </c>
      <c r="C269" s="266">
        <v>0</v>
      </c>
      <c r="D269" s="266">
        <v>0</v>
      </c>
      <c r="E269" s="266">
        <v>0</v>
      </c>
      <c r="F269" s="266">
        <v>0</v>
      </c>
      <c r="G269" s="266">
        <v>0</v>
      </c>
      <c r="H269" s="265">
        <f t="shared" si="8"/>
        <v>0</v>
      </c>
      <c r="I269" s="280"/>
      <c r="J269" s="280"/>
      <c r="K269" s="280"/>
      <c r="L269" s="280"/>
      <c r="M269" s="280"/>
      <c r="N269" s="280"/>
      <c r="O269" s="280"/>
    </row>
    <row r="270" spans="1:15" x14ac:dyDescent="0.25">
      <c r="A270" s="113" t="s">
        <v>866</v>
      </c>
      <c r="B270" s="266">
        <v>0</v>
      </c>
      <c r="C270" s="266">
        <v>0</v>
      </c>
      <c r="D270" s="266">
        <v>0</v>
      </c>
      <c r="E270" s="266">
        <v>0</v>
      </c>
      <c r="F270" s="266">
        <v>0</v>
      </c>
      <c r="G270" s="266">
        <v>0</v>
      </c>
      <c r="H270" s="265">
        <f t="shared" si="8"/>
        <v>0</v>
      </c>
      <c r="I270" s="280"/>
      <c r="J270" s="280"/>
      <c r="K270" s="280"/>
      <c r="L270" s="280"/>
      <c r="M270" s="280"/>
      <c r="N270" s="280"/>
      <c r="O270" s="280"/>
    </row>
    <row r="271" spans="1:15" x14ac:dyDescent="0.25">
      <c r="A271" s="113" t="s">
        <v>867</v>
      </c>
      <c r="B271" s="266">
        <v>0</v>
      </c>
      <c r="C271" s="266">
        <v>0</v>
      </c>
      <c r="D271" s="266">
        <v>0</v>
      </c>
      <c r="E271" s="266">
        <v>0</v>
      </c>
      <c r="F271" s="266">
        <v>0</v>
      </c>
      <c r="G271" s="266">
        <v>0</v>
      </c>
      <c r="H271" s="265">
        <f t="shared" si="8"/>
        <v>0</v>
      </c>
      <c r="I271" s="280"/>
      <c r="J271" s="280"/>
      <c r="K271" s="280"/>
      <c r="L271" s="280"/>
      <c r="M271" s="280"/>
      <c r="N271" s="280"/>
      <c r="O271" s="280"/>
    </row>
    <row r="272" spans="1:15" x14ac:dyDescent="0.25">
      <c r="A272" s="113" t="s">
        <v>853</v>
      </c>
      <c r="B272" s="266">
        <v>0</v>
      </c>
      <c r="C272" s="266">
        <v>0</v>
      </c>
      <c r="D272" s="266">
        <v>0</v>
      </c>
      <c r="E272" s="266">
        <v>0</v>
      </c>
      <c r="F272" s="266">
        <v>0</v>
      </c>
      <c r="G272" s="266">
        <v>0</v>
      </c>
      <c r="H272" s="265">
        <f t="shared" si="8"/>
        <v>0</v>
      </c>
      <c r="I272" s="280"/>
      <c r="J272" s="280"/>
      <c r="K272" s="280"/>
      <c r="L272" s="280"/>
      <c r="M272" s="280"/>
      <c r="N272" s="280"/>
      <c r="O272" s="280"/>
    </row>
    <row r="273" spans="1:15" x14ac:dyDescent="0.25">
      <c r="A273" s="113" t="s">
        <v>854</v>
      </c>
      <c r="B273" s="266">
        <v>0</v>
      </c>
      <c r="C273" s="266">
        <v>0</v>
      </c>
      <c r="D273" s="266">
        <v>0</v>
      </c>
      <c r="E273" s="266">
        <v>0</v>
      </c>
      <c r="F273" s="266">
        <v>0</v>
      </c>
      <c r="G273" s="266">
        <v>0</v>
      </c>
      <c r="H273" s="265">
        <f t="shared" si="8"/>
        <v>0</v>
      </c>
      <c r="I273" s="280"/>
      <c r="J273" s="280"/>
      <c r="K273" s="280"/>
      <c r="L273" s="280"/>
      <c r="M273" s="280"/>
      <c r="N273" s="280"/>
      <c r="O273" s="280"/>
    </row>
    <row r="274" spans="1:15" x14ac:dyDescent="0.25">
      <c r="A274" s="113" t="s">
        <v>855</v>
      </c>
      <c r="B274" s="266">
        <v>0</v>
      </c>
      <c r="C274" s="266">
        <v>0</v>
      </c>
      <c r="D274" s="266">
        <v>0</v>
      </c>
      <c r="E274" s="266">
        <v>0</v>
      </c>
      <c r="F274" s="266">
        <v>0</v>
      </c>
      <c r="G274" s="266">
        <v>0</v>
      </c>
      <c r="H274" s="265">
        <f t="shared" si="8"/>
        <v>0</v>
      </c>
      <c r="I274" s="280"/>
      <c r="J274" s="280"/>
      <c r="K274" s="280"/>
      <c r="L274" s="280"/>
      <c r="M274" s="280"/>
      <c r="N274" s="280"/>
      <c r="O274" s="280"/>
    </row>
    <row r="275" spans="1:15" x14ac:dyDescent="0.25">
      <c r="A275" s="113" t="s">
        <v>856</v>
      </c>
      <c r="B275" s="266">
        <v>0</v>
      </c>
      <c r="C275" s="266">
        <v>0</v>
      </c>
      <c r="D275" s="266">
        <v>0</v>
      </c>
      <c r="E275" s="266">
        <v>0</v>
      </c>
      <c r="F275" s="266">
        <v>0</v>
      </c>
      <c r="G275" s="266">
        <v>0</v>
      </c>
      <c r="H275" s="265">
        <f t="shared" si="8"/>
        <v>0</v>
      </c>
      <c r="I275" s="280"/>
      <c r="J275" s="280"/>
      <c r="K275" s="280"/>
      <c r="L275" s="280"/>
      <c r="M275" s="280"/>
      <c r="N275" s="280"/>
      <c r="O275" s="280"/>
    </row>
    <row r="276" spans="1:15" x14ac:dyDescent="0.25">
      <c r="A276" s="113" t="s">
        <v>857</v>
      </c>
      <c r="B276" s="266">
        <v>0</v>
      </c>
      <c r="C276" s="266">
        <v>0</v>
      </c>
      <c r="D276" s="266">
        <v>0</v>
      </c>
      <c r="E276" s="266">
        <v>0</v>
      </c>
      <c r="F276" s="266">
        <v>0</v>
      </c>
      <c r="G276" s="266">
        <v>0</v>
      </c>
      <c r="H276" s="265">
        <f t="shared" si="8"/>
        <v>0</v>
      </c>
      <c r="I276" s="280"/>
      <c r="J276" s="280"/>
      <c r="K276" s="280"/>
      <c r="L276" s="280"/>
      <c r="M276" s="280"/>
      <c r="N276" s="280"/>
      <c r="O276" s="280"/>
    </row>
    <row r="277" spans="1:15" x14ac:dyDescent="0.25">
      <c r="A277" s="113" t="s">
        <v>858</v>
      </c>
      <c r="B277" s="266">
        <v>0</v>
      </c>
      <c r="C277" s="266">
        <v>0</v>
      </c>
      <c r="D277" s="266">
        <v>0</v>
      </c>
      <c r="E277" s="266">
        <v>0</v>
      </c>
      <c r="F277" s="266">
        <v>0</v>
      </c>
      <c r="G277" s="266">
        <v>0</v>
      </c>
      <c r="H277" s="265">
        <f t="shared" si="8"/>
        <v>0</v>
      </c>
      <c r="I277" s="280"/>
      <c r="J277" s="280"/>
      <c r="K277" s="280"/>
      <c r="L277" s="280"/>
      <c r="M277" s="280"/>
      <c r="N277" s="280"/>
      <c r="O277" s="280"/>
    </row>
    <row r="278" spans="1:15" x14ac:dyDescent="0.25">
      <c r="A278" s="113" t="s">
        <v>859</v>
      </c>
      <c r="B278" s="266">
        <v>0</v>
      </c>
      <c r="C278" s="266">
        <v>0</v>
      </c>
      <c r="D278" s="266">
        <v>0</v>
      </c>
      <c r="E278" s="266">
        <v>0</v>
      </c>
      <c r="F278" s="266">
        <v>0</v>
      </c>
      <c r="G278" s="266">
        <v>0</v>
      </c>
      <c r="H278" s="265">
        <f t="shared" si="8"/>
        <v>0</v>
      </c>
      <c r="I278" s="280"/>
      <c r="J278" s="280"/>
      <c r="K278" s="280"/>
      <c r="L278" s="280"/>
      <c r="M278" s="280"/>
      <c r="N278" s="280"/>
      <c r="O278" s="280"/>
    </row>
    <row r="279" spans="1:15" x14ac:dyDescent="0.25">
      <c r="A279" s="113" t="s">
        <v>886</v>
      </c>
      <c r="B279" s="266">
        <v>0</v>
      </c>
      <c r="C279" s="266">
        <v>0</v>
      </c>
      <c r="D279" s="266">
        <v>0</v>
      </c>
      <c r="E279" s="266">
        <v>0</v>
      </c>
      <c r="F279" s="266">
        <v>0</v>
      </c>
      <c r="G279" s="266">
        <v>0</v>
      </c>
      <c r="H279" s="265">
        <f t="shared" si="8"/>
        <v>0</v>
      </c>
      <c r="I279" s="280"/>
      <c r="J279" s="280"/>
      <c r="K279" s="280"/>
      <c r="L279" s="280"/>
      <c r="M279" s="280"/>
      <c r="N279" s="280"/>
      <c r="O279" s="280"/>
    </row>
    <row r="280" spans="1:15" x14ac:dyDescent="0.25">
      <c r="A280" s="113" t="s">
        <v>887</v>
      </c>
      <c r="B280" s="266">
        <v>0</v>
      </c>
      <c r="C280" s="266">
        <v>0</v>
      </c>
      <c r="D280" s="266">
        <v>0</v>
      </c>
      <c r="E280" s="266">
        <v>0</v>
      </c>
      <c r="F280" s="266">
        <v>0</v>
      </c>
      <c r="G280" s="266">
        <v>0</v>
      </c>
      <c r="H280" s="265">
        <f t="shared" si="8"/>
        <v>0</v>
      </c>
      <c r="I280" s="280"/>
      <c r="J280" s="280"/>
      <c r="K280" s="280"/>
      <c r="L280" s="280"/>
      <c r="M280" s="280"/>
      <c r="N280" s="280"/>
      <c r="O280" s="280"/>
    </row>
    <row r="281" spans="1:15" x14ac:dyDescent="0.25">
      <c r="A281" s="113" t="s">
        <v>888</v>
      </c>
      <c r="B281" s="266">
        <v>0</v>
      </c>
      <c r="C281" s="266">
        <v>0</v>
      </c>
      <c r="D281" s="266">
        <v>0</v>
      </c>
      <c r="E281" s="266">
        <v>0</v>
      </c>
      <c r="F281" s="266">
        <v>0</v>
      </c>
      <c r="G281" s="266">
        <v>0</v>
      </c>
      <c r="H281" s="265">
        <f t="shared" si="8"/>
        <v>0</v>
      </c>
      <c r="I281" s="280"/>
      <c r="J281" s="280"/>
      <c r="K281" s="280"/>
      <c r="L281" s="280"/>
      <c r="M281" s="280"/>
      <c r="N281" s="280"/>
      <c r="O281" s="280"/>
    </row>
    <row r="282" spans="1:15" x14ac:dyDescent="0.25">
      <c r="A282" s="113" t="s">
        <v>889</v>
      </c>
      <c r="B282" s="266">
        <v>0</v>
      </c>
      <c r="C282" s="266">
        <v>0</v>
      </c>
      <c r="D282" s="266">
        <v>0</v>
      </c>
      <c r="E282" s="266">
        <v>0</v>
      </c>
      <c r="F282" s="266">
        <v>0</v>
      </c>
      <c r="G282" s="266">
        <v>0</v>
      </c>
      <c r="H282" s="265">
        <f t="shared" si="8"/>
        <v>0</v>
      </c>
      <c r="I282" s="280"/>
      <c r="J282" s="280"/>
      <c r="K282" s="280"/>
      <c r="L282" s="280"/>
      <c r="M282" s="280"/>
      <c r="N282" s="280"/>
      <c r="O282" s="280"/>
    </row>
    <row r="283" spans="1:15" x14ac:dyDescent="0.25">
      <c r="A283" s="113" t="s">
        <v>890</v>
      </c>
      <c r="B283" s="266">
        <v>0</v>
      </c>
      <c r="C283" s="266">
        <v>0</v>
      </c>
      <c r="D283" s="266">
        <v>0</v>
      </c>
      <c r="E283" s="266">
        <v>0</v>
      </c>
      <c r="F283" s="266">
        <v>0</v>
      </c>
      <c r="G283" s="266">
        <v>0</v>
      </c>
      <c r="H283" s="265">
        <f t="shared" si="8"/>
        <v>0</v>
      </c>
      <c r="I283" s="280"/>
      <c r="J283" s="280"/>
      <c r="K283" s="280"/>
      <c r="L283" s="280"/>
      <c r="M283" s="280"/>
      <c r="N283" s="280"/>
      <c r="O283" s="280"/>
    </row>
    <row r="284" spans="1:15" x14ac:dyDescent="0.25">
      <c r="A284" s="113" t="s">
        <v>891</v>
      </c>
      <c r="B284" s="266">
        <v>0</v>
      </c>
      <c r="C284" s="266">
        <v>0</v>
      </c>
      <c r="D284" s="266">
        <v>0</v>
      </c>
      <c r="E284" s="266">
        <v>0</v>
      </c>
      <c r="F284" s="266">
        <v>0</v>
      </c>
      <c r="G284" s="266">
        <v>0</v>
      </c>
      <c r="H284" s="265">
        <f t="shared" si="8"/>
        <v>0</v>
      </c>
      <c r="I284" s="280"/>
      <c r="J284" s="280"/>
      <c r="K284" s="280"/>
      <c r="L284" s="280"/>
      <c r="M284" s="280"/>
      <c r="N284" s="280"/>
      <c r="O284" s="280"/>
    </row>
    <row r="285" spans="1:15" x14ac:dyDescent="0.25">
      <c r="A285" s="113" t="s">
        <v>892</v>
      </c>
      <c r="B285" s="266"/>
      <c r="C285" s="266"/>
      <c r="D285" s="266"/>
      <c r="E285" s="266"/>
      <c r="F285" s="266"/>
      <c r="G285" s="266"/>
      <c r="H285" s="265">
        <f t="shared" si="8"/>
        <v>0</v>
      </c>
      <c r="I285" s="280"/>
      <c r="J285" s="280"/>
      <c r="K285" s="280"/>
      <c r="L285" s="280"/>
      <c r="M285" s="280"/>
      <c r="N285" s="280"/>
      <c r="O285" s="280"/>
    </row>
    <row r="286" spans="1:15" x14ac:dyDescent="0.25">
      <c r="A286" s="113" t="s">
        <v>893</v>
      </c>
      <c r="B286" s="266">
        <v>1768900</v>
      </c>
      <c r="C286" s="266">
        <v>1955100</v>
      </c>
      <c r="D286" s="266">
        <v>2048200</v>
      </c>
      <c r="E286" s="266">
        <v>2048200</v>
      </c>
      <c r="F286" s="266">
        <v>2048200</v>
      </c>
      <c r="G286" s="266">
        <v>2048200</v>
      </c>
      <c r="H286" s="265">
        <f t="shared" si="8"/>
        <v>11916800</v>
      </c>
      <c r="I286" s="280"/>
      <c r="J286" s="280"/>
      <c r="K286" s="280"/>
      <c r="L286" s="280"/>
      <c r="M286" s="280"/>
      <c r="N286" s="280"/>
      <c r="O286" s="280"/>
    </row>
    <row r="287" spans="1:15" x14ac:dyDescent="0.25">
      <c r="A287" s="113" t="s">
        <v>894</v>
      </c>
      <c r="B287" s="266"/>
      <c r="C287" s="266"/>
      <c r="D287" s="266"/>
      <c r="E287" s="266"/>
      <c r="F287" s="266"/>
      <c r="G287" s="266"/>
      <c r="H287" s="265">
        <f t="shared" si="8"/>
        <v>0</v>
      </c>
      <c r="I287" s="280"/>
      <c r="J287" s="280"/>
      <c r="K287" s="280"/>
      <c r="L287" s="280"/>
      <c r="M287" s="280"/>
      <c r="N287" s="280"/>
      <c r="O287" s="280"/>
    </row>
    <row r="288" spans="1:15" x14ac:dyDescent="0.25">
      <c r="A288" s="113" t="s">
        <v>895</v>
      </c>
      <c r="B288" s="266">
        <v>50540000</v>
      </c>
      <c r="C288" s="266">
        <v>55860000</v>
      </c>
      <c r="D288" s="266">
        <v>58520000</v>
      </c>
      <c r="E288" s="266">
        <v>58520000</v>
      </c>
      <c r="F288" s="266">
        <v>58520000</v>
      </c>
      <c r="G288" s="266">
        <v>58520000</v>
      </c>
      <c r="H288" s="265">
        <f t="shared" si="8"/>
        <v>340480000</v>
      </c>
      <c r="I288" s="280"/>
      <c r="J288" s="280"/>
      <c r="K288" s="280"/>
      <c r="L288" s="280"/>
      <c r="M288" s="280"/>
      <c r="N288" s="280"/>
      <c r="O288" s="280"/>
    </row>
    <row r="289" spans="1:15" x14ac:dyDescent="0.25">
      <c r="A289" s="113" t="s">
        <v>896</v>
      </c>
      <c r="B289" s="266">
        <v>2550000</v>
      </c>
      <c r="C289" s="266">
        <v>2550000</v>
      </c>
      <c r="D289" s="266">
        <v>2550000</v>
      </c>
      <c r="E289" s="266">
        <v>2550000</v>
      </c>
      <c r="F289" s="266">
        <v>2550000</v>
      </c>
      <c r="G289" s="266">
        <v>2550000</v>
      </c>
      <c r="H289" s="265">
        <f t="shared" si="8"/>
        <v>15300000</v>
      </c>
      <c r="I289" s="280"/>
      <c r="J289" s="280"/>
      <c r="K289" s="280"/>
      <c r="L289" s="280"/>
      <c r="M289" s="280"/>
      <c r="N289" s="280"/>
      <c r="O289" s="280"/>
    </row>
    <row r="290" spans="1:15" x14ac:dyDescent="0.25">
      <c r="A290" s="113" t="s">
        <v>897</v>
      </c>
      <c r="B290" s="266">
        <v>330000</v>
      </c>
      <c r="C290" s="266">
        <v>330000</v>
      </c>
      <c r="D290" s="266">
        <v>330000</v>
      </c>
      <c r="E290" s="266">
        <v>330000</v>
      </c>
      <c r="F290" s="266">
        <v>330000</v>
      </c>
      <c r="G290" s="266">
        <v>330000</v>
      </c>
      <c r="H290" s="265">
        <f t="shared" si="8"/>
        <v>1980000</v>
      </c>
      <c r="I290" s="280"/>
      <c r="J290" s="280"/>
      <c r="K290" s="280"/>
      <c r="L290" s="280"/>
      <c r="M290" s="280"/>
      <c r="N290" s="280"/>
      <c r="O290" s="280"/>
    </row>
    <row r="291" spans="1:15" x14ac:dyDescent="0.25">
      <c r="A291" s="113" t="s">
        <v>898</v>
      </c>
      <c r="B291" s="266">
        <v>0</v>
      </c>
      <c r="C291" s="266">
        <v>0</v>
      </c>
      <c r="D291" s="266">
        <v>0</v>
      </c>
      <c r="E291" s="266">
        <v>0</v>
      </c>
      <c r="F291" s="266">
        <v>0</v>
      </c>
      <c r="G291" s="266">
        <v>0</v>
      </c>
      <c r="H291" s="265">
        <f t="shared" si="8"/>
        <v>0</v>
      </c>
      <c r="I291" s="280"/>
      <c r="J291" s="280"/>
      <c r="K291" s="280"/>
      <c r="L291" s="280"/>
      <c r="M291" s="280"/>
      <c r="N291" s="280"/>
      <c r="O291" s="280"/>
    </row>
    <row r="292" spans="1:15" x14ac:dyDescent="0.25">
      <c r="A292" s="113" t="s">
        <v>899</v>
      </c>
      <c r="B292" s="266">
        <v>0</v>
      </c>
      <c r="C292" s="266">
        <v>0</v>
      </c>
      <c r="D292" s="266">
        <v>0</v>
      </c>
      <c r="E292" s="266">
        <v>0</v>
      </c>
      <c r="F292" s="266">
        <v>0</v>
      </c>
      <c r="G292" s="266">
        <v>0</v>
      </c>
      <c r="H292" s="265">
        <f t="shared" si="8"/>
        <v>0</v>
      </c>
      <c r="I292" s="280"/>
      <c r="J292" s="280"/>
      <c r="K292" s="280"/>
      <c r="L292" s="280"/>
      <c r="M292" s="280"/>
      <c r="N292" s="280"/>
      <c r="O292" s="280"/>
    </row>
    <row r="293" spans="1:15" x14ac:dyDescent="0.25">
      <c r="A293" s="113" t="s">
        <v>900</v>
      </c>
      <c r="B293" s="266">
        <v>0</v>
      </c>
      <c r="C293" s="266">
        <v>0</v>
      </c>
      <c r="D293" s="266">
        <v>0</v>
      </c>
      <c r="E293" s="266">
        <v>0</v>
      </c>
      <c r="F293" s="266">
        <v>0</v>
      </c>
      <c r="G293" s="266">
        <v>0</v>
      </c>
      <c r="H293" s="265">
        <f t="shared" si="8"/>
        <v>0</v>
      </c>
      <c r="I293" s="280"/>
      <c r="J293" s="280"/>
      <c r="K293" s="280"/>
      <c r="L293" s="280"/>
      <c r="M293" s="280"/>
      <c r="N293" s="280"/>
      <c r="O293" s="280"/>
    </row>
    <row r="294" spans="1:15" x14ac:dyDescent="0.25">
      <c r="A294" s="113" t="s">
        <v>901</v>
      </c>
      <c r="B294" s="266">
        <v>0</v>
      </c>
      <c r="C294" s="266">
        <v>0</v>
      </c>
      <c r="D294" s="266">
        <v>0</v>
      </c>
      <c r="E294" s="266">
        <v>0</v>
      </c>
      <c r="F294" s="266">
        <v>0</v>
      </c>
      <c r="G294" s="266">
        <v>0</v>
      </c>
      <c r="H294" s="265">
        <f t="shared" si="8"/>
        <v>0</v>
      </c>
      <c r="I294" s="280"/>
      <c r="J294" s="280"/>
      <c r="K294" s="280"/>
      <c r="L294" s="280"/>
      <c r="M294" s="280"/>
      <c r="N294" s="280"/>
      <c r="O294" s="280"/>
    </row>
    <row r="295" spans="1:15" x14ac:dyDescent="0.25">
      <c r="A295" s="113" t="s">
        <v>902</v>
      </c>
      <c r="B295" s="266">
        <v>0</v>
      </c>
      <c r="C295" s="266">
        <v>0</v>
      </c>
      <c r="D295" s="266">
        <v>0</v>
      </c>
      <c r="E295" s="266">
        <v>0</v>
      </c>
      <c r="F295" s="266">
        <v>0</v>
      </c>
      <c r="G295" s="266">
        <v>0</v>
      </c>
      <c r="H295" s="265">
        <f t="shared" si="8"/>
        <v>0</v>
      </c>
      <c r="I295" s="280"/>
      <c r="J295" s="280"/>
      <c r="K295" s="280"/>
      <c r="L295" s="280"/>
      <c r="M295" s="280"/>
      <c r="N295" s="280"/>
      <c r="O295" s="280"/>
    </row>
    <row r="296" spans="1:15" x14ac:dyDescent="0.25">
      <c r="A296" s="113" t="s">
        <v>903</v>
      </c>
      <c r="B296" s="266">
        <v>0</v>
      </c>
      <c r="C296" s="266">
        <v>0</v>
      </c>
      <c r="D296" s="266">
        <v>0</v>
      </c>
      <c r="E296" s="266">
        <v>0</v>
      </c>
      <c r="F296" s="266">
        <v>0</v>
      </c>
      <c r="G296" s="266">
        <v>0</v>
      </c>
      <c r="H296" s="265">
        <f t="shared" si="8"/>
        <v>0</v>
      </c>
      <c r="I296" s="280"/>
      <c r="J296" s="280"/>
      <c r="K296" s="280"/>
      <c r="L296" s="280"/>
      <c r="M296" s="280"/>
      <c r="N296" s="280"/>
      <c r="O296" s="280"/>
    </row>
    <row r="297" spans="1:15" x14ac:dyDescent="0.25">
      <c r="A297" s="113" t="s">
        <v>904</v>
      </c>
      <c r="B297" s="266"/>
      <c r="C297" s="266"/>
      <c r="D297" s="266">
        <v>50000</v>
      </c>
      <c r="E297" s="266"/>
      <c r="F297" s="266"/>
      <c r="G297" s="266"/>
      <c r="H297" s="265">
        <f t="shared" si="8"/>
        <v>50000</v>
      </c>
      <c r="I297" s="280"/>
      <c r="J297" s="280"/>
      <c r="K297" s="280"/>
      <c r="L297" s="280"/>
      <c r="M297" s="280"/>
      <c r="N297" s="280"/>
      <c r="O297" s="280"/>
    </row>
    <row r="298" spans="1:15" x14ac:dyDescent="0.25">
      <c r="A298" s="113" t="s">
        <v>905</v>
      </c>
      <c r="B298" s="266">
        <v>0</v>
      </c>
      <c r="C298" s="266">
        <v>0</v>
      </c>
      <c r="D298" s="266">
        <v>0</v>
      </c>
      <c r="E298" s="266">
        <v>0</v>
      </c>
      <c r="F298" s="266">
        <v>0</v>
      </c>
      <c r="G298" s="266">
        <v>0</v>
      </c>
      <c r="H298" s="265">
        <f t="shared" si="8"/>
        <v>0</v>
      </c>
      <c r="I298" s="280"/>
      <c r="J298" s="280"/>
      <c r="K298" s="280"/>
      <c r="L298" s="280"/>
      <c r="M298" s="280"/>
      <c r="N298" s="280"/>
      <c r="O298" s="280"/>
    </row>
    <row r="299" spans="1:15" x14ac:dyDescent="0.25">
      <c r="A299" s="113" t="s">
        <v>906</v>
      </c>
      <c r="B299" s="266">
        <v>0</v>
      </c>
      <c r="C299" s="266">
        <v>0</v>
      </c>
      <c r="D299" s="266">
        <v>0</v>
      </c>
      <c r="E299" s="266">
        <v>0</v>
      </c>
      <c r="F299" s="266">
        <v>0</v>
      </c>
      <c r="G299" s="266">
        <v>0</v>
      </c>
      <c r="H299" s="265">
        <f t="shared" si="8"/>
        <v>0</v>
      </c>
      <c r="I299" s="280"/>
      <c r="J299" s="280"/>
      <c r="K299" s="280"/>
      <c r="L299" s="280"/>
      <c r="M299" s="280"/>
      <c r="N299" s="280"/>
      <c r="O299" s="280"/>
    </row>
    <row r="300" spans="1:15" x14ac:dyDescent="0.25">
      <c r="A300" s="113" t="s">
        <v>907</v>
      </c>
      <c r="B300" s="266"/>
      <c r="C300" s="266"/>
      <c r="D300" s="266"/>
      <c r="E300" s="266">
        <v>50000</v>
      </c>
      <c r="F300" s="266"/>
      <c r="G300" s="266"/>
      <c r="H300" s="265">
        <f t="shared" si="8"/>
        <v>50000</v>
      </c>
      <c r="I300" s="280"/>
      <c r="J300" s="280"/>
      <c r="K300" s="280"/>
      <c r="L300" s="280"/>
      <c r="M300" s="280"/>
      <c r="N300" s="280"/>
      <c r="O300" s="280"/>
    </row>
    <row r="301" spans="1:15" x14ac:dyDescent="0.25">
      <c r="A301" s="113" t="s">
        <v>911</v>
      </c>
      <c r="B301" s="266">
        <v>0</v>
      </c>
      <c r="C301" s="266">
        <v>0</v>
      </c>
      <c r="D301" s="266">
        <v>0</v>
      </c>
      <c r="E301" s="266">
        <v>0</v>
      </c>
      <c r="F301" s="266">
        <v>0</v>
      </c>
      <c r="G301" s="266">
        <v>0</v>
      </c>
      <c r="H301" s="265">
        <f t="shared" si="8"/>
        <v>0</v>
      </c>
      <c r="I301" s="280"/>
      <c r="J301" s="280"/>
      <c r="K301" s="280"/>
      <c r="L301" s="280"/>
      <c r="M301" s="280"/>
      <c r="N301" s="280"/>
      <c r="O301" s="280"/>
    </row>
    <row r="302" spans="1:15" x14ac:dyDescent="0.25">
      <c r="A302" s="113" t="s">
        <v>912</v>
      </c>
      <c r="B302" s="266">
        <v>0</v>
      </c>
      <c r="C302" s="266">
        <v>0</v>
      </c>
      <c r="D302" s="266">
        <v>0</v>
      </c>
      <c r="E302" s="266">
        <v>0</v>
      </c>
      <c r="F302" s="266">
        <v>0</v>
      </c>
      <c r="G302" s="266">
        <v>0</v>
      </c>
      <c r="H302" s="265">
        <f t="shared" si="8"/>
        <v>0</v>
      </c>
      <c r="I302" s="280"/>
      <c r="J302" s="280"/>
      <c r="K302" s="280"/>
      <c r="L302" s="280"/>
      <c r="M302" s="280"/>
      <c r="N302" s="280"/>
      <c r="O302" s="280"/>
    </row>
    <row r="303" spans="1:15" x14ac:dyDescent="0.25">
      <c r="A303" s="113" t="s">
        <v>908</v>
      </c>
      <c r="B303" s="266">
        <v>0</v>
      </c>
      <c r="C303" s="266">
        <v>0</v>
      </c>
      <c r="D303" s="266">
        <v>0</v>
      </c>
      <c r="E303" s="266">
        <v>0</v>
      </c>
      <c r="F303" s="266">
        <v>0</v>
      </c>
      <c r="G303" s="266">
        <v>0</v>
      </c>
      <c r="H303" s="265">
        <f t="shared" si="8"/>
        <v>0</v>
      </c>
      <c r="I303" s="280"/>
      <c r="J303" s="280"/>
      <c r="K303" s="280"/>
      <c r="L303" s="280"/>
      <c r="M303" s="280"/>
      <c r="N303" s="280"/>
      <c r="O303" s="280"/>
    </row>
    <row r="304" spans="1:15" x14ac:dyDescent="0.25">
      <c r="A304" s="113" t="s">
        <v>909</v>
      </c>
      <c r="B304" s="266">
        <v>0</v>
      </c>
      <c r="C304" s="266">
        <v>0</v>
      </c>
      <c r="D304" s="266">
        <v>0</v>
      </c>
      <c r="E304" s="266">
        <v>0</v>
      </c>
      <c r="F304" s="266">
        <v>0</v>
      </c>
      <c r="G304" s="266">
        <v>0</v>
      </c>
      <c r="H304" s="265">
        <f t="shared" si="8"/>
        <v>0</v>
      </c>
      <c r="I304" s="280"/>
      <c r="J304" s="280"/>
      <c r="K304" s="280"/>
      <c r="L304" s="280"/>
      <c r="M304" s="280"/>
      <c r="N304" s="280"/>
      <c r="O304" s="280"/>
    </row>
    <row r="305" spans="1:15" x14ac:dyDescent="0.25">
      <c r="A305" s="113" t="s">
        <v>910</v>
      </c>
      <c r="B305" s="266">
        <v>0</v>
      </c>
      <c r="C305" s="266">
        <v>0</v>
      </c>
      <c r="D305" s="266">
        <v>0</v>
      </c>
      <c r="E305" s="266">
        <v>0</v>
      </c>
      <c r="F305" s="266">
        <v>0</v>
      </c>
      <c r="G305" s="266">
        <v>0</v>
      </c>
      <c r="H305" s="265">
        <f t="shared" si="8"/>
        <v>0</v>
      </c>
      <c r="I305" s="280"/>
      <c r="J305" s="280"/>
      <c r="K305" s="280"/>
      <c r="L305" s="280"/>
      <c r="M305" s="280"/>
      <c r="N305" s="280"/>
      <c r="O305" s="280"/>
    </row>
    <row r="306" spans="1:15" x14ac:dyDescent="0.25">
      <c r="A306" s="113" t="s">
        <v>913</v>
      </c>
      <c r="B306" s="266"/>
      <c r="C306" s="266"/>
      <c r="D306" s="266"/>
      <c r="E306" s="266"/>
      <c r="F306" s="266"/>
      <c r="G306" s="266"/>
      <c r="H306" s="265">
        <f t="shared" si="8"/>
        <v>0</v>
      </c>
      <c r="I306" s="280"/>
      <c r="J306" s="280"/>
      <c r="K306" s="280"/>
      <c r="L306" s="280"/>
      <c r="M306" s="280"/>
      <c r="N306" s="280"/>
      <c r="O306" s="280"/>
    </row>
    <row r="307" spans="1:15" x14ac:dyDescent="0.25">
      <c r="A307" s="113" t="s">
        <v>919</v>
      </c>
      <c r="B307" s="266"/>
      <c r="C307" s="266"/>
      <c r="D307" s="266"/>
      <c r="E307" s="266"/>
      <c r="F307" s="266"/>
      <c r="G307" s="266"/>
      <c r="H307" s="265">
        <f t="shared" si="8"/>
        <v>0</v>
      </c>
      <c r="I307" s="280"/>
      <c r="J307" s="280"/>
      <c r="K307" s="280"/>
      <c r="L307" s="280"/>
      <c r="M307" s="280"/>
      <c r="N307" s="280"/>
      <c r="O307" s="280"/>
    </row>
    <row r="308" spans="1:15" x14ac:dyDescent="0.25">
      <c r="A308" s="113" t="s">
        <v>914</v>
      </c>
      <c r="B308" s="266"/>
      <c r="C308" s="266"/>
      <c r="D308" s="266"/>
      <c r="E308" s="266"/>
      <c r="F308" s="266"/>
      <c r="G308" s="266"/>
      <c r="H308" s="265">
        <f t="shared" si="8"/>
        <v>0</v>
      </c>
      <c r="I308" s="280"/>
      <c r="J308" s="280"/>
      <c r="K308" s="280"/>
      <c r="L308" s="280"/>
      <c r="M308" s="280"/>
      <c r="N308" s="280"/>
      <c r="O308" s="280"/>
    </row>
    <row r="309" spans="1:15" x14ac:dyDescent="0.25">
      <c r="A309" s="113" t="s">
        <v>915</v>
      </c>
      <c r="B309" s="266"/>
      <c r="C309" s="266"/>
      <c r="D309" s="266"/>
      <c r="E309" s="266"/>
      <c r="F309" s="266"/>
      <c r="G309" s="266"/>
      <c r="H309" s="265">
        <f t="shared" si="8"/>
        <v>0</v>
      </c>
      <c r="I309" s="280"/>
      <c r="J309" s="280"/>
      <c r="K309" s="280"/>
      <c r="L309" s="280"/>
      <c r="M309" s="280"/>
      <c r="N309" s="280"/>
      <c r="O309" s="280"/>
    </row>
    <row r="310" spans="1:15" x14ac:dyDescent="0.25">
      <c r="A310" s="113" t="s">
        <v>916</v>
      </c>
      <c r="B310" s="266"/>
      <c r="C310" s="266"/>
      <c r="D310" s="266"/>
      <c r="E310" s="266"/>
      <c r="F310" s="266"/>
      <c r="G310" s="266"/>
      <c r="H310" s="265">
        <f t="shared" si="8"/>
        <v>0</v>
      </c>
      <c r="I310" s="280"/>
      <c r="J310" s="280"/>
      <c r="K310" s="280"/>
      <c r="L310" s="280"/>
      <c r="M310" s="280"/>
      <c r="N310" s="280"/>
      <c r="O310" s="280"/>
    </row>
    <row r="311" spans="1:15" x14ac:dyDescent="0.25">
      <c r="A311" s="113" t="s">
        <v>917</v>
      </c>
      <c r="B311" s="266"/>
      <c r="C311" s="266"/>
      <c r="D311" s="266"/>
      <c r="E311" s="266">
        <v>50000</v>
      </c>
      <c r="F311" s="266"/>
      <c r="G311" s="266"/>
      <c r="H311" s="265">
        <f t="shared" si="8"/>
        <v>50000</v>
      </c>
      <c r="I311" s="280"/>
      <c r="J311" s="280"/>
      <c r="K311" s="280"/>
      <c r="L311" s="280"/>
      <c r="M311" s="280"/>
      <c r="N311" s="280"/>
      <c r="O311" s="280"/>
    </row>
    <row r="312" spans="1:15" x14ac:dyDescent="0.25">
      <c r="A312" s="113" t="s">
        <v>918</v>
      </c>
      <c r="B312" s="266"/>
      <c r="C312" s="266"/>
      <c r="D312" s="266"/>
      <c r="E312" s="266">
        <v>50000</v>
      </c>
      <c r="F312" s="266"/>
      <c r="G312" s="266"/>
      <c r="H312" s="265">
        <f t="shared" si="8"/>
        <v>50000</v>
      </c>
      <c r="I312" s="280"/>
      <c r="J312" s="280"/>
      <c r="K312" s="280"/>
      <c r="L312" s="280"/>
      <c r="M312" s="280"/>
      <c r="N312" s="280"/>
      <c r="O312" s="280"/>
    </row>
    <row r="313" spans="1:15" x14ac:dyDescent="0.25">
      <c r="A313" s="113" t="s">
        <v>920</v>
      </c>
      <c r="B313" s="266">
        <v>0</v>
      </c>
      <c r="C313" s="266">
        <v>0</v>
      </c>
      <c r="D313" s="266">
        <v>0</v>
      </c>
      <c r="E313" s="266">
        <v>0</v>
      </c>
      <c r="F313" s="266">
        <v>0</v>
      </c>
      <c r="G313" s="266">
        <v>0</v>
      </c>
      <c r="H313" s="265">
        <f t="shared" si="8"/>
        <v>0</v>
      </c>
      <c r="I313" s="280"/>
      <c r="J313" s="280"/>
      <c r="K313" s="280"/>
      <c r="L313" s="280"/>
      <c r="M313" s="280"/>
      <c r="N313" s="280"/>
      <c r="O313" s="280"/>
    </row>
    <row r="314" spans="1:15" x14ac:dyDescent="0.25">
      <c r="A314" s="113" t="s">
        <v>922</v>
      </c>
      <c r="B314" s="266">
        <v>0</v>
      </c>
      <c r="C314" s="266">
        <v>0</v>
      </c>
      <c r="D314" s="266">
        <v>0</v>
      </c>
      <c r="E314" s="266">
        <v>0</v>
      </c>
      <c r="F314" s="266">
        <v>0</v>
      </c>
      <c r="G314" s="266">
        <v>0</v>
      </c>
      <c r="H314" s="265">
        <f t="shared" si="8"/>
        <v>0</v>
      </c>
      <c r="I314" s="280"/>
      <c r="J314" s="280"/>
      <c r="K314" s="280"/>
      <c r="L314" s="280"/>
      <c r="M314" s="280"/>
      <c r="N314" s="280"/>
      <c r="O314" s="280"/>
    </row>
    <row r="315" spans="1:15" x14ac:dyDescent="0.25">
      <c r="A315" s="113" t="s">
        <v>921</v>
      </c>
      <c r="B315" s="266">
        <v>0</v>
      </c>
      <c r="C315" s="266">
        <v>0</v>
      </c>
      <c r="D315" s="266">
        <v>0</v>
      </c>
      <c r="E315" s="266">
        <v>0</v>
      </c>
      <c r="F315" s="266">
        <v>0</v>
      </c>
      <c r="G315" s="266">
        <v>0</v>
      </c>
      <c r="H315" s="265">
        <f t="shared" si="8"/>
        <v>0</v>
      </c>
      <c r="I315" s="280"/>
      <c r="J315" s="280"/>
      <c r="K315" s="280"/>
      <c r="L315" s="280"/>
      <c r="M315" s="280"/>
      <c r="N315" s="280"/>
      <c r="O315" s="280"/>
    </row>
    <row r="316" spans="1:15" x14ac:dyDescent="0.25">
      <c r="A316" s="113" t="s">
        <v>923</v>
      </c>
      <c r="B316" s="266"/>
      <c r="C316" s="266"/>
      <c r="D316" s="266"/>
      <c r="E316" s="266"/>
      <c r="F316" s="266"/>
      <c r="G316" s="266"/>
      <c r="H316" s="265">
        <f t="shared" si="8"/>
        <v>0</v>
      </c>
      <c r="I316" s="280"/>
      <c r="J316" s="280"/>
      <c r="K316" s="280"/>
      <c r="L316" s="280"/>
      <c r="M316" s="280"/>
      <c r="N316" s="280"/>
      <c r="O316" s="280"/>
    </row>
    <row r="317" spans="1:15" x14ac:dyDescent="0.25">
      <c r="A317" s="113" t="s">
        <v>924</v>
      </c>
      <c r="B317" s="266"/>
      <c r="C317" s="266"/>
      <c r="D317" s="266"/>
      <c r="E317" s="266"/>
      <c r="F317" s="266"/>
      <c r="G317" s="266"/>
      <c r="H317" s="265">
        <f t="shared" si="8"/>
        <v>0</v>
      </c>
      <c r="I317" s="280"/>
      <c r="J317" s="280"/>
      <c r="K317" s="280"/>
      <c r="L317" s="280"/>
      <c r="M317" s="280"/>
      <c r="N317" s="280"/>
      <c r="O317" s="280"/>
    </row>
    <row r="318" spans="1:15" x14ac:dyDescent="0.25">
      <c r="A318" s="113" t="s">
        <v>925</v>
      </c>
      <c r="B318" s="266"/>
      <c r="C318" s="266"/>
      <c r="D318" s="266"/>
      <c r="E318" s="266"/>
      <c r="F318" s="266"/>
      <c r="G318" s="266"/>
      <c r="H318" s="265">
        <f t="shared" si="8"/>
        <v>0</v>
      </c>
      <c r="I318" s="280"/>
      <c r="J318" s="280"/>
      <c r="K318" s="280"/>
      <c r="L318" s="280"/>
      <c r="M318" s="280"/>
      <c r="N318" s="280"/>
      <c r="O318" s="280"/>
    </row>
    <row r="319" spans="1:15" x14ac:dyDescent="0.25">
      <c r="A319" s="113" t="s">
        <v>926</v>
      </c>
      <c r="B319" s="266"/>
      <c r="C319" s="266">
        <v>30000</v>
      </c>
      <c r="D319" s="266"/>
      <c r="E319" s="266"/>
      <c r="F319" s="266"/>
      <c r="G319" s="266"/>
      <c r="H319" s="265">
        <f t="shared" si="8"/>
        <v>30000</v>
      </c>
      <c r="I319" s="280"/>
      <c r="J319" s="280"/>
      <c r="K319" s="280"/>
      <c r="L319" s="280"/>
      <c r="M319" s="280"/>
      <c r="N319" s="280"/>
      <c r="O319" s="280"/>
    </row>
    <row r="320" spans="1:15" x14ac:dyDescent="0.25">
      <c r="A320" s="113" t="s">
        <v>927</v>
      </c>
      <c r="B320" s="266"/>
      <c r="C320" s="266"/>
      <c r="D320" s="266"/>
      <c r="E320" s="266"/>
      <c r="F320" s="266"/>
      <c r="G320" s="266"/>
      <c r="H320" s="265">
        <f t="shared" si="8"/>
        <v>0</v>
      </c>
      <c r="I320" s="280"/>
      <c r="J320" s="280"/>
      <c r="K320" s="280"/>
      <c r="L320" s="280"/>
      <c r="M320" s="280"/>
      <c r="N320" s="280"/>
      <c r="O320" s="280"/>
    </row>
    <row r="321" spans="1:15" x14ac:dyDescent="0.25">
      <c r="A321" s="113" t="s">
        <v>868</v>
      </c>
      <c r="B321" s="266"/>
      <c r="C321" s="266"/>
      <c r="D321" s="266"/>
      <c r="E321" s="266"/>
      <c r="F321" s="266"/>
      <c r="G321" s="266"/>
      <c r="H321" s="265">
        <f t="shared" si="8"/>
        <v>0</v>
      </c>
      <c r="I321" s="280"/>
      <c r="J321" s="280"/>
      <c r="K321" s="280"/>
      <c r="L321" s="280"/>
      <c r="M321" s="280"/>
      <c r="N321" s="280"/>
      <c r="O321" s="280"/>
    </row>
    <row r="322" spans="1:15" x14ac:dyDescent="0.25">
      <c r="A322" s="113" t="s">
        <v>869</v>
      </c>
      <c r="B322" s="266"/>
      <c r="C322" s="266">
        <v>150000</v>
      </c>
      <c r="D322" s="266"/>
      <c r="E322" s="266"/>
      <c r="F322" s="266"/>
      <c r="G322" s="266"/>
      <c r="H322" s="265">
        <f t="shared" si="8"/>
        <v>150000</v>
      </c>
      <c r="I322" s="280"/>
      <c r="J322" s="280"/>
      <c r="K322" s="280"/>
      <c r="L322" s="280"/>
      <c r="M322" s="280"/>
      <c r="N322" s="280"/>
      <c r="O322" s="280"/>
    </row>
    <row r="323" spans="1:15" x14ac:dyDescent="0.25">
      <c r="A323" s="113" t="s">
        <v>870</v>
      </c>
      <c r="B323" s="266"/>
      <c r="C323" s="266"/>
      <c r="D323" s="266"/>
      <c r="E323" s="266"/>
      <c r="F323" s="266"/>
      <c r="G323" s="266"/>
      <c r="H323" s="265">
        <f t="shared" si="8"/>
        <v>0</v>
      </c>
      <c r="I323" s="280"/>
      <c r="J323" s="280"/>
      <c r="K323" s="280"/>
      <c r="L323" s="280"/>
      <c r="M323" s="280"/>
      <c r="N323" s="280"/>
      <c r="O323" s="280"/>
    </row>
    <row r="324" spans="1:15" x14ac:dyDescent="0.25">
      <c r="A324" s="113" t="s">
        <v>871</v>
      </c>
      <c r="B324" s="266">
        <v>30000</v>
      </c>
      <c r="C324" s="266">
        <v>0</v>
      </c>
      <c r="D324" s="266">
        <v>0</v>
      </c>
      <c r="E324" s="266">
        <v>30000</v>
      </c>
      <c r="F324" s="266">
        <v>0</v>
      </c>
      <c r="G324" s="266">
        <v>0</v>
      </c>
      <c r="H324" s="265">
        <f t="shared" si="8"/>
        <v>60000</v>
      </c>
      <c r="I324" s="280"/>
      <c r="J324" s="280"/>
      <c r="K324" s="280"/>
      <c r="L324" s="280"/>
      <c r="M324" s="280"/>
      <c r="N324" s="280"/>
      <c r="O324" s="280"/>
    </row>
    <row r="325" spans="1:15" x14ac:dyDescent="0.25">
      <c r="A325" s="113" t="s">
        <v>872</v>
      </c>
      <c r="B325" s="266">
        <v>50000</v>
      </c>
      <c r="C325" s="266">
        <v>0</v>
      </c>
      <c r="D325" s="266">
        <v>0</v>
      </c>
      <c r="E325" s="266">
        <v>50000</v>
      </c>
      <c r="F325" s="266">
        <v>0</v>
      </c>
      <c r="G325" s="266">
        <v>0</v>
      </c>
      <c r="H325" s="265">
        <f t="shared" ref="H325:H388" si="9">SUM(B325:G325)</f>
        <v>100000</v>
      </c>
      <c r="I325" s="280"/>
      <c r="J325" s="280"/>
      <c r="K325" s="280"/>
      <c r="L325" s="280"/>
      <c r="M325" s="280"/>
      <c r="N325" s="280"/>
      <c r="O325" s="280"/>
    </row>
    <row r="326" spans="1:15" x14ac:dyDescent="0.25">
      <c r="A326" s="113" t="s">
        <v>873</v>
      </c>
      <c r="B326" s="266">
        <v>0</v>
      </c>
      <c r="C326" s="266">
        <v>0</v>
      </c>
      <c r="D326" s="266">
        <v>0</v>
      </c>
      <c r="E326" s="266">
        <v>0</v>
      </c>
      <c r="F326" s="266">
        <v>0</v>
      </c>
      <c r="G326" s="266">
        <v>0</v>
      </c>
      <c r="H326" s="265">
        <f t="shared" si="9"/>
        <v>0</v>
      </c>
      <c r="I326" s="280"/>
      <c r="J326" s="280"/>
      <c r="K326" s="280"/>
      <c r="L326" s="280"/>
      <c r="M326" s="280"/>
      <c r="N326" s="280"/>
      <c r="O326" s="280"/>
    </row>
    <row r="327" spans="1:15" x14ac:dyDescent="0.25">
      <c r="A327" s="113" t="s">
        <v>874</v>
      </c>
      <c r="B327" s="266">
        <v>0</v>
      </c>
      <c r="C327" s="266">
        <v>0</v>
      </c>
      <c r="D327" s="266">
        <v>0</v>
      </c>
      <c r="E327" s="266">
        <v>0</v>
      </c>
      <c r="F327" s="266">
        <v>0</v>
      </c>
      <c r="G327" s="266">
        <v>0</v>
      </c>
      <c r="H327" s="265">
        <f t="shared" si="9"/>
        <v>0</v>
      </c>
      <c r="I327" s="280"/>
      <c r="J327" s="280"/>
      <c r="K327" s="280"/>
      <c r="L327" s="280"/>
      <c r="M327" s="280"/>
      <c r="N327" s="280"/>
      <c r="O327" s="280"/>
    </row>
    <row r="328" spans="1:15" x14ac:dyDescent="0.25">
      <c r="A328" s="113" t="s">
        <v>875</v>
      </c>
      <c r="B328" s="266">
        <v>0</v>
      </c>
      <c r="C328" s="266">
        <v>0</v>
      </c>
      <c r="D328" s="266">
        <v>0</v>
      </c>
      <c r="E328" s="266">
        <v>0</v>
      </c>
      <c r="F328" s="266">
        <v>0</v>
      </c>
      <c r="G328" s="266">
        <v>0</v>
      </c>
      <c r="H328" s="265">
        <f t="shared" si="9"/>
        <v>0</v>
      </c>
      <c r="I328" s="280"/>
      <c r="J328" s="280"/>
      <c r="K328" s="280"/>
      <c r="L328" s="280"/>
      <c r="M328" s="280"/>
      <c r="N328" s="280"/>
      <c r="O328" s="280"/>
    </row>
    <row r="329" spans="1:15" x14ac:dyDescent="0.25">
      <c r="A329" s="113" t="s">
        <v>876</v>
      </c>
      <c r="B329" s="266">
        <v>0</v>
      </c>
      <c r="C329" s="266">
        <v>0</v>
      </c>
      <c r="D329" s="266">
        <v>0</v>
      </c>
      <c r="E329" s="266">
        <v>0</v>
      </c>
      <c r="F329" s="266">
        <v>0</v>
      </c>
      <c r="G329" s="266">
        <v>0</v>
      </c>
      <c r="H329" s="265">
        <f t="shared" si="9"/>
        <v>0</v>
      </c>
      <c r="I329" s="280"/>
      <c r="J329" s="280"/>
      <c r="K329" s="280"/>
      <c r="L329" s="280"/>
      <c r="M329" s="280"/>
      <c r="N329" s="280"/>
      <c r="O329" s="280"/>
    </row>
    <row r="330" spans="1:15" x14ac:dyDescent="0.25">
      <c r="A330" s="113" t="s">
        <v>877</v>
      </c>
      <c r="B330" s="266">
        <v>0</v>
      </c>
      <c r="C330" s="266">
        <v>0</v>
      </c>
      <c r="D330" s="266">
        <v>0</v>
      </c>
      <c r="E330" s="266">
        <v>0</v>
      </c>
      <c r="F330" s="266">
        <v>0</v>
      </c>
      <c r="G330" s="266">
        <v>0</v>
      </c>
      <c r="H330" s="265">
        <f t="shared" si="9"/>
        <v>0</v>
      </c>
      <c r="I330" s="280"/>
      <c r="J330" s="280"/>
      <c r="K330" s="280"/>
      <c r="L330" s="280"/>
      <c r="M330" s="280"/>
      <c r="N330" s="280"/>
      <c r="O330" s="280"/>
    </row>
    <row r="331" spans="1:15" x14ac:dyDescent="0.25">
      <c r="A331" s="113" t="s">
        <v>878</v>
      </c>
      <c r="B331" s="266">
        <v>0</v>
      </c>
      <c r="C331" s="266">
        <v>0</v>
      </c>
      <c r="D331" s="266">
        <v>0</v>
      </c>
      <c r="E331" s="266">
        <v>0</v>
      </c>
      <c r="F331" s="266">
        <v>0</v>
      </c>
      <c r="G331" s="266">
        <v>0</v>
      </c>
      <c r="H331" s="265">
        <f t="shared" si="9"/>
        <v>0</v>
      </c>
      <c r="I331" s="280"/>
      <c r="J331" s="280"/>
      <c r="K331" s="280"/>
      <c r="L331" s="280"/>
      <c r="M331" s="280"/>
      <c r="N331" s="280"/>
      <c r="O331" s="280"/>
    </row>
    <row r="332" spans="1:15" x14ac:dyDescent="0.25">
      <c r="A332" s="113" t="s">
        <v>879</v>
      </c>
      <c r="B332" s="266">
        <v>0</v>
      </c>
      <c r="C332" s="266">
        <v>0</v>
      </c>
      <c r="D332" s="266">
        <v>0</v>
      </c>
      <c r="E332" s="266">
        <v>0</v>
      </c>
      <c r="F332" s="266">
        <v>0</v>
      </c>
      <c r="G332" s="266">
        <v>0</v>
      </c>
      <c r="H332" s="265">
        <f t="shared" si="9"/>
        <v>0</v>
      </c>
      <c r="I332" s="280"/>
      <c r="J332" s="280"/>
      <c r="K332" s="280"/>
      <c r="L332" s="280"/>
      <c r="M332" s="280"/>
      <c r="N332" s="280"/>
      <c r="O332" s="280"/>
    </row>
    <row r="333" spans="1:15" x14ac:dyDescent="0.25">
      <c r="A333" s="113" t="s">
        <v>880</v>
      </c>
      <c r="B333" s="266">
        <v>0</v>
      </c>
      <c r="C333" s="266">
        <v>0</v>
      </c>
      <c r="D333" s="266">
        <v>0</v>
      </c>
      <c r="E333" s="266">
        <v>0</v>
      </c>
      <c r="F333" s="266">
        <v>0</v>
      </c>
      <c r="G333" s="266">
        <v>0</v>
      </c>
      <c r="H333" s="265">
        <f t="shared" si="9"/>
        <v>0</v>
      </c>
      <c r="I333" s="280"/>
      <c r="J333" s="280"/>
      <c r="K333" s="280"/>
      <c r="L333" s="280"/>
      <c r="M333" s="280"/>
      <c r="N333" s="280"/>
      <c r="O333" s="280"/>
    </row>
    <row r="334" spans="1:15" x14ac:dyDescent="0.25">
      <c r="A334" s="113" t="s">
        <v>881</v>
      </c>
      <c r="B334" s="266">
        <v>0</v>
      </c>
      <c r="C334" s="266">
        <v>0</v>
      </c>
      <c r="D334" s="266">
        <v>0</v>
      </c>
      <c r="E334" s="266">
        <v>0</v>
      </c>
      <c r="F334" s="266">
        <v>0</v>
      </c>
      <c r="G334" s="266">
        <v>0</v>
      </c>
      <c r="H334" s="265">
        <f t="shared" si="9"/>
        <v>0</v>
      </c>
      <c r="I334" s="280"/>
      <c r="J334" s="280"/>
      <c r="K334" s="280"/>
      <c r="L334" s="280"/>
      <c r="M334" s="280"/>
      <c r="N334" s="280"/>
      <c r="O334" s="280"/>
    </row>
    <row r="335" spans="1:15" x14ac:dyDescent="0.25">
      <c r="A335" s="113" t="s">
        <v>882</v>
      </c>
      <c r="B335" s="266">
        <v>0</v>
      </c>
      <c r="C335" s="266">
        <v>0</v>
      </c>
      <c r="D335" s="266">
        <v>0</v>
      </c>
      <c r="E335" s="266">
        <v>0</v>
      </c>
      <c r="F335" s="266">
        <v>0</v>
      </c>
      <c r="G335" s="266">
        <v>0</v>
      </c>
      <c r="H335" s="265">
        <f t="shared" si="9"/>
        <v>0</v>
      </c>
      <c r="I335" s="280"/>
      <c r="J335" s="280"/>
      <c r="K335" s="280"/>
      <c r="L335" s="280"/>
      <c r="M335" s="280"/>
      <c r="N335" s="280"/>
      <c r="O335" s="280"/>
    </row>
    <row r="336" spans="1:15" x14ac:dyDescent="0.25">
      <c r="A336" s="113" t="s">
        <v>883</v>
      </c>
      <c r="B336" s="266">
        <v>0</v>
      </c>
      <c r="C336" s="266">
        <v>0</v>
      </c>
      <c r="D336" s="266">
        <v>0</v>
      </c>
      <c r="E336" s="266">
        <v>0</v>
      </c>
      <c r="F336" s="266">
        <v>0</v>
      </c>
      <c r="G336" s="266">
        <v>0</v>
      </c>
      <c r="H336" s="265">
        <f t="shared" si="9"/>
        <v>0</v>
      </c>
      <c r="I336" s="280"/>
      <c r="J336" s="280"/>
      <c r="K336" s="280"/>
      <c r="L336" s="280"/>
      <c r="M336" s="280"/>
      <c r="N336" s="280"/>
      <c r="O336" s="280"/>
    </row>
    <row r="337" spans="1:15" x14ac:dyDescent="0.25">
      <c r="A337" s="113" t="s">
        <v>884</v>
      </c>
      <c r="B337" s="266">
        <v>0</v>
      </c>
      <c r="C337" s="266">
        <v>0</v>
      </c>
      <c r="D337" s="266">
        <v>0</v>
      </c>
      <c r="E337" s="266">
        <v>0</v>
      </c>
      <c r="F337" s="266">
        <v>0</v>
      </c>
      <c r="G337" s="266">
        <v>0</v>
      </c>
      <c r="H337" s="265">
        <f t="shared" si="9"/>
        <v>0</v>
      </c>
      <c r="I337" s="280"/>
      <c r="J337" s="280"/>
      <c r="K337" s="280"/>
      <c r="L337" s="280"/>
      <c r="M337" s="280"/>
      <c r="N337" s="280"/>
      <c r="O337" s="280"/>
    </row>
    <row r="338" spans="1:15" x14ac:dyDescent="0.25">
      <c r="A338" s="113" t="s">
        <v>885</v>
      </c>
      <c r="B338" s="266">
        <v>0</v>
      </c>
      <c r="C338" s="266">
        <v>0</v>
      </c>
      <c r="D338" s="266">
        <v>0</v>
      </c>
      <c r="E338" s="266">
        <v>0</v>
      </c>
      <c r="F338" s="266">
        <v>0</v>
      </c>
      <c r="G338" s="266">
        <v>0</v>
      </c>
      <c r="H338" s="265">
        <f t="shared" si="9"/>
        <v>0</v>
      </c>
      <c r="I338" s="280"/>
      <c r="J338" s="280"/>
      <c r="K338" s="280"/>
      <c r="L338" s="280"/>
      <c r="M338" s="280"/>
      <c r="N338" s="280"/>
      <c r="O338" s="280"/>
    </row>
    <row r="339" spans="1:15" x14ac:dyDescent="0.25">
      <c r="A339" s="113" t="s">
        <v>928</v>
      </c>
      <c r="B339" s="266">
        <v>0</v>
      </c>
      <c r="C339" s="266">
        <v>0</v>
      </c>
      <c r="D339" s="266">
        <v>0</v>
      </c>
      <c r="E339" s="266">
        <v>0</v>
      </c>
      <c r="F339" s="266">
        <v>0</v>
      </c>
      <c r="G339" s="266">
        <v>0</v>
      </c>
      <c r="H339" s="265">
        <f t="shared" si="9"/>
        <v>0</v>
      </c>
      <c r="I339" s="280"/>
      <c r="J339" s="280"/>
      <c r="K339" s="280"/>
      <c r="L339" s="280"/>
      <c r="M339" s="280"/>
      <c r="N339" s="280"/>
      <c r="O339" s="280"/>
    </row>
    <row r="340" spans="1:15" x14ac:dyDescent="0.25">
      <c r="A340" s="113" t="s">
        <v>929</v>
      </c>
      <c r="B340" s="266">
        <v>0</v>
      </c>
      <c r="C340" s="266">
        <v>0</v>
      </c>
      <c r="D340" s="266">
        <v>0</v>
      </c>
      <c r="E340" s="266">
        <v>0</v>
      </c>
      <c r="F340" s="266">
        <v>0</v>
      </c>
      <c r="G340" s="266">
        <v>0</v>
      </c>
      <c r="H340" s="265">
        <f t="shared" si="9"/>
        <v>0</v>
      </c>
      <c r="I340" s="280"/>
      <c r="J340" s="280"/>
      <c r="K340" s="280"/>
      <c r="L340" s="280"/>
      <c r="M340" s="280"/>
      <c r="N340" s="280"/>
      <c r="O340" s="280"/>
    </row>
    <row r="341" spans="1:15" x14ac:dyDescent="0.25">
      <c r="A341" s="113" t="s">
        <v>930</v>
      </c>
      <c r="B341" s="266">
        <v>0</v>
      </c>
      <c r="C341" s="266">
        <v>0</v>
      </c>
      <c r="D341" s="266">
        <v>0</v>
      </c>
      <c r="E341" s="266">
        <v>0</v>
      </c>
      <c r="F341" s="266">
        <v>0</v>
      </c>
      <c r="G341" s="266">
        <v>0</v>
      </c>
      <c r="H341" s="265">
        <f t="shared" si="9"/>
        <v>0</v>
      </c>
      <c r="I341" s="280"/>
      <c r="J341" s="280"/>
      <c r="K341" s="280"/>
      <c r="L341" s="280"/>
      <c r="M341" s="280"/>
      <c r="N341" s="280"/>
      <c r="O341" s="280"/>
    </row>
    <row r="342" spans="1:15" x14ac:dyDescent="0.25">
      <c r="A342" s="113" t="s">
        <v>931</v>
      </c>
      <c r="B342" s="266">
        <v>0</v>
      </c>
      <c r="C342" s="266">
        <v>0</v>
      </c>
      <c r="D342" s="266">
        <v>0</v>
      </c>
      <c r="E342" s="266">
        <v>0</v>
      </c>
      <c r="F342" s="266">
        <v>0</v>
      </c>
      <c r="G342" s="266">
        <v>0</v>
      </c>
      <c r="H342" s="265">
        <f t="shared" si="9"/>
        <v>0</v>
      </c>
      <c r="I342" s="280"/>
      <c r="J342" s="280"/>
      <c r="K342" s="280"/>
      <c r="L342" s="280"/>
      <c r="M342" s="280"/>
      <c r="N342" s="280"/>
      <c r="O342" s="280"/>
    </row>
    <row r="343" spans="1:15" x14ac:dyDescent="0.25">
      <c r="A343" s="113" t="s">
        <v>932</v>
      </c>
      <c r="B343" s="266">
        <v>0</v>
      </c>
      <c r="C343" s="266">
        <v>0</v>
      </c>
      <c r="D343" s="266">
        <v>0</v>
      </c>
      <c r="E343" s="266">
        <v>0</v>
      </c>
      <c r="F343" s="266">
        <v>0</v>
      </c>
      <c r="G343" s="266">
        <v>0</v>
      </c>
      <c r="H343" s="265">
        <f t="shared" si="9"/>
        <v>0</v>
      </c>
      <c r="I343" s="280"/>
      <c r="J343" s="280"/>
      <c r="K343" s="280"/>
      <c r="L343" s="280"/>
      <c r="M343" s="280"/>
      <c r="N343" s="280"/>
      <c r="O343" s="280"/>
    </row>
    <row r="344" spans="1:15" x14ac:dyDescent="0.25">
      <c r="A344" s="113" t="s">
        <v>933</v>
      </c>
      <c r="B344" s="266">
        <v>0</v>
      </c>
      <c r="C344" s="266">
        <v>0</v>
      </c>
      <c r="D344" s="266">
        <v>0</v>
      </c>
      <c r="E344" s="266">
        <v>0</v>
      </c>
      <c r="F344" s="266">
        <v>0</v>
      </c>
      <c r="G344" s="266">
        <v>0</v>
      </c>
      <c r="H344" s="265">
        <f t="shared" si="9"/>
        <v>0</v>
      </c>
      <c r="I344" s="280"/>
      <c r="J344" s="280"/>
      <c r="K344" s="280"/>
      <c r="L344" s="280"/>
      <c r="M344" s="280"/>
      <c r="N344" s="280"/>
      <c r="O344" s="280"/>
    </row>
    <row r="345" spans="1:15" x14ac:dyDescent="0.25">
      <c r="A345" s="113" t="s">
        <v>934</v>
      </c>
      <c r="B345" s="266">
        <v>0</v>
      </c>
      <c r="C345" s="266">
        <v>0</v>
      </c>
      <c r="D345" s="266">
        <v>0</v>
      </c>
      <c r="E345" s="266">
        <v>0</v>
      </c>
      <c r="F345" s="266">
        <v>0</v>
      </c>
      <c r="G345" s="266">
        <v>0</v>
      </c>
      <c r="H345" s="265">
        <f t="shared" si="9"/>
        <v>0</v>
      </c>
      <c r="I345" s="280"/>
      <c r="J345" s="280"/>
      <c r="K345" s="280"/>
      <c r="L345" s="280"/>
      <c r="M345" s="280"/>
      <c r="N345" s="280"/>
      <c r="O345" s="280"/>
    </row>
    <row r="346" spans="1:15" x14ac:dyDescent="0.25">
      <c r="A346" s="113" t="s">
        <v>935</v>
      </c>
      <c r="B346" s="266">
        <v>0</v>
      </c>
      <c r="C346" s="266">
        <v>0</v>
      </c>
      <c r="D346" s="266">
        <v>0</v>
      </c>
      <c r="E346" s="266">
        <v>0</v>
      </c>
      <c r="F346" s="266">
        <v>0</v>
      </c>
      <c r="G346" s="266">
        <v>0</v>
      </c>
      <c r="H346" s="265">
        <f t="shared" si="9"/>
        <v>0</v>
      </c>
      <c r="I346" s="280"/>
      <c r="J346" s="280"/>
      <c r="K346" s="280"/>
      <c r="L346" s="280"/>
      <c r="M346" s="280"/>
      <c r="N346" s="280"/>
      <c r="O346" s="280"/>
    </row>
    <row r="347" spans="1:15" x14ac:dyDescent="0.25">
      <c r="A347" s="113" t="s">
        <v>936</v>
      </c>
      <c r="B347" s="266">
        <v>0</v>
      </c>
      <c r="C347" s="266">
        <v>0</v>
      </c>
      <c r="D347" s="266">
        <v>0</v>
      </c>
      <c r="E347" s="266">
        <v>0</v>
      </c>
      <c r="F347" s="266">
        <v>0</v>
      </c>
      <c r="G347" s="266">
        <v>0</v>
      </c>
      <c r="H347" s="265">
        <f t="shared" si="9"/>
        <v>0</v>
      </c>
      <c r="I347" s="280"/>
      <c r="J347" s="280"/>
      <c r="K347" s="280"/>
      <c r="L347" s="280"/>
      <c r="M347" s="280"/>
      <c r="N347" s="280"/>
      <c r="O347" s="280"/>
    </row>
    <row r="348" spans="1:15" x14ac:dyDescent="0.25">
      <c r="A348" s="113" t="s">
        <v>937</v>
      </c>
      <c r="B348" s="266">
        <v>0</v>
      </c>
      <c r="C348" s="266">
        <v>0</v>
      </c>
      <c r="D348" s="266">
        <v>0</v>
      </c>
      <c r="E348" s="266">
        <v>0</v>
      </c>
      <c r="F348" s="266">
        <v>0</v>
      </c>
      <c r="G348" s="266">
        <v>0</v>
      </c>
      <c r="H348" s="265">
        <f t="shared" si="9"/>
        <v>0</v>
      </c>
      <c r="I348" s="280"/>
      <c r="J348" s="280"/>
      <c r="K348" s="280"/>
      <c r="L348" s="280"/>
      <c r="M348" s="280"/>
      <c r="N348" s="280"/>
      <c r="O348" s="280"/>
    </row>
    <row r="349" spans="1:15" x14ac:dyDescent="0.25">
      <c r="A349" s="113" t="s">
        <v>938</v>
      </c>
      <c r="B349" s="266">
        <v>0</v>
      </c>
      <c r="C349" s="266">
        <v>0</v>
      </c>
      <c r="D349" s="266">
        <v>0</v>
      </c>
      <c r="E349" s="266">
        <v>0</v>
      </c>
      <c r="F349" s="266">
        <v>0</v>
      </c>
      <c r="G349" s="266">
        <v>0</v>
      </c>
      <c r="H349" s="265">
        <f t="shared" si="9"/>
        <v>0</v>
      </c>
      <c r="I349" s="280"/>
      <c r="J349" s="280"/>
      <c r="K349" s="280"/>
      <c r="L349" s="280"/>
      <c r="M349" s="280"/>
      <c r="N349" s="280"/>
      <c r="O349" s="280"/>
    </row>
    <row r="350" spans="1:15" x14ac:dyDescent="0.25">
      <c r="A350" s="113" t="s">
        <v>939</v>
      </c>
      <c r="B350" s="266">
        <v>0</v>
      </c>
      <c r="C350" s="266">
        <v>0</v>
      </c>
      <c r="D350" s="266">
        <v>0</v>
      </c>
      <c r="E350" s="266">
        <v>0</v>
      </c>
      <c r="F350" s="266">
        <v>0</v>
      </c>
      <c r="G350" s="266">
        <v>0</v>
      </c>
      <c r="H350" s="265">
        <f t="shared" si="9"/>
        <v>0</v>
      </c>
      <c r="I350" s="280"/>
      <c r="J350" s="280"/>
      <c r="K350" s="280"/>
      <c r="L350" s="280"/>
      <c r="M350" s="280"/>
      <c r="N350" s="280"/>
      <c r="O350" s="280"/>
    </row>
    <row r="351" spans="1:15" x14ac:dyDescent="0.25">
      <c r="A351" s="113" t="s">
        <v>940</v>
      </c>
      <c r="B351" s="266">
        <v>0</v>
      </c>
      <c r="C351" s="266">
        <v>0</v>
      </c>
      <c r="D351" s="266">
        <v>0</v>
      </c>
      <c r="E351" s="266">
        <v>0</v>
      </c>
      <c r="F351" s="266">
        <v>0</v>
      </c>
      <c r="G351" s="266">
        <v>0</v>
      </c>
      <c r="H351" s="265">
        <f t="shared" si="9"/>
        <v>0</v>
      </c>
      <c r="I351" s="280"/>
      <c r="J351" s="280"/>
      <c r="K351" s="280"/>
      <c r="L351" s="280"/>
      <c r="M351" s="280"/>
      <c r="N351" s="280"/>
      <c r="O351" s="280"/>
    </row>
    <row r="352" spans="1:15" x14ac:dyDescent="0.25">
      <c r="A352" s="113" t="s">
        <v>941</v>
      </c>
      <c r="B352" s="266">
        <v>0</v>
      </c>
      <c r="C352" s="266">
        <v>0</v>
      </c>
      <c r="D352" s="266">
        <v>0</v>
      </c>
      <c r="E352" s="266">
        <v>0</v>
      </c>
      <c r="F352" s="266">
        <v>0</v>
      </c>
      <c r="G352" s="266">
        <v>0</v>
      </c>
      <c r="H352" s="265">
        <f t="shared" si="9"/>
        <v>0</v>
      </c>
      <c r="I352" s="280"/>
      <c r="J352" s="280"/>
      <c r="K352" s="280"/>
      <c r="L352" s="280"/>
      <c r="M352" s="280"/>
      <c r="N352" s="280"/>
      <c r="O352" s="280"/>
    </row>
    <row r="353" spans="1:15" x14ac:dyDescent="0.25">
      <c r="A353" s="113" t="s">
        <v>942</v>
      </c>
      <c r="B353" s="266">
        <v>0</v>
      </c>
      <c r="C353" s="266">
        <v>0</v>
      </c>
      <c r="D353" s="266">
        <v>0</v>
      </c>
      <c r="E353" s="266">
        <v>0</v>
      </c>
      <c r="F353" s="266">
        <v>0</v>
      </c>
      <c r="G353" s="266">
        <v>0</v>
      </c>
      <c r="H353" s="265">
        <f t="shared" si="9"/>
        <v>0</v>
      </c>
      <c r="I353" s="280"/>
      <c r="J353" s="280"/>
      <c r="K353" s="280"/>
      <c r="L353" s="280"/>
      <c r="M353" s="280"/>
      <c r="N353" s="280"/>
      <c r="O353" s="280"/>
    </row>
    <row r="354" spans="1:15" x14ac:dyDescent="0.25">
      <c r="A354" s="113" t="s">
        <v>949</v>
      </c>
      <c r="B354" s="266">
        <v>0</v>
      </c>
      <c r="C354" s="266">
        <v>0</v>
      </c>
      <c r="D354" s="266">
        <v>0</v>
      </c>
      <c r="E354" s="266">
        <v>0</v>
      </c>
      <c r="F354" s="266">
        <v>0</v>
      </c>
      <c r="G354" s="266">
        <v>0</v>
      </c>
      <c r="H354" s="265">
        <f t="shared" si="9"/>
        <v>0</v>
      </c>
      <c r="I354" s="280"/>
      <c r="J354" s="280"/>
      <c r="K354" s="280"/>
      <c r="L354" s="280"/>
      <c r="M354" s="280"/>
      <c r="N354" s="280"/>
      <c r="O354" s="280"/>
    </row>
    <row r="355" spans="1:15" x14ac:dyDescent="0.25">
      <c r="A355" s="113" t="s">
        <v>950</v>
      </c>
      <c r="B355" s="266">
        <v>0</v>
      </c>
      <c r="C355" s="266">
        <v>0</v>
      </c>
      <c r="D355" s="266">
        <v>0</v>
      </c>
      <c r="E355" s="266">
        <v>0</v>
      </c>
      <c r="F355" s="266">
        <v>0</v>
      </c>
      <c r="G355" s="266">
        <v>0</v>
      </c>
      <c r="H355" s="265">
        <f t="shared" si="9"/>
        <v>0</v>
      </c>
      <c r="I355" s="280"/>
      <c r="J355" s="280"/>
      <c r="K355" s="280"/>
      <c r="L355" s="280"/>
      <c r="M355" s="280"/>
      <c r="N355" s="280"/>
      <c r="O355" s="280"/>
    </row>
    <row r="356" spans="1:15" x14ac:dyDescent="0.25">
      <c r="A356" s="113" t="s">
        <v>943</v>
      </c>
      <c r="B356" s="266">
        <v>0</v>
      </c>
      <c r="C356" s="266">
        <v>0</v>
      </c>
      <c r="D356" s="266">
        <v>0</v>
      </c>
      <c r="E356" s="266">
        <v>0</v>
      </c>
      <c r="F356" s="266">
        <v>0</v>
      </c>
      <c r="G356" s="266">
        <v>0</v>
      </c>
      <c r="H356" s="265">
        <f t="shared" si="9"/>
        <v>0</v>
      </c>
      <c r="I356" s="280"/>
      <c r="J356" s="280"/>
      <c r="K356" s="280"/>
      <c r="L356" s="280"/>
      <c r="M356" s="280"/>
      <c r="N356" s="280"/>
      <c r="O356" s="280"/>
    </row>
    <row r="357" spans="1:15" x14ac:dyDescent="0.25">
      <c r="A357" s="113" t="s">
        <v>951</v>
      </c>
      <c r="B357" s="266">
        <v>0</v>
      </c>
      <c r="C357" s="266">
        <v>0</v>
      </c>
      <c r="D357" s="266">
        <v>0</v>
      </c>
      <c r="E357" s="266">
        <v>0</v>
      </c>
      <c r="F357" s="266">
        <v>0</v>
      </c>
      <c r="G357" s="266">
        <v>0</v>
      </c>
      <c r="H357" s="265">
        <f t="shared" si="9"/>
        <v>0</v>
      </c>
      <c r="I357" s="280"/>
      <c r="J357" s="280"/>
      <c r="K357" s="280"/>
      <c r="L357" s="280"/>
      <c r="M357" s="280"/>
      <c r="N357" s="280"/>
      <c r="O357" s="280"/>
    </row>
    <row r="358" spans="1:15" x14ac:dyDescent="0.25">
      <c r="A358" s="113" t="s">
        <v>944</v>
      </c>
      <c r="B358" s="266">
        <v>0</v>
      </c>
      <c r="C358" s="266">
        <v>0</v>
      </c>
      <c r="D358" s="266">
        <v>0</v>
      </c>
      <c r="E358" s="266">
        <v>0</v>
      </c>
      <c r="F358" s="266">
        <v>0</v>
      </c>
      <c r="G358" s="266">
        <v>0</v>
      </c>
      <c r="H358" s="265">
        <f t="shared" si="9"/>
        <v>0</v>
      </c>
      <c r="I358" s="280"/>
      <c r="J358" s="280"/>
      <c r="K358" s="280"/>
      <c r="L358" s="280"/>
      <c r="M358" s="280"/>
      <c r="N358" s="280"/>
      <c r="O358" s="280"/>
    </row>
    <row r="359" spans="1:15" x14ac:dyDescent="0.25">
      <c r="A359" s="113" t="s">
        <v>945</v>
      </c>
      <c r="B359" s="266">
        <v>0</v>
      </c>
      <c r="C359" s="266">
        <v>0</v>
      </c>
      <c r="D359" s="266">
        <v>0</v>
      </c>
      <c r="E359" s="266">
        <v>0</v>
      </c>
      <c r="F359" s="266">
        <v>0</v>
      </c>
      <c r="G359" s="266">
        <v>0</v>
      </c>
      <c r="H359" s="265">
        <f t="shared" si="9"/>
        <v>0</v>
      </c>
      <c r="I359" s="280"/>
      <c r="J359" s="280"/>
      <c r="K359" s="280"/>
      <c r="L359" s="280"/>
      <c r="M359" s="280"/>
      <c r="N359" s="280"/>
      <c r="O359" s="280"/>
    </row>
    <row r="360" spans="1:15" x14ac:dyDescent="0.25">
      <c r="A360" s="113" t="s">
        <v>946</v>
      </c>
      <c r="B360" s="266">
        <v>0</v>
      </c>
      <c r="C360" s="266">
        <v>0</v>
      </c>
      <c r="D360" s="266">
        <v>0</v>
      </c>
      <c r="E360" s="266">
        <v>0</v>
      </c>
      <c r="F360" s="266">
        <v>0</v>
      </c>
      <c r="G360" s="266">
        <v>0</v>
      </c>
      <c r="H360" s="265">
        <f t="shared" si="9"/>
        <v>0</v>
      </c>
      <c r="I360" s="280"/>
      <c r="J360" s="280"/>
      <c r="K360" s="280"/>
      <c r="L360" s="280"/>
      <c r="M360" s="280"/>
      <c r="N360" s="280"/>
      <c r="O360" s="280"/>
    </row>
    <row r="361" spans="1:15" x14ac:dyDescent="0.25">
      <c r="A361" s="113" t="s">
        <v>947</v>
      </c>
      <c r="B361" s="266">
        <v>0</v>
      </c>
      <c r="C361" s="266">
        <v>0</v>
      </c>
      <c r="D361" s="266">
        <v>0</v>
      </c>
      <c r="E361" s="266">
        <v>0</v>
      </c>
      <c r="F361" s="266">
        <v>0</v>
      </c>
      <c r="G361" s="266">
        <v>0</v>
      </c>
      <c r="H361" s="265">
        <f t="shared" si="9"/>
        <v>0</v>
      </c>
      <c r="I361" s="280"/>
      <c r="J361" s="280"/>
      <c r="K361" s="280"/>
      <c r="L361" s="280"/>
      <c r="M361" s="280"/>
      <c r="N361" s="280"/>
      <c r="O361" s="280"/>
    </row>
    <row r="362" spans="1:15" x14ac:dyDescent="0.25">
      <c r="A362" s="113" t="s">
        <v>948</v>
      </c>
      <c r="B362" s="266">
        <v>0</v>
      </c>
      <c r="C362" s="266">
        <v>0</v>
      </c>
      <c r="D362" s="266">
        <v>0</v>
      </c>
      <c r="E362" s="266">
        <v>0</v>
      </c>
      <c r="F362" s="266">
        <v>0</v>
      </c>
      <c r="G362" s="266">
        <v>0</v>
      </c>
      <c r="H362" s="265">
        <f t="shared" si="9"/>
        <v>0</v>
      </c>
      <c r="I362" s="280"/>
      <c r="J362" s="280"/>
      <c r="K362" s="280"/>
      <c r="L362" s="280"/>
      <c r="M362" s="280"/>
      <c r="N362" s="280"/>
      <c r="O362" s="280"/>
    </row>
    <row r="363" spans="1:15" x14ac:dyDescent="0.25">
      <c r="A363" s="113" t="s">
        <v>952</v>
      </c>
      <c r="B363" s="266">
        <v>51800000</v>
      </c>
      <c r="C363" s="266">
        <v>51800000</v>
      </c>
      <c r="D363" s="266">
        <v>51800000</v>
      </c>
      <c r="E363" s="266">
        <v>51800000</v>
      </c>
      <c r="F363" s="266">
        <v>51800000</v>
      </c>
      <c r="G363" s="266">
        <v>51800000</v>
      </c>
      <c r="H363" s="265">
        <f t="shared" si="9"/>
        <v>310800000</v>
      </c>
      <c r="I363" s="280"/>
      <c r="J363" s="280"/>
      <c r="K363" s="280"/>
      <c r="L363" s="280"/>
      <c r="M363" s="280"/>
      <c r="N363" s="280"/>
      <c r="O363" s="280"/>
    </row>
    <row r="364" spans="1:15" x14ac:dyDescent="0.25">
      <c r="A364" s="113" t="s">
        <v>953</v>
      </c>
      <c r="B364" s="266">
        <v>0</v>
      </c>
      <c r="C364" s="266">
        <v>0</v>
      </c>
      <c r="D364" s="266">
        <v>0</v>
      </c>
      <c r="E364" s="266">
        <v>0</v>
      </c>
      <c r="F364" s="266">
        <v>0</v>
      </c>
      <c r="G364" s="266">
        <v>0</v>
      </c>
      <c r="H364" s="265">
        <f t="shared" si="9"/>
        <v>0</v>
      </c>
      <c r="I364" s="280"/>
      <c r="J364" s="280"/>
      <c r="K364" s="280"/>
      <c r="L364" s="280"/>
      <c r="M364" s="280"/>
      <c r="N364" s="280"/>
      <c r="O364" s="280"/>
    </row>
    <row r="365" spans="1:15" x14ac:dyDescent="0.25">
      <c r="A365" s="113" t="s">
        <v>954</v>
      </c>
      <c r="B365" s="266">
        <v>0</v>
      </c>
      <c r="C365" s="266">
        <v>0</v>
      </c>
      <c r="D365" s="266">
        <v>0</v>
      </c>
      <c r="E365" s="266">
        <v>0</v>
      </c>
      <c r="F365" s="266">
        <v>0</v>
      </c>
      <c r="G365" s="266">
        <v>0</v>
      </c>
      <c r="H365" s="265">
        <f t="shared" si="9"/>
        <v>0</v>
      </c>
      <c r="I365" s="280"/>
      <c r="J365" s="280"/>
      <c r="K365" s="280"/>
      <c r="L365" s="280"/>
      <c r="M365" s="280"/>
      <c r="N365" s="280"/>
      <c r="O365" s="280"/>
    </row>
    <row r="366" spans="1:15" x14ac:dyDescent="0.25">
      <c r="A366" s="113" t="s">
        <v>955</v>
      </c>
      <c r="B366" s="266">
        <v>0</v>
      </c>
      <c r="C366" s="266">
        <v>0</v>
      </c>
      <c r="D366" s="266">
        <v>0</v>
      </c>
      <c r="E366" s="266">
        <v>0</v>
      </c>
      <c r="F366" s="266">
        <v>0</v>
      </c>
      <c r="G366" s="266">
        <v>0</v>
      </c>
      <c r="H366" s="265">
        <f t="shared" si="9"/>
        <v>0</v>
      </c>
      <c r="I366" s="280"/>
      <c r="J366" s="280"/>
      <c r="K366" s="280"/>
      <c r="L366" s="280"/>
      <c r="M366" s="280"/>
      <c r="N366" s="280"/>
      <c r="O366" s="280"/>
    </row>
    <row r="367" spans="1:15" x14ac:dyDescent="0.25">
      <c r="A367" s="113" t="s">
        <v>956</v>
      </c>
      <c r="B367" s="266">
        <v>0</v>
      </c>
      <c r="C367" s="266">
        <v>0</v>
      </c>
      <c r="D367" s="266">
        <v>0</v>
      </c>
      <c r="E367" s="266">
        <v>0</v>
      </c>
      <c r="F367" s="266">
        <v>0</v>
      </c>
      <c r="G367" s="266">
        <v>0</v>
      </c>
      <c r="H367" s="265">
        <f t="shared" si="9"/>
        <v>0</v>
      </c>
      <c r="I367" s="280"/>
      <c r="J367" s="280"/>
      <c r="K367" s="280"/>
      <c r="L367" s="280"/>
      <c r="M367" s="280"/>
      <c r="N367" s="280"/>
      <c r="O367" s="280"/>
    </row>
    <row r="368" spans="1:15" x14ac:dyDescent="0.25">
      <c r="A368" s="113" t="s">
        <v>957</v>
      </c>
      <c r="B368" s="266">
        <v>0</v>
      </c>
      <c r="C368" s="266">
        <v>0</v>
      </c>
      <c r="D368" s="266">
        <v>0</v>
      </c>
      <c r="E368" s="266">
        <v>0</v>
      </c>
      <c r="F368" s="266">
        <v>0</v>
      </c>
      <c r="G368" s="266">
        <v>0</v>
      </c>
      <c r="H368" s="265">
        <f t="shared" si="9"/>
        <v>0</v>
      </c>
      <c r="I368" s="280"/>
      <c r="J368" s="280"/>
      <c r="K368" s="280"/>
      <c r="L368" s="280"/>
      <c r="M368" s="280"/>
      <c r="N368" s="280"/>
      <c r="O368" s="280"/>
    </row>
    <row r="369" spans="1:15" x14ac:dyDescent="0.25">
      <c r="A369" s="113" t="s">
        <v>958</v>
      </c>
      <c r="B369" s="266">
        <v>0</v>
      </c>
      <c r="C369" s="266">
        <v>0</v>
      </c>
      <c r="D369" s="266">
        <v>0</v>
      </c>
      <c r="E369" s="266">
        <v>0</v>
      </c>
      <c r="F369" s="266">
        <v>0</v>
      </c>
      <c r="G369" s="266">
        <v>0</v>
      </c>
      <c r="H369" s="265">
        <f t="shared" si="9"/>
        <v>0</v>
      </c>
      <c r="I369" s="280"/>
      <c r="J369" s="280"/>
      <c r="K369" s="280"/>
      <c r="L369" s="280"/>
      <c r="M369" s="280"/>
      <c r="N369" s="280"/>
      <c r="O369" s="280"/>
    </row>
    <row r="370" spans="1:15" x14ac:dyDescent="0.25">
      <c r="A370" s="113" t="s">
        <v>959</v>
      </c>
      <c r="B370" s="266">
        <v>35000</v>
      </c>
      <c r="C370" s="266"/>
      <c r="D370" s="266">
        <v>200000</v>
      </c>
      <c r="E370" s="266"/>
      <c r="F370" s="266"/>
      <c r="G370" s="266"/>
      <c r="H370" s="265">
        <f t="shared" si="9"/>
        <v>235000</v>
      </c>
      <c r="I370" s="280"/>
      <c r="J370" s="280"/>
      <c r="K370" s="280"/>
      <c r="L370" s="280"/>
      <c r="M370" s="280"/>
      <c r="N370" s="280"/>
      <c r="O370" s="280"/>
    </row>
    <row r="371" spans="1:15" x14ac:dyDescent="0.25">
      <c r="A371" s="113" t="s">
        <v>970</v>
      </c>
      <c r="B371" s="266">
        <v>60000</v>
      </c>
      <c r="C371" s="266">
        <v>800000</v>
      </c>
      <c r="D371" s="266"/>
      <c r="E371" s="266"/>
      <c r="F371" s="266"/>
      <c r="G371" s="266"/>
      <c r="H371" s="265">
        <f t="shared" si="9"/>
        <v>860000</v>
      </c>
      <c r="I371" s="280"/>
      <c r="J371" s="280"/>
      <c r="K371" s="280"/>
      <c r="L371" s="280"/>
      <c r="M371" s="280"/>
      <c r="N371" s="280"/>
      <c r="O371" s="280"/>
    </row>
    <row r="372" spans="1:15" x14ac:dyDescent="0.25">
      <c r="A372" s="113" t="s">
        <v>972</v>
      </c>
      <c r="B372" s="266">
        <v>60000</v>
      </c>
      <c r="C372" s="266"/>
      <c r="D372" s="266">
        <v>800000</v>
      </c>
      <c r="E372" s="266"/>
      <c r="F372" s="266"/>
      <c r="G372" s="266"/>
      <c r="H372" s="265">
        <f t="shared" si="9"/>
        <v>860000</v>
      </c>
      <c r="I372" s="280"/>
      <c r="J372" s="280"/>
      <c r="K372" s="280"/>
      <c r="L372" s="280"/>
      <c r="M372" s="280"/>
      <c r="N372" s="280"/>
      <c r="O372" s="280"/>
    </row>
    <row r="373" spans="1:15" x14ac:dyDescent="0.25">
      <c r="A373" s="113" t="s">
        <v>973</v>
      </c>
      <c r="B373" s="266">
        <v>50000</v>
      </c>
      <c r="C373" s="266"/>
      <c r="D373" s="266">
        <v>1000000</v>
      </c>
      <c r="E373" s="266"/>
      <c r="F373" s="266"/>
      <c r="G373" s="266"/>
      <c r="H373" s="265">
        <f t="shared" si="9"/>
        <v>1050000</v>
      </c>
      <c r="I373" s="280"/>
      <c r="J373" s="280"/>
      <c r="K373" s="280"/>
      <c r="L373" s="280"/>
      <c r="M373" s="280"/>
      <c r="N373" s="280"/>
      <c r="O373" s="280"/>
    </row>
    <row r="374" spans="1:15" x14ac:dyDescent="0.25">
      <c r="A374" s="113" t="s">
        <v>974</v>
      </c>
      <c r="B374" s="266"/>
      <c r="C374" s="266"/>
      <c r="D374" s="266"/>
      <c r="E374" s="266">
        <v>200000</v>
      </c>
      <c r="F374" s="266">
        <v>1600000</v>
      </c>
      <c r="G374" s="266"/>
      <c r="H374" s="265">
        <f t="shared" si="9"/>
        <v>1800000</v>
      </c>
      <c r="I374" s="280"/>
      <c r="J374" s="280"/>
      <c r="K374" s="280"/>
      <c r="L374" s="280"/>
      <c r="M374" s="280"/>
      <c r="N374" s="280"/>
      <c r="O374" s="280"/>
    </row>
    <row r="375" spans="1:15" x14ac:dyDescent="0.25">
      <c r="A375" s="113" t="s">
        <v>975</v>
      </c>
      <c r="B375" s="266">
        <v>50000</v>
      </c>
      <c r="C375" s="266">
        <v>250000</v>
      </c>
      <c r="D375" s="266"/>
      <c r="E375" s="266"/>
      <c r="F375" s="266"/>
      <c r="G375" s="266"/>
      <c r="H375" s="265">
        <f t="shared" si="9"/>
        <v>300000</v>
      </c>
      <c r="I375" s="280"/>
      <c r="J375" s="280"/>
      <c r="K375" s="280"/>
      <c r="L375" s="280"/>
      <c r="M375" s="280"/>
      <c r="N375" s="280"/>
      <c r="O375" s="280"/>
    </row>
    <row r="376" spans="1:15" x14ac:dyDescent="0.25">
      <c r="A376" s="113" t="s">
        <v>976</v>
      </c>
      <c r="B376" s="266">
        <v>500000</v>
      </c>
      <c r="C376" s="266">
        <v>500000</v>
      </c>
      <c r="D376" s="266"/>
      <c r="E376" s="266"/>
      <c r="F376" s="266"/>
      <c r="G376" s="266"/>
      <c r="H376" s="265">
        <f t="shared" si="9"/>
        <v>1000000</v>
      </c>
      <c r="I376" s="280"/>
      <c r="J376" s="280"/>
      <c r="K376" s="280"/>
      <c r="L376" s="280"/>
      <c r="M376" s="280"/>
      <c r="N376" s="280"/>
      <c r="O376" s="280"/>
    </row>
    <row r="377" spans="1:15" x14ac:dyDescent="0.25">
      <c r="A377" s="113" t="s">
        <v>977</v>
      </c>
      <c r="B377" s="266">
        <v>85000</v>
      </c>
      <c r="C377" s="266">
        <v>350000</v>
      </c>
      <c r="D377" s="266"/>
      <c r="E377" s="266"/>
      <c r="F377" s="266"/>
      <c r="G377" s="266"/>
      <c r="H377" s="265">
        <f t="shared" si="9"/>
        <v>435000</v>
      </c>
      <c r="I377" s="280"/>
      <c r="J377" s="280"/>
      <c r="K377" s="280"/>
      <c r="L377" s="280"/>
      <c r="M377" s="280"/>
      <c r="N377" s="280"/>
      <c r="O377" s="280"/>
    </row>
    <row r="378" spans="1:15" x14ac:dyDescent="0.25">
      <c r="A378" s="113" t="s">
        <v>978</v>
      </c>
      <c r="B378" s="266">
        <v>100000</v>
      </c>
      <c r="C378" s="266"/>
      <c r="D378" s="266">
        <v>1000000</v>
      </c>
      <c r="E378" s="266"/>
      <c r="F378" s="266"/>
      <c r="G378" s="266"/>
      <c r="H378" s="265">
        <f t="shared" si="9"/>
        <v>1100000</v>
      </c>
      <c r="I378" s="280"/>
      <c r="J378" s="280"/>
      <c r="K378" s="280"/>
      <c r="L378" s="280"/>
      <c r="M378" s="280"/>
      <c r="N378" s="280"/>
      <c r="O378" s="280"/>
    </row>
    <row r="379" spans="1:15" x14ac:dyDescent="0.25">
      <c r="A379" s="113" t="s">
        <v>960</v>
      </c>
      <c r="B379" s="266">
        <v>50000</v>
      </c>
      <c r="C379" s="266">
        <v>500000</v>
      </c>
      <c r="D379" s="266">
        <v>500000</v>
      </c>
      <c r="E379" s="266"/>
      <c r="F379" s="266"/>
      <c r="G379" s="266"/>
      <c r="H379" s="265">
        <f t="shared" si="9"/>
        <v>1050000</v>
      </c>
      <c r="I379" s="280"/>
      <c r="J379" s="280"/>
      <c r="K379" s="280"/>
      <c r="L379" s="280"/>
      <c r="M379" s="280"/>
      <c r="N379" s="280"/>
      <c r="O379" s="280"/>
    </row>
    <row r="380" spans="1:15" x14ac:dyDescent="0.25">
      <c r="A380" s="113" t="s">
        <v>961</v>
      </c>
      <c r="B380" s="266"/>
      <c r="C380" s="266"/>
      <c r="D380" s="266"/>
      <c r="E380" s="266"/>
      <c r="F380" s="266"/>
      <c r="G380" s="266"/>
      <c r="H380" s="265">
        <f t="shared" si="9"/>
        <v>0</v>
      </c>
      <c r="I380" s="280" t="s">
        <v>1717</v>
      </c>
      <c r="J380" s="280"/>
      <c r="K380" s="280"/>
      <c r="L380" s="280"/>
      <c r="M380" s="280"/>
      <c r="N380" s="280"/>
      <c r="O380" s="280"/>
    </row>
    <row r="381" spans="1:15" x14ac:dyDescent="0.25">
      <c r="A381" s="113" t="s">
        <v>962</v>
      </c>
      <c r="B381" s="266"/>
      <c r="C381" s="266"/>
      <c r="D381" s="266"/>
      <c r="E381" s="266"/>
      <c r="F381" s="266"/>
      <c r="G381" s="266"/>
      <c r="H381" s="265">
        <f t="shared" si="9"/>
        <v>0</v>
      </c>
      <c r="I381" s="280" t="s">
        <v>1717</v>
      </c>
      <c r="J381" s="280"/>
      <c r="K381" s="280"/>
      <c r="L381" s="280"/>
      <c r="M381" s="280"/>
      <c r="N381" s="280"/>
      <c r="O381" s="280"/>
    </row>
    <row r="382" spans="1:15" x14ac:dyDescent="0.25">
      <c r="A382" s="113" t="s">
        <v>963</v>
      </c>
      <c r="B382" s="266"/>
      <c r="C382" s="266"/>
      <c r="D382" s="266"/>
      <c r="E382" s="266"/>
      <c r="F382" s="266"/>
      <c r="G382" s="266"/>
      <c r="H382" s="265">
        <f t="shared" si="9"/>
        <v>0</v>
      </c>
      <c r="I382" s="280" t="s">
        <v>1717</v>
      </c>
      <c r="J382" s="280"/>
      <c r="K382" s="280"/>
      <c r="L382" s="280"/>
      <c r="M382" s="280"/>
      <c r="N382" s="280"/>
      <c r="O382" s="280"/>
    </row>
    <row r="383" spans="1:15" ht="14.45" customHeight="1" x14ac:dyDescent="0.25">
      <c r="A383" s="113" t="s">
        <v>964</v>
      </c>
      <c r="B383" s="266"/>
      <c r="C383" s="266"/>
      <c r="D383" s="266"/>
      <c r="E383" s="266"/>
      <c r="F383" s="266"/>
      <c r="G383" s="266"/>
      <c r="H383" s="265">
        <f t="shared" si="9"/>
        <v>0</v>
      </c>
      <c r="I383" s="280" t="s">
        <v>1717</v>
      </c>
      <c r="J383" s="280"/>
      <c r="K383" s="280"/>
      <c r="L383" s="280"/>
      <c r="M383" s="280"/>
      <c r="N383" s="280"/>
      <c r="O383" s="280"/>
    </row>
    <row r="384" spans="1:15" x14ac:dyDescent="0.25">
      <c r="A384" s="113" t="s">
        <v>965</v>
      </c>
      <c r="B384" s="266">
        <v>20000</v>
      </c>
      <c r="C384" s="266">
        <v>20000</v>
      </c>
      <c r="D384" s="266">
        <v>20000</v>
      </c>
      <c r="E384" s="266">
        <v>20000</v>
      </c>
      <c r="F384" s="266">
        <v>20000</v>
      </c>
      <c r="G384" s="266">
        <v>20000</v>
      </c>
      <c r="H384" s="265">
        <f t="shared" si="9"/>
        <v>120000</v>
      </c>
      <c r="I384" s="280"/>
      <c r="J384" s="280"/>
      <c r="K384" s="280"/>
      <c r="L384" s="280"/>
      <c r="M384" s="280"/>
      <c r="N384" s="280"/>
      <c r="O384" s="280"/>
    </row>
    <row r="385" spans="1:15" ht="14.45" customHeight="1" x14ac:dyDescent="0.25">
      <c r="A385" s="113" t="s">
        <v>979</v>
      </c>
      <c r="B385" s="266">
        <v>0</v>
      </c>
      <c r="C385" s="266">
        <v>0</v>
      </c>
      <c r="D385" s="266">
        <v>0</v>
      </c>
      <c r="E385" s="266">
        <v>0</v>
      </c>
      <c r="F385" s="266">
        <v>0</v>
      </c>
      <c r="G385" s="266">
        <v>0</v>
      </c>
      <c r="H385" s="265">
        <f t="shared" si="9"/>
        <v>0</v>
      </c>
      <c r="I385" s="280"/>
      <c r="J385" s="280"/>
      <c r="K385" s="280"/>
      <c r="L385" s="280"/>
      <c r="M385" s="280"/>
      <c r="N385" s="280"/>
      <c r="O385" s="280"/>
    </row>
    <row r="386" spans="1:15" x14ac:dyDescent="0.25">
      <c r="A386" s="113" t="s">
        <v>966</v>
      </c>
      <c r="B386" s="266">
        <v>20000</v>
      </c>
      <c r="C386" s="266"/>
      <c r="D386" s="266"/>
      <c r="E386" s="266"/>
      <c r="F386" s="266"/>
      <c r="G386" s="266"/>
      <c r="H386" s="265">
        <f t="shared" si="9"/>
        <v>20000</v>
      </c>
      <c r="I386" s="280"/>
      <c r="J386" s="280"/>
      <c r="K386" s="280"/>
      <c r="L386" s="280"/>
      <c r="M386" s="280"/>
      <c r="N386" s="280"/>
      <c r="O386" s="280"/>
    </row>
    <row r="387" spans="1:15" ht="14.45" customHeight="1" x14ac:dyDescent="0.25">
      <c r="A387" s="113" t="s">
        <v>967</v>
      </c>
      <c r="B387" s="266">
        <v>45000</v>
      </c>
      <c r="C387" s="266">
        <v>44333</v>
      </c>
      <c r="D387" s="266"/>
      <c r="E387" s="266"/>
      <c r="F387" s="266"/>
      <c r="G387" s="266"/>
      <c r="H387" s="265">
        <f t="shared" si="9"/>
        <v>89333</v>
      </c>
      <c r="I387" s="280"/>
      <c r="J387" s="280"/>
      <c r="K387" s="280"/>
      <c r="L387" s="280"/>
      <c r="M387" s="280"/>
      <c r="N387" s="280"/>
      <c r="O387" s="280"/>
    </row>
    <row r="388" spans="1:15" x14ac:dyDescent="0.25">
      <c r="A388" s="113" t="s">
        <v>968</v>
      </c>
      <c r="B388" s="266"/>
      <c r="C388" s="266"/>
      <c r="D388" s="266"/>
      <c r="E388" s="266"/>
      <c r="F388" s="266"/>
      <c r="G388" s="266"/>
      <c r="H388" s="265">
        <f t="shared" si="9"/>
        <v>0</v>
      </c>
      <c r="I388" s="280"/>
      <c r="J388" s="280"/>
      <c r="K388" s="280"/>
      <c r="L388" s="280"/>
      <c r="M388" s="280"/>
      <c r="N388" s="280"/>
      <c r="O388" s="280"/>
    </row>
    <row r="389" spans="1:15" ht="14.45" customHeight="1" x14ac:dyDescent="0.25">
      <c r="A389" s="113" t="s">
        <v>969</v>
      </c>
      <c r="B389" s="266">
        <v>5000</v>
      </c>
      <c r="C389" s="266">
        <v>5000</v>
      </c>
      <c r="D389" s="266">
        <v>5000</v>
      </c>
      <c r="E389" s="266">
        <v>5000</v>
      </c>
      <c r="F389" s="266">
        <v>5000</v>
      </c>
      <c r="G389" s="266">
        <v>5000</v>
      </c>
      <c r="H389" s="265">
        <f t="shared" ref="H389:H452" si="10">SUM(B389:G389)</f>
        <v>30000</v>
      </c>
      <c r="I389" s="280"/>
      <c r="J389" s="280"/>
      <c r="K389" s="280"/>
      <c r="L389" s="280"/>
      <c r="M389" s="280"/>
      <c r="N389" s="280"/>
      <c r="O389" s="280"/>
    </row>
    <row r="390" spans="1:15" x14ac:dyDescent="0.25">
      <c r="A390" s="113" t="s">
        <v>971</v>
      </c>
      <c r="B390" s="266"/>
      <c r="C390" s="266"/>
      <c r="D390" s="266"/>
      <c r="E390" s="266"/>
      <c r="F390" s="266"/>
      <c r="G390" s="266"/>
      <c r="H390" s="265">
        <f t="shared" si="10"/>
        <v>0</v>
      </c>
      <c r="I390" s="280"/>
      <c r="J390" s="280"/>
      <c r="K390" s="280"/>
      <c r="L390" s="280"/>
      <c r="M390" s="280"/>
      <c r="N390" s="280"/>
      <c r="O390" s="280"/>
    </row>
    <row r="391" spans="1:15" x14ac:dyDescent="0.25">
      <c r="A391" s="113" t="s">
        <v>980</v>
      </c>
      <c r="B391" s="266">
        <v>0</v>
      </c>
      <c r="C391" s="266">
        <v>0</v>
      </c>
      <c r="D391" s="266">
        <v>0</v>
      </c>
      <c r="E391" s="266">
        <v>0</v>
      </c>
      <c r="F391" s="266">
        <v>0</v>
      </c>
      <c r="G391" s="266">
        <v>0</v>
      </c>
      <c r="H391" s="265">
        <f t="shared" si="10"/>
        <v>0</v>
      </c>
      <c r="I391" s="280"/>
      <c r="J391" s="280"/>
      <c r="K391" s="280"/>
      <c r="L391" s="280"/>
      <c r="M391" s="280"/>
      <c r="N391" s="280"/>
      <c r="O391" s="280"/>
    </row>
    <row r="392" spans="1:15" x14ac:dyDescent="0.25">
      <c r="A392" s="113" t="s">
        <v>981</v>
      </c>
      <c r="B392" s="266">
        <v>0</v>
      </c>
      <c r="C392" s="266">
        <v>0</v>
      </c>
      <c r="D392" s="266">
        <v>0</v>
      </c>
      <c r="E392" s="266">
        <v>0</v>
      </c>
      <c r="F392" s="266">
        <v>0</v>
      </c>
      <c r="G392" s="266">
        <v>0</v>
      </c>
      <c r="H392" s="265">
        <f t="shared" si="10"/>
        <v>0</v>
      </c>
      <c r="I392" s="280"/>
      <c r="J392" s="280"/>
      <c r="K392" s="280"/>
      <c r="L392" s="280"/>
      <c r="M392" s="280"/>
      <c r="N392" s="280"/>
      <c r="O392" s="280"/>
    </row>
    <row r="393" spans="1:15" x14ac:dyDescent="0.25">
      <c r="A393" s="113" t="s">
        <v>982</v>
      </c>
      <c r="B393" s="266">
        <v>0</v>
      </c>
      <c r="C393" s="266">
        <v>0</v>
      </c>
      <c r="D393" s="266">
        <v>0</v>
      </c>
      <c r="E393" s="266">
        <v>0</v>
      </c>
      <c r="F393" s="266">
        <v>0</v>
      </c>
      <c r="G393" s="266">
        <v>0</v>
      </c>
      <c r="H393" s="265">
        <f t="shared" si="10"/>
        <v>0</v>
      </c>
      <c r="I393" s="280"/>
      <c r="J393" s="280"/>
      <c r="K393" s="280"/>
      <c r="L393" s="280"/>
      <c r="M393" s="280"/>
      <c r="N393" s="280"/>
      <c r="O393" s="280"/>
    </row>
    <row r="394" spans="1:15" x14ac:dyDescent="0.25">
      <c r="A394" s="113" t="s">
        <v>983</v>
      </c>
      <c r="B394" s="266">
        <v>0</v>
      </c>
      <c r="C394" s="266">
        <v>0</v>
      </c>
      <c r="D394" s="266">
        <v>0</v>
      </c>
      <c r="E394" s="266">
        <v>0</v>
      </c>
      <c r="F394" s="266">
        <v>0</v>
      </c>
      <c r="G394" s="266">
        <v>0</v>
      </c>
      <c r="H394" s="265">
        <f t="shared" si="10"/>
        <v>0</v>
      </c>
      <c r="I394" s="280"/>
      <c r="J394" s="280"/>
      <c r="K394" s="280"/>
      <c r="L394" s="280"/>
      <c r="M394" s="280"/>
      <c r="N394" s="280"/>
      <c r="O394" s="280"/>
    </row>
    <row r="395" spans="1:15" x14ac:dyDescent="0.25">
      <c r="A395" s="113" t="s">
        <v>984</v>
      </c>
      <c r="B395" s="266"/>
      <c r="C395" s="266"/>
      <c r="D395" s="266"/>
      <c r="E395" s="266"/>
      <c r="F395" s="266"/>
      <c r="G395" s="266"/>
      <c r="H395" s="265">
        <f t="shared" si="10"/>
        <v>0</v>
      </c>
      <c r="I395" s="280"/>
      <c r="J395" s="280"/>
      <c r="K395" s="280"/>
      <c r="L395" s="280"/>
      <c r="M395" s="280"/>
      <c r="N395" s="280"/>
      <c r="O395" s="280"/>
    </row>
    <row r="396" spans="1:15" x14ac:dyDescent="0.25">
      <c r="A396" s="113" t="s">
        <v>985</v>
      </c>
      <c r="B396" s="266"/>
      <c r="C396" s="266">
        <v>30000</v>
      </c>
      <c r="D396" s="266"/>
      <c r="E396" s="266"/>
      <c r="F396" s="266"/>
      <c r="G396" s="266"/>
      <c r="H396" s="265">
        <f t="shared" si="10"/>
        <v>30000</v>
      </c>
      <c r="I396" s="280"/>
      <c r="J396" s="280"/>
      <c r="K396" s="280"/>
      <c r="L396" s="280"/>
      <c r="M396" s="280"/>
      <c r="N396" s="280"/>
      <c r="O396" s="280"/>
    </row>
    <row r="397" spans="1:15" x14ac:dyDescent="0.25">
      <c r="A397" s="113" t="s">
        <v>986</v>
      </c>
      <c r="B397" s="266"/>
      <c r="C397" s="266"/>
      <c r="D397" s="266"/>
      <c r="E397" s="266"/>
      <c r="F397" s="266"/>
      <c r="G397" s="266"/>
      <c r="H397" s="265">
        <f t="shared" si="10"/>
        <v>0</v>
      </c>
      <c r="I397" s="280"/>
      <c r="J397" s="280"/>
      <c r="K397" s="280"/>
      <c r="L397" s="280"/>
      <c r="M397" s="280"/>
      <c r="N397" s="280"/>
      <c r="O397" s="280"/>
    </row>
    <row r="398" spans="1:15" x14ac:dyDescent="0.25">
      <c r="A398" s="113" t="s">
        <v>987</v>
      </c>
      <c r="B398" s="266"/>
      <c r="C398" s="266"/>
      <c r="D398" s="266"/>
      <c r="E398" s="266"/>
      <c r="F398" s="266"/>
      <c r="G398" s="266"/>
      <c r="H398" s="265">
        <f t="shared" si="10"/>
        <v>0</v>
      </c>
      <c r="I398" s="280"/>
      <c r="J398" s="280"/>
      <c r="K398" s="280"/>
      <c r="L398" s="280"/>
      <c r="M398" s="280"/>
      <c r="N398" s="280"/>
      <c r="O398" s="280"/>
    </row>
    <row r="399" spans="1:15" x14ac:dyDescent="0.25">
      <c r="A399" s="113" t="s">
        <v>988</v>
      </c>
      <c r="B399" s="266">
        <v>90000</v>
      </c>
      <c r="C399" s="266"/>
      <c r="D399" s="266"/>
      <c r="E399" s="266"/>
      <c r="F399" s="266"/>
      <c r="G399" s="266"/>
      <c r="H399" s="265">
        <f t="shared" si="10"/>
        <v>90000</v>
      </c>
      <c r="I399" s="280"/>
      <c r="J399" s="280"/>
      <c r="K399" s="280"/>
      <c r="L399" s="280"/>
      <c r="M399" s="280"/>
      <c r="N399" s="280"/>
      <c r="O399" s="280"/>
    </row>
    <row r="400" spans="1:15" x14ac:dyDescent="0.25">
      <c r="A400" s="113" t="s">
        <v>989</v>
      </c>
      <c r="B400" s="266"/>
      <c r="C400" s="266"/>
      <c r="D400" s="266"/>
      <c r="E400" s="266"/>
      <c r="F400" s="266"/>
      <c r="G400" s="266"/>
      <c r="H400" s="265">
        <f t="shared" si="10"/>
        <v>0</v>
      </c>
      <c r="I400" s="280"/>
      <c r="J400" s="280"/>
      <c r="K400" s="280"/>
      <c r="L400" s="280"/>
      <c r="M400" s="280"/>
      <c r="N400" s="280"/>
      <c r="O400" s="280"/>
    </row>
    <row r="401" spans="1:15" x14ac:dyDescent="0.25">
      <c r="A401" s="113" t="s">
        <v>990</v>
      </c>
      <c r="B401" s="266"/>
      <c r="C401" s="266"/>
      <c r="D401" s="266"/>
      <c r="E401" s="266"/>
      <c r="F401" s="266"/>
      <c r="G401" s="266"/>
      <c r="H401" s="265">
        <f t="shared" si="10"/>
        <v>0</v>
      </c>
      <c r="I401" s="280"/>
      <c r="J401" s="280"/>
      <c r="K401" s="280"/>
      <c r="L401" s="280"/>
      <c r="M401" s="280"/>
      <c r="N401" s="280"/>
      <c r="O401" s="280"/>
    </row>
    <row r="402" spans="1:15" x14ac:dyDescent="0.25">
      <c r="A402" s="113" t="s">
        <v>991</v>
      </c>
      <c r="B402" s="266"/>
      <c r="C402" s="266"/>
      <c r="D402" s="266"/>
      <c r="E402" s="266"/>
      <c r="F402" s="266"/>
      <c r="G402" s="266"/>
      <c r="H402" s="265">
        <f t="shared" si="10"/>
        <v>0</v>
      </c>
      <c r="I402" s="280"/>
      <c r="J402" s="280"/>
      <c r="K402" s="280"/>
      <c r="L402" s="280"/>
      <c r="M402" s="280"/>
      <c r="N402" s="280"/>
      <c r="O402" s="280"/>
    </row>
    <row r="403" spans="1:15" x14ac:dyDescent="0.25">
      <c r="A403" s="113" t="s">
        <v>992</v>
      </c>
      <c r="B403" s="266">
        <v>0</v>
      </c>
      <c r="C403" s="266">
        <v>0</v>
      </c>
      <c r="D403" s="266">
        <v>0</v>
      </c>
      <c r="E403" s="266">
        <v>0</v>
      </c>
      <c r="F403" s="266">
        <v>0</v>
      </c>
      <c r="G403" s="266">
        <v>0</v>
      </c>
      <c r="H403" s="265">
        <f t="shared" si="10"/>
        <v>0</v>
      </c>
      <c r="I403" s="280"/>
      <c r="J403" s="280"/>
      <c r="K403" s="280"/>
      <c r="L403" s="280"/>
      <c r="M403" s="280"/>
      <c r="N403" s="280"/>
      <c r="O403" s="280"/>
    </row>
    <row r="404" spans="1:15" x14ac:dyDescent="0.25">
      <c r="A404" s="113" t="s">
        <v>993</v>
      </c>
      <c r="B404" s="266">
        <v>0</v>
      </c>
      <c r="C404" s="266">
        <v>0</v>
      </c>
      <c r="D404" s="266">
        <v>0</v>
      </c>
      <c r="E404" s="266">
        <v>0</v>
      </c>
      <c r="F404" s="266">
        <v>0</v>
      </c>
      <c r="G404" s="266">
        <v>0</v>
      </c>
      <c r="H404" s="265">
        <f t="shared" si="10"/>
        <v>0</v>
      </c>
      <c r="I404" s="280"/>
      <c r="J404" s="280"/>
      <c r="K404" s="280"/>
      <c r="L404" s="280"/>
      <c r="M404" s="280"/>
      <c r="N404" s="280"/>
      <c r="O404" s="280"/>
    </row>
    <row r="405" spans="1:15" x14ac:dyDescent="0.25">
      <c r="A405" s="113" t="s">
        <v>994</v>
      </c>
      <c r="B405" s="266"/>
      <c r="C405" s="266"/>
      <c r="D405" s="266"/>
      <c r="E405" s="266"/>
      <c r="F405" s="266"/>
      <c r="G405" s="266"/>
      <c r="H405" s="265">
        <f t="shared" si="10"/>
        <v>0</v>
      </c>
      <c r="I405" s="280"/>
      <c r="J405" s="280"/>
      <c r="K405" s="280"/>
      <c r="L405" s="280"/>
      <c r="M405" s="280"/>
      <c r="N405" s="280"/>
      <c r="O405" s="280"/>
    </row>
    <row r="406" spans="1:15" x14ac:dyDescent="0.25">
      <c r="A406" s="113" t="s">
        <v>995</v>
      </c>
      <c r="B406" s="266"/>
      <c r="C406" s="266"/>
      <c r="D406" s="266"/>
      <c r="E406" s="266"/>
      <c r="F406" s="266"/>
      <c r="G406" s="266"/>
      <c r="H406" s="265">
        <f t="shared" si="10"/>
        <v>0</v>
      </c>
      <c r="I406" s="280"/>
      <c r="J406" s="280"/>
      <c r="K406" s="280"/>
      <c r="L406" s="280"/>
      <c r="M406" s="280"/>
      <c r="N406" s="280"/>
      <c r="O406" s="280"/>
    </row>
    <row r="407" spans="1:15" x14ac:dyDescent="0.25">
      <c r="A407" s="113" t="s">
        <v>996</v>
      </c>
      <c r="B407" s="266">
        <v>20000</v>
      </c>
      <c r="C407" s="266">
        <v>20000</v>
      </c>
      <c r="D407" s="266">
        <v>20000</v>
      </c>
      <c r="E407" s="266">
        <v>20000</v>
      </c>
      <c r="F407" s="266">
        <v>20000</v>
      </c>
      <c r="G407" s="266">
        <v>20000</v>
      </c>
      <c r="H407" s="265">
        <f t="shared" si="10"/>
        <v>120000</v>
      </c>
      <c r="I407" s="280"/>
      <c r="J407" s="280"/>
      <c r="K407" s="280"/>
      <c r="L407" s="280"/>
      <c r="M407" s="280"/>
      <c r="N407" s="280"/>
      <c r="O407" s="280"/>
    </row>
    <row r="408" spans="1:15" x14ac:dyDescent="0.25">
      <c r="A408" s="113" t="s">
        <v>997</v>
      </c>
      <c r="B408" s="266">
        <v>30000</v>
      </c>
      <c r="C408" s="266"/>
      <c r="D408" s="266"/>
      <c r="E408" s="266"/>
      <c r="F408" s="266"/>
      <c r="G408" s="266"/>
      <c r="H408" s="265">
        <f t="shared" si="10"/>
        <v>30000</v>
      </c>
      <c r="I408" s="280"/>
      <c r="J408" s="280"/>
      <c r="K408" s="280"/>
      <c r="L408" s="280"/>
      <c r="M408" s="280"/>
      <c r="N408" s="280"/>
      <c r="O408" s="280"/>
    </row>
    <row r="409" spans="1:15" x14ac:dyDescent="0.25">
      <c r="A409" s="113" t="s">
        <v>998</v>
      </c>
      <c r="B409" s="266"/>
      <c r="C409" s="266"/>
      <c r="D409" s="266"/>
      <c r="E409" s="266"/>
      <c r="F409" s="266"/>
      <c r="G409" s="266"/>
      <c r="H409" s="265">
        <f t="shared" si="10"/>
        <v>0</v>
      </c>
      <c r="I409" s="280"/>
      <c r="J409" s="280"/>
      <c r="K409" s="280"/>
      <c r="L409" s="280"/>
      <c r="M409" s="280"/>
      <c r="N409" s="280"/>
      <c r="O409" s="280"/>
    </row>
    <row r="410" spans="1:15" x14ac:dyDescent="0.25">
      <c r="A410" s="113" t="s">
        <v>999</v>
      </c>
      <c r="B410" s="266"/>
      <c r="C410" s="266"/>
      <c r="D410" s="266"/>
      <c r="E410" s="266"/>
      <c r="F410" s="266"/>
      <c r="G410" s="266"/>
      <c r="H410" s="265">
        <f t="shared" si="10"/>
        <v>0</v>
      </c>
      <c r="I410" s="280"/>
      <c r="J410" s="280"/>
      <c r="K410" s="280"/>
      <c r="L410" s="280"/>
      <c r="M410" s="280"/>
      <c r="N410" s="280"/>
      <c r="O410" s="280"/>
    </row>
    <row r="411" spans="1:15" x14ac:dyDescent="0.25">
      <c r="A411" s="113" t="s">
        <v>1000</v>
      </c>
      <c r="B411" s="266"/>
      <c r="C411" s="266"/>
      <c r="D411" s="266"/>
      <c r="E411" s="266"/>
      <c r="F411" s="266"/>
      <c r="G411" s="266"/>
      <c r="H411" s="265">
        <f t="shared" si="10"/>
        <v>0</v>
      </c>
      <c r="I411" s="280"/>
      <c r="J411" s="280"/>
      <c r="K411" s="280"/>
      <c r="L411" s="280"/>
      <c r="M411" s="280"/>
      <c r="N411" s="280"/>
      <c r="O411" s="280"/>
    </row>
    <row r="412" spans="1:15" x14ac:dyDescent="0.25">
      <c r="A412" s="113" t="s">
        <v>1001</v>
      </c>
      <c r="B412" s="266"/>
      <c r="C412" s="266"/>
      <c r="D412" s="266"/>
      <c r="E412" s="266"/>
      <c r="F412" s="266"/>
      <c r="G412" s="266"/>
      <c r="H412" s="265">
        <f t="shared" si="10"/>
        <v>0</v>
      </c>
      <c r="I412" s="280"/>
      <c r="J412" s="280"/>
      <c r="K412" s="280"/>
      <c r="L412" s="280"/>
      <c r="M412" s="280"/>
      <c r="N412" s="280"/>
      <c r="O412" s="280"/>
    </row>
    <row r="413" spans="1:15" x14ac:dyDescent="0.25">
      <c r="A413" s="113" t="s">
        <v>1002</v>
      </c>
      <c r="B413" s="266"/>
      <c r="C413" s="266"/>
      <c r="D413" s="266"/>
      <c r="E413" s="266"/>
      <c r="F413" s="266"/>
      <c r="G413" s="266"/>
      <c r="H413" s="265">
        <f t="shared" si="10"/>
        <v>0</v>
      </c>
      <c r="I413" s="280"/>
      <c r="J413" s="280"/>
      <c r="K413" s="280"/>
      <c r="L413" s="280"/>
      <c r="M413" s="280"/>
      <c r="N413" s="280"/>
      <c r="O413" s="280"/>
    </row>
    <row r="414" spans="1:15" x14ac:dyDescent="0.25">
      <c r="A414" s="113" t="s">
        <v>1003</v>
      </c>
      <c r="B414" s="266"/>
      <c r="C414" s="266"/>
      <c r="D414" s="266"/>
      <c r="E414" s="266"/>
      <c r="F414" s="266"/>
      <c r="G414" s="266"/>
      <c r="H414" s="265">
        <f t="shared" si="10"/>
        <v>0</v>
      </c>
      <c r="I414" s="280"/>
      <c r="J414" s="280"/>
      <c r="K414" s="280"/>
      <c r="L414" s="280"/>
      <c r="M414" s="280"/>
      <c r="N414" s="280"/>
      <c r="O414" s="280"/>
    </row>
    <row r="415" spans="1:15" x14ac:dyDescent="0.25">
      <c r="A415" s="113" t="s">
        <v>1004</v>
      </c>
      <c r="B415" s="266">
        <v>750000</v>
      </c>
      <c r="C415" s="266"/>
      <c r="D415" s="266"/>
      <c r="E415" s="266"/>
      <c r="F415" s="266"/>
      <c r="G415" s="266"/>
      <c r="H415" s="265">
        <f t="shared" si="10"/>
        <v>750000</v>
      </c>
      <c r="I415" s="280"/>
      <c r="J415" s="280"/>
      <c r="K415" s="280"/>
      <c r="L415" s="280"/>
      <c r="M415" s="280"/>
      <c r="N415" s="280"/>
      <c r="O415" s="280"/>
    </row>
    <row r="416" spans="1:15" x14ac:dyDescent="0.25">
      <c r="A416" s="113" t="s">
        <v>1005</v>
      </c>
      <c r="B416" s="266">
        <v>0</v>
      </c>
      <c r="C416" s="266">
        <v>0</v>
      </c>
      <c r="D416" s="266">
        <v>0</v>
      </c>
      <c r="E416" s="266">
        <v>0</v>
      </c>
      <c r="F416" s="266">
        <v>0</v>
      </c>
      <c r="G416" s="266">
        <v>0</v>
      </c>
      <c r="H416" s="265">
        <f t="shared" si="10"/>
        <v>0</v>
      </c>
      <c r="I416" s="280"/>
      <c r="J416" s="280"/>
      <c r="K416" s="280"/>
      <c r="L416" s="280"/>
      <c r="M416" s="280"/>
      <c r="N416" s="280"/>
      <c r="O416" s="280"/>
    </row>
    <row r="417" spans="1:15" x14ac:dyDescent="0.25">
      <c r="A417" s="113" t="s">
        <v>1009</v>
      </c>
      <c r="B417" s="266">
        <v>0</v>
      </c>
      <c r="C417" s="266">
        <v>0</v>
      </c>
      <c r="D417" s="266">
        <v>0</v>
      </c>
      <c r="E417" s="266">
        <v>0</v>
      </c>
      <c r="F417" s="266">
        <v>0</v>
      </c>
      <c r="G417" s="266">
        <v>0</v>
      </c>
      <c r="H417" s="265">
        <f t="shared" si="10"/>
        <v>0</v>
      </c>
      <c r="I417" s="280"/>
      <c r="J417" s="280"/>
      <c r="K417" s="280"/>
      <c r="L417" s="280"/>
      <c r="M417" s="280"/>
      <c r="N417" s="280"/>
      <c r="O417" s="280"/>
    </row>
    <row r="418" spans="1:15" x14ac:dyDescent="0.25">
      <c r="A418" s="113" t="s">
        <v>1010</v>
      </c>
      <c r="B418" s="266">
        <v>0</v>
      </c>
      <c r="C418" s="266">
        <v>0</v>
      </c>
      <c r="D418" s="266">
        <v>0</v>
      </c>
      <c r="E418" s="266">
        <v>0</v>
      </c>
      <c r="F418" s="266">
        <v>0</v>
      </c>
      <c r="G418" s="266">
        <v>0</v>
      </c>
      <c r="H418" s="265">
        <f t="shared" si="10"/>
        <v>0</v>
      </c>
      <c r="I418" s="280"/>
      <c r="J418" s="280"/>
      <c r="K418" s="280"/>
      <c r="L418" s="280"/>
      <c r="M418" s="280"/>
      <c r="N418" s="280"/>
      <c r="O418" s="280"/>
    </row>
    <row r="419" spans="1:15" x14ac:dyDescent="0.25">
      <c r="A419" s="113" t="s">
        <v>1011</v>
      </c>
      <c r="B419" s="266">
        <v>0</v>
      </c>
      <c r="C419" s="266">
        <v>0</v>
      </c>
      <c r="D419" s="266">
        <v>0</v>
      </c>
      <c r="E419" s="266">
        <v>0</v>
      </c>
      <c r="F419" s="266">
        <v>0</v>
      </c>
      <c r="G419" s="266">
        <v>0</v>
      </c>
      <c r="H419" s="265">
        <f t="shared" si="10"/>
        <v>0</v>
      </c>
      <c r="I419" s="280"/>
      <c r="J419" s="280"/>
      <c r="K419" s="280"/>
      <c r="L419" s="280"/>
      <c r="M419" s="280"/>
      <c r="N419" s="280"/>
      <c r="O419" s="280"/>
    </row>
    <row r="420" spans="1:15" x14ac:dyDescent="0.25">
      <c r="A420" s="113" t="s">
        <v>1012</v>
      </c>
      <c r="B420" s="266">
        <v>0</v>
      </c>
      <c r="C420" s="266">
        <v>0</v>
      </c>
      <c r="D420" s="266">
        <v>0</v>
      </c>
      <c r="E420" s="266">
        <v>0</v>
      </c>
      <c r="F420" s="266">
        <v>0</v>
      </c>
      <c r="G420" s="266">
        <v>0</v>
      </c>
      <c r="H420" s="265">
        <f t="shared" si="10"/>
        <v>0</v>
      </c>
      <c r="I420" s="280"/>
      <c r="J420" s="280"/>
      <c r="K420" s="280"/>
      <c r="L420" s="280"/>
      <c r="M420" s="280"/>
      <c r="N420" s="280"/>
      <c r="O420" s="280"/>
    </row>
    <row r="421" spans="1:15" x14ac:dyDescent="0.25">
      <c r="A421" s="113" t="s">
        <v>1013</v>
      </c>
      <c r="B421" s="266">
        <v>0</v>
      </c>
      <c r="C421" s="266">
        <v>0</v>
      </c>
      <c r="D421" s="266">
        <v>0</v>
      </c>
      <c r="E421" s="266">
        <v>0</v>
      </c>
      <c r="F421" s="266">
        <v>0</v>
      </c>
      <c r="G421" s="266">
        <v>0</v>
      </c>
      <c r="H421" s="265">
        <f t="shared" si="10"/>
        <v>0</v>
      </c>
      <c r="I421" s="280"/>
      <c r="J421" s="280"/>
      <c r="K421" s="280"/>
      <c r="L421" s="280"/>
      <c r="M421" s="280"/>
      <c r="N421" s="280"/>
      <c r="O421" s="280"/>
    </row>
    <row r="422" spans="1:15" x14ac:dyDescent="0.25">
      <c r="A422" s="113" t="s">
        <v>1014</v>
      </c>
      <c r="B422" s="266">
        <v>0</v>
      </c>
      <c r="C422" s="266">
        <v>0</v>
      </c>
      <c r="D422" s="266">
        <v>0</v>
      </c>
      <c r="E422" s="266">
        <v>0</v>
      </c>
      <c r="F422" s="266">
        <v>0</v>
      </c>
      <c r="G422" s="266">
        <v>0</v>
      </c>
      <c r="H422" s="265">
        <f t="shared" si="10"/>
        <v>0</v>
      </c>
      <c r="I422" s="280"/>
      <c r="J422" s="280"/>
      <c r="K422" s="280"/>
      <c r="L422" s="280"/>
      <c r="M422" s="280"/>
      <c r="N422" s="280"/>
      <c r="O422" s="280"/>
    </row>
    <row r="423" spans="1:15" x14ac:dyDescent="0.25">
      <c r="A423" s="113" t="s">
        <v>1015</v>
      </c>
      <c r="B423" s="266">
        <v>0</v>
      </c>
      <c r="C423" s="266">
        <v>0</v>
      </c>
      <c r="D423" s="266">
        <v>0</v>
      </c>
      <c r="E423" s="266">
        <v>0</v>
      </c>
      <c r="F423" s="266">
        <v>0</v>
      </c>
      <c r="G423" s="266">
        <v>0</v>
      </c>
      <c r="H423" s="265">
        <f t="shared" si="10"/>
        <v>0</v>
      </c>
      <c r="I423" s="280"/>
      <c r="J423" s="280"/>
      <c r="K423" s="280"/>
      <c r="L423" s="280"/>
      <c r="M423" s="280"/>
      <c r="N423" s="280"/>
      <c r="O423" s="280"/>
    </row>
    <row r="424" spans="1:15" x14ac:dyDescent="0.25">
      <c r="A424" s="113" t="s">
        <v>1016</v>
      </c>
      <c r="B424" s="266">
        <v>0</v>
      </c>
      <c r="C424" s="266">
        <v>0</v>
      </c>
      <c r="D424" s="266">
        <v>0</v>
      </c>
      <c r="E424" s="266">
        <v>0</v>
      </c>
      <c r="F424" s="266">
        <v>0</v>
      </c>
      <c r="G424" s="266">
        <v>0</v>
      </c>
      <c r="H424" s="265">
        <f t="shared" si="10"/>
        <v>0</v>
      </c>
      <c r="I424" s="280"/>
      <c r="J424" s="280"/>
      <c r="K424" s="280"/>
      <c r="L424" s="280"/>
      <c r="M424" s="280"/>
      <c r="N424" s="280"/>
      <c r="O424" s="280"/>
    </row>
    <row r="425" spans="1:15" x14ac:dyDescent="0.25">
      <c r="A425" s="113" t="s">
        <v>1006</v>
      </c>
      <c r="B425" s="266">
        <v>0</v>
      </c>
      <c r="C425" s="266">
        <v>0</v>
      </c>
      <c r="D425" s="266">
        <v>0</v>
      </c>
      <c r="E425" s="266">
        <v>0</v>
      </c>
      <c r="F425" s="266">
        <v>0</v>
      </c>
      <c r="G425" s="266">
        <v>0</v>
      </c>
      <c r="H425" s="265">
        <f t="shared" si="10"/>
        <v>0</v>
      </c>
      <c r="I425" s="280"/>
      <c r="J425" s="280"/>
      <c r="K425" s="280"/>
      <c r="L425" s="280"/>
      <c r="M425" s="280"/>
      <c r="N425" s="280"/>
      <c r="O425" s="280"/>
    </row>
    <row r="426" spans="1:15" x14ac:dyDescent="0.25">
      <c r="A426" s="113" t="s">
        <v>1007</v>
      </c>
      <c r="B426" s="266">
        <v>0</v>
      </c>
      <c r="C426" s="266">
        <v>0</v>
      </c>
      <c r="D426" s="266">
        <v>0</v>
      </c>
      <c r="E426" s="266">
        <v>0</v>
      </c>
      <c r="F426" s="266">
        <v>0</v>
      </c>
      <c r="G426" s="266">
        <v>0</v>
      </c>
      <c r="H426" s="265">
        <f t="shared" si="10"/>
        <v>0</v>
      </c>
      <c r="I426" s="280"/>
      <c r="J426" s="280"/>
      <c r="K426" s="280"/>
      <c r="L426" s="280"/>
      <c r="M426" s="280"/>
      <c r="N426" s="280"/>
      <c r="O426" s="280"/>
    </row>
    <row r="427" spans="1:15" x14ac:dyDescent="0.25">
      <c r="A427" s="113" t="s">
        <v>1008</v>
      </c>
      <c r="B427" s="266">
        <v>0</v>
      </c>
      <c r="C427" s="266">
        <v>0</v>
      </c>
      <c r="D427" s="266">
        <v>0</v>
      </c>
      <c r="E427" s="266">
        <v>0</v>
      </c>
      <c r="F427" s="266">
        <v>0</v>
      </c>
      <c r="G427" s="266">
        <v>0</v>
      </c>
      <c r="H427" s="265">
        <f t="shared" si="10"/>
        <v>0</v>
      </c>
      <c r="I427" s="280"/>
      <c r="J427" s="280"/>
      <c r="K427" s="280"/>
      <c r="L427" s="280"/>
      <c r="M427" s="280"/>
      <c r="N427" s="280"/>
      <c r="O427" s="280"/>
    </row>
    <row r="428" spans="1:15" x14ac:dyDescent="0.25">
      <c r="A428" s="113" t="s">
        <v>1061</v>
      </c>
      <c r="B428" s="266">
        <v>100000</v>
      </c>
      <c r="C428" s="266"/>
      <c r="D428" s="266"/>
      <c r="E428" s="266"/>
      <c r="F428" s="266"/>
      <c r="G428" s="266"/>
      <c r="H428" s="265">
        <f t="shared" si="10"/>
        <v>100000</v>
      </c>
      <c r="I428" s="280"/>
      <c r="J428" s="280"/>
      <c r="K428" s="280"/>
      <c r="L428" s="280"/>
      <c r="M428" s="280"/>
      <c r="N428" s="280"/>
      <c r="O428" s="280"/>
    </row>
    <row r="429" spans="1:15" x14ac:dyDescent="0.25">
      <c r="A429" s="113" t="s">
        <v>1062</v>
      </c>
      <c r="B429" s="266"/>
      <c r="C429" s="266"/>
      <c r="D429" s="266"/>
      <c r="E429" s="266"/>
      <c r="F429" s="266"/>
      <c r="G429" s="266"/>
      <c r="H429" s="265">
        <f t="shared" si="10"/>
        <v>0</v>
      </c>
      <c r="I429" s="280"/>
      <c r="J429" s="280"/>
      <c r="K429" s="280"/>
      <c r="L429" s="280"/>
      <c r="M429" s="280"/>
      <c r="N429" s="280"/>
      <c r="O429" s="280"/>
    </row>
    <row r="430" spans="1:15" x14ac:dyDescent="0.25">
      <c r="A430" s="113" t="s">
        <v>1063</v>
      </c>
      <c r="B430" s="266"/>
      <c r="C430" s="266"/>
      <c r="D430" s="266"/>
      <c r="E430" s="266"/>
      <c r="F430" s="266"/>
      <c r="G430" s="266"/>
      <c r="H430" s="265">
        <f t="shared" si="10"/>
        <v>0</v>
      </c>
      <c r="I430" s="280"/>
      <c r="J430" s="280"/>
      <c r="K430" s="280"/>
      <c r="L430" s="280"/>
      <c r="M430" s="280"/>
      <c r="N430" s="280"/>
      <c r="O430" s="280"/>
    </row>
    <row r="431" spans="1:15" x14ac:dyDescent="0.25">
      <c r="A431" s="113" t="s">
        <v>1116</v>
      </c>
      <c r="B431" s="266">
        <v>0</v>
      </c>
      <c r="C431" s="266">
        <v>0</v>
      </c>
      <c r="D431" s="266">
        <v>0</v>
      </c>
      <c r="E431" s="266">
        <v>0</v>
      </c>
      <c r="F431" s="266">
        <v>0</v>
      </c>
      <c r="G431" s="266">
        <v>0</v>
      </c>
      <c r="H431" s="265">
        <f t="shared" si="10"/>
        <v>0</v>
      </c>
      <c r="I431" s="280"/>
      <c r="J431" s="280"/>
      <c r="K431" s="280"/>
      <c r="L431" s="280"/>
      <c r="M431" s="280"/>
      <c r="N431" s="280"/>
      <c r="O431" s="280"/>
    </row>
    <row r="432" spans="1:15" x14ac:dyDescent="0.25">
      <c r="A432" s="113" t="s">
        <v>1119</v>
      </c>
      <c r="B432" s="266"/>
      <c r="C432" s="266"/>
      <c r="D432" s="266"/>
      <c r="E432" s="266"/>
      <c r="F432" s="266"/>
      <c r="G432" s="266"/>
      <c r="H432" s="265">
        <f t="shared" si="10"/>
        <v>0</v>
      </c>
      <c r="I432" s="280"/>
      <c r="J432" s="280"/>
      <c r="K432" s="280"/>
      <c r="L432" s="280"/>
      <c r="M432" s="280"/>
      <c r="N432" s="280"/>
      <c r="O432" s="280"/>
    </row>
    <row r="433" spans="1:15" x14ac:dyDescent="0.25">
      <c r="A433" s="113" t="s">
        <v>1120</v>
      </c>
      <c r="B433" s="266"/>
      <c r="C433" s="266"/>
      <c r="D433" s="266"/>
      <c r="E433" s="266"/>
      <c r="F433" s="266"/>
      <c r="G433" s="266"/>
      <c r="H433" s="265">
        <f t="shared" si="10"/>
        <v>0</v>
      </c>
      <c r="I433" s="280"/>
      <c r="J433" s="280"/>
      <c r="K433" s="280"/>
      <c r="L433" s="280"/>
      <c r="M433" s="280"/>
      <c r="N433" s="280"/>
      <c r="O433" s="280"/>
    </row>
    <row r="434" spans="1:15" x14ac:dyDescent="0.25">
      <c r="A434" s="113" t="s">
        <v>1121</v>
      </c>
      <c r="B434" s="266">
        <v>130000</v>
      </c>
      <c r="C434" s="266">
        <v>130000</v>
      </c>
      <c r="D434" s="266">
        <v>130000</v>
      </c>
      <c r="E434" s="266">
        <v>130000</v>
      </c>
      <c r="F434" s="266">
        <v>130000</v>
      </c>
      <c r="G434" s="266">
        <v>130000</v>
      </c>
      <c r="H434" s="265">
        <f t="shared" si="10"/>
        <v>780000</v>
      </c>
      <c r="I434" s="280"/>
      <c r="J434" s="280"/>
      <c r="K434" s="280"/>
      <c r="L434" s="280"/>
      <c r="M434" s="280"/>
      <c r="N434" s="280"/>
      <c r="O434" s="280"/>
    </row>
    <row r="435" spans="1:15" x14ac:dyDescent="0.25">
      <c r="A435" s="113" t="s">
        <v>1122</v>
      </c>
      <c r="B435" s="266">
        <v>30000</v>
      </c>
      <c r="C435" s="266">
        <v>5000</v>
      </c>
      <c r="D435" s="266">
        <v>5000</v>
      </c>
      <c r="E435" s="266">
        <v>30000</v>
      </c>
      <c r="F435" s="266">
        <v>5000</v>
      </c>
      <c r="G435" s="266">
        <v>5000</v>
      </c>
      <c r="H435" s="265">
        <f t="shared" si="10"/>
        <v>80000</v>
      </c>
      <c r="I435" s="280"/>
      <c r="J435" s="280"/>
      <c r="K435" s="280"/>
      <c r="L435" s="280"/>
      <c r="M435" s="280"/>
      <c r="N435" s="280"/>
      <c r="O435" s="280"/>
    </row>
    <row r="436" spans="1:15" x14ac:dyDescent="0.25">
      <c r="A436" s="113" t="s">
        <v>1123</v>
      </c>
      <c r="B436" s="266">
        <v>0</v>
      </c>
      <c r="C436" s="266">
        <v>0</v>
      </c>
      <c r="D436" s="266">
        <v>0</v>
      </c>
      <c r="E436" s="266">
        <v>0</v>
      </c>
      <c r="F436" s="266">
        <v>0</v>
      </c>
      <c r="G436" s="266">
        <v>0</v>
      </c>
      <c r="H436" s="265">
        <f t="shared" si="10"/>
        <v>0</v>
      </c>
      <c r="I436" s="280"/>
      <c r="J436" s="280"/>
      <c r="K436" s="280"/>
      <c r="L436" s="280"/>
      <c r="M436" s="280"/>
      <c r="N436" s="280"/>
      <c r="O436" s="280"/>
    </row>
    <row r="437" spans="1:15" x14ac:dyDescent="0.25">
      <c r="A437" s="113" t="s">
        <v>1124</v>
      </c>
      <c r="B437" s="266">
        <v>0</v>
      </c>
      <c r="C437" s="266">
        <v>0</v>
      </c>
      <c r="D437" s="266">
        <v>0</v>
      </c>
      <c r="E437" s="266">
        <v>0</v>
      </c>
      <c r="F437" s="266">
        <v>0</v>
      </c>
      <c r="G437" s="266">
        <v>0</v>
      </c>
      <c r="H437" s="265">
        <f t="shared" si="10"/>
        <v>0</v>
      </c>
      <c r="I437" s="280"/>
      <c r="J437" s="280"/>
      <c r="K437" s="280"/>
      <c r="L437" s="280"/>
      <c r="M437" s="280"/>
      <c r="N437" s="280"/>
      <c r="O437" s="280"/>
    </row>
    <row r="438" spans="1:15" x14ac:dyDescent="0.25">
      <c r="A438" s="113" t="s">
        <v>1125</v>
      </c>
      <c r="B438" s="266">
        <v>10000</v>
      </c>
      <c r="C438" s="266">
        <v>10000</v>
      </c>
      <c r="D438" s="266">
        <v>10000</v>
      </c>
      <c r="E438" s="266">
        <v>10000</v>
      </c>
      <c r="F438" s="266">
        <v>10000</v>
      </c>
      <c r="G438" s="266">
        <v>10000</v>
      </c>
      <c r="H438" s="265">
        <f t="shared" si="10"/>
        <v>60000</v>
      </c>
      <c r="I438" s="280"/>
      <c r="J438" s="280"/>
      <c r="K438" s="280"/>
      <c r="L438" s="280"/>
      <c r="M438" s="280"/>
      <c r="N438" s="280"/>
      <c r="O438" s="280"/>
    </row>
    <row r="439" spans="1:15" x14ac:dyDescent="0.25">
      <c r="A439" s="113" t="s">
        <v>1126</v>
      </c>
      <c r="B439" s="266">
        <v>410000</v>
      </c>
      <c r="C439" s="266">
        <v>410000</v>
      </c>
      <c r="D439" s="266">
        <v>0</v>
      </c>
      <c r="E439" s="266">
        <v>0</v>
      </c>
      <c r="F439" s="266">
        <v>0</v>
      </c>
      <c r="G439" s="266">
        <v>0</v>
      </c>
      <c r="H439" s="265">
        <f t="shared" si="10"/>
        <v>820000</v>
      </c>
      <c r="I439" s="280"/>
      <c r="J439" s="280"/>
      <c r="K439" s="280"/>
      <c r="L439" s="280"/>
      <c r="M439" s="280"/>
      <c r="N439" s="280"/>
      <c r="O439" s="280"/>
    </row>
    <row r="440" spans="1:15" x14ac:dyDescent="0.25">
      <c r="A440" s="113" t="s">
        <v>1117</v>
      </c>
      <c r="B440" s="266">
        <v>0</v>
      </c>
      <c r="C440" s="266">
        <v>0</v>
      </c>
      <c r="D440" s="266">
        <v>0</v>
      </c>
      <c r="E440" s="266">
        <v>0</v>
      </c>
      <c r="F440" s="266">
        <v>0</v>
      </c>
      <c r="G440" s="266">
        <v>0</v>
      </c>
      <c r="H440" s="265">
        <f t="shared" si="10"/>
        <v>0</v>
      </c>
      <c r="I440" s="280"/>
      <c r="J440" s="280"/>
      <c r="K440" s="280"/>
      <c r="L440" s="280"/>
      <c r="M440" s="280"/>
      <c r="N440" s="280"/>
      <c r="O440" s="280"/>
    </row>
    <row r="441" spans="1:15" x14ac:dyDescent="0.25">
      <c r="A441" s="113" t="s">
        <v>1118</v>
      </c>
      <c r="B441" s="266">
        <v>0</v>
      </c>
      <c r="C441" s="266">
        <v>0</v>
      </c>
      <c r="D441" s="266">
        <v>0</v>
      </c>
      <c r="E441" s="266">
        <v>0</v>
      </c>
      <c r="F441" s="266">
        <v>0</v>
      </c>
      <c r="G441" s="266">
        <v>0</v>
      </c>
      <c r="H441" s="265">
        <f t="shared" si="10"/>
        <v>0</v>
      </c>
      <c r="I441" s="280"/>
      <c r="J441" s="280"/>
      <c r="K441" s="280"/>
      <c r="L441" s="280"/>
      <c r="M441" s="280"/>
      <c r="N441" s="280"/>
      <c r="O441" s="280"/>
    </row>
    <row r="442" spans="1:15" x14ac:dyDescent="0.25">
      <c r="A442" s="113" t="s">
        <v>417</v>
      </c>
      <c r="B442" s="266">
        <v>0</v>
      </c>
      <c r="C442" s="266">
        <v>0</v>
      </c>
      <c r="D442" s="266">
        <v>0</v>
      </c>
      <c r="E442" s="266">
        <v>0</v>
      </c>
      <c r="F442" s="266">
        <v>0</v>
      </c>
      <c r="G442" s="266">
        <v>0</v>
      </c>
      <c r="H442" s="265">
        <f t="shared" si="10"/>
        <v>0</v>
      </c>
      <c r="I442" s="280"/>
      <c r="J442" s="280"/>
      <c r="K442" s="280"/>
      <c r="L442" s="280"/>
      <c r="M442" s="280"/>
      <c r="N442" s="280"/>
      <c r="O442" s="280"/>
    </row>
    <row r="443" spans="1:15" x14ac:dyDescent="0.25">
      <c r="A443" s="113" t="s">
        <v>417</v>
      </c>
      <c r="B443" s="266">
        <v>0</v>
      </c>
      <c r="C443" s="266">
        <v>0</v>
      </c>
      <c r="D443" s="266">
        <v>0</v>
      </c>
      <c r="E443" s="266">
        <v>0</v>
      </c>
      <c r="F443" s="266">
        <v>0</v>
      </c>
      <c r="G443" s="266">
        <v>0</v>
      </c>
      <c r="H443" s="265">
        <f t="shared" si="10"/>
        <v>0</v>
      </c>
      <c r="I443" s="280"/>
      <c r="J443" s="280"/>
      <c r="K443" s="280"/>
      <c r="L443" s="280"/>
      <c r="M443" s="280"/>
      <c r="N443" s="280"/>
      <c r="O443" s="280"/>
    </row>
    <row r="444" spans="1:15" x14ac:dyDescent="0.25">
      <c r="A444" s="113" t="s">
        <v>418</v>
      </c>
      <c r="B444" s="266">
        <v>0</v>
      </c>
      <c r="C444" s="266">
        <v>0</v>
      </c>
      <c r="D444" s="266">
        <v>0</v>
      </c>
      <c r="E444" s="266">
        <v>0</v>
      </c>
      <c r="F444" s="266">
        <v>0</v>
      </c>
      <c r="G444" s="266">
        <v>0</v>
      </c>
      <c r="H444" s="265">
        <f t="shared" si="10"/>
        <v>0</v>
      </c>
      <c r="I444" s="280"/>
      <c r="J444" s="280"/>
      <c r="K444" s="280"/>
      <c r="L444" s="280"/>
      <c r="M444" s="280"/>
      <c r="N444" s="280"/>
      <c r="O444" s="280"/>
    </row>
    <row r="445" spans="1:15" x14ac:dyDescent="0.25">
      <c r="A445" s="113" t="s">
        <v>419</v>
      </c>
      <c r="B445" s="266">
        <v>0</v>
      </c>
      <c r="C445" s="266">
        <v>0</v>
      </c>
      <c r="D445" s="266">
        <v>0</v>
      </c>
      <c r="E445" s="266">
        <v>0</v>
      </c>
      <c r="F445" s="266">
        <v>0</v>
      </c>
      <c r="G445" s="266">
        <v>0</v>
      </c>
      <c r="H445" s="265">
        <f t="shared" si="10"/>
        <v>0</v>
      </c>
      <c r="I445" s="280"/>
      <c r="J445" s="280"/>
      <c r="K445" s="280"/>
      <c r="L445" s="280"/>
      <c r="M445" s="280"/>
      <c r="N445" s="280"/>
      <c r="O445" s="280"/>
    </row>
    <row r="446" spans="1:15" x14ac:dyDescent="0.25">
      <c r="A446" s="113" t="s">
        <v>420</v>
      </c>
      <c r="B446" s="266">
        <v>0</v>
      </c>
      <c r="C446" s="266">
        <v>0</v>
      </c>
      <c r="D446" s="266">
        <v>0</v>
      </c>
      <c r="E446" s="266">
        <v>0</v>
      </c>
      <c r="F446" s="266">
        <v>0</v>
      </c>
      <c r="G446" s="266">
        <v>0</v>
      </c>
      <c r="H446" s="265">
        <f t="shared" si="10"/>
        <v>0</v>
      </c>
      <c r="I446" s="280"/>
      <c r="J446" s="280"/>
      <c r="K446" s="280"/>
      <c r="L446" s="280"/>
      <c r="M446" s="280"/>
      <c r="N446" s="280"/>
      <c r="O446" s="280"/>
    </row>
    <row r="447" spans="1:15" x14ac:dyDescent="0.25">
      <c r="A447" s="113" t="s">
        <v>421</v>
      </c>
      <c r="B447" s="266">
        <v>100000</v>
      </c>
      <c r="C447" s="266">
        <v>100000</v>
      </c>
      <c r="D447" s="266"/>
      <c r="E447" s="266"/>
      <c r="F447" s="266"/>
      <c r="G447" s="266"/>
      <c r="H447" s="265">
        <f t="shared" si="10"/>
        <v>200000</v>
      </c>
      <c r="I447" s="280"/>
      <c r="J447" s="280"/>
      <c r="K447" s="280"/>
      <c r="L447" s="280"/>
      <c r="M447" s="280"/>
      <c r="N447" s="280"/>
      <c r="O447" s="280"/>
    </row>
    <row r="448" spans="1:15" x14ac:dyDescent="0.25">
      <c r="A448" s="113" t="s">
        <v>422</v>
      </c>
      <c r="B448" s="266">
        <v>200000</v>
      </c>
      <c r="C448" s="266">
        <v>200000</v>
      </c>
      <c r="D448" s="266">
        <v>200000</v>
      </c>
      <c r="E448" s="266">
        <v>200000</v>
      </c>
      <c r="F448" s="266" t="s">
        <v>1718</v>
      </c>
      <c r="G448" s="266" t="s">
        <v>1718</v>
      </c>
      <c r="H448" s="265">
        <f t="shared" si="10"/>
        <v>800000</v>
      </c>
      <c r="I448" s="280"/>
      <c r="J448" s="280"/>
      <c r="K448" s="280"/>
      <c r="L448" s="280"/>
      <c r="M448" s="280"/>
      <c r="N448" s="280"/>
      <c r="O448" s="280"/>
    </row>
    <row r="449" spans="1:15" x14ac:dyDescent="0.25">
      <c r="A449" s="113" t="s">
        <v>423</v>
      </c>
      <c r="B449" s="266"/>
      <c r="C449" s="266"/>
      <c r="D449" s="266"/>
      <c r="E449" s="266"/>
      <c r="F449" s="266"/>
      <c r="G449" s="266"/>
      <c r="H449" s="265">
        <f t="shared" si="10"/>
        <v>0</v>
      </c>
      <c r="I449" s="280"/>
      <c r="J449" s="280"/>
      <c r="K449" s="280"/>
      <c r="L449" s="280"/>
      <c r="M449" s="280"/>
      <c r="N449" s="280"/>
      <c r="O449" s="280"/>
    </row>
    <row r="450" spans="1:15" x14ac:dyDescent="0.25">
      <c r="A450" s="113" t="s">
        <v>424</v>
      </c>
      <c r="B450" s="266"/>
      <c r="C450" s="266"/>
      <c r="D450" s="266"/>
      <c r="E450" s="266"/>
      <c r="F450" s="266"/>
      <c r="G450" s="266"/>
      <c r="H450" s="265">
        <f t="shared" si="10"/>
        <v>0</v>
      </c>
      <c r="I450" s="280"/>
      <c r="J450" s="280"/>
      <c r="K450" s="280"/>
      <c r="L450" s="280"/>
      <c r="M450" s="280"/>
      <c r="N450" s="280"/>
      <c r="O450" s="280"/>
    </row>
    <row r="451" spans="1:15" x14ac:dyDescent="0.25">
      <c r="A451" s="113" t="s">
        <v>425</v>
      </c>
      <c r="B451" s="266"/>
      <c r="C451" s="266"/>
      <c r="D451" s="266"/>
      <c r="E451" s="266"/>
      <c r="F451" s="266"/>
      <c r="G451" s="266"/>
      <c r="H451" s="265">
        <f t="shared" si="10"/>
        <v>0</v>
      </c>
      <c r="I451" s="280"/>
      <c r="J451" s="280"/>
      <c r="K451" s="280"/>
      <c r="L451" s="280"/>
      <c r="M451" s="280"/>
      <c r="N451" s="280"/>
      <c r="O451" s="280"/>
    </row>
    <row r="452" spans="1:15" x14ac:dyDescent="0.25">
      <c r="A452" s="113" t="s">
        <v>426</v>
      </c>
      <c r="B452" s="266"/>
      <c r="C452" s="266"/>
      <c r="D452" s="266"/>
      <c r="E452" s="266"/>
      <c r="F452" s="266"/>
      <c r="G452" s="266"/>
      <c r="H452" s="265">
        <f t="shared" si="10"/>
        <v>0</v>
      </c>
      <c r="I452" s="280"/>
      <c r="J452" s="280"/>
      <c r="K452" s="280"/>
      <c r="L452" s="280"/>
      <c r="M452" s="280"/>
      <c r="N452" s="280"/>
      <c r="O452" s="280"/>
    </row>
    <row r="453" spans="1:15" x14ac:dyDescent="0.25">
      <c r="A453" s="113" t="s">
        <v>427</v>
      </c>
      <c r="B453" s="266"/>
      <c r="C453" s="266"/>
      <c r="D453" s="266"/>
      <c r="E453" s="266"/>
      <c r="F453" s="266"/>
      <c r="G453" s="266"/>
      <c r="H453" s="265">
        <f t="shared" ref="H453:H516" si="11">SUM(B453:G453)</f>
        <v>0</v>
      </c>
      <c r="I453" s="280"/>
      <c r="J453" s="280"/>
      <c r="K453" s="280"/>
      <c r="L453" s="280"/>
      <c r="M453" s="280"/>
      <c r="N453" s="280"/>
      <c r="O453" s="280"/>
    </row>
    <row r="454" spans="1:15" x14ac:dyDescent="0.25">
      <c r="A454" s="113" t="s">
        <v>1135</v>
      </c>
      <c r="B454" s="266"/>
      <c r="C454" s="266"/>
      <c r="D454" s="266"/>
      <c r="E454" s="266"/>
      <c r="F454" s="266"/>
      <c r="G454" s="266"/>
      <c r="H454" s="265">
        <f t="shared" si="11"/>
        <v>0</v>
      </c>
      <c r="I454" s="280"/>
      <c r="J454" s="280"/>
      <c r="K454" s="280"/>
      <c r="L454" s="280"/>
      <c r="M454" s="280"/>
      <c r="N454" s="280"/>
      <c r="O454" s="280"/>
    </row>
    <row r="455" spans="1:15" x14ac:dyDescent="0.25">
      <c r="A455" s="113" t="s">
        <v>1136</v>
      </c>
      <c r="B455" s="266"/>
      <c r="C455" s="266">
        <v>10000</v>
      </c>
      <c r="D455" s="266"/>
      <c r="E455" s="266"/>
      <c r="F455" s="266"/>
      <c r="G455" s="266"/>
      <c r="H455" s="265">
        <f t="shared" si="11"/>
        <v>10000</v>
      </c>
      <c r="I455" s="280"/>
      <c r="J455" s="280"/>
      <c r="K455" s="280"/>
      <c r="L455" s="280"/>
      <c r="M455" s="280"/>
      <c r="N455" s="280"/>
      <c r="O455" s="280"/>
    </row>
    <row r="456" spans="1:15" x14ac:dyDescent="0.25">
      <c r="A456" s="113" t="s">
        <v>1137</v>
      </c>
      <c r="B456" s="266"/>
      <c r="C456" s="266"/>
      <c r="D456" s="266">
        <v>100000</v>
      </c>
      <c r="E456" s="266">
        <v>100000</v>
      </c>
      <c r="F456" s="266">
        <v>100000</v>
      </c>
      <c r="G456" s="266">
        <v>100000</v>
      </c>
      <c r="H456" s="265">
        <f t="shared" si="11"/>
        <v>400000</v>
      </c>
      <c r="I456" s="280"/>
      <c r="J456" s="280"/>
      <c r="K456" s="280"/>
      <c r="L456" s="280"/>
      <c r="M456" s="280"/>
      <c r="N456" s="280"/>
      <c r="O456" s="280"/>
    </row>
    <row r="457" spans="1:15" x14ac:dyDescent="0.25">
      <c r="A457" s="113" t="s">
        <v>1138</v>
      </c>
      <c r="B457" s="266">
        <v>0</v>
      </c>
      <c r="C457" s="266">
        <v>0</v>
      </c>
      <c r="D457" s="266">
        <v>0</v>
      </c>
      <c r="E457" s="266">
        <v>0</v>
      </c>
      <c r="F457" s="266">
        <v>0</v>
      </c>
      <c r="G457" s="266">
        <v>0</v>
      </c>
      <c r="H457" s="265">
        <f t="shared" si="11"/>
        <v>0</v>
      </c>
      <c r="I457" s="280"/>
      <c r="J457" s="280"/>
      <c r="K457" s="280"/>
      <c r="L457" s="280"/>
      <c r="M457" s="280"/>
      <c r="N457" s="280"/>
      <c r="O457" s="280"/>
    </row>
    <row r="458" spans="1:15" x14ac:dyDescent="0.25">
      <c r="A458" s="113" t="s">
        <v>1139</v>
      </c>
      <c r="B458" s="266">
        <v>485000</v>
      </c>
      <c r="C458" s="266">
        <v>215000</v>
      </c>
      <c r="D458" s="266"/>
      <c r="E458" s="266"/>
      <c r="F458" s="266"/>
      <c r="G458" s="266"/>
      <c r="H458" s="265">
        <f t="shared" si="11"/>
        <v>700000</v>
      </c>
      <c r="I458" s="280"/>
      <c r="J458" s="280"/>
      <c r="K458" s="280"/>
      <c r="L458" s="280"/>
      <c r="M458" s="280"/>
      <c r="N458" s="280"/>
      <c r="O458" s="280"/>
    </row>
    <row r="459" spans="1:15" x14ac:dyDescent="0.25">
      <c r="A459" s="113" t="s">
        <v>1140</v>
      </c>
      <c r="B459" s="266">
        <v>35000</v>
      </c>
      <c r="C459" s="266">
        <v>35000</v>
      </c>
      <c r="D459" s="266">
        <v>0</v>
      </c>
      <c r="E459" s="266">
        <v>0</v>
      </c>
      <c r="F459" s="266">
        <v>0</v>
      </c>
      <c r="G459" s="266">
        <v>0</v>
      </c>
      <c r="H459" s="265">
        <f t="shared" si="11"/>
        <v>70000</v>
      </c>
      <c r="I459" s="280"/>
      <c r="J459" s="280"/>
      <c r="K459" s="280"/>
      <c r="L459" s="280"/>
      <c r="M459" s="280"/>
      <c r="N459" s="280"/>
      <c r="O459" s="280"/>
    </row>
    <row r="460" spans="1:15" x14ac:dyDescent="0.25">
      <c r="A460" s="113" t="s">
        <v>1141</v>
      </c>
      <c r="B460" s="266"/>
      <c r="C460" s="266">
        <v>20000</v>
      </c>
      <c r="D460" s="266">
        <v>20000</v>
      </c>
      <c r="E460" s="266"/>
      <c r="F460" s="266"/>
      <c r="G460" s="266"/>
      <c r="H460" s="265">
        <f t="shared" si="11"/>
        <v>40000</v>
      </c>
      <c r="I460" s="280"/>
      <c r="J460" s="280"/>
      <c r="K460" s="280"/>
      <c r="L460" s="280"/>
      <c r="M460" s="280"/>
      <c r="N460" s="280"/>
      <c r="O460" s="280"/>
    </row>
    <row r="461" spans="1:15" x14ac:dyDescent="0.25">
      <c r="A461" s="113" t="s">
        <v>1142</v>
      </c>
      <c r="B461" s="266">
        <v>80000</v>
      </c>
      <c r="C461" s="266">
        <v>70000</v>
      </c>
      <c r="D461" s="266">
        <v>70000</v>
      </c>
      <c r="E461" s="266"/>
      <c r="F461" s="266"/>
      <c r="G461" s="266"/>
      <c r="H461" s="265">
        <f t="shared" si="11"/>
        <v>220000</v>
      </c>
      <c r="I461" s="280"/>
      <c r="J461" s="280"/>
      <c r="K461" s="280"/>
      <c r="L461" s="280"/>
      <c r="M461" s="280"/>
      <c r="N461" s="280"/>
      <c r="O461" s="280"/>
    </row>
    <row r="462" spans="1:15" x14ac:dyDescent="0.25">
      <c r="A462" s="113" t="s">
        <v>1143</v>
      </c>
      <c r="B462" s="266"/>
      <c r="C462" s="266"/>
      <c r="D462" s="266"/>
      <c r="E462" s="266"/>
      <c r="F462" s="266"/>
      <c r="G462" s="266"/>
      <c r="H462" s="265">
        <f t="shared" si="11"/>
        <v>0</v>
      </c>
      <c r="I462" s="280"/>
      <c r="J462" s="280"/>
      <c r="K462" s="280"/>
      <c r="L462" s="280"/>
      <c r="M462" s="280"/>
      <c r="N462" s="280"/>
      <c r="O462" s="280"/>
    </row>
    <row r="463" spans="1:15" x14ac:dyDescent="0.25">
      <c r="A463" s="113" t="s">
        <v>1144</v>
      </c>
      <c r="B463" s="266"/>
      <c r="C463" s="266"/>
      <c r="D463" s="266"/>
      <c r="E463" s="266"/>
      <c r="F463" s="266"/>
      <c r="G463" s="266"/>
      <c r="H463" s="265">
        <f t="shared" si="11"/>
        <v>0</v>
      </c>
      <c r="I463" s="280"/>
      <c r="J463" s="280"/>
      <c r="K463" s="280"/>
      <c r="L463" s="280"/>
      <c r="M463" s="280"/>
      <c r="N463" s="280"/>
      <c r="O463" s="280"/>
    </row>
    <row r="464" spans="1:15" x14ac:dyDescent="0.25">
      <c r="A464" s="113" t="s">
        <v>1145</v>
      </c>
      <c r="B464" s="266"/>
      <c r="C464" s="266">
        <v>40000</v>
      </c>
      <c r="D464" s="266"/>
      <c r="E464" s="266"/>
      <c r="F464" s="266"/>
      <c r="G464" s="266"/>
      <c r="H464" s="265">
        <f t="shared" si="11"/>
        <v>40000</v>
      </c>
      <c r="I464" s="280"/>
      <c r="J464" s="280"/>
      <c r="K464" s="280"/>
      <c r="L464" s="280"/>
      <c r="M464" s="280"/>
      <c r="N464" s="280"/>
      <c r="O464" s="280"/>
    </row>
    <row r="465" spans="1:15" x14ac:dyDescent="0.25">
      <c r="A465" s="113" t="s">
        <v>1146</v>
      </c>
      <c r="B465" s="266">
        <v>40000</v>
      </c>
      <c r="C465" s="266"/>
      <c r="D465" s="266"/>
      <c r="E465" s="266"/>
      <c r="F465" s="266"/>
      <c r="G465" s="266"/>
      <c r="H465" s="265">
        <f t="shared" si="11"/>
        <v>40000</v>
      </c>
      <c r="I465" s="280"/>
      <c r="J465" s="280"/>
      <c r="K465" s="280"/>
      <c r="L465" s="280"/>
      <c r="M465" s="280"/>
      <c r="N465" s="280"/>
      <c r="O465" s="280"/>
    </row>
    <row r="466" spans="1:15" x14ac:dyDescent="0.25">
      <c r="A466" s="113" t="s">
        <v>1147</v>
      </c>
      <c r="B466" s="266"/>
      <c r="C466" s="266"/>
      <c r="D466" s="266"/>
      <c r="E466" s="266"/>
      <c r="F466" s="266"/>
      <c r="G466" s="266"/>
      <c r="H466" s="265">
        <f t="shared" si="11"/>
        <v>0</v>
      </c>
      <c r="I466" s="280"/>
      <c r="J466" s="280"/>
      <c r="K466" s="280"/>
      <c r="L466" s="280"/>
      <c r="M466" s="280"/>
      <c r="N466" s="280"/>
      <c r="O466" s="280"/>
    </row>
    <row r="467" spans="1:15" x14ac:dyDescent="0.25">
      <c r="A467" s="113" t="s">
        <v>1148</v>
      </c>
      <c r="B467" s="266"/>
      <c r="C467" s="266"/>
      <c r="D467" s="266"/>
      <c r="E467" s="266"/>
      <c r="F467" s="266"/>
      <c r="G467" s="266"/>
      <c r="H467" s="265">
        <f t="shared" si="11"/>
        <v>0</v>
      </c>
      <c r="I467" s="280"/>
      <c r="J467" s="280"/>
      <c r="K467" s="280"/>
      <c r="L467" s="280"/>
      <c r="M467" s="280"/>
      <c r="N467" s="280"/>
      <c r="O467" s="280"/>
    </row>
    <row r="468" spans="1:15" x14ac:dyDescent="0.25">
      <c r="A468" s="113" t="s">
        <v>1149</v>
      </c>
      <c r="B468" s="266"/>
      <c r="C468" s="266"/>
      <c r="D468" s="266"/>
      <c r="E468" s="266"/>
      <c r="F468" s="266"/>
      <c r="G468" s="266"/>
      <c r="H468" s="265">
        <f t="shared" si="11"/>
        <v>0</v>
      </c>
      <c r="I468" s="280"/>
      <c r="J468" s="280"/>
      <c r="K468" s="280"/>
      <c r="L468" s="280"/>
      <c r="M468" s="280"/>
      <c r="N468" s="280"/>
      <c r="O468" s="280"/>
    </row>
    <row r="469" spans="1:15" x14ac:dyDescent="0.25">
      <c r="A469" s="113" t="s">
        <v>1150</v>
      </c>
      <c r="B469" s="266"/>
      <c r="C469" s="266"/>
      <c r="D469" s="266"/>
      <c r="E469" s="266"/>
      <c r="F469" s="266"/>
      <c r="G469" s="266"/>
      <c r="H469" s="265">
        <f t="shared" si="11"/>
        <v>0</v>
      </c>
      <c r="I469" s="280"/>
      <c r="J469" s="280"/>
      <c r="K469" s="280"/>
      <c r="L469" s="280"/>
      <c r="M469" s="280"/>
      <c r="N469" s="280"/>
      <c r="O469" s="280"/>
    </row>
    <row r="470" spans="1:15" x14ac:dyDescent="0.25">
      <c r="A470" s="113" t="s">
        <v>1151</v>
      </c>
      <c r="B470" s="266"/>
      <c r="C470" s="266"/>
      <c r="D470" s="266"/>
      <c r="E470" s="266"/>
      <c r="F470" s="266"/>
      <c r="G470" s="266"/>
      <c r="H470" s="265">
        <f t="shared" si="11"/>
        <v>0</v>
      </c>
      <c r="I470" s="280"/>
      <c r="J470" s="280"/>
      <c r="K470" s="280"/>
      <c r="L470" s="280"/>
      <c r="M470" s="280"/>
      <c r="N470" s="280"/>
      <c r="O470" s="280"/>
    </row>
    <row r="471" spans="1:15" x14ac:dyDescent="0.25">
      <c r="A471" s="113" t="s">
        <v>1152</v>
      </c>
      <c r="B471" s="266"/>
      <c r="C471" s="266"/>
      <c r="D471" s="266"/>
      <c r="E471" s="266"/>
      <c r="F471" s="266"/>
      <c r="G471" s="266"/>
      <c r="H471" s="265">
        <f t="shared" si="11"/>
        <v>0</v>
      </c>
      <c r="I471" s="280"/>
      <c r="J471" s="280"/>
      <c r="K471" s="280"/>
      <c r="L471" s="280"/>
      <c r="M471" s="280"/>
      <c r="N471" s="280"/>
      <c r="O471" s="280"/>
    </row>
    <row r="472" spans="1:15" x14ac:dyDescent="0.25">
      <c r="A472" s="113" t="s">
        <v>1153</v>
      </c>
      <c r="B472" s="266"/>
      <c r="C472" s="266"/>
      <c r="D472" s="266"/>
      <c r="E472" s="266"/>
      <c r="F472" s="266"/>
      <c r="G472" s="266"/>
      <c r="H472" s="265">
        <f t="shared" si="11"/>
        <v>0</v>
      </c>
      <c r="I472" s="280"/>
      <c r="J472" s="280"/>
      <c r="K472" s="280"/>
      <c r="L472" s="280"/>
      <c r="M472" s="280"/>
      <c r="N472" s="280"/>
      <c r="O472" s="280"/>
    </row>
    <row r="473" spans="1:15" x14ac:dyDescent="0.25">
      <c r="A473" s="113" t="s">
        <v>1154</v>
      </c>
      <c r="B473" s="266"/>
      <c r="C473" s="266"/>
      <c r="D473" s="266"/>
      <c r="E473" s="266"/>
      <c r="F473" s="266"/>
      <c r="G473" s="266"/>
      <c r="H473" s="265">
        <f t="shared" si="11"/>
        <v>0</v>
      </c>
      <c r="I473" s="280"/>
      <c r="J473" s="280"/>
      <c r="K473" s="280"/>
      <c r="L473" s="280"/>
      <c r="M473" s="280"/>
      <c r="N473" s="280"/>
      <c r="O473" s="280"/>
    </row>
    <row r="474" spans="1:15" x14ac:dyDescent="0.25">
      <c r="A474" s="113" t="s">
        <v>1155</v>
      </c>
      <c r="B474" s="266"/>
      <c r="C474" s="266"/>
      <c r="D474" s="266"/>
      <c r="E474" s="266"/>
      <c r="F474" s="266"/>
      <c r="G474" s="266"/>
      <c r="H474" s="265">
        <f t="shared" si="11"/>
        <v>0</v>
      </c>
      <c r="I474" s="280"/>
      <c r="J474" s="280"/>
      <c r="K474" s="280"/>
      <c r="L474" s="280"/>
      <c r="M474" s="280"/>
      <c r="N474" s="280"/>
      <c r="O474" s="280"/>
    </row>
    <row r="475" spans="1:15" x14ac:dyDescent="0.25">
      <c r="A475" s="113" t="s">
        <v>1156</v>
      </c>
      <c r="B475" s="266">
        <v>5000</v>
      </c>
      <c r="C475" s="266">
        <v>5000</v>
      </c>
      <c r="D475" s="266">
        <v>5000</v>
      </c>
      <c r="E475" s="266">
        <v>5000</v>
      </c>
      <c r="F475" s="266">
        <v>5000</v>
      </c>
      <c r="G475" s="266">
        <v>5000</v>
      </c>
      <c r="H475" s="265">
        <f t="shared" si="11"/>
        <v>30000</v>
      </c>
      <c r="I475" s="280"/>
      <c r="J475" s="280"/>
      <c r="K475" s="280"/>
      <c r="L475" s="280"/>
      <c r="M475" s="280"/>
      <c r="N475" s="280"/>
      <c r="O475" s="280"/>
    </row>
    <row r="476" spans="1:15" x14ac:dyDescent="0.25">
      <c r="A476" s="113" t="s">
        <v>1157</v>
      </c>
      <c r="B476" s="266">
        <v>0</v>
      </c>
      <c r="C476" s="266">
        <v>0</v>
      </c>
      <c r="D476" s="266">
        <v>0</v>
      </c>
      <c r="E476" s="266">
        <v>0</v>
      </c>
      <c r="F476" s="266">
        <v>0</v>
      </c>
      <c r="G476" s="266">
        <v>0</v>
      </c>
      <c r="H476" s="265">
        <f t="shared" si="11"/>
        <v>0</v>
      </c>
      <c r="I476" s="280"/>
      <c r="J476" s="280"/>
      <c r="K476" s="280"/>
      <c r="L476" s="280"/>
      <c r="M476" s="280"/>
      <c r="N476" s="280"/>
      <c r="O476" s="280"/>
    </row>
    <row r="477" spans="1:15" ht="28.5" x14ac:dyDescent="0.25">
      <c r="A477" s="113" t="s">
        <v>1158</v>
      </c>
      <c r="B477" s="266"/>
      <c r="C477" s="266"/>
      <c r="D477" s="266"/>
      <c r="E477" s="266"/>
      <c r="F477" s="266"/>
      <c r="G477" s="266"/>
      <c r="H477" s="265">
        <f t="shared" si="11"/>
        <v>0</v>
      </c>
      <c r="I477" s="280" t="s">
        <v>1719</v>
      </c>
      <c r="J477" s="280"/>
      <c r="K477" s="280"/>
      <c r="L477" s="280"/>
      <c r="M477" s="280"/>
      <c r="N477" s="280"/>
      <c r="O477" s="280"/>
    </row>
    <row r="478" spans="1:15" ht="28.5" x14ac:dyDescent="0.25">
      <c r="A478" s="113" t="s">
        <v>1159</v>
      </c>
      <c r="B478" s="266"/>
      <c r="C478" s="266"/>
      <c r="D478" s="266"/>
      <c r="E478" s="266"/>
      <c r="F478" s="266"/>
      <c r="G478" s="266"/>
      <c r="H478" s="265">
        <f t="shared" si="11"/>
        <v>0</v>
      </c>
      <c r="I478" s="280" t="s">
        <v>1719</v>
      </c>
      <c r="J478" s="280"/>
      <c r="K478" s="280"/>
      <c r="L478" s="280"/>
      <c r="M478" s="280"/>
      <c r="N478" s="280"/>
      <c r="O478" s="280"/>
    </row>
    <row r="479" spans="1:15" x14ac:dyDescent="0.25">
      <c r="A479" s="113" t="s">
        <v>1160</v>
      </c>
      <c r="B479" s="266"/>
      <c r="C479" s="266"/>
      <c r="D479" s="266"/>
      <c r="E479" s="266"/>
      <c r="F479" s="266"/>
      <c r="G479" s="266"/>
      <c r="H479" s="265">
        <f t="shared" si="11"/>
        <v>0</v>
      </c>
      <c r="I479" s="280"/>
      <c r="J479" s="280"/>
      <c r="K479" s="280"/>
      <c r="L479" s="280"/>
      <c r="M479" s="280"/>
      <c r="N479" s="280"/>
      <c r="O479" s="280"/>
    </row>
    <row r="480" spans="1:15" x14ac:dyDescent="0.25">
      <c r="A480" s="113" t="s">
        <v>1017</v>
      </c>
      <c r="B480" s="266">
        <v>0</v>
      </c>
      <c r="C480" s="266">
        <v>0</v>
      </c>
      <c r="D480" s="266">
        <v>0</v>
      </c>
      <c r="E480" s="266">
        <v>0</v>
      </c>
      <c r="F480" s="266">
        <v>0</v>
      </c>
      <c r="G480" s="266">
        <v>0</v>
      </c>
      <c r="H480" s="265">
        <f t="shared" si="11"/>
        <v>0</v>
      </c>
      <c r="I480" s="280"/>
      <c r="J480" s="280"/>
      <c r="K480" s="280"/>
      <c r="L480" s="280"/>
      <c r="M480" s="280"/>
      <c r="N480" s="280"/>
      <c r="O480" s="280"/>
    </row>
    <row r="481" spans="1:15" x14ac:dyDescent="0.25">
      <c r="A481" s="113" t="s">
        <v>1018</v>
      </c>
      <c r="B481" s="266">
        <v>0</v>
      </c>
      <c r="C481" s="266">
        <v>0</v>
      </c>
      <c r="D481" s="266">
        <v>0</v>
      </c>
      <c r="E481" s="266">
        <v>0</v>
      </c>
      <c r="F481" s="266">
        <v>0</v>
      </c>
      <c r="G481" s="266">
        <v>0</v>
      </c>
      <c r="H481" s="265">
        <f t="shared" si="11"/>
        <v>0</v>
      </c>
      <c r="I481" s="280"/>
      <c r="J481" s="280"/>
      <c r="K481" s="280"/>
      <c r="L481" s="280"/>
      <c r="M481" s="280"/>
      <c r="N481" s="280"/>
      <c r="O481" s="280"/>
    </row>
    <row r="482" spans="1:15" x14ac:dyDescent="0.25">
      <c r="A482" s="113" t="s">
        <v>1019</v>
      </c>
      <c r="B482" s="266">
        <v>0</v>
      </c>
      <c r="C482" s="266">
        <v>0</v>
      </c>
      <c r="D482" s="266">
        <v>0</v>
      </c>
      <c r="E482" s="266">
        <v>0</v>
      </c>
      <c r="F482" s="266">
        <v>0</v>
      </c>
      <c r="G482" s="266">
        <v>0</v>
      </c>
      <c r="H482" s="265">
        <f t="shared" si="11"/>
        <v>0</v>
      </c>
      <c r="I482" s="280"/>
      <c r="J482" s="280"/>
      <c r="K482" s="280"/>
      <c r="L482" s="280"/>
      <c r="M482" s="280"/>
      <c r="N482" s="280"/>
      <c r="O482" s="280"/>
    </row>
    <row r="483" spans="1:15" x14ac:dyDescent="0.25">
      <c r="A483" s="113" t="s">
        <v>1020</v>
      </c>
      <c r="B483" s="266">
        <v>0</v>
      </c>
      <c r="C483" s="266">
        <v>0</v>
      </c>
      <c r="D483" s="266">
        <v>0</v>
      </c>
      <c r="E483" s="266">
        <v>0</v>
      </c>
      <c r="F483" s="266">
        <v>0</v>
      </c>
      <c r="G483" s="266">
        <v>0</v>
      </c>
      <c r="H483" s="265">
        <f t="shared" si="11"/>
        <v>0</v>
      </c>
      <c r="I483" s="280"/>
      <c r="J483" s="280"/>
      <c r="K483" s="280"/>
      <c r="L483" s="280"/>
      <c r="M483" s="280"/>
      <c r="N483" s="280"/>
      <c r="O483" s="280"/>
    </row>
    <row r="484" spans="1:15" x14ac:dyDescent="0.25">
      <c r="A484" s="113" t="s">
        <v>1021</v>
      </c>
      <c r="B484" s="266"/>
      <c r="C484" s="266"/>
      <c r="D484" s="266">
        <v>1000000</v>
      </c>
      <c r="E484" s="266">
        <v>17000000</v>
      </c>
      <c r="F484" s="266">
        <v>20000000</v>
      </c>
      <c r="G484" s="266">
        <v>19000000</v>
      </c>
      <c r="H484" s="265">
        <f t="shared" si="11"/>
        <v>57000000</v>
      </c>
      <c r="I484" s="280"/>
      <c r="J484" s="280"/>
      <c r="K484" s="280"/>
      <c r="L484" s="280"/>
      <c r="M484" s="280"/>
      <c r="N484" s="280"/>
      <c r="O484" s="280"/>
    </row>
    <row r="485" spans="1:15" x14ac:dyDescent="0.25">
      <c r="A485" s="113" t="s">
        <v>1022</v>
      </c>
      <c r="B485" s="266"/>
      <c r="C485" s="266"/>
      <c r="D485" s="266">
        <v>600000</v>
      </c>
      <c r="E485" s="266">
        <v>12000000</v>
      </c>
      <c r="F485" s="266">
        <v>14000000</v>
      </c>
      <c r="G485" s="266">
        <v>12000000</v>
      </c>
      <c r="H485" s="265">
        <f t="shared" si="11"/>
        <v>38600000</v>
      </c>
      <c r="I485" s="280"/>
      <c r="J485" s="280"/>
      <c r="K485" s="280"/>
      <c r="L485" s="280"/>
      <c r="M485" s="280"/>
      <c r="N485" s="280"/>
      <c r="O485" s="280"/>
    </row>
    <row r="486" spans="1:15" x14ac:dyDescent="0.25">
      <c r="A486" s="113" t="s">
        <v>1023</v>
      </c>
      <c r="B486" s="266"/>
      <c r="C486" s="266"/>
      <c r="D486" s="266"/>
      <c r="E486" s="266">
        <v>4800000</v>
      </c>
      <c r="F486" s="266">
        <v>1200000</v>
      </c>
      <c r="G486" s="266"/>
      <c r="H486" s="265">
        <f t="shared" si="11"/>
        <v>6000000</v>
      </c>
      <c r="I486" s="280"/>
      <c r="J486" s="280"/>
      <c r="K486" s="280"/>
      <c r="L486" s="280"/>
      <c r="M486" s="280"/>
      <c r="N486" s="280"/>
      <c r="O486" s="280"/>
    </row>
    <row r="487" spans="1:15" x14ac:dyDescent="0.25">
      <c r="A487" s="113" t="s">
        <v>1024</v>
      </c>
      <c r="B487" s="266"/>
      <c r="C487" s="266"/>
      <c r="D487" s="266"/>
      <c r="E487" s="266"/>
      <c r="F487" s="266"/>
      <c r="G487" s="266"/>
      <c r="H487" s="265">
        <f t="shared" si="11"/>
        <v>0</v>
      </c>
      <c r="I487" s="280"/>
      <c r="J487" s="280"/>
      <c r="K487" s="280"/>
      <c r="L487" s="280"/>
      <c r="M487" s="280"/>
      <c r="N487" s="280"/>
      <c r="O487" s="280"/>
    </row>
    <row r="488" spans="1:15" x14ac:dyDescent="0.25">
      <c r="A488" s="113" t="s">
        <v>1025</v>
      </c>
      <c r="B488" s="266">
        <v>500000</v>
      </c>
      <c r="C488" s="266">
        <v>2200000</v>
      </c>
      <c r="D488" s="266"/>
      <c r="E488" s="266"/>
      <c r="F488" s="266"/>
      <c r="G488" s="266"/>
      <c r="H488" s="265">
        <f t="shared" si="11"/>
        <v>2700000</v>
      </c>
      <c r="I488" s="280"/>
      <c r="J488" s="280"/>
      <c r="K488" s="280"/>
      <c r="L488" s="280"/>
      <c r="M488" s="280"/>
      <c r="N488" s="280"/>
      <c r="O488" s="280"/>
    </row>
    <row r="489" spans="1:15" x14ac:dyDescent="0.25">
      <c r="A489" s="113" t="s">
        <v>1026</v>
      </c>
      <c r="B489" s="266"/>
      <c r="C489" s="266"/>
      <c r="D489" s="266"/>
      <c r="E489" s="266"/>
      <c r="F489" s="266"/>
      <c r="G489" s="266"/>
      <c r="H489" s="265">
        <f t="shared" si="11"/>
        <v>0</v>
      </c>
      <c r="I489" s="280"/>
      <c r="J489" s="280"/>
      <c r="K489" s="280"/>
      <c r="L489" s="280"/>
      <c r="M489" s="280"/>
      <c r="N489" s="280"/>
      <c r="O489" s="280"/>
    </row>
    <row r="490" spans="1:15" x14ac:dyDescent="0.25">
      <c r="A490" s="113" t="s">
        <v>1027</v>
      </c>
      <c r="B490" s="266">
        <v>4000000</v>
      </c>
      <c r="C490" s="266">
        <v>2500000</v>
      </c>
      <c r="D490" s="266"/>
      <c r="E490" s="266"/>
      <c r="F490" s="266"/>
      <c r="G490" s="266"/>
      <c r="H490" s="265">
        <f t="shared" si="11"/>
        <v>6500000</v>
      </c>
      <c r="I490" s="280"/>
      <c r="J490" s="280"/>
      <c r="K490" s="280"/>
      <c r="L490" s="280"/>
      <c r="M490" s="280"/>
      <c r="N490" s="280"/>
      <c r="O490" s="280"/>
    </row>
    <row r="491" spans="1:15" x14ac:dyDescent="0.25">
      <c r="A491" s="113" t="s">
        <v>1028</v>
      </c>
      <c r="B491" s="266">
        <v>0</v>
      </c>
      <c r="C491" s="266">
        <v>0</v>
      </c>
      <c r="D491" s="266">
        <v>0</v>
      </c>
      <c r="E491" s="266">
        <v>0</v>
      </c>
      <c r="F491" s="266">
        <v>0</v>
      </c>
      <c r="G491" s="266">
        <v>0</v>
      </c>
      <c r="H491" s="265">
        <f t="shared" si="11"/>
        <v>0</v>
      </c>
      <c r="I491" s="280"/>
      <c r="J491" s="280"/>
      <c r="K491" s="280"/>
      <c r="L491" s="280"/>
      <c r="M491" s="280"/>
      <c r="N491" s="280"/>
      <c r="O491" s="280"/>
    </row>
    <row r="492" spans="1:15" x14ac:dyDescent="0.25">
      <c r="A492" s="113" t="s">
        <v>1029</v>
      </c>
      <c r="B492" s="266">
        <v>0</v>
      </c>
      <c r="C492" s="266">
        <v>0</v>
      </c>
      <c r="D492" s="266">
        <v>0</v>
      </c>
      <c r="E492" s="266">
        <v>0</v>
      </c>
      <c r="F492" s="266">
        <v>0</v>
      </c>
      <c r="G492" s="266">
        <v>0</v>
      </c>
      <c r="H492" s="265">
        <f t="shared" si="11"/>
        <v>0</v>
      </c>
      <c r="I492" s="280"/>
      <c r="J492" s="280"/>
      <c r="K492" s="280"/>
      <c r="L492" s="280"/>
      <c r="M492" s="280"/>
      <c r="N492" s="280"/>
      <c r="O492" s="280"/>
    </row>
    <row r="493" spans="1:15" x14ac:dyDescent="0.25">
      <c r="A493" s="113" t="s">
        <v>1030</v>
      </c>
      <c r="B493" s="266">
        <v>0</v>
      </c>
      <c r="C493" s="266">
        <v>0</v>
      </c>
      <c r="D493" s="266">
        <v>0</v>
      </c>
      <c r="E493" s="266">
        <v>0</v>
      </c>
      <c r="F493" s="266">
        <v>0</v>
      </c>
      <c r="G493" s="266">
        <v>0</v>
      </c>
      <c r="H493" s="265">
        <f t="shared" si="11"/>
        <v>0</v>
      </c>
      <c r="I493" s="280"/>
      <c r="J493" s="280"/>
      <c r="K493" s="280"/>
      <c r="L493" s="280"/>
      <c r="M493" s="280"/>
      <c r="N493" s="280"/>
      <c r="O493" s="280"/>
    </row>
    <row r="494" spans="1:15" x14ac:dyDescent="0.25">
      <c r="A494" s="113" t="s">
        <v>1031</v>
      </c>
      <c r="B494" s="266">
        <v>0</v>
      </c>
      <c r="C494" s="266">
        <v>0</v>
      </c>
      <c r="D494" s="266">
        <v>0</v>
      </c>
      <c r="E494" s="266">
        <v>0</v>
      </c>
      <c r="F494" s="266">
        <v>0</v>
      </c>
      <c r="G494" s="266">
        <v>0</v>
      </c>
      <c r="H494" s="265">
        <f t="shared" si="11"/>
        <v>0</v>
      </c>
      <c r="I494" s="280"/>
      <c r="J494" s="280"/>
      <c r="K494" s="280"/>
      <c r="L494" s="280"/>
      <c r="M494" s="280"/>
      <c r="N494" s="280"/>
      <c r="O494" s="280"/>
    </row>
    <row r="495" spans="1:15" x14ac:dyDescent="0.25">
      <c r="A495" s="113" t="s">
        <v>1032</v>
      </c>
      <c r="B495" s="266">
        <v>0</v>
      </c>
      <c r="C495" s="266">
        <v>0</v>
      </c>
      <c r="D495" s="266">
        <v>0</v>
      </c>
      <c r="E495" s="266">
        <v>0</v>
      </c>
      <c r="F495" s="266">
        <v>0</v>
      </c>
      <c r="G495" s="266">
        <v>0</v>
      </c>
      <c r="H495" s="265">
        <f t="shared" si="11"/>
        <v>0</v>
      </c>
      <c r="I495" s="280"/>
      <c r="J495" s="280"/>
      <c r="K495" s="280"/>
      <c r="L495" s="280"/>
      <c r="M495" s="280"/>
      <c r="N495" s="280"/>
      <c r="O495" s="280"/>
    </row>
    <row r="496" spans="1:15" x14ac:dyDescent="0.25">
      <c r="A496" s="113" t="s">
        <v>1033</v>
      </c>
      <c r="B496" s="266">
        <v>0</v>
      </c>
      <c r="C496" s="266">
        <v>0</v>
      </c>
      <c r="D496" s="266">
        <v>0</v>
      </c>
      <c r="E496" s="266">
        <v>0</v>
      </c>
      <c r="F496" s="266">
        <v>0</v>
      </c>
      <c r="G496" s="266">
        <v>0</v>
      </c>
      <c r="H496" s="265">
        <f t="shared" si="11"/>
        <v>0</v>
      </c>
      <c r="I496" s="280"/>
      <c r="J496" s="280"/>
      <c r="K496" s="280"/>
      <c r="L496" s="280"/>
      <c r="M496" s="280"/>
      <c r="N496" s="280"/>
      <c r="O496" s="280"/>
    </row>
    <row r="497" spans="1:15" x14ac:dyDescent="0.25">
      <c r="A497" s="113" t="s">
        <v>1034</v>
      </c>
      <c r="B497" s="266">
        <v>0</v>
      </c>
      <c r="C497" s="266">
        <v>0</v>
      </c>
      <c r="D497" s="266">
        <v>0</v>
      </c>
      <c r="E497" s="266">
        <v>0</v>
      </c>
      <c r="F497" s="266">
        <v>0</v>
      </c>
      <c r="G497" s="266">
        <v>0</v>
      </c>
      <c r="H497" s="265">
        <f t="shared" si="11"/>
        <v>0</v>
      </c>
      <c r="I497" s="280"/>
      <c r="J497" s="280"/>
      <c r="K497" s="280"/>
      <c r="L497" s="280"/>
      <c r="M497" s="280"/>
      <c r="N497" s="280"/>
      <c r="O497" s="280"/>
    </row>
    <row r="498" spans="1:15" x14ac:dyDescent="0.25">
      <c r="A498" s="113" t="s">
        <v>1035</v>
      </c>
      <c r="B498" s="266">
        <v>0</v>
      </c>
      <c r="C498" s="266">
        <v>0</v>
      </c>
      <c r="D498" s="266">
        <v>0</v>
      </c>
      <c r="E498" s="266">
        <v>0</v>
      </c>
      <c r="F498" s="266">
        <v>0</v>
      </c>
      <c r="G498" s="266">
        <v>0</v>
      </c>
      <c r="H498" s="265">
        <f t="shared" si="11"/>
        <v>0</v>
      </c>
      <c r="I498" s="280"/>
      <c r="J498" s="280"/>
      <c r="K498" s="280"/>
      <c r="L498" s="280"/>
      <c r="M498" s="280"/>
      <c r="N498" s="280"/>
      <c r="O498" s="280"/>
    </row>
    <row r="499" spans="1:15" x14ac:dyDescent="0.25">
      <c r="A499" s="113" t="s">
        <v>1036</v>
      </c>
      <c r="B499" s="266">
        <v>0</v>
      </c>
      <c r="C499" s="266">
        <v>0</v>
      </c>
      <c r="D499" s="266">
        <v>0</v>
      </c>
      <c r="E499" s="266">
        <v>0</v>
      </c>
      <c r="F499" s="266">
        <v>0</v>
      </c>
      <c r="G499" s="266">
        <v>0</v>
      </c>
      <c r="H499" s="265">
        <f t="shared" si="11"/>
        <v>0</v>
      </c>
      <c r="I499" s="280"/>
      <c r="J499" s="280"/>
      <c r="K499" s="280"/>
      <c r="L499" s="280"/>
      <c r="M499" s="280"/>
      <c r="N499" s="280"/>
      <c r="O499" s="280"/>
    </row>
    <row r="500" spans="1:15" x14ac:dyDescent="0.25">
      <c r="A500" s="113" t="s">
        <v>1037</v>
      </c>
      <c r="B500" s="266">
        <v>0</v>
      </c>
      <c r="C500" s="266">
        <v>0</v>
      </c>
      <c r="D500" s="266">
        <v>0</v>
      </c>
      <c r="E500" s="266">
        <v>0</v>
      </c>
      <c r="F500" s="266">
        <v>0</v>
      </c>
      <c r="G500" s="266">
        <v>0</v>
      </c>
      <c r="H500" s="265">
        <f t="shared" si="11"/>
        <v>0</v>
      </c>
      <c r="I500" s="280"/>
      <c r="J500" s="280"/>
      <c r="K500" s="280"/>
      <c r="L500" s="280"/>
      <c r="M500" s="280"/>
      <c r="N500" s="280"/>
      <c r="O500" s="280"/>
    </row>
    <row r="501" spans="1:15" x14ac:dyDescent="0.25">
      <c r="A501" s="113" t="s">
        <v>1038</v>
      </c>
      <c r="B501" s="266">
        <v>0</v>
      </c>
      <c r="C501" s="266">
        <v>0</v>
      </c>
      <c r="D501" s="266">
        <v>0</v>
      </c>
      <c r="E501" s="266">
        <v>0</v>
      </c>
      <c r="F501" s="266">
        <v>0</v>
      </c>
      <c r="G501" s="266">
        <v>0</v>
      </c>
      <c r="H501" s="265">
        <f t="shared" si="11"/>
        <v>0</v>
      </c>
      <c r="I501" s="280"/>
      <c r="J501" s="280"/>
      <c r="K501" s="280"/>
      <c r="L501" s="280"/>
      <c r="M501" s="280"/>
      <c r="N501" s="280"/>
      <c r="O501" s="280"/>
    </row>
    <row r="502" spans="1:15" x14ac:dyDescent="0.25">
      <c r="A502" s="113" t="s">
        <v>1039</v>
      </c>
      <c r="B502" s="266">
        <v>0</v>
      </c>
      <c r="C502" s="266">
        <v>0</v>
      </c>
      <c r="D502" s="266">
        <v>0</v>
      </c>
      <c r="E502" s="266">
        <v>0</v>
      </c>
      <c r="F502" s="266">
        <v>0</v>
      </c>
      <c r="G502" s="266">
        <v>0</v>
      </c>
      <c r="H502" s="265">
        <f t="shared" si="11"/>
        <v>0</v>
      </c>
      <c r="I502" s="280"/>
      <c r="J502" s="280"/>
      <c r="K502" s="280"/>
      <c r="L502" s="280"/>
      <c r="M502" s="280"/>
      <c r="N502" s="280"/>
      <c r="O502" s="280"/>
    </row>
    <row r="503" spans="1:15" x14ac:dyDescent="0.25">
      <c r="A503" s="113" t="s">
        <v>1040</v>
      </c>
      <c r="B503" s="266">
        <v>0</v>
      </c>
      <c r="C503" s="266">
        <v>0</v>
      </c>
      <c r="D503" s="266">
        <v>0</v>
      </c>
      <c r="E503" s="266">
        <v>0</v>
      </c>
      <c r="F503" s="266">
        <v>0</v>
      </c>
      <c r="G503" s="266">
        <v>0</v>
      </c>
      <c r="H503" s="265">
        <f t="shared" si="11"/>
        <v>0</v>
      </c>
      <c r="I503" s="280"/>
      <c r="J503" s="280"/>
      <c r="K503" s="280"/>
      <c r="L503" s="280"/>
      <c r="M503" s="280"/>
      <c r="N503" s="280"/>
      <c r="O503" s="280"/>
    </row>
    <row r="504" spans="1:15" x14ac:dyDescent="0.25">
      <c r="A504" s="113" t="s">
        <v>1041</v>
      </c>
      <c r="B504" s="266">
        <v>0</v>
      </c>
      <c r="C504" s="266">
        <v>0</v>
      </c>
      <c r="D504" s="266">
        <v>0</v>
      </c>
      <c r="E504" s="266">
        <v>0</v>
      </c>
      <c r="F504" s="266">
        <v>0</v>
      </c>
      <c r="G504" s="266">
        <v>0</v>
      </c>
      <c r="H504" s="265">
        <f t="shared" si="11"/>
        <v>0</v>
      </c>
      <c r="I504" s="280"/>
      <c r="J504" s="280"/>
      <c r="K504" s="280"/>
      <c r="L504" s="280"/>
      <c r="M504" s="280"/>
      <c r="N504" s="280"/>
      <c r="O504" s="280"/>
    </row>
    <row r="505" spans="1:15" x14ac:dyDescent="0.25">
      <c r="A505" s="113" t="s">
        <v>1042</v>
      </c>
      <c r="B505" s="266">
        <v>0</v>
      </c>
      <c r="C505" s="266">
        <v>0</v>
      </c>
      <c r="D505" s="266">
        <v>0</v>
      </c>
      <c r="E505" s="266">
        <v>0</v>
      </c>
      <c r="F505" s="266">
        <v>0</v>
      </c>
      <c r="G505" s="266">
        <v>0</v>
      </c>
      <c r="H505" s="265">
        <f t="shared" si="11"/>
        <v>0</v>
      </c>
      <c r="I505" s="280"/>
      <c r="J505" s="280"/>
      <c r="K505" s="280"/>
      <c r="L505" s="280"/>
      <c r="M505" s="280"/>
      <c r="N505" s="280"/>
      <c r="O505" s="280"/>
    </row>
    <row r="506" spans="1:15" x14ac:dyDescent="0.25">
      <c r="A506" s="113" t="s">
        <v>1043</v>
      </c>
      <c r="B506" s="266">
        <v>0</v>
      </c>
      <c r="C506" s="266">
        <v>0</v>
      </c>
      <c r="D506" s="266">
        <v>0</v>
      </c>
      <c r="E506" s="266">
        <v>0</v>
      </c>
      <c r="F506" s="266">
        <v>0</v>
      </c>
      <c r="G506" s="266">
        <v>0</v>
      </c>
      <c r="H506" s="265">
        <f t="shared" si="11"/>
        <v>0</v>
      </c>
      <c r="I506" s="280"/>
      <c r="J506" s="280"/>
      <c r="K506" s="280"/>
      <c r="L506" s="280"/>
      <c r="M506" s="280"/>
      <c r="N506" s="280"/>
      <c r="O506" s="280"/>
    </row>
    <row r="507" spans="1:15" x14ac:dyDescent="0.25">
      <c r="A507" s="113" t="s">
        <v>1044</v>
      </c>
      <c r="B507" s="266">
        <v>0</v>
      </c>
      <c r="C507" s="266">
        <v>0</v>
      </c>
      <c r="D507" s="266">
        <v>0</v>
      </c>
      <c r="E507" s="266">
        <v>0</v>
      </c>
      <c r="F507" s="266">
        <v>0</v>
      </c>
      <c r="G507" s="266">
        <v>0</v>
      </c>
      <c r="H507" s="265">
        <f t="shared" si="11"/>
        <v>0</v>
      </c>
      <c r="I507" s="280"/>
      <c r="J507" s="280"/>
      <c r="K507" s="280"/>
      <c r="L507" s="280"/>
      <c r="M507" s="280"/>
      <c r="N507" s="280"/>
      <c r="O507" s="280"/>
    </row>
    <row r="508" spans="1:15" x14ac:dyDescent="0.25">
      <c r="A508" s="113" t="s">
        <v>1045</v>
      </c>
      <c r="B508" s="266">
        <v>0</v>
      </c>
      <c r="C508" s="266">
        <v>0</v>
      </c>
      <c r="D508" s="266">
        <v>0</v>
      </c>
      <c r="E508" s="266">
        <v>0</v>
      </c>
      <c r="F508" s="266">
        <v>0</v>
      </c>
      <c r="G508" s="266">
        <v>0</v>
      </c>
      <c r="H508" s="265">
        <f t="shared" si="11"/>
        <v>0</v>
      </c>
      <c r="I508" s="280"/>
      <c r="J508" s="280"/>
      <c r="K508" s="280"/>
      <c r="L508" s="280"/>
      <c r="M508" s="280"/>
      <c r="N508" s="280"/>
      <c r="O508" s="280"/>
    </row>
    <row r="509" spans="1:15" x14ac:dyDescent="0.25">
      <c r="A509" s="113" t="s">
        <v>1046</v>
      </c>
      <c r="B509" s="266">
        <v>0</v>
      </c>
      <c r="C509" s="266">
        <v>0</v>
      </c>
      <c r="D509" s="266">
        <v>0</v>
      </c>
      <c r="E509" s="266">
        <v>0</v>
      </c>
      <c r="F509" s="266">
        <v>0</v>
      </c>
      <c r="G509" s="266">
        <v>0</v>
      </c>
      <c r="H509" s="265">
        <f t="shared" si="11"/>
        <v>0</v>
      </c>
      <c r="I509" s="280"/>
      <c r="J509" s="280"/>
      <c r="K509" s="280"/>
      <c r="L509" s="280"/>
      <c r="M509" s="280"/>
      <c r="N509" s="280"/>
      <c r="O509" s="280"/>
    </row>
    <row r="510" spans="1:15" x14ac:dyDescent="0.25">
      <c r="A510" s="113" t="s">
        <v>1051</v>
      </c>
      <c r="B510" s="266">
        <v>0</v>
      </c>
      <c r="C510" s="266">
        <v>0</v>
      </c>
      <c r="D510" s="266">
        <v>0</v>
      </c>
      <c r="E510" s="266">
        <v>0</v>
      </c>
      <c r="F510" s="266">
        <v>0</v>
      </c>
      <c r="G510" s="266">
        <v>0</v>
      </c>
      <c r="H510" s="265">
        <f t="shared" si="11"/>
        <v>0</v>
      </c>
      <c r="I510" s="280"/>
      <c r="J510" s="280"/>
      <c r="K510" s="280"/>
      <c r="L510" s="280"/>
      <c r="M510" s="280"/>
      <c r="N510" s="280"/>
      <c r="O510" s="280"/>
    </row>
    <row r="511" spans="1:15" x14ac:dyDescent="0.25">
      <c r="A511" s="113" t="s">
        <v>1047</v>
      </c>
      <c r="B511" s="266">
        <v>0</v>
      </c>
      <c r="C511" s="266">
        <v>0</v>
      </c>
      <c r="D511" s="266">
        <v>0</v>
      </c>
      <c r="E511" s="266">
        <v>0</v>
      </c>
      <c r="F511" s="266">
        <v>0</v>
      </c>
      <c r="G511" s="266">
        <v>0</v>
      </c>
      <c r="H511" s="265">
        <f t="shared" si="11"/>
        <v>0</v>
      </c>
      <c r="I511" s="280"/>
      <c r="J511" s="280"/>
      <c r="K511" s="280"/>
      <c r="L511" s="280"/>
      <c r="M511" s="280"/>
      <c r="N511" s="280"/>
      <c r="O511" s="280"/>
    </row>
    <row r="512" spans="1:15" x14ac:dyDescent="0.25">
      <c r="A512" s="113" t="s">
        <v>1048</v>
      </c>
      <c r="B512" s="266">
        <v>0</v>
      </c>
      <c r="C512" s="266">
        <v>0</v>
      </c>
      <c r="D512" s="266">
        <v>0</v>
      </c>
      <c r="E512" s="266">
        <v>0</v>
      </c>
      <c r="F512" s="266">
        <v>0</v>
      </c>
      <c r="G512" s="266">
        <v>0</v>
      </c>
      <c r="H512" s="265">
        <f t="shared" si="11"/>
        <v>0</v>
      </c>
      <c r="I512" s="280"/>
      <c r="J512" s="280"/>
      <c r="K512" s="280"/>
      <c r="L512" s="280"/>
      <c r="M512" s="280"/>
      <c r="N512" s="280"/>
      <c r="O512" s="280"/>
    </row>
    <row r="513" spans="1:15" x14ac:dyDescent="0.25">
      <c r="A513" s="113" t="s">
        <v>1049</v>
      </c>
      <c r="B513" s="266">
        <v>0</v>
      </c>
      <c r="C513" s="266">
        <v>0</v>
      </c>
      <c r="D513" s="266">
        <v>0</v>
      </c>
      <c r="E513" s="266">
        <v>0</v>
      </c>
      <c r="F513" s="266">
        <v>0</v>
      </c>
      <c r="G513" s="266">
        <v>0</v>
      </c>
      <c r="H513" s="265">
        <f t="shared" si="11"/>
        <v>0</v>
      </c>
      <c r="I513" s="280"/>
      <c r="J513" s="280"/>
      <c r="K513" s="280"/>
      <c r="L513" s="280"/>
      <c r="M513" s="280"/>
      <c r="N513" s="280"/>
      <c r="O513" s="280"/>
    </row>
    <row r="514" spans="1:15" x14ac:dyDescent="0.25">
      <c r="A514" s="113" t="s">
        <v>1050</v>
      </c>
      <c r="B514" s="266">
        <v>0</v>
      </c>
      <c r="C514" s="266">
        <v>0</v>
      </c>
      <c r="D514" s="266">
        <v>0</v>
      </c>
      <c r="E514" s="266">
        <v>0</v>
      </c>
      <c r="F514" s="266">
        <v>0</v>
      </c>
      <c r="G514" s="266">
        <v>0</v>
      </c>
      <c r="H514" s="265">
        <f t="shared" si="11"/>
        <v>0</v>
      </c>
      <c r="I514" s="280"/>
      <c r="J514" s="280"/>
      <c r="K514" s="280"/>
      <c r="L514" s="280"/>
      <c r="M514" s="280"/>
      <c r="N514" s="280"/>
      <c r="O514" s="280"/>
    </row>
    <row r="515" spans="1:15" x14ac:dyDescent="0.25">
      <c r="A515" s="113" t="s">
        <v>1052</v>
      </c>
      <c r="B515" s="266"/>
      <c r="C515" s="266"/>
      <c r="D515" s="266"/>
      <c r="E515" s="266"/>
      <c r="F515" s="266"/>
      <c r="G515" s="266"/>
      <c r="H515" s="265">
        <f t="shared" si="11"/>
        <v>0</v>
      </c>
      <c r="I515" s="280"/>
      <c r="J515" s="280"/>
      <c r="K515" s="280"/>
      <c r="L515" s="280"/>
      <c r="M515" s="280"/>
      <c r="N515" s="280"/>
      <c r="O515" s="280"/>
    </row>
    <row r="516" spans="1:15" x14ac:dyDescent="0.25">
      <c r="A516" s="113" t="s">
        <v>1053</v>
      </c>
      <c r="B516" s="266"/>
      <c r="C516" s="266"/>
      <c r="D516" s="266"/>
      <c r="E516" s="266"/>
      <c r="F516" s="266"/>
      <c r="G516" s="266"/>
      <c r="H516" s="265">
        <f t="shared" si="11"/>
        <v>0</v>
      </c>
      <c r="I516" s="280"/>
      <c r="J516" s="280"/>
      <c r="K516" s="280"/>
      <c r="L516" s="280"/>
      <c r="M516" s="280"/>
      <c r="N516" s="280"/>
      <c r="O516" s="280"/>
    </row>
    <row r="517" spans="1:15" x14ac:dyDescent="0.25">
      <c r="A517" s="113" t="s">
        <v>1054</v>
      </c>
      <c r="B517" s="266"/>
      <c r="C517" s="266"/>
      <c r="D517" s="266"/>
      <c r="E517" s="266"/>
      <c r="F517" s="266"/>
      <c r="G517" s="266"/>
      <c r="H517" s="265">
        <f t="shared" ref="H517:H580" si="12">SUM(B517:G517)</f>
        <v>0</v>
      </c>
      <c r="I517" s="280"/>
      <c r="J517" s="280"/>
      <c r="K517" s="280"/>
      <c r="L517" s="280"/>
      <c r="M517" s="280"/>
      <c r="N517" s="280"/>
      <c r="O517" s="280"/>
    </row>
    <row r="518" spans="1:15" x14ac:dyDescent="0.25">
      <c r="A518" s="113" t="s">
        <v>1055</v>
      </c>
      <c r="B518" s="266"/>
      <c r="C518" s="266"/>
      <c r="D518" s="266"/>
      <c r="E518" s="266"/>
      <c r="F518" s="266"/>
      <c r="G518" s="266"/>
      <c r="H518" s="265">
        <f t="shared" si="12"/>
        <v>0</v>
      </c>
      <c r="I518" s="280"/>
      <c r="J518" s="280"/>
      <c r="K518" s="280"/>
      <c r="L518" s="280"/>
      <c r="M518" s="280"/>
      <c r="N518" s="280"/>
      <c r="O518" s="280"/>
    </row>
    <row r="519" spans="1:15" x14ac:dyDescent="0.25">
      <c r="A519" s="113" t="s">
        <v>1056</v>
      </c>
      <c r="B519" s="266"/>
      <c r="C519" s="266"/>
      <c r="D519" s="266"/>
      <c r="E519" s="266"/>
      <c r="F519" s="266"/>
      <c r="G519" s="266"/>
      <c r="H519" s="265">
        <f t="shared" si="12"/>
        <v>0</v>
      </c>
      <c r="I519" s="280"/>
      <c r="J519" s="280"/>
      <c r="K519" s="280"/>
      <c r="L519" s="280"/>
      <c r="M519" s="280"/>
      <c r="N519" s="280"/>
      <c r="O519" s="280"/>
    </row>
    <row r="520" spans="1:15" x14ac:dyDescent="0.25">
      <c r="A520" s="113" t="s">
        <v>1057</v>
      </c>
      <c r="B520" s="266">
        <v>3000</v>
      </c>
      <c r="C520" s="266"/>
      <c r="D520" s="266"/>
      <c r="E520" s="266"/>
      <c r="F520" s="266"/>
      <c r="G520" s="266"/>
      <c r="H520" s="265">
        <f t="shared" si="12"/>
        <v>3000</v>
      </c>
      <c r="I520" s="280"/>
      <c r="J520" s="280"/>
      <c r="K520" s="280"/>
      <c r="L520" s="280"/>
      <c r="M520" s="280"/>
      <c r="N520" s="280"/>
      <c r="O520" s="280"/>
    </row>
    <row r="521" spans="1:15" x14ac:dyDescent="0.25">
      <c r="A521" s="113" t="s">
        <v>1058</v>
      </c>
      <c r="B521" s="266"/>
      <c r="C521" s="266"/>
      <c r="D521" s="266"/>
      <c r="E521" s="266"/>
      <c r="F521" s="266"/>
      <c r="G521" s="266"/>
      <c r="H521" s="265">
        <f t="shared" si="12"/>
        <v>0</v>
      </c>
      <c r="I521" s="280"/>
      <c r="J521" s="280"/>
      <c r="K521" s="280"/>
      <c r="L521" s="280"/>
      <c r="M521" s="280"/>
      <c r="N521" s="280"/>
      <c r="O521" s="280"/>
    </row>
    <row r="522" spans="1:15" x14ac:dyDescent="0.25">
      <c r="A522" s="113" t="s">
        <v>1059</v>
      </c>
      <c r="B522" s="266"/>
      <c r="C522" s="266"/>
      <c r="D522" s="266"/>
      <c r="E522" s="266"/>
      <c r="F522" s="266"/>
      <c r="G522" s="266"/>
      <c r="H522" s="265">
        <f t="shared" si="12"/>
        <v>0</v>
      </c>
      <c r="I522" s="280"/>
      <c r="J522" s="280"/>
      <c r="K522" s="280"/>
      <c r="L522" s="280"/>
      <c r="M522" s="280"/>
      <c r="N522" s="280"/>
      <c r="O522" s="280"/>
    </row>
    <row r="523" spans="1:15" x14ac:dyDescent="0.25">
      <c r="A523" s="113" t="s">
        <v>1060</v>
      </c>
      <c r="B523" s="266"/>
      <c r="C523" s="266"/>
      <c r="D523" s="266"/>
      <c r="E523" s="266"/>
      <c r="F523" s="266"/>
      <c r="G523" s="266"/>
      <c r="H523" s="265">
        <f t="shared" si="12"/>
        <v>0</v>
      </c>
      <c r="I523" s="280"/>
      <c r="J523" s="280"/>
      <c r="K523" s="280"/>
      <c r="L523" s="280"/>
      <c r="M523" s="280"/>
      <c r="N523" s="280"/>
      <c r="O523" s="280"/>
    </row>
    <row r="524" spans="1:15" x14ac:dyDescent="0.25">
      <c r="A524" s="113" t="s">
        <v>1064</v>
      </c>
      <c r="B524" s="266">
        <v>0</v>
      </c>
      <c r="C524" s="266">
        <v>0</v>
      </c>
      <c r="D524" s="266">
        <v>0</v>
      </c>
      <c r="E524" s="266">
        <v>0</v>
      </c>
      <c r="F524" s="266">
        <v>0</v>
      </c>
      <c r="G524" s="266">
        <v>0</v>
      </c>
      <c r="H524" s="265">
        <f t="shared" si="12"/>
        <v>0</v>
      </c>
      <c r="I524" s="280"/>
      <c r="J524" s="280"/>
      <c r="K524" s="280"/>
      <c r="L524" s="280"/>
      <c r="M524" s="280"/>
      <c r="N524" s="280"/>
      <c r="O524" s="280"/>
    </row>
    <row r="525" spans="1:15" x14ac:dyDescent="0.25">
      <c r="A525" s="113" t="s">
        <v>1065</v>
      </c>
      <c r="B525" s="266">
        <v>2000</v>
      </c>
      <c r="C525" s="266">
        <v>2000</v>
      </c>
      <c r="D525" s="266">
        <v>2000</v>
      </c>
      <c r="E525" s="266">
        <v>2000</v>
      </c>
      <c r="F525" s="266">
        <v>2000</v>
      </c>
      <c r="G525" s="266">
        <v>2000</v>
      </c>
      <c r="H525" s="265">
        <f t="shared" si="12"/>
        <v>12000</v>
      </c>
      <c r="I525" s="280"/>
      <c r="J525" s="280"/>
      <c r="K525" s="280"/>
      <c r="L525" s="280"/>
      <c r="M525" s="280"/>
      <c r="N525" s="280"/>
      <c r="O525" s="280"/>
    </row>
    <row r="526" spans="1:15" x14ac:dyDescent="0.25">
      <c r="A526" s="113" t="s">
        <v>1066</v>
      </c>
      <c r="B526" s="266"/>
      <c r="C526" s="266"/>
      <c r="D526" s="266"/>
      <c r="E526" s="266"/>
      <c r="F526" s="266"/>
      <c r="G526" s="266"/>
      <c r="H526" s="265">
        <f t="shared" si="12"/>
        <v>0</v>
      </c>
      <c r="I526" s="280"/>
      <c r="J526" s="280"/>
      <c r="K526" s="280"/>
      <c r="L526" s="280"/>
      <c r="M526" s="280"/>
      <c r="N526" s="280"/>
      <c r="O526" s="280"/>
    </row>
    <row r="527" spans="1:15" x14ac:dyDescent="0.25">
      <c r="A527" s="113" t="s">
        <v>1067</v>
      </c>
      <c r="B527" s="266"/>
      <c r="C527" s="266"/>
      <c r="D527" s="266"/>
      <c r="E527" s="266"/>
      <c r="F527" s="266"/>
      <c r="G527" s="266"/>
      <c r="H527" s="265">
        <f t="shared" si="12"/>
        <v>0</v>
      </c>
      <c r="I527" s="280"/>
      <c r="J527" s="280"/>
      <c r="K527" s="280"/>
      <c r="L527" s="280"/>
      <c r="M527" s="280"/>
      <c r="N527" s="280"/>
      <c r="O527" s="280"/>
    </row>
    <row r="528" spans="1:15" x14ac:dyDescent="0.25">
      <c r="A528" s="113" t="s">
        <v>1068</v>
      </c>
      <c r="B528" s="266"/>
      <c r="C528" s="266"/>
      <c r="D528" s="266"/>
      <c r="E528" s="266"/>
      <c r="F528" s="266"/>
      <c r="G528" s="266"/>
      <c r="H528" s="265">
        <f t="shared" si="12"/>
        <v>0</v>
      </c>
      <c r="I528" s="280"/>
      <c r="J528" s="280"/>
      <c r="K528" s="280"/>
      <c r="L528" s="280"/>
      <c r="M528" s="280"/>
      <c r="N528" s="280"/>
      <c r="O528" s="280"/>
    </row>
    <row r="529" spans="1:15" x14ac:dyDescent="0.25">
      <c r="A529" s="113" t="s">
        <v>1069</v>
      </c>
      <c r="B529" s="266"/>
      <c r="C529" s="266"/>
      <c r="D529" s="266"/>
      <c r="E529" s="266"/>
      <c r="F529" s="266"/>
      <c r="G529" s="266"/>
      <c r="H529" s="265">
        <f t="shared" si="12"/>
        <v>0</v>
      </c>
      <c r="I529" s="280"/>
      <c r="J529" s="280"/>
      <c r="K529" s="280"/>
      <c r="L529" s="280"/>
      <c r="M529" s="280"/>
      <c r="N529" s="280"/>
      <c r="O529" s="280"/>
    </row>
    <row r="530" spans="1:15" x14ac:dyDescent="0.25">
      <c r="A530" s="113" t="s">
        <v>1070</v>
      </c>
      <c r="B530" s="266"/>
      <c r="C530" s="266"/>
      <c r="D530" s="266"/>
      <c r="E530" s="266"/>
      <c r="F530" s="266"/>
      <c r="G530" s="266"/>
      <c r="H530" s="265">
        <f t="shared" si="12"/>
        <v>0</v>
      </c>
      <c r="I530" s="280"/>
      <c r="J530" s="280"/>
      <c r="K530" s="280"/>
      <c r="L530" s="280"/>
      <c r="M530" s="280"/>
      <c r="N530" s="280"/>
      <c r="O530" s="280"/>
    </row>
    <row r="531" spans="1:15" x14ac:dyDescent="0.25">
      <c r="A531" s="113" t="s">
        <v>1072</v>
      </c>
      <c r="B531" s="266"/>
      <c r="C531" s="266"/>
      <c r="D531" s="266"/>
      <c r="E531" s="266"/>
      <c r="F531" s="266"/>
      <c r="G531" s="266"/>
      <c r="H531" s="265">
        <f t="shared" si="12"/>
        <v>0</v>
      </c>
      <c r="I531" s="280"/>
      <c r="J531" s="280"/>
      <c r="K531" s="280"/>
      <c r="L531" s="280"/>
      <c r="M531" s="280"/>
      <c r="N531" s="280"/>
      <c r="O531" s="280"/>
    </row>
    <row r="532" spans="1:15" x14ac:dyDescent="0.25">
      <c r="A532" s="113" t="s">
        <v>1071</v>
      </c>
      <c r="B532" s="266"/>
      <c r="C532" s="266"/>
      <c r="D532" s="266"/>
      <c r="E532" s="266"/>
      <c r="F532" s="266"/>
      <c r="G532" s="266"/>
      <c r="H532" s="265">
        <f t="shared" si="12"/>
        <v>0</v>
      </c>
      <c r="I532" s="280"/>
      <c r="J532" s="280"/>
      <c r="K532" s="280"/>
      <c r="L532" s="280"/>
      <c r="M532" s="280"/>
      <c r="N532" s="280"/>
      <c r="O532" s="280"/>
    </row>
    <row r="533" spans="1:15" x14ac:dyDescent="0.25">
      <c r="A533" s="113" t="s">
        <v>1073</v>
      </c>
      <c r="B533" s="266"/>
      <c r="C533" s="266"/>
      <c r="D533" s="266"/>
      <c r="E533" s="266"/>
      <c r="F533" s="266"/>
      <c r="G533" s="266"/>
      <c r="H533" s="265">
        <f t="shared" si="12"/>
        <v>0</v>
      </c>
      <c r="I533" s="280"/>
      <c r="J533" s="280"/>
      <c r="K533" s="280"/>
      <c r="L533" s="280"/>
      <c r="M533" s="280"/>
      <c r="N533" s="280"/>
      <c r="O533" s="280"/>
    </row>
    <row r="534" spans="1:15" x14ac:dyDescent="0.25">
      <c r="A534" s="113" t="s">
        <v>1074</v>
      </c>
      <c r="B534" s="266"/>
      <c r="C534" s="266">
        <v>100000</v>
      </c>
      <c r="D534" s="266">
        <v>100000</v>
      </c>
      <c r="E534" s="266">
        <v>100000</v>
      </c>
      <c r="F534" s="266"/>
      <c r="G534" s="266"/>
      <c r="H534" s="265">
        <f t="shared" si="12"/>
        <v>300000</v>
      </c>
      <c r="I534" s="280"/>
      <c r="J534" s="280"/>
      <c r="K534" s="280"/>
      <c r="L534" s="280"/>
      <c r="M534" s="280"/>
      <c r="N534" s="280"/>
      <c r="O534" s="280"/>
    </row>
    <row r="535" spans="1:15" x14ac:dyDescent="0.25">
      <c r="A535" s="113" t="s">
        <v>1075</v>
      </c>
      <c r="B535" s="266"/>
      <c r="C535" s="266"/>
      <c r="D535" s="266"/>
      <c r="E535" s="266"/>
      <c r="F535" s="266"/>
      <c r="G535" s="266"/>
      <c r="H535" s="265">
        <f t="shared" si="12"/>
        <v>0</v>
      </c>
      <c r="I535" s="280"/>
      <c r="J535" s="280"/>
      <c r="K535" s="280"/>
      <c r="L535" s="280"/>
      <c r="M535" s="280"/>
      <c r="N535" s="280"/>
      <c r="O535" s="280"/>
    </row>
    <row r="536" spans="1:15" x14ac:dyDescent="0.25">
      <c r="A536" s="113" t="s">
        <v>1076</v>
      </c>
      <c r="B536" s="266"/>
      <c r="C536" s="266"/>
      <c r="D536" s="266">
        <v>70000</v>
      </c>
      <c r="E536" s="266"/>
      <c r="F536" s="266"/>
      <c r="G536" s="266"/>
      <c r="H536" s="265">
        <f t="shared" si="12"/>
        <v>70000</v>
      </c>
      <c r="I536" s="280"/>
      <c r="J536" s="280"/>
      <c r="K536" s="280"/>
      <c r="L536" s="280"/>
      <c r="M536" s="280"/>
      <c r="N536" s="280"/>
      <c r="O536" s="280"/>
    </row>
    <row r="537" spans="1:15" x14ac:dyDescent="0.25">
      <c r="A537" s="113" t="s">
        <v>1077</v>
      </c>
      <c r="B537" s="266"/>
      <c r="C537" s="266"/>
      <c r="D537" s="266"/>
      <c r="E537" s="266"/>
      <c r="F537" s="266"/>
      <c r="G537" s="266"/>
      <c r="H537" s="265">
        <f t="shared" si="12"/>
        <v>0</v>
      </c>
      <c r="I537" s="280"/>
      <c r="J537" s="280"/>
      <c r="K537" s="280"/>
      <c r="L537" s="280"/>
      <c r="M537" s="280"/>
      <c r="N537" s="280"/>
      <c r="O537" s="280"/>
    </row>
    <row r="538" spans="1:15" x14ac:dyDescent="0.25">
      <c r="A538" s="113" t="s">
        <v>1078</v>
      </c>
      <c r="B538" s="266"/>
      <c r="C538" s="266"/>
      <c r="D538" s="266"/>
      <c r="E538" s="266"/>
      <c r="F538" s="266"/>
      <c r="G538" s="266"/>
      <c r="H538" s="265">
        <f t="shared" si="12"/>
        <v>0</v>
      </c>
      <c r="I538" s="280"/>
      <c r="J538" s="280"/>
      <c r="K538" s="280"/>
      <c r="L538" s="280"/>
      <c r="M538" s="280"/>
      <c r="N538" s="280"/>
      <c r="O538" s="280"/>
    </row>
    <row r="539" spans="1:15" x14ac:dyDescent="0.25">
      <c r="A539" s="113" t="s">
        <v>1079</v>
      </c>
      <c r="B539" s="266"/>
      <c r="C539" s="266"/>
      <c r="D539" s="266">
        <v>29000</v>
      </c>
      <c r="E539" s="266">
        <v>31000</v>
      </c>
      <c r="F539" s="266"/>
      <c r="G539" s="266"/>
      <c r="H539" s="265">
        <f t="shared" si="12"/>
        <v>60000</v>
      </c>
      <c r="I539" s="280"/>
      <c r="J539" s="280"/>
      <c r="K539" s="280"/>
      <c r="L539" s="280"/>
      <c r="M539" s="280"/>
      <c r="N539" s="280"/>
      <c r="O539" s="280"/>
    </row>
    <row r="540" spans="1:15" x14ac:dyDescent="0.25">
      <c r="A540" s="113" t="s">
        <v>1073</v>
      </c>
      <c r="B540" s="266"/>
      <c r="C540" s="266"/>
      <c r="D540" s="266"/>
      <c r="E540" s="266"/>
      <c r="F540" s="266"/>
      <c r="G540" s="266"/>
      <c r="H540" s="265">
        <f t="shared" si="12"/>
        <v>0</v>
      </c>
      <c r="I540" s="280"/>
      <c r="J540" s="280"/>
      <c r="K540" s="280"/>
      <c r="L540" s="280"/>
      <c r="M540" s="280"/>
      <c r="N540" s="280"/>
      <c r="O540" s="280"/>
    </row>
    <row r="541" spans="1:15" x14ac:dyDescent="0.25">
      <c r="A541" s="113" t="s">
        <v>1074</v>
      </c>
      <c r="B541" s="266"/>
      <c r="C541" s="266">
        <v>100000</v>
      </c>
      <c r="D541" s="266">
        <v>100000</v>
      </c>
      <c r="E541" s="266">
        <v>100000</v>
      </c>
      <c r="F541" s="266"/>
      <c r="G541" s="266"/>
      <c r="H541" s="265">
        <f t="shared" si="12"/>
        <v>300000</v>
      </c>
      <c r="I541" s="280"/>
      <c r="J541" s="280"/>
      <c r="K541" s="280"/>
      <c r="L541" s="280"/>
      <c r="M541" s="280"/>
      <c r="N541" s="280"/>
      <c r="O541" s="280"/>
    </row>
    <row r="542" spans="1:15" x14ac:dyDescent="0.25">
      <c r="A542" s="113" t="s">
        <v>1075</v>
      </c>
      <c r="B542" s="266"/>
      <c r="C542" s="266"/>
      <c r="D542" s="266"/>
      <c r="E542" s="266"/>
      <c r="F542" s="266"/>
      <c r="G542" s="266"/>
      <c r="H542" s="265">
        <f t="shared" si="12"/>
        <v>0</v>
      </c>
      <c r="I542" s="280"/>
      <c r="J542" s="280"/>
      <c r="K542" s="280"/>
      <c r="L542" s="280"/>
      <c r="M542" s="280"/>
      <c r="N542" s="280"/>
      <c r="O542" s="280"/>
    </row>
    <row r="543" spans="1:15" x14ac:dyDescent="0.25">
      <c r="A543" s="113" t="s">
        <v>1076</v>
      </c>
      <c r="B543" s="266"/>
      <c r="C543" s="266"/>
      <c r="D543" s="266">
        <v>70000</v>
      </c>
      <c r="E543" s="266"/>
      <c r="F543" s="266"/>
      <c r="G543" s="266"/>
      <c r="H543" s="265">
        <f t="shared" si="12"/>
        <v>70000</v>
      </c>
      <c r="I543" s="280"/>
      <c r="J543" s="280"/>
      <c r="K543" s="280"/>
      <c r="L543" s="280"/>
      <c r="M543" s="280"/>
      <c r="N543" s="280"/>
      <c r="O543" s="280"/>
    </row>
    <row r="544" spans="1:15" x14ac:dyDescent="0.25">
      <c r="A544" s="113" t="s">
        <v>1077</v>
      </c>
      <c r="B544" s="266"/>
      <c r="C544" s="266"/>
      <c r="D544" s="266"/>
      <c r="E544" s="266"/>
      <c r="F544" s="266"/>
      <c r="G544" s="266"/>
      <c r="H544" s="265">
        <f t="shared" si="12"/>
        <v>0</v>
      </c>
      <c r="I544" s="280"/>
      <c r="J544" s="280"/>
      <c r="K544" s="280"/>
      <c r="L544" s="280"/>
      <c r="M544" s="280"/>
      <c r="N544" s="280"/>
      <c r="O544" s="280"/>
    </row>
    <row r="545" spans="1:15" x14ac:dyDescent="0.25">
      <c r="A545" s="113" t="s">
        <v>1078</v>
      </c>
      <c r="B545" s="266"/>
      <c r="C545" s="266"/>
      <c r="D545" s="266"/>
      <c r="E545" s="266"/>
      <c r="F545" s="266"/>
      <c r="G545" s="266"/>
      <c r="H545" s="265">
        <f t="shared" si="12"/>
        <v>0</v>
      </c>
      <c r="I545" s="280"/>
      <c r="J545" s="280"/>
      <c r="K545" s="280"/>
      <c r="L545" s="280"/>
      <c r="M545" s="280"/>
      <c r="N545" s="280"/>
      <c r="O545" s="280"/>
    </row>
    <row r="546" spans="1:15" x14ac:dyDescent="0.25">
      <c r="A546" s="113" t="s">
        <v>1079</v>
      </c>
      <c r="B546" s="266"/>
      <c r="C546" s="266"/>
      <c r="D546" s="266">
        <v>29000</v>
      </c>
      <c r="E546" s="266">
        <v>31000</v>
      </c>
      <c r="F546" s="266"/>
      <c r="G546" s="266"/>
      <c r="H546" s="265">
        <f t="shared" si="12"/>
        <v>60000</v>
      </c>
      <c r="I546" s="280"/>
      <c r="J546" s="280"/>
      <c r="K546" s="280"/>
      <c r="L546" s="280"/>
      <c r="M546" s="280"/>
      <c r="N546" s="280"/>
      <c r="O546" s="280"/>
    </row>
    <row r="547" spans="1:15" x14ac:dyDescent="0.25">
      <c r="A547" s="113" t="s">
        <v>1080</v>
      </c>
      <c r="B547" s="266">
        <v>0</v>
      </c>
      <c r="C547" s="266">
        <v>0</v>
      </c>
      <c r="D547" s="266">
        <v>0</v>
      </c>
      <c r="E547" s="266">
        <v>0</v>
      </c>
      <c r="F547" s="266">
        <v>0</v>
      </c>
      <c r="G547" s="266">
        <v>0</v>
      </c>
      <c r="H547" s="265">
        <f t="shared" si="12"/>
        <v>0</v>
      </c>
      <c r="I547" s="280"/>
      <c r="J547" s="280"/>
      <c r="K547" s="280"/>
      <c r="L547" s="280"/>
      <c r="M547" s="280"/>
      <c r="N547" s="280"/>
      <c r="O547" s="280"/>
    </row>
    <row r="548" spans="1:15" x14ac:dyDescent="0.25">
      <c r="A548" s="113" t="s">
        <v>1081</v>
      </c>
      <c r="B548" s="266">
        <v>0</v>
      </c>
      <c r="C548" s="266">
        <v>0</v>
      </c>
      <c r="D548" s="266">
        <v>0</v>
      </c>
      <c r="E548" s="266">
        <v>0</v>
      </c>
      <c r="F548" s="266">
        <v>0</v>
      </c>
      <c r="G548" s="266">
        <v>0</v>
      </c>
      <c r="H548" s="265">
        <f t="shared" si="12"/>
        <v>0</v>
      </c>
      <c r="I548" s="280"/>
      <c r="J548" s="280"/>
      <c r="K548" s="280"/>
      <c r="L548" s="280"/>
      <c r="M548" s="280"/>
      <c r="N548" s="280"/>
      <c r="O548" s="280"/>
    </row>
    <row r="549" spans="1:15" x14ac:dyDescent="0.25">
      <c r="A549" s="113" t="s">
        <v>1082</v>
      </c>
      <c r="B549" s="266">
        <v>25000</v>
      </c>
      <c r="C549" s="266">
        <v>25000</v>
      </c>
      <c r="D549" s="266">
        <v>10000</v>
      </c>
      <c r="E549" s="266">
        <v>10000</v>
      </c>
      <c r="F549" s="266">
        <v>10000</v>
      </c>
      <c r="G549" s="266">
        <v>10000</v>
      </c>
      <c r="H549" s="265">
        <f t="shared" si="12"/>
        <v>90000</v>
      </c>
      <c r="I549" s="280"/>
      <c r="J549" s="280"/>
      <c r="K549" s="280"/>
      <c r="L549" s="280"/>
      <c r="M549" s="280"/>
      <c r="N549" s="280"/>
      <c r="O549" s="280"/>
    </row>
    <row r="550" spans="1:15" x14ac:dyDescent="0.25">
      <c r="A550" s="113" t="s">
        <v>1083</v>
      </c>
      <c r="B550" s="266">
        <v>25000</v>
      </c>
      <c r="C550" s="266">
        <v>10000</v>
      </c>
      <c r="D550" s="266">
        <v>10000</v>
      </c>
      <c r="E550" s="266">
        <v>10000</v>
      </c>
      <c r="F550" s="266">
        <v>10000</v>
      </c>
      <c r="G550" s="266">
        <v>10000</v>
      </c>
      <c r="H550" s="265">
        <f t="shared" si="12"/>
        <v>75000</v>
      </c>
      <c r="I550" s="280"/>
      <c r="J550" s="280"/>
      <c r="K550" s="280"/>
      <c r="L550" s="280"/>
      <c r="M550" s="280"/>
      <c r="N550" s="280"/>
      <c r="O550" s="280"/>
    </row>
    <row r="551" spans="1:15" x14ac:dyDescent="0.25">
      <c r="A551" s="113" t="s">
        <v>1084</v>
      </c>
      <c r="B551" s="266">
        <v>25000</v>
      </c>
      <c r="C551" s="266">
        <v>25000</v>
      </c>
      <c r="D551" s="266">
        <v>10000</v>
      </c>
      <c r="E551" s="266">
        <v>10000</v>
      </c>
      <c r="F551" s="266">
        <v>10000</v>
      </c>
      <c r="G551" s="266">
        <v>10000</v>
      </c>
      <c r="H551" s="265">
        <f t="shared" si="12"/>
        <v>90000</v>
      </c>
      <c r="I551" s="280"/>
      <c r="J551" s="280"/>
      <c r="K551" s="280"/>
      <c r="L551" s="280"/>
      <c r="M551" s="280"/>
      <c r="N551" s="280"/>
      <c r="O551" s="280"/>
    </row>
    <row r="552" spans="1:15" x14ac:dyDescent="0.25">
      <c r="A552" s="113" t="s">
        <v>1085</v>
      </c>
      <c r="B552" s="266">
        <v>0</v>
      </c>
      <c r="C552" s="266">
        <v>50000</v>
      </c>
      <c r="D552" s="266">
        <v>50000</v>
      </c>
      <c r="E552" s="266">
        <v>10000</v>
      </c>
      <c r="F552" s="266">
        <v>10000</v>
      </c>
      <c r="G552" s="266">
        <v>10000</v>
      </c>
      <c r="H552" s="265">
        <f t="shared" si="12"/>
        <v>130000</v>
      </c>
      <c r="I552" s="280"/>
      <c r="J552" s="280"/>
      <c r="K552" s="280"/>
      <c r="L552" s="280"/>
      <c r="M552" s="280"/>
      <c r="N552" s="280"/>
      <c r="O552" s="280"/>
    </row>
    <row r="553" spans="1:15" x14ac:dyDescent="0.25">
      <c r="A553" s="113" t="s">
        <v>1086</v>
      </c>
      <c r="B553" s="266"/>
      <c r="C553" s="266"/>
      <c r="D553" s="266"/>
      <c r="E553" s="266"/>
      <c r="F553" s="266"/>
      <c r="G553" s="266"/>
      <c r="H553" s="265">
        <f t="shared" si="12"/>
        <v>0</v>
      </c>
      <c r="I553" s="280"/>
      <c r="J553" s="280"/>
      <c r="K553" s="280"/>
      <c r="L553" s="280"/>
      <c r="M553" s="280"/>
      <c r="N553" s="280"/>
      <c r="O553" s="280"/>
    </row>
    <row r="554" spans="1:15" x14ac:dyDescent="0.25">
      <c r="A554" s="113" t="s">
        <v>1087</v>
      </c>
      <c r="B554" s="266">
        <v>0</v>
      </c>
      <c r="C554" s="266">
        <v>0</v>
      </c>
      <c r="D554" s="266">
        <v>0</v>
      </c>
      <c r="E554" s="266">
        <v>0</v>
      </c>
      <c r="F554" s="266">
        <v>0</v>
      </c>
      <c r="G554" s="266">
        <v>0</v>
      </c>
      <c r="H554" s="265">
        <f t="shared" si="12"/>
        <v>0</v>
      </c>
      <c r="I554" s="280"/>
      <c r="J554" s="280"/>
      <c r="K554" s="280"/>
      <c r="L554" s="280"/>
      <c r="M554" s="280"/>
      <c r="N554" s="280"/>
      <c r="O554" s="280"/>
    </row>
    <row r="555" spans="1:15" x14ac:dyDescent="0.25">
      <c r="A555" s="113" t="s">
        <v>1088</v>
      </c>
      <c r="B555" s="266">
        <v>0</v>
      </c>
      <c r="C555" s="266">
        <v>0</v>
      </c>
      <c r="D555" s="266">
        <v>0</v>
      </c>
      <c r="E555" s="266">
        <v>0</v>
      </c>
      <c r="F555" s="266">
        <v>0</v>
      </c>
      <c r="G555" s="266">
        <v>0</v>
      </c>
      <c r="H555" s="265">
        <f t="shared" si="12"/>
        <v>0</v>
      </c>
      <c r="I555" s="280"/>
      <c r="J555" s="280"/>
      <c r="K555" s="280"/>
      <c r="L555" s="280"/>
      <c r="M555" s="280"/>
      <c r="N555" s="280"/>
      <c r="O555" s="280"/>
    </row>
    <row r="556" spans="1:15" x14ac:dyDescent="0.25">
      <c r="A556" s="113" t="s">
        <v>1089</v>
      </c>
      <c r="B556" s="266">
        <v>0</v>
      </c>
      <c r="C556" s="266">
        <v>0</v>
      </c>
      <c r="D556" s="266">
        <v>0</v>
      </c>
      <c r="E556" s="266">
        <v>0</v>
      </c>
      <c r="F556" s="266">
        <v>0</v>
      </c>
      <c r="G556" s="266">
        <v>0</v>
      </c>
      <c r="H556" s="265">
        <f t="shared" si="12"/>
        <v>0</v>
      </c>
      <c r="I556" s="280"/>
      <c r="J556" s="280"/>
      <c r="K556" s="280"/>
      <c r="L556" s="280"/>
      <c r="M556" s="280"/>
      <c r="N556" s="280"/>
      <c r="O556" s="280"/>
    </row>
    <row r="557" spans="1:15" x14ac:dyDescent="0.25">
      <c r="A557" s="113" t="s">
        <v>1090</v>
      </c>
      <c r="B557" s="266">
        <v>0</v>
      </c>
      <c r="C557" s="266">
        <v>0</v>
      </c>
      <c r="D557" s="266">
        <v>0</v>
      </c>
      <c r="E557" s="266">
        <v>0</v>
      </c>
      <c r="F557" s="266">
        <v>0</v>
      </c>
      <c r="G557" s="266">
        <v>0</v>
      </c>
      <c r="H557" s="265">
        <f t="shared" si="12"/>
        <v>0</v>
      </c>
      <c r="I557" s="280"/>
      <c r="J557" s="280"/>
      <c r="K557" s="280"/>
      <c r="L557" s="280"/>
      <c r="M557" s="280"/>
      <c r="N557" s="280"/>
      <c r="O557" s="280"/>
    </row>
    <row r="558" spans="1:15" x14ac:dyDescent="0.25">
      <c r="A558" s="113" t="s">
        <v>1091</v>
      </c>
      <c r="B558" s="266">
        <v>0</v>
      </c>
      <c r="C558" s="266">
        <v>0</v>
      </c>
      <c r="D558" s="266">
        <v>0</v>
      </c>
      <c r="E558" s="266">
        <v>0</v>
      </c>
      <c r="F558" s="266">
        <v>0</v>
      </c>
      <c r="G558" s="266">
        <v>0</v>
      </c>
      <c r="H558" s="265">
        <f t="shared" si="12"/>
        <v>0</v>
      </c>
      <c r="I558" s="280"/>
      <c r="J558" s="280"/>
      <c r="K558" s="280"/>
      <c r="L558" s="280"/>
      <c r="M558" s="280"/>
      <c r="N558" s="280"/>
      <c r="O558" s="280"/>
    </row>
    <row r="559" spans="1:15" x14ac:dyDescent="0.25">
      <c r="A559" s="113" t="s">
        <v>1092</v>
      </c>
      <c r="B559" s="266">
        <v>25000</v>
      </c>
      <c r="C559" s="266">
        <v>25000</v>
      </c>
      <c r="D559" s="266"/>
      <c r="E559" s="266"/>
      <c r="F559" s="266"/>
      <c r="G559" s="266"/>
      <c r="H559" s="265">
        <f t="shared" si="12"/>
        <v>50000</v>
      </c>
      <c r="I559" s="280"/>
      <c r="J559" s="280"/>
      <c r="K559" s="280"/>
      <c r="L559" s="280"/>
      <c r="M559" s="280"/>
      <c r="N559" s="280"/>
      <c r="O559" s="280"/>
    </row>
    <row r="560" spans="1:15" x14ac:dyDescent="0.25">
      <c r="A560" s="113" t="s">
        <v>1093</v>
      </c>
      <c r="B560" s="266">
        <v>10000</v>
      </c>
      <c r="C560" s="266">
        <v>10000</v>
      </c>
      <c r="D560" s="266"/>
      <c r="E560" s="266"/>
      <c r="F560" s="266"/>
      <c r="G560" s="266"/>
      <c r="H560" s="265">
        <f t="shared" si="12"/>
        <v>20000</v>
      </c>
      <c r="I560" s="280"/>
      <c r="J560" s="280"/>
      <c r="K560" s="280"/>
      <c r="L560" s="280"/>
      <c r="M560" s="280"/>
      <c r="N560" s="280"/>
      <c r="O560" s="280"/>
    </row>
    <row r="561" spans="1:15" x14ac:dyDescent="0.25">
      <c r="A561" s="113" t="s">
        <v>1094</v>
      </c>
      <c r="B561" s="266"/>
      <c r="C561" s="266"/>
      <c r="D561" s="266"/>
      <c r="E561" s="266"/>
      <c r="F561" s="266"/>
      <c r="G561" s="266"/>
      <c r="H561" s="265">
        <f t="shared" si="12"/>
        <v>0</v>
      </c>
      <c r="I561" s="280"/>
      <c r="J561" s="280"/>
      <c r="K561" s="280"/>
      <c r="L561" s="280"/>
      <c r="M561" s="280"/>
      <c r="N561" s="280"/>
      <c r="O561" s="280"/>
    </row>
    <row r="562" spans="1:15" x14ac:dyDescent="0.25">
      <c r="A562" s="113" t="s">
        <v>1095</v>
      </c>
      <c r="B562" s="266"/>
      <c r="C562" s="266">
        <v>50000</v>
      </c>
      <c r="D562" s="266">
        <v>50000</v>
      </c>
      <c r="E562" s="266"/>
      <c r="F562" s="266"/>
      <c r="G562" s="266"/>
      <c r="H562" s="265">
        <f t="shared" si="12"/>
        <v>100000</v>
      </c>
      <c r="I562" s="280"/>
      <c r="J562" s="280"/>
      <c r="K562" s="280"/>
      <c r="L562" s="280"/>
      <c r="M562" s="280"/>
      <c r="N562" s="280"/>
      <c r="O562" s="280"/>
    </row>
    <row r="563" spans="1:15" x14ac:dyDescent="0.25">
      <c r="A563" s="113" t="s">
        <v>1096</v>
      </c>
      <c r="B563" s="266">
        <v>25000</v>
      </c>
      <c r="C563" s="266">
        <v>25000</v>
      </c>
      <c r="D563" s="266"/>
      <c r="E563" s="266"/>
      <c r="F563" s="266"/>
      <c r="G563" s="266"/>
      <c r="H563" s="265">
        <f t="shared" si="12"/>
        <v>50000</v>
      </c>
      <c r="I563" s="280"/>
      <c r="J563" s="280"/>
      <c r="K563" s="280"/>
      <c r="L563" s="280"/>
      <c r="M563" s="280"/>
      <c r="N563" s="280"/>
      <c r="O563" s="280"/>
    </row>
    <row r="564" spans="1:15" x14ac:dyDescent="0.25">
      <c r="A564" s="113" t="s">
        <v>1097</v>
      </c>
      <c r="B564" s="266"/>
      <c r="C564" s="266"/>
      <c r="D564" s="266"/>
      <c r="E564" s="266"/>
      <c r="F564" s="266"/>
      <c r="G564" s="266"/>
      <c r="H564" s="265">
        <f t="shared" si="12"/>
        <v>0</v>
      </c>
      <c r="I564" s="280"/>
      <c r="J564" s="280"/>
      <c r="K564" s="280"/>
      <c r="L564" s="280"/>
      <c r="M564" s="280"/>
      <c r="N564" s="280"/>
      <c r="O564" s="280"/>
    </row>
    <row r="565" spans="1:15" x14ac:dyDescent="0.25">
      <c r="A565" s="113" t="s">
        <v>1098</v>
      </c>
      <c r="B565" s="266"/>
      <c r="C565" s="266"/>
      <c r="D565" s="266">
        <v>30000</v>
      </c>
      <c r="E565" s="266"/>
      <c r="F565" s="266"/>
      <c r="G565" s="266"/>
      <c r="H565" s="265">
        <f t="shared" si="12"/>
        <v>30000</v>
      </c>
      <c r="I565" s="280"/>
      <c r="J565" s="280"/>
      <c r="K565" s="280"/>
      <c r="L565" s="280"/>
      <c r="M565" s="280"/>
      <c r="N565" s="280"/>
      <c r="O565" s="280"/>
    </row>
    <row r="566" spans="1:15" x14ac:dyDescent="0.25">
      <c r="A566" s="113" t="s">
        <v>1099</v>
      </c>
      <c r="B566" s="266"/>
      <c r="C566" s="266"/>
      <c r="D566" s="266"/>
      <c r="E566" s="266"/>
      <c r="F566" s="266"/>
      <c r="G566" s="266"/>
      <c r="H566" s="265">
        <f t="shared" si="12"/>
        <v>0</v>
      </c>
      <c r="I566" s="280"/>
      <c r="J566" s="280"/>
      <c r="K566" s="280"/>
      <c r="L566" s="280"/>
      <c r="M566" s="280"/>
      <c r="N566" s="280"/>
      <c r="O566" s="280"/>
    </row>
    <row r="567" spans="1:15" x14ac:dyDescent="0.25">
      <c r="A567" s="113" t="s">
        <v>1100</v>
      </c>
      <c r="B567" s="266"/>
      <c r="C567" s="266"/>
      <c r="D567" s="266"/>
      <c r="E567" s="266"/>
      <c r="F567" s="266"/>
      <c r="G567" s="266"/>
      <c r="H567" s="265">
        <f t="shared" si="12"/>
        <v>0</v>
      </c>
      <c r="I567" s="280"/>
      <c r="J567" s="280"/>
      <c r="K567" s="280"/>
      <c r="L567" s="280"/>
      <c r="M567" s="280"/>
      <c r="N567" s="280"/>
      <c r="O567" s="280"/>
    </row>
    <row r="568" spans="1:15" x14ac:dyDescent="0.25">
      <c r="A568" s="113" t="s">
        <v>1101</v>
      </c>
      <c r="B568" s="266"/>
      <c r="C568" s="266"/>
      <c r="D568" s="266"/>
      <c r="E568" s="266"/>
      <c r="F568" s="266"/>
      <c r="G568" s="266"/>
      <c r="H568" s="265">
        <f t="shared" si="12"/>
        <v>0</v>
      </c>
      <c r="I568" s="280"/>
      <c r="J568" s="280"/>
      <c r="K568" s="280"/>
      <c r="L568" s="280"/>
      <c r="M568" s="280"/>
      <c r="N568" s="280"/>
      <c r="O568" s="280"/>
    </row>
    <row r="569" spans="1:15" x14ac:dyDescent="0.25">
      <c r="A569" s="113" t="s">
        <v>1102</v>
      </c>
      <c r="B569" s="266"/>
      <c r="C569" s="266"/>
      <c r="D569" s="266"/>
      <c r="E569" s="266"/>
      <c r="F569" s="266"/>
      <c r="G569" s="266"/>
      <c r="H569" s="265">
        <f t="shared" si="12"/>
        <v>0</v>
      </c>
      <c r="I569" s="280"/>
      <c r="J569" s="280"/>
      <c r="K569" s="280"/>
      <c r="L569" s="280"/>
      <c r="M569" s="280"/>
      <c r="N569" s="280"/>
      <c r="O569" s="280"/>
    </row>
    <row r="570" spans="1:15" x14ac:dyDescent="0.25">
      <c r="A570" s="113" t="s">
        <v>1103</v>
      </c>
      <c r="B570" s="266"/>
      <c r="C570" s="266"/>
      <c r="D570" s="266"/>
      <c r="E570" s="266"/>
      <c r="F570" s="266"/>
      <c r="G570" s="266"/>
      <c r="H570" s="265">
        <f t="shared" si="12"/>
        <v>0</v>
      </c>
      <c r="I570" s="280"/>
      <c r="J570" s="280"/>
      <c r="K570" s="280"/>
      <c r="L570" s="280"/>
      <c r="M570" s="280"/>
      <c r="N570" s="280"/>
      <c r="O570" s="280"/>
    </row>
    <row r="571" spans="1:15" ht="15" customHeight="1" x14ac:dyDescent="0.25">
      <c r="A571" s="113" t="s">
        <v>1104</v>
      </c>
      <c r="B571" s="266"/>
      <c r="C571" s="266"/>
      <c r="D571" s="266"/>
      <c r="E571" s="266"/>
      <c r="F571" s="266"/>
      <c r="G571" s="266"/>
      <c r="H571" s="265">
        <f t="shared" si="12"/>
        <v>0</v>
      </c>
      <c r="I571" s="280"/>
      <c r="J571" s="280"/>
      <c r="K571" s="280"/>
      <c r="L571" s="280"/>
      <c r="M571" s="280"/>
      <c r="N571" s="280"/>
      <c r="O571" s="280"/>
    </row>
    <row r="572" spans="1:15" ht="26.45" customHeight="1" x14ac:dyDescent="0.25">
      <c r="A572" s="113" t="s">
        <v>1105</v>
      </c>
      <c r="B572" s="266"/>
      <c r="C572" s="266"/>
      <c r="D572" s="266"/>
      <c r="E572" s="266"/>
      <c r="F572" s="266"/>
      <c r="G572" s="266"/>
      <c r="H572" s="265">
        <f t="shared" si="12"/>
        <v>0</v>
      </c>
      <c r="I572" s="280"/>
      <c r="J572" s="280"/>
      <c r="K572" s="280"/>
      <c r="L572" s="280"/>
      <c r="M572" s="280"/>
      <c r="N572" s="280"/>
      <c r="O572" s="280"/>
    </row>
    <row r="573" spans="1:15" x14ac:dyDescent="0.25">
      <c r="A573" s="113" t="s">
        <v>1106</v>
      </c>
      <c r="B573" s="266"/>
      <c r="C573" s="266"/>
      <c r="D573" s="266"/>
      <c r="E573" s="266"/>
      <c r="F573" s="266"/>
      <c r="G573" s="266"/>
      <c r="H573" s="265">
        <f t="shared" si="12"/>
        <v>0</v>
      </c>
      <c r="I573" s="280"/>
      <c r="J573" s="280"/>
      <c r="K573" s="280"/>
      <c r="L573" s="280"/>
      <c r="M573" s="280"/>
      <c r="N573" s="280"/>
      <c r="O573" s="280"/>
    </row>
    <row r="574" spans="1:15" x14ac:dyDescent="0.25">
      <c r="A574" s="113" t="s">
        <v>1107</v>
      </c>
      <c r="B574" s="266"/>
      <c r="C574" s="266"/>
      <c r="D574" s="266"/>
      <c r="E574" s="266"/>
      <c r="F574" s="266"/>
      <c r="G574" s="266"/>
      <c r="H574" s="265">
        <f t="shared" si="12"/>
        <v>0</v>
      </c>
      <c r="I574" s="280"/>
      <c r="J574" s="280"/>
      <c r="K574" s="280"/>
      <c r="L574" s="280"/>
      <c r="M574" s="280"/>
      <c r="N574" s="280"/>
      <c r="O574" s="280"/>
    </row>
    <row r="575" spans="1:15" x14ac:dyDescent="0.25">
      <c r="A575" s="113" t="s">
        <v>1108</v>
      </c>
      <c r="B575" s="266"/>
      <c r="C575" s="266"/>
      <c r="D575" s="266"/>
      <c r="E575" s="266"/>
      <c r="F575" s="266"/>
      <c r="G575" s="266"/>
      <c r="H575" s="265">
        <f t="shared" si="12"/>
        <v>0</v>
      </c>
      <c r="I575" s="280"/>
      <c r="J575" s="280"/>
      <c r="K575" s="280"/>
      <c r="L575" s="280"/>
      <c r="M575" s="280"/>
      <c r="N575" s="280"/>
      <c r="O575" s="280"/>
    </row>
    <row r="576" spans="1:15" x14ac:dyDescent="0.25">
      <c r="A576" s="113" t="s">
        <v>1109</v>
      </c>
      <c r="B576" s="266">
        <v>10000</v>
      </c>
      <c r="C576" s="266">
        <v>10000</v>
      </c>
      <c r="D576" s="266">
        <v>10000</v>
      </c>
      <c r="E576" s="266">
        <v>10000</v>
      </c>
      <c r="F576" s="266">
        <v>10000</v>
      </c>
      <c r="G576" s="266">
        <v>10000</v>
      </c>
      <c r="H576" s="265">
        <f t="shared" si="12"/>
        <v>60000</v>
      </c>
      <c r="I576" s="280"/>
      <c r="J576" s="280"/>
      <c r="K576" s="280"/>
      <c r="L576" s="280"/>
      <c r="M576" s="280"/>
      <c r="N576" s="280"/>
      <c r="O576" s="280"/>
    </row>
    <row r="577" spans="1:15" x14ac:dyDescent="0.25">
      <c r="A577" s="113" t="s">
        <v>1110</v>
      </c>
      <c r="B577" s="266">
        <v>30000</v>
      </c>
      <c r="C577" s="266">
        <v>30000</v>
      </c>
      <c r="D577" s="266">
        <v>30000</v>
      </c>
      <c r="E577" s="266">
        <v>30000</v>
      </c>
      <c r="F577" s="266">
        <v>30000</v>
      </c>
      <c r="G577" s="266">
        <v>30000</v>
      </c>
      <c r="H577" s="265">
        <f t="shared" si="12"/>
        <v>180000</v>
      </c>
      <c r="I577" s="280"/>
      <c r="J577" s="280"/>
      <c r="K577" s="280"/>
      <c r="L577" s="280"/>
      <c r="M577" s="280"/>
      <c r="N577" s="280"/>
      <c r="O577" s="280"/>
    </row>
    <row r="578" spans="1:15" x14ac:dyDescent="0.25">
      <c r="A578" s="113" t="s">
        <v>1111</v>
      </c>
      <c r="B578" s="266"/>
      <c r="C578" s="266"/>
      <c r="D578" s="266"/>
      <c r="E578" s="266"/>
      <c r="F578" s="266"/>
      <c r="G578" s="266"/>
      <c r="H578" s="265">
        <f t="shared" si="12"/>
        <v>0</v>
      </c>
      <c r="I578" s="280"/>
      <c r="J578" s="280"/>
      <c r="K578" s="280"/>
      <c r="L578" s="280"/>
      <c r="M578" s="280"/>
      <c r="N578" s="280"/>
      <c r="O578" s="280"/>
    </row>
    <row r="579" spans="1:15" x14ac:dyDescent="0.25">
      <c r="A579" s="113" t="s">
        <v>1112</v>
      </c>
      <c r="B579" s="266"/>
      <c r="C579" s="266"/>
      <c r="D579" s="266"/>
      <c r="E579" s="266"/>
      <c r="F579" s="266"/>
      <c r="G579" s="266"/>
      <c r="H579" s="265">
        <f t="shared" si="12"/>
        <v>0</v>
      </c>
      <c r="I579" s="280"/>
      <c r="J579" s="280"/>
      <c r="K579" s="280"/>
      <c r="L579" s="280"/>
      <c r="M579" s="280"/>
      <c r="N579" s="280"/>
      <c r="O579" s="280"/>
    </row>
    <row r="580" spans="1:15" x14ac:dyDescent="0.25">
      <c r="A580" s="113" t="s">
        <v>1113</v>
      </c>
      <c r="B580" s="266"/>
      <c r="C580" s="266"/>
      <c r="D580" s="266"/>
      <c r="E580" s="266"/>
      <c r="F580" s="266"/>
      <c r="G580" s="266"/>
      <c r="H580" s="265">
        <f t="shared" si="12"/>
        <v>0</v>
      </c>
      <c r="I580" s="280"/>
      <c r="J580" s="280"/>
      <c r="K580" s="280"/>
      <c r="L580" s="280"/>
      <c r="M580" s="280"/>
      <c r="N580" s="280"/>
      <c r="O580" s="280"/>
    </row>
    <row r="581" spans="1:15" x14ac:dyDescent="0.25">
      <c r="A581" s="113" t="s">
        <v>1114</v>
      </c>
      <c r="B581" s="266"/>
      <c r="C581" s="266"/>
      <c r="D581" s="266"/>
      <c r="E581" s="266"/>
      <c r="F581" s="266"/>
      <c r="G581" s="266"/>
      <c r="H581" s="265">
        <f t="shared" ref="H581:H644" si="13">SUM(B581:G581)</f>
        <v>0</v>
      </c>
      <c r="I581" s="280"/>
      <c r="J581" s="280"/>
      <c r="K581" s="280"/>
      <c r="L581" s="280"/>
      <c r="M581" s="280"/>
      <c r="N581" s="280"/>
      <c r="O581" s="280"/>
    </row>
    <row r="582" spans="1:15" x14ac:dyDescent="0.25">
      <c r="A582" s="113" t="s">
        <v>1115</v>
      </c>
      <c r="B582" s="266"/>
      <c r="C582" s="266"/>
      <c r="D582" s="266"/>
      <c r="E582" s="266"/>
      <c r="F582" s="266"/>
      <c r="G582" s="266"/>
      <c r="H582" s="265">
        <f t="shared" si="13"/>
        <v>0</v>
      </c>
      <c r="I582" s="280"/>
      <c r="J582" s="280"/>
      <c r="K582" s="280"/>
      <c r="L582" s="280"/>
      <c r="M582" s="280"/>
      <c r="N582" s="280"/>
      <c r="O582" s="280"/>
    </row>
    <row r="583" spans="1:15" x14ac:dyDescent="0.25">
      <c r="A583" s="113" t="s">
        <v>1127</v>
      </c>
      <c r="B583" s="266"/>
      <c r="C583" s="266">
        <v>0</v>
      </c>
      <c r="D583" s="266">
        <v>0</v>
      </c>
      <c r="E583" s="266">
        <v>0</v>
      </c>
      <c r="F583" s="266">
        <v>0</v>
      </c>
      <c r="G583" s="266">
        <v>0</v>
      </c>
      <c r="H583" s="265">
        <f t="shared" si="13"/>
        <v>0</v>
      </c>
      <c r="I583" s="280" t="s">
        <v>1720</v>
      </c>
      <c r="J583" s="280"/>
      <c r="K583" s="280"/>
      <c r="L583" s="280"/>
      <c r="M583" s="280"/>
      <c r="N583" s="280"/>
      <c r="O583" s="280"/>
    </row>
    <row r="584" spans="1:15" x14ac:dyDescent="0.25">
      <c r="A584" s="113" t="s">
        <v>1128</v>
      </c>
      <c r="B584" s="266">
        <v>0</v>
      </c>
      <c r="C584" s="266">
        <v>0</v>
      </c>
      <c r="D584" s="266">
        <v>0</v>
      </c>
      <c r="E584" s="266">
        <v>0</v>
      </c>
      <c r="F584" s="266">
        <v>0</v>
      </c>
      <c r="G584" s="266">
        <v>0</v>
      </c>
      <c r="H584" s="265">
        <f t="shared" si="13"/>
        <v>0</v>
      </c>
      <c r="I584" s="280"/>
      <c r="J584" s="280"/>
      <c r="K584" s="280"/>
      <c r="L584" s="280"/>
      <c r="M584" s="280"/>
      <c r="N584" s="280"/>
      <c r="O584" s="280"/>
    </row>
    <row r="585" spans="1:15" x14ac:dyDescent="0.25">
      <c r="A585" s="113" t="s">
        <v>1129</v>
      </c>
      <c r="B585" s="266">
        <v>0</v>
      </c>
      <c r="C585" s="266">
        <v>0</v>
      </c>
      <c r="D585" s="266">
        <v>0</v>
      </c>
      <c r="E585" s="266">
        <v>0</v>
      </c>
      <c r="F585" s="266">
        <v>0</v>
      </c>
      <c r="G585" s="266">
        <v>0</v>
      </c>
      <c r="H585" s="265">
        <f t="shared" si="13"/>
        <v>0</v>
      </c>
      <c r="I585" s="280"/>
      <c r="J585" s="280"/>
      <c r="K585" s="280"/>
      <c r="L585" s="280"/>
      <c r="M585" s="280"/>
      <c r="N585" s="280"/>
      <c r="O585" s="280"/>
    </row>
    <row r="586" spans="1:15" x14ac:dyDescent="0.25">
      <c r="A586" s="113" t="s">
        <v>1130</v>
      </c>
      <c r="B586" s="266">
        <v>0</v>
      </c>
      <c r="C586" s="266">
        <v>0</v>
      </c>
      <c r="D586" s="266">
        <v>0</v>
      </c>
      <c r="E586" s="266">
        <v>0</v>
      </c>
      <c r="F586" s="266">
        <v>0</v>
      </c>
      <c r="G586" s="266">
        <v>0</v>
      </c>
      <c r="H586" s="265">
        <f t="shared" si="13"/>
        <v>0</v>
      </c>
      <c r="I586" s="280"/>
      <c r="J586" s="280"/>
      <c r="K586" s="280"/>
      <c r="L586" s="280"/>
      <c r="M586" s="280"/>
      <c r="N586" s="280"/>
      <c r="O586" s="280"/>
    </row>
    <row r="587" spans="1:15" x14ac:dyDescent="0.25">
      <c r="A587" s="113" t="s">
        <v>1132</v>
      </c>
      <c r="B587" s="266">
        <v>0</v>
      </c>
      <c r="C587" s="266">
        <v>0</v>
      </c>
      <c r="D587" s="266">
        <v>10000</v>
      </c>
      <c r="E587" s="266">
        <v>0</v>
      </c>
      <c r="F587" s="266">
        <v>10000</v>
      </c>
      <c r="G587" s="266">
        <v>0</v>
      </c>
      <c r="H587" s="265">
        <f t="shared" si="13"/>
        <v>20000</v>
      </c>
      <c r="I587" s="280"/>
      <c r="J587" s="280"/>
      <c r="K587" s="280"/>
      <c r="L587" s="280"/>
      <c r="M587" s="280"/>
      <c r="N587" s="280"/>
      <c r="O587" s="280"/>
    </row>
    <row r="588" spans="1:15" x14ac:dyDescent="0.25">
      <c r="A588" s="113" t="s">
        <v>1131</v>
      </c>
      <c r="B588" s="266"/>
      <c r="C588" s="266"/>
      <c r="D588" s="266"/>
      <c r="E588" s="266"/>
      <c r="F588" s="266"/>
      <c r="G588" s="266"/>
      <c r="H588" s="265">
        <f t="shared" si="13"/>
        <v>0</v>
      </c>
      <c r="I588" s="280"/>
      <c r="J588" s="280"/>
      <c r="K588" s="280"/>
      <c r="L588" s="280"/>
      <c r="M588" s="280"/>
      <c r="N588" s="280"/>
      <c r="O588" s="280"/>
    </row>
    <row r="589" spans="1:15" x14ac:dyDescent="0.25">
      <c r="A589" s="113" t="s">
        <v>1133</v>
      </c>
      <c r="B589" s="266"/>
      <c r="C589" s="266"/>
      <c r="D589" s="266"/>
      <c r="E589" s="266"/>
      <c r="F589" s="266"/>
      <c r="G589" s="266"/>
      <c r="H589" s="265">
        <f t="shared" si="13"/>
        <v>0</v>
      </c>
      <c r="I589" s="280"/>
      <c r="J589" s="280"/>
      <c r="K589" s="280"/>
      <c r="L589" s="280"/>
      <c r="M589" s="280"/>
      <c r="N589" s="280"/>
      <c r="O589" s="280"/>
    </row>
    <row r="590" spans="1:15" x14ac:dyDescent="0.25">
      <c r="A590" s="113" t="s">
        <v>1134</v>
      </c>
      <c r="B590" s="266">
        <v>0</v>
      </c>
      <c r="C590" s="266">
        <v>0</v>
      </c>
      <c r="D590" s="266">
        <v>0</v>
      </c>
      <c r="E590" s="266">
        <v>0</v>
      </c>
      <c r="F590" s="266">
        <v>0</v>
      </c>
      <c r="G590" s="266">
        <v>0</v>
      </c>
      <c r="H590" s="265">
        <f t="shared" si="13"/>
        <v>0</v>
      </c>
      <c r="I590" s="280"/>
      <c r="J590" s="280"/>
      <c r="K590" s="280"/>
      <c r="L590" s="280"/>
      <c r="M590" s="280"/>
      <c r="N590" s="280"/>
      <c r="O590" s="280"/>
    </row>
    <row r="591" spans="1:15" x14ac:dyDescent="0.25">
      <c r="A591" s="113" t="s">
        <v>1161</v>
      </c>
      <c r="B591" s="266">
        <v>0</v>
      </c>
      <c r="C591" s="266">
        <v>0</v>
      </c>
      <c r="D591" s="266">
        <v>0</v>
      </c>
      <c r="E591" s="266">
        <v>0</v>
      </c>
      <c r="F591" s="266">
        <v>0</v>
      </c>
      <c r="G591" s="266">
        <v>0</v>
      </c>
      <c r="H591" s="265">
        <f t="shared" si="13"/>
        <v>0</v>
      </c>
      <c r="I591" s="280"/>
      <c r="J591" s="280"/>
      <c r="K591" s="280"/>
      <c r="L591" s="280"/>
      <c r="M591" s="280"/>
      <c r="N591" s="280"/>
      <c r="O591" s="280"/>
    </row>
    <row r="592" spans="1:15" x14ac:dyDescent="0.25">
      <c r="A592" s="113" t="s">
        <v>1162</v>
      </c>
      <c r="B592" s="266">
        <v>0</v>
      </c>
      <c r="C592" s="266">
        <v>0</v>
      </c>
      <c r="D592" s="266">
        <v>0</v>
      </c>
      <c r="E592" s="266">
        <v>0</v>
      </c>
      <c r="F592" s="266">
        <v>0</v>
      </c>
      <c r="G592" s="266">
        <v>0</v>
      </c>
      <c r="H592" s="265">
        <f t="shared" si="13"/>
        <v>0</v>
      </c>
      <c r="I592" s="280"/>
      <c r="J592" s="280"/>
      <c r="K592" s="280"/>
      <c r="L592" s="280"/>
      <c r="M592" s="280"/>
      <c r="N592" s="280"/>
      <c r="O592" s="280"/>
    </row>
    <row r="593" spans="1:15" x14ac:dyDescent="0.25">
      <c r="A593" s="113" t="s">
        <v>1176</v>
      </c>
      <c r="B593" s="266"/>
      <c r="C593" s="266"/>
      <c r="D593" s="266"/>
      <c r="E593" s="266"/>
      <c r="F593" s="266"/>
      <c r="G593" s="266"/>
      <c r="H593" s="265">
        <f t="shared" si="13"/>
        <v>0</v>
      </c>
      <c r="I593" s="280"/>
      <c r="J593" s="280"/>
      <c r="K593" s="280"/>
      <c r="L593" s="280"/>
      <c r="M593" s="280"/>
      <c r="N593" s="280"/>
      <c r="O593" s="280"/>
    </row>
    <row r="594" spans="1:15" x14ac:dyDescent="0.25">
      <c r="A594" s="113" t="s">
        <v>1177</v>
      </c>
      <c r="B594" s="266">
        <v>68600</v>
      </c>
      <c r="C594" s="266">
        <v>68600</v>
      </c>
      <c r="D594" s="266"/>
      <c r="E594" s="266"/>
      <c r="F594" s="266"/>
      <c r="G594" s="266"/>
      <c r="H594" s="265">
        <f t="shared" si="13"/>
        <v>137200</v>
      </c>
      <c r="I594" s="280"/>
      <c r="J594" s="280"/>
      <c r="K594" s="280"/>
      <c r="L594" s="280"/>
      <c r="M594" s="280"/>
      <c r="N594" s="280"/>
      <c r="O594" s="280"/>
    </row>
    <row r="595" spans="1:15" x14ac:dyDescent="0.25">
      <c r="A595" s="113" t="s">
        <v>1178</v>
      </c>
      <c r="B595" s="266"/>
      <c r="C595" s="266"/>
      <c r="D595" s="266"/>
      <c r="E595" s="266"/>
      <c r="F595" s="266"/>
      <c r="G595" s="266"/>
      <c r="H595" s="265">
        <f t="shared" si="13"/>
        <v>0</v>
      </c>
      <c r="I595" s="280"/>
      <c r="J595" s="280"/>
      <c r="K595" s="280"/>
      <c r="L595" s="280"/>
      <c r="M595" s="280"/>
      <c r="N595" s="280"/>
      <c r="O595" s="280"/>
    </row>
    <row r="596" spans="1:15" ht="57" x14ac:dyDescent="0.25">
      <c r="A596" s="113" t="s">
        <v>1179</v>
      </c>
      <c r="B596" s="266">
        <v>8000</v>
      </c>
      <c r="C596" s="266">
        <v>8000</v>
      </c>
      <c r="D596" s="266">
        <v>8000</v>
      </c>
      <c r="E596" s="266">
        <v>8000</v>
      </c>
      <c r="F596" s="266">
        <v>8000</v>
      </c>
      <c r="G596" s="266">
        <v>8000</v>
      </c>
      <c r="H596" s="265">
        <f t="shared" si="13"/>
        <v>48000</v>
      </c>
      <c r="I596" s="280" t="s">
        <v>1721</v>
      </c>
      <c r="J596" s="280"/>
      <c r="K596" s="280"/>
      <c r="L596" s="280"/>
      <c r="M596" s="280"/>
      <c r="N596" s="280"/>
      <c r="O596" s="280"/>
    </row>
    <row r="597" spans="1:15" x14ac:dyDescent="0.25">
      <c r="A597" s="113" t="s">
        <v>1180</v>
      </c>
      <c r="B597" s="266">
        <v>50000</v>
      </c>
      <c r="C597" s="266">
        <v>50000</v>
      </c>
      <c r="D597" s="266">
        <v>50000</v>
      </c>
      <c r="E597" s="266">
        <v>50000</v>
      </c>
      <c r="F597" s="266">
        <v>50000</v>
      </c>
      <c r="G597" s="266">
        <v>50000</v>
      </c>
      <c r="H597" s="265">
        <f t="shared" si="13"/>
        <v>300000</v>
      </c>
      <c r="I597" s="280"/>
      <c r="J597" s="280"/>
      <c r="K597" s="280"/>
      <c r="L597" s="280"/>
      <c r="M597" s="280"/>
      <c r="N597" s="280"/>
      <c r="O597" s="280"/>
    </row>
    <row r="598" spans="1:15" x14ac:dyDescent="0.25">
      <c r="A598" s="113" t="s">
        <v>1181</v>
      </c>
      <c r="B598" s="266">
        <v>35000</v>
      </c>
      <c r="C598" s="266">
        <v>35000</v>
      </c>
      <c r="D598" s="266">
        <v>35000</v>
      </c>
      <c r="E598" s="266">
        <v>35000</v>
      </c>
      <c r="F598" s="266">
        <v>35000</v>
      </c>
      <c r="G598" s="266">
        <v>35000</v>
      </c>
      <c r="H598" s="265">
        <f t="shared" si="13"/>
        <v>210000</v>
      </c>
      <c r="I598" s="280"/>
      <c r="J598" s="280"/>
      <c r="K598" s="280"/>
      <c r="L598" s="280"/>
      <c r="M598" s="280"/>
      <c r="N598" s="280"/>
      <c r="O598" s="280"/>
    </row>
    <row r="599" spans="1:15" x14ac:dyDescent="0.25">
      <c r="A599" s="113" t="s">
        <v>1182</v>
      </c>
      <c r="B599" s="266">
        <v>300000</v>
      </c>
      <c r="C599" s="266">
        <v>300000</v>
      </c>
      <c r="D599" s="266">
        <v>300000</v>
      </c>
      <c r="E599" s="266">
        <v>300000</v>
      </c>
      <c r="F599" s="266">
        <v>300000</v>
      </c>
      <c r="G599" s="266">
        <v>300000</v>
      </c>
      <c r="H599" s="265">
        <f t="shared" si="13"/>
        <v>1800000</v>
      </c>
      <c r="I599" s="280"/>
      <c r="J599" s="280"/>
      <c r="K599" s="280"/>
      <c r="L599" s="280"/>
      <c r="M599" s="280"/>
      <c r="N599" s="280"/>
      <c r="O599" s="280"/>
    </row>
    <row r="600" spans="1:15" x14ac:dyDescent="0.25">
      <c r="A600" s="113" t="s">
        <v>1183</v>
      </c>
      <c r="B600" s="266">
        <v>250000</v>
      </c>
      <c r="C600" s="266">
        <v>250000</v>
      </c>
      <c r="D600" s="266">
        <v>250000</v>
      </c>
      <c r="E600" s="266">
        <v>250000</v>
      </c>
      <c r="F600" s="266">
        <v>250000</v>
      </c>
      <c r="G600" s="266">
        <v>250000</v>
      </c>
      <c r="H600" s="265">
        <f t="shared" si="13"/>
        <v>1500000</v>
      </c>
      <c r="I600" s="280"/>
      <c r="J600" s="280"/>
      <c r="K600" s="280"/>
      <c r="L600" s="280"/>
      <c r="M600" s="280"/>
      <c r="N600" s="280"/>
      <c r="O600" s="280"/>
    </row>
    <row r="601" spans="1:15" x14ac:dyDescent="0.25">
      <c r="A601" s="113" t="s">
        <v>1184</v>
      </c>
      <c r="B601" s="266">
        <v>200000</v>
      </c>
      <c r="C601" s="266">
        <v>140000</v>
      </c>
      <c r="D601" s="266">
        <v>490000</v>
      </c>
      <c r="E601" s="266">
        <v>120000</v>
      </c>
      <c r="F601" s="266"/>
      <c r="G601" s="266"/>
      <c r="H601" s="265">
        <f t="shared" si="13"/>
        <v>950000</v>
      </c>
      <c r="I601" s="280"/>
      <c r="J601" s="280"/>
      <c r="K601" s="280"/>
      <c r="L601" s="280"/>
      <c r="M601" s="280"/>
      <c r="N601" s="280"/>
      <c r="O601" s="280"/>
    </row>
    <row r="602" spans="1:15" x14ac:dyDescent="0.25">
      <c r="A602" s="113" t="s">
        <v>1185</v>
      </c>
      <c r="B602" s="266"/>
      <c r="C602" s="266"/>
      <c r="D602" s="266"/>
      <c r="E602" s="266"/>
      <c r="F602" s="266"/>
      <c r="G602" s="266"/>
      <c r="H602" s="265">
        <f t="shared" si="13"/>
        <v>0</v>
      </c>
      <c r="I602" s="280" t="s">
        <v>1722</v>
      </c>
      <c r="J602" s="280"/>
      <c r="K602" s="280"/>
      <c r="L602" s="280"/>
      <c r="M602" s="280"/>
      <c r="N602" s="280"/>
      <c r="O602" s="280"/>
    </row>
    <row r="603" spans="1:15" x14ac:dyDescent="0.25">
      <c r="A603" s="113" t="s">
        <v>1186</v>
      </c>
      <c r="B603" s="266"/>
      <c r="C603" s="266"/>
      <c r="D603" s="266"/>
      <c r="E603" s="266"/>
      <c r="F603" s="266"/>
      <c r="G603" s="266"/>
      <c r="H603" s="265">
        <f t="shared" si="13"/>
        <v>0</v>
      </c>
      <c r="I603" s="280" t="s">
        <v>1723</v>
      </c>
      <c r="J603" s="280"/>
      <c r="K603" s="280"/>
      <c r="L603" s="280"/>
      <c r="M603" s="280"/>
      <c r="N603" s="280"/>
      <c r="O603" s="280"/>
    </row>
    <row r="604" spans="1:15" x14ac:dyDescent="0.25">
      <c r="A604" s="113" t="s">
        <v>1187</v>
      </c>
      <c r="B604" s="266"/>
      <c r="C604" s="266"/>
      <c r="D604" s="266"/>
      <c r="E604" s="266"/>
      <c r="F604" s="266"/>
      <c r="G604" s="266"/>
      <c r="H604" s="265">
        <f t="shared" si="13"/>
        <v>0</v>
      </c>
      <c r="I604" s="280" t="s">
        <v>1722</v>
      </c>
      <c r="J604" s="280"/>
      <c r="K604" s="280"/>
      <c r="L604" s="280"/>
      <c r="M604" s="280"/>
      <c r="N604" s="280"/>
      <c r="O604" s="280"/>
    </row>
    <row r="605" spans="1:15" x14ac:dyDescent="0.25">
      <c r="A605" s="113" t="s">
        <v>1188</v>
      </c>
      <c r="B605" s="266">
        <v>10000</v>
      </c>
      <c r="C605" s="266">
        <v>10000</v>
      </c>
      <c r="D605" s="266">
        <v>10000</v>
      </c>
      <c r="E605" s="266">
        <v>10000</v>
      </c>
      <c r="F605" s="266">
        <v>10000</v>
      </c>
      <c r="G605" s="266">
        <v>10000</v>
      </c>
      <c r="H605" s="265">
        <f t="shared" si="13"/>
        <v>60000</v>
      </c>
      <c r="I605" s="280"/>
      <c r="J605" s="280"/>
      <c r="K605" s="280"/>
      <c r="L605" s="280"/>
      <c r="M605" s="280"/>
      <c r="N605" s="280"/>
      <c r="O605" s="280"/>
    </row>
    <row r="606" spans="1:15" x14ac:dyDescent="0.25">
      <c r="A606" s="113" t="s">
        <v>1189</v>
      </c>
      <c r="B606" s="266">
        <v>0</v>
      </c>
      <c r="C606" s="266">
        <v>0</v>
      </c>
      <c r="D606" s="266">
        <v>0</v>
      </c>
      <c r="E606" s="266">
        <v>0</v>
      </c>
      <c r="F606" s="266">
        <v>0</v>
      </c>
      <c r="G606" s="266">
        <v>0</v>
      </c>
      <c r="H606" s="265">
        <f t="shared" si="13"/>
        <v>0</v>
      </c>
      <c r="I606" s="280"/>
      <c r="J606" s="280"/>
      <c r="K606" s="280"/>
      <c r="L606" s="280"/>
      <c r="M606" s="280"/>
      <c r="N606" s="280"/>
      <c r="O606" s="280"/>
    </row>
    <row r="607" spans="1:15" x14ac:dyDescent="0.25">
      <c r="A607" s="113" t="s">
        <v>1190</v>
      </c>
      <c r="B607" s="266"/>
      <c r="C607" s="266"/>
      <c r="D607" s="266"/>
      <c r="E607" s="266"/>
      <c r="F607" s="266"/>
      <c r="G607" s="266"/>
      <c r="H607" s="265">
        <f t="shared" si="13"/>
        <v>0</v>
      </c>
      <c r="I607" s="280" t="s">
        <v>1722</v>
      </c>
      <c r="J607" s="280"/>
      <c r="K607" s="280"/>
      <c r="L607" s="280"/>
      <c r="M607" s="280"/>
      <c r="N607" s="280"/>
      <c r="O607" s="280"/>
    </row>
    <row r="608" spans="1:15" x14ac:dyDescent="0.25">
      <c r="A608" s="113" t="s">
        <v>1191</v>
      </c>
      <c r="B608" s="266"/>
      <c r="C608" s="266">
        <v>5000</v>
      </c>
      <c r="D608" s="266">
        <v>5000</v>
      </c>
      <c r="E608" s="266">
        <v>5000</v>
      </c>
      <c r="F608" s="266">
        <v>5000</v>
      </c>
      <c r="G608" s="266">
        <v>5000</v>
      </c>
      <c r="H608" s="265">
        <f t="shared" si="13"/>
        <v>25000</v>
      </c>
      <c r="I608" s="280"/>
      <c r="J608" s="280"/>
      <c r="K608" s="280"/>
      <c r="L608" s="280"/>
      <c r="M608" s="280"/>
      <c r="N608" s="280"/>
      <c r="O608" s="280"/>
    </row>
    <row r="609" spans="1:15" x14ac:dyDescent="0.25">
      <c r="A609" s="113" t="s">
        <v>1192</v>
      </c>
      <c r="B609" s="266">
        <v>0</v>
      </c>
      <c r="C609" s="266">
        <v>0</v>
      </c>
      <c r="D609" s="266">
        <v>0</v>
      </c>
      <c r="E609" s="266">
        <v>0</v>
      </c>
      <c r="F609" s="266">
        <v>0</v>
      </c>
      <c r="G609" s="266">
        <v>0</v>
      </c>
      <c r="H609" s="265">
        <f t="shared" si="13"/>
        <v>0</v>
      </c>
      <c r="I609" s="280"/>
      <c r="J609" s="280"/>
      <c r="K609" s="280"/>
      <c r="L609" s="280"/>
      <c r="M609" s="280"/>
      <c r="N609" s="280"/>
      <c r="O609" s="280"/>
    </row>
    <row r="610" spans="1:15" x14ac:dyDescent="0.25">
      <c r="A610" s="113" t="s">
        <v>3009</v>
      </c>
      <c r="B610" s="266">
        <v>30000</v>
      </c>
      <c r="C610" s="266"/>
      <c r="D610" s="266"/>
      <c r="E610" s="266"/>
      <c r="F610" s="266"/>
      <c r="G610" s="266"/>
      <c r="H610" s="265">
        <f t="shared" si="13"/>
        <v>30000</v>
      </c>
      <c r="I610" s="280"/>
      <c r="J610" s="280"/>
      <c r="K610" s="280"/>
      <c r="L610" s="280"/>
      <c r="M610" s="280"/>
      <c r="N610" s="280"/>
      <c r="O610" s="280"/>
    </row>
    <row r="611" spans="1:15" x14ac:dyDescent="0.25">
      <c r="A611" s="113" t="s">
        <v>3010</v>
      </c>
      <c r="B611" s="266"/>
      <c r="C611" s="266">
        <v>250000</v>
      </c>
      <c r="D611" s="266"/>
      <c r="E611" s="266"/>
      <c r="F611" s="266"/>
      <c r="G611" s="266"/>
      <c r="H611" s="265">
        <f t="shared" si="13"/>
        <v>250000</v>
      </c>
      <c r="I611" s="280"/>
      <c r="J611" s="280"/>
      <c r="K611" s="280"/>
      <c r="L611" s="280"/>
      <c r="M611" s="280"/>
      <c r="N611" s="280"/>
      <c r="O611" s="280"/>
    </row>
    <row r="612" spans="1:15" x14ac:dyDescent="0.25">
      <c r="A612" s="113" t="s">
        <v>3011</v>
      </c>
      <c r="B612" s="266">
        <v>100000</v>
      </c>
      <c r="C612" s="266"/>
      <c r="D612" s="266"/>
      <c r="E612" s="266"/>
      <c r="F612" s="266"/>
      <c r="G612" s="266"/>
      <c r="H612" s="265">
        <f t="shared" si="13"/>
        <v>100000</v>
      </c>
      <c r="I612" s="280"/>
      <c r="J612" s="280"/>
      <c r="K612" s="280"/>
      <c r="L612" s="280"/>
      <c r="M612" s="280"/>
      <c r="N612" s="280"/>
      <c r="O612" s="280"/>
    </row>
    <row r="613" spans="1:15" x14ac:dyDescent="0.25">
      <c r="A613" s="113" t="s">
        <v>3012</v>
      </c>
      <c r="B613" s="266">
        <v>50000</v>
      </c>
      <c r="C613" s="266"/>
      <c r="D613" s="266"/>
      <c r="E613" s="266"/>
      <c r="F613" s="266"/>
      <c r="G613" s="266"/>
      <c r="H613" s="265">
        <f t="shared" si="13"/>
        <v>50000</v>
      </c>
      <c r="I613" s="280"/>
      <c r="J613" s="280"/>
      <c r="K613" s="280"/>
      <c r="L613" s="280"/>
      <c r="M613" s="280"/>
      <c r="N613" s="280"/>
      <c r="O613" s="280"/>
    </row>
    <row r="614" spans="1:15" x14ac:dyDescent="0.25">
      <c r="A614" s="113" t="s">
        <v>3013</v>
      </c>
      <c r="B614" s="266"/>
      <c r="C614" s="266">
        <v>500000</v>
      </c>
      <c r="D614" s="266">
        <v>500000</v>
      </c>
      <c r="E614" s="266">
        <v>500000</v>
      </c>
      <c r="F614" s="266"/>
      <c r="G614" s="266"/>
      <c r="H614" s="265">
        <f t="shared" si="13"/>
        <v>1500000</v>
      </c>
      <c r="I614" s="280"/>
      <c r="J614" s="280"/>
      <c r="K614" s="280"/>
      <c r="L614" s="280"/>
      <c r="M614" s="280"/>
      <c r="N614" s="280"/>
      <c r="O614" s="280"/>
    </row>
    <row r="615" spans="1:15" x14ac:dyDescent="0.25">
      <c r="A615" s="113" t="s">
        <v>3014</v>
      </c>
      <c r="B615" s="266"/>
      <c r="C615" s="266">
        <v>50000</v>
      </c>
      <c r="D615" s="266"/>
      <c r="E615" s="266"/>
      <c r="F615" s="266"/>
      <c r="G615" s="266"/>
      <c r="H615" s="265">
        <f t="shared" si="13"/>
        <v>50000</v>
      </c>
      <c r="I615" s="280"/>
      <c r="J615" s="280"/>
      <c r="K615" s="280"/>
      <c r="L615" s="280"/>
      <c r="M615" s="280"/>
      <c r="N615" s="280"/>
      <c r="O615" s="280"/>
    </row>
    <row r="616" spans="1:15" x14ac:dyDescent="0.25">
      <c r="A616" s="113" t="s">
        <v>3015</v>
      </c>
      <c r="B616" s="266"/>
      <c r="C616" s="266"/>
      <c r="D616" s="266"/>
      <c r="E616" s="266"/>
      <c r="F616" s="266"/>
      <c r="G616" s="266"/>
      <c r="H616" s="265">
        <f t="shared" si="13"/>
        <v>0</v>
      </c>
      <c r="I616" s="280"/>
      <c r="J616" s="280"/>
      <c r="K616" s="280"/>
      <c r="L616" s="280"/>
      <c r="M616" s="280"/>
      <c r="N616" s="280"/>
      <c r="O616" s="280"/>
    </row>
    <row r="617" spans="1:15" x14ac:dyDescent="0.25">
      <c r="A617" s="113" t="s">
        <v>3016</v>
      </c>
      <c r="B617" s="266"/>
      <c r="C617" s="266"/>
      <c r="D617" s="266"/>
      <c r="E617" s="266"/>
      <c r="F617" s="266"/>
      <c r="G617" s="266"/>
      <c r="H617" s="265">
        <f t="shared" si="13"/>
        <v>0</v>
      </c>
      <c r="I617" s="280"/>
      <c r="J617" s="280"/>
      <c r="K617" s="280"/>
      <c r="L617" s="280"/>
      <c r="M617" s="280"/>
      <c r="N617" s="280"/>
      <c r="O617" s="280"/>
    </row>
    <row r="618" spans="1:15" x14ac:dyDescent="0.25">
      <c r="A618" s="113" t="s">
        <v>3017</v>
      </c>
      <c r="B618" s="266"/>
      <c r="C618" s="266"/>
      <c r="D618" s="266"/>
      <c r="E618" s="266"/>
      <c r="F618" s="266"/>
      <c r="G618" s="266"/>
      <c r="H618" s="265">
        <f t="shared" si="13"/>
        <v>0</v>
      </c>
      <c r="I618" s="280"/>
      <c r="J618" s="280"/>
      <c r="K618" s="280"/>
      <c r="L618" s="280"/>
      <c r="M618" s="280"/>
      <c r="N618" s="280"/>
      <c r="O618" s="280"/>
    </row>
    <row r="619" spans="1:15" x14ac:dyDescent="0.25">
      <c r="A619" s="113" t="s">
        <v>3018</v>
      </c>
      <c r="B619" s="266"/>
      <c r="C619" s="266"/>
      <c r="D619" s="266"/>
      <c r="E619" s="266"/>
      <c r="F619" s="266">
        <v>50000</v>
      </c>
      <c r="G619" s="266"/>
      <c r="H619" s="265">
        <f t="shared" si="13"/>
        <v>50000</v>
      </c>
      <c r="I619" s="280"/>
      <c r="J619" s="280"/>
      <c r="K619" s="280"/>
      <c r="L619" s="280"/>
      <c r="M619" s="280"/>
      <c r="N619" s="280"/>
      <c r="O619" s="280"/>
    </row>
    <row r="620" spans="1:15" x14ac:dyDescent="0.25">
      <c r="A620" s="113" t="s">
        <v>3019</v>
      </c>
      <c r="B620" s="266"/>
      <c r="C620" s="266">
        <v>50000</v>
      </c>
      <c r="D620" s="266"/>
      <c r="E620" s="266"/>
      <c r="F620" s="266"/>
      <c r="G620" s="266"/>
      <c r="H620" s="265">
        <f t="shared" si="13"/>
        <v>50000</v>
      </c>
      <c r="I620" s="280"/>
      <c r="J620" s="280"/>
      <c r="K620" s="280"/>
      <c r="L620" s="280"/>
      <c r="M620" s="280"/>
      <c r="N620" s="280"/>
      <c r="O620" s="280"/>
    </row>
    <row r="621" spans="1:15" x14ac:dyDescent="0.25">
      <c r="A621" s="113" t="s">
        <v>3020</v>
      </c>
      <c r="B621" s="266"/>
      <c r="C621" s="266"/>
      <c r="D621" s="266"/>
      <c r="E621" s="266"/>
      <c r="F621" s="266"/>
      <c r="G621" s="266">
        <v>200000</v>
      </c>
      <c r="H621" s="265">
        <f t="shared" si="13"/>
        <v>200000</v>
      </c>
      <c r="I621" s="280"/>
      <c r="J621" s="280"/>
      <c r="K621" s="280"/>
      <c r="L621" s="280"/>
      <c r="M621" s="280"/>
      <c r="N621" s="280"/>
      <c r="O621" s="280"/>
    </row>
    <row r="622" spans="1:15" x14ac:dyDescent="0.25">
      <c r="A622" s="113" t="s">
        <v>1193</v>
      </c>
      <c r="B622" s="266">
        <v>200000</v>
      </c>
      <c r="C622" s="266">
        <v>65000</v>
      </c>
      <c r="D622" s="266"/>
      <c r="E622" s="266"/>
      <c r="F622" s="266"/>
      <c r="G622" s="266"/>
      <c r="H622" s="265">
        <f t="shared" si="13"/>
        <v>265000</v>
      </c>
      <c r="I622" s="280"/>
      <c r="J622" s="280"/>
      <c r="K622" s="280"/>
      <c r="L622" s="280"/>
      <c r="M622" s="280"/>
      <c r="N622" s="280"/>
      <c r="O622" s="280"/>
    </row>
    <row r="623" spans="1:15" x14ac:dyDescent="0.25">
      <c r="A623" s="113" t="s">
        <v>1194</v>
      </c>
      <c r="B623" s="266"/>
      <c r="C623" s="266"/>
      <c r="D623" s="266"/>
      <c r="E623" s="266"/>
      <c r="F623" s="266"/>
      <c r="G623" s="266"/>
      <c r="H623" s="265">
        <f t="shared" si="13"/>
        <v>0</v>
      </c>
      <c r="I623" s="280"/>
      <c r="J623" s="280"/>
      <c r="K623" s="280"/>
      <c r="L623" s="280"/>
      <c r="M623" s="280"/>
      <c r="N623" s="280"/>
      <c r="O623" s="280"/>
    </row>
    <row r="624" spans="1:15" x14ac:dyDescent="0.25">
      <c r="A624" s="113" t="s">
        <v>1195</v>
      </c>
      <c r="B624" s="266"/>
      <c r="C624" s="266">
        <v>2000000</v>
      </c>
      <c r="D624" s="266">
        <v>4200000</v>
      </c>
      <c r="E624" s="266"/>
      <c r="F624" s="266"/>
      <c r="G624" s="266"/>
      <c r="H624" s="265">
        <f t="shared" si="13"/>
        <v>6200000</v>
      </c>
      <c r="I624" s="280"/>
      <c r="J624" s="280"/>
      <c r="K624" s="280"/>
      <c r="L624" s="280"/>
      <c r="M624" s="280"/>
      <c r="N624" s="280"/>
      <c r="O624" s="280"/>
    </row>
    <row r="625" spans="1:15" x14ac:dyDescent="0.25">
      <c r="A625" s="113" t="s">
        <v>1196</v>
      </c>
      <c r="B625" s="266">
        <v>0</v>
      </c>
      <c r="C625" s="266">
        <v>0</v>
      </c>
      <c r="D625" s="266">
        <v>0</v>
      </c>
      <c r="E625" s="266">
        <v>0</v>
      </c>
      <c r="F625" s="266">
        <v>0</v>
      </c>
      <c r="G625" s="266">
        <v>0</v>
      </c>
      <c r="H625" s="265">
        <f t="shared" si="13"/>
        <v>0</v>
      </c>
      <c r="I625" s="280" t="s">
        <v>1724</v>
      </c>
      <c r="J625" s="280"/>
      <c r="K625" s="280"/>
      <c r="L625" s="280"/>
      <c r="M625" s="280"/>
      <c r="N625" s="280"/>
      <c r="O625" s="280"/>
    </row>
    <row r="626" spans="1:15" x14ac:dyDescent="0.25">
      <c r="A626" s="113" t="s">
        <v>1197</v>
      </c>
      <c r="B626" s="266">
        <v>0</v>
      </c>
      <c r="C626" s="266">
        <v>0</v>
      </c>
      <c r="D626" s="266">
        <v>0</v>
      </c>
      <c r="E626" s="266">
        <v>0</v>
      </c>
      <c r="F626" s="266">
        <v>0</v>
      </c>
      <c r="G626" s="266">
        <v>0</v>
      </c>
      <c r="H626" s="265">
        <f t="shared" si="13"/>
        <v>0</v>
      </c>
      <c r="I626" s="280"/>
      <c r="J626" s="280"/>
      <c r="K626" s="280"/>
      <c r="L626" s="280"/>
      <c r="M626" s="280"/>
      <c r="N626" s="280"/>
      <c r="O626" s="280"/>
    </row>
    <row r="627" spans="1:15" x14ac:dyDescent="0.25">
      <c r="A627" s="113" t="s">
        <v>1198</v>
      </c>
      <c r="B627" s="266">
        <v>0</v>
      </c>
      <c r="C627" s="266">
        <v>0</v>
      </c>
      <c r="D627" s="266">
        <v>0</v>
      </c>
      <c r="E627" s="266">
        <v>0</v>
      </c>
      <c r="F627" s="266">
        <v>0</v>
      </c>
      <c r="G627" s="266">
        <v>0</v>
      </c>
      <c r="H627" s="265">
        <f t="shared" si="13"/>
        <v>0</v>
      </c>
      <c r="I627" s="280"/>
      <c r="J627" s="280"/>
      <c r="K627" s="280"/>
      <c r="L627" s="280"/>
      <c r="M627" s="280"/>
      <c r="N627" s="280"/>
      <c r="O627" s="280"/>
    </row>
    <row r="628" spans="1:15" x14ac:dyDescent="0.25">
      <c r="A628" s="113" t="s">
        <v>1199</v>
      </c>
      <c r="B628" s="266">
        <v>0</v>
      </c>
      <c r="C628" s="266">
        <v>0</v>
      </c>
      <c r="D628" s="266">
        <v>0</v>
      </c>
      <c r="E628" s="266">
        <v>0</v>
      </c>
      <c r="F628" s="266">
        <v>0</v>
      </c>
      <c r="G628" s="266">
        <v>0</v>
      </c>
      <c r="H628" s="265">
        <f t="shared" si="13"/>
        <v>0</v>
      </c>
      <c r="I628" s="280"/>
      <c r="J628" s="280"/>
      <c r="K628" s="280"/>
      <c r="L628" s="280"/>
      <c r="M628" s="280"/>
      <c r="N628" s="280"/>
      <c r="O628" s="280"/>
    </row>
    <row r="629" spans="1:15" x14ac:dyDescent="0.25">
      <c r="A629" s="113" t="s">
        <v>1200</v>
      </c>
      <c r="B629" s="266">
        <v>0</v>
      </c>
      <c r="C629" s="266">
        <v>0</v>
      </c>
      <c r="D629" s="266">
        <v>0</v>
      </c>
      <c r="E629" s="266">
        <v>0</v>
      </c>
      <c r="F629" s="266">
        <v>0</v>
      </c>
      <c r="G629" s="266">
        <v>0</v>
      </c>
      <c r="H629" s="265">
        <f t="shared" si="13"/>
        <v>0</v>
      </c>
      <c r="I629" s="280"/>
      <c r="J629" s="280"/>
      <c r="K629" s="280"/>
      <c r="L629" s="280"/>
      <c r="M629" s="280"/>
      <c r="N629" s="280"/>
      <c r="O629" s="280"/>
    </row>
    <row r="630" spans="1:15" x14ac:dyDescent="0.25">
      <c r="A630" s="113" t="s">
        <v>1201</v>
      </c>
      <c r="B630" s="266">
        <v>50000</v>
      </c>
      <c r="C630" s="266"/>
      <c r="D630" s="266"/>
      <c r="E630" s="266"/>
      <c r="F630" s="266"/>
      <c r="G630" s="266"/>
      <c r="H630" s="265">
        <f t="shared" si="13"/>
        <v>50000</v>
      </c>
      <c r="I630" s="280"/>
      <c r="J630" s="280"/>
      <c r="K630" s="280"/>
      <c r="L630" s="280"/>
      <c r="M630" s="280"/>
      <c r="N630" s="280"/>
      <c r="O630" s="280"/>
    </row>
    <row r="631" spans="1:15" x14ac:dyDescent="0.25">
      <c r="A631" s="113" t="s">
        <v>1202</v>
      </c>
      <c r="B631" s="266"/>
      <c r="C631" s="266">
        <v>250000</v>
      </c>
      <c r="D631" s="266"/>
      <c r="E631" s="266"/>
      <c r="F631" s="266"/>
      <c r="G631" s="266"/>
      <c r="H631" s="265">
        <f t="shared" si="13"/>
        <v>250000</v>
      </c>
      <c r="I631" s="280"/>
      <c r="J631" s="280"/>
      <c r="K631" s="280"/>
      <c r="L631" s="280"/>
      <c r="M631" s="280"/>
      <c r="N631" s="280"/>
      <c r="O631" s="280"/>
    </row>
    <row r="632" spans="1:15" x14ac:dyDescent="0.25">
      <c r="A632" s="113" t="s">
        <v>1203</v>
      </c>
      <c r="B632" s="266"/>
      <c r="C632" s="266"/>
      <c r="D632" s="266"/>
      <c r="E632" s="266"/>
      <c r="F632" s="266">
        <v>250000</v>
      </c>
      <c r="G632" s="266"/>
      <c r="H632" s="265">
        <f t="shared" si="13"/>
        <v>250000</v>
      </c>
      <c r="I632" s="280"/>
      <c r="J632" s="280"/>
      <c r="K632" s="280"/>
      <c r="L632" s="280"/>
      <c r="M632" s="280"/>
      <c r="N632" s="280"/>
      <c r="O632" s="280"/>
    </row>
    <row r="633" spans="1:15" x14ac:dyDescent="0.25">
      <c r="A633" s="113" t="s">
        <v>1204</v>
      </c>
      <c r="B633" s="266">
        <v>24000</v>
      </c>
      <c r="C633" s="266">
        <v>32000</v>
      </c>
      <c r="D633" s="266">
        <v>40000</v>
      </c>
      <c r="E633" s="266">
        <v>40000</v>
      </c>
      <c r="F633" s="266">
        <v>40000</v>
      </c>
      <c r="G633" s="266">
        <v>40000</v>
      </c>
      <c r="H633" s="265">
        <f t="shared" si="13"/>
        <v>216000</v>
      </c>
      <c r="I633" s="280"/>
      <c r="J633" s="280"/>
      <c r="K633" s="280"/>
      <c r="L633" s="280"/>
      <c r="M633" s="280"/>
      <c r="N633" s="280"/>
      <c r="O633" s="280"/>
    </row>
    <row r="634" spans="1:15" x14ac:dyDescent="0.25">
      <c r="A634" s="113" t="s">
        <v>1163</v>
      </c>
      <c r="B634" s="266">
        <v>0</v>
      </c>
      <c r="C634" s="266">
        <v>0</v>
      </c>
      <c r="D634" s="266">
        <v>0</v>
      </c>
      <c r="E634" s="266">
        <v>0</v>
      </c>
      <c r="F634" s="266">
        <v>0</v>
      </c>
      <c r="G634" s="266">
        <v>0</v>
      </c>
      <c r="H634" s="265">
        <f t="shared" si="13"/>
        <v>0</v>
      </c>
      <c r="I634" s="280"/>
      <c r="J634" s="280"/>
      <c r="K634" s="280"/>
      <c r="L634" s="280"/>
      <c r="M634" s="280"/>
      <c r="N634" s="280"/>
      <c r="O634" s="280"/>
    </row>
    <row r="635" spans="1:15" ht="28.5" x14ac:dyDescent="0.25">
      <c r="A635" s="113" t="s">
        <v>1164</v>
      </c>
      <c r="B635" s="266">
        <v>0</v>
      </c>
      <c r="C635" s="266">
        <v>0</v>
      </c>
      <c r="D635" s="266">
        <v>0</v>
      </c>
      <c r="E635" s="266">
        <v>0</v>
      </c>
      <c r="F635" s="266">
        <v>0</v>
      </c>
      <c r="G635" s="266">
        <v>0</v>
      </c>
      <c r="H635" s="265">
        <f t="shared" si="13"/>
        <v>0</v>
      </c>
      <c r="I635" s="280" t="s">
        <v>1725</v>
      </c>
      <c r="J635" s="280"/>
      <c r="K635" s="280"/>
      <c r="L635" s="280"/>
      <c r="M635" s="280"/>
      <c r="N635" s="280"/>
      <c r="O635" s="280"/>
    </row>
    <row r="636" spans="1:15" x14ac:dyDescent="0.25">
      <c r="A636" s="113" t="s">
        <v>1165</v>
      </c>
      <c r="B636" s="266">
        <v>0</v>
      </c>
      <c r="C636" s="266">
        <v>0</v>
      </c>
      <c r="D636" s="266">
        <v>0</v>
      </c>
      <c r="E636" s="266">
        <v>0</v>
      </c>
      <c r="F636" s="266">
        <v>0</v>
      </c>
      <c r="G636" s="266">
        <v>0</v>
      </c>
      <c r="H636" s="265">
        <f t="shared" si="13"/>
        <v>0</v>
      </c>
      <c r="I636" s="280"/>
      <c r="J636" s="280"/>
      <c r="K636" s="280"/>
      <c r="L636" s="280"/>
      <c r="M636" s="280"/>
      <c r="N636" s="280"/>
      <c r="O636" s="280"/>
    </row>
    <row r="637" spans="1:15" x14ac:dyDescent="0.25">
      <c r="A637" s="113" t="s">
        <v>1166</v>
      </c>
      <c r="B637" s="266">
        <v>0</v>
      </c>
      <c r="C637" s="266">
        <v>0</v>
      </c>
      <c r="D637" s="266">
        <v>0</v>
      </c>
      <c r="E637" s="266">
        <v>0</v>
      </c>
      <c r="F637" s="266">
        <v>0</v>
      </c>
      <c r="G637" s="266">
        <v>0</v>
      </c>
      <c r="H637" s="265">
        <f t="shared" si="13"/>
        <v>0</v>
      </c>
      <c r="I637" s="280"/>
      <c r="J637" s="280"/>
      <c r="K637" s="280"/>
      <c r="L637" s="280"/>
      <c r="M637" s="280"/>
      <c r="N637" s="280"/>
      <c r="O637" s="280"/>
    </row>
    <row r="638" spans="1:15" x14ac:dyDescent="0.25">
      <c r="A638" s="113" t="s">
        <v>1167</v>
      </c>
      <c r="B638" s="266">
        <v>0</v>
      </c>
      <c r="C638" s="266">
        <v>0</v>
      </c>
      <c r="D638" s="266">
        <v>0</v>
      </c>
      <c r="E638" s="266">
        <v>0</v>
      </c>
      <c r="F638" s="266">
        <v>0</v>
      </c>
      <c r="G638" s="266">
        <v>0</v>
      </c>
      <c r="H638" s="265">
        <f t="shared" si="13"/>
        <v>0</v>
      </c>
      <c r="I638" s="280"/>
      <c r="J638" s="280"/>
      <c r="K638" s="280"/>
      <c r="L638" s="280"/>
      <c r="M638" s="280"/>
      <c r="N638" s="280"/>
      <c r="O638" s="280"/>
    </row>
    <row r="639" spans="1:15" x14ac:dyDescent="0.25">
      <c r="A639" s="113" t="s">
        <v>1168</v>
      </c>
      <c r="B639" s="266">
        <v>0</v>
      </c>
      <c r="C639" s="266">
        <v>0</v>
      </c>
      <c r="D639" s="266">
        <v>0</v>
      </c>
      <c r="E639" s="266">
        <v>0</v>
      </c>
      <c r="F639" s="266">
        <v>0</v>
      </c>
      <c r="G639" s="266">
        <v>0</v>
      </c>
      <c r="H639" s="265">
        <f t="shared" si="13"/>
        <v>0</v>
      </c>
      <c r="I639" s="280"/>
      <c r="J639" s="280"/>
      <c r="K639" s="280"/>
      <c r="L639" s="280"/>
      <c r="M639" s="280"/>
      <c r="N639" s="280"/>
      <c r="O639" s="280"/>
    </row>
    <row r="640" spans="1:15" x14ac:dyDescent="0.25">
      <c r="A640" s="113" t="s">
        <v>1169</v>
      </c>
      <c r="B640" s="266">
        <v>0</v>
      </c>
      <c r="C640" s="266">
        <v>0</v>
      </c>
      <c r="D640" s="266">
        <v>0</v>
      </c>
      <c r="E640" s="266">
        <v>0</v>
      </c>
      <c r="F640" s="266">
        <v>0</v>
      </c>
      <c r="G640" s="266">
        <v>0</v>
      </c>
      <c r="H640" s="265">
        <f t="shared" si="13"/>
        <v>0</v>
      </c>
      <c r="I640" s="280"/>
      <c r="J640" s="280"/>
      <c r="K640" s="280"/>
      <c r="L640" s="280"/>
      <c r="M640" s="280"/>
      <c r="N640" s="280"/>
      <c r="O640" s="280"/>
    </row>
    <row r="641" spans="1:15" x14ac:dyDescent="0.25">
      <c r="A641" s="113" t="s">
        <v>1170</v>
      </c>
      <c r="B641" s="266">
        <v>0</v>
      </c>
      <c r="C641" s="266">
        <v>0</v>
      </c>
      <c r="D641" s="266">
        <v>0</v>
      </c>
      <c r="E641" s="266">
        <v>0</v>
      </c>
      <c r="F641" s="266">
        <v>0</v>
      </c>
      <c r="G641" s="266">
        <v>0</v>
      </c>
      <c r="H641" s="265">
        <f t="shared" si="13"/>
        <v>0</v>
      </c>
      <c r="I641" s="280"/>
      <c r="J641" s="280"/>
      <c r="K641" s="280"/>
      <c r="L641" s="280"/>
      <c r="M641" s="280"/>
      <c r="N641" s="280"/>
      <c r="O641" s="280"/>
    </row>
    <row r="642" spans="1:15" x14ac:dyDescent="0.25">
      <c r="A642" s="113" t="s">
        <v>1171</v>
      </c>
      <c r="B642" s="266">
        <v>50000</v>
      </c>
      <c r="C642" s="266">
        <v>50000</v>
      </c>
      <c r="D642" s="266">
        <v>50000</v>
      </c>
      <c r="E642" s="266">
        <v>50000</v>
      </c>
      <c r="F642" s="266">
        <v>50000</v>
      </c>
      <c r="G642" s="266">
        <v>50000</v>
      </c>
      <c r="H642" s="265">
        <f t="shared" si="13"/>
        <v>300000</v>
      </c>
      <c r="I642" s="280"/>
      <c r="J642" s="280"/>
      <c r="K642" s="280"/>
      <c r="L642" s="280"/>
      <c r="M642" s="280"/>
      <c r="N642" s="280"/>
      <c r="O642" s="280"/>
    </row>
    <row r="643" spans="1:15" x14ac:dyDescent="0.25">
      <c r="A643" s="113" t="s">
        <v>1172</v>
      </c>
      <c r="B643" s="266">
        <v>0</v>
      </c>
      <c r="C643" s="266">
        <v>0</v>
      </c>
      <c r="D643" s="266">
        <v>0</v>
      </c>
      <c r="E643" s="266">
        <v>0</v>
      </c>
      <c r="F643" s="266">
        <v>0</v>
      </c>
      <c r="G643" s="266">
        <v>0</v>
      </c>
      <c r="H643" s="265">
        <f t="shared" si="13"/>
        <v>0</v>
      </c>
      <c r="I643" s="280"/>
      <c r="J643" s="280"/>
      <c r="K643" s="280"/>
      <c r="L643" s="280"/>
      <c r="M643" s="280"/>
      <c r="N643" s="280"/>
      <c r="O643" s="280"/>
    </row>
    <row r="644" spans="1:15" x14ac:dyDescent="0.25">
      <c r="A644" s="113" t="s">
        <v>1173</v>
      </c>
      <c r="B644" s="266">
        <v>0</v>
      </c>
      <c r="C644" s="266">
        <v>0</v>
      </c>
      <c r="D644" s="266">
        <v>0</v>
      </c>
      <c r="E644" s="266">
        <v>0</v>
      </c>
      <c r="F644" s="266">
        <v>0</v>
      </c>
      <c r="G644" s="266">
        <v>0</v>
      </c>
      <c r="H644" s="265">
        <f t="shared" si="13"/>
        <v>0</v>
      </c>
      <c r="I644" s="280"/>
      <c r="J644" s="280"/>
      <c r="K644" s="280"/>
      <c r="L644" s="280"/>
      <c r="M644" s="280"/>
      <c r="N644" s="280"/>
      <c r="O644" s="280"/>
    </row>
    <row r="645" spans="1:15" x14ac:dyDescent="0.25">
      <c r="A645" s="113" t="s">
        <v>1174</v>
      </c>
      <c r="B645" s="266">
        <v>0</v>
      </c>
      <c r="C645" s="266">
        <v>0</v>
      </c>
      <c r="D645" s="266">
        <v>0</v>
      </c>
      <c r="E645" s="266">
        <v>0</v>
      </c>
      <c r="F645" s="266">
        <v>0</v>
      </c>
      <c r="G645" s="266">
        <v>0</v>
      </c>
      <c r="H645" s="265">
        <f t="shared" ref="H645:H708" si="14">SUM(B645:G645)</f>
        <v>0</v>
      </c>
      <c r="I645" s="280"/>
      <c r="J645" s="280"/>
      <c r="K645" s="280"/>
      <c r="L645" s="280"/>
      <c r="M645" s="280"/>
      <c r="N645" s="280"/>
      <c r="O645" s="280"/>
    </row>
    <row r="646" spans="1:15" x14ac:dyDescent="0.25">
      <c r="A646" s="113" t="s">
        <v>1175</v>
      </c>
      <c r="B646" s="266">
        <v>0</v>
      </c>
      <c r="C646" s="266">
        <v>0</v>
      </c>
      <c r="D646" s="266">
        <v>0</v>
      </c>
      <c r="E646" s="266">
        <v>0</v>
      </c>
      <c r="F646" s="266">
        <v>0</v>
      </c>
      <c r="G646" s="266">
        <v>0</v>
      </c>
      <c r="H646" s="265">
        <f t="shared" si="14"/>
        <v>0</v>
      </c>
      <c r="I646" s="280"/>
      <c r="J646" s="280"/>
      <c r="K646" s="280"/>
      <c r="L646" s="280"/>
      <c r="M646" s="280"/>
      <c r="N646" s="280"/>
      <c r="O646" s="280"/>
    </row>
    <row r="647" spans="1:15" x14ac:dyDescent="0.25">
      <c r="A647" s="113" t="s">
        <v>1205</v>
      </c>
      <c r="B647" s="266">
        <v>90000</v>
      </c>
      <c r="C647" s="266">
        <v>60000</v>
      </c>
      <c r="D647" s="266">
        <v>30000</v>
      </c>
      <c r="E647" s="266">
        <v>30000</v>
      </c>
      <c r="F647" s="266">
        <v>30000</v>
      </c>
      <c r="G647" s="266">
        <v>30000</v>
      </c>
      <c r="H647" s="265">
        <f t="shared" si="14"/>
        <v>270000</v>
      </c>
      <c r="I647" s="280"/>
      <c r="J647" s="280"/>
      <c r="K647" s="280"/>
      <c r="L647" s="280"/>
      <c r="M647" s="280"/>
      <c r="N647" s="280"/>
      <c r="O647" s="280"/>
    </row>
    <row r="648" spans="1:15" x14ac:dyDescent="0.25">
      <c r="A648" s="113" t="s">
        <v>1206</v>
      </c>
      <c r="B648" s="266">
        <v>100000</v>
      </c>
      <c r="C648" s="266"/>
      <c r="D648" s="266">
        <v>50000</v>
      </c>
      <c r="E648" s="266">
        <v>50000</v>
      </c>
      <c r="F648" s="266">
        <v>50000</v>
      </c>
      <c r="G648" s="266"/>
      <c r="H648" s="265">
        <f t="shared" si="14"/>
        <v>250000</v>
      </c>
      <c r="I648" s="280"/>
      <c r="J648" s="280"/>
      <c r="K648" s="280"/>
      <c r="L648" s="280"/>
      <c r="M648" s="280"/>
      <c r="N648" s="280"/>
      <c r="O648" s="280"/>
    </row>
    <row r="649" spans="1:15" x14ac:dyDescent="0.25">
      <c r="A649" s="113" t="s">
        <v>1207</v>
      </c>
      <c r="B649" s="266">
        <v>60000</v>
      </c>
      <c r="C649" s="266">
        <v>65000</v>
      </c>
      <c r="D649" s="266">
        <v>70000</v>
      </c>
      <c r="E649" s="266">
        <v>70000</v>
      </c>
      <c r="F649" s="266">
        <v>70000</v>
      </c>
      <c r="G649" s="266">
        <v>70000</v>
      </c>
      <c r="H649" s="265">
        <f t="shared" si="14"/>
        <v>405000</v>
      </c>
      <c r="I649" s="280"/>
      <c r="J649" s="280"/>
      <c r="K649" s="280"/>
      <c r="L649" s="280"/>
      <c r="M649" s="280"/>
      <c r="N649" s="280"/>
      <c r="O649" s="280"/>
    </row>
    <row r="650" spans="1:15" x14ac:dyDescent="0.25">
      <c r="A650" s="113" t="s">
        <v>1208</v>
      </c>
      <c r="B650" s="266">
        <v>2850000</v>
      </c>
      <c r="C650" s="266">
        <v>2850000</v>
      </c>
      <c r="D650" s="266">
        <v>2850000</v>
      </c>
      <c r="E650" s="266">
        <v>2850000</v>
      </c>
      <c r="F650" s="266">
        <v>2850000</v>
      </c>
      <c r="G650" s="266">
        <v>2850000</v>
      </c>
      <c r="H650" s="265">
        <f t="shared" si="14"/>
        <v>17100000</v>
      </c>
      <c r="I650" s="280"/>
      <c r="J650" s="280"/>
      <c r="K650" s="280"/>
      <c r="L650" s="280"/>
      <c r="M650" s="280"/>
      <c r="N650" s="280"/>
      <c r="O650" s="280"/>
    </row>
    <row r="651" spans="1:15" x14ac:dyDescent="0.25">
      <c r="A651" s="113" t="s">
        <v>1209</v>
      </c>
      <c r="B651" s="266">
        <v>100000</v>
      </c>
      <c r="C651" s="266">
        <v>100000</v>
      </c>
      <c r="D651" s="266">
        <v>100000</v>
      </c>
      <c r="E651" s="266">
        <v>100000</v>
      </c>
      <c r="F651" s="266">
        <v>100000</v>
      </c>
      <c r="G651" s="266">
        <v>100000</v>
      </c>
      <c r="H651" s="265">
        <f t="shared" si="14"/>
        <v>600000</v>
      </c>
      <c r="I651" s="280"/>
      <c r="J651" s="280"/>
      <c r="K651" s="280"/>
      <c r="L651" s="280"/>
      <c r="M651" s="280"/>
      <c r="N651" s="280"/>
      <c r="O651" s="280"/>
    </row>
    <row r="652" spans="1:15" x14ac:dyDescent="0.25">
      <c r="A652" s="113" t="s">
        <v>1210</v>
      </c>
      <c r="B652" s="266">
        <v>19925000</v>
      </c>
      <c r="C652" s="266">
        <v>19925000</v>
      </c>
      <c r="D652" s="266">
        <v>19925000</v>
      </c>
      <c r="E652" s="266">
        <v>19925000</v>
      </c>
      <c r="F652" s="266">
        <v>19925000</v>
      </c>
      <c r="G652" s="266">
        <v>19925000</v>
      </c>
      <c r="H652" s="265">
        <f t="shared" si="14"/>
        <v>119550000</v>
      </c>
      <c r="I652" s="280"/>
      <c r="J652" s="280"/>
      <c r="K652" s="280"/>
      <c r="L652" s="280"/>
      <c r="M652" s="280"/>
      <c r="N652" s="280"/>
      <c r="O652" s="280"/>
    </row>
    <row r="653" spans="1:15" x14ac:dyDescent="0.25">
      <c r="A653" s="113" t="s">
        <v>1211</v>
      </c>
      <c r="B653" s="266">
        <v>550000</v>
      </c>
      <c r="C653" s="266">
        <v>550000</v>
      </c>
      <c r="D653" s="266">
        <v>550000</v>
      </c>
      <c r="E653" s="266">
        <v>550000</v>
      </c>
      <c r="F653" s="266">
        <v>550000</v>
      </c>
      <c r="G653" s="266">
        <v>550000</v>
      </c>
      <c r="H653" s="265">
        <f t="shared" si="14"/>
        <v>3300000</v>
      </c>
      <c r="I653" s="280"/>
      <c r="J653" s="280"/>
      <c r="K653" s="280"/>
      <c r="L653" s="280"/>
      <c r="M653" s="280"/>
      <c r="N653" s="280"/>
      <c r="O653" s="280"/>
    </row>
    <row r="654" spans="1:15" x14ac:dyDescent="0.25">
      <c r="A654" s="113" t="s">
        <v>1726</v>
      </c>
      <c r="B654" s="266">
        <v>300000</v>
      </c>
      <c r="C654" s="266">
        <v>300000</v>
      </c>
      <c r="D654" s="266">
        <v>300000</v>
      </c>
      <c r="E654" s="266">
        <v>300000</v>
      </c>
      <c r="F654" s="266">
        <v>300000</v>
      </c>
      <c r="G654" s="266">
        <v>300000</v>
      </c>
      <c r="H654" s="265">
        <f t="shared" si="14"/>
        <v>1800000</v>
      </c>
      <c r="I654" s="280"/>
      <c r="J654" s="280"/>
      <c r="K654" s="280"/>
      <c r="L654" s="280"/>
      <c r="M654" s="280"/>
      <c r="N654" s="280"/>
      <c r="O654" s="280"/>
    </row>
    <row r="655" spans="1:15" x14ac:dyDescent="0.25">
      <c r="A655" s="113" t="s">
        <v>1221</v>
      </c>
      <c r="B655" s="266"/>
      <c r="C655" s="266"/>
      <c r="D655" s="266"/>
      <c r="E655" s="266"/>
      <c r="F655" s="266"/>
      <c r="G655" s="266"/>
      <c r="H655" s="265">
        <f t="shared" si="14"/>
        <v>0</v>
      </c>
      <c r="I655" s="280"/>
      <c r="J655" s="280"/>
      <c r="K655" s="280"/>
      <c r="L655" s="280"/>
      <c r="M655" s="280"/>
      <c r="N655" s="280"/>
      <c r="O655" s="280"/>
    </row>
    <row r="656" spans="1:15" x14ac:dyDescent="0.25">
      <c r="A656" s="113" t="s">
        <v>1222</v>
      </c>
      <c r="B656" s="266"/>
      <c r="C656" s="266"/>
      <c r="D656" s="266"/>
      <c r="E656" s="266"/>
      <c r="F656" s="266"/>
      <c r="G656" s="266"/>
      <c r="H656" s="265">
        <f t="shared" si="14"/>
        <v>0</v>
      </c>
      <c r="I656" s="280"/>
      <c r="J656" s="280"/>
      <c r="K656" s="280"/>
      <c r="L656" s="280"/>
      <c r="M656" s="280"/>
      <c r="N656" s="280"/>
      <c r="O656" s="280"/>
    </row>
    <row r="657" spans="1:15" x14ac:dyDescent="0.25">
      <c r="A657" s="113" t="s">
        <v>1223</v>
      </c>
      <c r="B657" s="266"/>
      <c r="C657" s="266" t="s">
        <v>1727</v>
      </c>
      <c r="D657" s="266" t="s">
        <v>1727</v>
      </c>
      <c r="E657" s="266" t="s">
        <v>1727</v>
      </c>
      <c r="F657" s="266" t="s">
        <v>1727</v>
      </c>
      <c r="G657" s="266" t="s">
        <v>1727</v>
      </c>
      <c r="H657" s="265">
        <f t="shared" si="14"/>
        <v>0</v>
      </c>
      <c r="I657" s="280"/>
      <c r="J657" s="280"/>
      <c r="K657" s="280"/>
      <c r="L657" s="280"/>
      <c r="M657" s="280"/>
      <c r="N657" s="280"/>
      <c r="O657" s="280"/>
    </row>
    <row r="658" spans="1:15" x14ac:dyDescent="0.25">
      <c r="A658" s="113" t="s">
        <v>1224</v>
      </c>
      <c r="B658" s="266"/>
      <c r="C658" s="266"/>
      <c r="D658" s="266"/>
      <c r="E658" s="266"/>
      <c r="F658" s="266"/>
      <c r="G658" s="266"/>
      <c r="H658" s="265">
        <f t="shared" si="14"/>
        <v>0</v>
      </c>
      <c r="I658" s="280"/>
      <c r="J658" s="280"/>
      <c r="K658" s="280"/>
      <c r="L658" s="280"/>
      <c r="M658" s="280"/>
      <c r="N658" s="280"/>
      <c r="O658" s="280"/>
    </row>
    <row r="659" spans="1:15" x14ac:dyDescent="0.25">
      <c r="A659" s="113" t="s">
        <v>1225</v>
      </c>
      <c r="B659" s="266"/>
      <c r="C659" s="266"/>
      <c r="D659" s="266"/>
      <c r="E659" s="266"/>
      <c r="F659" s="266"/>
      <c r="G659" s="266"/>
      <c r="H659" s="265">
        <f t="shared" si="14"/>
        <v>0</v>
      </c>
      <c r="I659" s="280"/>
      <c r="J659" s="280"/>
      <c r="K659" s="280"/>
      <c r="L659" s="280"/>
      <c r="M659" s="280"/>
      <c r="N659" s="280"/>
      <c r="O659" s="280"/>
    </row>
    <row r="660" spans="1:15" x14ac:dyDescent="0.25">
      <c r="A660" s="113" t="s">
        <v>1226</v>
      </c>
      <c r="B660" s="266"/>
      <c r="C660" s="266"/>
      <c r="D660" s="266"/>
      <c r="E660" s="266"/>
      <c r="F660" s="266"/>
      <c r="G660" s="266"/>
      <c r="H660" s="265">
        <f t="shared" si="14"/>
        <v>0</v>
      </c>
      <c r="I660" s="280"/>
      <c r="J660" s="280"/>
      <c r="K660" s="280"/>
      <c r="L660" s="280"/>
      <c r="M660" s="280"/>
      <c r="N660" s="280"/>
      <c r="O660" s="280"/>
    </row>
    <row r="661" spans="1:15" x14ac:dyDescent="0.25">
      <c r="A661" s="113" t="s">
        <v>1227</v>
      </c>
      <c r="B661" s="266"/>
      <c r="C661" s="266"/>
      <c r="D661" s="266"/>
      <c r="E661" s="266"/>
      <c r="F661" s="266"/>
      <c r="G661" s="266"/>
      <c r="H661" s="265">
        <f t="shared" si="14"/>
        <v>0</v>
      </c>
      <c r="I661" s="280"/>
      <c r="J661" s="280"/>
      <c r="K661" s="280"/>
      <c r="L661" s="280"/>
      <c r="M661" s="280"/>
      <c r="N661" s="280"/>
      <c r="O661" s="280"/>
    </row>
    <row r="662" spans="1:15" ht="15" customHeight="1" x14ac:dyDescent="0.25">
      <c r="A662" s="113" t="s">
        <v>1228</v>
      </c>
      <c r="B662" s="266">
        <v>0</v>
      </c>
      <c r="C662" s="266">
        <v>0</v>
      </c>
      <c r="D662" s="266">
        <v>0</v>
      </c>
      <c r="E662" s="266">
        <v>0</v>
      </c>
      <c r="F662" s="266">
        <v>0</v>
      </c>
      <c r="G662" s="266">
        <v>0</v>
      </c>
      <c r="H662" s="265">
        <f t="shared" si="14"/>
        <v>0</v>
      </c>
      <c r="I662" s="280"/>
      <c r="J662" s="280"/>
      <c r="K662" s="280"/>
      <c r="L662" s="280"/>
      <c r="M662" s="280"/>
      <c r="N662" s="280"/>
      <c r="O662" s="280"/>
    </row>
    <row r="663" spans="1:15" x14ac:dyDescent="0.25">
      <c r="A663" s="113" t="s">
        <v>1229</v>
      </c>
      <c r="B663" s="266">
        <v>0</v>
      </c>
      <c r="C663" s="266">
        <v>0</v>
      </c>
      <c r="D663" s="266">
        <v>0</v>
      </c>
      <c r="E663" s="266">
        <v>0</v>
      </c>
      <c r="F663" s="266">
        <v>0</v>
      </c>
      <c r="G663" s="266">
        <v>0</v>
      </c>
      <c r="H663" s="265">
        <f t="shared" si="14"/>
        <v>0</v>
      </c>
      <c r="I663" s="280"/>
      <c r="J663" s="280"/>
      <c r="K663" s="280"/>
      <c r="L663" s="280"/>
      <c r="M663" s="280"/>
      <c r="N663" s="280"/>
      <c r="O663" s="280"/>
    </row>
    <row r="664" spans="1:15" x14ac:dyDescent="0.25">
      <c r="A664" s="113" t="s">
        <v>1230</v>
      </c>
      <c r="B664" s="266">
        <v>0</v>
      </c>
      <c r="C664" s="266">
        <v>0</v>
      </c>
      <c r="D664" s="266">
        <v>0</v>
      </c>
      <c r="E664" s="266">
        <v>0</v>
      </c>
      <c r="F664" s="266">
        <v>0</v>
      </c>
      <c r="G664" s="266">
        <v>0</v>
      </c>
      <c r="H664" s="265">
        <f t="shared" si="14"/>
        <v>0</v>
      </c>
      <c r="I664" s="280"/>
      <c r="J664" s="280"/>
      <c r="K664" s="280"/>
      <c r="L664" s="280"/>
      <c r="M664" s="280"/>
      <c r="N664" s="280"/>
      <c r="O664" s="280"/>
    </row>
    <row r="665" spans="1:15" x14ac:dyDescent="0.25">
      <c r="A665" s="113" t="s">
        <v>1231</v>
      </c>
      <c r="B665" s="266">
        <v>0</v>
      </c>
      <c r="C665" s="266">
        <v>0</v>
      </c>
      <c r="D665" s="266">
        <v>0</v>
      </c>
      <c r="E665" s="266">
        <v>0</v>
      </c>
      <c r="F665" s="266">
        <v>0</v>
      </c>
      <c r="G665" s="266">
        <v>0</v>
      </c>
      <c r="H665" s="265">
        <f t="shared" si="14"/>
        <v>0</v>
      </c>
      <c r="I665" s="280"/>
      <c r="J665" s="280"/>
      <c r="K665" s="280"/>
      <c r="L665" s="280"/>
      <c r="M665" s="280"/>
      <c r="N665" s="280"/>
      <c r="O665" s="280"/>
    </row>
    <row r="666" spans="1:15" x14ac:dyDescent="0.25">
      <c r="A666" s="113" t="s">
        <v>1232</v>
      </c>
      <c r="B666" s="266">
        <v>0</v>
      </c>
      <c r="C666" s="266">
        <v>0</v>
      </c>
      <c r="D666" s="266">
        <v>0</v>
      </c>
      <c r="E666" s="266">
        <v>0</v>
      </c>
      <c r="F666" s="266">
        <v>0</v>
      </c>
      <c r="G666" s="266">
        <v>0</v>
      </c>
      <c r="H666" s="265">
        <f t="shared" si="14"/>
        <v>0</v>
      </c>
      <c r="I666" s="280"/>
      <c r="J666" s="280"/>
      <c r="K666" s="280"/>
      <c r="L666" s="280"/>
      <c r="M666" s="280"/>
      <c r="N666" s="280"/>
      <c r="O666" s="280"/>
    </row>
    <row r="667" spans="1:15" x14ac:dyDescent="0.25">
      <c r="A667" s="113" t="s">
        <v>1233</v>
      </c>
      <c r="B667" s="266"/>
      <c r="C667" s="266"/>
      <c r="D667" s="266"/>
      <c r="E667" s="266"/>
      <c r="F667" s="266"/>
      <c r="G667" s="266"/>
      <c r="H667" s="265">
        <f t="shared" si="14"/>
        <v>0</v>
      </c>
      <c r="I667" s="280"/>
      <c r="J667" s="280"/>
      <c r="K667" s="280"/>
      <c r="L667" s="280"/>
      <c r="M667" s="280"/>
      <c r="N667" s="280"/>
      <c r="O667" s="280"/>
    </row>
    <row r="668" spans="1:15" x14ac:dyDescent="0.25">
      <c r="A668" s="113" t="s">
        <v>1234</v>
      </c>
      <c r="B668" s="266"/>
      <c r="C668" s="266">
        <v>100000</v>
      </c>
      <c r="D668" s="266">
        <v>100000</v>
      </c>
      <c r="E668" s="266">
        <v>100000</v>
      </c>
      <c r="F668" s="266"/>
      <c r="G668" s="266"/>
      <c r="H668" s="265">
        <f t="shared" si="14"/>
        <v>300000</v>
      </c>
      <c r="I668" s="280"/>
      <c r="J668" s="280"/>
      <c r="K668" s="280"/>
      <c r="L668" s="280"/>
      <c r="M668" s="280"/>
      <c r="N668" s="280"/>
      <c r="O668" s="280"/>
    </row>
    <row r="669" spans="1:15" x14ac:dyDescent="0.25">
      <c r="A669" s="113" t="s">
        <v>1235</v>
      </c>
      <c r="B669" s="266"/>
      <c r="C669" s="266"/>
      <c r="D669" s="266"/>
      <c r="E669" s="266"/>
      <c r="F669" s="266"/>
      <c r="G669" s="266"/>
      <c r="H669" s="265">
        <f t="shared" si="14"/>
        <v>0</v>
      </c>
      <c r="I669" s="280"/>
      <c r="J669" s="280"/>
      <c r="K669" s="280"/>
      <c r="L669" s="280"/>
      <c r="M669" s="280"/>
      <c r="N669" s="280"/>
      <c r="O669" s="280"/>
    </row>
    <row r="670" spans="1:15" x14ac:dyDescent="0.25">
      <c r="A670" s="113" t="s">
        <v>1236</v>
      </c>
      <c r="B670" s="266"/>
      <c r="C670" s="266"/>
      <c r="D670" s="266"/>
      <c r="E670" s="266">
        <v>26150</v>
      </c>
      <c r="F670" s="266">
        <v>16150</v>
      </c>
      <c r="G670" s="266">
        <v>16150</v>
      </c>
      <c r="H670" s="265">
        <f t="shared" si="14"/>
        <v>58450</v>
      </c>
      <c r="I670" s="280"/>
      <c r="J670" s="280"/>
      <c r="K670" s="280"/>
      <c r="L670" s="280"/>
      <c r="M670" s="280"/>
      <c r="N670" s="280"/>
      <c r="O670" s="280"/>
    </row>
    <row r="671" spans="1:15" x14ac:dyDescent="0.25">
      <c r="A671" s="113" t="s">
        <v>1237</v>
      </c>
      <c r="B671" s="266"/>
      <c r="C671" s="266"/>
      <c r="D671" s="266"/>
      <c r="E671" s="266"/>
      <c r="F671" s="266"/>
      <c r="G671" s="266"/>
      <c r="H671" s="265">
        <f t="shared" si="14"/>
        <v>0</v>
      </c>
      <c r="I671" s="280"/>
      <c r="J671" s="280"/>
      <c r="K671" s="280"/>
      <c r="L671" s="280"/>
      <c r="M671" s="280"/>
      <c r="N671" s="280"/>
      <c r="O671" s="280"/>
    </row>
    <row r="672" spans="1:15" x14ac:dyDescent="0.25">
      <c r="A672" s="113" t="s">
        <v>1238</v>
      </c>
      <c r="B672" s="266"/>
      <c r="C672" s="266"/>
      <c r="D672" s="266"/>
      <c r="E672" s="266"/>
      <c r="F672" s="266"/>
      <c r="G672" s="266"/>
      <c r="H672" s="265">
        <f t="shared" si="14"/>
        <v>0</v>
      </c>
      <c r="I672" s="280"/>
      <c r="J672" s="280"/>
      <c r="K672" s="280"/>
      <c r="L672" s="280"/>
      <c r="M672" s="280"/>
      <c r="N672" s="280"/>
      <c r="O672" s="280"/>
    </row>
    <row r="673" spans="1:15" x14ac:dyDescent="0.25">
      <c r="A673" s="113" t="s">
        <v>1239</v>
      </c>
      <c r="B673" s="266"/>
      <c r="C673" s="266"/>
      <c r="D673" s="266"/>
      <c r="E673" s="266"/>
      <c r="F673" s="266"/>
      <c r="G673" s="266"/>
      <c r="H673" s="265">
        <f t="shared" si="14"/>
        <v>0</v>
      </c>
      <c r="I673" s="280"/>
      <c r="J673" s="280"/>
      <c r="K673" s="280"/>
      <c r="L673" s="280"/>
      <c r="M673" s="280"/>
      <c r="N673" s="280"/>
      <c r="O673" s="280"/>
    </row>
    <row r="674" spans="1:15" x14ac:dyDescent="0.25">
      <c r="A674" s="113" t="s">
        <v>1240</v>
      </c>
      <c r="B674" s="266"/>
      <c r="C674" s="266"/>
      <c r="D674" s="266"/>
      <c r="E674" s="266"/>
      <c r="F674" s="266"/>
      <c r="G674" s="266"/>
      <c r="H674" s="265">
        <f t="shared" si="14"/>
        <v>0</v>
      </c>
      <c r="I674" s="280"/>
      <c r="J674" s="280"/>
      <c r="K674" s="280"/>
      <c r="L674" s="280"/>
      <c r="M674" s="280"/>
      <c r="N674" s="280"/>
      <c r="O674" s="280"/>
    </row>
    <row r="675" spans="1:15" x14ac:dyDescent="0.25">
      <c r="A675" s="113" t="s">
        <v>1241</v>
      </c>
      <c r="B675" s="266"/>
      <c r="C675" s="266">
        <v>50000</v>
      </c>
      <c r="D675" s="266">
        <v>50000</v>
      </c>
      <c r="E675" s="266">
        <v>50000</v>
      </c>
      <c r="F675" s="266">
        <v>50000</v>
      </c>
      <c r="G675" s="266">
        <v>50000</v>
      </c>
      <c r="H675" s="265">
        <f t="shared" si="14"/>
        <v>250000</v>
      </c>
      <c r="I675" s="280"/>
      <c r="J675" s="280"/>
      <c r="K675" s="280"/>
      <c r="L675" s="280"/>
      <c r="M675" s="280"/>
      <c r="N675" s="280"/>
      <c r="O675" s="280"/>
    </row>
    <row r="676" spans="1:15" x14ac:dyDescent="0.25">
      <c r="A676" s="113" t="s">
        <v>1242</v>
      </c>
      <c r="B676" s="266"/>
      <c r="C676" s="266"/>
      <c r="D676" s="266"/>
      <c r="E676" s="266"/>
      <c r="F676" s="266"/>
      <c r="G676" s="266"/>
      <c r="H676" s="265">
        <f t="shared" si="14"/>
        <v>0</v>
      </c>
      <c r="I676" s="280"/>
      <c r="J676" s="280"/>
      <c r="K676" s="280"/>
      <c r="L676" s="280"/>
      <c r="M676" s="280"/>
      <c r="N676" s="280"/>
      <c r="O676" s="280"/>
    </row>
    <row r="677" spans="1:15" x14ac:dyDescent="0.25">
      <c r="A677" s="113" t="s">
        <v>1243</v>
      </c>
      <c r="B677" s="266"/>
      <c r="C677" s="266"/>
      <c r="D677" s="266"/>
      <c r="E677" s="266"/>
      <c r="F677" s="266"/>
      <c r="G677" s="266"/>
      <c r="H677" s="265">
        <f t="shared" si="14"/>
        <v>0</v>
      </c>
      <c r="I677" s="280"/>
      <c r="J677" s="280"/>
      <c r="K677" s="280"/>
      <c r="L677" s="280"/>
      <c r="M677" s="280"/>
      <c r="N677" s="280"/>
      <c r="O677" s="280"/>
    </row>
    <row r="678" spans="1:15" x14ac:dyDescent="0.25">
      <c r="A678" s="113" t="s">
        <v>1244</v>
      </c>
      <c r="B678" s="266"/>
      <c r="C678" s="266"/>
      <c r="D678" s="266"/>
      <c r="E678" s="266"/>
      <c r="F678" s="266"/>
      <c r="G678" s="266"/>
      <c r="H678" s="265">
        <f t="shared" si="14"/>
        <v>0</v>
      </c>
      <c r="I678" s="280"/>
      <c r="J678" s="280"/>
      <c r="K678" s="280"/>
      <c r="L678" s="280"/>
      <c r="M678" s="280"/>
      <c r="N678" s="280"/>
      <c r="O678" s="280"/>
    </row>
    <row r="679" spans="1:15" x14ac:dyDescent="0.25">
      <c r="A679" s="113" t="s">
        <v>1250</v>
      </c>
      <c r="B679" s="266">
        <v>100000</v>
      </c>
      <c r="C679" s="266">
        <v>100000</v>
      </c>
      <c r="D679" s="266">
        <v>100000</v>
      </c>
      <c r="E679" s="266"/>
      <c r="F679" s="266"/>
      <c r="G679" s="266"/>
      <c r="H679" s="265">
        <f t="shared" si="14"/>
        <v>300000</v>
      </c>
      <c r="I679" s="280"/>
      <c r="J679" s="280"/>
      <c r="K679" s="280"/>
      <c r="L679" s="280"/>
      <c r="M679" s="280"/>
      <c r="N679" s="280"/>
      <c r="O679" s="280"/>
    </row>
    <row r="680" spans="1:15" ht="57" x14ac:dyDescent="0.25">
      <c r="A680" s="113" t="s">
        <v>1245</v>
      </c>
      <c r="B680" s="266"/>
      <c r="C680" s="266"/>
      <c r="D680" s="266"/>
      <c r="E680" s="266"/>
      <c r="F680" s="266"/>
      <c r="G680" s="266"/>
      <c r="H680" s="265">
        <f t="shared" si="14"/>
        <v>0</v>
      </c>
      <c r="I680" s="280" t="s">
        <v>1728</v>
      </c>
      <c r="J680" s="280"/>
      <c r="K680" s="280"/>
      <c r="L680" s="280"/>
      <c r="M680" s="280"/>
      <c r="N680" s="280"/>
      <c r="O680" s="280"/>
    </row>
    <row r="681" spans="1:15" x14ac:dyDescent="0.25">
      <c r="A681" s="113" t="s">
        <v>1246</v>
      </c>
      <c r="B681" s="266"/>
      <c r="C681" s="266"/>
      <c r="D681" s="266"/>
      <c r="E681" s="266"/>
      <c r="F681" s="266"/>
      <c r="G681" s="266"/>
      <c r="H681" s="265">
        <f t="shared" si="14"/>
        <v>0</v>
      </c>
      <c r="I681" s="280" t="s">
        <v>1729</v>
      </c>
      <c r="J681" s="280"/>
      <c r="K681" s="280"/>
      <c r="L681" s="280"/>
      <c r="M681" s="280"/>
      <c r="N681" s="280"/>
      <c r="O681" s="280"/>
    </row>
    <row r="682" spans="1:15" x14ac:dyDescent="0.25">
      <c r="A682" s="113" t="s">
        <v>1247</v>
      </c>
      <c r="B682" s="266"/>
      <c r="C682" s="266"/>
      <c r="D682" s="266"/>
      <c r="E682" s="266"/>
      <c r="F682" s="266"/>
      <c r="G682" s="266"/>
      <c r="H682" s="265">
        <f t="shared" si="14"/>
        <v>0</v>
      </c>
      <c r="I682" s="280" t="s">
        <v>1729</v>
      </c>
      <c r="J682" s="280"/>
      <c r="K682" s="280"/>
      <c r="L682" s="280"/>
      <c r="M682" s="280"/>
      <c r="N682" s="280"/>
      <c r="O682" s="280"/>
    </row>
    <row r="683" spans="1:15" x14ac:dyDescent="0.25">
      <c r="A683" s="113" t="s">
        <v>1248</v>
      </c>
      <c r="B683" s="266"/>
      <c r="C683" s="266"/>
      <c r="D683" s="266"/>
      <c r="E683" s="266"/>
      <c r="F683" s="266"/>
      <c r="G683" s="266"/>
      <c r="H683" s="265">
        <f t="shared" si="14"/>
        <v>0</v>
      </c>
      <c r="I683" s="280" t="s">
        <v>1729</v>
      </c>
      <c r="J683" s="280"/>
      <c r="K683" s="280"/>
      <c r="L683" s="280"/>
      <c r="M683" s="280"/>
      <c r="N683" s="280"/>
      <c r="O683" s="280"/>
    </row>
    <row r="684" spans="1:15" x14ac:dyDescent="0.25">
      <c r="A684" s="113" t="s">
        <v>1249</v>
      </c>
      <c r="B684" s="266"/>
      <c r="C684" s="266"/>
      <c r="D684" s="266"/>
      <c r="E684" s="266"/>
      <c r="F684" s="266"/>
      <c r="G684" s="266"/>
      <c r="H684" s="265">
        <f t="shared" si="14"/>
        <v>0</v>
      </c>
      <c r="I684" s="280" t="s">
        <v>1729</v>
      </c>
      <c r="J684" s="280"/>
      <c r="K684" s="280"/>
      <c r="L684" s="280"/>
      <c r="M684" s="280"/>
      <c r="N684" s="280"/>
      <c r="O684" s="280"/>
    </row>
    <row r="685" spans="1:15" x14ac:dyDescent="0.25">
      <c r="A685" s="113" t="s">
        <v>1251</v>
      </c>
      <c r="B685" s="266">
        <v>500000</v>
      </c>
      <c r="C685" s="266">
        <v>0</v>
      </c>
      <c r="D685" s="266">
        <v>0</v>
      </c>
      <c r="E685" s="266">
        <v>0</v>
      </c>
      <c r="F685" s="266">
        <v>0</v>
      </c>
      <c r="G685" s="266">
        <v>0</v>
      </c>
      <c r="H685" s="265">
        <f t="shared" si="14"/>
        <v>500000</v>
      </c>
      <c r="I685" s="280"/>
      <c r="J685" s="280"/>
      <c r="K685" s="280"/>
      <c r="L685" s="280"/>
      <c r="M685" s="280"/>
      <c r="N685" s="280"/>
      <c r="O685" s="280"/>
    </row>
    <row r="686" spans="1:15" x14ac:dyDescent="0.25">
      <c r="A686" s="113" t="s">
        <v>1252</v>
      </c>
      <c r="B686" s="266">
        <v>0</v>
      </c>
      <c r="C686" s="266">
        <v>0</v>
      </c>
      <c r="D686" s="266">
        <v>0</v>
      </c>
      <c r="E686" s="266">
        <v>0</v>
      </c>
      <c r="F686" s="266">
        <v>0</v>
      </c>
      <c r="G686" s="266">
        <v>0</v>
      </c>
      <c r="H686" s="265">
        <f t="shared" si="14"/>
        <v>0</v>
      </c>
      <c r="I686" s="280"/>
      <c r="J686" s="280"/>
      <c r="K686" s="280"/>
      <c r="L686" s="280"/>
      <c r="M686" s="280"/>
      <c r="N686" s="280"/>
      <c r="O686" s="280"/>
    </row>
    <row r="687" spans="1:15" x14ac:dyDescent="0.25">
      <c r="A687" s="113" t="s">
        <v>1253</v>
      </c>
      <c r="B687" s="266">
        <v>0</v>
      </c>
      <c r="C687" s="266">
        <v>0</v>
      </c>
      <c r="D687" s="266">
        <v>0</v>
      </c>
      <c r="E687" s="266">
        <v>0</v>
      </c>
      <c r="F687" s="266">
        <v>0</v>
      </c>
      <c r="G687" s="266">
        <v>0</v>
      </c>
      <c r="H687" s="265">
        <f t="shared" si="14"/>
        <v>0</v>
      </c>
      <c r="I687" s="280" t="s">
        <v>1729</v>
      </c>
      <c r="J687" s="280"/>
      <c r="K687" s="280"/>
      <c r="L687" s="280"/>
      <c r="M687" s="280"/>
      <c r="N687" s="280"/>
      <c r="O687" s="280"/>
    </row>
    <row r="688" spans="1:15" x14ac:dyDescent="0.25">
      <c r="A688" s="113" t="s">
        <v>1254</v>
      </c>
      <c r="B688" s="266">
        <v>0</v>
      </c>
      <c r="C688" s="266">
        <v>0</v>
      </c>
      <c r="D688" s="266">
        <v>0</v>
      </c>
      <c r="E688" s="266">
        <v>0</v>
      </c>
      <c r="F688" s="266">
        <v>0</v>
      </c>
      <c r="G688" s="266">
        <v>0</v>
      </c>
      <c r="H688" s="265">
        <f t="shared" si="14"/>
        <v>0</v>
      </c>
      <c r="I688" s="280" t="s">
        <v>1729</v>
      </c>
      <c r="J688" s="280"/>
      <c r="K688" s="280"/>
      <c r="L688" s="280"/>
      <c r="M688" s="280"/>
      <c r="N688" s="280"/>
      <c r="O688" s="280"/>
    </row>
    <row r="689" spans="1:15" x14ac:dyDescent="0.25">
      <c r="A689" s="113" t="s">
        <v>1255</v>
      </c>
      <c r="B689" s="266">
        <v>0</v>
      </c>
      <c r="C689" s="266">
        <v>0</v>
      </c>
      <c r="D689" s="266">
        <v>0</v>
      </c>
      <c r="E689" s="266">
        <v>0</v>
      </c>
      <c r="F689" s="266">
        <v>0</v>
      </c>
      <c r="G689" s="266">
        <v>0</v>
      </c>
      <c r="H689" s="265">
        <f t="shared" si="14"/>
        <v>0</v>
      </c>
      <c r="I689" s="280" t="s">
        <v>1729</v>
      </c>
      <c r="J689" s="280"/>
      <c r="K689" s="280"/>
      <c r="L689" s="280"/>
      <c r="M689" s="280"/>
      <c r="N689" s="280"/>
      <c r="O689" s="280"/>
    </row>
    <row r="690" spans="1:15" x14ac:dyDescent="0.25">
      <c r="A690" s="113" t="s">
        <v>1256</v>
      </c>
      <c r="B690" s="266">
        <v>0</v>
      </c>
      <c r="C690" s="266">
        <v>0</v>
      </c>
      <c r="D690" s="266">
        <v>0</v>
      </c>
      <c r="E690" s="266">
        <v>0</v>
      </c>
      <c r="F690" s="266">
        <v>0</v>
      </c>
      <c r="G690" s="266">
        <v>0</v>
      </c>
      <c r="H690" s="265">
        <f t="shared" si="14"/>
        <v>0</v>
      </c>
      <c r="I690" s="280" t="s">
        <v>1729</v>
      </c>
      <c r="J690" s="280"/>
      <c r="K690" s="280"/>
      <c r="L690" s="280"/>
      <c r="M690" s="280"/>
      <c r="N690" s="280"/>
      <c r="O690" s="280"/>
    </row>
    <row r="691" spans="1:15" x14ac:dyDescent="0.25">
      <c r="A691" s="113" t="s">
        <v>1257</v>
      </c>
      <c r="B691" s="266">
        <v>0</v>
      </c>
      <c r="C691" s="266">
        <v>0</v>
      </c>
      <c r="D691" s="266">
        <v>0</v>
      </c>
      <c r="E691" s="266">
        <v>0</v>
      </c>
      <c r="F691" s="266">
        <v>0</v>
      </c>
      <c r="G691" s="266">
        <v>0</v>
      </c>
      <c r="H691" s="265">
        <f t="shared" si="14"/>
        <v>0</v>
      </c>
      <c r="I691" s="280" t="s">
        <v>1729</v>
      </c>
      <c r="J691" s="280"/>
      <c r="K691" s="280"/>
      <c r="L691" s="280"/>
      <c r="M691" s="280"/>
      <c r="N691" s="280"/>
      <c r="O691" s="280"/>
    </row>
    <row r="692" spans="1:15" x14ac:dyDescent="0.25">
      <c r="A692" s="113" t="s">
        <v>1258</v>
      </c>
      <c r="B692" s="266">
        <v>0</v>
      </c>
      <c r="C692" s="266">
        <v>0</v>
      </c>
      <c r="D692" s="266">
        <v>0</v>
      </c>
      <c r="E692" s="266">
        <v>0</v>
      </c>
      <c r="F692" s="266">
        <v>0</v>
      </c>
      <c r="G692" s="266">
        <v>0</v>
      </c>
      <c r="H692" s="265">
        <f t="shared" si="14"/>
        <v>0</v>
      </c>
      <c r="I692" s="280" t="s">
        <v>1729</v>
      </c>
      <c r="J692" s="280"/>
      <c r="K692" s="280"/>
      <c r="L692" s="280"/>
      <c r="M692" s="280"/>
      <c r="N692" s="280"/>
      <c r="O692" s="280"/>
    </row>
    <row r="693" spans="1:15" x14ac:dyDescent="0.25">
      <c r="A693" s="113" t="s">
        <v>1212</v>
      </c>
      <c r="B693" s="266">
        <v>0</v>
      </c>
      <c r="C693" s="266">
        <v>0</v>
      </c>
      <c r="D693" s="266">
        <v>0</v>
      </c>
      <c r="E693" s="266">
        <v>0</v>
      </c>
      <c r="F693" s="266">
        <v>0</v>
      </c>
      <c r="G693" s="266">
        <v>0</v>
      </c>
      <c r="H693" s="265">
        <f t="shared" si="14"/>
        <v>0</v>
      </c>
      <c r="I693" s="280" t="s">
        <v>1729</v>
      </c>
      <c r="J693" s="280"/>
      <c r="K693" s="280"/>
      <c r="L693" s="280"/>
      <c r="M693" s="280"/>
      <c r="N693" s="280"/>
      <c r="O693" s="280"/>
    </row>
    <row r="694" spans="1:15" x14ac:dyDescent="0.25">
      <c r="A694" s="113" t="s">
        <v>1213</v>
      </c>
      <c r="B694" s="266">
        <v>0</v>
      </c>
      <c r="C694" s="266">
        <v>0</v>
      </c>
      <c r="D694" s="266">
        <v>0</v>
      </c>
      <c r="E694" s="266">
        <v>0</v>
      </c>
      <c r="F694" s="266">
        <v>0</v>
      </c>
      <c r="G694" s="266">
        <v>0</v>
      </c>
      <c r="H694" s="265">
        <f t="shared" si="14"/>
        <v>0</v>
      </c>
      <c r="I694" s="280" t="s">
        <v>1729</v>
      </c>
      <c r="J694" s="280"/>
      <c r="K694" s="280"/>
      <c r="L694" s="280"/>
      <c r="M694" s="280"/>
      <c r="N694" s="280"/>
      <c r="O694" s="280"/>
    </row>
    <row r="695" spans="1:15" x14ac:dyDescent="0.25">
      <c r="A695" s="113" t="s">
        <v>1214</v>
      </c>
      <c r="B695" s="266">
        <v>0</v>
      </c>
      <c r="C695" s="266">
        <v>0</v>
      </c>
      <c r="D695" s="266">
        <v>0</v>
      </c>
      <c r="E695" s="266">
        <v>0</v>
      </c>
      <c r="F695" s="266">
        <v>0</v>
      </c>
      <c r="G695" s="266">
        <v>0</v>
      </c>
      <c r="H695" s="265">
        <f t="shared" si="14"/>
        <v>0</v>
      </c>
      <c r="I695" s="280" t="s">
        <v>1729</v>
      </c>
      <c r="J695" s="280"/>
      <c r="K695" s="280"/>
      <c r="L695" s="280"/>
      <c r="M695" s="280"/>
      <c r="N695" s="280"/>
      <c r="O695" s="280"/>
    </row>
    <row r="696" spans="1:15" x14ac:dyDescent="0.25">
      <c r="A696" s="113" t="s">
        <v>1215</v>
      </c>
      <c r="B696" s="266">
        <v>0</v>
      </c>
      <c r="C696" s="266">
        <v>0</v>
      </c>
      <c r="D696" s="266">
        <v>0</v>
      </c>
      <c r="E696" s="266">
        <v>0</v>
      </c>
      <c r="F696" s="266">
        <v>0</v>
      </c>
      <c r="G696" s="266">
        <v>0</v>
      </c>
      <c r="H696" s="265">
        <f t="shared" si="14"/>
        <v>0</v>
      </c>
      <c r="I696" s="280" t="s">
        <v>1730</v>
      </c>
      <c r="J696" s="280"/>
      <c r="K696" s="280"/>
      <c r="L696" s="280"/>
      <c r="M696" s="280"/>
      <c r="N696" s="280"/>
      <c r="O696" s="280"/>
    </row>
    <row r="697" spans="1:15" x14ac:dyDescent="0.25">
      <c r="A697" s="113" t="s">
        <v>1216</v>
      </c>
      <c r="B697" s="266">
        <v>0</v>
      </c>
      <c r="C697" s="266">
        <v>0</v>
      </c>
      <c r="D697" s="266">
        <v>0</v>
      </c>
      <c r="E697" s="266">
        <v>0</v>
      </c>
      <c r="F697" s="266">
        <v>0</v>
      </c>
      <c r="G697" s="266">
        <v>0</v>
      </c>
      <c r="H697" s="265">
        <f t="shared" si="14"/>
        <v>0</v>
      </c>
      <c r="I697" s="280" t="s">
        <v>1730</v>
      </c>
      <c r="J697" s="280"/>
      <c r="K697" s="280"/>
      <c r="L697" s="280"/>
      <c r="M697" s="280"/>
      <c r="N697" s="280"/>
      <c r="O697" s="280"/>
    </row>
    <row r="698" spans="1:15" ht="15" customHeight="1" x14ac:dyDescent="0.25">
      <c r="A698" s="113" t="s">
        <v>1217</v>
      </c>
      <c r="B698" s="266">
        <v>0</v>
      </c>
      <c r="C698" s="266">
        <v>0</v>
      </c>
      <c r="D698" s="266">
        <v>0</v>
      </c>
      <c r="E698" s="266">
        <v>0</v>
      </c>
      <c r="F698" s="266">
        <v>0</v>
      </c>
      <c r="G698" s="266">
        <v>0</v>
      </c>
      <c r="H698" s="265">
        <f t="shared" si="14"/>
        <v>0</v>
      </c>
      <c r="I698" s="280" t="s">
        <v>1730</v>
      </c>
      <c r="J698" s="280"/>
      <c r="K698" s="280"/>
      <c r="L698" s="280"/>
      <c r="M698" s="280"/>
      <c r="N698" s="280"/>
      <c r="O698" s="280"/>
    </row>
    <row r="699" spans="1:15" x14ac:dyDescent="0.25">
      <c r="A699" s="113" t="s">
        <v>1218</v>
      </c>
      <c r="B699" s="266">
        <v>20000</v>
      </c>
      <c r="C699" s="266">
        <v>5000</v>
      </c>
      <c r="D699" s="266">
        <v>5000</v>
      </c>
      <c r="E699" s="266"/>
      <c r="F699" s="266"/>
      <c r="G699" s="266"/>
      <c r="H699" s="265">
        <f t="shared" si="14"/>
        <v>30000</v>
      </c>
      <c r="I699" s="280"/>
      <c r="J699" s="280"/>
      <c r="K699" s="280"/>
      <c r="L699" s="280"/>
      <c r="M699" s="280"/>
      <c r="N699" s="280"/>
      <c r="O699" s="280"/>
    </row>
    <row r="700" spans="1:15" x14ac:dyDescent="0.25">
      <c r="A700" s="113" t="s">
        <v>1219</v>
      </c>
      <c r="B700" s="266">
        <v>20000</v>
      </c>
      <c r="C700" s="266">
        <v>10000</v>
      </c>
      <c r="D700" s="266">
        <v>5000</v>
      </c>
      <c r="E700" s="266">
        <v>5000</v>
      </c>
      <c r="F700" s="266"/>
      <c r="G700" s="266"/>
      <c r="H700" s="265">
        <f t="shared" si="14"/>
        <v>40000</v>
      </c>
      <c r="I700" s="280"/>
      <c r="J700" s="280"/>
      <c r="K700" s="280"/>
      <c r="L700" s="280"/>
      <c r="M700" s="280"/>
      <c r="N700" s="280"/>
      <c r="O700" s="280"/>
    </row>
    <row r="701" spans="1:15" x14ac:dyDescent="0.25">
      <c r="A701" s="113" t="s">
        <v>1220</v>
      </c>
      <c r="B701" s="266">
        <v>5000</v>
      </c>
      <c r="C701" s="266">
        <v>10000</v>
      </c>
      <c r="D701" s="266">
        <v>10000</v>
      </c>
      <c r="E701" s="266">
        <v>10000</v>
      </c>
      <c r="F701" s="266">
        <v>10000</v>
      </c>
      <c r="G701" s="266">
        <v>10000</v>
      </c>
      <c r="H701" s="265">
        <f t="shared" si="14"/>
        <v>55000</v>
      </c>
      <c r="I701" s="280"/>
      <c r="J701" s="280"/>
      <c r="K701" s="280"/>
      <c r="L701" s="280"/>
      <c r="M701" s="280"/>
      <c r="N701" s="280"/>
      <c r="O701" s="280"/>
    </row>
    <row r="702" spans="1:15" x14ac:dyDescent="0.25">
      <c r="A702" s="113" t="s">
        <v>1259</v>
      </c>
      <c r="B702" s="266">
        <v>0</v>
      </c>
      <c r="C702" s="266">
        <v>0</v>
      </c>
      <c r="D702" s="266">
        <v>0</v>
      </c>
      <c r="E702" s="266">
        <v>0</v>
      </c>
      <c r="F702" s="266">
        <v>0</v>
      </c>
      <c r="G702" s="266">
        <v>0</v>
      </c>
      <c r="H702" s="265">
        <f t="shared" si="14"/>
        <v>0</v>
      </c>
      <c r="I702" s="280"/>
      <c r="J702" s="280"/>
      <c r="K702" s="280"/>
      <c r="L702" s="280"/>
      <c r="M702" s="280"/>
      <c r="N702" s="280"/>
      <c r="O702" s="280"/>
    </row>
    <row r="703" spans="1:15" x14ac:dyDescent="0.25">
      <c r="A703" s="113" t="s">
        <v>1260</v>
      </c>
      <c r="B703" s="266">
        <v>0</v>
      </c>
      <c r="C703" s="266">
        <v>0</v>
      </c>
      <c r="D703" s="266">
        <v>0</v>
      </c>
      <c r="E703" s="266">
        <v>0</v>
      </c>
      <c r="F703" s="266">
        <v>0</v>
      </c>
      <c r="G703" s="266">
        <v>0</v>
      </c>
      <c r="H703" s="265">
        <f t="shared" si="14"/>
        <v>0</v>
      </c>
      <c r="I703" s="280"/>
      <c r="J703" s="280"/>
      <c r="K703" s="280"/>
      <c r="L703" s="280"/>
      <c r="M703" s="280"/>
      <c r="N703" s="280"/>
      <c r="O703" s="280"/>
    </row>
    <row r="704" spans="1:15" x14ac:dyDescent="0.25">
      <c r="A704" s="113" t="s">
        <v>1261</v>
      </c>
      <c r="B704" s="266">
        <v>0</v>
      </c>
      <c r="C704" s="266">
        <v>0</v>
      </c>
      <c r="D704" s="266">
        <v>0</v>
      </c>
      <c r="E704" s="266">
        <v>0</v>
      </c>
      <c r="F704" s="266">
        <v>0</v>
      </c>
      <c r="G704" s="266">
        <v>0</v>
      </c>
      <c r="H704" s="265">
        <f t="shared" si="14"/>
        <v>0</v>
      </c>
      <c r="I704" s="280"/>
      <c r="J704" s="280"/>
      <c r="K704" s="280"/>
      <c r="L704" s="280"/>
      <c r="M704" s="280"/>
      <c r="N704" s="280"/>
      <c r="O704" s="280"/>
    </row>
    <row r="705" spans="1:15" x14ac:dyDescent="0.25">
      <c r="A705" s="113" t="s">
        <v>1262</v>
      </c>
      <c r="B705" s="266">
        <v>0</v>
      </c>
      <c r="C705" s="266">
        <v>0</v>
      </c>
      <c r="D705" s="266">
        <v>0</v>
      </c>
      <c r="E705" s="266">
        <v>0</v>
      </c>
      <c r="F705" s="266">
        <v>0</v>
      </c>
      <c r="G705" s="266">
        <v>0</v>
      </c>
      <c r="H705" s="265">
        <f t="shared" si="14"/>
        <v>0</v>
      </c>
      <c r="I705" s="280"/>
      <c r="J705" s="280"/>
      <c r="K705" s="280"/>
      <c r="L705" s="280"/>
      <c r="M705" s="280"/>
      <c r="N705" s="280"/>
      <c r="O705" s="280"/>
    </row>
    <row r="706" spans="1:15" x14ac:dyDescent="0.25">
      <c r="A706" s="113" t="s">
        <v>1263</v>
      </c>
      <c r="B706" s="266">
        <v>0</v>
      </c>
      <c r="C706" s="266">
        <v>0</v>
      </c>
      <c r="D706" s="266">
        <v>0</v>
      </c>
      <c r="E706" s="266">
        <v>0</v>
      </c>
      <c r="F706" s="266">
        <v>0</v>
      </c>
      <c r="G706" s="266">
        <v>0</v>
      </c>
      <c r="H706" s="265">
        <f t="shared" si="14"/>
        <v>0</v>
      </c>
      <c r="I706" s="280"/>
      <c r="J706" s="280"/>
      <c r="K706" s="280"/>
      <c r="L706" s="280"/>
      <c r="M706" s="280"/>
      <c r="N706" s="280"/>
      <c r="O706" s="280"/>
    </row>
    <row r="707" spans="1:15" x14ac:dyDescent="0.25">
      <c r="A707" s="113" t="s">
        <v>1264</v>
      </c>
      <c r="B707" s="266">
        <v>0</v>
      </c>
      <c r="C707" s="266">
        <v>0</v>
      </c>
      <c r="D707" s="266">
        <v>0</v>
      </c>
      <c r="E707" s="266">
        <v>0</v>
      </c>
      <c r="F707" s="266">
        <v>0</v>
      </c>
      <c r="G707" s="266">
        <v>0</v>
      </c>
      <c r="H707" s="265">
        <f t="shared" si="14"/>
        <v>0</v>
      </c>
      <c r="I707" s="280"/>
      <c r="J707" s="280"/>
      <c r="K707" s="280"/>
      <c r="L707" s="280"/>
      <c r="M707" s="280"/>
      <c r="N707" s="280"/>
      <c r="O707" s="280"/>
    </row>
    <row r="708" spans="1:15" x14ac:dyDescent="0.25">
      <c r="A708" s="113" t="s">
        <v>1265</v>
      </c>
      <c r="B708" s="266">
        <v>0</v>
      </c>
      <c r="C708" s="266">
        <v>0</v>
      </c>
      <c r="D708" s="266">
        <v>0</v>
      </c>
      <c r="E708" s="266">
        <v>0</v>
      </c>
      <c r="F708" s="266">
        <v>0</v>
      </c>
      <c r="G708" s="266">
        <v>0</v>
      </c>
      <c r="H708" s="265">
        <f t="shared" si="14"/>
        <v>0</v>
      </c>
      <c r="I708" s="280"/>
      <c r="J708" s="280"/>
      <c r="K708" s="280"/>
      <c r="L708" s="280"/>
      <c r="M708" s="280"/>
      <c r="N708" s="280"/>
      <c r="O708" s="280"/>
    </row>
    <row r="709" spans="1:15" x14ac:dyDescent="0.25">
      <c r="A709" s="113" t="s">
        <v>1266</v>
      </c>
      <c r="B709" s="266">
        <v>100000</v>
      </c>
      <c r="C709" s="266">
        <v>100000</v>
      </c>
      <c r="D709" s="266">
        <v>100000</v>
      </c>
      <c r="E709" s="266">
        <v>100000</v>
      </c>
      <c r="F709" s="266">
        <v>100000</v>
      </c>
      <c r="G709" s="266">
        <v>100000</v>
      </c>
      <c r="H709" s="265">
        <f t="shared" ref="H709:H729" si="15">SUM(B709:G709)</f>
        <v>600000</v>
      </c>
      <c r="I709" s="280"/>
      <c r="J709" s="280"/>
      <c r="K709" s="280"/>
      <c r="L709" s="280"/>
      <c r="M709" s="280"/>
      <c r="N709" s="280"/>
      <c r="O709" s="280"/>
    </row>
    <row r="710" spans="1:15" x14ac:dyDescent="0.25">
      <c r="A710" s="113" t="s">
        <v>1267</v>
      </c>
      <c r="B710" s="266"/>
      <c r="C710" s="266"/>
      <c r="D710" s="266"/>
      <c r="E710" s="266"/>
      <c r="F710" s="266"/>
      <c r="G710" s="266"/>
      <c r="H710" s="265">
        <f t="shared" si="15"/>
        <v>0</v>
      </c>
      <c r="I710" s="280"/>
      <c r="J710" s="280"/>
      <c r="K710" s="280"/>
      <c r="L710" s="280"/>
      <c r="M710" s="280"/>
      <c r="N710" s="280"/>
      <c r="O710" s="280"/>
    </row>
    <row r="711" spans="1:15" x14ac:dyDescent="0.25">
      <c r="A711" s="113" t="s">
        <v>1268</v>
      </c>
      <c r="B711" s="266"/>
      <c r="C711" s="266"/>
      <c r="D711" s="266"/>
      <c r="E711" s="266"/>
      <c r="F711" s="266"/>
      <c r="G711" s="266"/>
      <c r="H711" s="265">
        <f t="shared" si="15"/>
        <v>0</v>
      </c>
      <c r="I711" s="280"/>
      <c r="J711" s="280"/>
      <c r="K711" s="280"/>
      <c r="L711" s="280"/>
      <c r="M711" s="280"/>
      <c r="N711" s="280"/>
      <c r="O711" s="280"/>
    </row>
    <row r="712" spans="1:15" x14ac:dyDescent="0.25">
      <c r="A712" s="113" t="s">
        <v>1269</v>
      </c>
      <c r="B712" s="266"/>
      <c r="C712" s="266"/>
      <c r="D712" s="266"/>
      <c r="E712" s="266"/>
      <c r="F712" s="266"/>
      <c r="G712" s="266"/>
      <c r="H712" s="265">
        <f t="shared" si="15"/>
        <v>0</v>
      </c>
      <c r="I712" s="280"/>
      <c r="J712" s="280"/>
      <c r="K712" s="280"/>
      <c r="L712" s="280"/>
      <c r="M712" s="280"/>
      <c r="N712" s="280"/>
      <c r="O712" s="280"/>
    </row>
    <row r="713" spans="1:15" x14ac:dyDescent="0.25">
      <c r="A713" s="113" t="s">
        <v>1270</v>
      </c>
      <c r="B713" s="266"/>
      <c r="C713" s="266"/>
      <c r="D713" s="266"/>
      <c r="E713" s="266"/>
      <c r="F713" s="266"/>
      <c r="G713" s="266"/>
      <c r="H713" s="265">
        <f t="shared" si="15"/>
        <v>0</v>
      </c>
      <c r="I713" s="280"/>
      <c r="J713" s="280"/>
      <c r="K713" s="280"/>
      <c r="L713" s="280"/>
      <c r="M713" s="280"/>
      <c r="N713" s="280"/>
      <c r="O713" s="280"/>
    </row>
    <row r="714" spans="1:15" x14ac:dyDescent="0.25">
      <c r="A714" s="113" t="s">
        <v>1271</v>
      </c>
      <c r="B714" s="266"/>
      <c r="C714" s="266"/>
      <c r="D714" s="266"/>
      <c r="E714" s="266"/>
      <c r="F714" s="266"/>
      <c r="G714" s="266"/>
      <c r="H714" s="265">
        <f t="shared" si="15"/>
        <v>0</v>
      </c>
      <c r="I714" s="280"/>
      <c r="J714" s="280"/>
      <c r="K714" s="280"/>
      <c r="L714" s="280"/>
      <c r="M714" s="280"/>
      <c r="N714" s="280"/>
      <c r="O714" s="280"/>
    </row>
    <row r="715" spans="1:15" x14ac:dyDescent="0.25">
      <c r="A715" s="113" t="s">
        <v>1272</v>
      </c>
      <c r="B715" s="266">
        <v>100000</v>
      </c>
      <c r="C715" s="266">
        <v>100000</v>
      </c>
      <c r="D715" s="266">
        <v>100000</v>
      </c>
      <c r="E715" s="266">
        <v>100000</v>
      </c>
      <c r="F715" s="266">
        <v>100000</v>
      </c>
      <c r="G715" s="266">
        <v>100000</v>
      </c>
      <c r="H715" s="265">
        <f t="shared" si="15"/>
        <v>600000</v>
      </c>
      <c r="I715" s="280"/>
      <c r="J715" s="280"/>
      <c r="K715" s="280"/>
      <c r="L715" s="280"/>
      <c r="M715" s="280"/>
      <c r="N715" s="280"/>
      <c r="O715" s="280"/>
    </row>
    <row r="716" spans="1:15" x14ac:dyDescent="0.25">
      <c r="A716" s="113" t="s">
        <v>1273</v>
      </c>
      <c r="B716" s="266">
        <v>0</v>
      </c>
      <c r="C716" s="266">
        <v>0</v>
      </c>
      <c r="D716" s="266">
        <v>0</v>
      </c>
      <c r="E716" s="266">
        <v>0</v>
      </c>
      <c r="F716" s="266">
        <v>0</v>
      </c>
      <c r="G716" s="266">
        <v>0</v>
      </c>
      <c r="H716" s="265">
        <f t="shared" si="15"/>
        <v>0</v>
      </c>
      <c r="I716" s="280"/>
      <c r="J716" s="280"/>
      <c r="K716" s="280"/>
      <c r="L716" s="280"/>
      <c r="M716" s="280"/>
      <c r="N716" s="280"/>
      <c r="O716" s="280"/>
    </row>
    <row r="717" spans="1:15" x14ac:dyDescent="0.25">
      <c r="A717" s="113" t="s">
        <v>1274</v>
      </c>
      <c r="B717" s="266">
        <v>0</v>
      </c>
      <c r="C717" s="266">
        <v>0</v>
      </c>
      <c r="D717" s="266">
        <v>0</v>
      </c>
      <c r="E717" s="266">
        <v>0</v>
      </c>
      <c r="F717" s="266">
        <v>0</v>
      </c>
      <c r="G717" s="266">
        <v>0</v>
      </c>
      <c r="H717" s="265">
        <f t="shared" si="15"/>
        <v>0</v>
      </c>
      <c r="I717" s="280"/>
      <c r="J717" s="280"/>
      <c r="K717" s="280"/>
      <c r="L717" s="280"/>
      <c r="M717" s="280"/>
      <c r="N717" s="280"/>
      <c r="O717" s="280"/>
    </row>
    <row r="718" spans="1:15" x14ac:dyDescent="0.25">
      <c r="A718" s="113" t="s">
        <v>1275</v>
      </c>
      <c r="B718" s="266">
        <v>0</v>
      </c>
      <c r="C718" s="266">
        <v>0</v>
      </c>
      <c r="D718" s="266">
        <v>0</v>
      </c>
      <c r="E718" s="266">
        <v>0</v>
      </c>
      <c r="F718" s="266">
        <v>0</v>
      </c>
      <c r="G718" s="266">
        <v>0</v>
      </c>
      <c r="H718" s="265">
        <f t="shared" si="15"/>
        <v>0</v>
      </c>
      <c r="I718" s="280"/>
      <c r="J718" s="280"/>
      <c r="K718" s="280"/>
      <c r="L718" s="280"/>
      <c r="M718" s="280"/>
      <c r="N718" s="280"/>
      <c r="O718" s="280"/>
    </row>
    <row r="719" spans="1:15" x14ac:dyDescent="0.25">
      <c r="A719" s="113" t="s">
        <v>1276</v>
      </c>
      <c r="B719" s="266">
        <v>800000</v>
      </c>
      <c r="C719" s="266">
        <v>800000</v>
      </c>
      <c r="D719" s="266">
        <v>800000</v>
      </c>
      <c r="E719" s="266">
        <v>800000</v>
      </c>
      <c r="F719" s="266">
        <v>800000</v>
      </c>
      <c r="G719" s="266">
        <v>800000</v>
      </c>
      <c r="H719" s="265">
        <f t="shared" si="15"/>
        <v>4800000</v>
      </c>
      <c r="I719" s="280"/>
      <c r="J719" s="280"/>
      <c r="K719" s="280"/>
      <c r="L719" s="280"/>
      <c r="M719" s="280"/>
      <c r="N719" s="280"/>
      <c r="O719" s="280"/>
    </row>
    <row r="720" spans="1:15" x14ac:dyDescent="0.25">
      <c r="A720" s="113" t="s">
        <v>1279</v>
      </c>
      <c r="B720" s="266"/>
      <c r="C720" s="266"/>
      <c r="D720" s="266">
        <v>400000</v>
      </c>
      <c r="E720" s="266">
        <v>400000</v>
      </c>
      <c r="F720" s="266">
        <v>600000</v>
      </c>
      <c r="G720" s="266">
        <v>600000</v>
      </c>
      <c r="H720" s="265">
        <f t="shared" si="15"/>
        <v>2000000</v>
      </c>
      <c r="I720" s="280"/>
      <c r="J720" s="280"/>
      <c r="K720" s="280"/>
      <c r="L720" s="280"/>
      <c r="M720" s="280"/>
      <c r="N720" s="280"/>
      <c r="O720" s="280"/>
    </row>
    <row r="721" spans="1:15" x14ac:dyDescent="0.25">
      <c r="A721" s="113" t="s">
        <v>1280</v>
      </c>
      <c r="B721" s="266"/>
      <c r="C721" s="266">
        <v>100000</v>
      </c>
      <c r="D721" s="266">
        <v>100000</v>
      </c>
      <c r="E721" s="266">
        <v>100000</v>
      </c>
      <c r="F721" s="266">
        <v>100000</v>
      </c>
      <c r="G721" s="266">
        <v>100000</v>
      </c>
      <c r="H721" s="265">
        <f t="shared" si="15"/>
        <v>500000</v>
      </c>
      <c r="I721" s="280"/>
      <c r="J721" s="280"/>
      <c r="K721" s="280"/>
      <c r="L721" s="280"/>
      <c r="M721" s="280"/>
      <c r="N721" s="280"/>
      <c r="O721" s="280"/>
    </row>
    <row r="722" spans="1:15" x14ac:dyDescent="0.25">
      <c r="A722" s="113" t="s">
        <v>1281</v>
      </c>
      <c r="B722" s="266">
        <v>4500000</v>
      </c>
      <c r="C722" s="266"/>
      <c r="D722" s="266"/>
      <c r="E722" s="266"/>
      <c r="F722" s="266"/>
      <c r="G722" s="266"/>
      <c r="H722" s="265">
        <f t="shared" si="15"/>
        <v>4500000</v>
      </c>
      <c r="I722" s="280"/>
      <c r="J722" s="280"/>
      <c r="K722" s="280"/>
      <c r="L722" s="280"/>
      <c r="M722" s="280"/>
      <c r="N722" s="280"/>
      <c r="O722" s="280"/>
    </row>
    <row r="723" spans="1:15" x14ac:dyDescent="0.25">
      <c r="A723" s="113" t="s">
        <v>1282</v>
      </c>
      <c r="B723" s="266">
        <v>0</v>
      </c>
      <c r="C723" s="266">
        <v>0</v>
      </c>
      <c r="D723" s="266">
        <v>0</v>
      </c>
      <c r="E723" s="266">
        <v>0</v>
      </c>
      <c r="F723" s="266">
        <v>0</v>
      </c>
      <c r="G723" s="266">
        <v>0</v>
      </c>
      <c r="H723" s="265">
        <f t="shared" si="15"/>
        <v>0</v>
      </c>
      <c r="I723" s="280" t="s">
        <v>1731</v>
      </c>
      <c r="J723" s="280"/>
      <c r="K723" s="280"/>
      <c r="L723" s="280"/>
      <c r="M723" s="280"/>
      <c r="N723" s="280"/>
      <c r="O723" s="280"/>
    </row>
    <row r="724" spans="1:15" x14ac:dyDescent="0.25">
      <c r="A724" s="113" t="s">
        <v>1283</v>
      </c>
      <c r="B724" s="266">
        <v>0</v>
      </c>
      <c r="C724" s="266">
        <v>0</v>
      </c>
      <c r="D724" s="266">
        <v>0</v>
      </c>
      <c r="E724" s="266">
        <v>0</v>
      </c>
      <c r="F724" s="266">
        <v>0</v>
      </c>
      <c r="G724" s="266">
        <v>0</v>
      </c>
      <c r="H724" s="265">
        <f t="shared" si="15"/>
        <v>0</v>
      </c>
      <c r="I724" s="280"/>
      <c r="J724" s="280"/>
      <c r="K724" s="280"/>
      <c r="L724" s="280"/>
      <c r="M724" s="280"/>
      <c r="N724" s="280"/>
      <c r="O724" s="280"/>
    </row>
    <row r="725" spans="1:15" x14ac:dyDescent="0.25">
      <c r="A725" s="113" t="s">
        <v>1284</v>
      </c>
      <c r="B725" s="266">
        <v>450000</v>
      </c>
      <c r="C725" s="266">
        <v>450000</v>
      </c>
      <c r="D725" s="266">
        <v>450000</v>
      </c>
      <c r="E725" s="266">
        <v>450000</v>
      </c>
      <c r="F725" s="266">
        <v>450000</v>
      </c>
      <c r="G725" s="266">
        <v>450000</v>
      </c>
      <c r="H725" s="265">
        <f t="shared" si="15"/>
        <v>2700000</v>
      </c>
      <c r="I725" s="280"/>
      <c r="J725" s="280"/>
      <c r="K725" s="280"/>
      <c r="L725" s="280"/>
      <c r="M725" s="280"/>
      <c r="N725" s="280"/>
      <c r="O725" s="280"/>
    </row>
    <row r="726" spans="1:15" x14ac:dyDescent="0.25">
      <c r="A726" s="113" t="s">
        <v>1285</v>
      </c>
      <c r="B726" s="266">
        <v>20000</v>
      </c>
      <c r="C726" s="266"/>
      <c r="D726" s="266"/>
      <c r="E726" s="266"/>
      <c r="F726" s="266"/>
      <c r="G726" s="266"/>
      <c r="H726" s="265">
        <f t="shared" si="15"/>
        <v>20000</v>
      </c>
      <c r="I726" s="280"/>
      <c r="J726" s="280"/>
      <c r="K726" s="280"/>
      <c r="L726" s="280"/>
      <c r="M726" s="280"/>
      <c r="N726" s="280"/>
      <c r="O726" s="280"/>
    </row>
    <row r="727" spans="1:15" x14ac:dyDescent="0.25">
      <c r="A727" s="113" t="s">
        <v>1286</v>
      </c>
      <c r="B727" s="266">
        <v>20000</v>
      </c>
      <c r="C727" s="266"/>
      <c r="D727" s="266"/>
      <c r="E727" s="266"/>
      <c r="F727" s="266"/>
      <c r="G727" s="266"/>
      <c r="H727" s="265">
        <f t="shared" si="15"/>
        <v>20000</v>
      </c>
      <c r="I727" s="280"/>
      <c r="J727" s="280"/>
      <c r="K727" s="280"/>
      <c r="L727" s="280"/>
      <c r="M727" s="280"/>
      <c r="N727" s="280"/>
      <c r="O727" s="280"/>
    </row>
    <row r="728" spans="1:15" x14ac:dyDescent="0.25">
      <c r="A728" s="113" t="s">
        <v>1277</v>
      </c>
      <c r="B728" s="266"/>
      <c r="C728" s="266"/>
      <c r="D728" s="266">
        <v>50000</v>
      </c>
      <c r="E728" s="266">
        <v>50000</v>
      </c>
      <c r="F728" s="266">
        <v>50000</v>
      </c>
      <c r="G728" s="266">
        <v>50000</v>
      </c>
      <c r="H728" s="265">
        <f t="shared" si="15"/>
        <v>200000</v>
      </c>
      <c r="I728" s="280"/>
      <c r="J728" s="280"/>
      <c r="K728" s="280"/>
      <c r="L728" s="280"/>
      <c r="M728" s="280"/>
      <c r="N728" s="280"/>
      <c r="O728" s="280"/>
    </row>
    <row r="729" spans="1:15" x14ac:dyDescent="0.25">
      <c r="A729" s="113" t="s">
        <v>1278</v>
      </c>
      <c r="B729" s="266">
        <v>0</v>
      </c>
      <c r="C729" s="266">
        <v>0</v>
      </c>
      <c r="D729" s="266">
        <v>0</v>
      </c>
      <c r="E729" s="266">
        <v>0</v>
      </c>
      <c r="F729" s="266">
        <v>0</v>
      </c>
      <c r="G729" s="266">
        <v>0</v>
      </c>
      <c r="H729" s="265">
        <f t="shared" si="15"/>
        <v>0</v>
      </c>
      <c r="I729" s="280"/>
      <c r="J729" s="280"/>
      <c r="K729" s="280"/>
      <c r="L729" s="280"/>
      <c r="M729" s="280"/>
      <c r="N729" s="280"/>
      <c r="O729" s="280"/>
    </row>
  </sheetData>
  <autoFilter ref="A3:P729" xr:uid="{00000000-0009-0000-0000-00000D000000}"/>
  <mergeCells count="2">
    <mergeCell ref="B2:H2"/>
    <mergeCell ref="J2:P2"/>
  </mergeCells>
  <phoneticPr fontId="8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4">
    <outlinePr summaryRight="0"/>
  </sheetPr>
  <dimension ref="A1:BT910"/>
  <sheetViews>
    <sheetView showGridLines="0" topLeftCell="A636" workbookViewId="0">
      <pane ySplit="885"/>
      <selection activeCell="A720" sqref="A720"/>
      <selection pane="bottomLeft" activeCell="D358" sqref="D358"/>
    </sheetView>
  </sheetViews>
  <sheetFormatPr baseColWidth="10" defaultColWidth="10.85546875" defaultRowHeight="15" x14ac:dyDescent="0.25"/>
  <cols>
    <col min="1" max="1" width="11.5703125" style="289"/>
    <col min="2" max="2" width="92" customWidth="1"/>
    <col min="3" max="3" width="31.5703125" customWidth="1"/>
    <col min="4" max="4" width="15.42578125" style="4" customWidth="1"/>
    <col min="5" max="5" width="26.85546875" customWidth="1"/>
    <col min="6" max="6" width="22.140625" customWidth="1"/>
    <col min="7" max="7" width="19.42578125" customWidth="1"/>
    <col min="8" max="8" width="23.85546875" customWidth="1"/>
    <col min="9" max="9" width="86.42578125" bestFit="1" customWidth="1"/>
  </cols>
  <sheetData>
    <row r="1" spans="1:72" x14ac:dyDescent="0.25">
      <c r="BA1" t="s">
        <v>395</v>
      </c>
      <c r="BE1" t="s">
        <v>396</v>
      </c>
      <c r="BF1" t="s">
        <v>397</v>
      </c>
      <c r="BM1" t="s">
        <v>395</v>
      </c>
      <c r="BQ1" t="s">
        <v>396</v>
      </c>
      <c r="BR1" t="s">
        <v>397</v>
      </c>
    </row>
    <row r="2" spans="1:72" x14ac:dyDescent="0.25">
      <c r="A2" s="290" t="s">
        <v>1732</v>
      </c>
      <c r="B2" s="291" t="s">
        <v>29</v>
      </c>
      <c r="C2" s="291" t="s">
        <v>2704</v>
      </c>
      <c r="D2" s="292" t="s">
        <v>1501</v>
      </c>
      <c r="E2" s="293" t="s">
        <v>1733</v>
      </c>
      <c r="F2" s="293" t="s">
        <v>1734</v>
      </c>
      <c r="G2" s="294" t="s">
        <v>1735</v>
      </c>
      <c r="H2" s="293" t="s">
        <v>1736</v>
      </c>
      <c r="I2" s="293" t="s">
        <v>1737</v>
      </c>
      <c r="J2" s="293" t="s">
        <v>2737</v>
      </c>
      <c r="BA2" t="s">
        <v>394</v>
      </c>
      <c r="BC2" t="s">
        <v>398</v>
      </c>
      <c r="BE2" t="s">
        <v>399</v>
      </c>
      <c r="BF2" t="s">
        <v>398</v>
      </c>
      <c r="BH2" t="s">
        <v>394</v>
      </c>
      <c r="BM2" t="s">
        <v>394</v>
      </c>
      <c r="BO2" t="s">
        <v>398</v>
      </c>
      <c r="BQ2" t="s">
        <v>399</v>
      </c>
      <c r="BR2" t="s">
        <v>398</v>
      </c>
      <c r="BT2" t="s">
        <v>394</v>
      </c>
    </row>
    <row r="3" spans="1:72" ht="25.5" x14ac:dyDescent="0.25">
      <c r="A3" s="113" t="s">
        <v>636</v>
      </c>
      <c r="B3" s="295" t="s">
        <v>1739</v>
      </c>
      <c r="C3" s="113" t="s">
        <v>1738</v>
      </c>
      <c r="D3" s="296" t="s">
        <v>415</v>
      </c>
      <c r="E3" s="113"/>
      <c r="F3" s="113"/>
      <c r="G3" s="113"/>
      <c r="H3" s="113"/>
      <c r="I3" s="96" t="str">
        <f t="shared" ref="I3:I65" si="0">LEFT(B3,100)</f>
        <v xml:space="preserve">Projet « Max-sur-Senne » : réaménagement du parc Maximilien avec mise à ciel ouvert de la Senne sur </v>
      </c>
    </row>
    <row r="4" spans="1:72" ht="25.5" x14ac:dyDescent="0.25">
      <c r="A4" s="113" t="s">
        <v>640</v>
      </c>
      <c r="B4" s="295" t="s">
        <v>1740</v>
      </c>
      <c r="C4" s="113" t="s">
        <v>1738</v>
      </c>
      <c r="D4" s="296" t="s">
        <v>415</v>
      </c>
      <c r="E4" s="113"/>
      <c r="F4" s="113"/>
      <c r="G4" s="113"/>
      <c r="H4" s="113"/>
      <c r="I4" s="96" t="str">
        <f t="shared" si="0"/>
        <v xml:space="preserve">Projet « Max-sur-Senne » : réaménagement du parc Maximilien avec mise à ciel ouvert de la Senne sur </v>
      </c>
    </row>
    <row r="5" spans="1:72" ht="25.5" x14ac:dyDescent="0.25">
      <c r="A5" s="113" t="s">
        <v>641</v>
      </c>
      <c r="B5" s="295" t="s">
        <v>1741</v>
      </c>
      <c r="C5" s="113" t="s">
        <v>1738</v>
      </c>
      <c r="D5" s="296" t="s">
        <v>415</v>
      </c>
      <c r="E5" s="113"/>
      <c r="F5" s="113"/>
      <c r="G5" s="113"/>
      <c r="H5" s="113"/>
      <c r="I5" s="96" t="str">
        <f t="shared" si="0"/>
        <v>Projet Schaerbeek Formation : mise à ciel ouvert de la Senne sur le site de Schaerbeek Formation – E</v>
      </c>
    </row>
    <row r="6" spans="1:72" ht="25.5" x14ac:dyDescent="0.25">
      <c r="A6" s="113" t="s">
        <v>642</v>
      </c>
      <c r="B6" s="295" t="s">
        <v>1742</v>
      </c>
      <c r="C6" s="113" t="s">
        <v>1738</v>
      </c>
      <c r="D6" s="296" t="s">
        <v>415</v>
      </c>
      <c r="E6" s="113"/>
      <c r="F6" s="113"/>
      <c r="G6" s="113"/>
      <c r="H6" s="113"/>
      <c r="I6" s="96" t="str">
        <f t="shared" si="0"/>
        <v>Projet Schaerbeek Formation : mise à ciel ouvert de la Senne sur le site de Schaerbeek Formation –Tr</v>
      </c>
    </row>
    <row r="7" spans="1:72" ht="25.5" x14ac:dyDescent="0.25">
      <c r="A7" s="113" t="s">
        <v>643</v>
      </c>
      <c r="B7" s="295" t="s">
        <v>1743</v>
      </c>
      <c r="C7" s="113" t="s">
        <v>1744</v>
      </c>
      <c r="D7" s="296" t="s">
        <v>415</v>
      </c>
      <c r="E7" s="113"/>
      <c r="F7" s="113"/>
      <c r="G7" s="113"/>
      <c r="H7" s="113"/>
      <c r="I7" s="96" t="str">
        <f t="shared" si="0"/>
        <v>Projet Poincaré : mise en perspective de la Senne au niveau du musée des égouts - Etude (fait partie</v>
      </c>
    </row>
    <row r="8" spans="1:72" ht="25.5" x14ac:dyDescent="0.25">
      <c r="A8" s="113" t="s">
        <v>644</v>
      </c>
      <c r="B8" s="295" t="s">
        <v>1745</v>
      </c>
      <c r="C8" s="113" t="s">
        <v>1744</v>
      </c>
      <c r="D8" s="296" t="s">
        <v>415</v>
      </c>
      <c r="E8" s="113"/>
      <c r="F8" s="113"/>
      <c r="G8" s="113"/>
      <c r="H8" s="113"/>
      <c r="I8" s="96" t="str">
        <f t="shared" si="0"/>
        <v>Projet Poincaré : mise en perspective de la Senne au niveau du musée des égouts – Travaux</v>
      </c>
    </row>
    <row r="9" spans="1:72" ht="25.5" x14ac:dyDescent="0.25">
      <c r="A9" s="113" t="s">
        <v>645</v>
      </c>
      <c r="B9" s="297" t="s">
        <v>1746</v>
      </c>
      <c r="C9" s="113" t="s">
        <v>1738</v>
      </c>
      <c r="D9" s="296" t="s">
        <v>416</v>
      </c>
      <c r="E9" s="113"/>
      <c r="F9" s="113"/>
      <c r="G9" s="113"/>
      <c r="H9" s="113"/>
      <c r="I9" s="96" t="str">
        <f t="shared" si="0"/>
        <v>Projet site « Royale Belge » : Mise à ciel ouvert de la Woluwe sur une longueur de 250 m – Etude (vo</v>
      </c>
    </row>
    <row r="10" spans="1:72" ht="25.5" x14ac:dyDescent="0.25">
      <c r="A10" s="113" t="s">
        <v>646</v>
      </c>
      <c r="B10" s="297" t="s">
        <v>1747</v>
      </c>
      <c r="C10" s="113" t="s">
        <v>1738</v>
      </c>
      <c r="D10" s="296" t="s">
        <v>416</v>
      </c>
      <c r="E10" s="113"/>
      <c r="F10" s="113"/>
      <c r="G10" s="113"/>
      <c r="H10" s="113"/>
      <c r="I10" s="96" t="str">
        <f t="shared" si="0"/>
        <v>Projet site « Royale Belge »: Mise à ciel ouvert de la Woluwe sur une longueur de 250 m – Travaux (f</v>
      </c>
    </row>
    <row r="11" spans="1:72" x14ac:dyDescent="0.25">
      <c r="A11" s="113" t="s">
        <v>647</v>
      </c>
      <c r="B11" s="297" t="s">
        <v>1748</v>
      </c>
      <c r="C11" s="113" t="s">
        <v>1738</v>
      </c>
      <c r="D11" s="296" t="s">
        <v>416</v>
      </c>
      <c r="E11" s="113"/>
      <c r="F11" s="113"/>
      <c r="G11" s="113"/>
      <c r="H11" s="113"/>
      <c r="I11" s="96" t="str">
        <f t="shared" si="0"/>
        <v>Mise à ciel ouvert du Roodkloosterbeek dans le parc Bergoge sur 100m – Etude (également sur M1.2)</v>
      </c>
    </row>
    <row r="12" spans="1:72" x14ac:dyDescent="0.25">
      <c r="A12" s="113" t="s">
        <v>637</v>
      </c>
      <c r="B12" s="297" t="s">
        <v>1749</v>
      </c>
      <c r="C12" s="113" t="s">
        <v>1738</v>
      </c>
      <c r="D12" s="296" t="s">
        <v>416</v>
      </c>
      <c r="E12" s="113"/>
      <c r="F12" s="113"/>
      <c r="G12" s="113"/>
      <c r="H12" s="113"/>
      <c r="I12" s="96" t="str">
        <f t="shared" si="0"/>
        <v>Mise à ciel ouvert du Roodkloosterbeek dans le parc Bergoge sur 100m - Travaux (également sur M1.2)</v>
      </c>
    </row>
    <row r="13" spans="1:72" x14ac:dyDescent="0.25">
      <c r="A13" s="113" t="s">
        <v>638</v>
      </c>
      <c r="B13" s="297" t="s">
        <v>1750</v>
      </c>
      <c r="C13" s="113" t="s">
        <v>1738</v>
      </c>
      <c r="D13" s="296" t="s">
        <v>415</v>
      </c>
      <c r="E13" s="113"/>
      <c r="F13" s="113"/>
      <c r="G13" s="113"/>
      <c r="H13" s="113"/>
      <c r="I13" s="96" t="str">
        <f t="shared" si="0"/>
        <v xml:space="preserve">Étude de faisabilité de mise à ciel ouvert du Kerkebeek sur 800 m au niveau du Moeraske </v>
      </c>
    </row>
    <row r="14" spans="1:72" ht="25.5" x14ac:dyDescent="0.25">
      <c r="A14" s="113" t="s">
        <v>639</v>
      </c>
      <c r="B14" s="296" t="s">
        <v>1751</v>
      </c>
      <c r="C14" s="113" t="s">
        <v>1738</v>
      </c>
      <c r="D14" s="296" t="s">
        <v>415</v>
      </c>
      <c r="E14" s="113"/>
      <c r="F14" s="113"/>
      <c r="G14" s="113"/>
      <c r="H14" s="113"/>
      <c r="I14" s="96" t="str">
        <f t="shared" si="0"/>
        <v>Etude Étude de faisabilité de mise à ciel ouvert du Hollebeek sur 100 m au niveau du site Citydev, r</v>
      </c>
    </row>
    <row r="15" spans="1:72" ht="25.5" x14ac:dyDescent="0.25">
      <c r="A15" s="113" t="s">
        <v>700</v>
      </c>
      <c r="B15" s="296" t="s">
        <v>1752</v>
      </c>
      <c r="C15" s="113" t="s">
        <v>1738</v>
      </c>
      <c r="D15" s="296" t="s">
        <v>415</v>
      </c>
      <c r="E15" s="113"/>
      <c r="F15" s="113"/>
      <c r="G15" s="113"/>
      <c r="H15" s="113"/>
      <c r="I15" s="96" t="str">
        <f t="shared" si="0"/>
        <v>Amélioration de la berge et l’aménagement d’une annexe hydraulique abritée (frayère) à hauteur du si</v>
      </c>
    </row>
    <row r="16" spans="1:72" ht="25.5" x14ac:dyDescent="0.25">
      <c r="A16" s="113" t="s">
        <v>711</v>
      </c>
      <c r="B16" s="296" t="s">
        <v>1753</v>
      </c>
      <c r="C16" s="113" t="s">
        <v>1738</v>
      </c>
      <c r="D16" s="296" t="s">
        <v>415</v>
      </c>
      <c r="E16" s="113"/>
      <c r="F16" s="113"/>
      <c r="G16" s="113"/>
      <c r="H16" s="113"/>
      <c r="I16" s="96" t="str">
        <f t="shared" si="0"/>
        <v>Aménager la berge et une annexe hydraulique abritée (frayère) à hauteur d’Aquiris (action C12_2 Beli</v>
      </c>
    </row>
    <row r="17" spans="1:9" ht="25.5" x14ac:dyDescent="0.25">
      <c r="A17" s="113" t="s">
        <v>721</v>
      </c>
      <c r="B17" s="296" t="s">
        <v>1754</v>
      </c>
      <c r="C17" s="113" t="s">
        <v>1738</v>
      </c>
      <c r="D17" s="296" t="s">
        <v>415</v>
      </c>
      <c r="E17" s="113"/>
      <c r="F17" s="113"/>
      <c r="G17" s="113"/>
      <c r="H17" s="113"/>
      <c r="I17" s="96" t="str">
        <f t="shared" si="0"/>
        <v>Aménager un lit et des berges naturelles en rives gauche et droite au niveau de l’Avenue de Vilvorde</v>
      </c>
    </row>
    <row r="18" spans="1:9" ht="25.5" x14ac:dyDescent="0.25">
      <c r="A18" s="113" t="s">
        <v>722</v>
      </c>
      <c r="B18" s="296" t="s">
        <v>1755</v>
      </c>
      <c r="C18" s="113" t="s">
        <v>1738</v>
      </c>
      <c r="D18" s="296" t="s">
        <v>415</v>
      </c>
      <c r="E18" s="113"/>
      <c r="F18" s="113"/>
      <c r="G18" s="113"/>
      <c r="H18" s="113"/>
      <c r="I18" s="96" t="str">
        <f t="shared" si="0"/>
        <v xml:space="preserve">Poursuivre l’aménagement de berges et lit naturels et d’un bras mort à hauteur de la Rue du Charroi </v>
      </c>
    </row>
    <row r="19" spans="1:9" ht="25.5" x14ac:dyDescent="0.25">
      <c r="A19" s="113" t="s">
        <v>723</v>
      </c>
      <c r="B19" s="296" t="s">
        <v>1756</v>
      </c>
      <c r="C19" s="113" t="s">
        <v>1738</v>
      </c>
      <c r="D19" s="296" t="s">
        <v>415</v>
      </c>
      <c r="E19" s="113"/>
      <c r="F19" s="113"/>
      <c r="G19" s="113"/>
      <c r="H19" s="113"/>
      <c r="I19" s="96" t="str">
        <f t="shared" si="0"/>
        <v xml:space="preserve">Poursuivre l’aménagement de berges et lit naturels et d’un bras mort à hauteur de la Rue du Charroi </v>
      </c>
    </row>
    <row r="20" spans="1:9" ht="25.5" x14ac:dyDescent="0.25">
      <c r="A20" s="113" t="s">
        <v>724</v>
      </c>
      <c r="B20" s="296" t="s">
        <v>1757</v>
      </c>
      <c r="C20" s="113" t="s">
        <v>1738</v>
      </c>
      <c r="D20" s="296" t="s">
        <v>415</v>
      </c>
      <c r="E20" s="113"/>
      <c r="F20" s="113"/>
      <c r="G20" s="113"/>
      <c r="H20" s="113"/>
      <c r="I20" s="96" t="str">
        <f t="shared" si="0"/>
        <v xml:space="preserve">Aménager des berges naturelles entre la Dérivation d’Aa et la Rue Bollinckx – Etude (voir également </v>
      </c>
    </row>
    <row r="21" spans="1:9" ht="25.5" x14ac:dyDescent="0.25">
      <c r="A21" s="113" t="s">
        <v>725</v>
      </c>
      <c r="B21" s="296" t="s">
        <v>1758</v>
      </c>
      <c r="C21" s="113" t="s">
        <v>1738</v>
      </c>
      <c r="D21" s="296" t="s">
        <v>415</v>
      </c>
      <c r="E21" s="113"/>
      <c r="F21" s="113"/>
      <c r="G21" s="113"/>
      <c r="H21" s="113"/>
      <c r="I21" s="96" t="str">
        <f t="shared" si="0"/>
        <v>Aménager des berges naturelles entre la Dérivation d’Aa et la Rue Bollinckx – Travaux (voir égalemen</v>
      </c>
    </row>
    <row r="22" spans="1:9" ht="25.5" x14ac:dyDescent="0.25">
      <c r="A22" s="113" t="s">
        <v>726</v>
      </c>
      <c r="B22" s="296" t="s">
        <v>1759</v>
      </c>
      <c r="C22" s="113" t="s">
        <v>1738</v>
      </c>
      <c r="D22" s="296" t="s">
        <v>415</v>
      </c>
      <c r="E22" s="113"/>
      <c r="F22" s="113"/>
      <c r="G22" s="113"/>
      <c r="H22" s="113"/>
      <c r="I22" s="96" t="str">
        <f t="shared" si="0"/>
        <v>Aménager des berges naturelles et d’une promenade entre la Rue du Charroi et la Rue des Vétérinaires</v>
      </c>
    </row>
    <row r="23" spans="1:9" ht="25.5" x14ac:dyDescent="0.25">
      <c r="A23" s="113" t="s">
        <v>727</v>
      </c>
      <c r="B23" s="296" t="s">
        <v>1760</v>
      </c>
      <c r="C23" s="113" t="s">
        <v>1738</v>
      </c>
      <c r="D23" s="296" t="s">
        <v>415</v>
      </c>
      <c r="E23" s="113"/>
      <c r="F23" s="113"/>
      <c r="G23" s="113"/>
      <c r="H23" s="113"/>
      <c r="I23" s="96" t="str">
        <f t="shared" si="0"/>
        <v xml:space="preserve">Améliorer l’hydromorphologie de la Senne entre la Rue du Rupel (aval du Pont Van Praet) et la Rampe </v>
      </c>
    </row>
    <row r="24" spans="1:9" ht="25.5" x14ac:dyDescent="0.25">
      <c r="A24" s="113" t="s">
        <v>701</v>
      </c>
      <c r="B24" s="296" t="s">
        <v>1761</v>
      </c>
      <c r="C24" s="113" t="s">
        <v>1738</v>
      </c>
      <c r="D24" s="296" t="s">
        <v>415</v>
      </c>
      <c r="E24" s="113"/>
      <c r="F24" s="113"/>
      <c r="G24" s="113"/>
      <c r="H24" s="113"/>
      <c r="I24" s="96" t="str">
        <f t="shared" si="0"/>
        <v xml:space="preserve">Améliorer l’hydromorphologie de la Senne entre la Rue du Rupel (aval du Pont Van Praet) et la Rampe </v>
      </c>
    </row>
    <row r="25" spans="1:9" ht="25.5" x14ac:dyDescent="0.25">
      <c r="A25" s="113" t="s">
        <v>702</v>
      </c>
      <c r="B25" s="296" t="s">
        <v>1762</v>
      </c>
      <c r="C25" s="113" t="s">
        <v>1738</v>
      </c>
      <c r="D25" s="296" t="s">
        <v>415</v>
      </c>
      <c r="E25" s="113"/>
      <c r="F25" s="113"/>
      <c r="G25" s="113"/>
      <c r="H25" s="113"/>
      <c r="I25" s="96" t="str">
        <f t="shared" si="0"/>
        <v>Aménager les berges et lit naturels entre la Chaussée de Buda et la sortie de la région, tenant comp</v>
      </c>
    </row>
    <row r="26" spans="1:9" ht="25.5" x14ac:dyDescent="0.25">
      <c r="A26" s="113" t="s">
        <v>703</v>
      </c>
      <c r="B26" s="296" t="s">
        <v>1763</v>
      </c>
      <c r="C26" s="113" t="s">
        <v>1738</v>
      </c>
      <c r="D26" s="296" t="s">
        <v>415</v>
      </c>
      <c r="E26" s="113"/>
      <c r="F26" s="113"/>
      <c r="G26" s="113"/>
      <c r="H26" s="113"/>
      <c r="I26" s="96" t="str">
        <f t="shared" si="0"/>
        <v>Aménager les berges et lit naturels entre la Chaussée de Buda et la sortie de la région, tenant comp</v>
      </c>
    </row>
    <row r="27" spans="1:9" x14ac:dyDescent="0.25">
      <c r="A27" s="113" t="s">
        <v>704</v>
      </c>
      <c r="B27" s="296" t="s">
        <v>1764</v>
      </c>
      <c r="C27" s="113" t="s">
        <v>1738</v>
      </c>
      <c r="D27" s="296" t="s">
        <v>415</v>
      </c>
      <c r="E27" s="113"/>
      <c r="F27" s="113"/>
      <c r="G27" s="113"/>
      <c r="H27" s="113"/>
      <c r="I27" s="96" t="str">
        <f t="shared" si="0"/>
        <v>Aménager de berges naturelles entre la Rue de la Bienvenue et le Boulevard International - Etude</v>
      </c>
    </row>
    <row r="28" spans="1:9" ht="25.5" x14ac:dyDescent="0.25">
      <c r="A28" s="113" t="s">
        <v>705</v>
      </c>
      <c r="B28" s="296" t="s">
        <v>1765</v>
      </c>
      <c r="C28" s="113" t="s">
        <v>1738</v>
      </c>
      <c r="D28" s="296" t="s">
        <v>416</v>
      </c>
      <c r="E28" s="113"/>
      <c r="F28" s="113"/>
      <c r="G28" s="113"/>
      <c r="H28" s="113"/>
      <c r="I28" s="96" t="str">
        <f t="shared" si="0"/>
        <v>Travaux pour aménager une zone humide le long de la Woluwe au niveau de l’étang rond, Parc de la Wol</v>
      </c>
    </row>
    <row r="29" spans="1:9" ht="25.5" x14ac:dyDescent="0.25">
      <c r="A29" s="113" t="s">
        <v>706</v>
      </c>
      <c r="B29" s="296" t="s">
        <v>1766</v>
      </c>
      <c r="C29" s="113" t="s">
        <v>1738</v>
      </c>
      <c r="D29" s="296" t="s">
        <v>416</v>
      </c>
      <c r="E29" s="113"/>
      <c r="F29" s="113"/>
      <c r="G29" s="113"/>
      <c r="H29" s="113"/>
      <c r="I29" s="96" t="str">
        <f t="shared" si="0"/>
        <v>Travaux pour aménager une zone humide le long de la Woluwe au niveau de l’étang rond, Parc de la Wol</v>
      </c>
    </row>
    <row r="30" spans="1:9" ht="25.5" x14ac:dyDescent="0.25">
      <c r="A30" s="113" t="s">
        <v>707</v>
      </c>
      <c r="B30" s="296" t="s">
        <v>1767</v>
      </c>
      <c r="C30" s="113" t="s">
        <v>1738</v>
      </c>
      <c r="D30" s="296" t="s">
        <v>416</v>
      </c>
      <c r="E30" s="113"/>
      <c r="F30" s="113"/>
      <c r="G30" s="113"/>
      <c r="H30" s="113"/>
      <c r="I30" s="96" t="str">
        <f t="shared" si="0"/>
        <v xml:space="preserve">Réaliser une étude pour l’aménagement de berges naturelles sur la Woluwe entre l’Avenue Debecker et </v>
      </c>
    </row>
    <row r="31" spans="1:9" ht="15" customHeight="1" x14ac:dyDescent="0.25">
      <c r="A31" s="113" t="s">
        <v>708</v>
      </c>
      <c r="B31" s="296" t="s">
        <v>1768</v>
      </c>
      <c r="C31" s="113" t="s">
        <v>1738</v>
      </c>
      <c r="D31" s="296" t="s">
        <v>416</v>
      </c>
      <c r="E31" s="113"/>
      <c r="F31" s="113"/>
      <c r="G31" s="113"/>
      <c r="H31" s="113"/>
      <c r="I31" s="96" t="str">
        <f t="shared" si="0"/>
        <v>Aménager des berges naturelles sur la Woluwe entre l’Avenue Debecker et l’Avenue Vandervelde</v>
      </c>
    </row>
    <row r="32" spans="1:9" ht="25.5" x14ac:dyDescent="0.25">
      <c r="A32" s="113" t="s">
        <v>709</v>
      </c>
      <c r="B32" s="296" t="s">
        <v>1769</v>
      </c>
      <c r="C32" s="113" t="s">
        <v>1738</v>
      </c>
      <c r="D32" s="296" t="s">
        <v>416</v>
      </c>
      <c r="E32" s="113"/>
      <c r="F32" s="113"/>
      <c r="G32" s="113"/>
      <c r="H32" s="113"/>
      <c r="I32" s="96" t="str">
        <f t="shared" si="0"/>
        <v>Analyser les perspectives d’adoucissement de la pente des berges et d’augmentation de la sinuosité d</v>
      </c>
    </row>
    <row r="33" spans="1:9" ht="25.5" x14ac:dyDescent="0.25">
      <c r="A33" s="113" t="s">
        <v>710</v>
      </c>
      <c r="B33" s="296" t="s">
        <v>1770</v>
      </c>
      <c r="C33" s="113" t="s">
        <v>1738</v>
      </c>
      <c r="D33" s="296" t="s">
        <v>416</v>
      </c>
      <c r="E33" s="113"/>
      <c r="F33" s="113"/>
      <c r="G33" s="113"/>
      <c r="H33" s="113"/>
      <c r="I33" s="96" t="str">
        <f t="shared" si="0"/>
        <v>Analyser les perspectives d’adoucissement de la pente des berges et d’augmentation de la sinuosité d</v>
      </c>
    </row>
    <row r="34" spans="1:9" ht="25.5" x14ac:dyDescent="0.25">
      <c r="A34" s="113" t="s">
        <v>712</v>
      </c>
      <c r="B34" s="296" t="s">
        <v>1771</v>
      </c>
      <c r="C34" s="113" t="s">
        <v>1772</v>
      </c>
      <c r="D34" s="296" t="s">
        <v>414</v>
      </c>
      <c r="E34" s="113" t="s">
        <v>1773</v>
      </c>
      <c r="F34" s="113" t="s">
        <v>1738</v>
      </c>
      <c r="G34" s="113"/>
      <c r="H34" s="113"/>
      <c r="I34" s="96" t="str">
        <f t="shared" si="0"/>
        <v>Réaliser une étude de faisabilité pour l’installation d’un dispositif-test d’île flottante/radeaux v</v>
      </c>
    </row>
    <row r="35" spans="1:9" ht="25.5" x14ac:dyDescent="0.25">
      <c r="A35" s="113" t="s">
        <v>713</v>
      </c>
      <c r="B35" s="296" t="s">
        <v>1774</v>
      </c>
      <c r="C35" s="113" t="s">
        <v>1772</v>
      </c>
      <c r="D35" s="296" t="s">
        <v>414</v>
      </c>
      <c r="E35" s="113" t="s">
        <v>1773</v>
      </c>
      <c r="F35" s="113" t="s">
        <v>1738</v>
      </c>
      <c r="G35" s="113"/>
      <c r="H35" s="113"/>
      <c r="I35" s="96" t="str">
        <f t="shared" si="0"/>
        <v>Installer un dispositif-test d’île flottante (en cours à hauteur du BRYC)</v>
      </c>
    </row>
    <row r="36" spans="1:9" ht="25.5" x14ac:dyDescent="0.25">
      <c r="A36" s="113" t="s">
        <v>714</v>
      </c>
      <c r="B36" s="296" t="s">
        <v>1775</v>
      </c>
      <c r="C36" s="113" t="s">
        <v>1772</v>
      </c>
      <c r="D36" s="296" t="s">
        <v>414</v>
      </c>
      <c r="E36" s="113" t="s">
        <v>1773</v>
      </c>
      <c r="F36" s="113" t="s">
        <v>1738</v>
      </c>
      <c r="G36" s="113"/>
      <c r="H36" s="113"/>
      <c r="I36" s="96" t="str">
        <f t="shared" si="0"/>
        <v xml:space="preserve">Réaliser une étude de faisabilité pour l’aménagement d’une berge naturelle avec zone de lagunage et </v>
      </c>
    </row>
    <row r="37" spans="1:9" ht="25.5" x14ac:dyDescent="0.25">
      <c r="A37" s="113" t="s">
        <v>715</v>
      </c>
      <c r="B37" s="296" t="s">
        <v>1776</v>
      </c>
      <c r="C37" s="113" t="s">
        <v>1772</v>
      </c>
      <c r="D37" s="296" t="s">
        <v>414</v>
      </c>
      <c r="E37" s="113" t="s">
        <v>1773</v>
      </c>
      <c r="F37" s="113" t="s">
        <v>1738</v>
      </c>
      <c r="G37" s="113"/>
      <c r="H37" s="113"/>
      <c r="I37" s="96" t="str">
        <f t="shared" si="0"/>
        <v>Evaluer le résultat et l’expérience acquise avec le dispositif-test d’île flottante pour orienter l’</v>
      </c>
    </row>
    <row r="38" spans="1:9" ht="25.5" x14ac:dyDescent="0.25">
      <c r="A38" s="113" t="s">
        <v>716</v>
      </c>
      <c r="B38" s="296" t="s">
        <v>1777</v>
      </c>
      <c r="C38" s="113" t="s">
        <v>1772</v>
      </c>
      <c r="D38" s="296" t="s">
        <v>414</v>
      </c>
      <c r="E38" s="113" t="s">
        <v>1773</v>
      </c>
      <c r="F38" s="113" t="s">
        <v>1738</v>
      </c>
      <c r="G38" s="113"/>
      <c r="H38" s="113"/>
      <c r="I38" s="96" t="str">
        <f t="shared" si="0"/>
        <v>Installer des aménagements de berges (tels que des îles flottantes) à d’autres endroits, en fonction</v>
      </c>
    </row>
    <row r="39" spans="1:9" ht="25.5" x14ac:dyDescent="0.25">
      <c r="A39" s="113" t="s">
        <v>717</v>
      </c>
      <c r="B39" s="296" t="s">
        <v>1778</v>
      </c>
      <c r="C39" s="113" t="s">
        <v>1772</v>
      </c>
      <c r="D39" s="296" t="s">
        <v>414</v>
      </c>
      <c r="E39" s="113" t="s">
        <v>1773</v>
      </c>
      <c r="F39" s="113" t="s">
        <v>1738</v>
      </c>
      <c r="G39" s="113"/>
      <c r="H39" s="113"/>
      <c r="I39" s="96" t="str">
        <f t="shared" si="0"/>
        <v>Aménager la berge en rive gauche du bassin de batelage en fonction des résultats de l’étude de faisa</v>
      </c>
    </row>
    <row r="40" spans="1:9" x14ac:dyDescent="0.25">
      <c r="A40" s="113" t="s">
        <v>718</v>
      </c>
      <c r="B40" s="296" t="s">
        <v>1779</v>
      </c>
      <c r="C40" s="113" t="s">
        <v>1738</v>
      </c>
      <c r="D40" s="296" t="s">
        <v>415</v>
      </c>
      <c r="E40" s="113"/>
      <c r="F40" s="113"/>
      <c r="G40" s="113"/>
      <c r="H40" s="113"/>
      <c r="I40" s="96" t="str">
        <f t="shared" si="0"/>
        <v>Mise en valeur des berges du Zuunbeek dans le cadre de l’aménagement du parc du Zuun - Travaux</v>
      </c>
    </row>
    <row r="41" spans="1:9" x14ac:dyDescent="0.25">
      <c r="A41" s="113" t="s">
        <v>719</v>
      </c>
      <c r="B41" s="296" t="s">
        <v>1780</v>
      </c>
      <c r="C41" s="113" t="s">
        <v>1738</v>
      </c>
      <c r="D41" s="296" t="s">
        <v>415</v>
      </c>
      <c r="E41" s="113"/>
      <c r="F41" s="113"/>
      <c r="G41" s="113"/>
      <c r="H41" s="113"/>
      <c r="I41" s="96" t="str">
        <f t="shared" si="0"/>
        <v>Aménagement des berges du Molenbeek au niveau du Marais de Jette</v>
      </c>
    </row>
    <row r="42" spans="1:9" x14ac:dyDescent="0.25">
      <c r="A42" s="113" t="s">
        <v>720</v>
      </c>
      <c r="B42" s="296" t="s">
        <v>1781</v>
      </c>
      <c r="C42" s="113" t="s">
        <v>1738</v>
      </c>
      <c r="D42" s="296" t="s">
        <v>415</v>
      </c>
      <c r="E42" s="113"/>
      <c r="F42" s="113"/>
      <c r="G42" s="113"/>
      <c r="H42" s="113"/>
      <c r="I42" s="96" t="str">
        <f t="shared" si="0"/>
        <v>Création de zone refuge en cas d’étiage du Molenbeek au niveau du Parc Roi Baudouin</v>
      </c>
    </row>
    <row r="43" spans="1:9" ht="51" x14ac:dyDescent="0.25">
      <c r="A43" s="113" t="s">
        <v>775</v>
      </c>
      <c r="B43" s="296" t="s">
        <v>1782</v>
      </c>
      <c r="C43" s="113" t="s">
        <v>1783</v>
      </c>
      <c r="D43" s="296" t="s">
        <v>416</v>
      </c>
      <c r="E43" s="113"/>
      <c r="F43" s="113"/>
      <c r="G43" s="113"/>
      <c r="H43" s="113"/>
      <c r="I43" s="96" t="str">
        <f t="shared" si="0"/>
        <v>Réaliser une étude de faisabilité pour l’aménagement d’une 1ère série d’obstacles sur la Woluwe (4 o</v>
      </c>
    </row>
    <row r="44" spans="1:9" ht="51" x14ac:dyDescent="0.25">
      <c r="A44" s="113" t="s">
        <v>776</v>
      </c>
      <c r="B44" s="296" t="s">
        <v>1784</v>
      </c>
      <c r="C44" s="113" t="s">
        <v>1785</v>
      </c>
      <c r="D44" s="296" t="s">
        <v>416</v>
      </c>
      <c r="E44" s="113"/>
      <c r="F44" s="113"/>
      <c r="G44" s="113"/>
      <c r="H44" s="113"/>
      <c r="I44" s="96" t="str">
        <f t="shared" si="0"/>
        <v>Mener une étude de projet pour l’aménagement d’une 1ère série de 4 obstacles sur la Woluwe (partie a</v>
      </c>
    </row>
    <row r="45" spans="1:9" ht="51" x14ac:dyDescent="0.25">
      <c r="A45" s="113" t="s">
        <v>777</v>
      </c>
      <c r="B45" s="296" t="s">
        <v>1786</v>
      </c>
      <c r="C45" s="113" t="s">
        <v>1785</v>
      </c>
      <c r="D45" s="296" t="s">
        <v>416</v>
      </c>
      <c r="E45" s="113"/>
      <c r="F45" s="113"/>
      <c r="G45" s="113"/>
      <c r="H45" s="113"/>
      <c r="I45" s="96" t="str">
        <f t="shared" si="0"/>
        <v>Travaux d’aménagement de 2 obstacles parmi la 1ère série de 4 sur la Woluwe (partie aval)</v>
      </c>
    </row>
    <row r="46" spans="1:9" ht="51" x14ac:dyDescent="0.25">
      <c r="A46" s="113" t="s">
        <v>778</v>
      </c>
      <c r="B46" s="296" t="s">
        <v>1787</v>
      </c>
      <c r="C46" s="113" t="s">
        <v>1785</v>
      </c>
      <c r="D46" s="296" t="s">
        <v>416</v>
      </c>
      <c r="E46" s="113"/>
      <c r="F46" s="113"/>
      <c r="G46" s="113"/>
      <c r="H46" s="113"/>
      <c r="I46" s="96" t="str">
        <f t="shared" si="0"/>
        <v>Travaux d’aménagement des 2 derniers obstacles parmi la 1ère série de 4 sur la Woluwe (partie aval)</v>
      </c>
    </row>
    <row r="47" spans="1:9" ht="38.25" x14ac:dyDescent="0.25">
      <c r="A47" s="113" t="s">
        <v>779</v>
      </c>
      <c r="B47" s="296" t="s">
        <v>1788</v>
      </c>
      <c r="C47" s="113" t="s">
        <v>1789</v>
      </c>
      <c r="D47" s="296" t="s">
        <v>415</v>
      </c>
      <c r="E47" s="113"/>
      <c r="F47" s="113"/>
      <c r="G47" s="113"/>
      <c r="H47" s="113"/>
      <c r="I47" s="96" t="str">
        <f t="shared" si="0"/>
        <v>Travaux d’aménagement de l’obstacle sur la Senne</v>
      </c>
    </row>
    <row r="48" spans="1:9" ht="51" x14ac:dyDescent="0.25">
      <c r="A48" s="113" t="s">
        <v>780</v>
      </c>
      <c r="B48" s="296" t="s">
        <v>1790</v>
      </c>
      <c r="C48" s="113" t="s">
        <v>1785</v>
      </c>
      <c r="D48" s="296" t="s">
        <v>416</v>
      </c>
      <c r="E48" s="113"/>
      <c r="F48" s="113"/>
      <c r="G48" s="113"/>
      <c r="H48" s="113"/>
      <c r="I48" s="96" t="str">
        <f t="shared" si="0"/>
        <v>Réaliser une étude de faisabilité pour l’aménagement d’une 2ème série de 5 obstacles sur la Woluwe (</v>
      </c>
    </row>
    <row r="49" spans="1:9" ht="51" x14ac:dyDescent="0.25">
      <c r="A49" s="113" t="s">
        <v>781</v>
      </c>
      <c r="B49" s="296" t="s">
        <v>1791</v>
      </c>
      <c r="C49" s="113" t="s">
        <v>1785</v>
      </c>
      <c r="D49" s="296" t="s">
        <v>416</v>
      </c>
      <c r="E49" s="113"/>
      <c r="F49" s="113"/>
      <c r="G49" s="113"/>
      <c r="H49" s="113"/>
      <c r="I49" s="96" t="str">
        <f t="shared" si="0"/>
        <v>Réaliser une étude de projet pour l’aménagement d’une 2ème série de 5 obstacles sur la Woluwe (parti</v>
      </c>
    </row>
    <row r="50" spans="1:9" ht="51" x14ac:dyDescent="0.25">
      <c r="A50" s="113" t="s">
        <v>782</v>
      </c>
      <c r="B50" s="296" t="s">
        <v>1792</v>
      </c>
      <c r="C50" s="113" t="s">
        <v>1785</v>
      </c>
      <c r="D50" s="296" t="s">
        <v>416</v>
      </c>
      <c r="E50" s="113"/>
      <c r="F50" s="113"/>
      <c r="G50" s="113"/>
      <c r="H50" s="113"/>
      <c r="I50" s="96" t="str">
        <f t="shared" si="0"/>
        <v>Travaux d’aménagement des 5 obstacles de la 2ème série sur la Woluwe (partie amont)</v>
      </c>
    </row>
    <row r="51" spans="1:9" x14ac:dyDescent="0.25">
      <c r="A51" s="113" t="s">
        <v>783</v>
      </c>
      <c r="B51" s="296" t="s">
        <v>1793</v>
      </c>
      <c r="C51" s="113" t="s">
        <v>1794</v>
      </c>
      <c r="D51" s="296" t="s">
        <v>414</v>
      </c>
      <c r="E51" s="113"/>
      <c r="F51" s="113"/>
      <c r="G51" s="113"/>
      <c r="H51" s="113"/>
      <c r="I51" s="96" t="str">
        <f t="shared" si="0"/>
        <v>Aménager les écluses du Canal de passes à poissons</v>
      </c>
    </row>
    <row r="52" spans="1:9" ht="178.5" x14ac:dyDescent="0.25">
      <c r="A52" s="113" t="s">
        <v>784</v>
      </c>
      <c r="B52" s="296" t="s">
        <v>1795</v>
      </c>
      <c r="C52" s="113" t="s">
        <v>1796</v>
      </c>
      <c r="D52" s="298" t="s">
        <v>1290</v>
      </c>
      <c r="E52" s="113"/>
      <c r="F52" s="113"/>
      <c r="G52" s="113"/>
      <c r="H52" s="113"/>
      <c r="I52" s="96" t="str">
        <f t="shared" si="0"/>
        <v>Réaliser un diagnostic global de l’état d’invasion et risque d’invasion des milieux aquatiques et ri</v>
      </c>
    </row>
    <row r="53" spans="1:9" ht="178.5" x14ac:dyDescent="0.25">
      <c r="A53" s="113" t="s">
        <v>789</v>
      </c>
      <c r="B53" s="296" t="s">
        <v>1797</v>
      </c>
      <c r="C53" s="113" t="s">
        <v>1798</v>
      </c>
      <c r="D53" s="298" t="s">
        <v>1290</v>
      </c>
      <c r="E53" s="113"/>
      <c r="F53" s="113"/>
      <c r="G53" s="113"/>
      <c r="H53" s="113"/>
      <c r="I53" s="96" t="str">
        <f t="shared" si="0"/>
        <v>Élaboration d’une stratégie de gestion des EEE :
- rassembler des informations bibliographiques pour</v>
      </c>
    </row>
    <row r="54" spans="1:9" ht="178.5" x14ac:dyDescent="0.25">
      <c r="A54" s="113" t="s">
        <v>790</v>
      </c>
      <c r="B54" s="296" t="s">
        <v>1799</v>
      </c>
      <c r="C54" s="113" t="s">
        <v>1800</v>
      </c>
      <c r="D54" s="298" t="s">
        <v>1290</v>
      </c>
      <c r="E54" s="113"/>
      <c r="F54" s="113"/>
      <c r="G54" s="113"/>
      <c r="H54" s="113"/>
      <c r="I54" s="96" t="str">
        <f t="shared" si="0"/>
        <v>Mise en place d’une stratégie de surveillance des EEE liées à l’eau et de signalement précoce (early</v>
      </c>
    </row>
    <row r="55" spans="1:9" ht="76.5" x14ac:dyDescent="0.25">
      <c r="A55" s="113" t="s">
        <v>791</v>
      </c>
      <c r="B55" s="296" t="s">
        <v>1801</v>
      </c>
      <c r="C55" s="113" t="s">
        <v>1802</v>
      </c>
      <c r="D55" s="298" t="s">
        <v>1290</v>
      </c>
      <c r="E55" s="113"/>
      <c r="F55" s="113"/>
      <c r="G55" s="113"/>
      <c r="H55" s="113"/>
      <c r="I55" s="96" t="str">
        <f t="shared" si="0"/>
        <v>Appliquer les techniques de prévention usuelles :
    - respecter des clauses bio-sanitaires spécifi</v>
      </c>
    </row>
    <row r="56" spans="1:9" ht="76.5" x14ac:dyDescent="0.25">
      <c r="A56" s="113" t="s">
        <v>792</v>
      </c>
      <c r="B56" s="296" t="s">
        <v>1803</v>
      </c>
      <c r="C56" s="113" t="s">
        <v>1804</v>
      </c>
      <c r="D56" s="298" t="s">
        <v>1290</v>
      </c>
      <c r="E56" s="113"/>
      <c r="F56" s="113"/>
      <c r="G56" s="113"/>
      <c r="H56" s="113"/>
      <c r="I56" s="96" t="str">
        <f t="shared" si="0"/>
        <v>Développer et valider des « zones-tests » afin d’expérimenter des techniques nouvelles :
- d’éradica</v>
      </c>
    </row>
    <row r="57" spans="1:9" ht="51" x14ac:dyDescent="0.25">
      <c r="A57" s="113" t="s">
        <v>793</v>
      </c>
      <c r="B57" s="296" t="s">
        <v>1805</v>
      </c>
      <c r="C57" s="113" t="s">
        <v>1806</v>
      </c>
      <c r="D57" s="298" t="s">
        <v>1290</v>
      </c>
      <c r="E57" s="113"/>
      <c r="F57" s="113"/>
      <c r="G57" s="113"/>
      <c r="H57" s="113"/>
      <c r="I57" s="96" t="str">
        <f t="shared" si="0"/>
        <v>Pour les techniques de gestion déjà connues pour être efficaces, poursuivre les opérations de régula</v>
      </c>
    </row>
    <row r="58" spans="1:9" ht="63.75" x14ac:dyDescent="0.25">
      <c r="A58" s="113" t="s">
        <v>794</v>
      </c>
      <c r="B58" s="296" t="s">
        <v>1807</v>
      </c>
      <c r="C58" s="113" t="s">
        <v>1808</v>
      </c>
      <c r="D58" s="298" t="s">
        <v>1290</v>
      </c>
      <c r="E58" s="113"/>
      <c r="F58" s="113"/>
      <c r="G58" s="113"/>
      <c r="H58" s="113"/>
      <c r="I58" s="96" t="str">
        <f t="shared" si="0"/>
        <v>Coopérer avec les régions flamande et wallonne dans la lutte contre les EEE aquatiques et riparienne</v>
      </c>
    </row>
    <row r="59" spans="1:9" ht="63.75" x14ac:dyDescent="0.25">
      <c r="A59" s="113" t="s">
        <v>795</v>
      </c>
      <c r="B59" s="296" t="s">
        <v>1809</v>
      </c>
      <c r="C59" s="113" t="s">
        <v>1804</v>
      </c>
      <c r="D59" s="298" t="s">
        <v>1290</v>
      </c>
      <c r="E59" s="113"/>
      <c r="F59" s="113"/>
      <c r="G59" s="113"/>
      <c r="H59" s="113"/>
      <c r="I59" s="96" t="str">
        <f t="shared" si="0"/>
        <v>Etendre les mesures de lutte contre les EEE aquatiques sur le territoire de la région en fonction de</v>
      </c>
    </row>
    <row r="60" spans="1:9" ht="51" x14ac:dyDescent="0.25">
      <c r="A60" s="113" t="s">
        <v>796</v>
      </c>
      <c r="B60" s="296" t="s">
        <v>1810</v>
      </c>
      <c r="C60" s="113" t="s">
        <v>1811</v>
      </c>
      <c r="D60" s="298" t="s">
        <v>1290</v>
      </c>
      <c r="E60" s="113"/>
      <c r="F60" s="113"/>
      <c r="G60" s="113"/>
      <c r="H60" s="113"/>
      <c r="I60" s="96" t="str">
        <f t="shared" si="0"/>
        <v>Identifier les structures d’accueil pour les tortues de Floride (et éventuellement d’autres EEE) ext</v>
      </c>
    </row>
    <row r="61" spans="1:9" ht="38.25" x14ac:dyDescent="0.25">
      <c r="A61" s="113" t="s">
        <v>785</v>
      </c>
      <c r="B61" s="296" t="s">
        <v>1812</v>
      </c>
      <c r="C61" s="113" t="s">
        <v>1813</v>
      </c>
      <c r="D61" s="298" t="s">
        <v>1290</v>
      </c>
      <c r="E61" s="113"/>
      <c r="F61" s="113"/>
      <c r="G61" s="113"/>
      <c r="H61" s="113"/>
      <c r="I61" s="96" t="str">
        <f t="shared" si="0"/>
        <v>Porter  auprès des instances compétentes la problématique de la vente des EEE (pépinières, animaleri</v>
      </c>
    </row>
    <row r="62" spans="1:9" ht="76.5" x14ac:dyDescent="0.25">
      <c r="A62" s="113" t="s">
        <v>786</v>
      </c>
      <c r="B62" s="296" t="s">
        <v>1814</v>
      </c>
      <c r="C62" s="113" t="s">
        <v>1815</v>
      </c>
      <c r="D62" s="298" t="s">
        <v>1290</v>
      </c>
      <c r="E62" s="113"/>
      <c r="F62" s="113"/>
      <c r="G62" s="113"/>
      <c r="H62" s="113"/>
      <c r="I62" s="96" t="str">
        <f t="shared" si="0"/>
        <v>Sensibiliser les Bruxellois quant aux impacts des EEE dans l’environnement aquatique et à ce qu’il f</v>
      </c>
    </row>
    <row r="63" spans="1:9" ht="63.75" x14ac:dyDescent="0.25">
      <c r="A63" s="113" t="s">
        <v>787</v>
      </c>
      <c r="B63" s="296" t="s">
        <v>1816</v>
      </c>
      <c r="C63" s="113" t="s">
        <v>1817</v>
      </c>
      <c r="D63" s="298" t="s">
        <v>1290</v>
      </c>
      <c r="E63" s="113"/>
      <c r="F63" s="113"/>
      <c r="G63" s="113"/>
      <c r="H63" s="113"/>
      <c r="I63" s="96" t="str">
        <f t="shared" si="0"/>
        <v>Sensibiliser les entités publiques susceptibles de faire des plantations (structures régionales, féd</v>
      </c>
    </row>
    <row r="64" spans="1:9" ht="25.5" x14ac:dyDescent="0.25">
      <c r="A64" s="113" t="s">
        <v>788</v>
      </c>
      <c r="B64" s="296" t="s">
        <v>1818</v>
      </c>
      <c r="C64" s="113" t="s">
        <v>1813</v>
      </c>
      <c r="D64" s="298" t="s">
        <v>1290</v>
      </c>
      <c r="E64" s="113"/>
      <c r="F64" s="113"/>
      <c r="G64" s="113"/>
      <c r="H64" s="113"/>
      <c r="I64" s="96" t="str">
        <f t="shared" si="0"/>
        <v>Actions de confinement de certaines plantes aquatiques et ripicoles envahissantes dans des zones spé</v>
      </c>
    </row>
    <row r="65" spans="1:10" ht="38.25" x14ac:dyDescent="0.25">
      <c r="A65" s="113" t="s">
        <v>797</v>
      </c>
      <c r="B65" s="296" t="s">
        <v>2794</v>
      </c>
      <c r="C65" s="113" t="s">
        <v>1819</v>
      </c>
      <c r="D65" s="298" t="s">
        <v>1290</v>
      </c>
      <c r="E65" s="113"/>
      <c r="F65" s="113"/>
      <c r="G65" s="113"/>
      <c r="H65" s="113"/>
      <c r="I65" s="96" t="str">
        <f t="shared" si="0"/>
        <v>Sensibiliser et contrôler l’interdiction de nourrissage des animaux sauvages (oiseaux, poissons) à p</v>
      </c>
      <c r="J65" t="s">
        <v>67</v>
      </c>
    </row>
    <row r="66" spans="1:10" ht="25.5" x14ac:dyDescent="0.25">
      <c r="A66" s="113" t="s">
        <v>798</v>
      </c>
      <c r="B66" s="296" t="s">
        <v>1617</v>
      </c>
      <c r="C66" s="113" t="s">
        <v>1820</v>
      </c>
      <c r="D66" s="298" t="s">
        <v>1290</v>
      </c>
      <c r="E66" s="113"/>
      <c r="F66" s="113"/>
      <c r="G66" s="113"/>
      <c r="H66" s="113"/>
      <c r="I66" s="96" t="str">
        <f t="shared" ref="I66:I129" si="1">LEFT(B66,100)</f>
        <v>Définir les informations à récolter par point de rejet et créer un format permettant l’encodage dans</v>
      </c>
    </row>
    <row r="67" spans="1:10" ht="47.1" customHeight="1" x14ac:dyDescent="0.25">
      <c r="A67" s="113" t="s">
        <v>809</v>
      </c>
      <c r="B67" s="296" t="s">
        <v>1618</v>
      </c>
      <c r="C67" s="113" t="s">
        <v>1821</v>
      </c>
      <c r="D67" s="298" t="s">
        <v>1290</v>
      </c>
      <c r="E67" s="113"/>
      <c r="F67" s="113"/>
      <c r="G67" s="113"/>
      <c r="H67" s="113"/>
      <c r="I67" s="96" t="str">
        <f t="shared" si="1"/>
        <v>Récupérer les données complémentaires disponibles auprès des opérateurs (chainons manquants, zones n</v>
      </c>
    </row>
    <row r="68" spans="1:10" x14ac:dyDescent="0.25">
      <c r="A68" s="113" t="s">
        <v>814</v>
      </c>
      <c r="B68" s="296" t="s">
        <v>1619</v>
      </c>
      <c r="C68" s="113" t="s">
        <v>1822</v>
      </c>
      <c r="D68" s="298" t="s">
        <v>1290</v>
      </c>
      <c r="E68" s="113"/>
      <c r="F68" s="113"/>
      <c r="G68" s="113"/>
      <c r="H68" s="113"/>
      <c r="I68" s="96" t="str">
        <f t="shared" si="1"/>
        <v xml:space="preserve">Dresser une carte des rejets avec les informations de la base de données </v>
      </c>
    </row>
    <row r="69" spans="1:10" x14ac:dyDescent="0.25">
      <c r="A69" s="113" t="s">
        <v>815</v>
      </c>
      <c r="B69" s="296" t="s">
        <v>1620</v>
      </c>
      <c r="C69" s="113" t="s">
        <v>1822</v>
      </c>
      <c r="D69" s="298" t="s">
        <v>1290</v>
      </c>
      <c r="E69" s="113"/>
      <c r="F69" s="113"/>
      <c r="G69" s="113"/>
      <c r="H69" s="113"/>
      <c r="I69" s="96" t="str">
        <f t="shared" si="1"/>
        <v>Mettre la carte des rejets et les résultats à disposition du Port, de VVQ et de la SBGE</v>
      </c>
    </row>
    <row r="70" spans="1:10" ht="38.25" x14ac:dyDescent="0.25">
      <c r="A70" s="113" t="s">
        <v>816</v>
      </c>
      <c r="B70" s="296" t="s">
        <v>1621</v>
      </c>
      <c r="C70" s="113" t="s">
        <v>1823</v>
      </c>
      <c r="D70" s="298" t="s">
        <v>1290</v>
      </c>
      <c r="E70" s="113"/>
      <c r="F70" s="113"/>
      <c r="G70" s="113"/>
      <c r="H70" s="113"/>
      <c r="I70" s="96" t="str">
        <f t="shared" si="1"/>
        <v>Mettre à disposition les données pertinentes (masse d’eau réceptrice, localisation du point de rejet</v>
      </c>
    </row>
    <row r="71" spans="1:10" x14ac:dyDescent="0.25">
      <c r="A71" s="113" t="s">
        <v>817</v>
      </c>
      <c r="B71" s="296" t="s">
        <v>1622</v>
      </c>
      <c r="C71" s="113" t="s">
        <v>1824</v>
      </c>
      <c r="D71" s="298" t="s">
        <v>1290</v>
      </c>
      <c r="E71" s="113"/>
      <c r="F71" s="113"/>
      <c r="G71" s="113"/>
      <c r="H71" s="113"/>
      <c r="I71" s="96" t="str">
        <f t="shared" si="1"/>
        <v>Mener des investigations sur l’origine des rejets non identifiés en remontant les tuyaux</v>
      </c>
    </row>
    <row r="72" spans="1:10" ht="63.75" x14ac:dyDescent="0.25">
      <c r="A72" s="113" t="s">
        <v>818</v>
      </c>
      <c r="B72" s="296" t="s">
        <v>1623</v>
      </c>
      <c r="C72" s="113" t="s">
        <v>1825</v>
      </c>
      <c r="D72" s="298" t="s">
        <v>1290</v>
      </c>
      <c r="E72" s="113"/>
      <c r="F72" s="113"/>
      <c r="G72" s="113"/>
      <c r="H72" s="113"/>
      <c r="I72" s="96" t="str">
        <f t="shared" si="1"/>
        <v>Caractériser la qualité d'effluents/rejets quand cela s’avère nécessaire pour déterminer la solution</v>
      </c>
    </row>
    <row r="73" spans="1:10" ht="76.5" x14ac:dyDescent="0.25">
      <c r="A73" s="113" t="s">
        <v>819</v>
      </c>
      <c r="B73" s="296" t="s">
        <v>1624</v>
      </c>
      <c r="C73" s="113" t="s">
        <v>1826</v>
      </c>
      <c r="D73" s="298" t="s">
        <v>1290</v>
      </c>
      <c r="E73" s="113"/>
      <c r="F73" s="113"/>
      <c r="G73" s="113"/>
      <c r="H73" s="113"/>
      <c r="I73" s="96" t="str">
        <f t="shared" si="1"/>
        <v>Implémenter les rejets ponctuels de la base de données géographique BE dans l’inventaire BE des émis</v>
      </c>
    </row>
    <row r="74" spans="1:10" ht="51" x14ac:dyDescent="0.25">
      <c r="A74" s="113" t="s">
        <v>820</v>
      </c>
      <c r="B74" s="296" t="s">
        <v>1625</v>
      </c>
      <c r="C74" s="113" t="s">
        <v>1827</v>
      </c>
      <c r="D74" s="296" t="s">
        <v>415</v>
      </c>
      <c r="E74" s="113"/>
      <c r="F74" s="113"/>
      <c r="G74" s="113"/>
      <c r="H74" s="113"/>
      <c r="I74" s="96" t="str">
        <f t="shared" si="1"/>
        <v>Inventorier le réseau d'écoulement (égouts/réseau séparatif/rejets vers le Canal ou la Senne) sur le</v>
      </c>
    </row>
    <row r="75" spans="1:10" ht="25.5" x14ac:dyDescent="0.25">
      <c r="A75" s="113" t="s">
        <v>799</v>
      </c>
      <c r="B75" s="296" t="s">
        <v>1626</v>
      </c>
      <c r="C75" s="113" t="s">
        <v>1828</v>
      </c>
      <c r="D75" s="296" t="s">
        <v>415</v>
      </c>
      <c r="E75" s="113"/>
      <c r="F75" s="113"/>
      <c r="G75" s="113"/>
      <c r="H75" s="113"/>
      <c r="I75" s="96" t="str">
        <f t="shared" si="1"/>
        <v xml:space="preserve">Compiler les données relatives au réseau d’écoulement des parcelles privées du domaine portuaire et </v>
      </c>
    </row>
    <row r="76" spans="1:10" ht="25.5" x14ac:dyDescent="0.25">
      <c r="A76" s="113" t="s">
        <v>800</v>
      </c>
      <c r="B76" s="296" t="s">
        <v>1627</v>
      </c>
      <c r="C76" s="113" t="s">
        <v>1829</v>
      </c>
      <c r="D76" s="299" t="s">
        <v>415</v>
      </c>
      <c r="E76" s="113"/>
      <c r="F76" s="113"/>
      <c r="G76" s="113"/>
      <c r="H76" s="113"/>
      <c r="I76" s="96" t="str">
        <f t="shared" si="1"/>
        <v>Étudier la possibilité de caractériser un point noir (débit, charge EH, sources potentielles, photos</v>
      </c>
    </row>
    <row r="77" spans="1:10" ht="25.5" x14ac:dyDescent="0.25">
      <c r="A77" s="113" t="s">
        <v>801</v>
      </c>
      <c r="B77" s="296" t="s">
        <v>1628</v>
      </c>
      <c r="C77" s="113" t="s">
        <v>1830</v>
      </c>
      <c r="D77" s="296" t="s">
        <v>415</v>
      </c>
      <c r="E77" s="113"/>
      <c r="F77" s="113"/>
      <c r="G77" s="113"/>
      <c r="H77" s="113"/>
      <c r="I77" s="96" t="str">
        <f t="shared" si="1"/>
        <v xml:space="preserve">Mise à jour du relevé sur terrain des rejets vers la Senne, notamment en s’aidant des connaissances </v>
      </c>
    </row>
    <row r="78" spans="1:10" ht="25.5" x14ac:dyDescent="0.25">
      <c r="A78" s="113" t="s">
        <v>802</v>
      </c>
      <c r="B78" s="296" t="s">
        <v>1629</v>
      </c>
      <c r="C78" s="113" t="s">
        <v>1831</v>
      </c>
      <c r="D78" s="296" t="s">
        <v>415</v>
      </c>
      <c r="E78" s="113"/>
      <c r="F78" s="113"/>
      <c r="G78" s="113"/>
      <c r="H78" s="113"/>
      <c r="I78" s="96" t="str">
        <f t="shared" si="1"/>
        <v>Faire un relevé sur terrain des rejets vers le Hollebeek, notamment en s’aidant des connaissances dé</v>
      </c>
    </row>
    <row r="79" spans="1:10" ht="25.5" x14ac:dyDescent="0.25">
      <c r="A79" s="113" t="s">
        <v>803</v>
      </c>
      <c r="B79" s="296" t="s">
        <v>1630</v>
      </c>
      <c r="C79" s="113" t="s">
        <v>1831</v>
      </c>
      <c r="D79" s="296" t="s">
        <v>415</v>
      </c>
      <c r="E79" s="113"/>
      <c r="F79" s="113"/>
      <c r="G79" s="113"/>
      <c r="H79" s="113"/>
      <c r="I79" s="96" t="str">
        <f t="shared" si="1"/>
        <v>Faire un relevé sur terrain des rejets vers le Vogelzangbeek, notamment en s’aidant des connaissance</v>
      </c>
    </row>
    <row r="80" spans="1:10" ht="25.5" x14ac:dyDescent="0.25">
      <c r="A80" s="113" t="s">
        <v>804</v>
      </c>
      <c r="B80" s="296" t="s">
        <v>1631</v>
      </c>
      <c r="C80" s="113" t="s">
        <v>1831</v>
      </c>
      <c r="D80" s="296" t="s">
        <v>415</v>
      </c>
      <c r="E80" s="113"/>
      <c r="F80" s="113"/>
      <c r="G80" s="113"/>
      <c r="H80" s="113"/>
      <c r="I80" s="96" t="str">
        <f t="shared" si="1"/>
        <v>Faire un relevé sur terrain des rejets vers le Verrewinkelbeek, notamment en s’aidant des connaissan</v>
      </c>
    </row>
    <row r="81" spans="1:9" ht="25.5" x14ac:dyDescent="0.25">
      <c r="A81" s="113" t="s">
        <v>805</v>
      </c>
      <c r="B81" s="296" t="s">
        <v>1632</v>
      </c>
      <c r="C81" s="113" t="s">
        <v>1832</v>
      </c>
      <c r="D81" s="296" t="s">
        <v>415</v>
      </c>
      <c r="E81" s="113"/>
      <c r="F81" s="113"/>
      <c r="G81" s="113"/>
      <c r="H81" s="113"/>
      <c r="I81" s="96" t="str">
        <f t="shared" si="1"/>
        <v>Mise à jour du relevé sur terrain des rejets vers le Neerpedebeek, notamment en s’aidant des connais</v>
      </c>
    </row>
    <row r="82" spans="1:9" ht="165.75" x14ac:dyDescent="0.25">
      <c r="A82" s="113" t="s">
        <v>806</v>
      </c>
      <c r="B82" s="296" t="s">
        <v>1633</v>
      </c>
      <c r="C82" s="113" t="s">
        <v>1833</v>
      </c>
      <c r="D82" s="296" t="s">
        <v>414</v>
      </c>
      <c r="E82" s="113"/>
      <c r="F82" s="113"/>
      <c r="G82" s="113"/>
      <c r="H82" s="113"/>
      <c r="I82" s="96" t="str">
        <f t="shared" si="1"/>
        <v>Réaliser une enquête, auprès des usagers de toutes les catégories de bateaux/navires empruntant le c</v>
      </c>
    </row>
    <row r="83" spans="1:9" ht="25.5" x14ac:dyDescent="0.25">
      <c r="A83" s="113" t="s">
        <v>807</v>
      </c>
      <c r="B83" s="296" t="s">
        <v>1634</v>
      </c>
      <c r="C83" s="113" t="s">
        <v>1834</v>
      </c>
      <c r="D83" s="296" t="s">
        <v>414</v>
      </c>
      <c r="E83" s="113"/>
      <c r="F83" s="113"/>
      <c r="G83" s="113"/>
      <c r="H83" s="113"/>
      <c r="I83" s="96" t="str">
        <f t="shared" si="1"/>
        <v xml:space="preserve">Compiler les données des points de rejets des bateaux/navires permanents dans la base de données BE </v>
      </c>
    </row>
    <row r="84" spans="1:9" ht="51" x14ac:dyDescent="0.25">
      <c r="A84" s="113" t="s">
        <v>808</v>
      </c>
      <c r="B84" s="296" t="s">
        <v>1635</v>
      </c>
      <c r="C84" s="113" t="s">
        <v>1834</v>
      </c>
      <c r="D84" s="296" t="s">
        <v>414</v>
      </c>
      <c r="E84" s="113"/>
      <c r="F84" s="113"/>
      <c r="G84" s="113"/>
      <c r="H84" s="113"/>
      <c r="I84" s="96" t="str">
        <f t="shared" si="1"/>
        <v>Inventorier le réseau d'écoulement (égouts/réseau séparatif/rejets vers le Canal ou la Senne) sur le</v>
      </c>
    </row>
    <row r="85" spans="1:9" ht="25.5" x14ac:dyDescent="0.25">
      <c r="A85" s="113" t="s">
        <v>810</v>
      </c>
      <c r="B85" s="296" t="s">
        <v>1636</v>
      </c>
      <c r="C85" s="113" t="s">
        <v>1834</v>
      </c>
      <c r="D85" s="296" t="s">
        <v>414</v>
      </c>
      <c r="E85" s="113"/>
      <c r="F85" s="113"/>
      <c r="G85" s="113"/>
      <c r="H85" s="113"/>
      <c r="I85" s="96" t="str">
        <f t="shared" si="1"/>
        <v>Compiler les données relatives au réseau d’écoulement des parcelles privées du domaine portuaire dan</v>
      </c>
    </row>
    <row r="86" spans="1:9" ht="25.5" x14ac:dyDescent="0.25">
      <c r="A86" s="113" t="s">
        <v>811</v>
      </c>
      <c r="B86" s="296" t="s">
        <v>1637</v>
      </c>
      <c r="C86" s="113" t="s">
        <v>1834</v>
      </c>
      <c r="D86" s="296" t="s">
        <v>414</v>
      </c>
      <c r="E86" s="113"/>
      <c r="F86" s="113"/>
      <c r="G86" s="113"/>
      <c r="H86" s="113"/>
      <c r="I86" s="96" t="str">
        <f t="shared" si="1"/>
        <v>Compiler les données du Port relatives aux autorisations de rejet dans le Canal dans la base de donn</v>
      </c>
    </row>
    <row r="87" spans="1:9" ht="38.25" x14ac:dyDescent="0.25">
      <c r="A87" s="113" t="s">
        <v>812</v>
      </c>
      <c r="B87" s="296" t="s">
        <v>1638</v>
      </c>
      <c r="C87" s="113" t="s">
        <v>1835</v>
      </c>
      <c r="D87" s="296" t="s">
        <v>416</v>
      </c>
      <c r="E87" s="113"/>
      <c r="F87" s="113"/>
      <c r="G87" s="113"/>
      <c r="H87" s="113"/>
      <c r="I87" s="96" t="str">
        <f t="shared" si="1"/>
        <v xml:space="preserve">Faire un relevé sur terrain des rejets vers la Woluwe et les étangs de la Woluwe (y compris l’égout </v>
      </c>
    </row>
    <row r="88" spans="1:9" ht="38.25" x14ac:dyDescent="0.25">
      <c r="A88" s="113" t="s">
        <v>813</v>
      </c>
      <c r="B88" s="296" t="s">
        <v>1639</v>
      </c>
      <c r="C88" s="113" t="s">
        <v>1835</v>
      </c>
      <c r="D88" s="296" t="s">
        <v>416</v>
      </c>
      <c r="E88" s="113"/>
      <c r="F88" s="113"/>
      <c r="G88" s="113"/>
      <c r="H88" s="113"/>
      <c r="I88" s="96" t="str">
        <f t="shared" si="1"/>
        <v>Finir les investigations des sources des rejets vers le Zwanewijdebeek qui ont été relevés sur terra</v>
      </c>
    </row>
    <row r="89" spans="1:9" ht="25.5" x14ac:dyDescent="0.25">
      <c r="A89" s="113" t="s">
        <v>821</v>
      </c>
      <c r="B89" s="296" t="s">
        <v>1836</v>
      </c>
      <c r="C89" s="113" t="s">
        <v>1837</v>
      </c>
      <c r="D89" s="299" t="s">
        <v>1290</v>
      </c>
      <c r="E89" s="113"/>
      <c r="F89" s="113"/>
      <c r="G89" s="113"/>
      <c r="H89" s="113"/>
      <c r="I89" s="96" t="str">
        <f t="shared" si="1"/>
        <v>Identifier et prioriser les travaux d’extension et de raccordement au réseau d’égouttage sur base de</v>
      </c>
    </row>
    <row r="90" spans="1:9" ht="38.25" x14ac:dyDescent="0.25">
      <c r="A90" s="113" t="s">
        <v>822</v>
      </c>
      <c r="B90" s="296" t="s">
        <v>1838</v>
      </c>
      <c r="C90" s="113" t="s">
        <v>17</v>
      </c>
      <c r="D90" s="296" t="s">
        <v>414</v>
      </c>
      <c r="E90" s="113"/>
      <c r="F90" s="113"/>
      <c r="G90" s="113"/>
      <c r="H90" s="113"/>
      <c r="I90" s="96" t="str">
        <f t="shared" si="1"/>
        <v>Identifier et prioriser les travaux d’extension et de raccordement au réseau d’égouttage  sur les pa</v>
      </c>
    </row>
    <row r="91" spans="1:9" ht="25.5" x14ac:dyDescent="0.25">
      <c r="A91" s="113" t="s">
        <v>823</v>
      </c>
      <c r="B91" s="296" t="s">
        <v>1839</v>
      </c>
      <c r="C91" s="113" t="s">
        <v>1840</v>
      </c>
      <c r="D91" s="300" t="s">
        <v>1290</v>
      </c>
      <c r="E91" s="113"/>
      <c r="F91" s="113"/>
      <c r="G91" s="113"/>
      <c r="H91" s="113"/>
      <c r="I91" s="96" t="str">
        <f t="shared" si="1"/>
        <v>Sur base de la DB reprenant les rejets directs d’eaux usées dans les cours d’eau (M1.5) procéder, lo</v>
      </c>
    </row>
    <row r="92" spans="1:9" ht="25.5" x14ac:dyDescent="0.25">
      <c r="A92" s="113" t="s">
        <v>824</v>
      </c>
      <c r="B92" s="296" t="s">
        <v>1841</v>
      </c>
      <c r="C92" s="113" t="s">
        <v>1842</v>
      </c>
      <c r="D92" s="300" t="s">
        <v>1290</v>
      </c>
      <c r="E92" s="113"/>
      <c r="F92" s="113"/>
      <c r="G92" s="113"/>
      <c r="H92" s="113"/>
      <c r="I92" s="96" t="str">
        <f t="shared" si="1"/>
        <v>Définir et mettre en place une procédure de « raccordement »  permettant de coordonner les actions d</v>
      </c>
    </row>
    <row r="93" spans="1:9" ht="51" x14ac:dyDescent="0.25">
      <c r="A93" s="113" t="s">
        <v>825</v>
      </c>
      <c r="B93" s="296" t="s">
        <v>1843</v>
      </c>
      <c r="C93" s="113" t="s">
        <v>1844</v>
      </c>
      <c r="D93" s="301" t="s">
        <v>1287</v>
      </c>
      <c r="E93" s="113"/>
      <c r="F93" s="113"/>
      <c r="G93" s="113"/>
      <c r="H93" s="113"/>
      <c r="I93" s="96" t="str">
        <f t="shared" si="1"/>
        <v>Informer les habitants, les entreprises et promoteurs immobiliers (qui déversent actuellement dans l</v>
      </c>
    </row>
    <row r="94" spans="1:9" ht="25.5" x14ac:dyDescent="0.25">
      <c r="A94" s="113" t="s">
        <v>826</v>
      </c>
      <c r="B94" s="296" t="s">
        <v>1845</v>
      </c>
      <c r="C94" s="113" t="s">
        <v>1826</v>
      </c>
      <c r="D94" s="300" t="s">
        <v>1290</v>
      </c>
      <c r="E94" s="113"/>
      <c r="F94" s="113"/>
      <c r="G94" s="113"/>
      <c r="H94" s="113"/>
      <c r="I94" s="96" t="str">
        <f t="shared" si="1"/>
        <v>Actualiser la carte des zones égouttées raccordées aux stations d’épuration dans l’inventaire des ém</v>
      </c>
    </row>
    <row r="95" spans="1:9" ht="25.5" x14ac:dyDescent="0.25">
      <c r="A95" s="113" t="s">
        <v>827</v>
      </c>
      <c r="B95" s="296" t="s">
        <v>1846</v>
      </c>
      <c r="C95" s="113" t="s">
        <v>1842</v>
      </c>
      <c r="D95" s="300" t="s">
        <v>1290</v>
      </c>
      <c r="E95" s="113"/>
      <c r="F95" s="113"/>
      <c r="G95" s="113"/>
      <c r="H95" s="113"/>
      <c r="I95" s="96" t="str">
        <f t="shared" si="1"/>
        <v>Etudier l’opportunité de mettre en place un système de certification des installations privées à l’i</v>
      </c>
    </row>
    <row r="96" spans="1:9" ht="38.25" x14ac:dyDescent="0.25">
      <c r="A96" s="113" t="s">
        <v>828</v>
      </c>
      <c r="B96" s="296" t="s">
        <v>1847</v>
      </c>
      <c r="C96" s="113" t="s">
        <v>1738</v>
      </c>
      <c r="D96" s="300" t="s">
        <v>1290</v>
      </c>
      <c r="E96" s="113"/>
      <c r="F96" s="113"/>
      <c r="G96" s="113"/>
      <c r="H96" s="113"/>
      <c r="I96" s="96" t="str">
        <f t="shared" si="1"/>
        <v>Informer les communes quant à l’obligation d’installation et de contrôle  d’une épuration autonome p</v>
      </c>
    </row>
    <row r="97" spans="1:9" ht="76.5" x14ac:dyDescent="0.25">
      <c r="A97" s="113" t="s">
        <v>829</v>
      </c>
      <c r="B97" s="296" t="s">
        <v>1848</v>
      </c>
      <c r="C97" s="113" t="s">
        <v>1824</v>
      </c>
      <c r="D97" s="300" t="s">
        <v>1290</v>
      </c>
      <c r="E97" s="113"/>
      <c r="F97" s="113"/>
      <c r="G97" s="113"/>
      <c r="H97" s="113"/>
      <c r="I97" s="96" t="str">
        <f t="shared" si="1"/>
        <v>Informer les habitants, entreprises et promoteurs immobiliers de leurs obligations en termes d’insta</v>
      </c>
    </row>
    <row r="98" spans="1:9" x14ac:dyDescent="0.25">
      <c r="A98" s="113" t="s">
        <v>830</v>
      </c>
      <c r="B98" s="296" t="s">
        <v>1849</v>
      </c>
      <c r="C98" s="113" t="s">
        <v>1824</v>
      </c>
      <c r="D98" s="300" t="s">
        <v>1290</v>
      </c>
      <c r="E98" s="113"/>
      <c r="F98" s="113"/>
      <c r="G98" s="113"/>
      <c r="H98" s="113"/>
      <c r="I98" s="96" t="str">
        <f t="shared" si="1"/>
        <v>Assurer le contrôle des systèmes d’épuration individuels</v>
      </c>
    </row>
    <row r="99" spans="1:9" x14ac:dyDescent="0.25">
      <c r="A99" s="113" t="s">
        <v>831</v>
      </c>
      <c r="B99" s="296" t="s">
        <v>1850</v>
      </c>
      <c r="C99" s="113" t="s">
        <v>1738</v>
      </c>
      <c r="D99" s="300" t="s">
        <v>1290</v>
      </c>
      <c r="E99" s="113"/>
      <c r="F99" s="113"/>
      <c r="G99" s="113"/>
      <c r="H99" s="113"/>
      <c r="I99" s="96" t="str">
        <f t="shared" si="1"/>
        <v>Offrir un soutien technique aux communes dans le cadre de la mise en œuvre de cette mesure M1.7</v>
      </c>
    </row>
    <row r="100" spans="1:9" ht="63.75" x14ac:dyDescent="0.25">
      <c r="A100" s="113" t="s">
        <v>832</v>
      </c>
      <c r="B100" s="296" t="s">
        <v>1851</v>
      </c>
      <c r="C100" s="113" t="s">
        <v>1852</v>
      </c>
      <c r="D100" s="301" t="s">
        <v>414</v>
      </c>
      <c r="E100" s="113"/>
      <c r="F100" s="113"/>
      <c r="G100" s="113"/>
      <c r="H100" s="113"/>
      <c r="I100" s="96" t="str">
        <f t="shared" si="1"/>
        <v>Suite à l’étude visée dans la mesure M 1.5, mettre en place les solutions et/ou infrastructures rete</v>
      </c>
    </row>
    <row r="101" spans="1:9" ht="25.5" x14ac:dyDescent="0.25">
      <c r="A101" s="113" t="s">
        <v>833</v>
      </c>
      <c r="B101" s="296" t="s">
        <v>1853</v>
      </c>
      <c r="C101" s="113" t="s">
        <v>1854</v>
      </c>
      <c r="D101" s="300" t="s">
        <v>1290</v>
      </c>
      <c r="E101" s="113"/>
      <c r="F101" s="113"/>
      <c r="G101" s="113"/>
      <c r="H101" s="113"/>
      <c r="I101" s="96" t="str">
        <f t="shared" si="1"/>
        <v>Actualiser la carte des zones non égouttées soumises à épuration autonome dans l’inventaire BE des é</v>
      </c>
    </row>
    <row r="102" spans="1:9" x14ac:dyDescent="0.25">
      <c r="A102" s="113" t="s">
        <v>834</v>
      </c>
      <c r="B102" s="296" t="s">
        <v>1855</v>
      </c>
      <c r="C102" s="113" t="s">
        <v>1856</v>
      </c>
      <c r="D102" s="300" t="s">
        <v>1290</v>
      </c>
      <c r="E102" s="113"/>
      <c r="F102" s="113"/>
      <c r="G102" s="113"/>
      <c r="H102" s="113"/>
      <c r="I102" s="96" t="str">
        <f t="shared" si="1"/>
        <v>Réaliser les plans des déversoirs d’orage principaux sous gestion de Vivaqua</v>
      </c>
    </row>
    <row r="103" spans="1:9" x14ac:dyDescent="0.25">
      <c r="A103" s="113" t="s">
        <v>835</v>
      </c>
      <c r="B103" s="296" t="s">
        <v>1857</v>
      </c>
      <c r="C103" s="113" t="s">
        <v>23</v>
      </c>
      <c r="D103" s="300" t="s">
        <v>1290</v>
      </c>
      <c r="E103" s="113"/>
      <c r="F103" s="113"/>
      <c r="G103" s="113"/>
      <c r="H103" s="113"/>
      <c r="I103" s="96" t="str">
        <f t="shared" si="1"/>
        <v>Réaliser les plans des déversoirs d’orage principaux sous gestion de la SBGE</v>
      </c>
    </row>
    <row r="104" spans="1:9" ht="25.5" x14ac:dyDescent="0.25">
      <c r="A104" s="113" t="s">
        <v>836</v>
      </c>
      <c r="B104" s="296" t="s">
        <v>1858</v>
      </c>
      <c r="C104" s="113" t="s">
        <v>23</v>
      </c>
      <c r="D104" s="300" t="s">
        <v>1290</v>
      </c>
      <c r="E104" s="113"/>
      <c r="F104" s="113"/>
      <c r="G104" s="113"/>
      <c r="H104" s="113"/>
      <c r="I104" s="96" t="str">
        <f t="shared" si="1"/>
        <v>Installer des capteurs de fréquence ou de débit sur les déversoirs principaux et les ajouter à Flowb</v>
      </c>
    </row>
    <row r="105" spans="1:9" x14ac:dyDescent="0.25">
      <c r="A105" s="113" t="s">
        <v>837</v>
      </c>
      <c r="B105" s="296" t="s">
        <v>1859</v>
      </c>
      <c r="C105" s="113" t="s">
        <v>1738</v>
      </c>
      <c r="D105" s="300" t="s">
        <v>1290</v>
      </c>
      <c r="E105" s="113"/>
      <c r="F105" s="113"/>
      <c r="G105" s="113"/>
      <c r="H105" s="113"/>
      <c r="I105" s="96" t="str">
        <f t="shared" si="1"/>
        <v>Calculer les fréquences et débit de déversements</v>
      </c>
    </row>
    <row r="106" spans="1:9" ht="38.25" x14ac:dyDescent="0.25">
      <c r="A106" s="113" t="s">
        <v>838</v>
      </c>
      <c r="B106" s="296" t="s">
        <v>1860</v>
      </c>
      <c r="C106" s="113" t="s">
        <v>1856</v>
      </c>
      <c r="D106" s="301" t="s">
        <v>415</v>
      </c>
      <c r="E106" s="113"/>
      <c r="F106" s="113"/>
      <c r="G106" s="113"/>
      <c r="H106" s="113"/>
      <c r="I106" s="96" t="str">
        <f t="shared" si="1"/>
        <v>Déterminer les niveaux idéaux des seuils de déversements des déversoirs sous gestion de Vivaqua et p</v>
      </c>
    </row>
    <row r="107" spans="1:9" ht="38.25" x14ac:dyDescent="0.25">
      <c r="A107" s="113" t="s">
        <v>839</v>
      </c>
      <c r="B107" s="296" t="s">
        <v>1861</v>
      </c>
      <c r="C107" s="113" t="s">
        <v>23</v>
      </c>
      <c r="D107" s="301" t="s">
        <v>415</v>
      </c>
      <c r="E107" s="113"/>
      <c r="F107" s="113"/>
      <c r="G107" s="113"/>
      <c r="H107" s="113"/>
      <c r="I107" s="96" t="str">
        <f t="shared" si="1"/>
        <v>Déterminer les niveaux idéaux des seuils de déversements des déversoirs sous gestion de SBGE  et pro</v>
      </c>
    </row>
    <row r="108" spans="1:9" ht="25.5" x14ac:dyDescent="0.25">
      <c r="A108" s="113" t="s">
        <v>840</v>
      </c>
      <c r="B108" s="296" t="s">
        <v>1862</v>
      </c>
      <c r="C108" s="113" t="s">
        <v>23</v>
      </c>
      <c r="D108" s="301" t="s">
        <v>415</v>
      </c>
      <c r="E108" s="113"/>
      <c r="F108" s="113"/>
      <c r="G108" s="113"/>
      <c r="H108" s="113"/>
      <c r="I108" s="96" t="str">
        <f t="shared" si="1"/>
        <v>Adaptation des interceptions orifices limitant l’évacuation des flux vers les STEPS  dans le cadre d</v>
      </c>
    </row>
    <row r="109" spans="1:9" ht="51" x14ac:dyDescent="0.25">
      <c r="A109" s="113" t="s">
        <v>841</v>
      </c>
      <c r="B109" s="296" t="s">
        <v>1863</v>
      </c>
      <c r="C109" s="113" t="s">
        <v>1864</v>
      </c>
      <c r="D109" s="301" t="s">
        <v>415</v>
      </c>
      <c r="E109" s="113"/>
      <c r="F109" s="113"/>
      <c r="G109" s="113"/>
      <c r="H109" s="113"/>
      <c r="I109" s="96" t="str">
        <f t="shared" si="1"/>
        <v>Réévaluer l’impact, sur le milieu récepteur, de l’activation des déversoirs après optimisation (en p</v>
      </c>
    </row>
    <row r="110" spans="1:9" ht="25.5" x14ac:dyDescent="0.25">
      <c r="A110" s="113" t="s">
        <v>842</v>
      </c>
      <c r="B110" s="296" t="s">
        <v>1865</v>
      </c>
      <c r="C110" s="113" t="s">
        <v>1856</v>
      </c>
      <c r="D110" s="302" t="s">
        <v>1287</v>
      </c>
      <c r="E110" s="113"/>
      <c r="F110" s="113"/>
      <c r="G110" s="113"/>
      <c r="H110" s="113"/>
      <c r="I110" s="96" t="str">
        <f t="shared" si="1"/>
        <v>Réaménager les déversoirs en "déversoirs améliorés" pour retenir le maximum de charge polluante à l’</v>
      </c>
    </row>
    <row r="111" spans="1:9" x14ac:dyDescent="0.25">
      <c r="A111" s="113" t="s">
        <v>843</v>
      </c>
      <c r="B111" s="296" t="s">
        <v>1866</v>
      </c>
      <c r="C111" s="113" t="s">
        <v>1738</v>
      </c>
      <c r="D111" s="300" t="s">
        <v>1290</v>
      </c>
      <c r="E111" s="113"/>
      <c r="F111" s="113"/>
      <c r="G111" s="113"/>
      <c r="H111" s="113"/>
      <c r="I111" s="96" t="str">
        <f t="shared" si="1"/>
        <v xml:space="preserve">Coordonner les acteurs de l'eau autour de cette thématique </v>
      </c>
    </row>
    <row r="112" spans="1:9" x14ac:dyDescent="0.25">
      <c r="A112" s="113" t="s">
        <v>844</v>
      </c>
      <c r="B112" s="296" t="s">
        <v>1867</v>
      </c>
      <c r="C112" s="113" t="s">
        <v>1868</v>
      </c>
      <c r="D112" s="300" t="s">
        <v>1289</v>
      </c>
      <c r="E112" s="113"/>
      <c r="F112" s="113"/>
      <c r="G112" s="113"/>
      <c r="H112" s="113"/>
      <c r="I112" s="96" t="str">
        <f t="shared" si="1"/>
        <v>Analyser les modifications des règles de fonctionnement des bassins d'orage</v>
      </c>
    </row>
    <row r="113" spans="1:10" x14ac:dyDescent="0.25">
      <c r="A113" s="113" t="s">
        <v>845</v>
      </c>
      <c r="B113" s="296" t="s">
        <v>1869</v>
      </c>
      <c r="C113" s="113" t="s">
        <v>23</v>
      </c>
      <c r="D113" s="300" t="s">
        <v>415</v>
      </c>
      <c r="E113" s="113"/>
      <c r="F113" s="113"/>
      <c r="G113" s="113"/>
      <c r="H113" s="113"/>
      <c r="I113" s="96" t="str">
        <f t="shared" si="1"/>
        <v xml:space="preserve">Procéder à la mise en œuvre d’un projet-pilote dans la vallée du Maelbeek </v>
      </c>
    </row>
    <row r="114" spans="1:10" ht="25.5" x14ac:dyDescent="0.25">
      <c r="A114" s="113" t="s">
        <v>846</v>
      </c>
      <c r="B114" s="296" t="s">
        <v>1870</v>
      </c>
      <c r="C114" s="113" t="s">
        <v>23</v>
      </c>
      <c r="D114" s="301" t="s">
        <v>415</v>
      </c>
      <c r="E114" s="113"/>
      <c r="F114" s="113"/>
      <c r="G114" s="113"/>
      <c r="H114" s="113"/>
      <c r="I114" s="96" t="str">
        <f t="shared" si="1"/>
        <v>Assurer la surveillance et le bon fonctionnement du système mis place (1.9.4), établir un retour d’e</v>
      </c>
    </row>
    <row r="115" spans="1:10" ht="25.5" x14ac:dyDescent="0.25">
      <c r="A115" s="113" t="s">
        <v>847</v>
      </c>
      <c r="B115" s="296" t="s">
        <v>1871</v>
      </c>
      <c r="C115" s="113" t="s">
        <v>41</v>
      </c>
      <c r="D115" s="301" t="s">
        <v>415</v>
      </c>
      <c r="E115" s="113"/>
      <c r="F115" s="113"/>
      <c r="G115" s="113"/>
      <c r="H115" s="113"/>
      <c r="I115" s="96" t="str">
        <f t="shared" si="1"/>
        <v>Etudier et élaborer un système de prévisions du comportement du réseau et une stratégie de régulatio</v>
      </c>
    </row>
    <row r="116" spans="1:10" ht="25.5" x14ac:dyDescent="0.25">
      <c r="A116" s="113" t="s">
        <v>848</v>
      </c>
      <c r="B116" s="296" t="s">
        <v>1872</v>
      </c>
      <c r="C116" s="113" t="s">
        <v>41</v>
      </c>
      <c r="D116" s="301" t="s">
        <v>415</v>
      </c>
      <c r="E116" s="113"/>
      <c r="F116" s="113"/>
      <c r="G116" s="113"/>
      <c r="H116" s="113"/>
      <c r="I116" s="96" t="str">
        <f t="shared" si="1"/>
        <v>Mettre en place des dispositifs de contrôle des débits  (Projet-pilote dans la vallée de la Senne (B</v>
      </c>
    </row>
    <row r="117" spans="1:10" ht="25.5" x14ac:dyDescent="0.25">
      <c r="A117" s="113" t="s">
        <v>849</v>
      </c>
      <c r="B117" s="296" t="s">
        <v>1873</v>
      </c>
      <c r="C117" s="113" t="s">
        <v>41</v>
      </c>
      <c r="D117" s="301" t="s">
        <v>415</v>
      </c>
      <c r="E117" s="113"/>
      <c r="F117" s="113"/>
      <c r="G117" s="113"/>
      <c r="H117" s="113"/>
      <c r="I117" s="96" t="str">
        <f t="shared" si="1"/>
        <v xml:space="preserve">Assurer la surveillance et le bon fonctionnement du système mis en place (1.9.7), établir un retour </v>
      </c>
    </row>
    <row r="118" spans="1:10" ht="25.5" x14ac:dyDescent="0.25">
      <c r="A118" s="113" t="s">
        <v>850</v>
      </c>
      <c r="B118" s="296" t="s">
        <v>1874</v>
      </c>
      <c r="C118" s="113" t="s">
        <v>87</v>
      </c>
      <c r="D118" s="301" t="s">
        <v>1289</v>
      </c>
      <c r="E118" s="113"/>
      <c r="F118" s="113"/>
      <c r="G118" s="113"/>
      <c r="H118" s="113"/>
      <c r="I118" s="96" t="str">
        <f t="shared" si="1"/>
        <v xml:space="preserve">Procéder à la mise en œuvre dans d’autres vallées sur base du retour d’expérience dans la vallée du </v>
      </c>
    </row>
    <row r="119" spans="1:10" ht="25.5" x14ac:dyDescent="0.25">
      <c r="A119" s="113" t="s">
        <v>851</v>
      </c>
      <c r="B119" s="296" t="s">
        <v>2795</v>
      </c>
      <c r="C119" s="113" t="s">
        <v>87</v>
      </c>
      <c r="D119" s="300" t="s">
        <v>1290</v>
      </c>
      <c r="E119" s="113"/>
      <c r="F119" s="113"/>
      <c r="G119" s="113"/>
      <c r="H119" s="113"/>
      <c r="I119" s="96" t="str">
        <f t="shared" si="1"/>
        <v xml:space="preserve">Etudier le fonctionnement des réseaux et leurs interactions, par le biais d’actions de modélisation </v>
      </c>
      <c r="J119" t="s">
        <v>102</v>
      </c>
    </row>
    <row r="120" spans="1:10" ht="25.5" x14ac:dyDescent="0.25">
      <c r="A120" s="113" t="s">
        <v>650</v>
      </c>
      <c r="B120" s="296" t="s">
        <v>1875</v>
      </c>
      <c r="C120" s="113" t="s">
        <v>41</v>
      </c>
      <c r="D120" s="301" t="s">
        <v>415</v>
      </c>
      <c r="E120" s="113"/>
      <c r="F120" s="113"/>
      <c r="G120" s="113"/>
      <c r="H120" s="113"/>
      <c r="I120" s="96" t="str">
        <f t="shared" si="1"/>
        <v>Pour les 4 points de rejets identifiés, procéder à la finalisation des études, à l’obtention des aut</v>
      </c>
    </row>
    <row r="121" spans="1:10" ht="25.5" x14ac:dyDescent="0.25">
      <c r="A121" s="113" t="s">
        <v>651</v>
      </c>
      <c r="B121" s="296" t="s">
        <v>1876</v>
      </c>
      <c r="C121" s="113" t="s">
        <v>1738</v>
      </c>
      <c r="D121" s="301" t="s">
        <v>1287</v>
      </c>
      <c r="E121" s="113"/>
      <c r="F121" s="113"/>
      <c r="G121" s="113"/>
      <c r="H121" s="113"/>
      <c r="I121" s="96" t="str">
        <f t="shared" si="1"/>
        <v xml:space="preserve"> Identifier d’autres chainons manquants du réseau d’assainissement public (« égouts orphelins ») sur</v>
      </c>
    </row>
    <row r="122" spans="1:10" ht="25.5" x14ac:dyDescent="0.25">
      <c r="A122" s="113" t="s">
        <v>652</v>
      </c>
      <c r="B122" s="296" t="s">
        <v>1877</v>
      </c>
      <c r="C122" s="113" t="s">
        <v>41</v>
      </c>
      <c r="D122" s="301" t="s">
        <v>1287</v>
      </c>
      <c r="E122" s="113"/>
      <c r="F122" s="113"/>
      <c r="G122" s="113"/>
      <c r="H122" s="113"/>
      <c r="I122" s="96" t="str">
        <f t="shared" si="1"/>
        <v>Procéder aux études et travaux de raccordement  aux réseaux d’égouttage connectés aux STEPs d’autres</v>
      </c>
    </row>
    <row r="123" spans="1:10" ht="25.5" x14ac:dyDescent="0.25">
      <c r="A123" s="113" t="s">
        <v>653</v>
      </c>
      <c r="B123" s="296" t="s">
        <v>1878</v>
      </c>
      <c r="C123" s="113" t="s">
        <v>1879</v>
      </c>
      <c r="D123" s="300" t="s">
        <v>1290</v>
      </c>
      <c r="E123" s="113"/>
      <c r="F123" s="113"/>
      <c r="G123" s="113"/>
      <c r="H123" s="113"/>
      <c r="I123" s="96" t="str">
        <f t="shared" si="1"/>
        <v>Actualiser la carte des zones égouttées, mais non raccordées aux stations d’épuration dans l’inventa</v>
      </c>
    </row>
    <row r="124" spans="1:10" ht="38.25" x14ac:dyDescent="0.25">
      <c r="A124" s="113" t="s">
        <v>654</v>
      </c>
      <c r="B124" s="296" t="s">
        <v>1880</v>
      </c>
      <c r="C124" s="113" t="s">
        <v>1881</v>
      </c>
      <c r="D124" s="301" t="s">
        <v>414</v>
      </c>
      <c r="E124" s="113"/>
      <c r="F124" s="113"/>
      <c r="G124" s="113"/>
      <c r="H124" s="113"/>
      <c r="I124" s="96" t="str">
        <f t="shared" si="1"/>
        <v>Poursuivre le nettoyage régulier des macro-déchets flottants du Canal au moyen des bateaux et des li</v>
      </c>
    </row>
    <row r="125" spans="1:10" ht="25.5" x14ac:dyDescent="0.25">
      <c r="A125" s="113" t="s">
        <v>657</v>
      </c>
      <c r="B125" s="296" t="s">
        <v>1882</v>
      </c>
      <c r="C125" s="113" t="s">
        <v>1883</v>
      </c>
      <c r="D125" s="301" t="s">
        <v>414</v>
      </c>
      <c r="E125" s="113"/>
      <c r="F125" s="113"/>
      <c r="G125" s="113"/>
      <c r="H125" s="113"/>
      <c r="I125" s="96" t="str">
        <f t="shared" si="1"/>
        <v>Identifier les zones d’accumulation de macro-déchets flottants dans le Canal, et des conditions et v</v>
      </c>
    </row>
    <row r="126" spans="1:10" ht="38.25" x14ac:dyDescent="0.25">
      <c r="A126" s="113" t="s">
        <v>658</v>
      </c>
      <c r="B126" s="296" t="s">
        <v>1884</v>
      </c>
      <c r="C126" s="113" t="s">
        <v>1885</v>
      </c>
      <c r="D126" s="301" t="s">
        <v>414</v>
      </c>
      <c r="E126" s="113"/>
      <c r="F126" s="113"/>
      <c r="G126" s="113"/>
      <c r="H126" s="113"/>
      <c r="I126" s="96" t="str">
        <f t="shared" si="1"/>
        <v>Réaliser une étude sur la gestion actuelle des macro-déchets flottants dans le Canal (évaluation sur</v>
      </c>
    </row>
    <row r="127" spans="1:10" ht="38.25" x14ac:dyDescent="0.25">
      <c r="A127" s="113" t="s">
        <v>659</v>
      </c>
      <c r="B127" s="296" t="s">
        <v>1886</v>
      </c>
      <c r="C127" s="113" t="s">
        <v>1885</v>
      </c>
      <c r="D127" s="301" t="s">
        <v>414</v>
      </c>
      <c r="E127" s="113"/>
      <c r="F127" s="113"/>
      <c r="G127" s="113"/>
      <c r="H127" s="113"/>
      <c r="I127" s="96" t="str">
        <f t="shared" si="1"/>
        <v>Installer de nouveaux dispositifs de capture des macro-déchets flottants au niveau du Canal et mettr</v>
      </c>
    </row>
    <row r="128" spans="1:10" x14ac:dyDescent="0.25">
      <c r="A128" s="113" t="s">
        <v>660</v>
      </c>
      <c r="B128" s="296" t="s">
        <v>1887</v>
      </c>
      <c r="C128" s="113" t="s">
        <v>1888</v>
      </c>
      <c r="D128" s="301" t="s">
        <v>414</v>
      </c>
      <c r="E128" s="113"/>
      <c r="F128" s="113"/>
      <c r="G128" s="113"/>
      <c r="H128" s="113"/>
      <c r="I128" s="96" t="str">
        <f t="shared" si="1"/>
        <v>Faire l’acquisition d’un troisième bateau de ramassage de déchets</v>
      </c>
    </row>
    <row r="129" spans="1:9" x14ac:dyDescent="0.25">
      <c r="A129" s="113" t="s">
        <v>661</v>
      </c>
      <c r="B129" s="296" t="s">
        <v>1889</v>
      </c>
      <c r="C129" s="113" t="s">
        <v>1888</v>
      </c>
      <c r="D129" s="301" t="s">
        <v>414</v>
      </c>
      <c r="E129" s="113"/>
      <c r="F129" s="113"/>
      <c r="G129" s="113"/>
      <c r="H129" s="113"/>
      <c r="I129" s="96" t="str">
        <f t="shared" si="1"/>
        <v>Créer un pool de nettoyage à l’écluse d’Anderlecht</v>
      </c>
    </row>
    <row r="130" spans="1:9" x14ac:dyDescent="0.25">
      <c r="A130" s="113" t="s">
        <v>662</v>
      </c>
      <c r="B130" s="296" t="s">
        <v>1890</v>
      </c>
      <c r="C130" s="113" t="s">
        <v>1738</v>
      </c>
      <c r="D130" s="301" t="s">
        <v>414</v>
      </c>
      <c r="E130" s="113"/>
      <c r="F130" s="113"/>
      <c r="G130" s="113"/>
      <c r="H130" s="113"/>
      <c r="I130" s="96" t="str">
        <f t="shared" ref="I130:I216" si="2">LEFT(B130,100)</f>
        <v>Assurer le dégrillage des eaux du Neerpedebeek en amont de sa confluence avec le Canal</v>
      </c>
    </row>
    <row r="131" spans="1:9" x14ac:dyDescent="0.25">
      <c r="A131" s="113" t="s">
        <v>665</v>
      </c>
      <c r="B131" s="296" t="s">
        <v>2796</v>
      </c>
      <c r="C131" s="113" t="s">
        <v>1738</v>
      </c>
      <c r="D131" s="301" t="s">
        <v>415</v>
      </c>
      <c r="E131" s="113"/>
      <c r="F131" s="113"/>
      <c r="G131" s="113"/>
      <c r="H131" s="113"/>
      <c r="I131" s="96" t="str">
        <f t="shared" si="2"/>
        <v>Etudier la possibilité de reconnecter le Neerpedebeek à la Senne via un siphon existant (cf. M 1.27)</v>
      </c>
    </row>
    <row r="132" spans="1:9" ht="38.25" x14ac:dyDescent="0.25">
      <c r="A132" s="113" t="s">
        <v>663</v>
      </c>
      <c r="B132" s="296" t="s">
        <v>1891</v>
      </c>
      <c r="C132" s="113" t="s">
        <v>1892</v>
      </c>
      <c r="D132" s="301" t="s">
        <v>1287</v>
      </c>
      <c r="E132" s="113"/>
      <c r="F132" s="113"/>
      <c r="G132" s="113"/>
      <c r="H132" s="113"/>
      <c r="I132" s="96" t="str">
        <f t="shared" si="2"/>
        <v>Etudier les meilleures solutions de rétention ou de collecte des macro-déchets flottants au niveau d</v>
      </c>
    </row>
    <row r="133" spans="1:9" ht="38.25" x14ac:dyDescent="0.25">
      <c r="A133" s="113" t="s">
        <v>664</v>
      </c>
      <c r="B133" s="296" t="s">
        <v>1893</v>
      </c>
      <c r="C133" s="113" t="s">
        <v>1892</v>
      </c>
      <c r="D133" s="301" t="s">
        <v>1287</v>
      </c>
      <c r="E133" s="113"/>
      <c r="F133" s="113"/>
      <c r="G133" s="113"/>
      <c r="H133" s="113"/>
      <c r="I133" s="96" t="str">
        <f t="shared" si="2"/>
        <v>Équiper les déversoirs des dispositifs retenus (lien vers la mesure M 1.8)</v>
      </c>
    </row>
    <row r="134" spans="1:9" x14ac:dyDescent="0.25">
      <c r="A134" s="113" t="s">
        <v>655</v>
      </c>
      <c r="B134" s="296" t="s">
        <v>1894</v>
      </c>
      <c r="C134" s="113" t="s">
        <v>41</v>
      </c>
      <c r="D134" s="301" t="s">
        <v>415</v>
      </c>
      <c r="E134" s="113"/>
      <c r="F134" s="113"/>
      <c r="G134" s="113"/>
      <c r="H134" s="113"/>
      <c r="I134" s="96" t="str">
        <f t="shared" si="2"/>
        <v>Entretenir le système de dégrillage de la Senne au niveau de la rue des Vétérinaires à Anderlecht</v>
      </c>
    </row>
    <row r="135" spans="1:9" ht="25.5" x14ac:dyDescent="0.25">
      <c r="A135" s="113" t="s">
        <v>656</v>
      </c>
      <c r="B135" s="296" t="s">
        <v>1895</v>
      </c>
      <c r="C135" s="113" t="s">
        <v>1896</v>
      </c>
      <c r="D135" s="301" t="s">
        <v>415</v>
      </c>
      <c r="E135" s="113"/>
      <c r="F135" s="113"/>
      <c r="G135" s="113"/>
      <c r="H135" s="113"/>
      <c r="I135" s="96" t="str">
        <f t="shared" si="2"/>
        <v>Etudier et expérimenter la mise en place de systèmes de rétention des macro-déchets flottants sur le</v>
      </c>
    </row>
    <row r="136" spans="1:9" ht="25.5" x14ac:dyDescent="0.25">
      <c r="A136" s="113" t="s">
        <v>666</v>
      </c>
      <c r="B136" s="296" t="s">
        <v>1498</v>
      </c>
      <c r="C136" s="113"/>
      <c r="D136" s="301" t="s">
        <v>415</v>
      </c>
      <c r="E136" s="113"/>
      <c r="F136" s="113"/>
      <c r="G136" s="113"/>
      <c r="H136" s="113"/>
      <c r="I136" s="96" t="str">
        <f t="shared" si="2"/>
        <v xml:space="preserve">Installer un système de dégrillage en aval de la Senne (au niveau de la STEP Nord) pour diminuer la </v>
      </c>
    </row>
    <row r="137" spans="1:9" ht="25.5" x14ac:dyDescent="0.25">
      <c r="A137" s="113" t="s">
        <v>667</v>
      </c>
      <c r="B137" s="296" t="s">
        <v>1897</v>
      </c>
      <c r="C137" s="113" t="s">
        <v>1898</v>
      </c>
      <c r="D137" s="301" t="s">
        <v>1290</v>
      </c>
      <c r="E137" s="113"/>
      <c r="F137" s="113"/>
      <c r="G137" s="113"/>
      <c r="H137" s="113"/>
      <c r="I137" s="96" t="str">
        <f t="shared" si="2"/>
        <v>Continuer la sensibilisation des citoyens pour limiter l’abandon des déchets (cf. M 1.25)</v>
      </c>
    </row>
    <row r="138" spans="1:9" ht="38.25" x14ac:dyDescent="0.25">
      <c r="A138" s="113" t="s">
        <v>1707</v>
      </c>
      <c r="B138" s="296" t="s">
        <v>1899</v>
      </c>
      <c r="C138" s="113" t="s">
        <v>1900</v>
      </c>
      <c r="D138" s="4" t="s">
        <v>415</v>
      </c>
      <c r="E138" s="303" t="s">
        <v>1901</v>
      </c>
      <c r="F138" s="113"/>
      <c r="G138" s="113"/>
      <c r="H138" s="113"/>
      <c r="I138" s="96" t="str">
        <f t="shared" si="2"/>
        <v xml:space="preserve">Mener une campagne de mesures pour déterminer de manière précise les rendements épuratoires actuels </v>
      </c>
    </row>
    <row r="139" spans="1:9" ht="51" x14ac:dyDescent="0.25">
      <c r="A139" s="113" t="s">
        <v>668</v>
      </c>
      <c r="B139" s="296" t="s">
        <v>1902</v>
      </c>
      <c r="C139" s="113" t="s">
        <v>1900</v>
      </c>
      <c r="D139" s="301" t="s">
        <v>415</v>
      </c>
      <c r="E139" s="113"/>
      <c r="F139" s="113"/>
      <c r="G139" s="113"/>
      <c r="H139" s="113"/>
      <c r="I139" s="96" t="str">
        <f t="shared" si="2"/>
        <v xml:space="preserve">Etablir une liste de paramètres à étudier sur base de leur caractère problématique pour les eaux de </v>
      </c>
    </row>
    <row r="140" spans="1:9" ht="89.25" x14ac:dyDescent="0.25">
      <c r="A140" s="113" t="s">
        <v>669</v>
      </c>
      <c r="B140" s="296" t="s">
        <v>1903</v>
      </c>
      <c r="C140" s="113" t="s">
        <v>1904</v>
      </c>
      <c r="D140" s="301" t="s">
        <v>415</v>
      </c>
      <c r="E140" s="113"/>
      <c r="F140" s="113"/>
      <c r="G140" s="113"/>
      <c r="H140" s="113"/>
      <c r="I140" s="96" t="str">
        <f t="shared" si="2"/>
        <v>Réaliser une étude indépendante de faisabilité de l’amélioration du rendement épuratoire des STEPs B</v>
      </c>
    </row>
    <row r="141" spans="1:9" ht="38.25" x14ac:dyDescent="0.25">
      <c r="A141" s="113" t="s">
        <v>670</v>
      </c>
      <c r="B141" s="296" t="s">
        <v>1905</v>
      </c>
      <c r="C141" s="113" t="s">
        <v>1906</v>
      </c>
      <c r="D141" s="301" t="s">
        <v>415</v>
      </c>
      <c r="E141" s="113"/>
      <c r="F141" s="113"/>
      <c r="G141" s="113"/>
      <c r="H141" s="113"/>
      <c r="I141" s="96" t="str">
        <f t="shared" si="2"/>
        <v>Evaluer l’impact de la mise en œuvre des solutions proposées sur le prix de l’eau</v>
      </c>
    </row>
    <row r="142" spans="1:9" x14ac:dyDescent="0.25">
      <c r="A142" s="113" t="s">
        <v>671</v>
      </c>
      <c r="B142" s="296" t="s">
        <v>1907</v>
      </c>
      <c r="C142" s="113" t="s">
        <v>1689</v>
      </c>
      <c r="D142" s="301" t="s">
        <v>415</v>
      </c>
      <c r="E142" s="113"/>
      <c r="F142" s="113"/>
      <c r="G142" s="113"/>
      <c r="H142" s="113"/>
      <c r="I142" s="96" t="str">
        <f t="shared" si="2"/>
        <v>Etude de définition de détails et rédaction du cahier des charges des travaux</v>
      </c>
    </row>
    <row r="143" spans="1:9" x14ac:dyDescent="0.25">
      <c r="A143" s="113" t="s">
        <v>672</v>
      </c>
      <c r="B143" s="296" t="s">
        <v>1908</v>
      </c>
      <c r="C143" s="113" t="s">
        <v>1689</v>
      </c>
      <c r="D143" s="301" t="s">
        <v>415</v>
      </c>
      <c r="E143" s="113"/>
      <c r="F143" s="113"/>
      <c r="G143" s="113"/>
      <c r="H143" s="113"/>
      <c r="I143" s="96" t="str">
        <f t="shared" si="2"/>
        <v>Procédure d’obtention des permis d’environnement et d’urbanisme associés au projet</v>
      </c>
    </row>
    <row r="144" spans="1:9" x14ac:dyDescent="0.25">
      <c r="A144" s="113" t="s">
        <v>673</v>
      </c>
      <c r="B144" s="296" t="s">
        <v>1909</v>
      </c>
      <c r="C144" s="113" t="s">
        <v>1689</v>
      </c>
      <c r="D144" s="301" t="s">
        <v>415</v>
      </c>
      <c r="E144" s="113"/>
      <c r="F144" s="113"/>
      <c r="G144" s="113"/>
      <c r="H144" s="113"/>
      <c r="I144" s="96" t="str">
        <f t="shared" si="2"/>
        <v>Attribution du marché de travaux</v>
      </c>
    </row>
    <row r="145" spans="1:9" x14ac:dyDescent="0.25">
      <c r="A145" s="113" t="s">
        <v>674</v>
      </c>
      <c r="B145" s="296" t="s">
        <v>1910</v>
      </c>
      <c r="C145" s="113" t="s">
        <v>1689</v>
      </c>
      <c r="D145" s="301" t="s">
        <v>415</v>
      </c>
      <c r="E145" s="113"/>
      <c r="F145" s="113"/>
      <c r="G145" s="113"/>
      <c r="H145" s="113"/>
      <c r="I145" s="96" t="str">
        <f t="shared" si="2"/>
        <v>Réalisation des travaux sur l’usine en fonctionnement</v>
      </c>
    </row>
    <row r="146" spans="1:9" ht="25.5" x14ac:dyDescent="0.25">
      <c r="A146" s="113" t="s">
        <v>2572</v>
      </c>
      <c r="B146" s="296" t="s">
        <v>2573</v>
      </c>
      <c r="C146" s="113" t="s">
        <v>1738</v>
      </c>
      <c r="D146" s="113" t="s">
        <v>1689</v>
      </c>
      <c r="E146" s="113"/>
      <c r="F146" s="113"/>
      <c r="G146" s="113"/>
      <c r="H146" s="113"/>
      <c r="I146" s="96"/>
    </row>
    <row r="147" spans="1:9" ht="38.25" x14ac:dyDescent="0.25">
      <c r="A147" s="113" t="s">
        <v>2574</v>
      </c>
      <c r="B147" s="296" t="s">
        <v>2575</v>
      </c>
      <c r="C147" s="113" t="s">
        <v>1738</v>
      </c>
      <c r="D147" s="113" t="s">
        <v>1689</v>
      </c>
      <c r="E147" s="113"/>
      <c r="F147" s="113"/>
      <c r="G147" s="113"/>
      <c r="H147" s="113"/>
      <c r="I147" s="96"/>
    </row>
    <row r="148" spans="1:9" ht="38.25" x14ac:dyDescent="0.25">
      <c r="A148" s="113" t="s">
        <v>2576</v>
      </c>
      <c r="B148" s="296" t="s">
        <v>2577</v>
      </c>
      <c r="C148" s="113" t="s">
        <v>1738</v>
      </c>
      <c r="D148" s="113" t="s">
        <v>1689</v>
      </c>
      <c r="E148" s="113"/>
      <c r="F148" s="113"/>
      <c r="G148" s="113"/>
      <c r="H148" s="113"/>
      <c r="I148" s="96"/>
    </row>
    <row r="149" spans="1:9" ht="38.25" x14ac:dyDescent="0.25">
      <c r="A149" s="113" t="s">
        <v>2578</v>
      </c>
      <c r="B149" s="296" t="s">
        <v>2579</v>
      </c>
      <c r="C149" s="113" t="s">
        <v>1738</v>
      </c>
      <c r="D149" s="113" t="s">
        <v>1689</v>
      </c>
      <c r="E149" s="113"/>
      <c r="F149" s="113"/>
      <c r="G149" s="113"/>
      <c r="H149" s="113"/>
      <c r="I149" s="96"/>
    </row>
    <row r="150" spans="1:9" ht="38.25" x14ac:dyDescent="0.25">
      <c r="A150" s="113" t="s">
        <v>2580</v>
      </c>
      <c r="B150" s="296" t="s">
        <v>2581</v>
      </c>
      <c r="C150" s="113" t="s">
        <v>1738</v>
      </c>
      <c r="D150" s="113" t="s">
        <v>1689</v>
      </c>
      <c r="E150" s="113"/>
      <c r="F150" s="113"/>
      <c r="G150" s="113"/>
      <c r="H150" s="113"/>
      <c r="I150" s="96"/>
    </row>
    <row r="151" spans="1:9" ht="25.5" x14ac:dyDescent="0.25">
      <c r="A151" s="113" t="s">
        <v>675</v>
      </c>
      <c r="B151" s="296" t="s">
        <v>1911</v>
      </c>
      <c r="C151" s="113" t="s">
        <v>1912</v>
      </c>
      <c r="D151" s="301" t="s">
        <v>1290</v>
      </c>
      <c r="E151" s="113"/>
      <c r="F151" s="113"/>
      <c r="G151" s="113"/>
      <c r="H151" s="113"/>
      <c r="I151" s="96" t="str">
        <f t="shared" si="2"/>
        <v>Identifier les entreprises qui rejettent directement des eaux non domestiques dans les eaux de surfa</v>
      </c>
    </row>
    <row r="152" spans="1:9" ht="25.5" x14ac:dyDescent="0.25">
      <c r="A152" s="113" t="s">
        <v>678</v>
      </c>
      <c r="B152" s="296" t="s">
        <v>1913</v>
      </c>
      <c r="C152" s="113" t="s">
        <v>1914</v>
      </c>
      <c r="D152" s="301" t="s">
        <v>1290</v>
      </c>
      <c r="E152" s="113"/>
      <c r="F152" s="113"/>
      <c r="G152" s="113"/>
      <c r="H152" s="113"/>
      <c r="I152" s="96" t="str">
        <f t="shared" si="2"/>
        <v>Sur base des résultats de l’analyse de secteurs (mesure 1.13.2), sélection des secteurs les plus pro</v>
      </c>
    </row>
    <row r="153" spans="1:9" ht="38.25" x14ac:dyDescent="0.25">
      <c r="A153" s="113" t="s">
        <v>676</v>
      </c>
      <c r="B153" s="296" t="s">
        <v>1915</v>
      </c>
      <c r="C153" s="113" t="s">
        <v>1912</v>
      </c>
      <c r="D153" s="301" t="s">
        <v>1290</v>
      </c>
      <c r="E153" s="113"/>
      <c r="F153" s="113"/>
      <c r="G153" s="113"/>
      <c r="H153" s="113"/>
      <c r="I153" s="96" t="str">
        <f t="shared" si="2"/>
        <v>Recenser, dans la base de données des permis d’environnement, les installations classées dont les re</v>
      </c>
    </row>
    <row r="154" spans="1:9" ht="25.5" x14ac:dyDescent="0.25">
      <c r="A154" s="113" t="s">
        <v>677</v>
      </c>
      <c r="B154" s="296" t="s">
        <v>1916</v>
      </c>
      <c r="C154" s="113" t="s">
        <v>1917</v>
      </c>
      <c r="D154" s="301" t="s">
        <v>1290</v>
      </c>
      <c r="E154" s="113"/>
      <c r="F154" s="113"/>
      <c r="G154" s="113"/>
      <c r="H154" s="113"/>
      <c r="I154" s="96" t="str">
        <f t="shared" si="2"/>
        <v>Etablissement d’un programme d’inspection spécifique pour ces installations classées en tenant compt</v>
      </c>
    </row>
    <row r="155" spans="1:9" ht="114.75" x14ac:dyDescent="0.25">
      <c r="A155" s="113" t="s">
        <v>2797</v>
      </c>
      <c r="B155" s="296" t="s">
        <v>2798</v>
      </c>
      <c r="C155" s="113" t="s">
        <v>1738</v>
      </c>
      <c r="D155" s="301" t="s">
        <v>1689</v>
      </c>
      <c r="E155" s="113"/>
      <c r="F155" s="113"/>
      <c r="G155" s="113"/>
      <c r="H155" s="113"/>
      <c r="I155" s="96" t="str">
        <f t="shared" si="2"/>
        <v>Dans le cadre de REACH : 
• Mise en œuvre de la législation REACH : Contrôle et encadrement de l’uti</v>
      </c>
    </row>
    <row r="156" spans="1:9" ht="51" x14ac:dyDescent="0.25">
      <c r="A156" s="113" t="s">
        <v>2799</v>
      </c>
      <c r="B156" s="296" t="s">
        <v>2800</v>
      </c>
      <c r="C156" s="113" t="s">
        <v>1738</v>
      </c>
      <c r="D156" s="301" t="s">
        <v>1689</v>
      </c>
      <c r="E156" s="113"/>
      <c r="F156" s="113"/>
      <c r="G156" s="113"/>
      <c r="H156" s="113"/>
      <c r="I156" s="96" t="str">
        <f t="shared" si="2"/>
        <v>Dans le cadre du NAPED : 
• Mise en œuvre des mesures du NAPED qui sont du ressort de la Région (lor</v>
      </c>
    </row>
    <row r="157" spans="1:9" ht="114.75" x14ac:dyDescent="0.25">
      <c r="A157" s="113" t="s">
        <v>2801</v>
      </c>
      <c r="B157" s="296" t="s">
        <v>2802</v>
      </c>
      <c r="C157" s="113" t="s">
        <v>1738</v>
      </c>
      <c r="D157" s="301" t="s">
        <v>1689</v>
      </c>
      <c r="E157" s="113"/>
      <c r="F157" s="113"/>
      <c r="G157" s="113"/>
      <c r="H157" s="113"/>
      <c r="I157" s="96" t="str">
        <f t="shared" si="2"/>
        <v xml:space="preserve">Dans le cadre de la Convention de Stockholm et du règlement UE en matière de POP et du NIP belge : 
</v>
      </c>
    </row>
    <row r="158" spans="1:9" ht="38.25" x14ac:dyDescent="0.25">
      <c r="A158" s="113" t="s">
        <v>2803</v>
      </c>
      <c r="B158" s="296" t="s">
        <v>2804</v>
      </c>
      <c r="C158" s="113" t="s">
        <v>1738</v>
      </c>
      <c r="D158" s="301" t="s">
        <v>1689</v>
      </c>
      <c r="E158" s="113"/>
      <c r="F158" s="113"/>
      <c r="G158" s="113"/>
      <c r="H158" s="113"/>
      <c r="I158" s="96" t="str">
        <f t="shared" si="2"/>
        <v xml:space="preserve">Dans le cadre du NAP-AMR : 
• Mise en œuvre des mesures du NAP-AMR. 
</v>
      </c>
    </row>
    <row r="159" spans="1:9" ht="153" x14ac:dyDescent="0.25">
      <c r="A159" s="113" t="s">
        <v>2805</v>
      </c>
      <c r="B159" s="296" t="s">
        <v>2806</v>
      </c>
      <c r="C159" s="113" t="s">
        <v>1738</v>
      </c>
      <c r="D159" s="301" t="s">
        <v>1689</v>
      </c>
      <c r="E159" s="113"/>
      <c r="F159" s="113"/>
      <c r="G159" s="113"/>
      <c r="H159" s="113"/>
      <c r="I159" s="96" t="str">
        <f t="shared" si="2"/>
        <v xml:space="preserve">Dans le cadre du PRRP et du NAPAN : 
• Mise en œuvre des mesures du PRRP et NAPAN (cf. aussi M 3.6)
</v>
      </c>
    </row>
    <row r="160" spans="1:9" ht="63.75" x14ac:dyDescent="0.25">
      <c r="A160" s="113" t="s">
        <v>2807</v>
      </c>
      <c r="B160" s="296" t="s">
        <v>2808</v>
      </c>
      <c r="C160" s="113" t="s">
        <v>1738</v>
      </c>
      <c r="D160" s="301" t="s">
        <v>1689</v>
      </c>
      <c r="E160" s="113"/>
      <c r="F160" s="113"/>
      <c r="G160" s="113"/>
      <c r="H160" s="113"/>
      <c r="I160" s="96" t="str">
        <f t="shared" si="2"/>
        <v>Dans le cadre du PRRP et du NAPAN : 
• Géolocaliser les données d’utilisation des pesticides 
• Anal</v>
      </c>
    </row>
    <row r="161" spans="1:9" ht="165.75" x14ac:dyDescent="0.25">
      <c r="A161" s="113" t="s">
        <v>2809</v>
      </c>
      <c r="B161" s="296" t="s">
        <v>2810</v>
      </c>
      <c r="C161" s="113" t="s">
        <v>1738</v>
      </c>
      <c r="D161" s="301" t="s">
        <v>1689</v>
      </c>
      <c r="E161" s="113"/>
      <c r="F161" s="113"/>
      <c r="G161" s="113"/>
      <c r="H161" s="113"/>
      <c r="I161" s="96" t="str">
        <f t="shared" si="2"/>
        <v xml:space="preserve">Dans le cadre du PRRP et du NAPAN : 
• Analyser des données scientifiques récentes sur l’efficacité </v>
      </c>
    </row>
    <row r="162" spans="1:9" ht="127.5" x14ac:dyDescent="0.25">
      <c r="A162" s="113" t="s">
        <v>2811</v>
      </c>
      <c r="B162" s="296" t="s">
        <v>2812</v>
      </c>
      <c r="C162" s="113" t="s">
        <v>1738</v>
      </c>
      <c r="D162" s="301" t="s">
        <v>1689</v>
      </c>
      <c r="E162" s="113"/>
      <c r="F162" s="113"/>
      <c r="G162" s="113"/>
      <c r="H162" s="113"/>
      <c r="I162" s="96" t="str">
        <f t="shared" si="2"/>
        <v>Dans le cadre du Plan Climat Energie bruxellois:
• Faire le suivi de la mise en œuvre quant à l’impa</v>
      </c>
    </row>
    <row r="163" spans="1:9" ht="63.75" x14ac:dyDescent="0.25">
      <c r="A163" s="113" t="s">
        <v>2813</v>
      </c>
      <c r="B163" s="296" t="s">
        <v>2814</v>
      </c>
      <c r="C163" s="113" t="s">
        <v>1738</v>
      </c>
      <c r="D163" s="301" t="s">
        <v>1689</v>
      </c>
      <c r="E163" s="113"/>
      <c r="F163" s="113"/>
      <c r="G163" s="113"/>
      <c r="H163" s="113"/>
      <c r="I163" s="96" t="str">
        <f t="shared" si="2"/>
        <v>Dans le cadre du règlement UE sur le mercure
Si à ce jour, aucune activité industrielle présente sur</v>
      </c>
    </row>
    <row r="164" spans="1:9" ht="38.25" x14ac:dyDescent="0.25">
      <c r="A164" s="113" t="s">
        <v>679</v>
      </c>
      <c r="B164" s="296" t="s">
        <v>1918</v>
      </c>
      <c r="C164" s="113" t="s">
        <v>1919</v>
      </c>
      <c r="D164" s="301" t="s">
        <v>415</v>
      </c>
      <c r="E164" s="113"/>
      <c r="F164" s="113"/>
      <c r="G164" s="113"/>
      <c r="H164" s="113"/>
      <c r="I164" s="96" t="str">
        <f t="shared" si="2"/>
        <v>Mener une étude des sédiments présents sur les 2 tronçons de la Senne qui n’ont pas encore été curés</v>
      </c>
    </row>
    <row r="165" spans="1:9" x14ac:dyDescent="0.25">
      <c r="A165" s="113" t="s">
        <v>680</v>
      </c>
      <c r="B165" s="296" t="s">
        <v>1920</v>
      </c>
      <c r="C165" s="113" t="s">
        <v>1738</v>
      </c>
      <c r="D165" s="301" t="s">
        <v>415</v>
      </c>
      <c r="E165" s="113"/>
      <c r="F165" s="113"/>
      <c r="G165" s="113"/>
      <c r="H165" s="113"/>
      <c r="I165" s="96" t="str">
        <f t="shared" si="2"/>
        <v>Curer le tronçon ‘Aquiris’ et éliminer les boues polluées (Senne)</v>
      </c>
    </row>
    <row r="166" spans="1:9" x14ac:dyDescent="0.25">
      <c r="A166" s="113" t="s">
        <v>681</v>
      </c>
      <c r="B166" s="296" t="s">
        <v>1921</v>
      </c>
      <c r="C166" s="113" t="s">
        <v>1738</v>
      </c>
      <c r="D166" s="301" t="s">
        <v>415</v>
      </c>
      <c r="E166" s="113"/>
      <c r="F166" s="113"/>
      <c r="G166" s="113"/>
      <c r="H166" s="113"/>
      <c r="I166" s="96" t="str">
        <f t="shared" si="2"/>
        <v>Curer le tronçon ‘Buda’ et éliminer les boues polluées (Senne)</v>
      </c>
    </row>
    <row r="167" spans="1:9" ht="25.5" x14ac:dyDescent="0.25">
      <c r="A167" s="113" t="s">
        <v>682</v>
      </c>
      <c r="B167" s="296" t="s">
        <v>1922</v>
      </c>
      <c r="C167" s="113" t="s">
        <v>1738</v>
      </c>
      <c r="D167" s="301" t="s">
        <v>1290</v>
      </c>
      <c r="E167" s="113"/>
      <c r="F167" s="113"/>
      <c r="G167" s="113"/>
      <c r="H167" s="113"/>
      <c r="I167" s="96" t="str">
        <f t="shared" si="2"/>
        <v>Etablir une base de données des curages réalisés (en tant qu’outil de planification future)</v>
      </c>
    </row>
    <row r="168" spans="1:9" ht="63.75" x14ac:dyDescent="0.25">
      <c r="A168" s="113" t="s">
        <v>683</v>
      </c>
      <c r="B168" s="296" t="s">
        <v>1923</v>
      </c>
      <c r="C168" s="113" t="s">
        <v>1924</v>
      </c>
      <c r="D168" s="302" t="s">
        <v>414</v>
      </c>
      <c r="E168" s="113"/>
      <c r="F168" s="113"/>
      <c r="G168" s="113"/>
      <c r="H168" s="113"/>
      <c r="I168" s="96" t="str">
        <f t="shared" si="2"/>
        <v>Évaluer le besoin réel de déviation d’eau de la Senne vers le Canal, déterminer les règles d’activat</v>
      </c>
    </row>
    <row r="169" spans="1:9" x14ac:dyDescent="0.25">
      <c r="A169" s="113" t="s">
        <v>684</v>
      </c>
      <c r="B169" s="296" t="s">
        <v>1925</v>
      </c>
      <c r="C169" s="113" t="s">
        <v>1926</v>
      </c>
      <c r="D169" s="301" t="s">
        <v>414</v>
      </c>
      <c r="E169" s="113"/>
      <c r="F169" s="113"/>
      <c r="G169" s="113"/>
      <c r="H169" s="113"/>
      <c r="I169" s="96" t="str">
        <f t="shared" si="2"/>
        <v>Remplacer les vannes en bois par des vannes métalliques</v>
      </c>
    </row>
    <row r="170" spans="1:9" ht="76.5" x14ac:dyDescent="0.25">
      <c r="A170" s="113" t="s">
        <v>685</v>
      </c>
      <c r="B170" s="296" t="s">
        <v>1927</v>
      </c>
      <c r="C170" s="113" t="s">
        <v>1928</v>
      </c>
      <c r="D170" s="301" t="s">
        <v>414</v>
      </c>
      <c r="E170" s="113"/>
      <c r="F170" s="113"/>
      <c r="G170" s="113"/>
      <c r="H170" s="113"/>
      <c r="I170" s="96" t="str">
        <f t="shared" si="2"/>
        <v>Installation des systèmes de surveillance des paramètres principaux sur base des résultats de l’étud</v>
      </c>
    </row>
    <row r="171" spans="1:9" ht="25.5" x14ac:dyDescent="0.25">
      <c r="A171" s="113" t="s">
        <v>686</v>
      </c>
      <c r="B171" s="296" t="s">
        <v>1929</v>
      </c>
      <c r="C171" s="113" t="s">
        <v>1926</v>
      </c>
      <c r="D171" s="301" t="s">
        <v>414</v>
      </c>
      <c r="E171" s="113"/>
      <c r="F171" s="113"/>
      <c r="G171" s="113"/>
      <c r="H171" s="113"/>
      <c r="I171" s="96" t="str">
        <f t="shared" si="2"/>
        <v>Aménager les vannes et implémenter les nouvelles règles de déviation d’eaux en fonction des étapes M</v>
      </c>
    </row>
    <row r="172" spans="1:9" ht="25.5" x14ac:dyDescent="0.25">
      <c r="A172" s="113" t="s">
        <v>687</v>
      </c>
      <c r="B172" s="296" t="s">
        <v>1930</v>
      </c>
      <c r="C172" s="113" t="s">
        <v>17</v>
      </c>
      <c r="D172" s="301" t="s">
        <v>415</v>
      </c>
      <c r="E172" s="113"/>
      <c r="F172" s="113"/>
      <c r="G172" s="113"/>
      <c r="H172" s="113"/>
      <c r="I172" s="96" t="str">
        <f t="shared" si="2"/>
        <v>Assurer la veille des niveaux d’eau
Mesures de sécurité additionnelle à prendre en compte</v>
      </c>
    </row>
    <row r="173" spans="1:9" x14ac:dyDescent="0.25">
      <c r="A173" s="113" t="s">
        <v>688</v>
      </c>
      <c r="B173" s="296" t="s">
        <v>1931</v>
      </c>
      <c r="C173" s="113" t="s">
        <v>1932</v>
      </c>
      <c r="D173" s="301" t="s">
        <v>1287</v>
      </c>
      <c r="E173" s="113"/>
      <c r="F173" s="113"/>
      <c r="G173" s="113"/>
      <c r="H173" s="113"/>
      <c r="I173" s="96" t="str">
        <f t="shared" si="2"/>
        <v>Assurer le fonctionnement des vannes</v>
      </c>
    </row>
    <row r="174" spans="1:9" x14ac:dyDescent="0.25">
      <c r="A174" s="113" t="s">
        <v>689</v>
      </c>
      <c r="B174" s="296" t="s">
        <v>1933</v>
      </c>
      <c r="C174" s="113" t="s">
        <v>1934</v>
      </c>
      <c r="D174" s="301" t="s">
        <v>414</v>
      </c>
      <c r="E174" s="113"/>
      <c r="F174" s="113"/>
      <c r="G174" s="113"/>
      <c r="H174" s="113"/>
      <c r="I174" s="96" t="str">
        <f t="shared" si="2"/>
        <v>Bathymétrie, localisation et mesure du volume de boue</v>
      </c>
    </row>
    <row r="175" spans="1:9" x14ac:dyDescent="0.25">
      <c r="A175" s="113" t="s">
        <v>691</v>
      </c>
      <c r="B175" s="296" t="s">
        <v>1935</v>
      </c>
      <c r="C175" s="113" t="s">
        <v>1936</v>
      </c>
      <c r="D175" s="301" t="s">
        <v>414</v>
      </c>
      <c r="E175" s="113"/>
      <c r="F175" s="113"/>
      <c r="G175" s="113"/>
      <c r="H175" s="113"/>
      <c r="I175" s="96" t="str">
        <f t="shared" si="2"/>
        <v>Poursuivre le dragage mécanique et l'élimination des sédiments pollués du Canal</v>
      </c>
    </row>
    <row r="176" spans="1:9" ht="38.25" x14ac:dyDescent="0.25">
      <c r="A176" s="113" t="s">
        <v>692</v>
      </c>
      <c r="B176" s="296" t="s">
        <v>1937</v>
      </c>
      <c r="C176" s="113" t="s">
        <v>1938</v>
      </c>
      <c r="D176" s="301" t="s">
        <v>414</v>
      </c>
      <c r="E176" s="113"/>
      <c r="F176" s="113"/>
      <c r="G176" s="113"/>
      <c r="H176" s="113"/>
      <c r="I176" s="96" t="str">
        <f t="shared" si="2"/>
        <v>Mettre en évidence des zones préférentielles d’accumulation des sédiments pour en faciliter le curag</v>
      </c>
    </row>
    <row r="177" spans="1:9" ht="25.5" x14ac:dyDescent="0.25">
      <c r="A177" s="113" t="s">
        <v>693</v>
      </c>
      <c r="B177" s="296" t="s">
        <v>1939</v>
      </c>
      <c r="C177" s="113" t="s">
        <v>1940</v>
      </c>
      <c r="D177" s="301" t="s">
        <v>414</v>
      </c>
      <c r="E177" s="113"/>
      <c r="F177" s="113"/>
      <c r="G177" s="113"/>
      <c r="H177" s="113"/>
      <c r="I177" s="96" t="str">
        <f t="shared" si="2"/>
        <v>Suivre la problématique des sédiments et de leur curage dans la voie navigable du Canal Bruxelles-Es</v>
      </c>
    </row>
    <row r="178" spans="1:9" ht="38.25" x14ac:dyDescent="0.25">
      <c r="A178" s="113" t="s">
        <v>694</v>
      </c>
      <c r="B178" s="296" t="s">
        <v>1941</v>
      </c>
      <c r="C178" s="113" t="s">
        <v>1942</v>
      </c>
      <c r="D178" s="301" t="s">
        <v>414</v>
      </c>
      <c r="E178" s="113"/>
      <c r="F178" s="113"/>
      <c r="G178" s="113"/>
      <c r="H178" s="113"/>
      <c r="I178" s="96" t="str">
        <f t="shared" si="2"/>
        <v>Etude de l'efficacité de méthodes alternatives au curage mécanique (ex. : bio-dragage, précipitation</v>
      </c>
    </row>
    <row r="179" spans="1:9" ht="63.75" x14ac:dyDescent="0.25">
      <c r="A179" s="113" t="s">
        <v>695</v>
      </c>
      <c r="B179" s="296" t="s">
        <v>1943</v>
      </c>
      <c r="C179" s="113" t="s">
        <v>1944</v>
      </c>
      <c r="D179" s="301" t="s">
        <v>414</v>
      </c>
      <c r="E179" s="113"/>
      <c r="F179" s="113"/>
      <c r="G179" s="113"/>
      <c r="H179" s="113"/>
      <c r="I179" s="96" t="str">
        <f t="shared" si="2"/>
        <v xml:space="preserve">Valoriser les données de bathymétrie ainsi que les données de pollution des boues curées du Port et </v>
      </c>
    </row>
    <row r="180" spans="1:9" x14ac:dyDescent="0.25">
      <c r="A180" s="113" t="s">
        <v>699</v>
      </c>
      <c r="B180" s="296" t="s">
        <v>1945</v>
      </c>
      <c r="C180" s="113" t="s">
        <v>1794</v>
      </c>
      <c r="D180" s="301" t="s">
        <v>414</v>
      </c>
      <c r="E180" s="113"/>
      <c r="F180" s="113"/>
      <c r="G180" s="113"/>
      <c r="H180" s="113"/>
      <c r="I180" s="96" t="str">
        <f t="shared" si="2"/>
        <v>Curer la totalité des sédiments du Canal pour retirer la pollution historique. Scénario Maximaliste</v>
      </c>
    </row>
    <row r="181" spans="1:9" ht="38.25" x14ac:dyDescent="0.25">
      <c r="A181" s="113" t="s">
        <v>696</v>
      </c>
      <c r="B181" s="296" t="s">
        <v>1946</v>
      </c>
      <c r="C181" s="113" t="s">
        <v>1947</v>
      </c>
      <c r="D181" s="301" t="s">
        <v>414</v>
      </c>
      <c r="E181" s="113"/>
      <c r="F181" s="113"/>
      <c r="G181" s="113"/>
      <c r="H181" s="113"/>
      <c r="I181" s="96" t="str">
        <f t="shared" si="2"/>
        <v xml:space="preserve">Sensibiliser les usagers quant aux pollutions diffuses des navires et bateaux caractérisées dans la </v>
      </c>
    </row>
    <row r="182" spans="1:9" ht="25.5" x14ac:dyDescent="0.25">
      <c r="A182" s="113" t="s">
        <v>697</v>
      </c>
      <c r="B182" s="296" t="s">
        <v>1948</v>
      </c>
      <c r="C182" s="113" t="s">
        <v>1949</v>
      </c>
      <c r="D182" s="301" t="s">
        <v>414</v>
      </c>
      <c r="E182" s="113"/>
      <c r="F182" s="113"/>
      <c r="G182" s="113"/>
      <c r="H182" s="113"/>
      <c r="I182" s="96" t="str">
        <f t="shared" si="2"/>
        <v>Émettre des recommandations pour limiter les pollutions diffuses des navires et bateaux caractérisée</v>
      </c>
    </row>
    <row r="183" spans="1:9" ht="25.5" x14ac:dyDescent="0.25">
      <c r="A183" s="113" t="s">
        <v>698</v>
      </c>
      <c r="B183" s="296" t="s">
        <v>1950</v>
      </c>
      <c r="C183" s="113" t="s">
        <v>1951</v>
      </c>
      <c r="D183" s="301" t="s">
        <v>414</v>
      </c>
      <c r="E183" s="113"/>
      <c r="F183" s="113"/>
      <c r="G183" s="113"/>
      <c r="H183" s="113"/>
      <c r="I183" s="96" t="str">
        <f t="shared" si="2"/>
        <v>Contrôler le respect de l'arrêté pour le transport et la manutention des marchandises dangereuses ou</v>
      </c>
    </row>
    <row r="184" spans="1:9" ht="38.25" x14ac:dyDescent="0.25">
      <c r="A184" s="113" t="s">
        <v>690</v>
      </c>
      <c r="B184" s="296" t="s">
        <v>1952</v>
      </c>
      <c r="C184" s="113" t="s">
        <v>1953</v>
      </c>
      <c r="D184" s="301" t="s">
        <v>414</v>
      </c>
      <c r="E184" s="113"/>
      <c r="F184" s="113"/>
      <c r="G184" s="113"/>
      <c r="H184" s="113"/>
      <c r="I184" s="96" t="str">
        <f t="shared" si="2"/>
        <v>Identifier les décharges clandestines le long du canal, les éliminer et poursuivre les auteurs, et p</v>
      </c>
    </row>
    <row r="185" spans="1:9" ht="25.5" x14ac:dyDescent="0.25">
      <c r="A185" s="113" t="s">
        <v>2815</v>
      </c>
      <c r="B185" s="296" t="s">
        <v>2816</v>
      </c>
      <c r="C185" s="113" t="s">
        <v>1738</v>
      </c>
      <c r="D185" s="301" t="s">
        <v>1290</v>
      </c>
      <c r="E185" s="113"/>
      <c r="F185" s="113"/>
      <c r="G185" s="113"/>
      <c r="H185" s="113"/>
      <c r="I185" s="96" t="str">
        <f t="shared" si="2"/>
        <v>Analyser les paramètres et normes de l’arrêté NQE devant être actualisés ou inclus (paramètres chimi</v>
      </c>
    </row>
    <row r="186" spans="1:9" ht="25.5" x14ac:dyDescent="0.25">
      <c r="A186" s="113" t="s">
        <v>2817</v>
      </c>
      <c r="B186" s="296" t="s">
        <v>2818</v>
      </c>
      <c r="C186" s="113" t="s">
        <v>1738</v>
      </c>
      <c r="D186" s="301" t="s">
        <v>1290</v>
      </c>
      <c r="E186" s="113"/>
      <c r="F186" s="113"/>
      <c r="G186" s="113"/>
      <c r="H186" s="113"/>
      <c r="I186" s="96" t="str">
        <f t="shared" si="2"/>
        <v>Identifier les polluants spécifiques au bassin versant (‘river basin specific pollutants’) dans l’ar</v>
      </c>
    </row>
    <row r="187" spans="1:9" ht="25.5" x14ac:dyDescent="0.25">
      <c r="A187" s="113" t="s">
        <v>2819</v>
      </c>
      <c r="B187" s="296" t="s">
        <v>2820</v>
      </c>
      <c r="C187" s="113" t="s">
        <v>1738</v>
      </c>
      <c r="D187" s="301" t="s">
        <v>1290</v>
      </c>
      <c r="E187" s="113"/>
      <c r="F187" s="113"/>
      <c r="G187" s="113"/>
      <c r="H187" s="113"/>
      <c r="I187" s="96" t="str">
        <f t="shared" si="2"/>
        <v>Intégrer les objectifs de qualité écologique dans l’arrêté NQE (en ce compris les objectifs de poten</v>
      </c>
    </row>
    <row r="188" spans="1:9" ht="38.25" x14ac:dyDescent="0.25">
      <c r="A188" s="113" t="s">
        <v>2821</v>
      </c>
      <c r="B188" s="296" t="s">
        <v>2822</v>
      </c>
      <c r="C188" s="113" t="s">
        <v>1738</v>
      </c>
      <c r="D188" s="301" t="s">
        <v>1290</v>
      </c>
      <c r="E188" s="113"/>
      <c r="F188" s="113"/>
      <c r="G188" s="113"/>
      <c r="H188" s="113"/>
      <c r="I188" s="96" t="str">
        <f t="shared" si="2"/>
        <v>Rédiger un projet d’arrêté actualisant l’ensemble des objectifs de qualité applicables aux masses d’</v>
      </c>
    </row>
    <row r="189" spans="1:9" ht="63.75" x14ac:dyDescent="0.25">
      <c r="A189" s="113" t="s">
        <v>2823</v>
      </c>
      <c r="B189" s="296" t="s">
        <v>2824</v>
      </c>
      <c r="C189" s="113" t="s">
        <v>1738</v>
      </c>
      <c r="D189" s="301" t="s">
        <v>1290</v>
      </c>
      <c r="E189" s="113"/>
      <c r="F189" s="113"/>
      <c r="G189" s="113"/>
      <c r="H189" s="113"/>
      <c r="I189" s="96" t="str">
        <f t="shared" si="2"/>
        <v>Rassembler dans une base de données les informations renseignées dans les permis d’environnement (en</v>
      </c>
    </row>
    <row r="190" spans="1:9" ht="25.5" x14ac:dyDescent="0.25">
      <c r="A190" s="113" t="s">
        <v>2825</v>
      </c>
      <c r="B190" s="296" t="s">
        <v>2826</v>
      </c>
      <c r="C190" s="113" t="s">
        <v>1738</v>
      </c>
      <c r="D190" s="301" t="s">
        <v>1290</v>
      </c>
      <c r="E190" s="113"/>
      <c r="F190" s="113"/>
      <c r="G190" s="113"/>
      <c r="H190" s="113"/>
      <c r="I190" s="96" t="str">
        <f t="shared" si="2"/>
        <v>Faire une analyse comparative des résultats des campagnes de mesures prévues aux M 1.12 et M 1.13 au</v>
      </c>
    </row>
    <row r="191" spans="1:9" ht="25.5" x14ac:dyDescent="0.25">
      <c r="A191" s="113" t="s">
        <v>2827</v>
      </c>
      <c r="B191" s="296" t="s">
        <v>2828</v>
      </c>
      <c r="C191" s="113" t="s">
        <v>1738</v>
      </c>
      <c r="D191" s="301" t="s">
        <v>1290</v>
      </c>
      <c r="E191" s="113"/>
      <c r="F191" s="113"/>
      <c r="G191" s="113"/>
      <c r="H191" s="113"/>
      <c r="I191" s="96" t="str">
        <f t="shared" si="2"/>
        <v xml:space="preserve">Identifier les sources lacunaires et estimer les émissions des paramètres déclassant  via une revue </v>
      </c>
    </row>
    <row r="192" spans="1:9" ht="63.75" x14ac:dyDescent="0.25">
      <c r="A192" s="113" t="s">
        <v>2829</v>
      </c>
      <c r="B192" s="296" t="s">
        <v>2830</v>
      </c>
      <c r="C192" s="113" t="s">
        <v>2831</v>
      </c>
      <c r="D192" s="301" t="s">
        <v>1290</v>
      </c>
      <c r="E192" s="113"/>
      <c r="F192" s="113"/>
      <c r="G192" s="113"/>
      <c r="H192" s="113"/>
      <c r="I192" s="96" t="str">
        <f t="shared" si="2"/>
        <v xml:space="preserve">Identifier les sources lacunaires et estimer les émissions des métaux déclassant l’état chimique de </v>
      </c>
    </row>
    <row r="193" spans="1:9" ht="25.5" x14ac:dyDescent="0.25">
      <c r="A193" s="113" t="s">
        <v>2832</v>
      </c>
      <c r="B193" s="296" t="s">
        <v>2833</v>
      </c>
      <c r="C193" s="113" t="s">
        <v>2834</v>
      </c>
      <c r="D193" s="301" t="s">
        <v>1290</v>
      </c>
      <c r="E193" s="113"/>
      <c r="F193" s="113"/>
      <c r="G193" s="113"/>
      <c r="H193" s="113"/>
      <c r="I193" s="96" t="str">
        <f t="shared" si="2"/>
        <v>Comprendre la dynamique des nutriments et plus spécifiquement, du phosphore dans la vallée de la Wol</v>
      </c>
    </row>
    <row r="194" spans="1:9" ht="25.5" x14ac:dyDescent="0.25">
      <c r="A194" s="113" t="s">
        <v>2835</v>
      </c>
      <c r="B194" s="296" t="s">
        <v>2836</v>
      </c>
      <c r="C194" s="113" t="s">
        <v>1738</v>
      </c>
      <c r="D194" s="301" t="s">
        <v>1290</v>
      </c>
      <c r="E194" s="113"/>
      <c r="F194" s="113"/>
      <c r="G194" s="113"/>
      <c r="H194" s="113"/>
      <c r="I194" s="96" t="str">
        <f t="shared" si="2"/>
        <v>Actualiser er améliorer l’outil de modélisation des émissions « WEISS »</v>
      </c>
    </row>
    <row r="195" spans="1:9" ht="25.5" x14ac:dyDescent="0.25">
      <c r="A195" s="113" t="s">
        <v>2837</v>
      </c>
      <c r="B195" s="296" t="s">
        <v>2838</v>
      </c>
      <c r="C195" s="113" t="s">
        <v>1738</v>
      </c>
      <c r="D195" s="301" t="s">
        <v>1290</v>
      </c>
      <c r="E195" s="113"/>
      <c r="F195" s="113"/>
      <c r="G195" s="113"/>
      <c r="H195" s="113"/>
      <c r="I195" s="96" t="str">
        <f t="shared" si="2"/>
        <v>Valider les données physico-chimiques et chimiques des eaux de surface de 2000 à 2027 et les analyse</v>
      </c>
    </row>
    <row r="196" spans="1:9" ht="25.5" x14ac:dyDescent="0.25">
      <c r="A196" s="113" t="s">
        <v>2839</v>
      </c>
      <c r="B196" s="296" t="s">
        <v>2840</v>
      </c>
      <c r="C196" s="113" t="s">
        <v>1738</v>
      </c>
      <c r="D196" s="301" t="s">
        <v>1290</v>
      </c>
      <c r="E196" s="113"/>
      <c r="F196" s="113"/>
      <c r="G196" s="113"/>
      <c r="H196" s="113"/>
      <c r="I196" s="96" t="str">
        <f t="shared" si="2"/>
        <v>Identifier les leviers d’action afin de diminuer les concentrations des paramètres déclassant l’état</v>
      </c>
    </row>
    <row r="197" spans="1:9" ht="81.599999999999994" customHeight="1" x14ac:dyDescent="0.25">
      <c r="A197" s="113" t="s">
        <v>2841</v>
      </c>
      <c r="B197" s="296" t="s">
        <v>2842</v>
      </c>
      <c r="C197" s="113" t="s">
        <v>1738</v>
      </c>
      <c r="D197" s="301" t="s">
        <v>1290</v>
      </c>
      <c r="E197" s="113"/>
      <c r="F197" s="113"/>
      <c r="G197" s="113"/>
      <c r="H197" s="113"/>
      <c r="I197" s="96" t="str">
        <f t="shared" si="2"/>
        <v xml:space="preserve">Valoriser l’étude réalisée durant le PGE 2016-2021 portant sur la qualité des eaux de ruissellement </v>
      </c>
    </row>
    <row r="198" spans="1:9" ht="25.5" x14ac:dyDescent="0.25">
      <c r="A198" s="113" t="s">
        <v>728</v>
      </c>
      <c r="B198" s="296" t="s">
        <v>1954</v>
      </c>
      <c r="C198" s="113" t="s">
        <v>1955</v>
      </c>
      <c r="D198" s="301" t="s">
        <v>1290</v>
      </c>
      <c r="E198" s="113"/>
      <c r="F198" s="113"/>
      <c r="G198" s="113"/>
      <c r="H198" s="113"/>
      <c r="I198" s="96" t="str">
        <f t="shared" si="2"/>
        <v>Monitoring biologique dans les cours d'eau et étangs</v>
      </c>
    </row>
    <row r="199" spans="1:9" ht="25.5" x14ac:dyDescent="0.25">
      <c r="A199" s="113" t="s">
        <v>730</v>
      </c>
      <c r="B199" s="296" t="s">
        <v>1956</v>
      </c>
      <c r="C199" s="113" t="s">
        <v>1955</v>
      </c>
      <c r="D199" s="301" t="s">
        <v>1290</v>
      </c>
      <c r="E199" s="113"/>
      <c r="F199" s="113"/>
      <c r="G199" s="113"/>
      <c r="H199" s="113"/>
      <c r="I199" s="96" t="str">
        <f t="shared" si="2"/>
        <v>Monitoring mensuel de la qualité de la colonne d'eau des eaux de surface</v>
      </c>
    </row>
    <row r="200" spans="1:9" ht="38.25" x14ac:dyDescent="0.25">
      <c r="A200" s="113" t="s">
        <v>731</v>
      </c>
      <c r="B200" s="296" t="s">
        <v>1957</v>
      </c>
      <c r="C200" s="113" t="s">
        <v>1958</v>
      </c>
      <c r="D200" s="301" t="s">
        <v>1290</v>
      </c>
      <c r="E200" s="113"/>
      <c r="F200" s="113"/>
      <c r="G200" s="113"/>
      <c r="H200" s="113"/>
      <c r="I200" s="96" t="str">
        <f t="shared" si="2"/>
        <v xml:space="preserve">Monitoring de la qualité des sédiments des eaux de surface </v>
      </c>
    </row>
    <row r="201" spans="1:9" ht="38.25" x14ac:dyDescent="0.25">
      <c r="A201" s="113" t="s">
        <v>732</v>
      </c>
      <c r="B201" s="296" t="s">
        <v>1959</v>
      </c>
      <c r="C201" s="113" t="s">
        <v>1958</v>
      </c>
      <c r="D201" s="301" t="s">
        <v>1290</v>
      </c>
      <c r="E201" s="113"/>
      <c r="F201" s="113"/>
      <c r="G201" s="113"/>
      <c r="H201" s="113"/>
      <c r="I201" s="96" t="str">
        <f t="shared" si="2"/>
        <v>Monitoring de la qualité du biote des eaux de surface</v>
      </c>
    </row>
    <row r="202" spans="1:9" ht="25.5" x14ac:dyDescent="0.25">
      <c r="A202" s="113" t="s">
        <v>733</v>
      </c>
      <c r="B202" s="296" t="s">
        <v>1960</v>
      </c>
      <c r="C202" s="113" t="s">
        <v>1955</v>
      </c>
      <c r="D202" s="301" t="s">
        <v>1290</v>
      </c>
      <c r="E202" s="113"/>
      <c r="F202" s="113"/>
      <c r="G202" s="113"/>
      <c r="H202" s="113"/>
      <c r="I202" s="96" t="str">
        <f t="shared" si="2"/>
        <v>Intégrer et valider les données de chaque nouvelle année de qualité de la colonne d'eau dans la base</v>
      </c>
    </row>
    <row r="203" spans="1:9" ht="25.5" x14ac:dyDescent="0.25">
      <c r="A203" s="113" t="s">
        <v>734</v>
      </c>
      <c r="B203" s="296" t="s">
        <v>1961</v>
      </c>
      <c r="C203" s="113" t="s">
        <v>1955</v>
      </c>
      <c r="D203" s="301" t="s">
        <v>1290</v>
      </c>
      <c r="E203" s="113"/>
      <c r="F203" s="113"/>
      <c r="G203" s="113"/>
      <c r="H203" s="113"/>
      <c r="I203" s="96" t="str">
        <f t="shared" si="2"/>
        <v>Intégrer les données de qualité des sédiments et les données de qualité du biote dans la base de don</v>
      </c>
    </row>
    <row r="204" spans="1:9" ht="25.5" x14ac:dyDescent="0.25">
      <c r="A204" s="113" t="s">
        <v>735</v>
      </c>
      <c r="B204" s="296" t="s">
        <v>1962</v>
      </c>
      <c r="C204" s="113" t="s">
        <v>1963</v>
      </c>
      <c r="D204" s="301" t="s">
        <v>1290</v>
      </c>
      <c r="E204" s="113"/>
      <c r="F204" s="113"/>
      <c r="G204" s="113"/>
      <c r="H204" s="113"/>
      <c r="I204" s="96" t="str">
        <f t="shared" si="2"/>
        <v>Diffuser librement les données de surveillance de la qualité de l'eau</v>
      </c>
    </row>
    <row r="205" spans="1:9" ht="25.5" x14ac:dyDescent="0.25">
      <c r="A205" s="113" t="s">
        <v>736</v>
      </c>
      <c r="B205" s="296" t="s">
        <v>1964</v>
      </c>
      <c r="C205" s="113" t="s">
        <v>1965</v>
      </c>
      <c r="D205" s="301" t="s">
        <v>1290</v>
      </c>
      <c r="E205" s="113"/>
      <c r="F205" s="113"/>
      <c r="G205" s="113"/>
      <c r="H205" s="113"/>
      <c r="I205" s="96" t="str">
        <f t="shared" si="2"/>
        <v>Inventorier les modifications hydromorphologiques des eaux de surface</v>
      </c>
    </row>
    <row r="206" spans="1:9" ht="25.5" x14ac:dyDescent="0.25">
      <c r="A206" s="113" t="s">
        <v>737</v>
      </c>
      <c r="B206" s="296" t="s">
        <v>1966</v>
      </c>
      <c r="C206" s="113" t="s">
        <v>1967</v>
      </c>
      <c r="D206" s="301" t="s">
        <v>1290</v>
      </c>
      <c r="E206" s="113"/>
      <c r="F206" s="113"/>
      <c r="G206" s="113"/>
      <c r="H206" s="113"/>
      <c r="I206" s="96" t="str">
        <f t="shared" si="2"/>
        <v>Communiquer sur les états biologiques et hydromorphologiques via des publications de l'état de l'env</v>
      </c>
    </row>
    <row r="207" spans="1:9" ht="25.5" x14ac:dyDescent="0.25">
      <c r="A207" s="113" t="s">
        <v>729</v>
      </c>
      <c r="B207" s="296" t="s">
        <v>1968</v>
      </c>
      <c r="C207" s="113" t="s">
        <v>1955</v>
      </c>
      <c r="D207" s="301" t="s">
        <v>1290</v>
      </c>
      <c r="E207" s="113"/>
      <c r="F207" s="113"/>
      <c r="G207" s="113"/>
      <c r="H207" s="113"/>
      <c r="I207" s="96" t="str">
        <f t="shared" si="2"/>
        <v>Actualisation du potentiel écologique et de l'état chimique des eaux de surface</v>
      </c>
    </row>
    <row r="208" spans="1:9" ht="25.5" x14ac:dyDescent="0.25">
      <c r="A208" s="113" t="s">
        <v>738</v>
      </c>
      <c r="B208" s="296" t="s">
        <v>1969</v>
      </c>
      <c r="C208" s="113" t="s">
        <v>23</v>
      </c>
      <c r="D208" s="301" t="s">
        <v>1290</v>
      </c>
      <c r="E208" s="113"/>
      <c r="F208" s="113"/>
      <c r="G208" s="113"/>
      <c r="H208" s="113"/>
      <c r="I208" s="96" t="str">
        <f t="shared" si="2"/>
        <v>Entretien et réparation/remplacement des sondes du réseau Flowbru existantes et nouvellement install</v>
      </c>
    </row>
    <row r="209" spans="1:9" ht="63.75" x14ac:dyDescent="0.25">
      <c r="A209" s="113" t="s">
        <v>742</v>
      </c>
      <c r="B209" s="296" t="s">
        <v>1970</v>
      </c>
      <c r="C209" s="113" t="s">
        <v>23</v>
      </c>
      <c r="D209" s="301" t="s">
        <v>1290</v>
      </c>
      <c r="E209" s="113"/>
      <c r="F209" s="113"/>
      <c r="G209" s="113"/>
      <c r="H209" s="113"/>
      <c r="I209" s="96" t="str">
        <f t="shared" si="2"/>
        <v>Extension du réseau Flowbru avec le déploiement de sondes (débit, hauteur d'eau, fréquence) surveill</v>
      </c>
    </row>
    <row r="210" spans="1:9" ht="51" x14ac:dyDescent="0.25">
      <c r="A210" s="113" t="s">
        <v>743</v>
      </c>
      <c r="B210" s="296" t="s">
        <v>1971</v>
      </c>
      <c r="C210" s="113" t="s">
        <v>1972</v>
      </c>
      <c r="D210" s="301" t="s">
        <v>1287</v>
      </c>
      <c r="E210" s="113"/>
      <c r="F210" s="113"/>
      <c r="G210" s="113"/>
      <c r="H210" s="113"/>
      <c r="I210" s="96" t="str">
        <f t="shared" si="2"/>
        <v xml:space="preserve">Extension du réseau Flowbru avec le déploiement/renouvellement de sondes de mesures en continu (via </v>
      </c>
    </row>
    <row r="211" spans="1:9" ht="25.5" x14ac:dyDescent="0.25">
      <c r="A211" s="113" t="s">
        <v>744</v>
      </c>
      <c r="B211" s="296" t="s">
        <v>1973</v>
      </c>
      <c r="C211" s="113" t="s">
        <v>23</v>
      </c>
      <c r="D211" s="301" t="s">
        <v>1290</v>
      </c>
      <c r="E211" s="113"/>
      <c r="F211" s="113"/>
      <c r="G211" s="113"/>
      <c r="H211" s="113"/>
      <c r="I211" s="96" t="str">
        <f t="shared" si="2"/>
        <v xml:space="preserve">Intégration des sondes déployées dans le site web de diffusion des données Flowbru et diffusion des </v>
      </c>
    </row>
    <row r="212" spans="1:9" ht="25.5" x14ac:dyDescent="0.25">
      <c r="A212" s="113" t="s">
        <v>745</v>
      </c>
      <c r="B212" s="296" t="s">
        <v>1974</v>
      </c>
      <c r="C212" s="113" t="s">
        <v>1975</v>
      </c>
      <c r="D212" s="301" t="s">
        <v>1290</v>
      </c>
      <c r="E212" s="113"/>
      <c r="F212" s="113"/>
      <c r="G212" s="113"/>
      <c r="H212" s="113"/>
      <c r="I212" s="96" t="str">
        <f t="shared" si="2"/>
        <v>Poursuivre la validation des nouvelles données pluviométriques, poursuivre la validation des données</v>
      </c>
    </row>
    <row r="213" spans="1:9" ht="51" x14ac:dyDescent="0.25">
      <c r="A213" s="113" t="s">
        <v>746</v>
      </c>
      <c r="B213" s="296" t="s">
        <v>1976</v>
      </c>
      <c r="C213" s="113" t="s">
        <v>1977</v>
      </c>
      <c r="D213" s="301" t="s">
        <v>1287</v>
      </c>
      <c r="E213" s="113"/>
      <c r="F213" s="113"/>
      <c r="G213" s="113"/>
      <c r="H213" s="113"/>
      <c r="I213" s="96" t="str">
        <f t="shared" si="2"/>
        <v>Etude, au moyen de sondes mobiles (de qualité température-conductivité au niveau de déversoirs et de</v>
      </c>
    </row>
    <row r="214" spans="1:9" ht="25.5" x14ac:dyDescent="0.25">
      <c r="A214" s="113" t="s">
        <v>747</v>
      </c>
      <c r="B214" s="296" t="s">
        <v>1978</v>
      </c>
      <c r="C214" s="113" t="s">
        <v>23</v>
      </c>
      <c r="D214" s="301" t="s">
        <v>1290</v>
      </c>
      <c r="E214" s="113"/>
      <c r="F214" s="113"/>
      <c r="G214" s="113"/>
      <c r="H214" s="113"/>
      <c r="I214" s="96" t="str">
        <f t="shared" si="2"/>
        <v>Etude d'utilisation des données du réseau Flowbru afin d'améliorer la prédiction de la maintenance d</v>
      </c>
    </row>
    <row r="215" spans="1:9" ht="25.5" x14ac:dyDescent="0.25">
      <c r="A215" s="113" t="s">
        <v>748</v>
      </c>
      <c r="B215" s="296" t="s">
        <v>1979</v>
      </c>
      <c r="C215" s="113" t="s">
        <v>23</v>
      </c>
      <c r="D215" s="301" t="s">
        <v>1290</v>
      </c>
      <c r="E215" s="113"/>
      <c r="F215" s="113"/>
      <c r="G215" s="113"/>
      <c r="H215" s="113"/>
      <c r="I215" s="96" t="str">
        <f t="shared" si="2"/>
        <v>Amélioration du site web de diffusion des données mesurées Flowbru (https://www.Flowbru.be/fr) et dé</v>
      </c>
    </row>
    <row r="216" spans="1:9" ht="25.5" x14ac:dyDescent="0.25">
      <c r="A216" s="113" t="s">
        <v>749</v>
      </c>
      <c r="B216" s="296" t="s">
        <v>1980</v>
      </c>
      <c r="C216" s="113" t="s">
        <v>23</v>
      </c>
      <c r="D216" s="301" t="s">
        <v>1290</v>
      </c>
      <c r="E216" s="113"/>
      <c r="F216" s="113"/>
      <c r="G216" s="113"/>
      <c r="H216" s="113"/>
      <c r="I216" s="96" t="str">
        <f t="shared" si="2"/>
        <v>Développement d'une API du site Flowbru pour faciliter la diffusion des données</v>
      </c>
    </row>
    <row r="217" spans="1:9" ht="38.25" x14ac:dyDescent="0.25">
      <c r="A217" s="113" t="s">
        <v>739</v>
      </c>
      <c r="B217" s="296" t="s">
        <v>1981</v>
      </c>
      <c r="C217" s="113" t="s">
        <v>1982</v>
      </c>
      <c r="D217" s="301" t="s">
        <v>1287</v>
      </c>
      <c r="E217" s="113"/>
      <c r="F217" s="113"/>
      <c r="G217" s="113"/>
      <c r="H217" s="113"/>
      <c r="I217" s="96" t="str">
        <f t="shared" ref="I217:I277" si="3">LEFT(B217,100)</f>
        <v>Développer des alertes automatiques pour une liste de contacts (dont SBGE, Port, BE) en cas de modif</v>
      </c>
    </row>
    <row r="218" spans="1:9" ht="25.5" x14ac:dyDescent="0.25">
      <c r="A218" s="113" t="s">
        <v>740</v>
      </c>
      <c r="B218" s="296" t="s">
        <v>1983</v>
      </c>
      <c r="C218" s="113" t="s">
        <v>1984</v>
      </c>
      <c r="D218" s="301" t="s">
        <v>414</v>
      </c>
      <c r="E218" s="113"/>
      <c r="F218" s="113"/>
      <c r="G218" s="113"/>
      <c r="H218" s="113"/>
      <c r="I218" s="96" t="str">
        <f t="shared" si="3"/>
        <v xml:space="preserve">Déployer 1-2 sondes supplémentaires, en amont/aval de la première sonde (prévue au niveau du bassin </v>
      </c>
    </row>
    <row r="219" spans="1:9" ht="25.5" x14ac:dyDescent="0.25">
      <c r="A219" s="113" t="s">
        <v>1597</v>
      </c>
      <c r="B219" s="296" t="s">
        <v>1679</v>
      </c>
      <c r="C219" s="113" t="s">
        <v>1985</v>
      </c>
      <c r="D219" s="301" t="s">
        <v>414</v>
      </c>
      <c r="E219" s="113"/>
      <c r="F219" s="113"/>
      <c r="G219" s="113"/>
      <c r="H219" s="113"/>
      <c r="I219" s="96" t="str">
        <f t="shared" si="3"/>
        <v>Analyser les données recueillies et les mettre à disposition du Port pour communiquer vers les usage</v>
      </c>
    </row>
    <row r="220" spans="1:9" x14ac:dyDescent="0.25">
      <c r="A220" s="113" t="s">
        <v>2599</v>
      </c>
      <c r="B220" s="296" t="s">
        <v>2843</v>
      </c>
      <c r="C220" s="113" t="s">
        <v>1738</v>
      </c>
      <c r="D220" s="301" t="s">
        <v>2844</v>
      </c>
      <c r="E220" s="113"/>
      <c r="F220" s="113"/>
      <c r="G220" s="113"/>
      <c r="H220" s="113"/>
      <c r="I220" s="96" t="str">
        <f t="shared" si="3"/>
        <v>Réaliser une caractérisation fine des entrées de polluants physico-chimique dans la Senne</v>
      </c>
    </row>
    <row r="221" spans="1:9" x14ac:dyDescent="0.25">
      <c r="A221" s="113" t="s">
        <v>2600</v>
      </c>
      <c r="B221" s="296" t="s">
        <v>2845</v>
      </c>
      <c r="C221" s="113" t="s">
        <v>2846</v>
      </c>
      <c r="D221" s="301" t="s">
        <v>2844</v>
      </c>
      <c r="E221" s="113"/>
      <c r="F221" s="113"/>
      <c r="G221" s="113"/>
      <c r="H221" s="113"/>
      <c r="I221" s="96" t="str">
        <f t="shared" si="3"/>
        <v>Utiliser un modèle biogéochimique adapté pour la Senne en collaboration avec la VMM</v>
      </c>
    </row>
    <row r="222" spans="1:9" ht="38.25" x14ac:dyDescent="0.25">
      <c r="A222" s="113" t="s">
        <v>2601</v>
      </c>
      <c r="B222" s="296" t="s">
        <v>2847</v>
      </c>
      <c r="C222" s="113" t="s">
        <v>2846</v>
      </c>
      <c r="D222" s="301" t="s">
        <v>2844</v>
      </c>
      <c r="E222" s="113"/>
      <c r="F222" s="113"/>
      <c r="G222" s="113"/>
      <c r="H222" s="113"/>
      <c r="I222" s="96" t="str">
        <f t="shared" si="3"/>
        <v>Analyser les scénarios permettant d’améliorer la qualité physico-chimique de la Senne en collaborati</v>
      </c>
    </row>
    <row r="223" spans="1:9" ht="89.25" x14ac:dyDescent="0.25">
      <c r="A223" s="113" t="s">
        <v>750</v>
      </c>
      <c r="B223" s="296" t="s">
        <v>1986</v>
      </c>
      <c r="C223" s="113" t="s">
        <v>1987</v>
      </c>
      <c r="D223" s="301" t="s">
        <v>1290</v>
      </c>
      <c r="E223" s="113"/>
      <c r="F223" s="113"/>
      <c r="G223" s="113"/>
      <c r="H223" s="113"/>
      <c r="I223" s="96" t="str">
        <f t="shared" si="3"/>
        <v>Rassembler et diffuser une information claire et cohérente sur les sites internet de l’administratio</v>
      </c>
    </row>
    <row r="224" spans="1:9" ht="63.75" x14ac:dyDescent="0.25">
      <c r="A224" s="113" t="s">
        <v>751</v>
      </c>
      <c r="B224" s="296" t="s">
        <v>1988</v>
      </c>
      <c r="C224" s="113" t="s">
        <v>1989</v>
      </c>
      <c r="D224" s="301" t="s">
        <v>1290</v>
      </c>
      <c r="E224" s="113"/>
      <c r="F224" s="113"/>
      <c r="G224" s="113"/>
      <c r="H224" s="113"/>
      <c r="I224" s="96" t="str">
        <f t="shared" si="3"/>
        <v>Mener des campagnes d’information et de sensibilisation pour faire évoluer les pratiques et les comp</v>
      </c>
    </row>
    <row r="225" spans="1:9" ht="38.25" x14ac:dyDescent="0.25">
      <c r="A225" s="113" t="s">
        <v>752</v>
      </c>
      <c r="B225" s="296" t="s">
        <v>1990</v>
      </c>
      <c r="C225" s="113" t="s">
        <v>1991</v>
      </c>
      <c r="D225" s="301" t="s">
        <v>1290</v>
      </c>
      <c r="E225" s="113"/>
      <c r="F225" s="113"/>
      <c r="G225" s="113"/>
      <c r="H225" s="113"/>
      <c r="I225" s="96" t="str">
        <f t="shared" si="3"/>
        <v xml:space="preserve">Fournir des informations au Musée des égouts (et autres lieux culturels relayant la préservation de </v>
      </c>
    </row>
    <row r="226" spans="1:9" ht="51" x14ac:dyDescent="0.25">
      <c r="A226" s="113" t="s">
        <v>753</v>
      </c>
      <c r="B226" s="296" t="s">
        <v>1992</v>
      </c>
      <c r="C226" s="113" t="s">
        <v>1993</v>
      </c>
      <c r="D226" s="301" t="s">
        <v>1290</v>
      </c>
      <c r="E226" s="113"/>
      <c r="F226" s="113"/>
      <c r="G226" s="113"/>
      <c r="H226" s="113"/>
      <c r="I226" s="96" t="str">
        <f t="shared" si="3"/>
        <v>Promouvoir l’interdiction d’utilisation des objets en plastique à usage unique et favoriser les alte</v>
      </c>
    </row>
    <row r="227" spans="1:9" ht="25.5" x14ac:dyDescent="0.25">
      <c r="A227" s="113" t="s">
        <v>754</v>
      </c>
      <c r="B227" s="296" t="s">
        <v>1994</v>
      </c>
      <c r="C227" s="113" t="s">
        <v>1995</v>
      </c>
      <c r="D227" s="301" t="s">
        <v>1290</v>
      </c>
      <c r="E227" s="113"/>
      <c r="F227" s="113"/>
      <c r="G227" s="113"/>
      <c r="H227" s="113"/>
      <c r="I227" s="96" t="str">
        <f t="shared" si="3"/>
        <v xml:space="preserve">Renforcer les campagnes existantes sur la promotion de la propreté urbaine via différents outils et </v>
      </c>
    </row>
    <row r="228" spans="1:9" ht="38.25" x14ac:dyDescent="0.25">
      <c r="A228" s="113" t="s">
        <v>2602</v>
      </c>
      <c r="B228" s="296" t="s">
        <v>1996</v>
      </c>
      <c r="C228" s="113" t="s">
        <v>1997</v>
      </c>
      <c r="D228" s="301" t="s">
        <v>1290</v>
      </c>
      <c r="E228" s="113"/>
      <c r="F228" s="113"/>
      <c r="G228" s="113"/>
      <c r="H228" s="113"/>
      <c r="I228" s="96" t="str">
        <f t="shared" si="3"/>
        <v>Poursuivre et renforcer la campagne « Ici commence la mer » tout en considérant l’opportunité d’en é</v>
      </c>
    </row>
    <row r="229" spans="1:9" ht="51" x14ac:dyDescent="0.25">
      <c r="A229" s="113" t="s">
        <v>2603</v>
      </c>
      <c r="B229" s="296" t="s">
        <v>1998</v>
      </c>
      <c r="C229" s="113" t="s">
        <v>1999</v>
      </c>
      <c r="D229" s="301" t="s">
        <v>1290</v>
      </c>
      <c r="E229" s="113"/>
      <c r="F229" s="113"/>
      <c r="G229" s="113"/>
      <c r="H229" s="113"/>
      <c r="I229" s="96" t="str">
        <f t="shared" si="3"/>
        <v xml:space="preserve">Développement d’une application de sensibilisation et de participation citoyenne à l’observation de </v>
      </c>
    </row>
    <row r="230" spans="1:9" ht="51" x14ac:dyDescent="0.25">
      <c r="A230" s="113" t="s">
        <v>2604</v>
      </c>
      <c r="B230" s="296" t="s">
        <v>2000</v>
      </c>
      <c r="C230" s="113" t="s">
        <v>2001</v>
      </c>
      <c r="D230" s="301" t="s">
        <v>1290</v>
      </c>
      <c r="E230" s="113"/>
      <c r="F230" s="113"/>
      <c r="G230" s="113"/>
      <c r="H230" s="113"/>
      <c r="I230" s="96" t="str">
        <f t="shared" si="3"/>
        <v>Sensibiliser les acteurs de l’aménagement et de l’entretien des voiries à tenir compte des problémat</v>
      </c>
    </row>
    <row r="231" spans="1:9" ht="25.5" x14ac:dyDescent="0.25">
      <c r="A231" s="113" t="s">
        <v>755</v>
      </c>
      <c r="B231" s="296" t="s">
        <v>1641</v>
      </c>
      <c r="C231" s="113" t="s">
        <v>1738</v>
      </c>
      <c r="D231" s="301" t="s">
        <v>1290</v>
      </c>
      <c r="E231" s="113"/>
      <c r="F231" s="113"/>
      <c r="G231" s="113"/>
      <c r="H231" s="113"/>
      <c r="I231" s="96" t="str">
        <f t="shared" si="3"/>
        <v>Intégrer les principes de gestion développés au niveau de la CIE dans les procédures de gestion de p</v>
      </c>
    </row>
    <row r="232" spans="1:9" ht="25.5" x14ac:dyDescent="0.25">
      <c r="A232" s="113" t="s">
        <v>756</v>
      </c>
      <c r="B232" s="296" t="s">
        <v>1644</v>
      </c>
      <c r="C232" s="113" t="s">
        <v>1738</v>
      </c>
      <c r="D232" s="301" t="s">
        <v>1290</v>
      </c>
      <c r="E232" s="113"/>
      <c r="F232" s="113"/>
      <c r="G232" s="113"/>
      <c r="H232" s="113"/>
      <c r="I232" s="96" t="str">
        <f t="shared" si="3"/>
        <v>Appliquer les recommandations délivrées par la CIE en vue d’améliorer le fonctionnement et la commun</v>
      </c>
    </row>
    <row r="233" spans="1:9" ht="25.5" x14ac:dyDescent="0.25">
      <c r="A233" s="113" t="s">
        <v>757</v>
      </c>
      <c r="B233" s="296" t="s">
        <v>1645</v>
      </c>
      <c r="C233" s="113" t="s">
        <v>1738</v>
      </c>
      <c r="D233" s="301" t="s">
        <v>1290</v>
      </c>
      <c r="E233" s="113"/>
      <c r="F233" s="113"/>
      <c r="G233" s="113"/>
      <c r="H233" s="113"/>
      <c r="I233" s="96" t="str">
        <f t="shared" si="3"/>
        <v>Intégrer le Port de Bruxelles dans le marché de Bruxelles Environnement pour le CPA du Système d’ala</v>
      </c>
    </row>
    <row r="234" spans="1:9" ht="25.5" x14ac:dyDescent="0.25">
      <c r="A234" s="113" t="s">
        <v>758</v>
      </c>
      <c r="B234" s="296" t="s">
        <v>1646</v>
      </c>
      <c r="C234" s="113" t="s">
        <v>1738</v>
      </c>
      <c r="D234" s="301" t="s">
        <v>1290</v>
      </c>
      <c r="E234" s="113"/>
      <c r="F234" s="113"/>
      <c r="G234" s="113"/>
      <c r="H234" s="113"/>
      <c r="I234" s="96" t="str">
        <f t="shared" si="3"/>
        <v>Clarifier la procédure de gestion de crise pour prendre les mesures rapides et efficaces en cas de p</v>
      </c>
    </row>
    <row r="235" spans="1:9" ht="25.5" x14ac:dyDescent="0.25">
      <c r="A235" s="113" t="s">
        <v>759</v>
      </c>
      <c r="B235" s="296" t="s">
        <v>1647</v>
      </c>
      <c r="C235" s="113" t="s">
        <v>1738</v>
      </c>
      <c r="D235" s="301" t="s">
        <v>1290</v>
      </c>
      <c r="E235" s="113"/>
      <c r="F235" s="113"/>
      <c r="G235" s="113"/>
      <c r="H235" s="113"/>
      <c r="I235" s="96" t="str">
        <f t="shared" si="3"/>
        <v xml:space="preserve">Etudier la faisabilité et définir les besoins de Bruxelles Environnement en vue de basculer vers un </v>
      </c>
    </row>
    <row r="236" spans="1:9" ht="25.5" x14ac:dyDescent="0.25">
      <c r="A236" s="113" t="s">
        <v>760</v>
      </c>
      <c r="B236" s="296" t="s">
        <v>1648</v>
      </c>
      <c r="C236" s="113" t="s">
        <v>1738</v>
      </c>
      <c r="D236" s="301" t="s">
        <v>1290</v>
      </c>
      <c r="E236" s="113"/>
      <c r="F236" s="113"/>
      <c r="G236" s="113"/>
      <c r="H236" s="113"/>
      <c r="I236" s="96" t="str">
        <f t="shared" si="3"/>
        <v>Définir le cadre du service de garde en lien avec la thématique de l'eau et en coordination avec les</v>
      </c>
    </row>
    <row r="237" spans="1:9" ht="25.5" x14ac:dyDescent="0.25">
      <c r="A237" s="113" t="s">
        <v>761</v>
      </c>
      <c r="B237" s="296" t="s">
        <v>1649</v>
      </c>
      <c r="C237" s="113" t="s">
        <v>1738</v>
      </c>
      <c r="D237" s="301" t="s">
        <v>1290</v>
      </c>
      <c r="E237" s="113"/>
      <c r="F237" s="113"/>
      <c r="G237" s="113"/>
      <c r="H237" s="113"/>
      <c r="I237" s="96" t="str">
        <f t="shared" si="3"/>
        <v>Organiser les procédures et contacts avec les services d’urgence en collaboration avec Bruxelles Pré</v>
      </c>
    </row>
    <row r="238" spans="1:9" ht="89.25" x14ac:dyDescent="0.25">
      <c r="A238" s="113" t="s">
        <v>762</v>
      </c>
      <c r="B238" s="296" t="s">
        <v>1650</v>
      </c>
      <c r="C238" s="113" t="s">
        <v>2002</v>
      </c>
      <c r="D238" s="301" t="s">
        <v>1290</v>
      </c>
      <c r="E238" s="113"/>
      <c r="F238" s="113"/>
      <c r="G238" s="113"/>
      <c r="H238" s="113"/>
      <c r="I238" s="96" t="str">
        <f t="shared" si="3"/>
        <v>Dresser des constats d’infraction
- Réaliser des analyses physico-chimiques/chimiques de l’eau/de la</v>
      </c>
    </row>
    <row r="239" spans="1:9" x14ac:dyDescent="0.25">
      <c r="A239" s="113" t="s">
        <v>2605</v>
      </c>
      <c r="B239" s="296" t="s">
        <v>1651</v>
      </c>
      <c r="C239" s="113" t="s">
        <v>2003</v>
      </c>
      <c r="D239" s="301" t="s">
        <v>1287</v>
      </c>
      <c r="E239" s="113"/>
      <c r="F239" s="113"/>
      <c r="G239" s="113"/>
      <c r="H239" s="113"/>
      <c r="I239" s="96" t="str">
        <f t="shared" si="3"/>
        <v xml:space="preserve">Mener des actions contre la récurrence des pollutions aux hydrocarbures dans les égouts. </v>
      </c>
    </row>
    <row r="240" spans="1:9" ht="25.5" x14ac:dyDescent="0.25">
      <c r="A240" s="113" t="s">
        <v>2606</v>
      </c>
      <c r="B240" s="296" t="s">
        <v>1652</v>
      </c>
      <c r="C240" s="113" t="s">
        <v>2004</v>
      </c>
      <c r="D240" s="301" t="s">
        <v>1287</v>
      </c>
      <c r="E240" s="113"/>
      <c r="F240" s="113"/>
      <c r="G240" s="113"/>
      <c r="H240" s="113"/>
      <c r="I240" s="96" t="str">
        <f t="shared" si="3"/>
        <v>Etendre le réseau de monitoring en continu FlowBru et créer des alertes automatiques sur de potentie</v>
      </c>
    </row>
    <row r="241" spans="1:9" ht="140.25" x14ac:dyDescent="0.25">
      <c r="A241" s="113" t="s">
        <v>2861</v>
      </c>
      <c r="B241" s="296" t="s">
        <v>1642</v>
      </c>
      <c r="C241" s="113" t="s">
        <v>2005</v>
      </c>
      <c r="D241" s="301" t="s">
        <v>1290</v>
      </c>
      <c r="E241" s="303" t="s">
        <v>1901</v>
      </c>
      <c r="F241" s="113"/>
      <c r="G241" s="113"/>
      <c r="H241" s="113"/>
      <c r="I241" s="96" t="str">
        <f t="shared" si="3"/>
        <v>Optimiser et appliquer la procédure d’alerte lors d’une pollution intra-régionale :
-         Identi</v>
      </c>
    </row>
    <row r="242" spans="1:9" ht="51" x14ac:dyDescent="0.25">
      <c r="A242" s="113" t="s">
        <v>2607</v>
      </c>
      <c r="B242" s="296" t="s">
        <v>1643</v>
      </c>
      <c r="C242" s="113" t="s">
        <v>2006</v>
      </c>
      <c r="D242" s="301" t="s">
        <v>1290</v>
      </c>
      <c r="E242" s="113"/>
      <c r="F242" s="113"/>
      <c r="G242" s="113"/>
      <c r="H242" s="113"/>
      <c r="I242" s="96" t="str">
        <f t="shared" si="3"/>
        <v>Sensibiliser les services d’intervention urgente quant à la pollution potentielle de l’environnement</v>
      </c>
    </row>
    <row r="243" spans="1:9" ht="38.25" x14ac:dyDescent="0.25">
      <c r="A243" s="113" t="s">
        <v>2608</v>
      </c>
      <c r="B243" s="296" t="s">
        <v>3007</v>
      </c>
      <c r="C243" s="113" t="s">
        <v>2007</v>
      </c>
      <c r="D243" s="301" t="s">
        <v>1290</v>
      </c>
      <c r="E243" s="113"/>
      <c r="F243" s="113"/>
      <c r="G243" s="113"/>
      <c r="H243" s="113"/>
      <c r="I243" s="96" t="str">
        <f t="shared" si="3"/>
        <v xml:space="preserve">Mise en œuvre des mesures définies (voir 1.25.11)
</v>
      </c>
    </row>
    <row r="244" spans="1:9" ht="25.5" x14ac:dyDescent="0.25">
      <c r="A244" s="113" t="s">
        <v>763</v>
      </c>
      <c r="B244" s="296" t="s">
        <v>2008</v>
      </c>
      <c r="C244" s="113" t="s">
        <v>1965</v>
      </c>
      <c r="D244" s="301" t="s">
        <v>1290</v>
      </c>
      <c r="E244" s="113"/>
      <c r="F244" s="113"/>
      <c r="G244" s="113"/>
      <c r="H244" s="113"/>
      <c r="I244" s="96" t="str">
        <f t="shared" si="3"/>
        <v>Développer par vallée une vision des offres potentielles d'eau supplémentaire actuellement perdues à</v>
      </c>
    </row>
    <row r="245" spans="1:9" ht="25.5" x14ac:dyDescent="0.25">
      <c r="A245" s="113" t="s">
        <v>767</v>
      </c>
      <c r="B245" s="296" t="s">
        <v>2009</v>
      </c>
      <c r="C245" s="113" t="s">
        <v>1965</v>
      </c>
      <c r="D245" s="301" t="s">
        <v>415</v>
      </c>
      <c r="E245" s="113"/>
      <c r="F245" s="113"/>
      <c r="G245" s="113"/>
      <c r="H245" s="113"/>
      <c r="I245" s="96" t="str">
        <f t="shared" si="3"/>
        <v>Etude de faisabilité de reconnexion du Molenbeek à la Senne (action C13_1 Belini) + analyse du coûts</v>
      </c>
    </row>
    <row r="246" spans="1:9" x14ac:dyDescent="0.25">
      <c r="A246" s="113" t="s">
        <v>768</v>
      </c>
      <c r="B246" s="296" t="s">
        <v>2010</v>
      </c>
      <c r="C246" s="113" t="s">
        <v>1965</v>
      </c>
      <c r="D246" s="301" t="s">
        <v>415</v>
      </c>
      <c r="E246" s="113"/>
      <c r="F246" s="113"/>
      <c r="G246" s="113"/>
      <c r="H246" s="113"/>
      <c r="I246" s="96" t="str">
        <f t="shared" si="3"/>
        <v>Etude de faisabilité de reconnexion du Neerpedebeek à la Senne + analyse du coûts-bénéfices</v>
      </c>
    </row>
    <row r="247" spans="1:9" x14ac:dyDescent="0.25">
      <c r="A247" s="113" t="s">
        <v>769</v>
      </c>
      <c r="B247" s="296" t="s">
        <v>2011</v>
      </c>
      <c r="C247" s="113" t="s">
        <v>1965</v>
      </c>
      <c r="D247" s="301" t="s">
        <v>416</v>
      </c>
      <c r="E247" s="113"/>
      <c r="F247" s="113"/>
      <c r="G247" s="113"/>
      <c r="H247" s="113"/>
      <c r="I247" s="96" t="str">
        <f t="shared" si="3"/>
        <v>Réflexions sur la reconnexion du Watermaelbeek à la Woluwe + analyse du coûts-bénéfices</v>
      </c>
    </row>
    <row r="248" spans="1:9" ht="25.5" x14ac:dyDescent="0.25">
      <c r="A248" s="113" t="s">
        <v>770</v>
      </c>
      <c r="B248" s="296" t="s">
        <v>2012</v>
      </c>
      <c r="C248" s="113" t="s">
        <v>1965</v>
      </c>
      <c r="D248" s="302" t="s">
        <v>415</v>
      </c>
      <c r="E248" s="113"/>
      <c r="F248" s="113"/>
      <c r="G248" s="113"/>
      <c r="H248" s="113"/>
      <c r="I248" s="96" t="str">
        <f t="shared" si="3"/>
        <v>Etude de faisabilité de reconnexion du Ru du Zeyp à Ganshoren (étang Rivieren et Clos des tarins) au</v>
      </c>
    </row>
    <row r="249" spans="1:9" x14ac:dyDescent="0.25">
      <c r="A249" s="113" t="s">
        <v>771</v>
      </c>
      <c r="B249" s="296" t="s">
        <v>2013</v>
      </c>
      <c r="C249" s="113" t="s">
        <v>1965</v>
      </c>
      <c r="D249" s="301" t="s">
        <v>415</v>
      </c>
      <c r="E249" s="113"/>
      <c r="F249" s="113"/>
      <c r="G249" s="113"/>
      <c r="H249" s="113"/>
      <c r="I249" s="96" t="str">
        <f t="shared" si="3"/>
        <v>Investigation et Etude de faisabilité de reconnexion de l'Ukkelbeek à la Senne + analyse du coûts-bé</v>
      </c>
    </row>
    <row r="250" spans="1:9" ht="38.25" x14ac:dyDescent="0.25">
      <c r="A250" s="113" t="s">
        <v>772</v>
      </c>
      <c r="B250" s="296" t="s">
        <v>2014</v>
      </c>
      <c r="C250" s="113" t="s">
        <v>2015</v>
      </c>
      <c r="D250" s="301" t="s">
        <v>415</v>
      </c>
      <c r="E250" s="113"/>
      <c r="F250" s="113"/>
      <c r="G250" s="113"/>
      <c r="H250" s="113"/>
      <c r="I250" s="96" t="str">
        <f t="shared" si="3"/>
        <v>Réflexions sur la récupération vers le réseau hydrographique des eaux claires de drainage s'infiltra</v>
      </c>
    </row>
    <row r="251" spans="1:9" ht="25.5" x14ac:dyDescent="0.25">
      <c r="A251" s="113" t="s">
        <v>773</v>
      </c>
      <c r="B251" s="296" t="s">
        <v>3004</v>
      </c>
      <c r="C251" s="113" t="s">
        <v>1965</v>
      </c>
      <c r="D251" s="301" t="s">
        <v>415</v>
      </c>
      <c r="E251" s="113"/>
      <c r="F251" s="113"/>
      <c r="G251" s="113"/>
      <c r="H251" s="113"/>
      <c r="I251" s="96" t="str">
        <f t="shared" si="3"/>
        <v>Travaux de reconnexion du Molenbeek à la Senne : 
Ces travaux ne pourront être envisagés qu'après le</v>
      </c>
    </row>
    <row r="252" spans="1:9" ht="25.5" x14ac:dyDescent="0.25">
      <c r="A252" s="113" t="s">
        <v>774</v>
      </c>
      <c r="B252" s="296" t="s">
        <v>3005</v>
      </c>
      <c r="C252" s="113" t="s">
        <v>1965</v>
      </c>
      <c r="D252" s="301" t="s">
        <v>415</v>
      </c>
      <c r="E252" s="113"/>
      <c r="F252" s="113"/>
      <c r="G252" s="113"/>
      <c r="H252" s="113"/>
      <c r="I252" s="96" t="str">
        <f t="shared" si="3"/>
        <v xml:space="preserve">Travaux de reconnexion du Neerpedebeek à la Senne :
Ces travaux ne pourront être envisagés qu'après </v>
      </c>
    </row>
    <row r="253" spans="1:9" ht="25.5" x14ac:dyDescent="0.25">
      <c r="A253" s="113" t="s">
        <v>764</v>
      </c>
      <c r="B253" s="296" t="s">
        <v>3006</v>
      </c>
      <c r="C253" s="296" t="s">
        <v>1965</v>
      </c>
      <c r="D253" s="301" t="s">
        <v>415</v>
      </c>
      <c r="E253" s="113"/>
      <c r="F253" s="113"/>
      <c r="G253" s="113"/>
      <c r="H253" s="113"/>
      <c r="I253" s="96" t="str">
        <f t="shared" si="3"/>
        <v>Travaux de reconnexion de l'Ukkelbeek à la Senne :
Ces travaux ne pourront être envisagés qu'après l</v>
      </c>
    </row>
    <row r="254" spans="1:9" ht="38.25" x14ac:dyDescent="0.25">
      <c r="A254" s="113" t="s">
        <v>765</v>
      </c>
      <c r="B254" s="296" t="s">
        <v>2016</v>
      </c>
      <c r="C254" s="113" t="s">
        <v>2017</v>
      </c>
      <c r="D254" s="302" t="s">
        <v>415</v>
      </c>
      <c r="E254" s="304" t="s">
        <v>2018</v>
      </c>
      <c r="F254" s="113"/>
      <c r="G254" s="113"/>
      <c r="H254" s="113"/>
      <c r="I254" s="96" t="str">
        <f t="shared" si="3"/>
        <v>Programme Brusseau-Bis dans la vallée du Molenbeek</v>
      </c>
    </row>
    <row r="255" spans="1:9" x14ac:dyDescent="0.25">
      <c r="A255" s="113" t="s">
        <v>766</v>
      </c>
      <c r="B255" s="296" t="s">
        <v>2019</v>
      </c>
      <c r="C255" s="113" t="s">
        <v>1965</v>
      </c>
      <c r="D255" s="301" t="s">
        <v>416</v>
      </c>
      <c r="E255" s="113"/>
      <c r="F255" s="113"/>
      <c r="G255" s="113"/>
      <c r="H255" s="113"/>
      <c r="I255" s="96" t="str">
        <f t="shared" si="3"/>
        <v>Vérifier l'étanchéité des moines vers les collecteurs présents sur certains étangs spécifiques</v>
      </c>
    </row>
    <row r="256" spans="1:9" ht="25.5" x14ac:dyDescent="0.25">
      <c r="A256" s="113" t="s">
        <v>1599</v>
      </c>
      <c r="B256" s="296" t="s">
        <v>2020</v>
      </c>
      <c r="C256" s="113" t="s">
        <v>2021</v>
      </c>
      <c r="D256" s="301" t="s">
        <v>1288</v>
      </c>
      <c r="E256" s="113"/>
      <c r="F256" s="113"/>
      <c r="G256" s="113"/>
      <c r="H256" s="113"/>
      <c r="I256" s="96" t="str">
        <f t="shared" si="3"/>
        <v>Établir une méthodologie de calcul des débits minimums écologiques (ecological flows), l'appliquer a</v>
      </c>
    </row>
    <row r="257" spans="1:9" ht="25.5" x14ac:dyDescent="0.25">
      <c r="A257" s="113" t="s">
        <v>852</v>
      </c>
      <c r="B257" s="296" t="s">
        <v>2022</v>
      </c>
      <c r="C257" s="305" t="s">
        <v>1738</v>
      </c>
      <c r="D257" s="306"/>
      <c r="E257" s="305"/>
      <c r="F257" s="305"/>
      <c r="G257" s="305"/>
      <c r="H257" s="305"/>
      <c r="I257" s="96" t="str">
        <f t="shared" si="3"/>
        <v>Poursuivre et élargir les programmes qualitatifs  de surveillance des eaux souterraines à d’autres s</v>
      </c>
    </row>
    <row r="258" spans="1:9" ht="51" x14ac:dyDescent="0.25">
      <c r="A258" s="113" t="s">
        <v>860</v>
      </c>
      <c r="B258" s="296" t="s">
        <v>2023</v>
      </c>
      <c r="C258" s="305" t="s">
        <v>1738</v>
      </c>
      <c r="D258" s="306"/>
      <c r="E258" s="305"/>
      <c r="F258" s="305"/>
      <c r="G258" s="305"/>
      <c r="H258" s="305"/>
      <c r="I258" s="96" t="str">
        <f t="shared" si="3"/>
        <v>Améliorer l’estimation des concentrations de référence des paramètres présents naturellement dans le</v>
      </c>
    </row>
    <row r="259" spans="1:9" ht="51" x14ac:dyDescent="0.25">
      <c r="A259" s="113" t="s">
        <v>861</v>
      </c>
      <c r="B259" s="296" t="s">
        <v>2024</v>
      </c>
      <c r="C259" s="305" t="s">
        <v>1738</v>
      </c>
      <c r="D259" s="306"/>
      <c r="E259" s="305"/>
      <c r="F259" s="305"/>
      <c r="G259" s="305"/>
      <c r="H259" s="305"/>
      <c r="I259" s="96" t="str">
        <f t="shared" si="3"/>
        <v>Suite à l’acquisition de nouvelles données, renforcer les conclusions de l’étude réalisée sur l’iden</v>
      </c>
    </row>
    <row r="260" spans="1:9" ht="24.6" customHeight="1" x14ac:dyDescent="0.25">
      <c r="A260" s="113" t="s">
        <v>862</v>
      </c>
      <c r="B260" s="296" t="s">
        <v>2025</v>
      </c>
      <c r="C260" s="305" t="s">
        <v>1738</v>
      </c>
      <c r="D260" s="306"/>
      <c r="E260" s="305"/>
      <c r="F260" s="305"/>
      <c r="G260" s="305"/>
      <c r="H260" s="305"/>
      <c r="I260" s="96" t="str">
        <f t="shared" si="3"/>
        <v>Identifier les sources de pollution des sites présentant des contaminations aux pesticides, en parti</v>
      </c>
    </row>
    <row r="261" spans="1:9" ht="24.6" customHeight="1" x14ac:dyDescent="0.25">
      <c r="A261" s="113" t="s">
        <v>863</v>
      </c>
      <c r="B261" s="296" t="s">
        <v>2026</v>
      </c>
      <c r="C261" s="305" t="s">
        <v>1738</v>
      </c>
      <c r="D261" s="306"/>
      <c r="E261" s="305"/>
      <c r="F261" s="305"/>
      <c r="G261" s="305"/>
      <c r="H261" s="305"/>
      <c r="I261" s="96" t="str">
        <f t="shared" si="3"/>
        <v>Identification les sources de la pollution au tétrachloroéthylène et autres composés organochlorés v</v>
      </c>
    </row>
    <row r="262" spans="1:9" ht="25.5" x14ac:dyDescent="0.25">
      <c r="A262" s="113" t="s">
        <v>864</v>
      </c>
      <c r="B262" s="296" t="s">
        <v>2027</v>
      </c>
      <c r="C262" s="305" t="s">
        <v>1738</v>
      </c>
      <c r="D262" s="306"/>
      <c r="E262" s="305"/>
      <c r="F262" s="305"/>
      <c r="G262" s="305"/>
      <c r="H262" s="305"/>
      <c r="I262" s="96" t="str">
        <f t="shared" si="3"/>
        <v>Identifier les pressions ayant un impact sur la salinisation de la masse d’eau souterraine des sable</v>
      </c>
    </row>
    <row r="263" spans="1:9" ht="51" x14ac:dyDescent="0.25">
      <c r="A263" s="113" t="s">
        <v>865</v>
      </c>
      <c r="B263" s="296" t="s">
        <v>2028</v>
      </c>
      <c r="C263" s="305" t="s">
        <v>1738</v>
      </c>
      <c r="D263" s="306"/>
      <c r="E263" s="305"/>
      <c r="F263" s="305"/>
      <c r="G263" s="305"/>
      <c r="H263" s="305"/>
      <c r="I263" s="96" t="str">
        <f t="shared" si="3"/>
        <v xml:space="preserve">En cas de contamination mise en évidence dans les résultats des programmes de surveillance, croiser </v>
      </c>
    </row>
    <row r="264" spans="1:9" ht="38.25" x14ac:dyDescent="0.25">
      <c r="A264" s="113" t="s">
        <v>866</v>
      </c>
      <c r="B264" s="296" t="s">
        <v>2029</v>
      </c>
      <c r="C264" s="305" t="s">
        <v>1738</v>
      </c>
      <c r="D264" s="306"/>
      <c r="E264" s="305"/>
      <c r="F264" s="305"/>
      <c r="G264" s="305"/>
      <c r="H264" s="305"/>
      <c r="I264" s="96" t="str">
        <f t="shared" si="3"/>
        <v>Poursuivre les études d’évaluation des risques de transfert de polluants sur sols pollués ou potenti</v>
      </c>
    </row>
    <row r="265" spans="1:9" ht="25.5" x14ac:dyDescent="0.25">
      <c r="A265" s="113" t="s">
        <v>867</v>
      </c>
      <c r="B265" s="296" t="s">
        <v>2030</v>
      </c>
      <c r="C265" s="305" t="s">
        <v>1738</v>
      </c>
      <c r="D265" s="306"/>
      <c r="E265" s="305"/>
      <c r="F265" s="305"/>
      <c r="G265" s="305"/>
      <c r="H265" s="305"/>
      <c r="I265" s="96" t="str">
        <f t="shared" si="3"/>
        <v>Poursuivre la caractérisation de l’état physico-chimique des eaux pluviales et de ruissellement en l</v>
      </c>
    </row>
    <row r="266" spans="1:9" ht="38.25" x14ac:dyDescent="0.25">
      <c r="A266" s="113" t="s">
        <v>853</v>
      </c>
      <c r="B266" s="296" t="s">
        <v>2031</v>
      </c>
      <c r="C266" s="305" t="s">
        <v>1738</v>
      </c>
      <c r="D266" s="306"/>
      <c r="E266" s="305"/>
      <c r="F266" s="305"/>
      <c r="G266" s="305"/>
      <c r="H266" s="305"/>
      <c r="I266" s="96" t="str">
        <f t="shared" si="3"/>
        <v>Poursuivre la cartographie de la vulnérabilité intrinsèque et spécifique du système phréatique bruxe</v>
      </c>
    </row>
    <row r="267" spans="1:9" ht="38.25" x14ac:dyDescent="0.25">
      <c r="A267" s="113" t="s">
        <v>854</v>
      </c>
      <c r="B267" s="296" t="s">
        <v>2032</v>
      </c>
      <c r="C267" s="305" t="s">
        <v>1738</v>
      </c>
      <c r="D267" s="306"/>
      <c r="E267" s="305"/>
      <c r="F267" s="305"/>
      <c r="G267" s="305"/>
      <c r="H267" s="305"/>
      <c r="I267" s="96" t="str">
        <f t="shared" si="3"/>
        <v>Développer un modèle de transfert de risques de dissémination de la pollution par lessivage et trans</v>
      </c>
    </row>
    <row r="268" spans="1:9" x14ac:dyDescent="0.25">
      <c r="A268" s="113" t="s">
        <v>855</v>
      </c>
      <c r="B268" s="296" t="s">
        <v>2033</v>
      </c>
      <c r="C268" s="305" t="s">
        <v>1738</v>
      </c>
      <c r="D268" s="306"/>
      <c r="E268" s="305"/>
      <c r="F268" s="305"/>
      <c r="G268" s="305"/>
      <c r="H268" s="305"/>
      <c r="I268" s="96" t="str">
        <f t="shared" si="3"/>
        <v>Développer la carte des sols bruxellois en tenant compte de la teneur en matière organique des sols</v>
      </c>
    </row>
    <row r="269" spans="1:9" ht="25.5" x14ac:dyDescent="0.25">
      <c r="A269" s="113" t="s">
        <v>856</v>
      </c>
      <c r="B269" s="296" t="s">
        <v>2034</v>
      </c>
      <c r="C269" s="305" t="s">
        <v>1738</v>
      </c>
      <c r="D269" s="306"/>
      <c r="E269" s="305"/>
      <c r="F269" s="305"/>
      <c r="G269" s="305"/>
      <c r="H269" s="305"/>
      <c r="I269" s="96" t="str">
        <f t="shared" si="3"/>
        <v>Mettre à jour l’inventaire des sources des émissions de la pollution, l’élargir à d’autres polluants</v>
      </c>
    </row>
    <row r="270" spans="1:9" ht="38.25" x14ac:dyDescent="0.25">
      <c r="A270" s="113" t="s">
        <v>857</v>
      </c>
      <c r="B270" s="296" t="s">
        <v>2035</v>
      </c>
      <c r="C270" s="305" t="s">
        <v>1738</v>
      </c>
      <c r="D270" s="306"/>
      <c r="E270" s="305"/>
      <c r="F270" s="305"/>
      <c r="G270" s="305"/>
      <c r="H270" s="305"/>
      <c r="I270" s="96" t="str">
        <f t="shared" si="3"/>
        <v>Evaluer les impacts d’une variation de température des eaux souterraines résultant de la présence de</v>
      </c>
    </row>
    <row r="271" spans="1:9" ht="38.25" x14ac:dyDescent="0.25">
      <c r="A271" s="113" t="s">
        <v>858</v>
      </c>
      <c r="B271" s="296" t="s">
        <v>2036</v>
      </c>
      <c r="C271" s="305" t="s">
        <v>1738</v>
      </c>
      <c r="D271" s="306"/>
      <c r="E271" s="305"/>
      <c r="F271" s="305"/>
      <c r="G271" s="305"/>
      <c r="H271" s="305"/>
      <c r="I271" s="96" t="str">
        <f t="shared" si="3"/>
        <v>Renforcer les programmes de surveillance par l’extension des réseaux à de nouveaux sites de contrôle</v>
      </c>
    </row>
    <row r="272" spans="1:9" ht="25.5" x14ac:dyDescent="0.25">
      <c r="A272" s="113" t="s">
        <v>859</v>
      </c>
      <c r="B272" s="296" t="s">
        <v>2037</v>
      </c>
      <c r="C272" s="305" t="s">
        <v>1738</v>
      </c>
      <c r="D272" s="306"/>
      <c r="E272" s="305"/>
      <c r="F272" s="305"/>
      <c r="G272" s="305"/>
      <c r="H272" s="305"/>
      <c r="I272" s="96" t="str">
        <f t="shared" si="3"/>
        <v>Renforcer la pérennité des sites de contrôle existants et futurs faisant partie des programmes de su</v>
      </c>
    </row>
    <row r="273" spans="1:9" ht="25.5" x14ac:dyDescent="0.25">
      <c r="A273" s="113" t="s">
        <v>886</v>
      </c>
      <c r="B273" s="296" t="s">
        <v>2038</v>
      </c>
      <c r="C273" s="305" t="s">
        <v>1738</v>
      </c>
      <c r="D273" s="306"/>
      <c r="E273" s="305"/>
      <c r="F273" s="305"/>
      <c r="G273" s="305"/>
      <c r="H273" s="305"/>
      <c r="I273" s="96" t="str">
        <f t="shared" si="3"/>
        <v xml:space="preserve">Réviser les critères d’évaluation de l’état chimique des masses d’eau souterraine de l’annexe II de </v>
      </c>
    </row>
    <row r="274" spans="1:9" ht="51" x14ac:dyDescent="0.25">
      <c r="A274" s="113" t="s">
        <v>887</v>
      </c>
      <c r="B274" s="296" t="s">
        <v>2039</v>
      </c>
      <c r="C274" s="305" t="s">
        <v>1738</v>
      </c>
      <c r="D274" s="306"/>
      <c r="E274" s="305"/>
      <c r="F274" s="305"/>
      <c r="G274" s="305"/>
      <c r="H274" s="305"/>
      <c r="I274" s="96" t="str">
        <f t="shared" si="3"/>
        <v>Réviser l’annexe II de l’AGRBC du 10 juin 2010 en y précisant les valeurs seuils des critères d’éval</v>
      </c>
    </row>
    <row r="275" spans="1:9" ht="38.25" x14ac:dyDescent="0.25">
      <c r="A275" s="113" t="s">
        <v>888</v>
      </c>
      <c r="B275" s="296" t="s">
        <v>2040</v>
      </c>
      <c r="C275" s="305" t="s">
        <v>1738</v>
      </c>
      <c r="D275" s="306"/>
      <c r="E275" s="305"/>
      <c r="F275" s="305"/>
      <c r="G275" s="305"/>
      <c r="H275" s="305"/>
      <c r="I275" s="96" t="str">
        <f t="shared" si="3"/>
        <v>Compléter l’annexe II de l’AGRBC du 10 juin 2010 en y joignant les valeurs des concentrations de réf</v>
      </c>
    </row>
    <row r="276" spans="1:9" ht="38.25" x14ac:dyDescent="0.25">
      <c r="A276" s="113" t="s">
        <v>889</v>
      </c>
      <c r="B276" s="296" t="s">
        <v>2041</v>
      </c>
      <c r="C276" s="305" t="s">
        <v>1738</v>
      </c>
      <c r="D276" s="306"/>
      <c r="E276" s="305"/>
      <c r="F276" s="305"/>
      <c r="G276" s="305"/>
      <c r="H276" s="305"/>
      <c r="I276" s="96" t="str">
        <f t="shared" si="3"/>
        <v>Compléter l’annexe II de l’AGRBC du 10 juin 2010 en y joignant la liste des métabolites considérés c</v>
      </c>
    </row>
    <row r="277" spans="1:9" ht="38.25" x14ac:dyDescent="0.25">
      <c r="A277" s="113" t="s">
        <v>890</v>
      </c>
      <c r="B277" s="296" t="s">
        <v>2042</v>
      </c>
      <c r="C277" s="305" t="s">
        <v>1738</v>
      </c>
      <c r="D277" s="306"/>
      <c r="E277" s="305"/>
      <c r="F277" s="305"/>
      <c r="G277" s="305"/>
      <c r="H277" s="305"/>
      <c r="I277" s="96" t="str">
        <f t="shared" si="3"/>
        <v>Réaliser une veille juridique et transposer en droit bruxellois, le cas échéant, les révisions qui s</v>
      </c>
    </row>
    <row r="278" spans="1:9" ht="38.25" x14ac:dyDescent="0.25">
      <c r="A278" s="113" t="s">
        <v>891</v>
      </c>
      <c r="B278" s="296" t="s">
        <v>2043</v>
      </c>
      <c r="C278" s="305" t="s">
        <v>1738</v>
      </c>
      <c r="D278" s="306"/>
      <c r="E278" s="305"/>
      <c r="F278" s="305"/>
      <c r="G278" s="305"/>
      <c r="H278" s="305"/>
      <c r="I278" s="96" t="str">
        <f t="shared" ref="I278:I341" si="4">LEFT(B278,100)</f>
        <v>Réviser la liste et les valeurs seuils des critères d’évaluation de la qualité des masses d’eau de l</v>
      </c>
    </row>
    <row r="279" spans="1:9" ht="25.5" x14ac:dyDescent="0.25">
      <c r="A279" s="113" t="s">
        <v>892</v>
      </c>
      <c r="B279" s="296" t="s">
        <v>1603</v>
      </c>
      <c r="C279" s="305" t="s">
        <v>2044</v>
      </c>
      <c r="D279" s="306" t="s">
        <v>1290</v>
      </c>
      <c r="E279" s="305"/>
      <c r="F279" s="305"/>
      <c r="G279" s="305"/>
      <c r="H279" s="305"/>
      <c r="I279" s="96" t="str">
        <f t="shared" si="4"/>
        <v>Finaliser et adopter la cartographie des zones égouttables et non égouttables prévue par l’article 4</v>
      </c>
    </row>
    <row r="280" spans="1:9" ht="25.5" x14ac:dyDescent="0.25">
      <c r="A280" s="113" t="s">
        <v>893</v>
      </c>
      <c r="B280" s="296" t="s">
        <v>1604</v>
      </c>
      <c r="C280" s="305" t="s">
        <v>1856</v>
      </c>
      <c r="D280" s="306" t="s">
        <v>1290</v>
      </c>
      <c r="E280" s="305"/>
      <c r="F280" s="305"/>
      <c r="G280" s="305"/>
      <c r="H280" s="305"/>
      <c r="I280" s="96" t="str">
        <f t="shared" si="4"/>
        <v>Poursuivre l’inventaire de l’état des lieux et le cartographier (projet ETAL)</v>
      </c>
    </row>
    <row r="281" spans="1:9" ht="51" x14ac:dyDescent="0.25">
      <c r="A281" s="113" t="s">
        <v>894</v>
      </c>
      <c r="B281" s="296" t="s">
        <v>1605</v>
      </c>
      <c r="C281" s="305" t="s">
        <v>2044</v>
      </c>
      <c r="D281" s="306" t="s">
        <v>1290</v>
      </c>
      <c r="E281" s="305"/>
      <c r="F281" s="305"/>
      <c r="G281" s="305"/>
      <c r="H281" s="305"/>
      <c r="I281" s="96" t="str">
        <f t="shared" si="4"/>
        <v>Planifier les travaux de rénovation du réseau d’égouttage à l’horizon 2027 en maintenant un objectif</v>
      </c>
    </row>
    <row r="282" spans="1:9" ht="25.5" x14ac:dyDescent="0.25">
      <c r="A282" s="113" t="s">
        <v>895</v>
      </c>
      <c r="B282" s="296" t="s">
        <v>1606</v>
      </c>
      <c r="C282" s="305" t="s">
        <v>1856</v>
      </c>
      <c r="D282" s="307" t="s">
        <v>1290</v>
      </c>
      <c r="E282" s="305"/>
      <c r="F282" s="305"/>
      <c r="G282" s="305"/>
      <c r="H282" s="305"/>
      <c r="I282" s="96" t="str">
        <f t="shared" si="4"/>
        <v>Réaliser les travaux de rénovation du réseau d’égouttage (à concurrence de 0.8 à 1.1% /an)</v>
      </c>
    </row>
    <row r="283" spans="1:9" ht="25.5" x14ac:dyDescent="0.25">
      <c r="A283" s="113" t="s">
        <v>896</v>
      </c>
      <c r="B283" s="296" t="s">
        <v>1607</v>
      </c>
      <c r="C283" s="305" t="s">
        <v>1856</v>
      </c>
      <c r="D283" s="306" t="s">
        <v>1290</v>
      </c>
      <c r="E283" s="305"/>
      <c r="F283" s="305"/>
      <c r="G283" s="305"/>
      <c r="H283" s="305"/>
      <c r="I283" s="96" t="str">
        <f t="shared" si="4"/>
        <v>Etendre le réseau d’égouttage sur base de la cartographie des zones d’assainissement collectif et au</v>
      </c>
    </row>
    <row r="284" spans="1:9" ht="24.6" customHeight="1" x14ac:dyDescent="0.25">
      <c r="A284" s="113" t="s">
        <v>897</v>
      </c>
      <c r="B284" s="296" t="s">
        <v>1608</v>
      </c>
      <c r="C284" s="305" t="s">
        <v>23</v>
      </c>
      <c r="D284" s="306" t="s">
        <v>1290</v>
      </c>
      <c r="E284" s="305"/>
      <c r="F284" s="305"/>
      <c r="G284" s="305"/>
      <c r="H284" s="305"/>
      <c r="I284" s="96" t="str">
        <f t="shared" si="4"/>
        <v>Etablir une programmation des investissements pour la réhabilitation de certains collecteurs avec un</v>
      </c>
    </row>
    <row r="285" spans="1:9" ht="24.6" customHeight="1" x14ac:dyDescent="0.25">
      <c r="A285" s="113" t="s">
        <v>898</v>
      </c>
      <c r="B285" s="296" t="s">
        <v>2045</v>
      </c>
      <c r="C285" s="305" t="s">
        <v>2046</v>
      </c>
      <c r="D285" s="306" t="s">
        <v>1290</v>
      </c>
      <c r="E285" s="305"/>
      <c r="F285" s="305"/>
      <c r="G285" s="305"/>
      <c r="H285" s="305"/>
      <c r="I285" s="96" t="str">
        <f t="shared" si="4"/>
        <v>(In)former et soutenir les communes dans leur mise à jour des règlements communaux relatifs à l’égou</v>
      </c>
    </row>
    <row r="286" spans="1:9" ht="38.25" x14ac:dyDescent="0.25">
      <c r="A286" s="113" t="s">
        <v>899</v>
      </c>
      <c r="B286" s="296" t="s">
        <v>2047</v>
      </c>
      <c r="C286" s="305" t="s">
        <v>2046</v>
      </c>
      <c r="D286" s="306" t="s">
        <v>1290</v>
      </c>
      <c r="E286" s="305"/>
      <c r="F286" s="305"/>
      <c r="G286" s="305"/>
      <c r="H286" s="305"/>
      <c r="I286" s="96" t="str">
        <f t="shared" si="4"/>
        <v>Informer les habitants de leur obligation de raccordement, en priorité là où des tronçons d’égouttag</v>
      </c>
    </row>
    <row r="287" spans="1:9" ht="25.5" x14ac:dyDescent="0.25">
      <c r="A287" s="113" t="s">
        <v>900</v>
      </c>
      <c r="B287" s="296" t="s">
        <v>2048</v>
      </c>
      <c r="C287" s="305" t="s">
        <v>2049</v>
      </c>
      <c r="D287" s="306" t="s">
        <v>1290</v>
      </c>
      <c r="E287" s="305"/>
      <c r="F287" s="305"/>
      <c r="G287" s="305"/>
      <c r="H287" s="305"/>
      <c r="I287" s="96" t="str">
        <f t="shared" si="4"/>
        <v>Contrôler le raccordement effectif au réseau d’égouttage en priorité pour les tronçons récemment égo</v>
      </c>
    </row>
    <row r="288" spans="1:9" ht="25.5" x14ac:dyDescent="0.25">
      <c r="A288" s="113" t="s">
        <v>901</v>
      </c>
      <c r="B288" s="296" t="s">
        <v>2050</v>
      </c>
      <c r="C288" s="305" t="s">
        <v>1738</v>
      </c>
      <c r="D288" s="306" t="s">
        <v>1290</v>
      </c>
      <c r="E288" s="305"/>
      <c r="F288" s="305"/>
      <c r="G288" s="305"/>
      <c r="H288" s="305"/>
      <c r="I288" s="96" t="str">
        <f t="shared" si="4"/>
        <v>Etablir l’inventaire des systèmes d’épuration et de dispersion dans les zones non égouttées et non é</v>
      </c>
    </row>
    <row r="289" spans="1:9" ht="38.25" x14ac:dyDescent="0.25">
      <c r="A289" s="113" t="s">
        <v>902</v>
      </c>
      <c r="B289" s="296" t="s">
        <v>2051</v>
      </c>
      <c r="C289" s="305" t="s">
        <v>2052</v>
      </c>
      <c r="D289" s="306" t="s">
        <v>1290</v>
      </c>
      <c r="E289" s="305"/>
      <c r="F289" s="305"/>
      <c r="G289" s="305"/>
      <c r="H289" s="305"/>
      <c r="I289" s="96" t="str">
        <f t="shared" si="4"/>
        <v>Mettre en place un cadre règlementaire précis pour les systèmes d’épuration individuels et un systèm</v>
      </c>
    </row>
    <row r="290" spans="1:9" ht="51" x14ac:dyDescent="0.25">
      <c r="A290" s="113" t="s">
        <v>903</v>
      </c>
      <c r="B290" s="296" t="s">
        <v>2053</v>
      </c>
      <c r="C290" s="305" t="s">
        <v>2054</v>
      </c>
      <c r="D290" s="306" t="s">
        <v>1290</v>
      </c>
      <c r="E290" s="305"/>
      <c r="F290" s="305"/>
      <c r="G290" s="305"/>
      <c r="H290" s="305"/>
      <c r="I290" s="96" t="str">
        <f t="shared" si="4"/>
        <v>Informer et contraindre tout habitant se trouvant dans la zone d’assainissement autonome à la mise e</v>
      </c>
    </row>
    <row r="291" spans="1:9" ht="25.5" x14ac:dyDescent="0.25">
      <c r="A291" s="113" t="s">
        <v>904</v>
      </c>
      <c r="B291" s="296" t="s">
        <v>2055</v>
      </c>
      <c r="C291" s="305" t="s">
        <v>1738</v>
      </c>
      <c r="D291" s="306" t="s">
        <v>1290</v>
      </c>
      <c r="E291" s="305"/>
      <c r="F291" s="305"/>
      <c r="G291" s="305"/>
      <c r="H291" s="305"/>
      <c r="I291" s="96" t="str">
        <f t="shared" si="4"/>
        <v>Approfondir l’analyse liée à la légère augmentation statistique en nitrates des zones faiblement urb</v>
      </c>
    </row>
    <row r="292" spans="1:9" ht="25.5" x14ac:dyDescent="0.25">
      <c r="A292" s="113" t="s">
        <v>905</v>
      </c>
      <c r="B292" s="296" t="s">
        <v>2056</v>
      </c>
      <c r="C292" s="305" t="s">
        <v>2057</v>
      </c>
      <c r="D292" s="306" t="s">
        <v>1290</v>
      </c>
      <c r="E292" s="305"/>
      <c r="F292" s="305"/>
      <c r="G292" s="305"/>
      <c r="H292" s="305"/>
      <c r="I292" s="96" t="str">
        <f t="shared" si="4"/>
        <v>Si nécessaire sur base de l’analyse en 2.5.1, contrôler le respect des conditions d’exploiter pour l</v>
      </c>
    </row>
    <row r="293" spans="1:9" ht="23.45" customHeight="1" x14ac:dyDescent="0.25">
      <c r="A293" s="113" t="s">
        <v>906</v>
      </c>
      <c r="B293" s="296" t="s">
        <v>2058</v>
      </c>
      <c r="C293" s="305" t="s">
        <v>2059</v>
      </c>
      <c r="D293" s="306" t="s">
        <v>1290</v>
      </c>
      <c r="E293" s="305"/>
      <c r="F293" s="305"/>
      <c r="G293" s="305"/>
      <c r="H293" s="305"/>
      <c r="I293" s="96" t="str">
        <f t="shared" si="4"/>
        <v xml:space="preserve">Si nécessaire, revoir l’AGRBC du 19 novembre afin d’en garantir une meilleure applicabilité par les </v>
      </c>
    </row>
    <row r="294" spans="1:9" ht="25.5" x14ac:dyDescent="0.25">
      <c r="A294" s="113" t="s">
        <v>907</v>
      </c>
      <c r="B294" s="296" t="s">
        <v>2060</v>
      </c>
      <c r="C294" s="305" t="s">
        <v>2061</v>
      </c>
      <c r="D294" s="306" t="s">
        <v>1290</v>
      </c>
      <c r="E294" s="305"/>
      <c r="F294" s="305"/>
      <c r="G294" s="305"/>
      <c r="H294" s="305"/>
      <c r="I294" s="96" t="str">
        <f t="shared" si="4"/>
        <v>Editer une brochure de sensibilisation à l’égard des exploitants, notamment sur base du Code de Bonn</v>
      </c>
    </row>
    <row r="295" spans="1:9" ht="25.5" x14ac:dyDescent="0.25">
      <c r="A295" s="113" t="s">
        <v>911</v>
      </c>
      <c r="B295" s="296" t="s">
        <v>2062</v>
      </c>
      <c r="C295" s="305" t="s">
        <v>1842</v>
      </c>
      <c r="D295" s="306" t="s">
        <v>1290</v>
      </c>
      <c r="E295" s="305"/>
      <c r="F295" s="305"/>
      <c r="G295" s="305"/>
      <c r="H295" s="305"/>
      <c r="I295" s="96" t="str">
        <f t="shared" si="4"/>
        <v>Identifier les sources de la pollution au tétrachloroéthylène (cf. M.2.1 et M.3.3)</v>
      </c>
    </row>
    <row r="296" spans="1:9" ht="25.5" x14ac:dyDescent="0.25">
      <c r="A296" s="113" t="s">
        <v>912</v>
      </c>
      <c r="B296" s="296" t="s">
        <v>2063</v>
      </c>
      <c r="C296" s="305" t="s">
        <v>1738</v>
      </c>
      <c r="D296" s="306" t="s">
        <v>1290</v>
      </c>
      <c r="E296" s="305"/>
      <c r="F296" s="305"/>
      <c r="G296" s="305"/>
      <c r="H296" s="305"/>
      <c r="I296" s="96" t="str">
        <f t="shared" si="4"/>
        <v>Poursuivre l’inventaire de l’état des sols pollués en matière de tétrachloroéthylène et les composés</v>
      </c>
    </row>
    <row r="297" spans="1:9" ht="25.5" x14ac:dyDescent="0.25">
      <c r="A297" s="113" t="s">
        <v>908</v>
      </c>
      <c r="B297" s="296" t="s">
        <v>2064</v>
      </c>
      <c r="C297" s="305" t="s">
        <v>1842</v>
      </c>
      <c r="D297" s="306"/>
      <c r="E297" s="305"/>
      <c r="F297" s="305"/>
      <c r="G297" s="305"/>
      <c r="H297" s="305"/>
      <c r="I297" s="96" t="str">
        <f t="shared" si="4"/>
        <v>Poursuivre  l’assainissement des sols pollués au tétrachloroéthylène et des composés organochlorés t</v>
      </c>
    </row>
    <row r="298" spans="1:9" ht="25.5" x14ac:dyDescent="0.25">
      <c r="A298" s="113" t="s">
        <v>909</v>
      </c>
      <c r="B298" s="296" t="s">
        <v>2065</v>
      </c>
      <c r="C298" s="305" t="s">
        <v>1842</v>
      </c>
      <c r="D298" s="306"/>
      <c r="E298" s="305"/>
      <c r="F298" s="305"/>
      <c r="G298" s="305"/>
      <c r="H298" s="305"/>
      <c r="I298" s="96" t="str">
        <f t="shared" si="4"/>
        <v>Contrôler les conditions d’exploiter des permis d’environnement liés à des activités  utilisant du t</v>
      </c>
    </row>
    <row r="299" spans="1:9" ht="25.5" x14ac:dyDescent="0.25">
      <c r="A299" s="113" t="s">
        <v>910</v>
      </c>
      <c r="B299" s="296" t="s">
        <v>2066</v>
      </c>
      <c r="C299" s="305" t="s">
        <v>1738</v>
      </c>
      <c r="D299" s="306"/>
      <c r="E299" s="305"/>
      <c r="F299" s="305"/>
      <c r="G299" s="305"/>
      <c r="H299" s="305"/>
      <c r="I299" s="96" t="str">
        <f t="shared" si="4"/>
        <v>Promouvoir l’usage de substances alternatives au tétrachloroéthylène, pour en réduire l’usage et à t</v>
      </c>
    </row>
    <row r="300" spans="1:9" ht="25.5" x14ac:dyDescent="0.25">
      <c r="A300" s="113" t="s">
        <v>913</v>
      </c>
      <c r="B300" s="296" t="s">
        <v>2067</v>
      </c>
      <c r="C300" s="305" t="s">
        <v>2068</v>
      </c>
      <c r="D300" s="306"/>
      <c r="E300" s="305"/>
      <c r="F300" s="305"/>
      <c r="G300" s="305"/>
      <c r="H300" s="305"/>
      <c r="I300" s="96" t="str">
        <f t="shared" si="4"/>
        <v>Contrôler l’absence de rejets directs dans les prises d’eau autorisées, en priorité pour les activit</v>
      </c>
    </row>
    <row r="301" spans="1:9" ht="51" x14ac:dyDescent="0.25">
      <c r="A301" s="113" t="s">
        <v>919</v>
      </c>
      <c r="B301" s="296" t="s">
        <v>2069</v>
      </c>
      <c r="C301" s="305" t="s">
        <v>2070</v>
      </c>
      <c r="D301" s="306"/>
      <c r="E301" s="305"/>
      <c r="F301" s="305"/>
      <c r="G301" s="305"/>
      <c r="H301" s="305"/>
      <c r="I301" s="96" t="str">
        <f t="shared" si="4"/>
        <v>Contrôler l’application de l’interdiction d’usages des pesticides dans les zones à risque accrus dél</v>
      </c>
    </row>
    <row r="302" spans="1:9" ht="38.25" x14ac:dyDescent="0.25">
      <c r="A302" s="113" t="s">
        <v>914</v>
      </c>
      <c r="B302" s="296" t="s">
        <v>2071</v>
      </c>
      <c r="C302" s="305" t="s">
        <v>2072</v>
      </c>
      <c r="D302" s="306"/>
      <c r="E302" s="305"/>
      <c r="F302" s="305"/>
      <c r="G302" s="305"/>
      <c r="H302" s="305"/>
      <c r="I302" s="96" t="str">
        <f t="shared" si="4"/>
        <v>Contrôler la mise en œuvre des conditions imposées dans les permis lors de la réalisation de l’insta</v>
      </c>
    </row>
    <row r="303" spans="1:9" ht="51" x14ac:dyDescent="0.25">
      <c r="A303" s="113" t="s">
        <v>915</v>
      </c>
      <c r="B303" s="296" t="s">
        <v>2073</v>
      </c>
      <c r="C303" s="305" t="s">
        <v>2072</v>
      </c>
      <c r="D303" s="306"/>
      <c r="E303" s="305"/>
      <c r="F303" s="305"/>
      <c r="G303" s="305"/>
      <c r="H303" s="305"/>
      <c r="I303" s="96" t="str">
        <f t="shared" si="4"/>
        <v>Assurer une gestion appropriée des ouvrages soumis à permis d’environnement en contrôlant le respect</v>
      </c>
    </row>
    <row r="304" spans="1:9" ht="51" x14ac:dyDescent="0.25">
      <c r="A304" s="113" t="s">
        <v>916</v>
      </c>
      <c r="B304" s="296" t="s">
        <v>2848</v>
      </c>
      <c r="C304" s="305" t="s">
        <v>1738</v>
      </c>
      <c r="D304" s="306"/>
      <c r="E304" s="305"/>
      <c r="F304" s="305"/>
      <c r="G304" s="305"/>
      <c r="H304" s="305"/>
      <c r="I304" s="96" t="str">
        <f t="shared" si="4"/>
        <v>Assurer un contrôle approprié des piézomètres mis en place lors d’ études de reconnaissance de l’éta</v>
      </c>
    </row>
    <row r="305" spans="1:9" ht="38.25" x14ac:dyDescent="0.25">
      <c r="A305" s="113" t="s">
        <v>917</v>
      </c>
      <c r="B305" s="296" t="s">
        <v>2074</v>
      </c>
      <c r="C305" s="305" t="s">
        <v>1842</v>
      </c>
      <c r="D305" s="306"/>
      <c r="E305" s="305"/>
      <c r="F305" s="305"/>
      <c r="G305" s="305"/>
      <c r="H305" s="305"/>
      <c r="I305" s="96" t="str">
        <f t="shared" si="4"/>
        <v>Etablir un inventaire des ouvrages et des piézomètres dont le permis d’environnement est échu ou non</v>
      </c>
    </row>
    <row r="306" spans="1:9" ht="25.5" x14ac:dyDescent="0.25">
      <c r="A306" s="113" t="s">
        <v>918</v>
      </c>
      <c r="B306" s="296" t="s">
        <v>2075</v>
      </c>
      <c r="C306" s="305" t="s">
        <v>1738</v>
      </c>
      <c r="D306" s="306"/>
      <c r="E306" s="305"/>
      <c r="F306" s="305"/>
      <c r="G306" s="305"/>
      <c r="H306" s="305"/>
      <c r="I306" s="96" t="str">
        <f t="shared" si="4"/>
        <v xml:space="preserve">Évaluer les incidences particulièrement pour la réinjection d’eau utilisée à des fins géothermiques </v>
      </c>
    </row>
    <row r="307" spans="1:9" x14ac:dyDescent="0.25">
      <c r="A307" s="113" t="s">
        <v>920</v>
      </c>
      <c r="B307" s="296" t="s">
        <v>2076</v>
      </c>
      <c r="C307" s="305" t="s">
        <v>1738</v>
      </c>
      <c r="D307" s="306"/>
      <c r="E307" s="305"/>
      <c r="F307" s="305"/>
      <c r="G307" s="305"/>
      <c r="H307" s="305"/>
      <c r="I307" s="96" t="str">
        <f t="shared" si="4"/>
        <v>Poursuivre la gestion et l’assainissement des sols pollués</v>
      </c>
    </row>
    <row r="308" spans="1:9" ht="38.25" x14ac:dyDescent="0.25">
      <c r="A308" s="113" t="s">
        <v>922</v>
      </c>
      <c r="B308" s="296" t="s">
        <v>2077</v>
      </c>
      <c r="C308" s="305" t="s">
        <v>1738</v>
      </c>
      <c r="D308" s="306"/>
      <c r="E308" s="305"/>
      <c r="F308" s="305"/>
      <c r="G308" s="305"/>
      <c r="H308" s="305"/>
      <c r="I308" s="96" t="str">
        <f t="shared" si="4"/>
        <v>Assurer un contrôle approprié des piézomètres mis en place lors des études de reconnaissance de l’ét</v>
      </c>
    </row>
    <row r="309" spans="1:9" ht="25.5" x14ac:dyDescent="0.25">
      <c r="A309" s="113" t="s">
        <v>921</v>
      </c>
      <c r="B309" s="296" t="s">
        <v>2078</v>
      </c>
      <c r="C309" s="305" t="s">
        <v>1738</v>
      </c>
      <c r="D309" s="306"/>
      <c r="E309" s="305"/>
      <c r="F309" s="305"/>
      <c r="G309" s="305"/>
      <c r="H309" s="305"/>
      <c r="I309" s="96" t="str">
        <f t="shared" si="4"/>
        <v>Evaluer la pertinence de revoir les normes d’intervention de façon à l’adapter aux paramètres problé</v>
      </c>
    </row>
    <row r="310" spans="1:9" ht="25.5" x14ac:dyDescent="0.25">
      <c r="A310" s="113" t="s">
        <v>923</v>
      </c>
      <c r="B310" s="296" t="s">
        <v>2079</v>
      </c>
      <c r="C310" s="305" t="s">
        <v>2080</v>
      </c>
      <c r="D310" s="306"/>
      <c r="E310" s="305"/>
      <c r="F310" s="305"/>
      <c r="G310" s="305"/>
      <c r="H310" s="305"/>
      <c r="I310" s="96" t="str">
        <f t="shared" si="4"/>
        <v>Inventorier les activités critiques autour des zones de protection de captages d’eau, grader les ris</v>
      </c>
    </row>
    <row r="311" spans="1:9" x14ac:dyDescent="0.25">
      <c r="A311" s="113" t="s">
        <v>924</v>
      </c>
      <c r="B311" s="296" t="s">
        <v>2081</v>
      </c>
      <c r="C311" s="305" t="s">
        <v>1738</v>
      </c>
      <c r="D311" s="306"/>
      <c r="E311" s="305"/>
      <c r="F311" s="305"/>
      <c r="G311" s="305"/>
      <c r="H311" s="305"/>
      <c r="I311" s="96" t="str">
        <f t="shared" si="4"/>
        <v>Renforcer les conditions d’exploiter des permis d’environnement proches de points critiques</v>
      </c>
    </row>
    <row r="312" spans="1:9" x14ac:dyDescent="0.25">
      <c r="A312" s="113" t="s">
        <v>925</v>
      </c>
      <c r="B312" s="296" t="s">
        <v>2082</v>
      </c>
      <c r="C312" s="305" t="s">
        <v>1738</v>
      </c>
      <c r="D312" s="306"/>
      <c r="E312" s="305"/>
      <c r="F312" s="305"/>
      <c r="G312" s="305"/>
      <c r="H312" s="305"/>
      <c r="I312" s="96" t="str">
        <f t="shared" si="4"/>
        <v>Contrôler la mise en place des conditions d’exploitation renforcées dans les permis environnement</v>
      </c>
    </row>
    <row r="313" spans="1:9" ht="25.5" x14ac:dyDescent="0.25">
      <c r="A313" s="113" t="s">
        <v>926</v>
      </c>
      <c r="B313" s="296" t="s">
        <v>2083</v>
      </c>
      <c r="C313" s="305" t="s">
        <v>1856</v>
      </c>
      <c r="D313" s="306"/>
      <c r="E313" s="305"/>
      <c r="F313" s="305"/>
      <c r="G313" s="305"/>
      <c r="H313" s="305"/>
      <c r="I313" s="96" t="str">
        <f t="shared" si="4"/>
        <v>Développer un système de signalement de pollution accidentelle à usage de la population vers les act</v>
      </c>
    </row>
    <row r="314" spans="1:9" x14ac:dyDescent="0.25">
      <c r="A314" s="113" t="s">
        <v>927</v>
      </c>
      <c r="B314" s="296" t="s">
        <v>2084</v>
      </c>
      <c r="C314" s="305" t="s">
        <v>2085</v>
      </c>
      <c r="D314" s="306"/>
      <c r="E314" s="305"/>
      <c r="F314" s="305"/>
      <c r="G314" s="305"/>
      <c r="H314" s="305"/>
      <c r="I314" s="96" t="str">
        <f t="shared" si="4"/>
        <v>Mettre en place un plan d’intervention d’urgence de gestion de pollution avec tous les acteurs conce</v>
      </c>
    </row>
    <row r="315" spans="1:9" x14ac:dyDescent="0.25">
      <c r="A315" s="113" t="s">
        <v>868</v>
      </c>
      <c r="B315" s="296" t="s">
        <v>2086</v>
      </c>
      <c r="C315" s="305" t="s">
        <v>1738</v>
      </c>
      <c r="D315" s="306"/>
      <c r="E315" s="305"/>
      <c r="F315" s="305"/>
      <c r="G315" s="305"/>
      <c r="H315" s="305"/>
      <c r="I315" s="96" t="str">
        <f t="shared" si="4"/>
        <v>Poursuivre la surveillance quantitative (piézomètres et sources pérennes)</v>
      </c>
    </row>
    <row r="316" spans="1:9" ht="25.5" x14ac:dyDescent="0.25">
      <c r="A316" s="113" t="s">
        <v>869</v>
      </c>
      <c r="B316" s="296" t="s">
        <v>2087</v>
      </c>
      <c r="C316" s="305" t="s">
        <v>1738</v>
      </c>
      <c r="D316" s="306"/>
      <c r="E316" s="305"/>
      <c r="F316" s="305"/>
      <c r="G316" s="305"/>
      <c r="H316" s="305"/>
      <c r="I316" s="96" t="str">
        <f t="shared" si="4"/>
        <v>Améliorer la surveillance quantitative, en intégrant de nouveaux sites de surveillance piézométrique</v>
      </c>
    </row>
    <row r="317" spans="1:9" x14ac:dyDescent="0.25">
      <c r="A317" s="113" t="s">
        <v>870</v>
      </c>
      <c r="B317" s="296" t="s">
        <v>2088</v>
      </c>
      <c r="C317" s="305" t="s">
        <v>1738</v>
      </c>
      <c r="D317" s="306"/>
      <c r="E317" s="305"/>
      <c r="F317" s="305"/>
      <c r="G317" s="305"/>
      <c r="H317" s="305"/>
      <c r="I317" s="96" t="str">
        <f t="shared" si="4"/>
        <v>Assurer et renforcer la pérennité des sites de surveillance</v>
      </c>
    </row>
    <row r="318" spans="1:9" x14ac:dyDescent="0.25">
      <c r="A318" s="113" t="s">
        <v>871</v>
      </c>
      <c r="B318" s="296" t="s">
        <v>2089</v>
      </c>
      <c r="C318" s="305" t="s">
        <v>1738</v>
      </c>
      <c r="D318" s="306"/>
      <c r="E318" s="305"/>
      <c r="F318" s="305"/>
      <c r="G318" s="305"/>
      <c r="H318" s="305"/>
      <c r="I318" s="96" t="str">
        <f t="shared" si="4"/>
        <v>Upgrade BrugeoTool (v2+)</v>
      </c>
    </row>
    <row r="319" spans="1:9" x14ac:dyDescent="0.25">
      <c r="A319" s="113" t="s">
        <v>872</v>
      </c>
      <c r="B319" s="296" t="s">
        <v>2090</v>
      </c>
      <c r="C319" s="305" t="s">
        <v>1738</v>
      </c>
      <c r="D319" s="306"/>
      <c r="E319" s="305"/>
      <c r="F319" s="305"/>
      <c r="G319" s="305"/>
      <c r="H319" s="305"/>
      <c r="I319" s="96" t="str">
        <f t="shared" si="4"/>
        <v>Upgrade Brustrati3D (v2+)</v>
      </c>
    </row>
    <row r="320" spans="1:9" x14ac:dyDescent="0.25">
      <c r="A320" s="113" t="s">
        <v>873</v>
      </c>
      <c r="B320" s="296" t="s">
        <v>2091</v>
      </c>
      <c r="C320" s="305" t="s">
        <v>1738</v>
      </c>
      <c r="D320" s="306"/>
      <c r="E320" s="305"/>
      <c r="F320" s="305"/>
      <c r="G320" s="305"/>
      <c r="H320" s="305"/>
      <c r="I320" s="96" t="str">
        <f t="shared" si="4"/>
        <v>Upgrade BPSM (v2+)</v>
      </c>
    </row>
    <row r="321" spans="1:9" x14ac:dyDescent="0.25">
      <c r="A321" s="113" t="s">
        <v>874</v>
      </c>
      <c r="B321" s="296" t="s">
        <v>2092</v>
      </c>
      <c r="C321" s="305" t="s">
        <v>1738</v>
      </c>
      <c r="D321" s="306"/>
      <c r="E321" s="305"/>
      <c r="F321" s="305"/>
      <c r="G321" s="305"/>
      <c r="H321" s="305"/>
      <c r="I321" s="96" t="str">
        <f t="shared" si="4"/>
        <v>Upgrade Hydroland (v2+)</v>
      </c>
    </row>
    <row r="322" spans="1:9" x14ac:dyDescent="0.25">
      <c r="A322" s="113" t="s">
        <v>875</v>
      </c>
      <c r="B322" s="296" t="s">
        <v>2093</v>
      </c>
      <c r="C322" s="305" t="s">
        <v>1738</v>
      </c>
      <c r="D322" s="306"/>
      <c r="E322" s="305"/>
      <c r="F322" s="305"/>
      <c r="G322" s="305"/>
      <c r="H322" s="305"/>
      <c r="I322" s="96" t="str">
        <f t="shared" si="4"/>
        <v>Simulations prédictives prioritaires (BPSM, Hydroland)</v>
      </c>
    </row>
    <row r="323" spans="1:9" x14ac:dyDescent="0.25">
      <c r="A323" s="113" t="s">
        <v>876</v>
      </c>
      <c r="B323" s="296" t="s">
        <v>363</v>
      </c>
      <c r="C323" s="305" t="s">
        <v>1738</v>
      </c>
      <c r="D323" s="306"/>
      <c r="E323" s="305"/>
      <c r="F323" s="305"/>
      <c r="G323" s="305"/>
      <c r="H323" s="305"/>
      <c r="I323" s="96" t="str">
        <f t="shared" si="4"/>
        <v>Développer une stratégie de gestion des captages d’eau souterraine</v>
      </c>
    </row>
    <row r="324" spans="1:9" ht="25.5" x14ac:dyDescent="0.25">
      <c r="A324" s="113" t="s">
        <v>877</v>
      </c>
      <c r="B324" s="296" t="s">
        <v>2094</v>
      </c>
      <c r="C324" s="305" t="s">
        <v>1738</v>
      </c>
      <c r="D324" s="306"/>
      <c r="E324" s="305"/>
      <c r="F324" s="305"/>
      <c r="G324" s="305"/>
      <c r="H324" s="305"/>
      <c r="I324" s="96" t="str">
        <f t="shared" si="4"/>
        <v>Opérationnaliser cette stratégie dans le cadre des futures autorisations de captage et révision d’au</v>
      </c>
    </row>
    <row r="325" spans="1:9" ht="25.5" x14ac:dyDescent="0.25">
      <c r="A325" s="113" t="s">
        <v>878</v>
      </c>
      <c r="B325" s="296" t="s">
        <v>2095</v>
      </c>
      <c r="C325" s="305" t="s">
        <v>1738</v>
      </c>
      <c r="D325" s="306"/>
      <c r="E325" s="305"/>
      <c r="F325" s="305"/>
      <c r="G325" s="305"/>
      <c r="H325" s="305"/>
      <c r="I325" s="96" t="str">
        <f t="shared" si="4"/>
        <v xml:space="preserve">Effectuer un recensement annuel de tous les captages permanents et temporaires existants et dresser </v>
      </c>
    </row>
    <row r="326" spans="1:9" ht="25.5" x14ac:dyDescent="0.25">
      <c r="A326" s="113" t="s">
        <v>879</v>
      </c>
      <c r="B326" s="296" t="s">
        <v>2096</v>
      </c>
      <c r="C326" s="305" t="s">
        <v>1738</v>
      </c>
      <c r="D326" s="306"/>
      <c r="E326" s="305"/>
      <c r="F326" s="305"/>
      <c r="G326" s="305"/>
      <c r="H326" s="305"/>
      <c r="I326" s="96" t="str">
        <f t="shared" si="4"/>
        <v xml:space="preserve">Tenir à jour la base de données reprenant l’ensemble des données technico-administratives relatives </v>
      </c>
    </row>
    <row r="327" spans="1:9" ht="51" x14ac:dyDescent="0.25">
      <c r="A327" s="113" t="s">
        <v>880</v>
      </c>
      <c r="B327" s="296" t="s">
        <v>2097</v>
      </c>
      <c r="C327" s="305" t="s">
        <v>1738</v>
      </c>
      <c r="D327" s="306"/>
      <c r="E327" s="305"/>
      <c r="F327" s="305"/>
      <c r="G327" s="305"/>
      <c r="H327" s="305"/>
      <c r="I327" s="96" t="str">
        <f t="shared" si="4"/>
        <v>Evaluer l’application de l’arrêté du Gouvernement de la Région de Bruxelles-Capitale du 8 novembre 2</v>
      </c>
    </row>
    <row r="328" spans="1:9" ht="25.5" x14ac:dyDescent="0.25">
      <c r="A328" s="113" t="s">
        <v>881</v>
      </c>
      <c r="B328" s="296" t="s">
        <v>2098</v>
      </c>
      <c r="C328" s="305" t="s">
        <v>1738</v>
      </c>
      <c r="D328" s="306"/>
      <c r="E328" s="305"/>
      <c r="F328" s="305"/>
      <c r="G328" s="305"/>
      <c r="H328" s="305"/>
      <c r="I328" s="96" t="str">
        <f t="shared" si="4"/>
        <v>Assurer un contrôle spécifique des exploitants de captage, en particulier les captages temporaires (</v>
      </c>
    </row>
    <row r="329" spans="1:9" ht="25.5" x14ac:dyDescent="0.25">
      <c r="A329" s="113" t="s">
        <v>882</v>
      </c>
      <c r="B329" s="296" t="s">
        <v>2099</v>
      </c>
      <c r="C329" s="305" t="s">
        <v>1738</v>
      </c>
      <c r="D329" s="306"/>
      <c r="E329" s="305"/>
      <c r="F329" s="305"/>
      <c r="G329" s="305"/>
      <c r="H329" s="305"/>
      <c r="I329" s="96" t="str">
        <f t="shared" si="4"/>
        <v>Assurer la maintenance de la carte des profondeurs de nappe pouvant servir de base pour l’indentific</v>
      </c>
    </row>
    <row r="330" spans="1:9" ht="38.25" x14ac:dyDescent="0.25">
      <c r="A330" s="113" t="s">
        <v>883</v>
      </c>
      <c r="B330" s="296" t="s">
        <v>2100</v>
      </c>
      <c r="C330" s="305" t="s">
        <v>2101</v>
      </c>
      <c r="D330" s="306"/>
      <c r="E330" s="305"/>
      <c r="F330" s="305"/>
      <c r="G330" s="305"/>
      <c r="H330" s="305"/>
      <c r="I330" s="96" t="str">
        <f t="shared" si="4"/>
        <v xml:space="preserve">Lors de chantier d’étanchéification d’égout, dans les zones à risque, identifier le risque local de </v>
      </c>
    </row>
    <row r="331" spans="1:9" x14ac:dyDescent="0.25">
      <c r="A331" s="113" t="s">
        <v>884</v>
      </c>
      <c r="B331" s="296" t="s">
        <v>2849</v>
      </c>
      <c r="C331" s="305" t="s">
        <v>1738</v>
      </c>
      <c r="D331" s="306"/>
      <c r="E331" s="305"/>
      <c r="F331" s="305"/>
      <c r="G331" s="305"/>
      <c r="H331" s="305"/>
      <c r="I331" s="96" t="str">
        <f t="shared" si="4"/>
        <v>amélioration continue des cartes de risque d’effet barrage (fonction des upgrades de BPSM)</v>
      </c>
    </row>
    <row r="332" spans="1:9" ht="25.5" x14ac:dyDescent="0.25">
      <c r="A332" s="113" t="s">
        <v>885</v>
      </c>
      <c r="B332" s="296" t="s">
        <v>2850</v>
      </c>
      <c r="C332" s="305" t="s">
        <v>1738</v>
      </c>
      <c r="D332" s="306"/>
      <c r="E332" s="305"/>
      <c r="F332" s="305"/>
      <c r="G332" s="305"/>
      <c r="H332" s="305"/>
      <c r="I332" s="96" t="str">
        <f t="shared" si="4"/>
        <v>amélioration et renforcement de l’analyse du risque d’effet barrage dans le cadre de la procédure d’</v>
      </c>
    </row>
    <row r="333" spans="1:9" ht="25.5" x14ac:dyDescent="0.25">
      <c r="A333" s="113" t="s">
        <v>928</v>
      </c>
      <c r="B333" s="296" t="s">
        <v>2102</v>
      </c>
      <c r="C333" s="305" t="s">
        <v>1738</v>
      </c>
      <c r="D333" s="306"/>
      <c r="E333" s="305"/>
      <c r="F333" s="305"/>
      <c r="G333" s="305"/>
      <c r="H333" s="305"/>
      <c r="I333" s="96" t="str">
        <f t="shared" si="4"/>
        <v xml:space="preserve">Poursuivre la surveillance qualitative et quantitative dans les zones de protection de captages sur </v>
      </c>
    </row>
    <row r="334" spans="1:9" ht="25.5" x14ac:dyDescent="0.25">
      <c r="A334" s="113" t="s">
        <v>929</v>
      </c>
      <c r="B334" s="296" t="s">
        <v>2103</v>
      </c>
      <c r="C334" s="305" t="s">
        <v>41</v>
      </c>
      <c r="D334" s="306"/>
      <c r="E334" s="305"/>
      <c r="F334" s="305"/>
      <c r="G334" s="305"/>
      <c r="H334" s="305"/>
      <c r="I334" s="96" t="str">
        <f t="shared" si="4"/>
        <v>Poursuivre la surveillance quantitative dans les zones de protection de captages sur les eaux brutes</v>
      </c>
    </row>
    <row r="335" spans="1:9" ht="38.25" x14ac:dyDescent="0.25">
      <c r="A335" s="113" t="s">
        <v>930</v>
      </c>
      <c r="B335" s="296" t="s">
        <v>2104</v>
      </c>
      <c r="C335" s="305" t="s">
        <v>1738</v>
      </c>
      <c r="D335" s="306"/>
      <c r="E335" s="305"/>
      <c r="F335" s="305"/>
      <c r="G335" s="305"/>
      <c r="H335" s="305"/>
      <c r="I335" s="96" t="str">
        <f t="shared" si="4"/>
        <v>Etendre la surveillance qualitative des eaux souterraines brutes destinées à la consommation humaine</v>
      </c>
    </row>
    <row r="336" spans="1:9" ht="25.5" x14ac:dyDescent="0.25">
      <c r="A336" s="113" t="s">
        <v>931</v>
      </c>
      <c r="B336" s="296" t="s">
        <v>2105</v>
      </c>
      <c r="C336" s="305" t="s">
        <v>1738</v>
      </c>
      <c r="D336" s="306"/>
      <c r="E336" s="305"/>
      <c r="F336" s="305"/>
      <c r="G336" s="305"/>
      <c r="H336" s="305"/>
      <c r="I336" s="96" t="str">
        <f t="shared" si="4"/>
        <v>Evaluer l’état qualitatif de la masse d’eau des Sables du Bruxellien en zone de protection des capta</v>
      </c>
    </row>
    <row r="337" spans="1:9" ht="25.5" x14ac:dyDescent="0.25">
      <c r="A337" s="113" t="s">
        <v>932</v>
      </c>
      <c r="B337" s="296" t="s">
        <v>2106</v>
      </c>
      <c r="C337" s="305" t="s">
        <v>1738</v>
      </c>
      <c r="D337" s="306"/>
      <c r="E337" s="305"/>
      <c r="F337" s="305"/>
      <c r="G337" s="305"/>
      <c r="H337" s="305"/>
      <c r="I337" s="96" t="str">
        <f t="shared" si="4"/>
        <v>Etablir un inventaire des activités à risques sur base des permis environnement en cours et échus et</v>
      </c>
    </row>
    <row r="338" spans="1:9" ht="51" x14ac:dyDescent="0.25">
      <c r="A338" s="113" t="s">
        <v>933</v>
      </c>
      <c r="B338" s="296" t="s">
        <v>2107</v>
      </c>
      <c r="C338" s="305" t="s">
        <v>41</v>
      </c>
      <c r="D338" s="306"/>
      <c r="E338" s="305"/>
      <c r="F338" s="305"/>
      <c r="G338" s="305"/>
      <c r="H338" s="305"/>
      <c r="I338" s="96" t="str">
        <f t="shared" si="4"/>
        <v>Elaborer un programme de mesures en vue de protéger les captages d’eau destinée à la consommation hu</v>
      </c>
    </row>
    <row r="339" spans="1:9" ht="38.25" x14ac:dyDescent="0.25">
      <c r="A339" s="113" t="s">
        <v>934</v>
      </c>
      <c r="B339" s="296" t="s">
        <v>2108</v>
      </c>
      <c r="C339" s="305" t="s">
        <v>41</v>
      </c>
      <c r="D339" s="306"/>
      <c r="E339" s="305"/>
      <c r="F339" s="305"/>
      <c r="G339" s="305"/>
      <c r="H339" s="305"/>
      <c r="I339" s="96" t="str">
        <f t="shared" si="4"/>
        <v>Poursuivre et renforcer la surveillance préventive et de gestion des risques liés à la contamination</v>
      </c>
    </row>
    <row r="340" spans="1:9" ht="38.25" x14ac:dyDescent="0.25">
      <c r="A340" s="113" t="s">
        <v>935</v>
      </c>
      <c r="B340" s="296" t="s">
        <v>2109</v>
      </c>
      <c r="C340" s="305" t="s">
        <v>1738</v>
      </c>
      <c r="D340" s="306"/>
      <c r="E340" s="305"/>
      <c r="F340" s="305"/>
      <c r="G340" s="305"/>
      <c r="H340" s="305"/>
      <c r="I340" s="96" t="str">
        <f t="shared" si="4"/>
        <v xml:space="preserve">Poursuivre et renforcer la sensibilisation des occupants de la zone de captages par la distribution </v>
      </c>
    </row>
    <row r="341" spans="1:9" ht="25.5" x14ac:dyDescent="0.25">
      <c r="A341" s="113" t="s">
        <v>936</v>
      </c>
      <c r="B341" s="296" t="s">
        <v>2110</v>
      </c>
      <c r="C341" s="305" t="s">
        <v>41</v>
      </c>
      <c r="D341" s="306"/>
      <c r="E341" s="305"/>
      <c r="F341" s="305"/>
      <c r="G341" s="305"/>
      <c r="H341" s="305"/>
      <c r="I341" s="96" t="str">
        <f t="shared" si="4"/>
        <v xml:space="preserve">Sensibiliser la population sur la présence de captages d’eaux destinés à la consommation humaine et </v>
      </c>
    </row>
    <row r="342" spans="1:9" x14ac:dyDescent="0.25">
      <c r="A342" s="113" t="s">
        <v>937</v>
      </c>
      <c r="B342" s="296" t="s">
        <v>2111</v>
      </c>
      <c r="C342" s="305" t="s">
        <v>1842</v>
      </c>
      <c r="D342" s="306"/>
      <c r="E342" s="305"/>
      <c r="F342" s="305"/>
      <c r="G342" s="305"/>
      <c r="H342" s="305"/>
      <c r="I342" s="96" t="str">
        <f t="shared" ref="I342:I405" si="5">LEFT(B342,100)</f>
        <v>Renforcer les contrôles pour les réservoirs d’hydrocarbures situés dans la zone de protection III.</v>
      </c>
    </row>
    <row r="343" spans="1:9" ht="25.5" x14ac:dyDescent="0.25">
      <c r="A343" s="113" t="s">
        <v>938</v>
      </c>
      <c r="B343" s="296" t="s">
        <v>2112</v>
      </c>
      <c r="C343" s="305" t="s">
        <v>1842</v>
      </c>
      <c r="D343" s="306"/>
      <c r="E343" s="305"/>
      <c r="F343" s="305"/>
      <c r="G343" s="305"/>
      <c r="H343" s="305"/>
      <c r="I343" s="96" t="str">
        <f t="shared" si="5"/>
        <v xml:space="preserve">Renforcer le contrôle des obligations et interdictions relatives à l’utilisation, le stockage et la </v>
      </c>
    </row>
    <row r="344" spans="1:9" x14ac:dyDescent="0.25">
      <c r="A344" s="113" t="s">
        <v>939</v>
      </c>
      <c r="B344" s="296" t="s">
        <v>2113</v>
      </c>
      <c r="C344" s="305" t="s">
        <v>1738</v>
      </c>
      <c r="D344" s="306"/>
      <c r="E344" s="305"/>
      <c r="F344" s="305"/>
      <c r="G344" s="305"/>
      <c r="H344" s="305"/>
      <c r="I344" s="96" t="str">
        <f t="shared" si="5"/>
        <v>Poursuivre la surveillance des eaux souterraines, en ce compris dans la zone vulnérable aux nitrates</v>
      </c>
    </row>
    <row r="345" spans="1:9" ht="25.5" x14ac:dyDescent="0.25">
      <c r="A345" s="113" t="s">
        <v>940</v>
      </c>
      <c r="B345" s="296" t="s">
        <v>2114</v>
      </c>
      <c r="C345" s="305" t="s">
        <v>41</v>
      </c>
      <c r="D345" s="306"/>
      <c r="E345" s="305"/>
      <c r="F345" s="305"/>
      <c r="G345" s="305"/>
      <c r="H345" s="305"/>
      <c r="I345" s="96" t="str">
        <f t="shared" si="5"/>
        <v>Poursuivre la surveillance des composés azotés dans les eaux brutes souterraines prélevées par l’exp</v>
      </c>
    </row>
    <row r="346" spans="1:9" ht="25.5" x14ac:dyDescent="0.25">
      <c r="A346" s="113" t="s">
        <v>941</v>
      </c>
      <c r="B346" s="296" t="s">
        <v>2115</v>
      </c>
      <c r="C346" s="305" t="s">
        <v>1738</v>
      </c>
      <c r="D346" s="306"/>
      <c r="E346" s="305"/>
      <c r="F346" s="305"/>
      <c r="G346" s="305"/>
      <c r="H346" s="305"/>
      <c r="I346" s="96" t="str">
        <f t="shared" si="5"/>
        <v>Poursuivre et élargir l’identification des sources et cause de pollution nitrique (en lien avec M.2.</v>
      </c>
    </row>
    <row r="347" spans="1:9" ht="25.5" x14ac:dyDescent="0.25">
      <c r="A347" s="113" t="s">
        <v>942</v>
      </c>
      <c r="B347" s="296" t="s">
        <v>2116</v>
      </c>
      <c r="C347" s="305" t="s">
        <v>1738</v>
      </c>
      <c r="D347" s="306"/>
      <c r="E347" s="305"/>
      <c r="F347" s="305"/>
      <c r="G347" s="305"/>
      <c r="H347" s="305"/>
      <c r="I347" s="96" t="str">
        <f t="shared" si="5"/>
        <v xml:space="preserve">Renforcer et adapter la surveillance des eaux souterraines aux écosystèmes terrestres et aquatiques </v>
      </c>
    </row>
    <row r="348" spans="1:9" ht="25.5" x14ac:dyDescent="0.25">
      <c r="A348" s="113" t="s">
        <v>949</v>
      </c>
      <c r="B348" s="296" t="s">
        <v>2117</v>
      </c>
      <c r="C348" s="305" t="s">
        <v>1738</v>
      </c>
      <c r="D348" s="306"/>
      <c r="E348" s="305"/>
      <c r="F348" s="305"/>
      <c r="G348" s="305"/>
      <c r="H348" s="305"/>
      <c r="I348" s="96" t="str">
        <f t="shared" si="5"/>
        <v>Poursuivre le réseau de surveillance et opérationnel des monitorings physico-chimique et chimique de</v>
      </c>
    </row>
    <row r="349" spans="1:9" x14ac:dyDescent="0.25">
      <c r="A349" s="113" t="s">
        <v>950</v>
      </c>
      <c r="B349" s="296" t="s">
        <v>2118</v>
      </c>
      <c r="C349" s="305" t="s">
        <v>1738</v>
      </c>
      <c r="D349" s="306"/>
      <c r="E349" s="305"/>
      <c r="F349" s="305"/>
      <c r="G349" s="305"/>
      <c r="H349" s="305"/>
      <c r="I349" s="96" t="str">
        <f t="shared" si="5"/>
        <v>Identifier les sources des pollutions de la Woluwe (M1.20)</v>
      </c>
    </row>
    <row r="350" spans="1:9" ht="25.5" x14ac:dyDescent="0.25">
      <c r="A350" s="113" t="s">
        <v>943</v>
      </c>
      <c r="B350" s="296" t="s">
        <v>2119</v>
      </c>
      <c r="C350" s="305" t="s">
        <v>1738</v>
      </c>
      <c r="D350" s="306"/>
      <c r="E350" s="305"/>
      <c r="F350" s="305"/>
      <c r="G350" s="305"/>
      <c r="H350" s="305"/>
      <c r="I350" s="96" t="str">
        <f t="shared" si="5"/>
        <v>Poursuivre l’identification des écosystèmes dépendants des eaux souterraines et établir une typologi</v>
      </c>
    </row>
    <row r="351" spans="1:9" ht="25.5" x14ac:dyDescent="0.25">
      <c r="A351" s="113" t="s">
        <v>951</v>
      </c>
      <c r="B351" s="296" t="s">
        <v>2120</v>
      </c>
      <c r="C351" s="305" t="s">
        <v>1738</v>
      </c>
      <c r="D351" s="306"/>
      <c r="E351" s="305"/>
      <c r="F351" s="305"/>
      <c r="G351" s="305"/>
      <c r="H351" s="305"/>
      <c r="I351" s="96" t="str">
        <f t="shared" si="5"/>
        <v xml:space="preserve">Affiner le développement des outils de modélisation hydrogéologiques existant BPSM en tenant compte </v>
      </c>
    </row>
    <row r="352" spans="1:9" ht="25.5" x14ac:dyDescent="0.25">
      <c r="A352" s="113" t="s">
        <v>944</v>
      </c>
      <c r="B352" s="296" t="s">
        <v>2121</v>
      </c>
      <c r="C352" s="305" t="s">
        <v>1738</v>
      </c>
      <c r="D352" s="306"/>
      <c r="E352" s="305"/>
      <c r="F352" s="305"/>
      <c r="G352" s="305"/>
      <c r="H352" s="305"/>
      <c r="I352" s="96" t="str">
        <f t="shared" si="5"/>
        <v>Etudier l’impact de variations quantitatives de niveau des eaux souterraines sur les écosystèmes ter</v>
      </c>
    </row>
    <row r="353" spans="1:9" ht="25.5" x14ac:dyDescent="0.25">
      <c r="A353" s="113" t="s">
        <v>945</v>
      </c>
      <c r="B353" s="296" t="s">
        <v>2122</v>
      </c>
      <c r="C353" s="305" t="s">
        <v>1738</v>
      </c>
      <c r="D353" s="306"/>
      <c r="E353" s="305"/>
      <c r="F353" s="305"/>
      <c r="G353" s="305"/>
      <c r="H353" s="305"/>
      <c r="I353" s="96" t="str">
        <f t="shared" si="5"/>
        <v>Evaluer le potentiel de migration de polluants des eaux souterraines vers les eaux de surface et éco</v>
      </c>
    </row>
    <row r="354" spans="1:9" ht="25.5" x14ac:dyDescent="0.25">
      <c r="A354" s="113" t="s">
        <v>946</v>
      </c>
      <c r="B354" s="296" t="s">
        <v>2123</v>
      </c>
      <c r="C354" s="305" t="s">
        <v>1738</v>
      </c>
      <c r="D354" s="306"/>
      <c r="E354" s="305"/>
      <c r="F354" s="305"/>
      <c r="G354" s="305"/>
      <c r="H354" s="305"/>
      <c r="I354" s="96" t="str">
        <f t="shared" si="5"/>
        <v>Etendre l’identification des écosystèmes dépendants à la masse d’eau du système nord-ouest des sable</v>
      </c>
    </row>
    <row r="355" spans="1:9" ht="38.25" x14ac:dyDescent="0.25">
      <c r="A355" s="113" t="s">
        <v>947</v>
      </c>
      <c r="B355" s="296" t="s">
        <v>2124</v>
      </c>
      <c r="C355" s="305" t="s">
        <v>1738</v>
      </c>
      <c r="D355" s="306"/>
      <c r="E355" s="305"/>
      <c r="F355" s="305"/>
      <c r="G355" s="305"/>
      <c r="H355" s="305"/>
      <c r="I355" s="96" t="str">
        <f t="shared" si="5"/>
        <v>Identifier les pressions exercées par les eaux souterraines dans les zones d’alimentation hydrogéolo</v>
      </c>
    </row>
    <row r="356" spans="1:9" ht="38.25" x14ac:dyDescent="0.25">
      <c r="A356" s="113" t="s">
        <v>948</v>
      </c>
      <c r="B356" s="296" t="s">
        <v>2125</v>
      </c>
      <c r="C356" s="305" t="s">
        <v>1738</v>
      </c>
      <c r="D356" s="306"/>
      <c r="E356" s="305"/>
      <c r="F356" s="305"/>
      <c r="G356" s="305"/>
      <c r="H356" s="305"/>
      <c r="I356" s="96" t="str">
        <f t="shared" si="5"/>
        <v>Mettre en œuvre les mesures de restauration de la qualité des écosystèmes terrestres dépendants de l</v>
      </c>
    </row>
    <row r="357" spans="1:9" x14ac:dyDescent="0.25">
      <c r="A357" s="113" t="s">
        <v>952</v>
      </c>
      <c r="B357" s="296" t="s">
        <v>2126</v>
      </c>
      <c r="C357" s="305" t="s">
        <v>23</v>
      </c>
      <c r="D357" s="251" t="s">
        <v>1578</v>
      </c>
      <c r="E357" s="305"/>
      <c r="F357" s="305"/>
      <c r="G357" s="305"/>
      <c r="H357" s="305"/>
      <c r="I357" s="96" t="str">
        <f t="shared" si="5"/>
        <v>Assurer le traitement tertiaire des deux stations d'épuration situées en Région de Bruxelles-Capital</v>
      </c>
    </row>
    <row r="358" spans="1:9" ht="25.5" x14ac:dyDescent="0.25">
      <c r="A358" s="113" t="s">
        <v>953</v>
      </c>
      <c r="B358" s="296" t="s">
        <v>2127</v>
      </c>
      <c r="C358" s="305" t="s">
        <v>23</v>
      </c>
      <c r="D358" s="251" t="s">
        <v>1578</v>
      </c>
      <c r="E358" s="305"/>
      <c r="F358" s="305"/>
      <c r="G358" s="305"/>
      <c r="H358" s="305"/>
      <c r="I358" s="96" t="str">
        <f t="shared" si="5"/>
        <v>Contrôler le respect des performances épuratoires et des normes de déversement des effluents par les</v>
      </c>
    </row>
    <row r="359" spans="1:9" ht="25.5" x14ac:dyDescent="0.25">
      <c r="A359" s="113" t="s">
        <v>954</v>
      </c>
      <c r="B359" s="296" t="s">
        <v>2128</v>
      </c>
      <c r="C359" s="305" t="s">
        <v>2129</v>
      </c>
      <c r="D359" s="251"/>
      <c r="E359" s="305"/>
      <c r="F359" s="305"/>
      <c r="G359" s="305"/>
      <c r="H359" s="305"/>
      <c r="I359" s="96" t="str">
        <f t="shared" si="5"/>
        <v>Contrôler les rejets des stations d’épuration collectives et autonomes au regard des permis d’enviro</v>
      </c>
    </row>
    <row r="360" spans="1:9" ht="25.5" x14ac:dyDescent="0.25">
      <c r="A360" s="113" t="s">
        <v>955</v>
      </c>
      <c r="B360" s="296" t="s">
        <v>2130</v>
      </c>
      <c r="C360" s="305" t="s">
        <v>2131</v>
      </c>
      <c r="D360" s="251"/>
      <c r="E360" s="305"/>
      <c r="F360" s="305"/>
      <c r="G360" s="305"/>
      <c r="H360" s="305"/>
      <c r="I360" s="96" t="str">
        <f t="shared" si="5"/>
        <v>Contrôler le bon raccordement des particuliers et entreprises au réseau d'égouttage</v>
      </c>
    </row>
    <row r="361" spans="1:9" ht="25.5" x14ac:dyDescent="0.25">
      <c r="A361" s="113" t="s">
        <v>956</v>
      </c>
      <c r="B361" s="296" t="s">
        <v>2132</v>
      </c>
      <c r="C361" s="305" t="s">
        <v>2133</v>
      </c>
      <c r="D361" s="251"/>
      <c r="E361" s="305"/>
      <c r="F361" s="305"/>
      <c r="G361" s="305"/>
      <c r="H361" s="305"/>
      <c r="I361" s="96" t="str">
        <f t="shared" si="5"/>
        <v>Imposer l'installation de stations d'épuration individuelles performantes lorsque le raccordement au</v>
      </c>
    </row>
    <row r="362" spans="1:9" x14ac:dyDescent="0.25">
      <c r="A362" s="113" t="s">
        <v>957</v>
      </c>
      <c r="B362" s="296" t="s">
        <v>2134</v>
      </c>
      <c r="C362" s="305" t="s">
        <v>1738</v>
      </c>
      <c r="D362" s="306"/>
      <c r="E362" s="305"/>
      <c r="F362" s="305"/>
      <c r="G362" s="305"/>
      <c r="H362" s="305"/>
      <c r="I362" s="96" t="str">
        <f t="shared" si="5"/>
        <v>Assurer la surveillance qualitative des masses d’eau en lien avec les pesticides</v>
      </c>
    </row>
    <row r="363" spans="1:9" x14ac:dyDescent="0.25">
      <c r="A363" s="113" t="s">
        <v>958</v>
      </c>
      <c r="B363" s="296" t="s">
        <v>2135</v>
      </c>
      <c r="C363" s="305" t="s">
        <v>1738</v>
      </c>
      <c r="D363" s="306"/>
      <c r="E363" s="305"/>
      <c r="F363" s="305"/>
      <c r="G363" s="305"/>
      <c r="H363" s="305"/>
      <c r="I363" s="96" t="str">
        <f t="shared" si="5"/>
        <v>Mettre en œuvre le Programme Régional de Réduction des pesticides</v>
      </c>
    </row>
    <row r="364" spans="1:9" x14ac:dyDescent="0.25">
      <c r="A364" s="113" t="s">
        <v>959</v>
      </c>
      <c r="B364" s="296" t="s">
        <v>2136</v>
      </c>
      <c r="C364" s="305" t="s">
        <v>1738</v>
      </c>
      <c r="D364" s="306"/>
      <c r="E364" s="305"/>
      <c r="F364" s="305"/>
      <c r="G364" s="305"/>
      <c r="H364" s="305"/>
      <c r="I364" s="96" t="str">
        <f t="shared" si="5"/>
        <v>Valoriser une zone humide au niveau du grand étang Mellaerts – Etude et Travaux</v>
      </c>
    </row>
    <row r="365" spans="1:9" x14ac:dyDescent="0.25">
      <c r="A365" s="113" t="s">
        <v>970</v>
      </c>
      <c r="B365" s="296" t="s">
        <v>2137</v>
      </c>
      <c r="C365" s="305" t="s">
        <v>1738</v>
      </c>
      <c r="D365" s="306"/>
      <c r="E365" s="305"/>
      <c r="F365" s="305"/>
      <c r="G365" s="305"/>
      <c r="H365" s="305"/>
      <c r="I365" s="96" t="str">
        <f t="shared" si="5"/>
        <v>Réaménagement étang Sobieski - Travaux</v>
      </c>
    </row>
    <row r="366" spans="1:9" x14ac:dyDescent="0.25">
      <c r="A366" s="113" t="s">
        <v>972</v>
      </c>
      <c r="B366" s="296" t="s">
        <v>2138</v>
      </c>
      <c r="C366" s="305" t="s">
        <v>1738</v>
      </c>
      <c r="D366" s="306"/>
      <c r="E366" s="305"/>
      <c r="F366" s="305"/>
      <c r="G366" s="305"/>
      <c r="H366" s="305"/>
      <c r="I366" s="96" t="str">
        <f t="shared" si="5"/>
        <v>Réhabilitation et assainissement étang Parc Roi Baudouin phase 1 – Etude et Travaux</v>
      </c>
    </row>
    <row r="367" spans="1:9" x14ac:dyDescent="0.25">
      <c r="A367" s="113" t="s">
        <v>973</v>
      </c>
      <c r="B367" s="296" t="s">
        <v>2139</v>
      </c>
      <c r="C367" s="305" t="s">
        <v>1738</v>
      </c>
      <c r="D367" s="306"/>
      <c r="E367" s="305"/>
      <c r="F367" s="305"/>
      <c r="G367" s="305"/>
      <c r="H367" s="305"/>
      <c r="I367" s="96" t="str">
        <f t="shared" si="5"/>
        <v>Réhabilitation et assainissement étangs Tournay Solvay – Etude et Travaux</v>
      </c>
    </row>
    <row r="368" spans="1:9" x14ac:dyDescent="0.25">
      <c r="A368" s="113" t="s">
        <v>974</v>
      </c>
      <c r="B368" s="296" t="s">
        <v>2140</v>
      </c>
      <c r="C368" s="305" t="s">
        <v>1738</v>
      </c>
      <c r="D368" s="306"/>
      <c r="E368" s="305"/>
      <c r="F368" s="305"/>
      <c r="G368" s="305"/>
      <c r="H368" s="305"/>
      <c r="I368" s="96" t="str">
        <f t="shared" si="5"/>
        <v>Réhabilitation et assainissement étang Marius Renard – Etude et Travaux</v>
      </c>
    </row>
    <row r="369" spans="1:9" x14ac:dyDescent="0.25">
      <c r="A369" s="113" t="s">
        <v>975</v>
      </c>
      <c r="B369" s="296" t="s">
        <v>2141</v>
      </c>
      <c r="C369" s="305" t="s">
        <v>1738</v>
      </c>
      <c r="D369" s="306"/>
      <c r="E369" s="305"/>
      <c r="F369" s="305"/>
      <c r="G369" s="305"/>
      <c r="H369" s="305"/>
      <c r="I369" s="96" t="str">
        <f t="shared" si="5"/>
        <v>Réhabilitation mare Sauvagère (naturalisation, patrimoine, berge, cascades, ...) – Etude et Travaux</v>
      </c>
    </row>
    <row r="370" spans="1:9" x14ac:dyDescent="0.25">
      <c r="A370" s="113" t="s">
        <v>976</v>
      </c>
      <c r="B370" s="296" t="s">
        <v>2142</v>
      </c>
      <c r="C370" s="305" t="s">
        <v>1738</v>
      </c>
      <c r="D370" s="306"/>
      <c r="E370" s="305"/>
      <c r="F370" s="305"/>
      <c r="G370" s="305"/>
      <c r="H370" s="305"/>
      <c r="I370" s="96" t="str">
        <f t="shared" si="5"/>
        <v>Réhabilitation et assainissement étang Ten Reuken - Travaux</v>
      </c>
    </row>
    <row r="371" spans="1:9" x14ac:dyDescent="0.25">
      <c r="A371" s="113" t="s">
        <v>977</v>
      </c>
      <c r="B371" s="296" t="s">
        <v>2143</v>
      </c>
      <c r="C371" s="305" t="s">
        <v>1738</v>
      </c>
      <c r="D371" s="306"/>
      <c r="E371" s="305"/>
      <c r="F371" s="305"/>
      <c r="G371" s="305"/>
      <c r="H371" s="305"/>
      <c r="I371" s="96" t="str">
        <f t="shared" si="5"/>
        <v>Remplacement moine Rouge Cloître Woluwe – Etude et Travaux</v>
      </c>
    </row>
    <row r="372" spans="1:9" ht="24.6" customHeight="1" x14ac:dyDescent="0.25">
      <c r="A372" s="113" t="s">
        <v>978</v>
      </c>
      <c r="B372" s="296" t="s">
        <v>2144</v>
      </c>
      <c r="C372" s="305" t="s">
        <v>2145</v>
      </c>
      <c r="D372" s="306"/>
      <c r="E372" s="305"/>
      <c r="F372" s="305"/>
      <c r="G372" s="305"/>
      <c r="H372" s="305"/>
      <c r="I372" s="96" t="str">
        <f t="shared" si="5"/>
        <v>Aménagement et naturalisation du Marais Wiels – Etude et Travaux</v>
      </c>
    </row>
    <row r="373" spans="1:9" ht="25.5" x14ac:dyDescent="0.25">
      <c r="A373" s="113" t="s">
        <v>960</v>
      </c>
      <c r="B373" s="296" t="s">
        <v>2146</v>
      </c>
      <c r="C373" s="305" t="s">
        <v>1738</v>
      </c>
      <c r="D373" s="306"/>
      <c r="E373" s="305"/>
      <c r="F373" s="305"/>
      <c r="G373" s="305"/>
      <c r="H373" s="305"/>
      <c r="I373" s="96" t="str">
        <f t="shared" si="5"/>
        <v>Aménagement et naturalisation de l’étangs Moyen et Mayfair au parc de la Pede (pour la partie baigna</v>
      </c>
    </row>
    <row r="374" spans="1:9" ht="38.25" x14ac:dyDescent="0.25">
      <c r="A374" s="113" t="s">
        <v>961</v>
      </c>
      <c r="B374" s="296" t="s">
        <v>2147</v>
      </c>
      <c r="C374" s="305" t="s">
        <v>1738</v>
      </c>
      <c r="D374" s="306"/>
      <c r="E374" s="305"/>
      <c r="F374" s="305"/>
      <c r="G374" s="305"/>
      <c r="H374" s="305"/>
      <c r="I374" s="96" t="str">
        <f t="shared" si="5"/>
        <v xml:space="preserve">Réaliser une étude pour l’aménagement de berges naturelles aux Etangs Bémel, Long, Denis et Rond du </v>
      </c>
    </row>
    <row r="375" spans="1:9" ht="25.5" x14ac:dyDescent="0.25">
      <c r="A375" s="113" t="s">
        <v>962</v>
      </c>
      <c r="B375" s="296" t="s">
        <v>2148</v>
      </c>
      <c r="C375" s="305" t="s">
        <v>1738</v>
      </c>
      <c r="D375" s="306"/>
      <c r="E375" s="305"/>
      <c r="F375" s="305"/>
      <c r="G375" s="305"/>
      <c r="H375" s="305"/>
      <c r="I375" s="96" t="str">
        <f t="shared" si="5"/>
        <v xml:space="preserve">Aménager des berges naturelles aux Etangs Bémel, Long, Denis et Rond du Parc de Woluwe (état actuel </v>
      </c>
    </row>
    <row r="376" spans="1:9" ht="25.5" x14ac:dyDescent="0.25">
      <c r="A376" s="113" t="s">
        <v>963</v>
      </c>
      <c r="B376" s="296" t="s">
        <v>2149</v>
      </c>
      <c r="C376" s="305" t="s">
        <v>1738</v>
      </c>
      <c r="D376" s="306"/>
      <c r="E376" s="305"/>
      <c r="F376" s="305"/>
      <c r="G376" s="305"/>
      <c r="H376" s="305"/>
      <c r="I376" s="96" t="str">
        <f t="shared" si="5"/>
        <v xml:space="preserve">Réaliser une étude pour l’aménagement de berges naturelles à l’Etang Grand Mellaerts (état actuel : </v>
      </c>
    </row>
    <row r="377" spans="1:9" ht="25.5" x14ac:dyDescent="0.25">
      <c r="A377" s="113" t="s">
        <v>964</v>
      </c>
      <c r="B377" s="296" t="s">
        <v>2150</v>
      </c>
      <c r="C377" s="305" t="s">
        <v>1738</v>
      </c>
      <c r="D377" s="306"/>
      <c r="E377" s="305"/>
      <c r="F377" s="305"/>
      <c r="G377" s="305"/>
      <c r="H377" s="305"/>
      <c r="I377" s="96" t="str">
        <f t="shared" si="5"/>
        <v>Aménager de berges naturelles à l’Etang Grand Mellaerts (état actuel : berges en palplanches en bois</v>
      </c>
    </row>
    <row r="378" spans="1:9" ht="25.5" x14ac:dyDescent="0.25">
      <c r="A378" s="113" t="s">
        <v>965</v>
      </c>
      <c r="B378" s="296" t="s">
        <v>2151</v>
      </c>
      <c r="C378" s="305" t="s">
        <v>1738</v>
      </c>
      <c r="D378" s="306"/>
      <c r="E378" s="305"/>
      <c r="F378" s="305"/>
      <c r="G378" s="305"/>
      <c r="H378" s="305"/>
      <c r="I378" s="96" t="str">
        <f t="shared" si="5"/>
        <v>Mener une gestion alternative des étangs, Mise en assec, Culture des vases, Bio-dragage, Installatio</v>
      </c>
    </row>
    <row r="379" spans="1:9" ht="25.5" x14ac:dyDescent="0.25">
      <c r="A379" s="113" t="s">
        <v>966</v>
      </c>
      <c r="B379" s="296" t="s">
        <v>2152</v>
      </c>
      <c r="C379" s="305" t="s">
        <v>1738</v>
      </c>
      <c r="D379" s="306"/>
      <c r="E379" s="305"/>
      <c r="F379" s="305"/>
      <c r="G379" s="305"/>
      <c r="H379" s="305"/>
      <c r="I379" s="96" t="str">
        <f t="shared" si="5"/>
        <v xml:space="preserve">Mener une campagne de mesures des nutriments dans les étangs bruxellois pour initialiser et valider </v>
      </c>
    </row>
    <row r="380" spans="1:9" ht="24.6" customHeight="1" x14ac:dyDescent="0.25">
      <c r="A380" s="113" t="s">
        <v>967</v>
      </c>
      <c r="B380" s="296" t="s">
        <v>2153</v>
      </c>
      <c r="C380" s="305" t="s">
        <v>2154</v>
      </c>
      <c r="D380" s="306"/>
      <c r="E380" s="305"/>
      <c r="F380" s="305"/>
      <c r="G380" s="305"/>
      <c r="H380" s="305"/>
      <c r="I380" s="96" t="str">
        <f t="shared" si="5"/>
        <v xml:space="preserve">Développer un modèle de prédiction des crises cyanobactéries afin de guider la gestion des étangs </v>
      </c>
    </row>
    <row r="381" spans="1:9" ht="38.25" x14ac:dyDescent="0.25">
      <c r="A381" s="113" t="s">
        <v>979</v>
      </c>
      <c r="B381" s="296" t="s">
        <v>2851</v>
      </c>
      <c r="C381" s="305" t="s">
        <v>1738</v>
      </c>
      <c r="D381" s="306"/>
      <c r="E381" s="305"/>
      <c r="F381" s="305"/>
      <c r="G381" s="305"/>
      <c r="H381" s="305"/>
      <c r="I381" s="96" t="str">
        <f t="shared" si="5"/>
        <v>Rendre au réseau hydrographique, y compris les étangs, sa fonction d’exutoire et de zone de débordem</v>
      </c>
    </row>
    <row r="382" spans="1:9" x14ac:dyDescent="0.25">
      <c r="A382" s="113" t="s">
        <v>968</v>
      </c>
      <c r="B382" s="296" t="s">
        <v>2155</v>
      </c>
      <c r="C382" s="305" t="s">
        <v>1738</v>
      </c>
      <c r="D382" s="306"/>
      <c r="E382" s="305"/>
      <c r="F382" s="305"/>
      <c r="G382" s="305"/>
      <c r="H382" s="305"/>
      <c r="I382" s="96" t="str">
        <f t="shared" si="5"/>
        <v>Ajuster les niveaux des étangs en fonction des saisons</v>
      </c>
    </row>
    <row r="383" spans="1:9" x14ac:dyDescent="0.25">
      <c r="A383" s="113" t="s">
        <v>969</v>
      </c>
      <c r="B383" s="296" t="s">
        <v>2156</v>
      </c>
      <c r="C383" s="305" t="s">
        <v>1738</v>
      </c>
      <c r="D383" s="306"/>
      <c r="E383" s="305"/>
      <c r="F383" s="305"/>
      <c r="G383" s="305"/>
      <c r="H383" s="305"/>
      <c r="I383" s="96" t="str">
        <f t="shared" si="5"/>
        <v>Gérer les populations de poissons</v>
      </c>
    </row>
    <row r="384" spans="1:9" ht="25.5" x14ac:dyDescent="0.25">
      <c r="A384" s="113" t="s">
        <v>971</v>
      </c>
      <c r="B384" s="296" t="s">
        <v>2157</v>
      </c>
      <c r="C384" s="305" t="s">
        <v>1738</v>
      </c>
      <c r="D384" s="306"/>
      <c r="E384" s="305"/>
      <c r="F384" s="305"/>
      <c r="G384" s="305"/>
      <c r="H384" s="305"/>
      <c r="I384" s="96" t="str">
        <f t="shared" si="5"/>
        <v>Mener des campagnes d’information quant à l’interdiction de nourrissage des animaux sauvages (oiseau</v>
      </c>
    </row>
    <row r="385" spans="1:9" ht="25.5" x14ac:dyDescent="0.25">
      <c r="A385" s="113" t="s">
        <v>980</v>
      </c>
      <c r="B385" s="296" t="s">
        <v>2158</v>
      </c>
      <c r="C385" s="305" t="s">
        <v>1738</v>
      </c>
      <c r="D385" s="306"/>
      <c r="E385" s="305"/>
      <c r="F385" s="305"/>
      <c r="G385" s="305"/>
      <c r="H385" s="305"/>
      <c r="I385" s="96" t="str">
        <f t="shared" si="5"/>
        <v>Analyse et comparaison des deux approches tarifaires (basée sur le seul volume vs. sur la charge pol</v>
      </c>
    </row>
    <row r="386" spans="1:9" x14ac:dyDescent="0.25">
      <c r="A386" s="113" t="s">
        <v>981</v>
      </c>
      <c r="B386" s="296" t="s">
        <v>2159</v>
      </c>
      <c r="C386" s="305" t="s">
        <v>1738</v>
      </c>
      <c r="D386" s="306"/>
      <c r="E386" s="305"/>
      <c r="F386" s="305"/>
      <c r="G386" s="305"/>
      <c r="H386" s="305"/>
      <c r="I386" s="96" t="str">
        <f t="shared" si="5"/>
        <v>Benchmark/analyse des approches mise en place dans les pays européens</v>
      </c>
    </row>
    <row r="387" spans="1:9" ht="51" x14ac:dyDescent="0.25">
      <c r="A387" s="113" t="s">
        <v>982</v>
      </c>
      <c r="B387" s="296" t="s">
        <v>2160</v>
      </c>
      <c r="C387" s="305" t="s">
        <v>2161</v>
      </c>
      <c r="D387" s="306"/>
      <c r="E387" s="305"/>
      <c r="F387" s="305"/>
      <c r="G387" s="305"/>
      <c r="H387" s="305"/>
      <c r="I387" s="96" t="str">
        <f t="shared" si="5"/>
        <v>Présentation de nouvelles pistes de réflexion aux parties prenantes et discussion au sein d’un group</v>
      </c>
    </row>
    <row r="388" spans="1:9" ht="51" x14ac:dyDescent="0.25">
      <c r="A388" s="113" t="s">
        <v>983</v>
      </c>
      <c r="B388" s="296" t="s">
        <v>2162</v>
      </c>
      <c r="C388" s="305" t="s">
        <v>2161</v>
      </c>
      <c r="D388" s="306"/>
      <c r="E388" s="305"/>
      <c r="F388" s="305"/>
      <c r="G388" s="305"/>
      <c r="H388" s="305"/>
      <c r="I388" s="96" t="str">
        <f t="shared" si="5"/>
        <v>Détermination d’une nouvelle modalité de tarification</v>
      </c>
    </row>
    <row r="389" spans="1:9" ht="38.25" x14ac:dyDescent="0.25">
      <c r="A389" s="113" t="s">
        <v>984</v>
      </c>
      <c r="B389" s="296" t="s">
        <v>2163</v>
      </c>
      <c r="C389" s="305" t="s">
        <v>1738</v>
      </c>
      <c r="D389" s="306"/>
      <c r="E389" s="305"/>
      <c r="F389" s="305"/>
      <c r="G389" s="305"/>
      <c r="H389" s="305"/>
      <c r="I389" s="96" t="str">
        <f t="shared" si="5"/>
        <v>Déteriner les coûts liés à l’assainisseent des eaux pluviales et à la lutte contre les inondations s</v>
      </c>
    </row>
    <row r="390" spans="1:9" ht="38.25" x14ac:dyDescent="0.25">
      <c r="A390" s="113" t="s">
        <v>985</v>
      </c>
      <c r="B390" s="296" t="s">
        <v>2852</v>
      </c>
      <c r="C390" s="305" t="s">
        <v>1738</v>
      </c>
      <c r="D390" s="306"/>
      <c r="E390" s="305"/>
      <c r="F390" s="305"/>
      <c r="G390" s="305"/>
      <c r="H390" s="305"/>
      <c r="I390" s="96" t="str">
        <f t="shared" si="5"/>
        <v>ener une étude sur la faisabilité de ettre en place de nouveaux écanises de financeent via une analy</v>
      </c>
    </row>
    <row r="391" spans="1:9" ht="25.5" x14ac:dyDescent="0.25">
      <c r="A391" s="113" t="s">
        <v>986</v>
      </c>
      <c r="B391" s="296" t="s">
        <v>2853</v>
      </c>
      <c r="C391" s="305" t="s">
        <v>1738</v>
      </c>
      <c r="D391" s="306"/>
      <c r="E391" s="305"/>
      <c r="F391" s="305"/>
      <c r="G391" s="305"/>
      <c r="H391" s="305"/>
      <c r="I391" s="96" t="str">
        <f t="shared" si="5"/>
        <v>Identifier les odifications d’ordre régleentaire, adinistratif et opérationnel à réaliser aux différ</v>
      </c>
    </row>
    <row r="392" spans="1:9" ht="25.5" x14ac:dyDescent="0.25">
      <c r="A392" s="113" t="s">
        <v>987</v>
      </c>
      <c r="B392" s="296" t="s">
        <v>2854</v>
      </c>
      <c r="C392" s="305" t="s">
        <v>1738</v>
      </c>
      <c r="D392" s="306"/>
      <c r="E392" s="305"/>
      <c r="F392" s="305"/>
      <c r="G392" s="305"/>
      <c r="H392" s="305"/>
      <c r="I392" s="96" t="str">
        <f t="shared" si="5"/>
        <v>ettre en œuvre toutes les actions nécessaires au déploieent du niveau écanise de financeent et en as</v>
      </c>
    </row>
    <row r="393" spans="1:9" ht="38.25" x14ac:dyDescent="0.25">
      <c r="A393" s="113" t="s">
        <v>984</v>
      </c>
      <c r="B393" s="296" t="s">
        <v>2164</v>
      </c>
      <c r="C393" s="305" t="s">
        <v>1738</v>
      </c>
      <c r="D393" s="306"/>
      <c r="E393" s="305"/>
      <c r="F393" s="305"/>
      <c r="G393" s="305"/>
      <c r="H393" s="305"/>
      <c r="I393" s="96" t="str">
        <f t="shared" si="5"/>
        <v>Déterminer les coûts liés à l’assainissement des eaux pluviales et à la lutte contre les inondations</v>
      </c>
    </row>
    <row r="394" spans="1:9" ht="38.25" x14ac:dyDescent="0.25">
      <c r="A394" s="113" t="s">
        <v>985</v>
      </c>
      <c r="B394" s="296" t="s">
        <v>2165</v>
      </c>
      <c r="C394" s="305" t="s">
        <v>1738</v>
      </c>
      <c r="D394" s="306"/>
      <c r="E394" s="305"/>
      <c r="F394" s="305"/>
      <c r="G394" s="305"/>
      <c r="H394" s="305"/>
      <c r="I394" s="96" t="str">
        <f t="shared" si="5"/>
        <v xml:space="preserve">Mener une étude sur la faisabilité de mettre en place de nouveaux mécanismes de financement via une </v>
      </c>
    </row>
    <row r="395" spans="1:9" ht="38.25" x14ac:dyDescent="0.25">
      <c r="A395" s="113" t="s">
        <v>986</v>
      </c>
      <c r="B395" s="296" t="s">
        <v>2166</v>
      </c>
      <c r="C395" s="305" t="s">
        <v>1738</v>
      </c>
      <c r="D395" s="306"/>
      <c r="E395" s="305"/>
      <c r="F395" s="305"/>
      <c r="G395" s="305"/>
      <c r="H395" s="305"/>
      <c r="I395" s="96" t="str">
        <f t="shared" si="5"/>
        <v>Identifier les modifications d’ordre réglementaire, administratif et opérationnel à réaliser aux dif</v>
      </c>
    </row>
    <row r="396" spans="1:9" ht="25.5" x14ac:dyDescent="0.25">
      <c r="A396" s="113" t="s">
        <v>987</v>
      </c>
      <c r="B396" s="296" t="s">
        <v>2167</v>
      </c>
      <c r="C396" s="305" t="s">
        <v>1738</v>
      </c>
      <c r="D396" s="306"/>
      <c r="E396" s="305"/>
      <c r="F396" s="305"/>
      <c r="G396" s="305"/>
      <c r="H396" s="305"/>
      <c r="I396" s="96" t="str">
        <f t="shared" si="5"/>
        <v xml:space="preserve">Mettre en œuvre toutes les actions nécessaires au déploiement du niveau mécanisme de financement et </v>
      </c>
    </row>
    <row r="397" spans="1:9" ht="38.25" x14ac:dyDescent="0.25">
      <c r="A397" s="113" t="s">
        <v>988</v>
      </c>
      <c r="B397" s="296" t="s">
        <v>2168</v>
      </c>
      <c r="C397" s="305" t="s">
        <v>1738</v>
      </c>
      <c r="D397" s="306"/>
      <c r="E397" s="305"/>
      <c r="F397" s="305"/>
      <c r="G397" s="305"/>
      <c r="H397" s="305"/>
      <c r="I397" s="96" t="str">
        <f t="shared" si="5"/>
        <v>Mener une évaluation monétaire des impacts environnementaux et pour la ressources liés à l’utilisati</v>
      </c>
    </row>
    <row r="398" spans="1:9" x14ac:dyDescent="0.25">
      <c r="A398" s="113" t="s">
        <v>989</v>
      </c>
      <c r="B398" s="296" t="s">
        <v>2169</v>
      </c>
      <c r="C398" s="305" t="s">
        <v>1738</v>
      </c>
      <c r="D398" s="306"/>
      <c r="E398" s="305"/>
      <c r="F398" s="305"/>
      <c r="G398" s="305"/>
      <c r="H398" s="305"/>
      <c r="I398" s="96" t="str">
        <f t="shared" si="5"/>
        <v>Inventorier et évaluer les mesures de mitigation/prévention des impacts environnementaux à mettre en</v>
      </c>
    </row>
    <row r="399" spans="1:9" ht="38.25" x14ac:dyDescent="0.25">
      <c r="A399" s="113" t="s">
        <v>990</v>
      </c>
      <c r="B399" s="296" t="s">
        <v>2170</v>
      </c>
      <c r="C399" s="305" t="s">
        <v>1738</v>
      </c>
      <c r="D399" s="306"/>
      <c r="E399" s="305"/>
      <c r="F399" s="305"/>
      <c r="G399" s="305"/>
      <c r="H399" s="305"/>
      <c r="I399" s="96" t="str">
        <f t="shared" si="5"/>
        <v>Réaliser une analyse coût-bénéfice visant à prioriser les infrastructures ou les mesures encore à me</v>
      </c>
    </row>
    <row r="400" spans="1:9" ht="25.5" x14ac:dyDescent="0.25">
      <c r="A400" s="113" t="s">
        <v>991</v>
      </c>
      <c r="B400" s="296" t="s">
        <v>2171</v>
      </c>
      <c r="C400" s="305" t="s">
        <v>2172</v>
      </c>
      <c r="D400" s="306"/>
      <c r="E400" s="305"/>
      <c r="F400" s="305"/>
      <c r="G400" s="305"/>
      <c r="H400" s="305"/>
      <c r="I400" s="96" t="str">
        <f t="shared" si="5"/>
        <v>Intégrer dans la tarification de l’eau les besoins financiers pour la mise en œuvre des infrastructu</v>
      </c>
    </row>
    <row r="401" spans="1:9" x14ac:dyDescent="0.25">
      <c r="A401" s="113" t="s">
        <v>992</v>
      </c>
      <c r="B401" s="296" t="s">
        <v>2173</v>
      </c>
      <c r="C401" s="305" t="s">
        <v>2172</v>
      </c>
      <c r="D401" s="306"/>
      <c r="E401" s="305"/>
      <c r="F401" s="305"/>
      <c r="G401" s="305"/>
      <c r="H401" s="305"/>
      <c r="I401" s="96" t="str">
        <f t="shared" si="5"/>
        <v>Fournir annuellement les données relatives aux soldes tarifaires à BE</v>
      </c>
    </row>
    <row r="402" spans="1:9" ht="25.5" x14ac:dyDescent="0.25">
      <c r="A402" s="113" t="s">
        <v>993</v>
      </c>
      <c r="B402" s="296" t="s">
        <v>2174</v>
      </c>
      <c r="C402" s="305" t="s">
        <v>1738</v>
      </c>
      <c r="D402" s="306"/>
      <c r="E402" s="305"/>
      <c r="F402" s="305"/>
      <c r="G402" s="305"/>
      <c r="H402" s="305"/>
      <c r="I402" s="96" t="str">
        <f t="shared" si="5"/>
        <v>Calculer les indicateurs de récupération des coûts nécessaires et assurer le reporting auprès des in</v>
      </c>
    </row>
    <row r="403" spans="1:9" ht="25.5" x14ac:dyDescent="0.25">
      <c r="A403" s="113" t="s">
        <v>994</v>
      </c>
      <c r="B403" s="296" t="s">
        <v>2855</v>
      </c>
      <c r="C403" s="305" t="s">
        <v>2175</v>
      </c>
      <c r="D403" s="306"/>
      <c r="E403" s="305"/>
      <c r="F403" s="305"/>
      <c r="G403" s="305"/>
      <c r="H403" s="305"/>
      <c r="I403" s="96" t="str">
        <f t="shared" si="5"/>
        <v>Elaboration des indicateurs constituant le « tableau de bord PH » permettant d’assurer le suivi de l</v>
      </c>
    </row>
    <row r="404" spans="1:9" ht="38.25" x14ac:dyDescent="0.25">
      <c r="A404" s="113" t="s">
        <v>995</v>
      </c>
      <c r="B404" s="296" t="s">
        <v>2856</v>
      </c>
      <c r="C404" s="305" t="s">
        <v>2176</v>
      </c>
      <c r="D404" s="306"/>
      <c r="E404" s="305"/>
      <c r="F404" s="305"/>
      <c r="G404" s="305"/>
      <c r="H404" s="305"/>
      <c r="I404" s="96" t="str">
        <f t="shared" si="5"/>
        <v>Production des indicateurs</v>
      </c>
    </row>
    <row r="405" spans="1:9" ht="25.5" x14ac:dyDescent="0.25">
      <c r="A405" s="113" t="s">
        <v>996</v>
      </c>
      <c r="B405" s="296" t="s">
        <v>2857</v>
      </c>
      <c r="C405" s="305" t="s">
        <v>2177</v>
      </c>
      <c r="D405" s="306"/>
      <c r="E405" s="305"/>
      <c r="F405" s="305"/>
      <c r="G405" s="305"/>
      <c r="H405" s="305"/>
      <c r="I405" s="96" t="str">
        <f t="shared" si="5"/>
        <v>Consolidation et analyse des indicateurs et élaboration d’un reporting visant à guider l’action du g</v>
      </c>
    </row>
    <row r="406" spans="1:9" ht="25.5" x14ac:dyDescent="0.25">
      <c r="A406" s="113" t="s">
        <v>997</v>
      </c>
      <c r="B406" s="296" t="s">
        <v>2178</v>
      </c>
      <c r="C406" s="305" t="s">
        <v>2179</v>
      </c>
      <c r="D406" s="306"/>
      <c r="E406" s="305"/>
      <c r="F406" s="305"/>
      <c r="G406" s="305"/>
      <c r="H406" s="305"/>
      <c r="I406" s="96" t="str">
        <f t="shared" ref="I406:I469" si="6">LEFT(B406,100)</f>
        <v xml:space="preserve">Réaliser une analyse multicritère permettant d’évaluer l’efficience du fonds quant à l’atteinte des </v>
      </c>
    </row>
    <row r="407" spans="1:9" ht="25.5" x14ac:dyDescent="0.25">
      <c r="A407" s="113" t="s">
        <v>998</v>
      </c>
      <c r="B407" s="296" t="s">
        <v>2180</v>
      </c>
      <c r="C407" s="305" t="s">
        <v>2179</v>
      </c>
      <c r="D407" s="306"/>
      <c r="E407" s="305"/>
      <c r="F407" s="305"/>
      <c r="G407" s="305"/>
      <c r="H407" s="305"/>
      <c r="I407" s="96" t="str">
        <f t="shared" si="6"/>
        <v>Mettre en place de nouveaux indicateurs permettant de produire une analyse plus fine des usages du f</v>
      </c>
    </row>
    <row r="408" spans="1:9" ht="25.5" x14ac:dyDescent="0.25">
      <c r="A408" s="113" t="s">
        <v>999</v>
      </c>
      <c r="B408" s="296" t="s">
        <v>2181</v>
      </c>
      <c r="C408" s="305" t="s">
        <v>2179</v>
      </c>
      <c r="D408" s="306"/>
      <c r="E408" s="305"/>
      <c r="F408" s="305"/>
      <c r="G408" s="305"/>
      <c r="H408" s="305"/>
      <c r="I408" s="96" t="str">
        <f t="shared" si="6"/>
        <v xml:space="preserve">Produire un rapport faisant état de l'adéquation du fonds social de l'eau en regard des missions et </v>
      </c>
    </row>
    <row r="409" spans="1:9" ht="38.25" x14ac:dyDescent="0.25">
      <c r="A409" s="113" t="s">
        <v>1000</v>
      </c>
      <c r="B409" s="296" t="s">
        <v>2182</v>
      </c>
      <c r="C409" s="305" t="s">
        <v>2179</v>
      </c>
      <c r="D409" s="306"/>
      <c r="E409" s="305"/>
      <c r="F409" s="305"/>
      <c r="G409" s="305"/>
      <c r="H409" s="305"/>
      <c r="I409" s="96" t="str">
        <f t="shared" si="6"/>
        <v xml:space="preserve">Définir et mettre en place les nouvelles de modalités de fonctionnement afin d’en améliorer l’accès </v>
      </c>
    </row>
    <row r="410" spans="1:9" ht="38.25" x14ac:dyDescent="0.25">
      <c r="A410" s="113" t="s">
        <v>1001</v>
      </c>
      <c r="B410" s="296" t="s">
        <v>2183</v>
      </c>
      <c r="C410" s="305" t="s">
        <v>2184</v>
      </c>
      <c r="D410" s="306"/>
      <c r="E410" s="305"/>
      <c r="F410" s="305"/>
      <c r="G410" s="305"/>
      <c r="H410" s="305"/>
      <c r="I410" s="96" t="str">
        <f t="shared" si="6"/>
        <v>Réaliser un état des lieux précis des points d’accès d’eau potable en RBC et des installations sanit</v>
      </c>
    </row>
    <row r="411" spans="1:9" ht="25.5" x14ac:dyDescent="0.25">
      <c r="A411" s="113" t="s">
        <v>1002</v>
      </c>
      <c r="B411" s="296" t="s">
        <v>2185</v>
      </c>
      <c r="C411" s="305" t="s">
        <v>2184</v>
      </c>
      <c r="D411" s="306"/>
      <c r="E411" s="305"/>
      <c r="F411" s="305"/>
      <c r="G411" s="305"/>
      <c r="H411" s="305"/>
      <c r="I411" s="96" t="str">
        <f t="shared" si="6"/>
        <v>Analyser les besoins au regard des objectifs sociaux, environnementaux et d’adaptation au changement</v>
      </c>
    </row>
    <row r="412" spans="1:9" ht="38.25" x14ac:dyDescent="0.25">
      <c r="A412" s="113" t="s">
        <v>1003</v>
      </c>
      <c r="B412" s="296" t="s">
        <v>2186</v>
      </c>
      <c r="C412" s="305" t="s">
        <v>2184</v>
      </c>
      <c r="D412" s="306"/>
      <c r="E412" s="305"/>
      <c r="F412" s="305"/>
      <c r="G412" s="305"/>
      <c r="H412" s="305"/>
      <c r="I412" s="96" t="str">
        <f t="shared" si="6"/>
        <v>Définir une stratégie coordonnée de déploiement d’équipements intérieurs et extérieurs dans les espa</v>
      </c>
    </row>
    <row r="413" spans="1:9" ht="51" x14ac:dyDescent="0.25">
      <c r="A413" s="113" t="s">
        <v>1004</v>
      </c>
      <c r="B413" s="296" t="s">
        <v>2187</v>
      </c>
      <c r="C413" s="305" t="s">
        <v>2188</v>
      </c>
      <c r="D413" s="306"/>
      <c r="E413" s="305"/>
      <c r="F413" s="305"/>
      <c r="G413" s="305"/>
      <c r="H413" s="305"/>
      <c r="I413" s="96" t="str">
        <f t="shared" si="6"/>
        <v>Réaliser l’installation et l’entretien des fontaines publiques sur le territoire de la RBC</v>
      </c>
    </row>
    <row r="414" spans="1:9" ht="25.5" x14ac:dyDescent="0.25">
      <c r="A414" s="113" t="s">
        <v>1005</v>
      </c>
      <c r="B414" s="296" t="s">
        <v>2189</v>
      </c>
      <c r="C414" s="305" t="s">
        <v>1738</v>
      </c>
      <c r="D414" s="306"/>
      <c r="E414" s="305"/>
      <c r="F414" s="305"/>
      <c r="G414" s="305"/>
      <c r="H414" s="305"/>
      <c r="I414" s="96" t="str">
        <f t="shared" si="6"/>
        <v>Accompagner les acteurs (administrations et auteurs de projets) dans le développement de leurs compé</v>
      </c>
    </row>
    <row r="415" spans="1:9" ht="25.5" x14ac:dyDescent="0.25">
      <c r="A415" s="113" t="s">
        <v>1009</v>
      </c>
      <c r="B415" s="296" t="s">
        <v>2190</v>
      </c>
      <c r="C415" s="305" t="s">
        <v>2191</v>
      </c>
      <c r="D415" s="306"/>
      <c r="E415" s="305"/>
      <c r="F415" s="305"/>
      <c r="G415" s="305"/>
      <c r="H415" s="305"/>
      <c r="I415" s="96" t="str">
        <f t="shared" si="6"/>
        <v>Règlement régional d’urbanisme (RRU) – réviser les prescriptions existantes et en ajouter de nouvell</v>
      </c>
    </row>
    <row r="416" spans="1:9" ht="25.5" x14ac:dyDescent="0.25">
      <c r="A416" s="113" t="s">
        <v>1010</v>
      </c>
      <c r="B416" s="296" t="s">
        <v>2192</v>
      </c>
      <c r="C416" s="305" t="s">
        <v>2193</v>
      </c>
      <c r="D416" s="306"/>
      <c r="E416" s="305"/>
      <c r="F416" s="305"/>
      <c r="G416" s="305"/>
      <c r="H416" s="305"/>
      <c r="I416" s="96" t="str">
        <f t="shared" si="6"/>
        <v>Mettre en place une procédure permettant d’imposer la mise en œuvre de la GiEP aux travers des permi</v>
      </c>
    </row>
    <row r="417" spans="1:9" ht="24.6" customHeight="1" x14ac:dyDescent="0.25">
      <c r="A417" s="113" t="s">
        <v>1011</v>
      </c>
      <c r="B417" s="296" t="s">
        <v>2194</v>
      </c>
      <c r="C417" s="305" t="s">
        <v>2193</v>
      </c>
      <c r="D417" s="306"/>
      <c r="E417" s="305"/>
      <c r="F417" s="305"/>
      <c r="G417" s="305"/>
      <c r="H417" s="305"/>
      <c r="I417" s="96" t="str">
        <f t="shared" si="6"/>
        <v>COBAT- adapter le cadre législatif et procédures établies au 5.1.3, le cas échéant.</v>
      </c>
    </row>
    <row r="418" spans="1:9" ht="127.5" x14ac:dyDescent="0.25">
      <c r="A418" s="113" t="s">
        <v>1012</v>
      </c>
      <c r="B418" s="296" t="s">
        <v>2195</v>
      </c>
      <c r="C418" s="305" t="s">
        <v>2196</v>
      </c>
      <c r="D418" s="306"/>
      <c r="E418" s="305"/>
      <c r="F418" s="305"/>
      <c r="G418" s="305"/>
      <c r="H418" s="305"/>
      <c r="I418" s="96" t="str">
        <f t="shared" si="6"/>
        <v>Plan régional d’affectation des sols (PRAS) –
·        Dans le cadre de la révision du nouveau PRAS,</v>
      </c>
    </row>
    <row r="419" spans="1:9" ht="38.25" x14ac:dyDescent="0.25">
      <c r="A419" s="113" t="s">
        <v>1013</v>
      </c>
      <c r="B419" s="296" t="s">
        <v>2197</v>
      </c>
      <c r="C419" s="305" t="s">
        <v>2198</v>
      </c>
      <c r="D419" s="306"/>
      <c r="E419" s="305"/>
      <c r="F419" s="305"/>
      <c r="G419" s="305"/>
      <c r="H419" s="305"/>
      <c r="I419" s="96" t="str">
        <f t="shared" si="6"/>
        <v>Plans d’aménagement directeur (PAD) – obliger l’auteur de projet à réaliser une étude hydrologique d</v>
      </c>
    </row>
    <row r="420" spans="1:9" ht="38.25" x14ac:dyDescent="0.25">
      <c r="A420" s="113" t="s">
        <v>1014</v>
      </c>
      <c r="B420" s="296" t="s">
        <v>2199</v>
      </c>
      <c r="C420" s="305" t="s">
        <v>1824</v>
      </c>
      <c r="D420" s="306"/>
      <c r="E420" s="305"/>
      <c r="F420" s="305"/>
      <c r="G420" s="305"/>
      <c r="H420" s="305"/>
      <c r="I420" s="96" t="str">
        <f t="shared" si="6"/>
        <v>Plans particuliers d’affectation des sols (PPAS) – intégrer des prescriptions pour garantir la gesti</v>
      </c>
    </row>
    <row r="421" spans="1:9" ht="51" x14ac:dyDescent="0.25">
      <c r="A421" s="113" t="s">
        <v>1015</v>
      </c>
      <c r="B421" s="296" t="s">
        <v>2200</v>
      </c>
      <c r="C421" s="305" t="s">
        <v>1738</v>
      </c>
      <c r="D421" s="306"/>
      <c r="E421" s="305"/>
      <c r="F421" s="305"/>
      <c r="G421" s="305"/>
      <c r="H421" s="305"/>
      <c r="I421" s="96" t="str">
        <f t="shared" si="6"/>
        <v>Faire des études du potentiel de déconnexion (% de surfaces déconnectées) via un outil qui soutiendr</v>
      </c>
    </row>
    <row r="422" spans="1:9" ht="63.75" x14ac:dyDescent="0.25">
      <c r="A422" s="113" t="s">
        <v>1016</v>
      </c>
      <c r="B422" s="296" t="s">
        <v>2201</v>
      </c>
      <c r="C422" s="305" t="s">
        <v>1738</v>
      </c>
      <c r="D422" s="306"/>
      <c r="E422" s="305"/>
      <c r="F422" s="305"/>
      <c r="G422" s="305"/>
      <c r="H422" s="305"/>
      <c r="I422" s="96" t="str">
        <f t="shared" si="6"/>
        <v>Etudier la gestion et le placement des impétrants dans l’espace public afin d’établir, le cas échéan</v>
      </c>
    </row>
    <row r="423" spans="1:9" ht="38.25" x14ac:dyDescent="0.25">
      <c r="A423" s="113" t="s">
        <v>1006</v>
      </c>
      <c r="B423" s="296" t="s">
        <v>2202</v>
      </c>
      <c r="C423" s="305" t="s">
        <v>1738</v>
      </c>
      <c r="D423" s="306"/>
      <c r="E423" s="305"/>
      <c r="F423" s="305"/>
      <c r="G423" s="305"/>
      <c r="H423" s="305"/>
      <c r="I423" s="96" t="str">
        <f t="shared" si="6"/>
        <v>Dans l’expectative de cette intégration généralisée d’une bonne prise en compte de la gestion durabl</v>
      </c>
    </row>
    <row r="424" spans="1:9" ht="63.75" x14ac:dyDescent="0.25">
      <c r="A424" s="113" t="s">
        <v>1007</v>
      </c>
      <c r="B424" s="296" t="s">
        <v>2203</v>
      </c>
      <c r="C424" s="305" t="s">
        <v>2204</v>
      </c>
      <c r="D424" s="306"/>
      <c r="E424" s="305"/>
      <c r="F424" s="305"/>
      <c r="G424" s="305"/>
      <c r="H424" s="305"/>
      <c r="I424" s="96" t="str">
        <f t="shared" si="6"/>
        <v>Veiller à la bonne mise en œuvre des principes de gestion de l’eau édictés dans le BKP
Beeldkwalitei</v>
      </c>
    </row>
    <row r="425" spans="1:9" ht="51" x14ac:dyDescent="0.25">
      <c r="A425" s="113" t="s">
        <v>1008</v>
      </c>
      <c r="B425" s="296" t="s">
        <v>2205</v>
      </c>
      <c r="C425" s="305" t="s">
        <v>2206</v>
      </c>
      <c r="D425" s="306"/>
      <c r="E425" s="305"/>
      <c r="F425" s="305"/>
      <c r="G425" s="305"/>
      <c r="H425" s="305"/>
      <c r="I425" s="96" t="str">
        <f t="shared" si="6"/>
        <v>Etablir une veille de tous  les plans, programmes et règlementations  développant d’autres thématiqu</v>
      </c>
    </row>
    <row r="426" spans="1:9" ht="38.25" x14ac:dyDescent="0.25">
      <c r="A426" s="113" t="s">
        <v>1061</v>
      </c>
      <c r="B426" s="296" t="s">
        <v>2207</v>
      </c>
      <c r="C426" s="305" t="s">
        <v>1738</v>
      </c>
      <c r="D426" s="306"/>
      <c r="E426" s="305"/>
      <c r="F426" s="305"/>
      <c r="G426" s="305"/>
      <c r="H426" s="305"/>
      <c r="I426" s="96" t="str">
        <f t="shared" si="6"/>
        <v>Evaluer les coûts d’investissement et opérationnels qu’implique le déploiement d’une politique de Gi</v>
      </c>
    </row>
    <row r="427" spans="1:9" ht="25.5" x14ac:dyDescent="0.25">
      <c r="A427" s="113" t="s">
        <v>1062</v>
      </c>
      <c r="B427" s="296" t="s">
        <v>2208</v>
      </c>
      <c r="C427" s="305" t="s">
        <v>1738</v>
      </c>
      <c r="D427" s="306"/>
      <c r="E427" s="305"/>
      <c r="F427" s="305"/>
      <c r="G427" s="305"/>
      <c r="H427" s="305"/>
      <c r="I427" s="96" t="str">
        <f t="shared" si="6"/>
        <v>Définir un ou plusieurs mécanismes de financement équitables et incitatifs créant une source de fond</v>
      </c>
    </row>
    <row r="428" spans="1:9" ht="38.25" x14ac:dyDescent="0.25">
      <c r="A428" s="113" t="s">
        <v>1063</v>
      </c>
      <c r="B428" s="296" t="s">
        <v>2209</v>
      </c>
      <c r="C428" s="305" t="s">
        <v>1738</v>
      </c>
      <c r="D428" s="306"/>
      <c r="E428" s="305"/>
      <c r="F428" s="305"/>
      <c r="G428" s="305"/>
      <c r="H428" s="305"/>
      <c r="I428" s="96" t="str">
        <f t="shared" si="6"/>
        <v>Apporter les modifications légales nécessaires relatives à la mise en œuvre opérationnelle de ces no</v>
      </c>
    </row>
    <row r="429" spans="1:9" ht="76.5" x14ac:dyDescent="0.25">
      <c r="A429" s="113" t="s">
        <v>1116</v>
      </c>
      <c r="B429" s="296" t="s">
        <v>2210</v>
      </c>
      <c r="C429" s="305" t="s">
        <v>1738</v>
      </c>
      <c r="D429" s="306"/>
      <c r="E429" s="305"/>
      <c r="F429" s="305"/>
      <c r="G429" s="305"/>
      <c r="H429" s="305"/>
      <c r="I429" s="96" t="str">
        <f t="shared" si="6"/>
        <v>Définir les rôles et répartition des compétences de la gestion des eaux de pluie entre les acteurs(*</v>
      </c>
    </row>
    <row r="430" spans="1:9" ht="38.25" x14ac:dyDescent="0.25">
      <c r="A430" s="113" t="s">
        <v>1119</v>
      </c>
      <c r="B430" s="296" t="s">
        <v>2211</v>
      </c>
      <c r="C430" s="305" t="s">
        <v>1738</v>
      </c>
      <c r="D430" s="306"/>
      <c r="E430" s="305"/>
      <c r="F430" s="305"/>
      <c r="G430" s="305"/>
      <c r="H430" s="305"/>
      <c r="I430" s="96" t="str">
        <f t="shared" si="6"/>
        <v>Tenir à jour un inventaire de tous les acteurs concernés (Stakeholder Management Plan), identifier l</v>
      </c>
    </row>
    <row r="431" spans="1:9" ht="25.5" x14ac:dyDescent="0.25">
      <c r="A431" s="113" t="s">
        <v>1120</v>
      </c>
      <c r="B431" s="296" t="s">
        <v>2212</v>
      </c>
      <c r="C431" s="305" t="s">
        <v>1842</v>
      </c>
      <c r="D431" s="306"/>
      <c r="E431" s="305"/>
      <c r="F431" s="305"/>
      <c r="G431" s="305"/>
      <c r="H431" s="305"/>
      <c r="I431" s="96" t="str">
        <f t="shared" si="6"/>
        <v>Accompagner les acteurs concernés (stakeholders) dans la mise en place du changement au sein de leur</v>
      </c>
    </row>
    <row r="432" spans="1:9" ht="51" x14ac:dyDescent="0.25">
      <c r="A432" s="113" t="s">
        <v>1121</v>
      </c>
      <c r="B432" s="296" t="s">
        <v>2213</v>
      </c>
      <c r="C432" s="305" t="s">
        <v>1738</v>
      </c>
      <c r="D432" s="306"/>
      <c r="E432" s="305"/>
      <c r="F432" s="305"/>
      <c r="G432" s="305"/>
      <c r="H432" s="305"/>
      <c r="I432" s="96" t="str">
        <f t="shared" si="6"/>
        <v xml:space="preserve">Emettre des conseils et des guidances techniques dans le cadre de nouveaux projets d’aménagement du </v>
      </c>
    </row>
    <row r="433" spans="1:9" ht="51" x14ac:dyDescent="0.25">
      <c r="A433" s="113" t="s">
        <v>1122</v>
      </c>
      <c r="B433" s="296" t="s">
        <v>2214</v>
      </c>
      <c r="C433" s="305" t="s">
        <v>1842</v>
      </c>
      <c r="D433" s="306"/>
      <c r="E433" s="305"/>
      <c r="F433" s="305"/>
      <c r="G433" s="305"/>
      <c r="H433" s="305"/>
      <c r="I433" s="96" t="str">
        <f t="shared" si="6"/>
        <v>Concevoir, diffuser des outils (tableurs de calcul, guide de conception,…) et le cas échéant, revoir</v>
      </c>
    </row>
    <row r="434" spans="1:9" ht="38.25" x14ac:dyDescent="0.25">
      <c r="A434" s="113" t="s">
        <v>1123</v>
      </c>
      <c r="B434" s="296" t="s">
        <v>2215</v>
      </c>
      <c r="C434" s="305" t="s">
        <v>1738</v>
      </c>
      <c r="D434" s="306"/>
      <c r="E434" s="305"/>
      <c r="F434" s="305"/>
      <c r="G434" s="305"/>
      <c r="H434" s="305"/>
      <c r="I434" s="96" t="str">
        <f t="shared" si="6"/>
        <v>Rédiger, diffuser et mettre à jour des fiches techniques pour aider les questions de mise en œuvre d</v>
      </c>
    </row>
    <row r="435" spans="1:9" ht="38.25" x14ac:dyDescent="0.25">
      <c r="A435" s="113" t="s">
        <v>1124</v>
      </c>
      <c r="B435" s="296" t="s">
        <v>2216</v>
      </c>
      <c r="C435" s="305" t="s">
        <v>1738</v>
      </c>
      <c r="D435" s="306"/>
      <c r="E435" s="305"/>
      <c r="F435" s="305"/>
      <c r="G435" s="305"/>
      <c r="H435" s="305"/>
      <c r="I435" s="96" t="str">
        <f t="shared" si="6"/>
        <v>Mettre en place un accompagnement spécifique avec Bruxelles Mobilité pour que les porteurs de projet</v>
      </c>
    </row>
    <row r="436" spans="1:9" ht="102" x14ac:dyDescent="0.25">
      <c r="A436" s="113" t="s">
        <v>1125</v>
      </c>
      <c r="B436" s="296" t="s">
        <v>2217</v>
      </c>
      <c r="C436" s="305" t="s">
        <v>1738</v>
      </c>
      <c r="D436" s="306"/>
      <c r="E436" s="305"/>
      <c r="F436" s="305"/>
      <c r="G436" s="305"/>
      <c r="H436" s="305"/>
      <c r="I436" s="96" t="str">
        <f t="shared" si="6"/>
        <v>Poursuivre et amplifier l’effet de réseau d’expertise en développement des conseillers communaux « E</v>
      </c>
    </row>
    <row r="437" spans="1:9" ht="114.75" x14ac:dyDescent="0.25">
      <c r="A437" s="113" t="s">
        <v>1126</v>
      </c>
      <c r="B437" s="296" t="s">
        <v>2218</v>
      </c>
      <c r="C437" s="305" t="s">
        <v>1842</v>
      </c>
      <c r="D437" s="306"/>
      <c r="E437" s="305"/>
      <c r="F437" s="305"/>
      <c r="G437" s="305"/>
      <c r="H437" s="305"/>
      <c r="I437" s="96" t="str">
        <f t="shared" si="6"/>
        <v>Accompagner les pouvoirs organisateurs des écoles dans une stratégie de végétalisation et de gestion</v>
      </c>
    </row>
    <row r="438" spans="1:9" ht="38.25" x14ac:dyDescent="0.25">
      <c r="A438" s="113" t="s">
        <v>1117</v>
      </c>
      <c r="B438" s="296" t="s">
        <v>2219</v>
      </c>
      <c r="C438" s="305" t="s">
        <v>1842</v>
      </c>
      <c r="D438" s="306"/>
      <c r="E438" s="305"/>
      <c r="F438" s="305"/>
      <c r="G438" s="305"/>
      <c r="H438" s="305"/>
      <c r="I438" s="96" t="str">
        <f t="shared" si="6"/>
        <v>Intégrer la thématique « GIEP-résilience climatique » dans les programmes existants qui visent la mi</v>
      </c>
    </row>
    <row r="439" spans="1:9" ht="25.5" x14ac:dyDescent="0.25">
      <c r="A439" s="113" t="s">
        <v>1118</v>
      </c>
      <c r="B439" s="296" t="s">
        <v>2220</v>
      </c>
      <c r="C439" s="305" t="s">
        <v>1738</v>
      </c>
      <c r="D439" s="306"/>
      <c r="E439" s="305"/>
      <c r="F439" s="305"/>
      <c r="G439" s="305"/>
      <c r="H439" s="305"/>
      <c r="I439" s="96" t="str">
        <f t="shared" si="6"/>
        <v xml:space="preserve">Envisager la mise en place d’un service gratuit de conseils ou d’accompagnement technique à la mise </v>
      </c>
    </row>
    <row r="440" spans="1:9" ht="25.5" x14ac:dyDescent="0.25">
      <c r="A440" s="113" t="s">
        <v>417</v>
      </c>
      <c r="B440" s="296" t="s">
        <v>2221</v>
      </c>
      <c r="C440" s="305" t="s">
        <v>2222</v>
      </c>
      <c r="D440" s="306" t="s">
        <v>1290</v>
      </c>
      <c r="E440" s="305"/>
      <c r="F440" s="305"/>
      <c r="G440" s="305"/>
      <c r="H440" s="305"/>
      <c r="I440" s="96" t="str">
        <f t="shared" si="6"/>
        <v>Établir et mettre en œuvre une stratégie de déminéralisation et de végétalisation (plantation et ent</v>
      </c>
    </row>
    <row r="441" spans="1:9" ht="25.5" x14ac:dyDescent="0.25">
      <c r="A441" s="113" t="s">
        <v>418</v>
      </c>
      <c r="B441" s="296" t="s">
        <v>2223</v>
      </c>
      <c r="C441" s="305" t="s">
        <v>2224</v>
      </c>
      <c r="D441" s="306" t="s">
        <v>1290</v>
      </c>
      <c r="E441" s="305"/>
      <c r="F441" s="305"/>
      <c r="G441" s="305"/>
      <c r="H441" s="305"/>
      <c r="I441" s="96" t="str">
        <f t="shared" si="6"/>
        <v xml:space="preserve">Intégrer les prescriptions techniques des ouvrages et revêtements nécessaires à la mise en œuvre de </v>
      </c>
    </row>
    <row r="442" spans="1:9" x14ac:dyDescent="0.25">
      <c r="A442" s="113" t="s">
        <v>423</v>
      </c>
      <c r="B442" s="296" t="s">
        <v>2225</v>
      </c>
      <c r="C442" s="305" t="s">
        <v>1738</v>
      </c>
      <c r="D442" s="306"/>
      <c r="E442" s="305"/>
      <c r="F442" s="305"/>
      <c r="G442" s="305"/>
      <c r="H442" s="305"/>
      <c r="I442" s="96" t="str">
        <f t="shared" si="6"/>
        <v>Etablir un cadre régional pour faciliter et inciter les déconnexions de particuliers</v>
      </c>
    </row>
    <row r="443" spans="1:9" ht="25.5" x14ac:dyDescent="0.25">
      <c r="A443" s="113" t="s">
        <v>419</v>
      </c>
      <c r="B443" s="296" t="s">
        <v>2226</v>
      </c>
      <c r="C443" s="305" t="s">
        <v>2224</v>
      </c>
      <c r="D443" s="306" t="s">
        <v>1290</v>
      </c>
      <c r="E443" s="305"/>
      <c r="F443" s="305"/>
      <c r="G443" s="305"/>
      <c r="H443" s="305"/>
      <c r="I443" s="96" t="str">
        <f t="shared" si="6"/>
        <v>Rédiger et diffuser un Vademecum sur la gestion des eaux pluviales dans les espaces publics</v>
      </c>
    </row>
    <row r="444" spans="1:9" ht="25.5" x14ac:dyDescent="0.25">
      <c r="A444" s="113" t="s">
        <v>425</v>
      </c>
      <c r="B444" s="296" t="s">
        <v>2227</v>
      </c>
      <c r="C444" s="305" t="s">
        <v>1738</v>
      </c>
      <c r="D444" s="306"/>
      <c r="E444" s="305"/>
      <c r="F444" s="305"/>
      <c r="G444" s="305"/>
      <c r="H444" s="305"/>
      <c r="I444" s="96" t="str">
        <f t="shared" si="6"/>
        <v>Les différents acteurs et privés feront en outre l’objet de mesures de soutien telles que  Subventio</v>
      </c>
    </row>
    <row r="445" spans="1:9" ht="25.5" x14ac:dyDescent="0.25">
      <c r="A445" s="113" t="s">
        <v>420</v>
      </c>
      <c r="B445" s="296" t="s">
        <v>2228</v>
      </c>
      <c r="C445" s="305" t="s">
        <v>2229</v>
      </c>
      <c r="D445" s="306" t="s">
        <v>1290</v>
      </c>
      <c r="E445" s="305"/>
      <c r="F445" s="305"/>
      <c r="G445" s="305"/>
      <c r="H445" s="305"/>
      <c r="I445" s="96" t="str">
        <f t="shared" si="6"/>
        <v>Mise en œuvre d’une gestion intégrée des eaux pluviales dans les chantiers publics en suivant les li</v>
      </c>
    </row>
    <row r="446" spans="1:9" ht="46.35" customHeight="1" x14ac:dyDescent="0.25">
      <c r="A446" s="113" t="s">
        <v>421</v>
      </c>
      <c r="B446" s="296" t="s">
        <v>2230</v>
      </c>
      <c r="C446" s="305" t="s">
        <v>2224</v>
      </c>
      <c r="D446" s="306" t="s">
        <v>1290</v>
      </c>
      <c r="E446" s="305"/>
      <c r="F446" s="305"/>
      <c r="G446" s="305"/>
      <c r="H446" s="305"/>
      <c r="I446" s="96" t="str">
        <f t="shared" si="6"/>
        <v>Se doter d’une Assistance à Maîtrise d’ouvrage pour garantir la bonne réalisation des chantiers/trav</v>
      </c>
    </row>
    <row r="447" spans="1:9" ht="25.5" x14ac:dyDescent="0.25">
      <c r="A447" s="113" t="s">
        <v>422</v>
      </c>
      <c r="B447" s="296" t="s">
        <v>1602</v>
      </c>
      <c r="C447" s="305" t="s">
        <v>1842</v>
      </c>
      <c r="D447" s="306" t="s">
        <v>1290</v>
      </c>
      <c r="E447" s="305"/>
      <c r="F447" s="305"/>
      <c r="G447" s="305"/>
      <c r="H447" s="305"/>
      <c r="I447" s="96" t="str">
        <f t="shared" si="6"/>
        <v>Mettre en œuvre des projets de déconnexion et déminéralisation sur les espaces gérés par BE (Parc, e</v>
      </c>
    </row>
    <row r="448" spans="1:9" ht="25.5" x14ac:dyDescent="0.25">
      <c r="A448" s="113" t="s">
        <v>423</v>
      </c>
      <c r="B448" s="296" t="s">
        <v>2225</v>
      </c>
      <c r="C448" s="305" t="s">
        <v>1842</v>
      </c>
      <c r="D448" s="306" t="s">
        <v>1290</v>
      </c>
      <c r="E448" s="305"/>
      <c r="F448" s="305"/>
      <c r="G448" s="305"/>
      <c r="H448" s="305"/>
      <c r="I448" s="96" t="str">
        <f t="shared" si="6"/>
        <v>Etablir un cadre régional pour faciliter et inciter les déconnexions de particuliers</v>
      </c>
    </row>
    <row r="449" spans="1:9" ht="25.5" x14ac:dyDescent="0.25">
      <c r="A449" s="113" t="s">
        <v>424</v>
      </c>
      <c r="B449" s="296" t="s">
        <v>2231</v>
      </c>
      <c r="C449" s="305"/>
      <c r="D449" s="306" t="s">
        <v>1290</v>
      </c>
      <c r="E449" s="305"/>
      <c r="F449" s="305"/>
      <c r="G449" s="305"/>
      <c r="H449" s="305"/>
      <c r="I449" s="96" t="str">
        <f t="shared" si="6"/>
        <v>Cette mesure se fera également via l’accompagnement des acteurs concernés (M 5.3)</v>
      </c>
    </row>
    <row r="450" spans="1:9" ht="25.5" x14ac:dyDescent="0.25">
      <c r="A450" s="113" t="s">
        <v>425</v>
      </c>
      <c r="B450" s="296" t="s">
        <v>2227</v>
      </c>
      <c r="C450" s="305"/>
      <c r="D450" s="306" t="s">
        <v>1290</v>
      </c>
      <c r="E450" s="305"/>
      <c r="F450" s="305"/>
      <c r="G450" s="305"/>
      <c r="H450" s="305"/>
      <c r="I450" s="96" t="str">
        <f t="shared" si="6"/>
        <v>Les différents acteurs et privés feront en outre l’objet de mesures de soutien telles que  Subventio</v>
      </c>
    </row>
    <row r="451" spans="1:9" ht="25.5" x14ac:dyDescent="0.25">
      <c r="A451" s="113" t="s">
        <v>426</v>
      </c>
      <c r="B451" s="296" t="s">
        <v>2232</v>
      </c>
      <c r="C451" s="305"/>
      <c r="D451" s="306" t="s">
        <v>1290</v>
      </c>
      <c r="E451" s="305"/>
      <c r="F451" s="305"/>
      <c r="G451" s="305"/>
      <c r="H451" s="305"/>
      <c r="I451" s="96" t="str">
        <f t="shared" si="6"/>
        <v>Des mesures de communication et de sensibilisation seront également prévues (M 5.29)</v>
      </c>
    </row>
    <row r="452" spans="1:9" ht="25.5" x14ac:dyDescent="0.25">
      <c r="A452" s="113" t="s">
        <v>427</v>
      </c>
      <c r="B452" s="296" t="s">
        <v>2233</v>
      </c>
      <c r="C452" s="305"/>
      <c r="D452" s="306" t="s">
        <v>1290</v>
      </c>
      <c r="E452" s="305"/>
      <c r="F452" s="305"/>
      <c r="G452" s="305"/>
      <c r="H452" s="305"/>
      <c r="I452" s="96" t="str">
        <f t="shared" si="6"/>
        <v>L’intégration de la GIEP dans les outils de l’aménagement du territoire est prévu (M 5.1)</v>
      </c>
    </row>
    <row r="453" spans="1:9" ht="89.25" x14ac:dyDescent="0.25">
      <c r="A453" s="113" t="s">
        <v>1135</v>
      </c>
      <c r="B453" s="296" t="s">
        <v>2234</v>
      </c>
      <c r="C453" s="305" t="s">
        <v>1738</v>
      </c>
      <c r="D453" s="113"/>
      <c r="E453" s="305"/>
      <c r="F453" s="305"/>
      <c r="G453" s="305"/>
      <c r="H453" s="305"/>
      <c r="I453" s="96" t="str">
        <f t="shared" si="6"/>
        <v>Poursuivre et améliorer la cartographie du « Maillage Pluie » répertoriant les dispositifs GiEP dépl</v>
      </c>
    </row>
    <row r="454" spans="1:9" ht="114.75" x14ac:dyDescent="0.25">
      <c r="A454" s="113" t="s">
        <v>1136</v>
      </c>
      <c r="B454" s="296" t="s">
        <v>2235</v>
      </c>
      <c r="C454" s="305" t="s">
        <v>1738</v>
      </c>
      <c r="D454" s="113"/>
      <c r="E454" s="305"/>
      <c r="F454" s="305"/>
      <c r="G454" s="305"/>
      <c r="H454" s="305"/>
      <c r="I454" s="96" t="str">
        <f t="shared" si="6"/>
        <v>Mettre en place un tableau de bord permettant d’assurer un suivi optimal de la performance des dispo</v>
      </c>
    </row>
    <row r="455" spans="1:9" ht="76.5" x14ac:dyDescent="0.25">
      <c r="A455" s="113" t="s">
        <v>1137</v>
      </c>
      <c r="B455" s="296" t="s">
        <v>2236</v>
      </c>
      <c r="C455" s="305" t="s">
        <v>1738</v>
      </c>
      <c r="D455" s="113"/>
      <c r="E455" s="305"/>
      <c r="F455" s="305"/>
      <c r="G455" s="305"/>
      <c r="H455" s="305"/>
      <c r="I455" s="96" t="str">
        <f t="shared" si="6"/>
        <v>Sur base de l’inventaire détaillé des dispositifs GIEP, mettre en place un contrôle de leur efficaci</v>
      </c>
    </row>
    <row r="456" spans="1:9" ht="38.25" x14ac:dyDescent="0.25">
      <c r="A456" s="113" t="s">
        <v>1138</v>
      </c>
      <c r="B456" s="296" t="s">
        <v>2237</v>
      </c>
      <c r="C456" s="305" t="s">
        <v>2238</v>
      </c>
      <c r="D456" s="113"/>
      <c r="E456" s="305"/>
      <c r="F456" s="305"/>
      <c r="G456" s="305"/>
      <c r="H456" s="305"/>
      <c r="I456" s="96" t="str">
        <f t="shared" si="6"/>
        <v>Assurer un suivi des ouvrages de gestion d’eau et leur alimentation via notamment des sondes dans le</v>
      </c>
    </row>
    <row r="457" spans="1:9" ht="38.25" x14ac:dyDescent="0.25">
      <c r="A457" s="113" t="s">
        <v>1139</v>
      </c>
      <c r="B457" s="296" t="s">
        <v>2239</v>
      </c>
      <c r="C457" s="305" t="s">
        <v>1738</v>
      </c>
      <c r="D457" s="113"/>
      <c r="E457" s="305"/>
      <c r="F457" s="305"/>
      <c r="G457" s="305"/>
      <c r="H457" s="305"/>
      <c r="I457" s="96" t="str">
        <f t="shared" si="6"/>
        <v>Réaliser des études et projets « pilotes » pour cartographier progressivement sur chaque parcelle le</v>
      </c>
    </row>
    <row r="458" spans="1:9" ht="38.25" x14ac:dyDescent="0.25">
      <c r="A458" s="113" t="s">
        <v>1140</v>
      </c>
      <c r="B458" s="296" t="s">
        <v>2240</v>
      </c>
      <c r="C458" s="305" t="s">
        <v>1738</v>
      </c>
      <c r="D458" s="113"/>
      <c r="E458" s="305"/>
      <c r="F458" s="305"/>
      <c r="G458" s="305"/>
      <c r="H458" s="305"/>
      <c r="I458" s="96" t="str">
        <f t="shared" si="6"/>
        <v>Sur base de ces études et d’un inventaire de l’existant (voir M 5.5), évaluer l’impact attendu de di</v>
      </c>
    </row>
    <row r="459" spans="1:9" ht="38.25" x14ac:dyDescent="0.25">
      <c r="A459" s="113" t="s">
        <v>1141</v>
      </c>
      <c r="B459" s="296" t="s">
        <v>2241</v>
      </c>
      <c r="C459" s="305" t="s">
        <v>1738</v>
      </c>
      <c r="D459" s="113"/>
      <c r="E459" s="305"/>
      <c r="F459" s="305"/>
      <c r="G459" s="305"/>
      <c r="H459" s="305"/>
      <c r="I459" s="96" t="str">
        <f t="shared" si="6"/>
        <v>Développer un outil permettant, à l’instar de BEST (Benefits Estimation Tool), d’évaluer et monétise</v>
      </c>
    </row>
    <row r="460" spans="1:9" ht="51" x14ac:dyDescent="0.25">
      <c r="A460" s="113" t="s">
        <v>1142</v>
      </c>
      <c r="B460" s="296" t="s">
        <v>2242</v>
      </c>
      <c r="C460" s="305" t="s">
        <v>1738</v>
      </c>
      <c r="D460" s="113"/>
      <c r="E460" s="305"/>
      <c r="F460" s="305"/>
      <c r="G460" s="305"/>
      <c r="H460" s="305"/>
      <c r="I460" s="96" t="str">
        <f t="shared" si="6"/>
        <v>Mieux caractériser dans le contexte bruxellois les risques posés par les ouvrages de gestion en se b</v>
      </c>
    </row>
    <row r="461" spans="1:9" ht="38.25" x14ac:dyDescent="0.25">
      <c r="A461" s="113" t="s">
        <v>1143</v>
      </c>
      <c r="B461" s="296" t="s">
        <v>2243</v>
      </c>
      <c r="C461" s="305" t="s">
        <v>2244</v>
      </c>
      <c r="D461" s="113"/>
      <c r="E461" s="305"/>
      <c r="F461" s="305"/>
      <c r="G461" s="305"/>
      <c r="H461" s="305"/>
      <c r="I461" s="96" t="str">
        <f t="shared" si="6"/>
        <v>Etudier l’impact environnemental de différents revêtements, notamment par rapport aux ilots de chale</v>
      </c>
    </row>
    <row r="462" spans="1:9" ht="25.5" x14ac:dyDescent="0.25">
      <c r="A462" s="113" t="s">
        <v>1144</v>
      </c>
      <c r="B462" s="296" t="s">
        <v>2245</v>
      </c>
      <c r="C462" s="305" t="s">
        <v>1738</v>
      </c>
      <c r="D462" s="113"/>
      <c r="E462" s="305"/>
      <c r="F462" s="305"/>
      <c r="G462" s="305"/>
      <c r="H462" s="305"/>
      <c r="I462" s="96" t="str">
        <f t="shared" si="6"/>
        <v>Sur base des mesures précédentes, établir une balance risque/bénéfice pour aboutir à la meilleure st</v>
      </c>
    </row>
    <row r="463" spans="1:9" ht="38.25" x14ac:dyDescent="0.25">
      <c r="A463" s="113" t="s">
        <v>1145</v>
      </c>
      <c r="B463" s="296" t="s">
        <v>2246</v>
      </c>
      <c r="C463" s="305" t="s">
        <v>2247</v>
      </c>
      <c r="D463" s="113"/>
      <c r="E463" s="305"/>
      <c r="F463" s="305"/>
      <c r="G463" s="305"/>
      <c r="H463" s="305"/>
      <c r="I463" s="96" t="str">
        <f t="shared" si="6"/>
        <v>Afin de mieux catégoriser le risque spécifique posé pour les ouvrages de gestion, réaliser un diagno</v>
      </c>
    </row>
    <row r="464" spans="1:9" x14ac:dyDescent="0.25">
      <c r="A464" s="113" t="s">
        <v>1146</v>
      </c>
      <c r="B464" s="296" t="s">
        <v>2248</v>
      </c>
      <c r="C464" s="305" t="s">
        <v>1842</v>
      </c>
      <c r="D464" s="113"/>
      <c r="E464" s="305"/>
      <c r="F464" s="305"/>
      <c r="G464" s="305"/>
      <c r="H464" s="305"/>
      <c r="I464" s="96" t="str">
        <f t="shared" si="6"/>
        <v>Actualiser la cartographie régionale du taux d’imperméabilisation des sols</v>
      </c>
    </row>
    <row r="465" spans="1:9" ht="38.25" x14ac:dyDescent="0.25">
      <c r="A465" s="113" t="s">
        <v>1147</v>
      </c>
      <c r="B465" s="296" t="s">
        <v>2249</v>
      </c>
      <c r="C465" s="305" t="s">
        <v>1738</v>
      </c>
      <c r="D465" s="113"/>
      <c r="E465" s="305"/>
      <c r="F465" s="305"/>
      <c r="G465" s="305"/>
      <c r="H465" s="305"/>
      <c r="I465" s="96" t="str">
        <f t="shared" si="6"/>
        <v>Intégrer dans les outils règlementaires des mesures dérogatoires menant au recours à une simple temp</v>
      </c>
    </row>
    <row r="466" spans="1:9" ht="51" x14ac:dyDescent="0.25">
      <c r="A466" s="113" t="s">
        <v>1148</v>
      </c>
      <c r="B466" s="296" t="s">
        <v>2250</v>
      </c>
      <c r="C466" s="305" t="s">
        <v>1738</v>
      </c>
      <c r="D466" s="113"/>
      <c r="E466" s="305"/>
      <c r="F466" s="305"/>
      <c r="G466" s="305"/>
      <c r="H466" s="305"/>
      <c r="I466" s="96" t="str">
        <f t="shared" si="6"/>
        <v>Intégrer dans les nouvelles Conditions générales « eaux pluviales » du Permis d’Environnement, des m</v>
      </c>
    </row>
    <row r="467" spans="1:9" x14ac:dyDescent="0.25">
      <c r="A467" s="113" t="s">
        <v>1149</v>
      </c>
      <c r="B467" s="296" t="s">
        <v>2251</v>
      </c>
      <c r="C467" s="305" t="s">
        <v>2252</v>
      </c>
      <c r="D467" s="113"/>
      <c r="E467" s="305"/>
      <c r="F467" s="305"/>
      <c r="G467" s="305"/>
      <c r="H467" s="305"/>
      <c r="I467" s="96" t="str">
        <f t="shared" si="6"/>
        <v>Poursuivre le recensement des bassins d’orage visés par l’arrêté du Gouvernement du 23 mai 2019</v>
      </c>
    </row>
    <row r="468" spans="1:9" x14ac:dyDescent="0.25">
      <c r="A468" s="113" t="s">
        <v>1150</v>
      </c>
      <c r="B468" s="296" t="s">
        <v>2253</v>
      </c>
      <c r="C468" s="305" t="s">
        <v>1738</v>
      </c>
      <c r="D468" s="113"/>
      <c r="E468" s="305"/>
      <c r="F468" s="305"/>
      <c r="G468" s="305"/>
      <c r="H468" s="305"/>
      <c r="I468" s="96" t="str">
        <f t="shared" si="6"/>
        <v>Etablir un guide « exploitant » pour ces installations classées</v>
      </c>
    </row>
    <row r="469" spans="1:9" ht="38.25" x14ac:dyDescent="0.25">
      <c r="A469" s="113" t="s">
        <v>1151</v>
      </c>
      <c r="B469" s="296" t="s">
        <v>2254</v>
      </c>
      <c r="C469" s="305" t="s">
        <v>41</v>
      </c>
      <c r="D469" s="113"/>
      <c r="E469" s="305"/>
      <c r="F469" s="305"/>
      <c r="G469" s="305"/>
      <c r="H469" s="305"/>
      <c r="I469" s="96" t="str">
        <f t="shared" si="6"/>
        <v>Assurer les contrôles prévus par l’arrêté du Gouvernement de la région de Bruxelles-Capitale du 23 m</v>
      </c>
    </row>
    <row r="470" spans="1:9" ht="25.5" x14ac:dyDescent="0.25">
      <c r="A470" s="113" t="s">
        <v>1152</v>
      </c>
      <c r="B470" s="296" t="s">
        <v>2255</v>
      </c>
      <c r="C470" s="305" t="s">
        <v>1738</v>
      </c>
      <c r="D470" s="113"/>
      <c r="E470" s="305"/>
      <c r="F470" s="305"/>
      <c r="G470" s="305"/>
      <c r="H470" s="305"/>
      <c r="I470" s="96" t="str">
        <f t="shared" ref="I470:I533" si="7">LEFT(B470,100)</f>
        <v>Evaluer la bonne effectivité de la règlementation au regard des objectifs poursuivis et proposer d’é</v>
      </c>
    </row>
    <row r="471" spans="1:9" ht="63.75" x14ac:dyDescent="0.25">
      <c r="A471" s="113" t="s">
        <v>1153</v>
      </c>
      <c r="B471" s="296" t="s">
        <v>2256</v>
      </c>
      <c r="C471" s="305" t="s">
        <v>1738</v>
      </c>
      <c r="D471" s="113"/>
      <c r="E471" s="305"/>
      <c r="F471" s="305"/>
      <c r="G471" s="305"/>
      <c r="H471" s="305"/>
      <c r="I471" s="96" t="str">
        <f t="shared" si="7"/>
        <v>Favoriser l’utilisation des méthodes de tamponnage avec débit limité qui ont le moindre impact négat</v>
      </c>
    </row>
    <row r="472" spans="1:9" x14ac:dyDescent="0.25">
      <c r="A472" s="113" t="s">
        <v>1154</v>
      </c>
      <c r="B472" s="296" t="s">
        <v>2257</v>
      </c>
      <c r="C472" s="305" t="s">
        <v>1794</v>
      </c>
      <c r="D472" s="113"/>
      <c r="E472" s="305"/>
      <c r="F472" s="305"/>
      <c r="G472" s="305"/>
      <c r="H472" s="305"/>
      <c r="I472" s="96" t="str">
        <f t="shared" si="7"/>
        <v>Entretenir la déviation d’Aa et les vannes vers le Canal</v>
      </c>
    </row>
    <row r="473" spans="1:9" x14ac:dyDescent="0.25">
      <c r="A473" s="113" t="s">
        <v>1155</v>
      </c>
      <c r="B473" s="296" t="s">
        <v>2258</v>
      </c>
      <c r="C473" s="305" t="s">
        <v>1794</v>
      </c>
      <c r="D473" s="113"/>
      <c r="E473" s="305"/>
      <c r="F473" s="305"/>
      <c r="G473" s="305"/>
      <c r="H473" s="305"/>
      <c r="I473" s="96" t="str">
        <f t="shared" si="7"/>
        <v>Assurer la surveillance pour activer au besoin la déviation</v>
      </c>
    </row>
    <row r="474" spans="1:9" ht="25.5" x14ac:dyDescent="0.25">
      <c r="A474" s="113" t="s">
        <v>1156</v>
      </c>
      <c r="B474" s="296" t="s">
        <v>2259</v>
      </c>
      <c r="C474" s="305" t="s">
        <v>1738</v>
      </c>
      <c r="D474" s="113"/>
      <c r="E474" s="305"/>
      <c r="F474" s="305"/>
      <c r="G474" s="305"/>
      <c r="H474" s="305"/>
      <c r="I474" s="96" t="str">
        <f t="shared" si="7"/>
        <v xml:space="preserve">Analyser cartographiquement les besoin de libération d’emprise, surveiller les opportunités dans le </v>
      </c>
    </row>
    <row r="475" spans="1:9" x14ac:dyDescent="0.25">
      <c r="A475" s="113" t="s">
        <v>1157</v>
      </c>
      <c r="B475" s="296" t="s">
        <v>2260</v>
      </c>
      <c r="C475" s="305" t="s">
        <v>1738</v>
      </c>
      <c r="D475" s="113"/>
      <c r="E475" s="305"/>
      <c r="F475" s="305"/>
      <c r="G475" s="305"/>
      <c r="H475" s="305"/>
      <c r="I475" s="96" t="str">
        <f t="shared" si="7"/>
        <v>Intégrer l'objectif hydraulique lors de réaménagements des cours d’eau et des berges</v>
      </c>
    </row>
    <row r="476" spans="1:9" ht="25.5" x14ac:dyDescent="0.25">
      <c r="A476" s="113" t="s">
        <v>1158</v>
      </c>
      <c r="B476" s="296" t="s">
        <v>2261</v>
      </c>
      <c r="C476" s="305" t="s">
        <v>1738</v>
      </c>
      <c r="D476" s="113"/>
      <c r="E476" s="305"/>
      <c r="F476" s="305"/>
      <c r="G476" s="305"/>
      <c r="H476" s="305"/>
      <c r="I476" s="96" t="str">
        <f t="shared" si="7"/>
        <v xml:space="preserve">Renforcer le tamponnage dans les étangs (adaptation des moines), pièces d’eau et dans le lit majeur </v>
      </c>
    </row>
    <row r="477" spans="1:9" ht="25.5" x14ac:dyDescent="0.25">
      <c r="A477" s="113" t="s">
        <v>1159</v>
      </c>
      <c r="B477" s="296" t="s">
        <v>2262</v>
      </c>
      <c r="C477" s="305" t="s">
        <v>2206</v>
      </c>
      <c r="D477" s="113"/>
      <c r="E477" s="305"/>
      <c r="F477" s="305"/>
      <c r="G477" s="305"/>
      <c r="H477" s="305"/>
      <c r="I477" s="96" t="str">
        <f t="shared" si="7"/>
        <v xml:space="preserve">Reprendre les eaux de ruissellement, les réseaux séparatifs dans le réseau hydrographique, quand le </v>
      </c>
    </row>
    <row r="478" spans="1:9" ht="89.25" x14ac:dyDescent="0.25">
      <c r="A478" s="113" t="s">
        <v>1160</v>
      </c>
      <c r="B478" s="296" t="s">
        <v>2263</v>
      </c>
      <c r="C478" s="305" t="s">
        <v>1888</v>
      </c>
      <c r="D478" s="113"/>
      <c r="E478" s="305"/>
      <c r="F478" s="305"/>
      <c r="G478" s="305"/>
      <c r="H478" s="305"/>
      <c r="I478" s="96" t="str">
        <f t="shared" si="7"/>
        <v xml:space="preserve">Mettre en place des mesures visant l'utilisation du Canal comme milieu récepteur potentiel des eaux </v>
      </c>
    </row>
    <row r="479" spans="1:9" ht="25.5" x14ac:dyDescent="0.25">
      <c r="A479" s="113" t="s">
        <v>1017</v>
      </c>
      <c r="B479" s="296" t="s">
        <v>2264</v>
      </c>
      <c r="C479" s="305" t="s">
        <v>1856</v>
      </c>
      <c r="D479" s="113"/>
      <c r="E479" s="305"/>
      <c r="F479" s="305"/>
      <c r="G479" s="305"/>
      <c r="H479" s="305"/>
      <c r="I479" s="96" t="str">
        <f t="shared" si="7"/>
        <v>Poursuivre le programme d’état des lieux des égouts permettant d’identifier les tronçons nécessitant</v>
      </c>
    </row>
    <row r="480" spans="1:9" ht="25.5" x14ac:dyDescent="0.25">
      <c r="A480" s="113" t="s">
        <v>1018</v>
      </c>
      <c r="B480" s="296" t="s">
        <v>2265</v>
      </c>
      <c r="C480" s="305" t="s">
        <v>1856</v>
      </c>
      <c r="D480" s="113"/>
      <c r="E480" s="305"/>
      <c r="F480" s="305"/>
      <c r="G480" s="305"/>
      <c r="H480" s="305"/>
      <c r="I480" s="96" t="str">
        <f t="shared" si="7"/>
        <v>Définition d’un plan structurel d’entretien pour les réseaux Identifier les zones sensibles pour les</v>
      </c>
    </row>
    <row r="481" spans="1:9" x14ac:dyDescent="0.25">
      <c r="A481" s="113" t="s">
        <v>1019</v>
      </c>
      <c r="B481" s="296" t="s">
        <v>2266</v>
      </c>
      <c r="C481" s="305" t="s">
        <v>1856</v>
      </c>
      <c r="D481" s="113"/>
      <c r="E481" s="305"/>
      <c r="F481" s="305"/>
      <c r="G481" s="305"/>
      <c r="H481" s="305"/>
      <c r="I481" s="96" t="str">
        <f t="shared" si="7"/>
        <v>Entretenir les infrastructures hydrauliques existantes (pompes,…)</v>
      </c>
    </row>
    <row r="482" spans="1:9" ht="25.5" x14ac:dyDescent="0.25">
      <c r="A482" s="113" t="s">
        <v>1020</v>
      </c>
      <c r="B482" s="296" t="s">
        <v>2267</v>
      </c>
      <c r="C482" s="305" t="s">
        <v>2268</v>
      </c>
      <c r="D482" s="113"/>
      <c r="E482" s="305"/>
      <c r="F482" s="305"/>
      <c r="G482" s="305"/>
      <c r="H482" s="305"/>
      <c r="I482" s="96" t="str">
        <f t="shared" si="7"/>
        <v>Procéder au curage régulier des cunettes en zone sensible sur base du programme d’entretien des infr</v>
      </c>
    </row>
    <row r="483" spans="1:9" x14ac:dyDescent="0.25">
      <c r="A483" s="113" t="s">
        <v>1021</v>
      </c>
      <c r="B483" s="296" t="s">
        <v>2269</v>
      </c>
      <c r="C483" s="305" t="s">
        <v>23</v>
      </c>
      <c r="D483" s="113"/>
      <c r="E483" s="305"/>
      <c r="F483" s="305"/>
      <c r="G483" s="305"/>
      <c r="H483" s="305"/>
      <c r="I483" s="96" t="str">
        <f t="shared" si="7"/>
        <v>Vallée de la Woluwe aval</v>
      </c>
    </row>
    <row r="484" spans="1:9" x14ac:dyDescent="0.25">
      <c r="A484" s="113" t="s">
        <v>1022</v>
      </c>
      <c r="B484" s="296" t="s">
        <v>2270</v>
      </c>
      <c r="C484" s="305" t="s">
        <v>23</v>
      </c>
      <c r="D484" s="113"/>
      <c r="E484" s="305"/>
      <c r="F484" s="305"/>
      <c r="G484" s="305"/>
      <c r="H484" s="305"/>
      <c r="I484" s="96" t="str">
        <f t="shared" si="7"/>
        <v>Vallée du Molenbeek-aval/Heyselbeek</v>
      </c>
    </row>
    <row r="485" spans="1:9" ht="24.6" customHeight="1" x14ac:dyDescent="0.25">
      <c r="A485" s="113" t="s">
        <v>1023</v>
      </c>
      <c r="B485" s="296" t="s">
        <v>2271</v>
      </c>
      <c r="C485" s="305" t="s">
        <v>41</v>
      </c>
      <c r="D485" s="113"/>
      <c r="E485" s="305"/>
      <c r="F485" s="305"/>
      <c r="G485" s="305"/>
      <c r="H485" s="305"/>
      <c r="I485" s="96" t="str">
        <f t="shared" si="7"/>
        <v>Versant de Forest/Saint Gilles</v>
      </c>
    </row>
    <row r="486" spans="1:9" x14ac:dyDescent="0.25">
      <c r="A486" s="113" t="s">
        <v>1024</v>
      </c>
      <c r="B486" s="296" t="s">
        <v>2272</v>
      </c>
      <c r="C486" s="305" t="s">
        <v>41</v>
      </c>
      <c r="D486" s="113"/>
      <c r="E486" s="305"/>
      <c r="F486" s="305"/>
      <c r="G486" s="305"/>
      <c r="H486" s="305"/>
      <c r="I486" s="96" t="str">
        <f t="shared" si="7"/>
        <v>Vallée du Broeckbeek</v>
      </c>
    </row>
    <row r="487" spans="1:9" x14ac:dyDescent="0.25">
      <c r="A487" s="113" t="s">
        <v>1025</v>
      </c>
      <c r="B487" s="296" t="s">
        <v>2273</v>
      </c>
      <c r="C487" s="305"/>
      <c r="D487" s="113"/>
      <c r="E487" s="305"/>
      <c r="F487" s="305"/>
      <c r="G487" s="305"/>
      <c r="H487" s="305"/>
      <c r="I487" s="96" t="str">
        <f t="shared" si="7"/>
        <v>Vallée du Verrewinkelbeek</v>
      </c>
    </row>
    <row r="488" spans="1:9" x14ac:dyDescent="0.25">
      <c r="A488" s="113" t="s">
        <v>1026</v>
      </c>
      <c r="B488" s="296" t="s">
        <v>2274</v>
      </c>
      <c r="C488" s="305" t="s">
        <v>41</v>
      </c>
      <c r="D488" s="113"/>
      <c r="E488" s="305"/>
      <c r="F488" s="305"/>
      <c r="G488" s="305"/>
      <c r="H488" s="305"/>
      <c r="I488" s="96" t="str">
        <f t="shared" si="7"/>
        <v>Vallée du Paruck</v>
      </c>
    </row>
    <row r="489" spans="1:9" x14ac:dyDescent="0.25">
      <c r="A489" s="113" t="s">
        <v>1027</v>
      </c>
      <c r="B489" s="296" t="s">
        <v>2275</v>
      </c>
      <c r="C489" s="305" t="s">
        <v>23</v>
      </c>
      <c r="D489" s="113"/>
      <c r="E489" s="305"/>
      <c r="F489" s="305"/>
      <c r="G489" s="305"/>
      <c r="H489" s="305"/>
      <c r="I489" s="96" t="str">
        <f t="shared" si="7"/>
        <v>Ten Reuken</v>
      </c>
    </row>
    <row r="490" spans="1:9" ht="14.45" customHeight="1" x14ac:dyDescent="0.25">
      <c r="A490" s="113" t="s">
        <v>1028</v>
      </c>
      <c r="B490" s="296" t="s">
        <v>2276</v>
      </c>
      <c r="C490" s="305" t="s">
        <v>2277</v>
      </c>
      <c r="D490" s="113"/>
      <c r="E490" s="305"/>
      <c r="F490" s="305"/>
      <c r="G490" s="305"/>
      <c r="H490" s="305"/>
      <c r="I490" s="96" t="str">
        <f t="shared" si="7"/>
        <v xml:space="preserve">Finaliser la carte répondant aux critères de l’arrêté royal du 12 octobre 2005 à partir des données </v>
      </c>
    </row>
    <row r="491" spans="1:9" x14ac:dyDescent="0.25">
      <c r="A491" s="113" t="s">
        <v>1029</v>
      </c>
      <c r="B491" s="296" t="s">
        <v>2278</v>
      </c>
      <c r="C491" s="305" t="s">
        <v>1738</v>
      </c>
      <c r="D491" s="113"/>
      <c r="E491" s="305"/>
      <c r="F491" s="305"/>
      <c r="G491" s="305"/>
      <c r="H491" s="305"/>
      <c r="I491" s="96" t="str">
        <f t="shared" si="7"/>
        <v>Valider en plateforme de coordination  la carte</v>
      </c>
    </row>
    <row r="492" spans="1:9" ht="38.25" x14ac:dyDescent="0.25">
      <c r="A492" s="113" t="s">
        <v>1030</v>
      </c>
      <c r="B492" s="296" t="s">
        <v>2279</v>
      </c>
      <c r="C492" s="305" t="s">
        <v>2280</v>
      </c>
      <c r="D492" s="113"/>
      <c r="E492" s="305"/>
      <c r="F492" s="305"/>
      <c r="G492" s="305"/>
      <c r="H492" s="305"/>
      <c r="I492" s="96" t="str">
        <f t="shared" si="7"/>
        <v>Faire acter la cartographie par le Gouvernement bruxellois avant de l’envoyer au service fédéral com</v>
      </c>
    </row>
    <row r="493" spans="1:9" ht="25.5" x14ac:dyDescent="0.25">
      <c r="A493" s="113" t="s">
        <v>1031</v>
      </c>
      <c r="B493" s="296" t="s">
        <v>2281</v>
      </c>
      <c r="C493" s="305" t="s">
        <v>1738</v>
      </c>
      <c r="D493" s="113"/>
      <c r="E493" s="305"/>
      <c r="F493" s="305"/>
      <c r="G493" s="305"/>
      <c r="H493" s="305"/>
      <c r="I493" s="96" t="str">
        <f t="shared" si="7"/>
        <v>Croiser la carte des zones inondables avec la localisation des activités dangereuses (DB permis, Sev</v>
      </c>
    </row>
    <row r="494" spans="1:9" x14ac:dyDescent="0.25">
      <c r="A494" s="113" t="s">
        <v>1032</v>
      </c>
      <c r="B494" s="296" t="s">
        <v>2282</v>
      </c>
      <c r="C494" s="305" t="s">
        <v>1856</v>
      </c>
      <c r="D494" s="113"/>
      <c r="E494" s="305"/>
      <c r="F494" s="305"/>
      <c r="G494" s="305"/>
      <c r="H494" s="305"/>
      <c r="I494" s="96" t="str">
        <f t="shared" si="7"/>
        <v>Informer les propriétaires du risque d’inondation, impliquer la cellule refoulement d’égout de Vivaq</v>
      </c>
    </row>
    <row r="495" spans="1:9" ht="25.5" x14ac:dyDescent="0.25">
      <c r="A495" s="113" t="s">
        <v>1033</v>
      </c>
      <c r="B495" s="296" t="s">
        <v>2283</v>
      </c>
      <c r="C495" s="305" t="s">
        <v>1738</v>
      </c>
      <c r="D495" s="113"/>
      <c r="E495" s="305"/>
      <c r="F495" s="305"/>
      <c r="G495" s="305"/>
      <c r="H495" s="305"/>
      <c r="I495" s="96" t="str">
        <f t="shared" si="7"/>
        <v>Etudier la faisabilité juridique d’intégrer des mesures spéciales de préservation dans les permis da</v>
      </c>
    </row>
    <row r="496" spans="1:9" x14ac:dyDescent="0.25">
      <c r="A496" s="113" t="s">
        <v>1034</v>
      </c>
      <c r="B496" s="296" t="s">
        <v>2284</v>
      </c>
      <c r="C496" s="305" t="s">
        <v>1738</v>
      </c>
      <c r="D496" s="113"/>
      <c r="E496" s="305"/>
      <c r="F496" s="305"/>
      <c r="G496" s="305"/>
      <c r="H496" s="305"/>
      <c r="I496" s="96" t="str">
        <f t="shared" si="7"/>
        <v>Informer le centre de crise des infrastructures sensibles</v>
      </c>
    </row>
    <row r="497" spans="1:9" ht="89.25" x14ac:dyDescent="0.25">
      <c r="A497" s="113" t="s">
        <v>1035</v>
      </c>
      <c r="B497" s="296" t="s">
        <v>2285</v>
      </c>
      <c r="C497" s="305" t="s">
        <v>1738</v>
      </c>
      <c r="D497" s="113"/>
      <c r="E497" s="305"/>
      <c r="F497" s="305"/>
      <c r="G497" s="305"/>
      <c r="H497" s="305"/>
      <c r="I497" s="96" t="str">
        <f t="shared" si="7"/>
        <v xml:space="preserve">Intégrer dans la réglementation urbanistique des prescriptions :
· visant une conception adaptée du </v>
      </c>
    </row>
    <row r="498" spans="1:9" ht="51" x14ac:dyDescent="0.25">
      <c r="A498" s="113" t="s">
        <v>1036</v>
      </c>
      <c r="B498" s="296" t="s">
        <v>2286</v>
      </c>
      <c r="C498" s="305" t="s">
        <v>1842</v>
      </c>
      <c r="D498" s="113"/>
      <c r="E498" s="305"/>
      <c r="F498" s="305"/>
      <c r="G498" s="305"/>
      <c r="H498" s="305"/>
      <c r="I498" s="96" t="str">
        <f t="shared" si="7"/>
        <v>Mettre en place une cellule "conseils" :
Délivrer des conseils techniques aux habitants dont l’habit</v>
      </c>
    </row>
    <row r="499" spans="1:9" ht="25.5" x14ac:dyDescent="0.25">
      <c r="A499" s="113" t="s">
        <v>1037</v>
      </c>
      <c r="B499" s="296" t="s">
        <v>2287</v>
      </c>
      <c r="C499" s="305" t="s">
        <v>41</v>
      </c>
      <c r="D499" s="113"/>
      <c r="E499" s="305"/>
      <c r="F499" s="305"/>
      <c r="G499" s="305"/>
      <c r="H499" s="305"/>
      <c r="I499" s="96" t="str">
        <f t="shared" si="7"/>
        <v>Assurer un suivi régulier des prévisions météorologiques et des consommations en eau en période de s</v>
      </c>
    </row>
    <row r="500" spans="1:9" ht="25.5" x14ac:dyDescent="0.25">
      <c r="A500" s="113" t="s">
        <v>1038</v>
      </c>
      <c r="B500" s="296" t="s">
        <v>2288</v>
      </c>
      <c r="C500" s="305" t="s">
        <v>41</v>
      </c>
      <c r="D500" s="113"/>
      <c r="E500" s="305"/>
      <c r="F500" s="305"/>
      <c r="G500" s="305"/>
      <c r="H500" s="305"/>
      <c r="I500" s="96" t="str">
        <f t="shared" si="7"/>
        <v>Pourvoir à une alimentation optimale des réservoirs d’eau alimentant la Région de Bruxelles-Capitale</v>
      </c>
    </row>
    <row r="501" spans="1:9" x14ac:dyDescent="0.25">
      <c r="A501" s="113" t="s">
        <v>1039</v>
      </c>
      <c r="B501" s="296" t="s">
        <v>2289</v>
      </c>
      <c r="C501" s="305" t="s">
        <v>41</v>
      </c>
      <c r="D501" s="113"/>
      <c r="E501" s="305"/>
      <c r="F501" s="305"/>
      <c r="G501" s="305"/>
      <c r="H501" s="305"/>
      <c r="I501" s="96" t="str">
        <f t="shared" si="7"/>
        <v>Sensibiliser la population en cas de risque de pénuries d’eau lors des périodes de pics de consommat</v>
      </c>
    </row>
    <row r="502" spans="1:9" ht="25.5" x14ac:dyDescent="0.25">
      <c r="A502" s="113" t="s">
        <v>1040</v>
      </c>
      <c r="B502" s="296" t="s">
        <v>2290</v>
      </c>
      <c r="C502" s="305" t="s">
        <v>1738</v>
      </c>
      <c r="D502" s="113"/>
      <c r="E502" s="305"/>
      <c r="F502" s="305"/>
      <c r="G502" s="305"/>
      <c r="H502" s="305"/>
      <c r="I502" s="96" t="str">
        <f t="shared" si="7"/>
        <v xml:space="preserve">Déterminer les seuils en-deçà desquels des restrictions de captages et de prélèvement d’eau doivent </v>
      </c>
    </row>
    <row r="503" spans="1:9" x14ac:dyDescent="0.25">
      <c r="A503" s="113" t="s">
        <v>1041</v>
      </c>
      <c r="B503" s="296" t="s">
        <v>2291</v>
      </c>
      <c r="C503" s="305" t="s">
        <v>1738</v>
      </c>
      <c r="D503" s="113"/>
      <c r="E503" s="305"/>
      <c r="F503" s="305"/>
      <c r="G503" s="305"/>
      <c r="H503" s="305"/>
      <c r="I503" s="96" t="str">
        <f t="shared" si="7"/>
        <v>Définir les règles de priorisation des usages de l’eau en cas de risque de pénurie.</v>
      </c>
    </row>
    <row r="504" spans="1:9" ht="24.6" customHeight="1" x14ac:dyDescent="0.25">
      <c r="A504" s="113" t="s">
        <v>1042</v>
      </c>
      <c r="B504" s="296" t="s">
        <v>2292</v>
      </c>
      <c r="C504" s="305" t="s">
        <v>1738</v>
      </c>
      <c r="D504" s="113"/>
      <c r="E504" s="305"/>
      <c r="F504" s="305"/>
      <c r="G504" s="305"/>
      <c r="H504" s="305"/>
      <c r="I504" s="96" t="str">
        <f t="shared" si="7"/>
        <v>Adapter les conditions fixées dans les nouvelles autorisations de captages d’eau souterraine  pour t</v>
      </c>
    </row>
    <row r="505" spans="1:9" ht="25.5" x14ac:dyDescent="0.25">
      <c r="A505" s="113" t="s">
        <v>1043</v>
      </c>
      <c r="B505" s="296" t="s">
        <v>2293</v>
      </c>
      <c r="C505" s="305" t="s">
        <v>1738</v>
      </c>
      <c r="D505" s="113"/>
      <c r="E505" s="305"/>
      <c r="F505" s="305"/>
      <c r="G505" s="305"/>
      <c r="H505" s="305"/>
      <c r="I505" s="96" t="str">
        <f t="shared" si="7"/>
        <v>Imposer de nouvelles conditions dans les autorisations de prélèvements d’eau dans les cours d’eau no</v>
      </c>
    </row>
    <row r="506" spans="1:9" x14ac:dyDescent="0.25">
      <c r="A506" s="113" t="s">
        <v>1044</v>
      </c>
      <c r="B506" s="296" t="s">
        <v>2294</v>
      </c>
      <c r="C506" s="305" t="s">
        <v>1738</v>
      </c>
      <c r="D506" s="113"/>
      <c r="E506" s="305"/>
      <c r="F506" s="305"/>
      <c r="G506" s="305"/>
      <c r="H506" s="305"/>
      <c r="I506" s="96" t="str">
        <f t="shared" si="7"/>
        <v>Etablir un registre des prélèvements autorisés dans les cours d’eau non navigables</v>
      </c>
    </row>
    <row r="507" spans="1:9" x14ac:dyDescent="0.25">
      <c r="A507" s="113" t="s">
        <v>1045</v>
      </c>
      <c r="B507" s="296" t="s">
        <v>2295</v>
      </c>
      <c r="C507" s="305" t="s">
        <v>1738</v>
      </c>
      <c r="D507" s="113"/>
      <c r="E507" s="305"/>
      <c r="F507" s="305"/>
      <c r="G507" s="305"/>
      <c r="H507" s="305"/>
      <c r="I507" s="96" t="str">
        <f t="shared" si="7"/>
        <v>Assurer le contrôle du respect des mesures de restriction et de priorisation.</v>
      </c>
    </row>
    <row r="508" spans="1:9" ht="38.25" x14ac:dyDescent="0.25">
      <c r="A508" s="113" t="s">
        <v>1046</v>
      </c>
      <c r="B508" s="296" t="s">
        <v>2296</v>
      </c>
      <c r="C508" s="305" t="s">
        <v>1738</v>
      </c>
      <c r="D508" s="113"/>
      <c r="E508" s="305"/>
      <c r="F508" s="305"/>
      <c r="G508" s="305"/>
      <c r="H508" s="305"/>
      <c r="I508" s="96" t="str">
        <f t="shared" si="7"/>
        <v>Dresser un inventaire des éléments et sites naturels les plus vulnérables aux épisodes de sécheresse</v>
      </c>
    </row>
    <row r="509" spans="1:9" ht="38.1" customHeight="1" x14ac:dyDescent="0.25">
      <c r="A509" s="113" t="s">
        <v>1051</v>
      </c>
      <c r="B509" s="296" t="s">
        <v>2297</v>
      </c>
      <c r="C509" s="305" t="s">
        <v>1738</v>
      </c>
      <c r="D509" s="113"/>
      <c r="E509" s="305"/>
      <c r="F509" s="305"/>
      <c r="G509" s="305"/>
      <c r="H509" s="305"/>
      <c r="I509" s="96" t="str">
        <f t="shared" si="7"/>
        <v>Renforcer  le suivi des niveaux piézométriques  (fréquence des mesures, densité des sites mesurés,…)</v>
      </c>
    </row>
    <row r="510" spans="1:9" ht="51" x14ac:dyDescent="0.25">
      <c r="A510" s="113" t="s">
        <v>1047</v>
      </c>
      <c r="B510" s="296" t="s">
        <v>2298</v>
      </c>
      <c r="C510" s="305" t="s">
        <v>1738</v>
      </c>
      <c r="D510" s="113"/>
      <c r="E510" s="305"/>
      <c r="F510" s="305"/>
      <c r="G510" s="305"/>
      <c r="H510" s="305"/>
      <c r="I510" s="96" t="str">
        <f t="shared" si="7"/>
        <v xml:space="preserve">Etablir des seuils critiques de niveaux piézométriques en lien avec les observations faites in situ </v>
      </c>
    </row>
    <row r="511" spans="1:9" ht="38.25" x14ac:dyDescent="0.25">
      <c r="A511" s="113" t="s">
        <v>1048</v>
      </c>
      <c r="B511" s="296" t="s">
        <v>2299</v>
      </c>
      <c r="C511" s="305" t="s">
        <v>1738</v>
      </c>
      <c r="D511" s="113"/>
      <c r="E511" s="305"/>
      <c r="F511" s="305"/>
      <c r="G511" s="305"/>
      <c r="H511" s="305"/>
      <c r="I511" s="96" t="str">
        <f t="shared" si="7"/>
        <v>Mettre en place des mesures de prévention (aménagements limitant le ruissellement, …) et de sauvegar</v>
      </c>
    </row>
    <row r="512" spans="1:9" ht="25.5" x14ac:dyDescent="0.25">
      <c r="A512" s="113" t="s">
        <v>1049</v>
      </c>
      <c r="B512" s="296" t="s">
        <v>2300</v>
      </c>
      <c r="C512" s="305" t="s">
        <v>41</v>
      </c>
      <c r="D512" s="113"/>
      <c r="E512" s="305"/>
      <c r="F512" s="305"/>
      <c r="G512" s="305"/>
      <c r="H512" s="305"/>
      <c r="I512" s="96" t="str">
        <f t="shared" si="7"/>
        <v>Assurer un monitoring renforcé (recours à la télémétrie du réseau de piézomètres) des nappes wallonn</v>
      </c>
    </row>
    <row r="513" spans="1:9" ht="25.5" x14ac:dyDescent="0.25">
      <c r="A513" s="113" t="s">
        <v>1050</v>
      </c>
      <c r="B513" s="296" t="s">
        <v>2301</v>
      </c>
      <c r="C513" s="305" t="s">
        <v>41</v>
      </c>
      <c r="D513" s="113"/>
      <c r="E513" s="305"/>
      <c r="F513" s="305"/>
      <c r="G513" s="305"/>
      <c r="H513" s="305"/>
      <c r="I513" s="96" t="str">
        <f t="shared" si="7"/>
        <v>Détecter les signes précoces de manque d’eau dans les zones d’approvisionnement en eau potable, dont</v>
      </c>
    </row>
    <row r="514" spans="1:9" x14ac:dyDescent="0.25">
      <c r="A514" s="113" t="s">
        <v>1052</v>
      </c>
      <c r="B514" s="296" t="s">
        <v>2302</v>
      </c>
      <c r="C514" s="305" t="s">
        <v>1888</v>
      </c>
      <c r="D514" s="113"/>
      <c r="E514" s="305"/>
      <c r="F514" s="305"/>
      <c r="G514" s="305"/>
      <c r="H514" s="305"/>
      <c r="I514" s="96" t="str">
        <f t="shared" si="7"/>
        <v>Poursuivre la surveillance continue des niveaux permettant la sécurité de la navigation</v>
      </c>
    </row>
    <row r="515" spans="1:9" x14ac:dyDescent="0.25">
      <c r="A515" s="113" t="s">
        <v>1053</v>
      </c>
      <c r="B515" s="296" t="s">
        <v>2303</v>
      </c>
      <c r="C515" s="305" t="s">
        <v>1888</v>
      </c>
      <c r="D515" s="113"/>
      <c r="E515" s="305"/>
      <c r="F515" s="305"/>
      <c r="G515" s="305"/>
      <c r="H515" s="305"/>
      <c r="I515" s="96" t="str">
        <f t="shared" si="7"/>
        <v>Entretenir les systèmes de pompage des écluses permettant de réguler le niveau d’eau</v>
      </c>
    </row>
    <row r="516" spans="1:9" ht="25.5" x14ac:dyDescent="0.25">
      <c r="A516" s="113" t="s">
        <v>1054</v>
      </c>
      <c r="B516" s="296" t="s">
        <v>2304</v>
      </c>
      <c r="C516" s="305" t="s">
        <v>1888</v>
      </c>
      <c r="D516" s="113"/>
      <c r="E516" s="305"/>
      <c r="F516" s="305"/>
      <c r="G516" s="305"/>
      <c r="H516" s="305"/>
      <c r="I516" s="96" t="str">
        <f t="shared" si="7"/>
        <v>Mettre en oeuvre des mesures permettant de limiter la diminution du niveau d’eau dans les biefs (ex:</v>
      </c>
    </row>
    <row r="517" spans="1:9" ht="25.5" x14ac:dyDescent="0.25">
      <c r="A517" s="113" t="s">
        <v>1055</v>
      </c>
      <c r="B517" s="296" t="s">
        <v>2305</v>
      </c>
      <c r="C517" s="305" t="s">
        <v>1888</v>
      </c>
      <c r="D517" s="113"/>
      <c r="E517" s="305"/>
      <c r="F517" s="305"/>
      <c r="G517" s="305"/>
      <c r="H517" s="305"/>
      <c r="I517" s="96" t="str">
        <f t="shared" si="7"/>
        <v xml:space="preserve">Equiper le Canal de nouvelles sondes de pression raccordées au réseau Flowbru (Bassin Béco, Pont de </v>
      </c>
    </row>
    <row r="518" spans="1:9" ht="25.5" x14ac:dyDescent="0.25">
      <c r="A518" s="113" t="s">
        <v>1056</v>
      </c>
      <c r="B518" s="296" t="s">
        <v>2306</v>
      </c>
      <c r="C518" s="305" t="s">
        <v>1888</v>
      </c>
      <c r="D518" s="113"/>
      <c r="E518" s="305"/>
      <c r="F518" s="305"/>
      <c r="G518" s="305"/>
      <c r="H518" s="305"/>
      <c r="I518" s="96" t="str">
        <f t="shared" si="7"/>
        <v>Tenir à jour l’inventaire annuel des prises d’eau et restitutions dans le Canal et effectuer une vis</v>
      </c>
    </row>
    <row r="519" spans="1:9" ht="24.6" customHeight="1" x14ac:dyDescent="0.25">
      <c r="A519" s="113" t="s">
        <v>1057</v>
      </c>
      <c r="B519" s="296" t="s">
        <v>2307</v>
      </c>
      <c r="C519" s="305" t="s">
        <v>1888</v>
      </c>
      <c r="D519" s="113"/>
      <c r="E519" s="305"/>
      <c r="F519" s="305"/>
      <c r="G519" s="305"/>
      <c r="H519" s="305"/>
      <c r="I519" s="96" t="str">
        <f t="shared" si="7"/>
        <v>Equiper les prises d’eau dans le Canal de compteurs connectés permettant un suivi régulier des prélè</v>
      </c>
    </row>
    <row r="520" spans="1:9" x14ac:dyDescent="0.25">
      <c r="A520" s="113" t="s">
        <v>1058</v>
      </c>
      <c r="B520" s="296" t="s">
        <v>2308</v>
      </c>
      <c r="C520" s="305" t="s">
        <v>1888</v>
      </c>
      <c r="D520" s="113"/>
      <c r="E520" s="305"/>
      <c r="F520" s="305"/>
      <c r="G520" s="305"/>
      <c r="H520" s="305"/>
      <c r="I520" s="96" t="str">
        <f t="shared" si="7"/>
        <v>Examiner les nouvelles demandes de prises d’eau dans le Canal</v>
      </c>
    </row>
    <row r="521" spans="1:9" ht="38.25" x14ac:dyDescent="0.25">
      <c r="A521" s="113" t="s">
        <v>1059</v>
      </c>
      <c r="B521" s="296" t="s">
        <v>2309</v>
      </c>
      <c r="C521" s="305" t="s">
        <v>2310</v>
      </c>
      <c r="D521" s="113"/>
      <c r="E521" s="305"/>
      <c r="F521" s="305"/>
      <c r="G521" s="305"/>
      <c r="H521" s="305"/>
      <c r="I521" s="96" t="str">
        <f t="shared" si="7"/>
        <v>Adapter la politique de captage d’eau dans le Canal en cas d’augmentation notable de la demande en e</v>
      </c>
    </row>
    <row r="522" spans="1:9" ht="25.5" x14ac:dyDescent="0.25">
      <c r="A522" s="113" t="s">
        <v>1060</v>
      </c>
      <c r="B522" s="296" t="s">
        <v>2311</v>
      </c>
      <c r="C522" s="305" t="s">
        <v>1738</v>
      </c>
      <c r="D522" s="113"/>
      <c r="E522" s="305"/>
      <c r="F522" s="305"/>
      <c r="G522" s="305"/>
      <c r="H522" s="305"/>
      <c r="I522" s="96" t="str">
        <f t="shared" si="7"/>
        <v>Poursuivre l’imposition de conditions environnementales sur les rejets de prélèvements et restitutio</v>
      </c>
    </row>
    <row r="523" spans="1:9" ht="25.5" x14ac:dyDescent="0.25">
      <c r="A523" s="113" t="s">
        <v>1064</v>
      </c>
      <c r="B523" s="296" t="s">
        <v>2312</v>
      </c>
      <c r="C523" s="305" t="s">
        <v>2313</v>
      </c>
      <c r="D523" s="113"/>
      <c r="E523" s="305"/>
      <c r="F523" s="305"/>
      <c r="G523" s="305"/>
      <c r="H523" s="305"/>
      <c r="I523" s="96" t="str">
        <f t="shared" si="7"/>
        <v>Mener des campagnes d’information sur le phénomène d’algues bleues</v>
      </c>
    </row>
    <row r="524" spans="1:9" ht="38.25" x14ac:dyDescent="0.25">
      <c r="A524" s="113" t="s">
        <v>1065</v>
      </c>
      <c r="B524" s="296" t="s">
        <v>2314</v>
      </c>
      <c r="C524" s="305" t="s">
        <v>2315</v>
      </c>
      <c r="D524" s="113"/>
      <c r="E524" s="305"/>
      <c r="F524" s="305"/>
      <c r="G524" s="305"/>
      <c r="H524" s="305"/>
      <c r="I524" s="96" t="str">
        <f t="shared" si="7"/>
        <v>Prise de mesures ponctuelles au moyen de la sonde multiparamètres mobile et de tests immuno-enzymati</v>
      </c>
    </row>
    <row r="525" spans="1:9" ht="76.5" x14ac:dyDescent="0.25">
      <c r="A525" s="113" t="s">
        <v>1066</v>
      </c>
      <c r="B525" s="296" t="s">
        <v>2316</v>
      </c>
      <c r="C525" s="305" t="s">
        <v>2317</v>
      </c>
      <c r="D525" s="113"/>
      <c r="E525" s="305"/>
      <c r="F525" s="305"/>
      <c r="G525" s="305"/>
      <c r="H525" s="305"/>
      <c r="I525" s="96" t="str">
        <f t="shared" si="7"/>
        <v>Etudier les phénomènes de surmortalité de poissons  : analyse de données qualité de la (les) sonde(s</v>
      </c>
    </row>
    <row r="526" spans="1:9" ht="51" x14ac:dyDescent="0.25">
      <c r="A526" s="113" t="s">
        <v>1067</v>
      </c>
      <c r="B526" s="296" t="s">
        <v>2318</v>
      </c>
      <c r="C526" s="305" t="s">
        <v>2319</v>
      </c>
      <c r="D526" s="113"/>
      <c r="E526" s="305"/>
      <c r="F526" s="305"/>
      <c r="G526" s="305"/>
      <c r="H526" s="305"/>
      <c r="I526" s="96" t="str">
        <f t="shared" si="7"/>
        <v>Etudier la faisabilité de mettre en œuvre des actions ou d’installer des dispositifs sur le Canal pe</v>
      </c>
    </row>
    <row r="527" spans="1:9" ht="38.25" x14ac:dyDescent="0.25">
      <c r="A527" s="113" t="s">
        <v>1068</v>
      </c>
      <c r="B527" s="296" t="s">
        <v>2320</v>
      </c>
      <c r="C527" s="305" t="s">
        <v>2321</v>
      </c>
      <c r="D527" s="113"/>
      <c r="E527" s="305"/>
      <c r="F527" s="305"/>
      <c r="G527" s="305"/>
      <c r="H527" s="305"/>
      <c r="I527" s="96" t="str">
        <f t="shared" si="7"/>
        <v>Étudier la possibilité d’ouvrir les écluses pour renouveler les eaux du Canal en cas de besoin (cani</v>
      </c>
    </row>
    <row r="528" spans="1:9" x14ac:dyDescent="0.25">
      <c r="A528" s="113" t="s">
        <v>1069</v>
      </c>
      <c r="B528" s="296" t="s">
        <v>2322</v>
      </c>
      <c r="C528" s="305" t="s">
        <v>1738</v>
      </c>
      <c r="D528" s="113"/>
      <c r="E528" s="305"/>
      <c r="F528" s="305"/>
      <c r="G528" s="305"/>
      <c r="H528" s="305"/>
      <c r="I528" s="96" t="str">
        <f t="shared" si="7"/>
        <v>Revoir le choix des végétaux à mettre en place dans les espaces verts bruxellois</v>
      </c>
    </row>
    <row r="529" spans="1:9" ht="25.5" x14ac:dyDescent="0.25">
      <c r="A529" s="113" t="s">
        <v>1070</v>
      </c>
      <c r="B529" s="296" t="s">
        <v>2323</v>
      </c>
      <c r="C529" s="305" t="s">
        <v>1738</v>
      </c>
      <c r="D529" s="113"/>
      <c r="E529" s="305"/>
      <c r="F529" s="305"/>
      <c r="G529" s="305"/>
      <c r="H529" s="305"/>
      <c r="I529" s="96" t="str">
        <f t="shared" si="7"/>
        <v xml:space="preserve">Concevoir les espaces verts et apporter les aménagements nécessaires à une gestion plus rationnelle </v>
      </c>
    </row>
    <row r="530" spans="1:9" ht="25.5" x14ac:dyDescent="0.25">
      <c r="A530" s="113" t="s">
        <v>1072</v>
      </c>
      <c r="B530" s="296" t="s">
        <v>2324</v>
      </c>
      <c r="C530" s="305" t="s">
        <v>1738</v>
      </c>
      <c r="D530" s="113"/>
      <c r="E530" s="305"/>
      <c r="F530" s="305"/>
      <c r="G530" s="305"/>
      <c r="H530" s="305"/>
      <c r="I530" s="96" t="str">
        <f t="shared" si="7"/>
        <v xml:space="preserve">Prendre les mesures visant à diminuer le recours à l’eau potable en favorisant l’eau pluviale et en </v>
      </c>
    </row>
    <row r="531" spans="1:9" ht="25.5" x14ac:dyDescent="0.25">
      <c r="A531" s="113" t="s">
        <v>1071</v>
      </c>
      <c r="B531" s="296" t="s">
        <v>2325</v>
      </c>
      <c r="C531" s="305" t="s">
        <v>1738</v>
      </c>
      <c r="D531" s="113"/>
      <c r="E531" s="305"/>
      <c r="F531" s="305"/>
      <c r="G531" s="305"/>
      <c r="H531" s="305"/>
      <c r="I531" s="96" t="str">
        <f t="shared" si="7"/>
        <v>Communication et sensibilisation à cette gestion raisonnée des espaces verts via un référentiel de g</v>
      </c>
    </row>
    <row r="532" spans="1:9" ht="63.75" x14ac:dyDescent="0.25">
      <c r="A532" s="113" t="s">
        <v>1073</v>
      </c>
      <c r="B532" s="296" t="s">
        <v>2326</v>
      </c>
      <c r="C532" s="305" t="s">
        <v>2327</v>
      </c>
      <c r="D532" s="113"/>
      <c r="E532" s="305"/>
      <c r="F532" s="305"/>
      <c r="G532" s="305"/>
      <c r="H532" s="305"/>
      <c r="I532" s="96" t="str">
        <f t="shared" si="7"/>
        <v>Tous publics :
Accompagner les différentes catégories de public par le développement d’outils techni</v>
      </c>
    </row>
    <row r="533" spans="1:9" ht="102" x14ac:dyDescent="0.25">
      <c r="A533" s="113" t="s">
        <v>1074</v>
      </c>
      <c r="B533" s="296" t="s">
        <v>2328</v>
      </c>
      <c r="C533" s="305" t="s">
        <v>2329</v>
      </c>
      <c r="D533" s="113"/>
      <c r="E533" s="305"/>
      <c r="F533" s="305"/>
      <c r="G533" s="305"/>
      <c r="H533" s="305"/>
      <c r="I533" s="96" t="str">
        <f t="shared" si="7"/>
        <v>Maraîchers/cultures Professionnels
- Mise en place d’un soutien dédicacé pour une transition vers de</v>
      </c>
    </row>
    <row r="534" spans="1:9" ht="114.75" x14ac:dyDescent="0.25">
      <c r="A534" s="113" t="s">
        <v>1075</v>
      </c>
      <c r="B534" s="296" t="s">
        <v>2330</v>
      </c>
      <c r="C534" s="305" t="s">
        <v>2331</v>
      </c>
      <c r="D534" s="113"/>
      <c r="E534" s="305"/>
      <c r="F534" s="305"/>
      <c r="G534" s="305"/>
      <c r="H534" s="305"/>
      <c r="I534" s="96" t="str">
        <f t="shared" ref="I534:I597" si="8">LEFT(B534,100)</f>
        <v xml:space="preserve">Potagers collectifs :
encourager le placement et le raccordement des citernes de récupération d’eau </v>
      </c>
    </row>
    <row r="535" spans="1:9" ht="38.25" x14ac:dyDescent="0.25">
      <c r="A535" s="113" t="s">
        <v>1076</v>
      </c>
      <c r="B535" s="296" t="s">
        <v>2332</v>
      </c>
      <c r="C535" s="305" t="s">
        <v>1738</v>
      </c>
      <c r="D535" s="113"/>
      <c r="E535" s="305"/>
      <c r="F535" s="305"/>
      <c r="G535" s="305"/>
      <c r="H535" s="305"/>
      <c r="I535" s="96" t="str">
        <f t="shared" si="8"/>
        <v>Dans les potagers sous gestion de Bruxelles Environnement, étudier au regard des contraintes éventue</v>
      </c>
    </row>
    <row r="536" spans="1:9" ht="38.25" x14ac:dyDescent="0.25">
      <c r="A536" s="113" t="s">
        <v>1077</v>
      </c>
      <c r="B536" s="296" t="s">
        <v>2333</v>
      </c>
      <c r="C536" s="305" t="s">
        <v>2334</v>
      </c>
      <c r="D536" s="113"/>
      <c r="E536" s="305"/>
      <c r="F536" s="305"/>
      <c r="G536" s="305"/>
      <c r="H536" s="305"/>
      <c r="I536" s="96" t="str">
        <f t="shared" si="8"/>
        <v>Lors de projet d’urbanisation ou de revitalisation urbaine, analyser systématiquement la possibilité</v>
      </c>
    </row>
    <row r="537" spans="1:9" ht="51" x14ac:dyDescent="0.25">
      <c r="A537" s="113" t="s">
        <v>1078</v>
      </c>
      <c r="B537" s="296" t="s">
        <v>2335</v>
      </c>
      <c r="C537" s="305" t="s">
        <v>2329</v>
      </c>
      <c r="D537" s="113"/>
      <c r="E537" s="305"/>
      <c r="F537" s="305"/>
      <c r="G537" s="305"/>
      <c r="H537" s="305"/>
      <c r="I537" s="96" t="str">
        <f t="shared" si="8"/>
        <v>Tous publics :
Développer des lignes directrices permettant d’assurer l’équilibre entre enjeux socio</v>
      </c>
    </row>
    <row r="538" spans="1:9" ht="51" x14ac:dyDescent="0.25">
      <c r="A538" s="113" t="s">
        <v>1079</v>
      </c>
      <c r="B538" s="296" t="s">
        <v>2336</v>
      </c>
      <c r="C538" s="305" t="s">
        <v>2337</v>
      </c>
      <c r="D538" s="113"/>
      <c r="E538" s="305"/>
      <c r="F538" s="305"/>
      <c r="G538" s="305"/>
      <c r="H538" s="305"/>
      <c r="I538" s="96" t="str">
        <f t="shared" si="8"/>
        <v>Tous publics :
Etudier le coût-bénéfice d’alternatives à l’eau potable aux regards notamment des asp</v>
      </c>
    </row>
    <row r="539" spans="1:9" ht="25.5" x14ac:dyDescent="0.25">
      <c r="A539" s="113" t="s">
        <v>1080</v>
      </c>
      <c r="B539" s="296" t="s">
        <v>2338</v>
      </c>
      <c r="C539" s="305" t="s">
        <v>1738</v>
      </c>
      <c r="D539" s="113"/>
      <c r="E539" s="305"/>
      <c r="F539" s="305"/>
      <c r="G539" s="305"/>
      <c r="H539" s="305"/>
      <c r="I539" s="96" t="str">
        <f t="shared" si="8"/>
        <v>Mise en place formelle et officielle de la cellule « sécheresse », groupe de travail initialement mi</v>
      </c>
    </row>
    <row r="540" spans="1:9" x14ac:dyDescent="0.25">
      <c r="A540" s="113" t="s">
        <v>1081</v>
      </c>
      <c r="B540" s="296" t="s">
        <v>2339</v>
      </c>
      <c r="C540" s="305" t="s">
        <v>2340</v>
      </c>
      <c r="D540" s="113"/>
      <c r="E540" s="305"/>
      <c r="F540" s="305"/>
      <c r="G540" s="305"/>
      <c r="H540" s="305"/>
      <c r="I540" s="96" t="str">
        <f t="shared" si="8"/>
        <v>Assurer une communication cohérente à travers cette cellule « sécheresse »</v>
      </c>
    </row>
    <row r="541" spans="1:9" ht="38.25" x14ac:dyDescent="0.25">
      <c r="A541" s="113" t="s">
        <v>1082</v>
      </c>
      <c r="B541" s="296" t="s">
        <v>2341</v>
      </c>
      <c r="C541" s="305" t="s">
        <v>104</v>
      </c>
      <c r="D541" s="113"/>
      <c r="E541" s="305"/>
      <c r="F541" s="305"/>
      <c r="G541" s="305"/>
      <c r="H541" s="305"/>
      <c r="I541" s="96" t="str">
        <f t="shared" si="8"/>
        <v>Au sein de la cellule Sécheresse (cf. M 5.23), créer une groupe de travail impliquant les différents</v>
      </c>
    </row>
    <row r="542" spans="1:9" ht="38.25" x14ac:dyDescent="0.25">
      <c r="A542" s="113" t="s">
        <v>1083</v>
      </c>
      <c r="B542" s="296" t="s">
        <v>2342</v>
      </c>
      <c r="C542" s="305" t="s">
        <v>2343</v>
      </c>
      <c r="D542" s="113"/>
      <c r="E542" s="305"/>
      <c r="F542" s="305"/>
      <c r="G542" s="305"/>
      <c r="H542" s="305"/>
      <c r="I542" s="96" t="str">
        <f t="shared" si="8"/>
        <v>Mettre en place un premier système d'alerte pour les inondations fluviales. Préalablement, les démar</v>
      </c>
    </row>
    <row r="543" spans="1:9" ht="38.25" x14ac:dyDescent="0.25">
      <c r="A543" s="113" t="s">
        <v>1084</v>
      </c>
      <c r="B543" s="296" t="s">
        <v>2344</v>
      </c>
      <c r="C543" s="305" t="s">
        <v>2345</v>
      </c>
      <c r="D543" s="113"/>
      <c r="E543" s="305"/>
      <c r="F543" s="305"/>
      <c r="G543" s="305"/>
      <c r="H543" s="305"/>
      <c r="I543" s="96" t="str">
        <f t="shared" si="8"/>
        <v>Opérationaliser le « nowcasting » orage et le déclenchement de phase d’alerte « sécheresse » sur bas</v>
      </c>
    </row>
    <row r="544" spans="1:9" ht="25.5" x14ac:dyDescent="0.25">
      <c r="A544" s="113" t="s">
        <v>1085</v>
      </c>
      <c r="B544" s="296" t="s">
        <v>2346</v>
      </c>
      <c r="C544" s="305" t="s">
        <v>2347</v>
      </c>
      <c r="D544" s="113"/>
      <c r="E544" s="305"/>
      <c r="F544" s="305"/>
      <c r="G544" s="305"/>
      <c r="H544" s="305"/>
      <c r="I544" s="96" t="str">
        <f t="shared" si="8"/>
        <v>Etendre le système d’alerte fluvial en y intégrant les inondations pluviales, sur base de l’expérien</v>
      </c>
    </row>
    <row r="545" spans="1:9" ht="25.5" x14ac:dyDescent="0.25">
      <c r="A545" s="113" t="s">
        <v>1086</v>
      </c>
      <c r="B545" s="296" t="s">
        <v>2348</v>
      </c>
      <c r="C545" s="305" t="s">
        <v>2349</v>
      </c>
      <c r="D545" s="113"/>
      <c r="E545" s="305"/>
      <c r="F545" s="305"/>
      <c r="G545" s="305"/>
      <c r="H545" s="305"/>
      <c r="I545" s="96" t="str">
        <f t="shared" si="8"/>
        <v>Valoriser le système dans le cadre de la gestion dynamique visant à limiter les déversements d’orage</v>
      </c>
    </row>
    <row r="546" spans="1:9" ht="24.6" customHeight="1" x14ac:dyDescent="0.25">
      <c r="A546" s="113" t="s">
        <v>1087</v>
      </c>
      <c r="B546" s="296" t="s">
        <v>2350</v>
      </c>
      <c r="C546" s="305" t="s">
        <v>2351</v>
      </c>
      <c r="D546" s="113"/>
      <c r="E546" s="305"/>
      <c r="F546" s="305"/>
      <c r="G546" s="305"/>
      <c r="H546" s="305"/>
      <c r="I546" s="96" t="str">
        <f t="shared" si="8"/>
        <v>Etablir une évaluation de la planification d’intervention d’urgence telle qu’actuellement en vigueur</v>
      </c>
    </row>
    <row r="547" spans="1:9" ht="38.25" x14ac:dyDescent="0.25">
      <c r="A547" s="113" t="s">
        <v>1088</v>
      </c>
      <c r="B547" s="296" t="s">
        <v>2352</v>
      </c>
      <c r="C547" s="305" t="s">
        <v>104</v>
      </c>
      <c r="D547" s="113"/>
      <c r="E547" s="305"/>
      <c r="F547" s="305"/>
      <c r="G547" s="305"/>
      <c r="H547" s="305"/>
      <c r="I547" s="96" t="str">
        <f t="shared" si="8"/>
        <v xml:space="preserve">Sur base de l’évaluation, établir une « fiche-réflexe » ou un « schéma d’alerte » qui serait adapté </v>
      </c>
    </row>
    <row r="548" spans="1:9" ht="127.5" x14ac:dyDescent="0.25">
      <c r="A548" s="113" t="s">
        <v>1089</v>
      </c>
      <c r="B548" s="296" t="s">
        <v>2353</v>
      </c>
      <c r="C548" s="305" t="s">
        <v>2354</v>
      </c>
      <c r="D548" s="113"/>
      <c r="E548" s="305"/>
      <c r="F548" s="305"/>
      <c r="G548" s="305"/>
      <c r="H548" s="305"/>
      <c r="I548" s="96" t="str">
        <f t="shared" si="8"/>
        <v xml:space="preserve">Réaliser un Plan Particulier d'Urgence et d'Intervention consacré au risque spécifique d’inondation </v>
      </c>
    </row>
    <row r="549" spans="1:9" ht="63.75" x14ac:dyDescent="0.25">
      <c r="A549" s="113" t="s">
        <v>1090</v>
      </c>
      <c r="B549" s="296" t="s">
        <v>2355</v>
      </c>
      <c r="C549" s="305"/>
      <c r="D549" s="113"/>
      <c r="E549" s="305"/>
      <c r="F549" s="305"/>
      <c r="G549" s="305"/>
      <c r="H549" s="305"/>
      <c r="I549" s="96" t="str">
        <f t="shared" si="8"/>
        <v>Intégrer aux Plans d'Intervention Psychosociale existants la prise en compte spécifique du risque d'</v>
      </c>
    </row>
    <row r="550" spans="1:9" ht="114.75" x14ac:dyDescent="0.25">
      <c r="A550" s="113" t="s">
        <v>1091</v>
      </c>
      <c r="B550" s="296" t="s">
        <v>2356</v>
      </c>
      <c r="C550" s="305"/>
      <c r="D550" s="113"/>
      <c r="E550" s="305"/>
      <c r="F550" s="305"/>
      <c r="G550" s="305"/>
      <c r="H550" s="305"/>
      <c r="I550" s="96" t="str">
        <f t="shared" si="8"/>
        <v>Organiser à fréquence régulière des exercices spécifiquement consacrés à la problématique des inonda</v>
      </c>
    </row>
    <row r="551" spans="1:9" x14ac:dyDescent="0.25">
      <c r="A551" s="113" t="s">
        <v>1092</v>
      </c>
      <c r="B551" s="296" t="s">
        <v>2357</v>
      </c>
      <c r="C551" s="305" t="s">
        <v>23</v>
      </c>
      <c r="D551" s="113"/>
      <c r="E551" s="305"/>
      <c r="F551" s="305"/>
      <c r="G551" s="305"/>
      <c r="H551" s="305"/>
      <c r="I551" s="96" t="str">
        <f t="shared" si="8"/>
        <v>Harmoniser et valider les données ‘quantité’ de Flowbru</v>
      </c>
    </row>
    <row r="552" spans="1:9" x14ac:dyDescent="0.25">
      <c r="A552" s="113" t="s">
        <v>1093</v>
      </c>
      <c r="B552" s="296" t="s">
        <v>2358</v>
      </c>
      <c r="C552" s="305" t="s">
        <v>2359</v>
      </c>
      <c r="D552" s="113"/>
      <c r="E552" s="305"/>
      <c r="F552" s="305"/>
      <c r="G552" s="305"/>
      <c r="H552" s="305"/>
      <c r="I552" s="96" t="str">
        <f t="shared" si="8"/>
        <v>Harmoniser les données géométriques des réseaux</v>
      </c>
    </row>
    <row r="553" spans="1:9" x14ac:dyDescent="0.25">
      <c r="A553" s="113" t="s">
        <v>1094</v>
      </c>
      <c r="B553" s="296" t="s">
        <v>2360</v>
      </c>
      <c r="C553" s="305" t="s">
        <v>2359</v>
      </c>
      <c r="D553" s="113"/>
      <c r="E553" s="305"/>
      <c r="F553" s="305"/>
      <c r="G553" s="305"/>
      <c r="H553" s="305"/>
      <c r="I553" s="96" t="str">
        <f t="shared" si="8"/>
        <v>Faire évoluer le GT Carto vers un GT Modélisation, harmoniser les outils de modélisation</v>
      </c>
    </row>
    <row r="554" spans="1:9" x14ac:dyDescent="0.25">
      <c r="A554" s="113" t="s">
        <v>1095</v>
      </c>
      <c r="B554" s="296" t="s">
        <v>2361</v>
      </c>
      <c r="C554" s="305" t="s">
        <v>2362</v>
      </c>
      <c r="D554" s="113"/>
      <c r="E554" s="305"/>
      <c r="F554" s="305"/>
      <c r="G554" s="305"/>
      <c r="H554" s="305"/>
      <c r="I554" s="96" t="str">
        <f t="shared" si="8"/>
        <v>Réalisation des modèles hydrauliques interconnectés simplifiés</v>
      </c>
    </row>
    <row r="555" spans="1:9" x14ac:dyDescent="0.25">
      <c r="A555" s="113" t="s">
        <v>1096</v>
      </c>
      <c r="B555" s="296" t="s">
        <v>2363</v>
      </c>
      <c r="C555" s="305" t="s">
        <v>2362</v>
      </c>
      <c r="D555" s="113"/>
      <c r="E555" s="305"/>
      <c r="F555" s="305"/>
      <c r="G555" s="305"/>
      <c r="H555" s="305"/>
      <c r="I555" s="96" t="str">
        <f t="shared" si="8"/>
        <v>Réalisation des modèles hydrologiques simplifiés</v>
      </c>
    </row>
    <row r="556" spans="1:9" x14ac:dyDescent="0.25">
      <c r="A556" s="113" t="s">
        <v>1097</v>
      </c>
      <c r="B556" s="296" t="s">
        <v>2364</v>
      </c>
      <c r="C556" s="305" t="s">
        <v>1738</v>
      </c>
      <c r="D556" s="113"/>
      <c r="E556" s="305"/>
      <c r="F556" s="305"/>
      <c r="G556" s="305"/>
      <c r="H556" s="305"/>
      <c r="I556" s="96" t="str">
        <f t="shared" si="8"/>
        <v>Identifier les zones de débordement, améliorer les cartes d’aléa d’inondation pluviale</v>
      </c>
    </row>
    <row r="557" spans="1:9" x14ac:dyDescent="0.25">
      <c r="A557" s="113" t="s">
        <v>1098</v>
      </c>
      <c r="B557" s="296" t="s">
        <v>2365</v>
      </c>
      <c r="C557" s="305" t="s">
        <v>2362</v>
      </c>
      <c r="D557" s="113"/>
      <c r="E557" s="305"/>
      <c r="F557" s="305"/>
      <c r="G557" s="305"/>
      <c r="H557" s="305"/>
      <c r="I557" s="96" t="str">
        <f t="shared" si="8"/>
        <v>Analyser virtuellement les scénarios de gestion dynamiques</v>
      </c>
    </row>
    <row r="558" spans="1:9" ht="51" x14ac:dyDescent="0.25">
      <c r="A558" s="113" t="s">
        <v>1099</v>
      </c>
      <c r="B558" s="296" t="s">
        <v>2366</v>
      </c>
      <c r="C558" s="305" t="s">
        <v>41</v>
      </c>
      <c r="D558" s="113"/>
      <c r="E558" s="305"/>
      <c r="F558" s="305"/>
      <c r="G558" s="305"/>
      <c r="H558" s="305"/>
      <c r="I558" s="96" t="str">
        <f t="shared" si="8"/>
        <v>Optimiser les captages actuellement exploités par VIVAQUA où certaines portions, bien qu’autorisées,</v>
      </c>
    </row>
    <row r="559" spans="1:9" ht="38.25" x14ac:dyDescent="0.25">
      <c r="A559" s="113" t="s">
        <v>1100</v>
      </c>
      <c r="B559" s="296" t="s">
        <v>2367</v>
      </c>
      <c r="C559" s="305" t="s">
        <v>41</v>
      </c>
      <c r="D559" s="113"/>
      <c r="E559" s="305"/>
      <c r="F559" s="305"/>
      <c r="G559" s="305"/>
      <c r="H559" s="305"/>
      <c r="I559" s="96" t="str">
        <f t="shared" si="8"/>
        <v>Optimiser les captages actuellement exploités par VIVAQUA où un fonctionnement alternatif est possib</v>
      </c>
    </row>
    <row r="560" spans="1:9" ht="51" x14ac:dyDescent="0.25">
      <c r="A560" s="113" t="s">
        <v>1101</v>
      </c>
      <c r="B560" s="296" t="s">
        <v>2368</v>
      </c>
      <c r="C560" s="305" t="s">
        <v>41</v>
      </c>
      <c r="D560" s="113"/>
      <c r="E560" s="305"/>
      <c r="F560" s="305"/>
      <c r="G560" s="305"/>
      <c r="H560" s="305"/>
      <c r="I560" s="96" t="str">
        <f t="shared" si="8"/>
        <v>Réhabiliter les anciens captages ou la mise en adduction des eaux de dalots (des drains construits s</v>
      </c>
    </row>
    <row r="561" spans="1:9" ht="25.5" x14ac:dyDescent="0.25">
      <c r="A561" s="113" t="s">
        <v>1102</v>
      </c>
      <c r="B561" s="296" t="s">
        <v>2369</v>
      </c>
      <c r="C561" s="305" t="s">
        <v>41</v>
      </c>
      <c r="D561" s="113"/>
      <c r="E561" s="305"/>
      <c r="F561" s="305"/>
      <c r="G561" s="305"/>
      <c r="H561" s="305"/>
      <c r="I561" s="96" t="str">
        <f t="shared" si="8"/>
        <v>Valoriser les eaux d’exhaure de carrières, eaux qui sont aujourd’hui rejetées dans les eaux de surfa</v>
      </c>
    </row>
    <row r="562" spans="1:9" ht="51" x14ac:dyDescent="0.25">
      <c r="A562" s="113" t="s">
        <v>1103</v>
      </c>
      <c r="B562" s="296" t="s">
        <v>2370</v>
      </c>
      <c r="C562" s="305" t="s">
        <v>41</v>
      </c>
      <c r="D562" s="113"/>
      <c r="E562" s="305"/>
      <c r="F562" s="305"/>
      <c r="G562" s="305"/>
      <c r="H562" s="305"/>
      <c r="I562" s="96" t="str">
        <f t="shared" si="8"/>
        <v>Prospecter de nouveaux sites de captage le long du réseau d’adduction de VIVAQUA, tant pour des beso</v>
      </c>
    </row>
    <row r="563" spans="1:9" ht="38.25" x14ac:dyDescent="0.25">
      <c r="A563" s="113" t="s">
        <v>1104</v>
      </c>
      <c r="B563" s="296" t="s">
        <v>2371</v>
      </c>
      <c r="C563" s="305" t="s">
        <v>41</v>
      </c>
      <c r="D563" s="113"/>
      <c r="E563" s="305"/>
      <c r="F563" s="305"/>
      <c r="G563" s="305"/>
      <c r="H563" s="305"/>
      <c r="I563" s="96" t="str">
        <f t="shared" si="8"/>
        <v>Mettre en place l’entretien et la régénération des ouvrages de captage au niveau de Bruxelles. La pr</v>
      </c>
    </row>
    <row r="564" spans="1:9" ht="25.5" x14ac:dyDescent="0.25">
      <c r="A564" s="113" t="s">
        <v>1105</v>
      </c>
      <c r="B564" s="296" t="s">
        <v>2372</v>
      </c>
      <c r="C564" s="305" t="s">
        <v>2373</v>
      </c>
      <c r="D564" s="113"/>
      <c r="E564" s="305"/>
      <c r="F564" s="305"/>
      <c r="G564" s="305"/>
      <c r="H564" s="305"/>
      <c r="I564" s="96" t="str">
        <f t="shared" si="8"/>
        <v xml:space="preserve">Analyse de l’opportunité de recourir à la recharge artificielle et/ou à des aménagements favorisant </v>
      </c>
    </row>
    <row r="565" spans="1:9" x14ac:dyDescent="0.25">
      <c r="A565" s="113" t="s">
        <v>1106</v>
      </c>
      <c r="B565" s="296" t="s">
        <v>2374</v>
      </c>
      <c r="C565" s="305" t="s">
        <v>2373</v>
      </c>
      <c r="D565" s="113"/>
      <c r="E565" s="305"/>
      <c r="F565" s="305"/>
      <c r="G565" s="305"/>
      <c r="H565" s="305"/>
      <c r="I565" s="96" t="str">
        <f t="shared" si="8"/>
        <v>Identifier les lieux qui s’y disposent, le cas échéant</v>
      </c>
    </row>
    <row r="566" spans="1:9" ht="25.5" x14ac:dyDescent="0.25">
      <c r="A566" s="113" t="s">
        <v>1107</v>
      </c>
      <c r="B566" s="296" t="s">
        <v>2375</v>
      </c>
      <c r="C566" s="305" t="s">
        <v>1738</v>
      </c>
      <c r="D566" s="113"/>
      <c r="E566" s="305"/>
      <c r="F566" s="305"/>
      <c r="G566" s="305"/>
      <c r="H566" s="305"/>
      <c r="I566" s="96" t="str">
        <f t="shared" si="8"/>
        <v>Mener une politique de communication portant sur la culture du risque lié aux inondations et aux épi</v>
      </c>
    </row>
    <row r="567" spans="1:9" ht="25.5" x14ac:dyDescent="0.25">
      <c r="A567" s="113" t="s">
        <v>1108</v>
      </c>
      <c r="B567" s="296" t="s">
        <v>2376</v>
      </c>
      <c r="C567" s="305" t="s">
        <v>2377</v>
      </c>
      <c r="D567" s="113"/>
      <c r="E567" s="305"/>
      <c r="F567" s="305"/>
      <c r="G567" s="305"/>
      <c r="H567" s="305"/>
      <c r="I567" s="96" t="str">
        <f t="shared" si="8"/>
        <v>Prévenir et accompagner les personnes sinistrées en cas de survenance d’inondation ou de sécheresse</v>
      </c>
    </row>
    <row r="568" spans="1:9" ht="38.25" x14ac:dyDescent="0.25">
      <c r="A568" s="113" t="s">
        <v>1109</v>
      </c>
      <c r="B568" s="296" t="s">
        <v>2378</v>
      </c>
      <c r="C568" s="113" t="s">
        <v>1738</v>
      </c>
      <c r="D568" s="113"/>
      <c r="E568" s="305"/>
      <c r="F568" s="305"/>
      <c r="G568" s="305"/>
      <c r="H568" s="305"/>
      <c r="I568" s="96" t="str">
        <f t="shared" si="8"/>
        <v xml:space="preserve">GiEP et mesures de protection 
Proposer des séances de sensibilisation, de partage d’expériences et </v>
      </c>
    </row>
    <row r="569" spans="1:9" ht="63.75" x14ac:dyDescent="0.25">
      <c r="A569" s="113" t="s">
        <v>1110</v>
      </c>
      <c r="B569" s="296" t="s">
        <v>2379</v>
      </c>
      <c r="C569" s="113" t="s">
        <v>1738</v>
      </c>
      <c r="D569" s="113"/>
      <c r="E569" s="305"/>
      <c r="F569" s="305"/>
      <c r="G569" s="305"/>
      <c r="H569" s="305"/>
      <c r="I569" s="96" t="str">
        <f t="shared" si="8"/>
        <v>GiEP et mesures de protection
Offrir une gamme de formations adaptées aux différents publics (région</v>
      </c>
    </row>
    <row r="570" spans="1:9" ht="89.25" x14ac:dyDescent="0.25">
      <c r="A570" s="113" t="s">
        <v>1111</v>
      </c>
      <c r="B570" s="296" t="s">
        <v>2380</v>
      </c>
      <c r="C570" s="113" t="s">
        <v>2381</v>
      </c>
      <c r="D570" s="113"/>
      <c r="E570" s="305"/>
      <c r="F570" s="305"/>
      <c r="G570" s="305"/>
      <c r="H570" s="305"/>
      <c r="I570" s="96" t="str">
        <f t="shared" si="8"/>
        <v>GiEP et mesures de protection
Développer et diffuser du contenu à destination des particuliers en vu</v>
      </c>
    </row>
    <row r="571" spans="1:9" ht="25.5" x14ac:dyDescent="0.25">
      <c r="A571" s="113" t="s">
        <v>1112</v>
      </c>
      <c r="B571" s="296" t="s">
        <v>2382</v>
      </c>
      <c r="C571" s="113" t="s">
        <v>1738</v>
      </c>
      <c r="D571" s="113"/>
      <c r="E571" s="305"/>
      <c r="F571" s="305"/>
      <c r="G571" s="305"/>
      <c r="H571" s="305"/>
      <c r="I571" s="96" t="str">
        <f t="shared" si="8"/>
        <v>GiEP et mesures de protection
Envoi vers M 5.5 : carte du Maillage Pluie</v>
      </c>
    </row>
    <row r="572" spans="1:9" ht="51" x14ac:dyDescent="0.25">
      <c r="A572" s="113" t="s">
        <v>1113</v>
      </c>
      <c r="B572" s="296" t="s">
        <v>2383</v>
      </c>
      <c r="C572" s="113" t="s">
        <v>2384</v>
      </c>
      <c r="D572" s="113"/>
      <c r="E572" s="305"/>
      <c r="F572" s="305"/>
      <c r="G572" s="305"/>
      <c r="H572" s="305"/>
      <c r="I572" s="96" t="str">
        <f t="shared" si="8"/>
        <v xml:space="preserve">GiEP et mesures de protection
Développer des contenus en commun et intégrer aux outils existants un </v>
      </c>
    </row>
    <row r="573" spans="1:9" ht="25.5" x14ac:dyDescent="0.25">
      <c r="A573" s="113" t="s">
        <v>1114</v>
      </c>
      <c r="B573" s="296" t="s">
        <v>2385</v>
      </c>
      <c r="C573" s="113" t="s">
        <v>1738</v>
      </c>
      <c r="D573" s="113"/>
      <c r="E573" s="305"/>
      <c r="F573" s="305"/>
      <c r="G573" s="305"/>
      <c r="H573" s="305"/>
      <c r="I573" s="96" t="str">
        <f t="shared" si="8"/>
        <v>Sécheresse
Communiquer sur l’effet d’Îlots de chaleur urbain (ICU) et la manière de limiter localeme</v>
      </c>
    </row>
    <row r="574" spans="1:9" ht="25.5" x14ac:dyDescent="0.25">
      <c r="A574" s="113" t="s">
        <v>1115</v>
      </c>
      <c r="B574" s="296" t="s">
        <v>2386</v>
      </c>
      <c r="C574" s="113" t="s">
        <v>1738</v>
      </c>
      <c r="D574" s="113"/>
      <c r="E574" s="305"/>
      <c r="F574" s="305"/>
      <c r="G574" s="305"/>
      <c r="H574" s="305"/>
      <c r="I574" s="96" t="str">
        <f t="shared" si="8"/>
        <v>Inondation
Conscientiser les habitants sur l’impact favorable de l’adaptation du bâti.</v>
      </c>
    </row>
    <row r="575" spans="1:9" x14ac:dyDescent="0.25">
      <c r="A575" s="113" t="s">
        <v>1127</v>
      </c>
      <c r="B575" s="296" t="s">
        <v>2387</v>
      </c>
      <c r="C575" s="113" t="s">
        <v>2388</v>
      </c>
      <c r="D575" s="113"/>
      <c r="E575" s="305"/>
      <c r="F575" s="305"/>
      <c r="G575" s="305"/>
      <c r="H575" s="305"/>
      <c r="I575" s="96" t="str">
        <f t="shared" si="8"/>
        <v>Finaliser le projet prioritaire 25 - Water Quantity Plan (phase 2 : 2025-2040)</v>
      </c>
    </row>
    <row r="576" spans="1:9" x14ac:dyDescent="0.25">
      <c r="A576" s="113" t="s">
        <v>1128</v>
      </c>
      <c r="B576" s="296" t="s">
        <v>2389</v>
      </c>
      <c r="C576" s="113" t="s">
        <v>41</v>
      </c>
      <c r="D576" s="113"/>
      <c r="E576" s="305"/>
      <c r="F576" s="305"/>
      <c r="G576" s="305"/>
      <c r="H576" s="305"/>
      <c r="I576" s="96" t="str">
        <f t="shared" si="8"/>
        <v>Communiquer sur le Water Quantity Plan</v>
      </c>
    </row>
    <row r="577" spans="1:9" x14ac:dyDescent="0.25">
      <c r="A577" s="113" t="s">
        <v>1129</v>
      </c>
      <c r="B577" s="296" t="s">
        <v>2390</v>
      </c>
      <c r="C577" s="113" t="s">
        <v>2373</v>
      </c>
      <c r="D577" s="113"/>
      <c r="E577" s="305"/>
      <c r="F577" s="305"/>
      <c r="G577" s="305"/>
      <c r="H577" s="305"/>
      <c r="I577" s="96" t="str">
        <f t="shared" si="8"/>
        <v>Assurer une veille scientifique et poursuivre la collecte de données utiles</v>
      </c>
    </row>
    <row r="578" spans="1:9" ht="51" x14ac:dyDescent="0.25">
      <c r="A578" s="113" t="s">
        <v>1130</v>
      </c>
      <c r="B578" s="296" t="s">
        <v>2391</v>
      </c>
      <c r="C578" s="113" t="s">
        <v>1842</v>
      </c>
      <c r="D578" s="113"/>
      <c r="E578" s="305"/>
      <c r="F578" s="305"/>
      <c r="G578" s="305"/>
      <c r="H578" s="305"/>
      <c r="I578" s="96" t="str">
        <f t="shared" si="8"/>
        <v>Évaluer (sur base de modélisation et de scénarios climatiques) l’impact du changement climatique sur</v>
      </c>
    </row>
    <row r="579" spans="1:9" ht="25.5" x14ac:dyDescent="0.25">
      <c r="A579" s="113" t="s">
        <v>1131</v>
      </c>
      <c r="B579" s="296" t="s">
        <v>2392</v>
      </c>
      <c r="C579" s="113" t="s">
        <v>1738</v>
      </c>
      <c r="D579" s="113"/>
      <c r="E579" s="305"/>
      <c r="F579" s="305"/>
      <c r="G579" s="305"/>
      <c r="H579" s="305"/>
      <c r="I579" s="96" t="str">
        <f t="shared" si="8"/>
        <v>Evaluer l’impact du changement climatique sur les étangs en termes budgétaire afin de pouvoir antici</v>
      </c>
    </row>
    <row r="580" spans="1:9" x14ac:dyDescent="0.25">
      <c r="A580" s="113" t="s">
        <v>1132</v>
      </c>
      <c r="B580" s="296" t="s">
        <v>2393</v>
      </c>
      <c r="C580" s="113" t="s">
        <v>1738</v>
      </c>
      <c r="D580" s="113"/>
      <c r="E580" s="305"/>
      <c r="F580" s="305"/>
      <c r="G580" s="305"/>
      <c r="H580" s="305"/>
      <c r="I580" s="96" t="str">
        <f t="shared" si="8"/>
        <v>Évaluer l’impact du changement climatique sur la qualité des masses d’eau de surface</v>
      </c>
    </row>
    <row r="581" spans="1:9" ht="25.5" x14ac:dyDescent="0.25">
      <c r="A581" s="113" t="s">
        <v>1133</v>
      </c>
      <c r="B581" s="296" t="s">
        <v>2394</v>
      </c>
      <c r="C581" s="113" t="s">
        <v>2395</v>
      </c>
      <c r="D581" s="113"/>
      <c r="E581" s="305"/>
      <c r="F581" s="305"/>
      <c r="G581" s="305"/>
      <c r="H581" s="305"/>
      <c r="I581" s="96" t="str">
        <f t="shared" si="8"/>
        <v xml:space="preserve">Encourager les projets d’innovation en matière de résilience de la Région face aux perturbations du </v>
      </c>
    </row>
    <row r="582" spans="1:9" x14ac:dyDescent="0.25">
      <c r="A582" s="113" t="s">
        <v>1134</v>
      </c>
      <c r="B582" s="296" t="s">
        <v>2396</v>
      </c>
      <c r="C582" s="113" t="s">
        <v>1738</v>
      </c>
      <c r="D582" s="113"/>
      <c r="E582" s="305"/>
      <c r="F582" s="305"/>
      <c r="G582" s="305"/>
      <c r="H582" s="305"/>
      <c r="I582" s="96" t="str">
        <f t="shared" si="8"/>
        <v>Prendre part aux appels à projets menant à des partenariats européens d’innovation</v>
      </c>
    </row>
    <row r="583" spans="1:9" ht="25.5" x14ac:dyDescent="0.25">
      <c r="A583" s="113" t="s">
        <v>1161</v>
      </c>
      <c r="B583" s="296" t="s">
        <v>2397</v>
      </c>
      <c r="C583" s="113" t="s">
        <v>1738</v>
      </c>
      <c r="D583" s="113"/>
      <c r="E583" s="305"/>
      <c r="F583" s="305"/>
      <c r="G583" s="305"/>
      <c r="H583" s="305"/>
      <c r="I583" s="96" t="str">
        <f t="shared" si="8"/>
        <v>Etablir une vision programmatique par sous-bassin versant pour les travaux extraordinaires à réalise</v>
      </c>
    </row>
    <row r="584" spans="1:9" ht="25.5" x14ac:dyDescent="0.25">
      <c r="A584" s="113" t="s">
        <v>1162</v>
      </c>
      <c r="B584" s="296" t="s">
        <v>2398</v>
      </c>
      <c r="C584" s="113" t="s">
        <v>1738</v>
      </c>
      <c r="D584" s="113"/>
      <c r="E584" s="305"/>
      <c r="F584" s="305"/>
      <c r="G584" s="305"/>
      <c r="H584" s="305"/>
      <c r="I584" s="96" t="str">
        <f t="shared" si="8"/>
        <v>Etablir un plan d’entretien par sous-bassin versant pour les travaux ordinaires et de lutte contre l</v>
      </c>
    </row>
    <row r="585" spans="1:9" x14ac:dyDescent="0.25">
      <c r="A585" s="113" t="s">
        <v>1176</v>
      </c>
      <c r="B585" s="296" t="s">
        <v>2399</v>
      </c>
      <c r="C585" s="113" t="s">
        <v>1738</v>
      </c>
      <c r="D585" s="113"/>
      <c r="E585" s="305"/>
      <c r="F585" s="305"/>
      <c r="G585" s="305"/>
      <c r="H585" s="305"/>
      <c r="I585" s="96" t="str">
        <f t="shared" si="8"/>
        <v>Finalisation et approbation du plan de gestion des étangs</v>
      </c>
    </row>
    <row r="586" spans="1:9" ht="38.25" x14ac:dyDescent="0.25">
      <c r="A586" s="113" t="s">
        <v>1177</v>
      </c>
      <c r="B586" s="296" t="s">
        <v>2400</v>
      </c>
      <c r="C586" s="113" t="s">
        <v>2401</v>
      </c>
      <c r="D586" s="113"/>
      <c r="E586" s="305"/>
      <c r="F586" s="305"/>
      <c r="G586" s="305"/>
      <c r="H586" s="305"/>
      <c r="I586" s="96" t="str">
        <f t="shared" si="8"/>
        <v>Mener à bien le Projet « SmartWater », projet de sciences citoyennes de monitoring pour optimiser l'</v>
      </c>
    </row>
    <row r="587" spans="1:9" x14ac:dyDescent="0.25">
      <c r="A587" s="113" t="s">
        <v>1178</v>
      </c>
      <c r="B587" s="296" t="s">
        <v>2402</v>
      </c>
      <c r="C587" s="113" t="s">
        <v>1738</v>
      </c>
      <c r="D587" s="113"/>
      <c r="E587" s="305"/>
      <c r="F587" s="305"/>
      <c r="G587" s="305"/>
      <c r="H587" s="305"/>
      <c r="I587" s="96" t="str">
        <f t="shared" si="8"/>
        <v>Intégration du plan de gestion des étangs dans les différents plans de gestion des sites Natura 2000</v>
      </c>
    </row>
    <row r="588" spans="1:9" ht="25.5" x14ac:dyDescent="0.25">
      <c r="A588" s="113" t="s">
        <v>1179</v>
      </c>
      <c r="B588" s="296" t="s">
        <v>2403</v>
      </c>
      <c r="C588" s="113" t="s">
        <v>1738</v>
      </c>
      <c r="D588" s="113"/>
      <c r="E588" s="305"/>
      <c r="F588" s="305"/>
      <c r="G588" s="305"/>
      <c r="H588" s="305"/>
      <c r="I588" s="96" t="str">
        <f t="shared" si="8"/>
        <v>Mesure de suivi de la qualité des étangs et du degré d’envasement : monitoring de la qualité de la c</v>
      </c>
    </row>
    <row r="589" spans="1:9" x14ac:dyDescent="0.25">
      <c r="A589" s="113" t="s">
        <v>1180</v>
      </c>
      <c r="B589" s="296" t="s">
        <v>2404</v>
      </c>
      <c r="C589" s="113" t="s">
        <v>1738</v>
      </c>
      <c r="D589" s="113"/>
      <c r="E589" s="305"/>
      <c r="F589" s="305"/>
      <c r="G589" s="305"/>
      <c r="H589" s="305"/>
      <c r="I589" s="96" t="str">
        <f t="shared" si="8"/>
        <v>Réaliser les entretiens des siphons</v>
      </c>
    </row>
    <row r="590" spans="1:9" x14ac:dyDescent="0.25">
      <c r="A590" s="113" t="s">
        <v>1181</v>
      </c>
      <c r="B590" s="296" t="s">
        <v>2405</v>
      </c>
      <c r="C590" s="113" t="s">
        <v>1738</v>
      </c>
      <c r="D590" s="113"/>
      <c r="E590" s="305"/>
      <c r="F590" s="305"/>
      <c r="G590" s="305"/>
      <c r="H590" s="305"/>
      <c r="I590" s="96" t="str">
        <f t="shared" si="8"/>
        <v>Mener des actions ponctuelles d’investigation et de débouchage</v>
      </c>
    </row>
    <row r="591" spans="1:9" ht="25.5" x14ac:dyDescent="0.25">
      <c r="A591" s="113" t="s">
        <v>1182</v>
      </c>
      <c r="B591" s="296" t="s">
        <v>2406</v>
      </c>
      <c r="C591" s="113" t="s">
        <v>1738</v>
      </c>
      <c r="D591" s="113"/>
      <c r="E591" s="305"/>
      <c r="F591" s="305"/>
      <c r="G591" s="305"/>
      <c r="H591" s="305"/>
      <c r="I591" s="96" t="str">
        <f t="shared" si="8"/>
        <v>Réaliser les travaux  d’entretien hydraulique sur les cours d’eau et étangs (y compris curage des co</v>
      </c>
    </row>
    <row r="592" spans="1:9" x14ac:dyDescent="0.25">
      <c r="A592" s="113" t="s">
        <v>1183</v>
      </c>
      <c r="B592" s="296" t="s">
        <v>2407</v>
      </c>
      <c r="C592" s="113" t="s">
        <v>1738</v>
      </c>
      <c r="D592" s="113"/>
      <c r="E592" s="305"/>
      <c r="F592" s="305"/>
      <c r="G592" s="305"/>
      <c r="H592" s="305"/>
      <c r="I592" s="96" t="str">
        <f t="shared" si="8"/>
        <v>Réaliser des plantations, débroussaillages, des actions d’éco-pâturage, de nettoyage et d’élagage</v>
      </c>
    </row>
    <row r="593" spans="1:9" x14ac:dyDescent="0.25">
      <c r="A593" s="113" t="s">
        <v>1184</v>
      </c>
      <c r="B593" s="296" t="s">
        <v>2408</v>
      </c>
      <c r="C593" s="113" t="s">
        <v>1738</v>
      </c>
      <c r="D593" s="113"/>
      <c r="E593" s="305"/>
      <c r="F593" s="305"/>
      <c r="G593" s="305"/>
      <c r="H593" s="305"/>
      <c r="I593" s="96" t="str">
        <f t="shared" si="8"/>
        <v>Assurer les curages  d’entretien nécessaires des étangs et mares</v>
      </c>
    </row>
    <row r="594" spans="1:9" ht="25.5" x14ac:dyDescent="0.25">
      <c r="A594" s="113" t="s">
        <v>1185</v>
      </c>
      <c r="B594" s="296" t="s">
        <v>2409</v>
      </c>
      <c r="C594" s="113" t="s">
        <v>1738</v>
      </c>
      <c r="D594" s="113"/>
      <c r="E594" s="305"/>
      <c r="F594" s="305"/>
      <c r="G594" s="305"/>
      <c r="H594" s="305"/>
      <c r="I594" s="96" t="str">
        <f t="shared" si="8"/>
        <v>Evaluer les rôles et responsabilités des gestionnaires présumés (évacuation des produits de fauches,</v>
      </c>
    </row>
    <row r="595" spans="1:9" x14ac:dyDescent="0.25">
      <c r="A595" s="113" t="s">
        <v>1186</v>
      </c>
      <c r="B595" s="296" t="s">
        <v>2410</v>
      </c>
      <c r="C595" s="113" t="s">
        <v>2411</v>
      </c>
      <c r="D595" s="113"/>
      <c r="E595" s="305"/>
      <c r="F595" s="305"/>
      <c r="G595" s="305"/>
      <c r="H595" s="305"/>
      <c r="I595" s="96" t="str">
        <f t="shared" si="8"/>
        <v>Entretenir le pertuis de la Senne (ouvrage)</v>
      </c>
    </row>
    <row r="596" spans="1:9" x14ac:dyDescent="0.25">
      <c r="A596" s="113" t="s">
        <v>1187</v>
      </c>
      <c r="B596" s="296" t="s">
        <v>2412</v>
      </c>
      <c r="C596" s="113" t="s">
        <v>2413</v>
      </c>
      <c r="D596" s="113"/>
      <c r="E596" s="305"/>
      <c r="F596" s="305"/>
      <c r="G596" s="305"/>
      <c r="H596" s="305"/>
      <c r="I596" s="96" t="str">
        <f t="shared" si="8"/>
        <v>Evacuer préventivement les sources d’embâcles le long des cours d’eau (branchages,…)</v>
      </c>
    </row>
    <row r="597" spans="1:9" x14ac:dyDescent="0.25">
      <c r="A597" s="113" t="s">
        <v>1188</v>
      </c>
      <c r="B597" s="296" t="s">
        <v>2414</v>
      </c>
      <c r="C597" s="113" t="s">
        <v>2415</v>
      </c>
      <c r="D597" s="113"/>
      <c r="E597" s="305"/>
      <c r="F597" s="305"/>
      <c r="G597" s="305"/>
      <c r="H597" s="305"/>
      <c r="I597" s="96" t="str">
        <f t="shared" si="8"/>
        <v>Identification et géolocalisation des résurgences</v>
      </c>
    </row>
    <row r="598" spans="1:9" ht="25.5" x14ac:dyDescent="0.25">
      <c r="A598" s="113" t="s">
        <v>1189</v>
      </c>
      <c r="B598" s="296" t="s">
        <v>2416</v>
      </c>
      <c r="C598" s="113" t="s">
        <v>1738</v>
      </c>
      <c r="D598" s="113"/>
      <c r="E598" s="305"/>
      <c r="F598" s="305"/>
      <c r="G598" s="305"/>
      <c r="H598" s="305"/>
      <c r="I598" s="96" t="str">
        <f t="shared" ref="I598:I673" si="9">LEFT(B598,100)</f>
        <v>Validation hydrogéologique et intégration dans une base de données et outils cartographiques (atlas,</v>
      </c>
    </row>
    <row r="599" spans="1:9" x14ac:dyDescent="0.25">
      <c r="A599" s="113" t="s">
        <v>1190</v>
      </c>
      <c r="B599" s="296" t="s">
        <v>2417</v>
      </c>
      <c r="C599" s="113" t="s">
        <v>2418</v>
      </c>
      <c r="D599" s="113"/>
      <c r="E599" s="305"/>
      <c r="F599" s="305"/>
      <c r="G599" s="305"/>
      <c r="H599" s="305"/>
      <c r="I599" s="96" t="str">
        <f t="shared" si="9"/>
        <v>Communication et mise à disposition des cartes de sensibilisation au public</v>
      </c>
    </row>
    <row r="600" spans="1:9" x14ac:dyDescent="0.25">
      <c r="A600" s="113" t="s">
        <v>1191</v>
      </c>
      <c r="B600" s="296" t="s">
        <v>2419</v>
      </c>
      <c r="C600" s="113" t="s">
        <v>2420</v>
      </c>
      <c r="D600" s="113"/>
      <c r="E600" s="305"/>
      <c r="F600" s="305"/>
      <c r="G600" s="305"/>
      <c r="H600" s="305"/>
      <c r="I600" s="96" t="str">
        <f t="shared" si="9"/>
        <v>Envisager la mise en valeur des sources par l’amélioration de leur visibilité dans l’espace public</v>
      </c>
    </row>
    <row r="601" spans="1:9" ht="38.25" x14ac:dyDescent="0.25">
      <c r="A601" s="113" t="s">
        <v>1192</v>
      </c>
      <c r="B601" s="296" t="s">
        <v>2421</v>
      </c>
      <c r="C601" s="113" t="s">
        <v>1842</v>
      </c>
      <c r="D601" s="113"/>
      <c r="E601" s="305"/>
      <c r="F601" s="305"/>
      <c r="G601" s="305"/>
      <c r="H601" s="305"/>
      <c r="I601" s="96" t="str">
        <f t="shared" si="9"/>
        <v>Assurer une présence sur terrain pour sensibiliser, contrôler et, le cas échéant, sanctionner les pe</v>
      </c>
    </row>
    <row r="602" spans="1:9" ht="38.25" x14ac:dyDescent="0.25">
      <c r="A602" s="113" t="s">
        <v>3009</v>
      </c>
      <c r="B602" s="296" t="s">
        <v>3021</v>
      </c>
      <c r="C602" s="113"/>
      <c r="D602" s="113"/>
      <c r="E602" s="305"/>
      <c r="F602" s="305"/>
      <c r="G602" s="305"/>
      <c r="H602" s="305"/>
      <c r="I602" s="96"/>
    </row>
    <row r="603" spans="1:9" ht="38.25" x14ac:dyDescent="0.25">
      <c r="A603" s="113" t="s">
        <v>3010</v>
      </c>
      <c r="B603" s="296" t="s">
        <v>3032</v>
      </c>
      <c r="C603" s="113"/>
      <c r="D603" s="113"/>
      <c r="E603" s="305"/>
      <c r="F603" s="305"/>
      <c r="G603" s="305"/>
      <c r="H603" s="305"/>
      <c r="I603" s="96"/>
    </row>
    <row r="604" spans="1:9" ht="25.5" x14ac:dyDescent="0.25">
      <c r="A604" s="113" t="s">
        <v>3011</v>
      </c>
      <c r="B604" s="296" t="s">
        <v>3022</v>
      </c>
      <c r="C604" s="113"/>
      <c r="D604" s="113"/>
      <c r="E604" s="305"/>
      <c r="F604" s="305"/>
      <c r="G604" s="305"/>
      <c r="H604" s="305"/>
      <c r="I604" s="96"/>
    </row>
    <row r="605" spans="1:9" ht="38.25" x14ac:dyDescent="0.25">
      <c r="A605" s="113" t="s">
        <v>3012</v>
      </c>
      <c r="B605" s="296" t="s">
        <v>3031</v>
      </c>
      <c r="C605" s="113"/>
      <c r="D605" s="113"/>
      <c r="E605" s="305"/>
      <c r="F605" s="305"/>
      <c r="G605" s="305"/>
      <c r="H605" s="305"/>
      <c r="I605" s="96"/>
    </row>
    <row r="606" spans="1:9" ht="38.25" x14ac:dyDescent="0.25">
      <c r="A606" s="113" t="s">
        <v>3013</v>
      </c>
      <c r="B606" s="296" t="s">
        <v>3030</v>
      </c>
      <c r="C606" s="113"/>
      <c r="D606" s="113"/>
      <c r="E606" s="305"/>
      <c r="F606" s="305"/>
      <c r="G606" s="305"/>
      <c r="H606" s="305"/>
      <c r="I606" s="96"/>
    </row>
    <row r="607" spans="1:9" ht="25.5" x14ac:dyDescent="0.25">
      <c r="A607" s="113" t="s">
        <v>3014</v>
      </c>
      <c r="B607" s="296" t="s">
        <v>3029</v>
      </c>
      <c r="C607" s="113"/>
      <c r="D607" s="113"/>
      <c r="E607" s="305"/>
      <c r="F607" s="305"/>
      <c r="G607" s="305"/>
      <c r="H607" s="305"/>
      <c r="I607" s="96"/>
    </row>
    <row r="608" spans="1:9" ht="25.5" x14ac:dyDescent="0.25">
      <c r="A608" s="113" t="s">
        <v>3015</v>
      </c>
      <c r="B608" s="296" t="s">
        <v>3023</v>
      </c>
      <c r="C608" s="113"/>
      <c r="D608" s="113"/>
      <c r="E608" s="305"/>
      <c r="F608" s="305"/>
      <c r="G608" s="305"/>
      <c r="H608" s="305"/>
      <c r="I608" s="96"/>
    </row>
    <row r="609" spans="1:9" ht="25.5" x14ac:dyDescent="0.25">
      <c r="A609" s="113" t="s">
        <v>3016</v>
      </c>
      <c r="B609" s="296" t="s">
        <v>3028</v>
      </c>
      <c r="C609" s="113"/>
      <c r="D609" s="113"/>
      <c r="E609" s="305"/>
      <c r="F609" s="305"/>
      <c r="G609" s="305"/>
      <c r="H609" s="305"/>
      <c r="I609" s="96"/>
    </row>
    <row r="610" spans="1:9" x14ac:dyDescent="0.25">
      <c r="A610" s="113" t="s">
        <v>3017</v>
      </c>
      <c r="B610" s="296" t="s">
        <v>3024</v>
      </c>
      <c r="C610" s="113"/>
      <c r="D610" s="113"/>
      <c r="E610" s="305"/>
      <c r="F610" s="305"/>
      <c r="G610" s="305"/>
      <c r="H610" s="305"/>
      <c r="I610" s="96"/>
    </row>
    <row r="611" spans="1:9" ht="25.5" x14ac:dyDescent="0.25">
      <c r="A611" s="113" t="s">
        <v>3018</v>
      </c>
      <c r="B611" s="296" t="s">
        <v>3025</v>
      </c>
      <c r="C611" s="113"/>
      <c r="D611" s="113"/>
      <c r="E611" s="305"/>
      <c r="F611" s="305"/>
      <c r="G611" s="305"/>
      <c r="H611" s="305"/>
      <c r="I611" s="96"/>
    </row>
    <row r="612" spans="1:9" ht="25.5" x14ac:dyDescent="0.25">
      <c r="A612" s="113" t="s">
        <v>3019</v>
      </c>
      <c r="B612" s="296" t="s">
        <v>3026</v>
      </c>
      <c r="C612" s="113"/>
      <c r="D612" s="113"/>
      <c r="E612" s="305"/>
      <c r="F612" s="305"/>
      <c r="G612" s="305"/>
      <c r="H612" s="305"/>
      <c r="I612" s="96"/>
    </row>
    <row r="613" spans="1:9" ht="25.5" x14ac:dyDescent="0.25">
      <c r="A613" s="113" t="s">
        <v>3020</v>
      </c>
      <c r="B613" s="296" t="s">
        <v>3027</v>
      </c>
      <c r="C613" s="113"/>
      <c r="D613" s="113"/>
      <c r="E613" s="305"/>
      <c r="F613" s="305"/>
      <c r="G613" s="305"/>
      <c r="H613" s="305"/>
      <c r="I613" s="96"/>
    </row>
    <row r="614" spans="1:9" ht="25.5" x14ac:dyDescent="0.25">
      <c r="A614" s="113" t="s">
        <v>1193</v>
      </c>
      <c r="B614" s="296" t="s">
        <v>2422</v>
      </c>
      <c r="C614" s="113" t="s">
        <v>1738</v>
      </c>
      <c r="D614" s="113"/>
      <c r="E614" s="305"/>
      <c r="F614" s="305"/>
      <c r="G614" s="305"/>
      <c r="H614" s="305"/>
      <c r="I614" s="96" t="str">
        <f t="shared" si="9"/>
        <v>Mener une étude projet d’aménagement d’un étang de baignade et ses abords (pour les parties qui ne c</v>
      </c>
    </row>
    <row r="615" spans="1:9" x14ac:dyDescent="0.25">
      <c r="A615" s="113" t="s">
        <v>1194</v>
      </c>
      <c r="B615" s="296" t="s">
        <v>2423</v>
      </c>
      <c r="C615" s="113" t="s">
        <v>1738</v>
      </c>
      <c r="D615" s="113"/>
      <c r="E615" s="305"/>
      <c r="F615" s="305"/>
      <c r="G615" s="305"/>
      <c r="H615" s="305"/>
      <c r="I615" s="96" t="str">
        <f t="shared" si="9"/>
        <v>Adapter le cadre réglementaire des piscines</v>
      </c>
    </row>
    <row r="616" spans="1:9" ht="25.5" x14ac:dyDescent="0.25">
      <c r="A616" s="113" t="s">
        <v>1195</v>
      </c>
      <c r="B616" s="296" t="s">
        <v>2424</v>
      </c>
      <c r="C616" s="113" t="s">
        <v>2425</v>
      </c>
      <c r="D616" s="113"/>
      <c r="E616" s="305"/>
      <c r="F616" s="305"/>
      <c r="G616" s="305"/>
      <c r="H616" s="305"/>
      <c r="I616" s="96" t="str">
        <f t="shared" si="9"/>
        <v xml:space="preserve">Réaliser les travaux d’aménagement d’un étang de baignade et de ses abords (pour les parties qui ne </v>
      </c>
    </row>
    <row r="617" spans="1:9" x14ac:dyDescent="0.25">
      <c r="A617" s="113" t="s">
        <v>1196</v>
      </c>
      <c r="B617" s="296" t="s">
        <v>2426</v>
      </c>
      <c r="C617" s="113" t="s">
        <v>2427</v>
      </c>
      <c r="D617" s="113"/>
      <c r="E617" s="305"/>
      <c r="F617" s="305"/>
      <c r="G617" s="305"/>
      <c r="H617" s="305"/>
      <c r="I617" s="96" t="str">
        <f t="shared" si="9"/>
        <v>Gestion de l’étang de baignade</v>
      </c>
    </row>
    <row r="618" spans="1:9" x14ac:dyDescent="0.25">
      <c r="A618" s="113" t="s">
        <v>1197</v>
      </c>
      <c r="B618" s="296" t="s">
        <v>2428</v>
      </c>
      <c r="C618" s="113" t="s">
        <v>1738</v>
      </c>
      <c r="D618" s="113"/>
      <c r="E618" s="305"/>
      <c r="F618" s="305"/>
      <c r="G618" s="305"/>
      <c r="H618" s="305"/>
      <c r="I618" s="96" t="str">
        <f t="shared" si="9"/>
        <v xml:space="preserve">Etablir une vision interne et partagée de la pratique de la pêche en Région de Bruxelles-Capitale </v>
      </c>
    </row>
    <row r="619" spans="1:9" ht="25.5" x14ac:dyDescent="0.25">
      <c r="A619" s="113" t="s">
        <v>1198</v>
      </c>
      <c r="B619" s="296" t="s">
        <v>2429</v>
      </c>
      <c r="C619" s="113" t="s">
        <v>1738</v>
      </c>
      <c r="D619" s="113"/>
      <c r="E619" s="305"/>
      <c r="F619" s="305"/>
      <c r="G619" s="305"/>
      <c r="H619" s="305"/>
      <c r="I619" s="96" t="str">
        <f t="shared" si="9"/>
        <v>Rédiger et adopter un arrêté fixant la réglementation et le contrôle de la pratique de la pêche en R</v>
      </c>
    </row>
    <row r="620" spans="1:9" x14ac:dyDescent="0.25">
      <c r="A620" s="113" t="s">
        <v>1199</v>
      </c>
      <c r="B620" s="296" t="s">
        <v>2430</v>
      </c>
      <c r="C620" s="113" t="s">
        <v>1738</v>
      </c>
      <c r="D620" s="113"/>
      <c r="E620" s="305"/>
      <c r="F620" s="305"/>
      <c r="G620" s="305"/>
      <c r="H620" s="305"/>
      <c r="I620" s="96" t="str">
        <f t="shared" si="9"/>
        <v>Mettre en œuvre les instruments définis dans l’arrêté</v>
      </c>
    </row>
    <row r="621" spans="1:9" ht="25.5" x14ac:dyDescent="0.25">
      <c r="A621" s="113" t="s">
        <v>1200</v>
      </c>
      <c r="B621" s="296" t="s">
        <v>2431</v>
      </c>
      <c r="C621" s="113" t="s">
        <v>1738</v>
      </c>
      <c r="D621" s="113"/>
      <c r="E621" s="305"/>
      <c r="F621" s="305"/>
      <c r="G621" s="305"/>
      <c r="H621" s="305"/>
      <c r="I621" s="96" t="str">
        <f t="shared" si="9"/>
        <v xml:space="preserve">Rédiger un cadre de bonnes pratiques pour la promotion d’une pratique plus durable de la pêche dans </v>
      </c>
    </row>
    <row r="622" spans="1:9" ht="25.5" x14ac:dyDescent="0.25">
      <c r="A622" s="113" t="s">
        <v>1201</v>
      </c>
      <c r="B622" s="296" t="s">
        <v>2432</v>
      </c>
      <c r="C622" s="113" t="s">
        <v>1738</v>
      </c>
      <c r="D622" s="113"/>
      <c r="E622" s="305"/>
      <c r="F622" s="305"/>
      <c r="G622" s="305"/>
      <c r="H622" s="305"/>
      <c r="I622" s="96" t="str">
        <f t="shared" si="9"/>
        <v>Etudier les différents traitements d’eau permettant d’assurer une recirculation d’eau tout en facili</v>
      </c>
    </row>
    <row r="623" spans="1:9" x14ac:dyDescent="0.25">
      <c r="A623" s="113" t="s">
        <v>1202</v>
      </c>
      <c r="B623" s="296" t="s">
        <v>2433</v>
      </c>
      <c r="C623" s="113" t="s">
        <v>1738</v>
      </c>
      <c r="D623" s="113"/>
      <c r="E623" s="305"/>
      <c r="F623" s="305"/>
      <c r="G623" s="305"/>
      <c r="H623" s="305"/>
      <c r="I623" s="96" t="str">
        <f t="shared" si="9"/>
        <v>Mettre en œuvre la plaine de jeu d’eau de l’hippodrome d’Uccle-Boitsfort</v>
      </c>
    </row>
    <row r="624" spans="1:9" ht="25.5" x14ac:dyDescent="0.25">
      <c r="A624" s="113" t="s">
        <v>1203</v>
      </c>
      <c r="B624" s="296" t="s">
        <v>2434</v>
      </c>
      <c r="C624" s="113" t="s">
        <v>1738</v>
      </c>
      <c r="D624" s="113"/>
      <c r="E624" s="305"/>
      <c r="F624" s="305"/>
      <c r="G624" s="305"/>
      <c r="H624" s="305"/>
      <c r="I624" s="96" t="str">
        <f t="shared" si="9"/>
        <v>Etudier et mettre en œuvre un pôle récréatif au niveau du parc régional de la Pede comprenant des je</v>
      </c>
    </row>
    <row r="625" spans="1:9" x14ac:dyDescent="0.25">
      <c r="A625" s="113" t="s">
        <v>1204</v>
      </c>
      <c r="B625" s="296" t="s">
        <v>2435</v>
      </c>
      <c r="C625" s="113" t="s">
        <v>1738</v>
      </c>
      <c r="D625" s="113"/>
      <c r="E625" s="305"/>
      <c r="F625" s="305"/>
      <c r="G625" s="305"/>
      <c r="H625" s="305"/>
      <c r="I625" s="96" t="str">
        <f t="shared" si="9"/>
        <v>Assurer l’entretien des installations</v>
      </c>
    </row>
    <row r="626" spans="1:9" ht="51" x14ac:dyDescent="0.25">
      <c r="A626" s="113" t="s">
        <v>1163</v>
      </c>
      <c r="B626" s="296" t="s">
        <v>2436</v>
      </c>
      <c r="C626" s="113" t="s">
        <v>2437</v>
      </c>
      <c r="D626" s="113"/>
      <c r="E626" s="305"/>
      <c r="F626" s="305"/>
      <c r="G626" s="305"/>
      <c r="H626" s="305"/>
      <c r="I626" s="96" t="str">
        <f t="shared" si="9"/>
        <v>Réaliser des aménagements divers pour renforcer la place du Canal dans l’environnement urbain en fon</v>
      </c>
    </row>
    <row r="627" spans="1:9" x14ac:dyDescent="0.25">
      <c r="A627" s="113" t="s">
        <v>1164</v>
      </c>
      <c r="B627" s="296" t="s">
        <v>2438</v>
      </c>
      <c r="C627" s="113" t="s">
        <v>1888</v>
      </c>
      <c r="D627" s="113"/>
      <c r="E627" s="305"/>
      <c r="F627" s="305"/>
      <c r="G627" s="305"/>
      <c r="H627" s="305"/>
      <c r="I627" s="96" t="str">
        <f t="shared" si="9"/>
        <v>Mise en place d’une dynamique de communication avec les habitants/riverains</v>
      </c>
    </row>
    <row r="628" spans="1:9" x14ac:dyDescent="0.25">
      <c r="A628" s="113" t="s">
        <v>1165</v>
      </c>
      <c r="B628" s="296" t="s">
        <v>2439</v>
      </c>
      <c r="C628" s="113" t="s">
        <v>1888</v>
      </c>
      <c r="D628" s="113"/>
      <c r="E628" s="305"/>
      <c r="F628" s="305"/>
      <c r="G628" s="305"/>
      <c r="H628" s="305"/>
      <c r="I628" s="96" t="str">
        <f t="shared" si="9"/>
        <v>Organisation par le Port d’événements tout public, comme la « fête du Port »</v>
      </c>
    </row>
    <row r="629" spans="1:9" ht="25.5" x14ac:dyDescent="0.25">
      <c r="A629" s="113" t="s">
        <v>1166</v>
      </c>
      <c r="B629" s="296" t="s">
        <v>2440</v>
      </c>
      <c r="C629" s="113" t="s">
        <v>1888</v>
      </c>
      <c r="D629" s="113"/>
      <c r="E629" s="305"/>
      <c r="F629" s="305"/>
      <c r="G629" s="305"/>
      <c r="H629" s="305"/>
      <c r="I629" s="96" t="str">
        <f t="shared" si="9"/>
        <v xml:space="preserve">Encadrer les activités nautiques et récréatives sur la voie d’eau et assurer l’entretien des quais, </v>
      </c>
    </row>
    <row r="630" spans="1:9" x14ac:dyDescent="0.25">
      <c r="A630" s="113" t="s">
        <v>1167</v>
      </c>
      <c r="B630" s="296" t="s">
        <v>2441</v>
      </c>
      <c r="C630" s="113" t="s">
        <v>2442</v>
      </c>
      <c r="D630" s="113"/>
      <c r="E630" s="305"/>
      <c r="F630" s="305"/>
      <c r="G630" s="305"/>
      <c r="H630" s="305"/>
      <c r="I630" s="96" t="str">
        <f t="shared" si="9"/>
        <v>Autoriser, sous forme de convention, l’organisation d’activités ponctuelles, festives et/ou récréati</v>
      </c>
    </row>
    <row r="631" spans="1:9" ht="40.35" customHeight="1" x14ac:dyDescent="0.25">
      <c r="A631" s="113" t="s">
        <v>1168</v>
      </c>
      <c r="B631" s="296" t="s">
        <v>2443</v>
      </c>
      <c r="C631" s="113" t="s">
        <v>2442</v>
      </c>
      <c r="D631" s="113"/>
      <c r="E631" s="305"/>
      <c r="F631" s="305"/>
      <c r="G631" s="305"/>
      <c r="H631" s="305"/>
      <c r="I631" s="96" t="str">
        <f t="shared" si="9"/>
        <v>Communiquer adéquatement sur les activités autorisées ou interdites sur la voie d’eau (pêche, navimo</v>
      </c>
    </row>
    <row r="632" spans="1:9" ht="25.5" x14ac:dyDescent="0.25">
      <c r="A632" s="113" t="s">
        <v>1169</v>
      </c>
      <c r="B632" s="296" t="s">
        <v>2444</v>
      </c>
      <c r="C632" s="113" t="s">
        <v>1738</v>
      </c>
      <c r="D632" s="113"/>
      <c r="E632" s="305"/>
      <c r="F632" s="305"/>
      <c r="G632" s="305"/>
      <c r="H632" s="305"/>
      <c r="I632" s="96" t="str">
        <f t="shared" si="9"/>
        <v>Recenser les cours d’eau non navigables classés / non classés pouvant faire l’objet d’un statut part</v>
      </c>
    </row>
    <row r="633" spans="1:9" x14ac:dyDescent="0.25">
      <c r="A633" s="113" t="s">
        <v>1170</v>
      </c>
      <c r="B633" s="296" t="s">
        <v>2445</v>
      </c>
      <c r="C633" s="113" t="s">
        <v>1738</v>
      </c>
      <c r="D633" s="113"/>
      <c r="E633" s="305"/>
      <c r="F633" s="305"/>
      <c r="G633" s="305"/>
      <c r="H633" s="305"/>
      <c r="I633" s="96" t="str">
        <f t="shared" si="9"/>
        <v>Recenser et désigner les étangs régionaux</v>
      </c>
    </row>
    <row r="634" spans="1:9" ht="38.25" x14ac:dyDescent="0.25">
      <c r="A634" s="113" t="s">
        <v>1171</v>
      </c>
      <c r="B634" s="296" t="s">
        <v>2446</v>
      </c>
      <c r="C634" s="113" t="s">
        <v>1738</v>
      </c>
      <c r="D634" s="113"/>
      <c r="E634" s="305"/>
      <c r="F634" s="305"/>
      <c r="G634" s="305"/>
      <c r="H634" s="305"/>
      <c r="I634" s="96" t="str">
        <f t="shared" si="9"/>
        <v>Faire les relevés topographiques par des géomètres pour les tronçons du réseau hydrographique qui n'</v>
      </c>
    </row>
    <row r="635" spans="1:9" ht="25.5" x14ac:dyDescent="0.25">
      <c r="A635" s="113" t="s">
        <v>1172</v>
      </c>
      <c r="B635" s="296" t="s">
        <v>2447</v>
      </c>
      <c r="C635" s="113" t="s">
        <v>1738</v>
      </c>
      <c r="D635" s="113"/>
      <c r="E635" s="305"/>
      <c r="F635" s="305"/>
      <c r="G635" s="305"/>
      <c r="H635" s="305"/>
      <c r="I635" s="96" t="str">
        <f t="shared" si="9"/>
        <v>Introduire l’ensemble des données relevées dans une base de données informatique géoréférencée, vali</v>
      </c>
    </row>
    <row r="636" spans="1:9" ht="25.5" x14ac:dyDescent="0.25">
      <c r="A636" s="113" t="s">
        <v>1173</v>
      </c>
      <c r="B636" s="296" t="s">
        <v>2448</v>
      </c>
      <c r="C636" s="113" t="s">
        <v>1738</v>
      </c>
      <c r="D636" s="113"/>
      <c r="E636" s="305"/>
      <c r="F636" s="305"/>
      <c r="G636" s="305"/>
      <c r="H636" s="305"/>
      <c r="I636" s="96" t="str">
        <f t="shared" si="9"/>
        <v xml:space="preserve">Rédiger et adopter l’arrêté du Gouvernement opérant le classement des cours d’eau non navigables et </v>
      </c>
    </row>
    <row r="637" spans="1:9" x14ac:dyDescent="0.25">
      <c r="A637" s="113" t="s">
        <v>1174</v>
      </c>
      <c r="B637" s="296" t="s">
        <v>2449</v>
      </c>
      <c r="C637" s="113" t="s">
        <v>1738</v>
      </c>
      <c r="D637" s="113"/>
      <c r="E637" s="305"/>
      <c r="F637" s="305"/>
      <c r="G637" s="305"/>
      <c r="H637" s="305"/>
      <c r="I637" s="96" t="str">
        <f t="shared" si="9"/>
        <v>Enquête publique auprès des communes</v>
      </c>
    </row>
    <row r="638" spans="1:9" x14ac:dyDescent="0.25">
      <c r="A638" s="113" t="s">
        <v>1175</v>
      </c>
      <c r="B638" s="296" t="s">
        <v>2450</v>
      </c>
      <c r="C638" s="113" t="s">
        <v>1738</v>
      </c>
      <c r="D638" s="113"/>
      <c r="E638" s="305"/>
      <c r="F638" s="305"/>
      <c r="G638" s="305"/>
      <c r="H638" s="305"/>
      <c r="I638" s="96" t="str">
        <f t="shared" si="9"/>
        <v>Assurer la diffusion de l’Atlas</v>
      </c>
    </row>
    <row r="639" spans="1:9" ht="38.25" x14ac:dyDescent="0.25">
      <c r="A639" s="113" t="s">
        <v>1205</v>
      </c>
      <c r="B639" s="296" t="s">
        <v>2451</v>
      </c>
      <c r="C639" s="113" t="s">
        <v>1856</v>
      </c>
      <c r="D639" s="113"/>
      <c r="E639" s="305"/>
      <c r="F639" s="305"/>
      <c r="G639" s="305"/>
      <c r="H639" s="305"/>
      <c r="I639" s="96" t="str">
        <f t="shared" si="9"/>
        <v>Sectorisation accrue des réseaux.
1er Objectif: obtenir 65 zones DMA pour fin 2024 
2ème Objectif: o</v>
      </c>
    </row>
    <row r="640" spans="1:9" ht="25.5" x14ac:dyDescent="0.25">
      <c r="A640" s="113" t="s">
        <v>1206</v>
      </c>
      <c r="B640" s="296" t="s">
        <v>2452</v>
      </c>
      <c r="C640" s="113" t="s">
        <v>1856</v>
      </c>
      <c r="D640" s="113"/>
      <c r="E640" s="305"/>
      <c r="F640" s="305"/>
      <c r="G640" s="305"/>
      <c r="H640" s="305"/>
      <c r="I640" s="96" t="str">
        <f t="shared" si="9"/>
        <v xml:space="preserve">Campagne de détection de fuites via images par satellite . Vision des 2380 km de réseau en RBC tous </v>
      </c>
    </row>
    <row r="641" spans="1:9" ht="38.25" x14ac:dyDescent="0.25">
      <c r="A641" s="113" t="s">
        <v>1207</v>
      </c>
      <c r="B641" s="296" t="s">
        <v>2453</v>
      </c>
      <c r="C641" s="113" t="s">
        <v>1856</v>
      </c>
      <c r="D641" s="113"/>
      <c r="E641" s="305"/>
      <c r="F641" s="305"/>
      <c r="G641" s="305"/>
      <c r="H641" s="305"/>
      <c r="I641" s="96" t="str">
        <f t="shared" si="9"/>
        <v>Réaliser une veille technologique sur les compteurs d’eau  à l’'aide du programme de monitoring Leak</v>
      </c>
    </row>
    <row r="642" spans="1:9" ht="25.5" x14ac:dyDescent="0.25">
      <c r="A642" s="113" t="s">
        <v>1208</v>
      </c>
      <c r="B642" s="296" t="s">
        <v>2454</v>
      </c>
      <c r="C642" s="113" t="s">
        <v>1856</v>
      </c>
      <c r="D642" s="113"/>
      <c r="E642" s="305"/>
      <c r="F642" s="305"/>
      <c r="G642" s="305"/>
      <c r="H642" s="305"/>
      <c r="I642" s="96" t="str">
        <f t="shared" si="9"/>
        <v>Assurer des équipes compétentes et efficaces permettant de réagir rapidement en cas de problèmes con</v>
      </c>
    </row>
    <row r="643" spans="1:9" ht="25.5" x14ac:dyDescent="0.25">
      <c r="A643" s="113" t="s">
        <v>1209</v>
      </c>
      <c r="B643" s="296" t="s">
        <v>2455</v>
      </c>
      <c r="C643" s="113" t="s">
        <v>1856</v>
      </c>
      <c r="D643" s="113"/>
      <c r="E643" s="305"/>
      <c r="F643" s="305"/>
      <c r="G643" s="305"/>
      <c r="H643" s="305"/>
      <c r="I643" s="96" t="str">
        <f t="shared" si="9"/>
        <v>Tenir à jour une cartographie des réseaux localisant les conduites et leurs caractéristiques et leur</v>
      </c>
    </row>
    <row r="644" spans="1:9" x14ac:dyDescent="0.25">
      <c r="A644" s="113" t="s">
        <v>1210</v>
      </c>
      <c r="B644" s="296" t="s">
        <v>2456</v>
      </c>
      <c r="C644" s="113" t="s">
        <v>1856</v>
      </c>
      <c r="D644" s="113"/>
      <c r="E644" s="305"/>
      <c r="F644" s="305"/>
      <c r="G644" s="305"/>
      <c r="H644" s="305"/>
      <c r="I644" s="96" t="str">
        <f t="shared" si="9"/>
        <v>Réaliser les travaux de renouvellement des canalisations de distribution et répartition</v>
      </c>
    </row>
    <row r="645" spans="1:9" x14ac:dyDescent="0.25">
      <c r="A645" s="113" t="s">
        <v>1211</v>
      </c>
      <c r="B645" s="296" t="s">
        <v>2457</v>
      </c>
      <c r="C645" s="113" t="s">
        <v>1856</v>
      </c>
      <c r="D645" s="113"/>
      <c r="E645" s="305"/>
      <c r="F645" s="305"/>
      <c r="G645" s="305"/>
      <c r="H645" s="305"/>
      <c r="I645" s="96" t="str">
        <f t="shared" si="9"/>
        <v>Assurer un contrôle et entretien régulier des hydrants (à charge des communes après  2022)</v>
      </c>
    </row>
    <row r="646" spans="1:9" ht="63.75" x14ac:dyDescent="0.25">
      <c r="A646" s="113" t="s">
        <v>1221</v>
      </c>
      <c r="B646" s="296" t="s">
        <v>2458</v>
      </c>
      <c r="C646" s="113" t="s">
        <v>1738</v>
      </c>
      <c r="D646" s="113"/>
      <c r="E646" s="305"/>
      <c r="F646" s="305"/>
      <c r="G646" s="305"/>
      <c r="H646" s="305"/>
      <c r="I646" s="96" t="str">
        <f t="shared" si="9"/>
        <v>Encourager la fourniture de l’eau du robinet, à titre gratuit ou moyennant des frais de services peu</v>
      </c>
    </row>
    <row r="647" spans="1:9" ht="38.25" x14ac:dyDescent="0.25">
      <c r="A647" s="113" t="s">
        <v>1222</v>
      </c>
      <c r="B647" s="296" t="s">
        <v>2459</v>
      </c>
      <c r="C647" s="113" t="s">
        <v>1738</v>
      </c>
      <c r="D647" s="113"/>
      <c r="E647" s="305"/>
      <c r="F647" s="305"/>
      <c r="G647" s="305"/>
      <c r="H647" s="305"/>
      <c r="I647" s="96" t="str">
        <f t="shared" si="9"/>
        <v>Dans les secteurs momentanément non concernés par l’interdiction décrite dans le Brudalex : promouvo</v>
      </c>
    </row>
    <row r="648" spans="1:9" ht="38.25" x14ac:dyDescent="0.25">
      <c r="A648" s="113" t="s">
        <v>1223</v>
      </c>
      <c r="B648" s="296" t="s">
        <v>2460</v>
      </c>
      <c r="C648" s="113" t="s">
        <v>1738</v>
      </c>
      <c r="D648" s="113"/>
      <c r="E648" s="305"/>
      <c r="F648" s="305"/>
      <c r="G648" s="305"/>
      <c r="H648" s="305"/>
      <c r="I648" s="96" t="str">
        <f t="shared" si="9"/>
        <v xml:space="preserve">Promotion et sensibilisation de l’utilisation de l’eau du robinet dans les établissements scolaires </v>
      </c>
    </row>
    <row r="649" spans="1:9" ht="25.5" x14ac:dyDescent="0.25">
      <c r="A649" s="113" t="s">
        <v>1224</v>
      </c>
      <c r="B649" s="296" t="s">
        <v>2461</v>
      </c>
      <c r="C649" s="113" t="s">
        <v>1738</v>
      </c>
      <c r="D649" s="113"/>
      <c r="E649" s="305"/>
      <c r="F649" s="305"/>
      <c r="G649" s="305"/>
      <c r="H649" s="305"/>
      <c r="I649" s="96" t="str">
        <f t="shared" si="9"/>
        <v>Imposer l’abandon du recours à l’eau en bouteille au profit de l’eau de distribution lors d’événemen</v>
      </c>
    </row>
    <row r="650" spans="1:9" ht="25.5" x14ac:dyDescent="0.25">
      <c r="A650" s="113" t="s">
        <v>1225</v>
      </c>
      <c r="B650" s="296" t="s">
        <v>2462</v>
      </c>
      <c r="C650" s="113" t="s">
        <v>1856</v>
      </c>
      <c r="D650" s="113"/>
      <c r="E650" s="305"/>
      <c r="F650" s="305"/>
      <c r="G650" s="305"/>
      <c r="H650" s="305"/>
      <c r="I650" s="96" t="str">
        <f t="shared" si="9"/>
        <v xml:space="preserve">Communiquer auprès des citoyens concernant la qualité de l’eau du robinet (via les réseaux sociaux, </v>
      </c>
    </row>
    <row r="651" spans="1:9" ht="25.5" x14ac:dyDescent="0.25">
      <c r="A651" s="113" t="s">
        <v>1226</v>
      </c>
      <c r="B651" s="296" t="s">
        <v>2463</v>
      </c>
      <c r="C651" s="113" t="s">
        <v>1738</v>
      </c>
      <c r="D651" s="113"/>
      <c r="E651" s="305"/>
      <c r="F651" s="305"/>
      <c r="G651" s="305"/>
      <c r="H651" s="305"/>
      <c r="I651" s="96" t="str">
        <f t="shared" si="9"/>
        <v>Encourager l’utilisation de l’eau de distribution dans les espaces privés dans les communications ré</v>
      </c>
    </row>
    <row r="652" spans="1:9" ht="102" x14ac:dyDescent="0.25">
      <c r="A652" s="113" t="s">
        <v>1227</v>
      </c>
      <c r="B652" s="296" t="s">
        <v>2464</v>
      </c>
      <c r="C652" s="113" t="s">
        <v>1738</v>
      </c>
      <c r="D652" s="113"/>
      <c r="E652" s="305"/>
      <c r="F652" s="305"/>
      <c r="G652" s="305"/>
      <c r="H652" s="305"/>
      <c r="I652" s="96" t="str">
        <f t="shared" si="9"/>
        <v>Proposition de mesures de Brudalex :
interdire aux autorités régionales  de servir des boissons dans</v>
      </c>
    </row>
    <row r="653" spans="1:9" x14ac:dyDescent="0.25">
      <c r="A653" s="113" t="s">
        <v>1228</v>
      </c>
      <c r="B653" s="296" t="s">
        <v>2465</v>
      </c>
      <c r="C653" s="113" t="s">
        <v>1738</v>
      </c>
      <c r="D653" s="113"/>
      <c r="E653" s="305"/>
      <c r="F653" s="305"/>
      <c r="G653" s="305"/>
      <c r="H653" s="305"/>
      <c r="I653" s="96" t="str">
        <f t="shared" si="9"/>
        <v>Actualiser et améliorer le matériel et contenu existants</v>
      </c>
    </row>
    <row r="654" spans="1:9" x14ac:dyDescent="0.25">
      <c r="A654" s="113" t="s">
        <v>1229</v>
      </c>
      <c r="B654" s="296" t="s">
        <v>2466</v>
      </c>
      <c r="C654" s="113" t="s">
        <v>1738</v>
      </c>
      <c r="D654" s="113"/>
      <c r="E654" s="305"/>
      <c r="F654" s="305"/>
      <c r="G654" s="305"/>
      <c r="H654" s="305"/>
      <c r="I654" s="96" t="str">
        <f t="shared" si="9"/>
        <v>Optimaliser la promotion de ce matériel et contenu</v>
      </c>
    </row>
    <row r="655" spans="1:9" x14ac:dyDescent="0.25">
      <c r="A655" s="113" t="s">
        <v>1230</v>
      </c>
      <c r="B655" s="296" t="s">
        <v>2467</v>
      </c>
      <c r="C655" s="113" t="s">
        <v>1738</v>
      </c>
      <c r="D655" s="113"/>
      <c r="E655" s="305"/>
      <c r="F655" s="305"/>
      <c r="G655" s="305"/>
      <c r="H655" s="305"/>
      <c r="I655" s="96" t="str">
        <f t="shared" si="9"/>
        <v>Renforcer la promotion des équipements et aménagements sur les canaux BE</v>
      </c>
    </row>
    <row r="656" spans="1:9" x14ac:dyDescent="0.25">
      <c r="A656" s="113" t="s">
        <v>1231</v>
      </c>
      <c r="B656" s="296" t="s">
        <v>2468</v>
      </c>
      <c r="C656" s="113" t="s">
        <v>1738</v>
      </c>
      <c r="D656" s="113"/>
      <c r="E656" s="305"/>
      <c r="F656" s="305"/>
      <c r="G656" s="305"/>
      <c r="H656" s="305"/>
      <c r="I656" s="96" t="str">
        <f t="shared" si="9"/>
        <v>Renforcer la promotion des équipements et aménagements via les partenaires externes</v>
      </c>
    </row>
    <row r="657" spans="1:9" x14ac:dyDescent="0.25">
      <c r="A657" s="113" t="s">
        <v>1232</v>
      </c>
      <c r="B657" s="296" t="s">
        <v>2469</v>
      </c>
      <c r="C657" s="113" t="s">
        <v>1856</v>
      </c>
      <c r="D657" s="113"/>
      <c r="E657" s="305"/>
      <c r="F657" s="305"/>
      <c r="G657" s="305"/>
      <c r="H657" s="305"/>
      <c r="I657" s="96" t="str">
        <f t="shared" si="9"/>
        <v>Permettre aux usagers de l’eau de faire réaliser un « Audit Eau » de leurs installations (// watersc</v>
      </c>
    </row>
    <row r="658" spans="1:9" ht="25.5" x14ac:dyDescent="0.25">
      <c r="A658" s="113" t="s">
        <v>1233</v>
      </c>
      <c r="B658" s="296" t="s">
        <v>2470</v>
      </c>
      <c r="C658" s="113" t="s">
        <v>1738</v>
      </c>
      <c r="D658" s="113"/>
      <c r="E658" s="305"/>
      <c r="F658" s="305"/>
      <c r="G658" s="305"/>
      <c r="H658" s="305"/>
      <c r="I658" s="96" t="str">
        <f t="shared" si="9"/>
        <v xml:space="preserve">Evaluer la faisabilité d’introduire la thématique « eau » dans le programme PLAGE et son efficacité </v>
      </c>
    </row>
    <row r="659" spans="1:9" ht="38.25" x14ac:dyDescent="0.25">
      <c r="A659" s="113" t="s">
        <v>1234</v>
      </c>
      <c r="B659" s="296" t="s">
        <v>2471</v>
      </c>
      <c r="C659" s="113" t="s">
        <v>1738</v>
      </c>
      <c r="D659" s="113"/>
      <c r="E659" s="305"/>
      <c r="F659" s="305"/>
      <c r="G659" s="305"/>
      <c r="H659" s="305"/>
      <c r="I659" s="96" t="str">
        <f t="shared" si="9"/>
        <v>Préparer l’intégration à la démarche PLAGE en menant des projets pilotes de sensibilisation à la pri</v>
      </c>
    </row>
    <row r="660" spans="1:9" x14ac:dyDescent="0.25">
      <c r="A660" s="113" t="s">
        <v>1235</v>
      </c>
      <c r="B660" s="296" t="s">
        <v>2472</v>
      </c>
      <c r="C660" s="113" t="s">
        <v>1738</v>
      </c>
      <c r="D660" s="113"/>
      <c r="E660" s="305"/>
      <c r="F660" s="305"/>
      <c r="G660" s="305"/>
      <c r="H660" s="305"/>
      <c r="I660" s="96" t="str">
        <f t="shared" si="9"/>
        <v>Modifier le Code bruxellois de l'Air, du Climat et de la Maîtrise de l'Energie</v>
      </c>
    </row>
    <row r="661" spans="1:9" x14ac:dyDescent="0.25">
      <c r="A661" s="113" t="s">
        <v>1236</v>
      </c>
      <c r="B661" s="296" t="s">
        <v>2473</v>
      </c>
      <c r="C661" s="113" t="s">
        <v>1738</v>
      </c>
      <c r="D661" s="113"/>
      <c r="E661" s="305"/>
      <c r="F661" s="305"/>
      <c r="G661" s="305"/>
      <c r="H661" s="305"/>
      <c r="I661" s="96" t="str">
        <f t="shared" si="9"/>
        <v xml:space="preserve">Appliquer la législation révisée et complétée à la </v>
      </c>
    </row>
    <row r="662" spans="1:9" ht="25.5" x14ac:dyDescent="0.25">
      <c r="A662" s="113" t="s">
        <v>1237</v>
      </c>
      <c r="B662" s="296" t="s">
        <v>2474</v>
      </c>
      <c r="C662" s="113" t="s">
        <v>1738</v>
      </c>
      <c r="D662" s="113"/>
      <c r="E662" s="305"/>
      <c r="F662" s="305"/>
      <c r="G662" s="305"/>
      <c r="H662" s="305"/>
      <c r="I662" s="96" t="str">
        <f t="shared" si="9"/>
        <v>Actualiser, regrouper et améliorer le matériel et contenu existants relatifs aux bonnes pratiques, s</v>
      </c>
    </row>
    <row r="663" spans="1:9" x14ac:dyDescent="0.25">
      <c r="A663" s="113" t="s">
        <v>1238</v>
      </c>
      <c r="B663" s="296" t="s">
        <v>2466</v>
      </c>
      <c r="C663" s="113" t="s">
        <v>1738</v>
      </c>
      <c r="D663" s="113"/>
      <c r="E663" s="305"/>
      <c r="F663" s="305"/>
      <c r="G663" s="305"/>
      <c r="H663" s="305"/>
      <c r="I663" s="96" t="str">
        <f t="shared" si="9"/>
        <v>Optimaliser la promotion de ce matériel et contenu</v>
      </c>
    </row>
    <row r="664" spans="1:9" x14ac:dyDescent="0.25">
      <c r="A664" s="113" t="s">
        <v>1239</v>
      </c>
      <c r="B664" s="296" t="s">
        <v>2475</v>
      </c>
      <c r="C664" s="113" t="s">
        <v>1738</v>
      </c>
      <c r="D664" s="113"/>
      <c r="E664" s="305"/>
      <c r="F664" s="305"/>
      <c r="G664" s="305"/>
      <c r="H664" s="305"/>
      <c r="I664" s="96" t="str">
        <f t="shared" si="9"/>
        <v>Préparer des contenus, matériels, et formats adaptés, sur base des retours d’expérience</v>
      </c>
    </row>
    <row r="665" spans="1:9" x14ac:dyDescent="0.25">
      <c r="A665" s="113" t="s">
        <v>1240</v>
      </c>
      <c r="B665" s="296" t="s">
        <v>2476</v>
      </c>
      <c r="C665" s="113" t="s">
        <v>1738</v>
      </c>
      <c r="D665" s="113"/>
      <c r="E665" s="305"/>
      <c r="F665" s="305"/>
      <c r="G665" s="305"/>
      <c r="H665" s="305"/>
      <c r="I665" s="96" t="str">
        <f t="shared" si="9"/>
        <v>Veiller à un partage large de ces recommandations concrètes</v>
      </c>
    </row>
    <row r="666" spans="1:9" ht="25.5" x14ac:dyDescent="0.25">
      <c r="A666" s="113" t="s">
        <v>1241</v>
      </c>
      <c r="B666" s="296" t="s">
        <v>2477</v>
      </c>
      <c r="C666" s="113" t="s">
        <v>1738</v>
      </c>
      <c r="D666" s="113"/>
      <c r="E666" s="305"/>
      <c r="F666" s="305"/>
      <c r="G666" s="305"/>
      <c r="H666" s="305"/>
      <c r="I666" s="96" t="str">
        <f t="shared" si="9"/>
        <v>Diffuser plus largement le  matériel existant à destination des écoles, le développer et soutenir le</v>
      </c>
    </row>
    <row r="667" spans="1:9" ht="25.5" x14ac:dyDescent="0.25">
      <c r="A667" s="113" t="s">
        <v>1242</v>
      </c>
      <c r="B667" s="296" t="s">
        <v>2478</v>
      </c>
      <c r="C667" s="113" t="s">
        <v>1856</v>
      </c>
      <c r="D667" s="113"/>
      <c r="E667" s="305"/>
      <c r="F667" s="305"/>
      <c r="G667" s="305"/>
      <c r="H667" s="305"/>
      <c r="I667" s="96" t="str">
        <f t="shared" si="9"/>
        <v>Placer des compteurs « col de cygne » dans les communes partenaires pour identifier les consommation</v>
      </c>
    </row>
    <row r="668" spans="1:9" ht="25.5" x14ac:dyDescent="0.25">
      <c r="A668" s="113" t="s">
        <v>1243</v>
      </c>
      <c r="B668" s="296" t="s">
        <v>2479</v>
      </c>
      <c r="C668" s="113" t="s">
        <v>1738</v>
      </c>
      <c r="D668" s="113"/>
      <c r="E668" s="305"/>
      <c r="F668" s="305"/>
      <c r="G668" s="305"/>
      <c r="H668" s="305"/>
      <c r="I668" s="96" t="str">
        <f t="shared" si="9"/>
        <v>Assurer un suivi systématique des consommations d’eau dans les potagers gérés par Bruxelles Environn</v>
      </c>
    </row>
    <row r="669" spans="1:9" ht="38.25" x14ac:dyDescent="0.25">
      <c r="A669" s="113" t="s">
        <v>1244</v>
      </c>
      <c r="B669" s="296" t="s">
        <v>2480</v>
      </c>
      <c r="C669" s="113" t="s">
        <v>1842</v>
      </c>
      <c r="D669" s="113"/>
      <c r="E669" s="305"/>
      <c r="F669" s="305"/>
      <c r="G669" s="305"/>
      <c r="H669" s="305"/>
      <c r="I669" s="96" t="str">
        <f t="shared" si="9"/>
        <v>Mettre en place en partenariat avec notamment les universités (écoles d’été), centre agro-écologique</v>
      </c>
    </row>
    <row r="670" spans="1:9" ht="25.5" x14ac:dyDescent="0.25">
      <c r="A670" s="113" t="s">
        <v>1250</v>
      </c>
      <c r="B670" s="296" t="s">
        <v>2481</v>
      </c>
      <c r="C670" s="113" t="s">
        <v>1738</v>
      </c>
      <c r="D670" s="113"/>
      <c r="E670" s="305"/>
      <c r="F670" s="305"/>
      <c r="G670" s="305"/>
      <c r="H670" s="305"/>
      <c r="I670" s="96" t="str">
        <f t="shared" si="9"/>
        <v>Sensibiliser et/ou soutenir les projets d’innovation visant à valoriser les eaux issues des rabattem</v>
      </c>
    </row>
    <row r="671" spans="1:9" ht="25.5" x14ac:dyDescent="0.25">
      <c r="A671" s="113" t="s">
        <v>1245</v>
      </c>
      <c r="B671" s="296" t="s">
        <v>2482</v>
      </c>
      <c r="C671" s="113" t="s">
        <v>1738</v>
      </c>
      <c r="D671" s="113"/>
      <c r="E671" s="305"/>
      <c r="F671" s="305"/>
      <c r="G671" s="305"/>
      <c r="H671" s="305"/>
      <c r="I671" s="96" t="str">
        <f t="shared" si="9"/>
        <v>Mettre en place un mécanisme financier incitatif à la valorisation des eaux de rabattement (telle un</v>
      </c>
    </row>
    <row r="672" spans="1:9" ht="25.5" x14ac:dyDescent="0.25">
      <c r="A672" s="113" t="s">
        <v>1246</v>
      </c>
      <c r="B672" s="296" t="s">
        <v>2483</v>
      </c>
      <c r="C672" s="113" t="s">
        <v>1738</v>
      </c>
      <c r="D672" s="113"/>
      <c r="E672" s="305"/>
      <c r="F672" s="305"/>
      <c r="G672" s="305"/>
      <c r="H672" s="305"/>
      <c r="I672" s="96" t="str">
        <f t="shared" si="9"/>
        <v>Sensibiliser/informer les exploitants de chantier à la valorisation des eaux issues des rabattements</v>
      </c>
    </row>
    <row r="673" spans="1:9" ht="25.5" x14ac:dyDescent="0.25">
      <c r="A673" s="113" t="s">
        <v>1247</v>
      </c>
      <c r="B673" s="296" t="s">
        <v>2484</v>
      </c>
      <c r="C673" s="113" t="s">
        <v>1738</v>
      </c>
      <c r="D673" s="113"/>
      <c r="E673" s="305"/>
      <c r="F673" s="305"/>
      <c r="G673" s="305"/>
      <c r="H673" s="305"/>
      <c r="I673" s="96" t="str">
        <f t="shared" si="9"/>
        <v>Prévoir des conditions spécifiques dans les autorisations de captage visant à encourager une valoris</v>
      </c>
    </row>
    <row r="674" spans="1:9" ht="89.25" x14ac:dyDescent="0.25">
      <c r="A674" s="113" t="s">
        <v>1248</v>
      </c>
      <c r="B674" s="296" t="s">
        <v>2485</v>
      </c>
      <c r="C674" s="113" t="s">
        <v>1738</v>
      </c>
      <c r="D674" s="113"/>
      <c r="E674" s="305"/>
      <c r="F674" s="305"/>
      <c r="G674" s="305"/>
      <c r="H674" s="305"/>
      <c r="I674" s="96" t="str">
        <f t="shared" ref="I674:I720" si="10">LEFT(B674,100)</f>
        <v>Lever les éventuels freins pour le rejet des eaux de rabattement vers le réseau hydrographique :
- F</v>
      </c>
    </row>
    <row r="675" spans="1:9" ht="25.5" x14ac:dyDescent="0.25">
      <c r="A675" s="113" t="s">
        <v>1249</v>
      </c>
      <c r="B675" s="296" t="s">
        <v>2486</v>
      </c>
      <c r="C675" s="113" t="s">
        <v>1738</v>
      </c>
      <c r="D675" s="113"/>
      <c r="E675" s="305"/>
      <c r="F675" s="305"/>
      <c r="G675" s="305"/>
      <c r="H675" s="305"/>
      <c r="I675" s="96" t="str">
        <f t="shared" si="10"/>
        <v>Envisager une clause particulière dans les marchés publics de travaux des autorités publiques impliq</v>
      </c>
    </row>
    <row r="676" spans="1:9" x14ac:dyDescent="0.25">
      <c r="A676" s="113" t="s">
        <v>1251</v>
      </c>
      <c r="B676" s="296" t="s">
        <v>2487</v>
      </c>
      <c r="C676" s="113" t="s">
        <v>23</v>
      </c>
      <c r="D676" s="113"/>
      <c r="E676" s="305"/>
      <c r="F676" s="305"/>
      <c r="G676" s="305"/>
      <c r="H676" s="305"/>
      <c r="I676" s="96" t="str">
        <f t="shared" si="10"/>
        <v>Mise en place d’une installation pilote d’eau de "re-use" industrielle</v>
      </c>
    </row>
    <row r="677" spans="1:9" x14ac:dyDescent="0.25">
      <c r="A677" s="113" t="s">
        <v>1252</v>
      </c>
      <c r="B677" s="296" t="s">
        <v>2488</v>
      </c>
      <c r="C677" s="113" t="s">
        <v>23</v>
      </c>
      <c r="D677" s="113"/>
      <c r="E677" s="305"/>
      <c r="F677" s="305"/>
      <c r="G677" s="305"/>
      <c r="H677" s="305"/>
      <c r="I677" s="96" t="str">
        <f t="shared" si="10"/>
        <v xml:space="preserve">Adoption d’un arrêté spécifique à la réutilisation de l’eau de 2ème circuit (water reuse) </v>
      </c>
    </row>
    <row r="678" spans="1:9" x14ac:dyDescent="0.25">
      <c r="A678" s="113" t="s">
        <v>1253</v>
      </c>
      <c r="B678" s="296" t="s">
        <v>2489</v>
      </c>
      <c r="C678" s="113" t="s">
        <v>23</v>
      </c>
      <c r="D678" s="113"/>
      <c r="E678" s="305"/>
      <c r="F678" s="305"/>
      <c r="G678" s="305"/>
      <c r="H678" s="305"/>
      <c r="I678" s="96" t="str">
        <f t="shared" si="10"/>
        <v>Encourager le développement et le recours à l’eau de "re-use"</v>
      </c>
    </row>
    <row r="679" spans="1:9" ht="25.5" x14ac:dyDescent="0.25">
      <c r="A679" s="113" t="s">
        <v>1254</v>
      </c>
      <c r="B679" s="296" t="s">
        <v>2490</v>
      </c>
      <c r="C679" s="113" t="s">
        <v>1738</v>
      </c>
      <c r="D679" s="113"/>
      <c r="E679" s="305"/>
      <c r="F679" s="305"/>
      <c r="G679" s="305"/>
      <c r="H679" s="305"/>
      <c r="I679" s="96" t="str">
        <f t="shared" si="10"/>
        <v>Déterminer les usages qui peuvent être faits des sources inventoriées en fonction de leur productivi</v>
      </c>
    </row>
    <row r="680" spans="1:9" ht="25.5" x14ac:dyDescent="0.25">
      <c r="A680" s="113" t="s">
        <v>1255</v>
      </c>
      <c r="B680" s="296" t="s">
        <v>2491</v>
      </c>
      <c r="C680" s="113" t="s">
        <v>1738</v>
      </c>
      <c r="D680" s="113"/>
      <c r="E680" s="305"/>
      <c r="F680" s="305"/>
      <c r="G680" s="305"/>
      <c r="H680" s="305"/>
      <c r="I680" s="96" t="str">
        <f t="shared" si="10"/>
        <v>Mettre en place une signalétique adéquate en fonction des usages autorisés, lorsque l’usage de l’eau</v>
      </c>
    </row>
    <row r="681" spans="1:9" ht="25.5" x14ac:dyDescent="0.25">
      <c r="A681" s="113" t="s">
        <v>1256</v>
      </c>
      <c r="B681" s="296" t="s">
        <v>2492</v>
      </c>
      <c r="C681" s="113" t="s">
        <v>1738</v>
      </c>
      <c r="D681" s="113"/>
      <c r="E681" s="305"/>
      <c r="F681" s="305"/>
      <c r="G681" s="305"/>
      <c r="H681" s="305"/>
      <c r="I681" s="96" t="str">
        <f t="shared" si="10"/>
        <v>Consultation des experts et du secteur sur la règlementation à mettre en place pour les systèmes géo</v>
      </c>
    </row>
    <row r="682" spans="1:9" x14ac:dyDescent="0.25">
      <c r="A682" s="113" t="s">
        <v>1257</v>
      </c>
      <c r="B682" s="296" t="s">
        <v>2493</v>
      </c>
      <c r="C682" s="113" t="s">
        <v>1738</v>
      </c>
      <c r="D682" s="113"/>
      <c r="E682" s="305"/>
      <c r="F682" s="305"/>
      <c r="G682" s="305"/>
      <c r="H682" s="305"/>
      <c r="I682" s="96" t="str">
        <f t="shared" si="10"/>
        <v xml:space="preserve"> Rédaction d’un arrêté relatif aux systèmes géothermiques fermés</v>
      </c>
    </row>
    <row r="683" spans="1:9" x14ac:dyDescent="0.25">
      <c r="A683" s="113" t="s">
        <v>1258</v>
      </c>
      <c r="B683" s="296" t="s">
        <v>2494</v>
      </c>
      <c r="C683" s="113" t="s">
        <v>1738</v>
      </c>
      <c r="D683" s="113"/>
      <c r="E683" s="305"/>
      <c r="F683" s="305"/>
      <c r="G683" s="305"/>
      <c r="H683" s="305"/>
      <c r="I683" s="96" t="str">
        <f t="shared" si="10"/>
        <v>Adoption d’un arrêté déterminant des conditions-types pour les systèmes géothermiques fermés</v>
      </c>
    </row>
    <row r="684" spans="1:9" x14ac:dyDescent="0.25">
      <c r="A684" s="113" t="s">
        <v>1212</v>
      </c>
      <c r="B684" s="296" t="s">
        <v>2495</v>
      </c>
      <c r="C684" s="113" t="s">
        <v>1738</v>
      </c>
      <c r="D684" s="113"/>
      <c r="E684" s="305"/>
      <c r="F684" s="305"/>
      <c r="G684" s="305"/>
      <c r="H684" s="305"/>
      <c r="I684" s="96" t="str">
        <f t="shared" si="10"/>
        <v>Recensement des installations géothermiques en Région de Bruxelles-Capitale</v>
      </c>
    </row>
    <row r="685" spans="1:9" ht="38.25" x14ac:dyDescent="0.25">
      <c r="A685" s="113" t="s">
        <v>1213</v>
      </c>
      <c r="B685" s="296" t="s">
        <v>2496</v>
      </c>
      <c r="C685" s="113" t="s">
        <v>2497</v>
      </c>
      <c r="D685" s="113"/>
      <c r="E685" s="305"/>
      <c r="F685" s="305"/>
      <c r="G685" s="305"/>
      <c r="H685" s="305"/>
      <c r="I685" s="96" t="str">
        <f t="shared" si="10"/>
        <v xml:space="preserve">Régularisation des installations mises en service avant le 1er avril 2019 et n’ayant pas rempli une </v>
      </c>
    </row>
    <row r="686" spans="1:9" x14ac:dyDescent="0.25">
      <c r="A686" s="113" t="s">
        <v>1214</v>
      </c>
      <c r="B686" s="296" t="s">
        <v>2498</v>
      </c>
      <c r="C686" s="113" t="s">
        <v>1738</v>
      </c>
      <c r="D686" s="113"/>
      <c r="E686" s="305"/>
      <c r="F686" s="305"/>
      <c r="G686" s="305"/>
      <c r="H686" s="305"/>
      <c r="I686" s="96" t="str">
        <f t="shared" si="10"/>
        <v>Mise à jour continue du cadastre des installations géothermiques</v>
      </c>
    </row>
    <row r="687" spans="1:9" x14ac:dyDescent="0.25">
      <c r="A687" s="113" t="s">
        <v>1215</v>
      </c>
      <c r="B687" s="296" t="s">
        <v>2499</v>
      </c>
      <c r="C687" s="113" t="s">
        <v>1738</v>
      </c>
      <c r="D687" s="113"/>
      <c r="E687" s="305"/>
      <c r="F687" s="305"/>
      <c r="G687" s="305"/>
      <c r="H687" s="305"/>
      <c r="I687" s="96" t="str">
        <f t="shared" si="10"/>
        <v>Procéder aux upgrades de BrugeoTool (v2+) – fonctionnalité « analyse géothermique »</v>
      </c>
    </row>
    <row r="688" spans="1:9" x14ac:dyDescent="0.25">
      <c r="A688" s="113" t="s">
        <v>1216</v>
      </c>
      <c r="B688" s="296" t="s">
        <v>2500</v>
      </c>
      <c r="C688" s="113" t="s">
        <v>1738</v>
      </c>
      <c r="D688" s="113"/>
      <c r="E688" s="305"/>
      <c r="F688" s="305"/>
      <c r="G688" s="305"/>
      <c r="H688" s="305"/>
      <c r="I688" s="96" t="str">
        <f t="shared" si="10"/>
        <v>Pérenniser le réseau institutionnel et académique bruxellois constitué d’experts en géothermie</v>
      </c>
    </row>
    <row r="689" spans="1:9" x14ac:dyDescent="0.25">
      <c r="A689" s="113" t="s">
        <v>1217</v>
      </c>
      <c r="B689" s="296" t="s">
        <v>2501</v>
      </c>
      <c r="C689" s="113" t="s">
        <v>1738</v>
      </c>
      <c r="D689" s="113"/>
      <c r="E689" s="305"/>
      <c r="F689" s="305"/>
      <c r="G689" s="305"/>
      <c r="H689" s="305"/>
      <c r="I689" s="96" t="str">
        <f t="shared" si="10"/>
        <v>Réaliser des missions de facilitation et de formations sur le thème de la géothermie</v>
      </c>
    </row>
    <row r="690" spans="1:9" x14ac:dyDescent="0.25">
      <c r="A690" s="113" t="s">
        <v>1218</v>
      </c>
      <c r="B690" s="296" t="s">
        <v>2502</v>
      </c>
      <c r="C690" s="113" t="s">
        <v>41</v>
      </c>
      <c r="D690" s="113"/>
      <c r="E690" s="305"/>
      <c r="F690" s="305"/>
      <c r="G690" s="305"/>
      <c r="H690" s="305"/>
      <c r="I690" s="96" t="str">
        <f t="shared" si="10"/>
        <v>Assurer un monitoring du premier projet à Uccle afin de pouvoir évaluer les performances du système</v>
      </c>
    </row>
    <row r="691" spans="1:9" ht="38.1" customHeight="1" x14ac:dyDescent="0.25">
      <c r="A691" s="113" t="s">
        <v>1219</v>
      </c>
      <c r="B691" s="296" t="s">
        <v>2503</v>
      </c>
      <c r="C691" s="113" t="s">
        <v>41</v>
      </c>
      <c r="D691" s="113"/>
      <c r="E691" s="305"/>
      <c r="F691" s="305"/>
      <c r="G691" s="305"/>
      <c r="H691" s="305"/>
      <c r="I691" s="96" t="str">
        <f t="shared" si="10"/>
        <v>Mise en œuvre d’un dispositif de riothermie pour le futur centre administratif de Bruxelles-Ville et</v>
      </c>
    </row>
    <row r="692" spans="1:9" ht="25.5" x14ac:dyDescent="0.25">
      <c r="A692" s="113" t="s">
        <v>1220</v>
      </c>
      <c r="B692" s="296" t="s">
        <v>2504</v>
      </c>
      <c r="C692" s="113" t="s">
        <v>41</v>
      </c>
      <c r="D692" s="113"/>
      <c r="E692" s="305"/>
      <c r="F692" s="305"/>
      <c r="G692" s="305"/>
      <c r="H692" s="305"/>
      <c r="I692" s="96" t="str">
        <f t="shared" si="10"/>
        <v>Assurer une veille technologique et collaborer avec les bureaux d’études et maitres d’ouvrage intére</v>
      </c>
    </row>
    <row r="693" spans="1:9" x14ac:dyDescent="0.25">
      <c r="A693" s="113" t="s">
        <v>1259</v>
      </c>
      <c r="B693" s="296" t="s">
        <v>2505</v>
      </c>
      <c r="C693" s="113" t="s">
        <v>2506</v>
      </c>
      <c r="D693" s="113"/>
      <c r="E693" s="305"/>
      <c r="F693" s="305"/>
      <c r="G693" s="305"/>
      <c r="H693" s="305"/>
      <c r="I693" s="96" t="str">
        <f t="shared" si="10"/>
        <v xml:space="preserve">Rédaction coordonnée et concertée du plan faîtier </v>
      </c>
    </row>
    <row r="694" spans="1:9" x14ac:dyDescent="0.25">
      <c r="A694" s="113" t="s">
        <v>1260</v>
      </c>
      <c r="B694" s="296" t="s">
        <v>2507</v>
      </c>
      <c r="C694" s="113" t="s">
        <v>2506</v>
      </c>
      <c r="D694" s="113"/>
      <c r="E694" s="305"/>
      <c r="F694" s="305"/>
      <c r="G694" s="305"/>
      <c r="H694" s="305"/>
      <c r="I694" s="96" t="str">
        <f t="shared" si="10"/>
        <v>Coordination et partage d’informations entre les Etats membres du DHI de l’Escaut</v>
      </c>
    </row>
    <row r="695" spans="1:9" x14ac:dyDescent="0.25">
      <c r="A695" s="113" t="s">
        <v>1261</v>
      </c>
      <c r="B695" s="296" t="s">
        <v>2508</v>
      </c>
      <c r="C695" s="113" t="s">
        <v>1738</v>
      </c>
      <c r="D695" s="113"/>
      <c r="E695" s="305"/>
      <c r="F695" s="305"/>
      <c r="G695" s="305"/>
      <c r="H695" s="305"/>
      <c r="I695" s="96" t="str">
        <f t="shared" si="10"/>
        <v xml:space="preserve">Participer aux réunions CCPIE </v>
      </c>
    </row>
    <row r="696" spans="1:9" x14ac:dyDescent="0.25">
      <c r="A696" s="113" t="s">
        <v>1262</v>
      </c>
      <c r="B696" s="296" t="s">
        <v>2509</v>
      </c>
      <c r="C696" s="113" t="s">
        <v>1738</v>
      </c>
      <c r="D696" s="113"/>
      <c r="E696" s="305"/>
      <c r="F696" s="305"/>
      <c r="G696" s="305"/>
      <c r="H696" s="305"/>
      <c r="I696" s="96" t="str">
        <f t="shared" si="10"/>
        <v>Participer à la concertation transfrontière au niveau local (‘GOW’) (+- 1/an)</v>
      </c>
    </row>
    <row r="697" spans="1:9" x14ac:dyDescent="0.25">
      <c r="A697" s="113" t="s">
        <v>1263</v>
      </c>
      <c r="B697" s="296" t="s">
        <v>2510</v>
      </c>
      <c r="C697" s="113" t="s">
        <v>1738</v>
      </c>
      <c r="D697" s="113"/>
      <c r="E697" s="305"/>
      <c r="F697" s="305"/>
      <c r="G697" s="305"/>
      <c r="H697" s="305"/>
      <c r="I697" s="96" t="str">
        <f t="shared" si="10"/>
        <v>Mener à terme les actions bruxelloises inscrites dans le projet inter-régional LIFE Belini d’ici fin</v>
      </c>
    </row>
    <row r="698" spans="1:9" x14ac:dyDescent="0.25">
      <c r="A698" s="113" t="s">
        <v>1264</v>
      </c>
      <c r="B698" s="296" t="s">
        <v>2511</v>
      </c>
      <c r="C698" s="113" t="s">
        <v>1738</v>
      </c>
      <c r="D698" s="113"/>
      <c r="E698" s="305"/>
      <c r="F698" s="305"/>
      <c r="G698" s="305"/>
      <c r="H698" s="305"/>
      <c r="I698" s="96" t="str">
        <f t="shared" si="10"/>
        <v>Faciliter l'échange d'informations et en améliorer la transparence</v>
      </c>
    </row>
    <row r="699" spans="1:9" x14ac:dyDescent="0.25">
      <c r="A699" s="113" t="s">
        <v>1265</v>
      </c>
      <c r="B699" s="296" t="s">
        <v>2512</v>
      </c>
      <c r="C699" s="113" t="s">
        <v>1888</v>
      </c>
      <c r="D699" s="113"/>
      <c r="E699" s="305"/>
      <c r="F699" s="305"/>
      <c r="G699" s="305"/>
      <c r="H699" s="305"/>
      <c r="I699" s="96" t="str">
        <f t="shared" si="10"/>
        <v>Poursuivre les échanges interrégionaux menant à une gestion coordonnée des voies navigables</v>
      </c>
    </row>
    <row r="700" spans="1:9" ht="25.5" x14ac:dyDescent="0.25">
      <c r="A700" s="113" t="s">
        <v>1266</v>
      </c>
      <c r="B700" s="296" t="s">
        <v>2513</v>
      </c>
      <c r="C700" s="113" t="s">
        <v>2514</v>
      </c>
      <c r="D700" s="113"/>
      <c r="E700" s="305"/>
      <c r="F700" s="305"/>
      <c r="G700" s="305"/>
      <c r="H700" s="305"/>
      <c r="I700" s="96" t="str">
        <f t="shared" si="10"/>
        <v>Coordonner les missions de service public des opérateurs et acteurs dans la mise en œuvre de la poli</v>
      </c>
    </row>
    <row r="701" spans="1:9" ht="25.5" x14ac:dyDescent="0.25">
      <c r="A701" s="113" t="s">
        <v>1267</v>
      </c>
      <c r="B701" s="296" t="s">
        <v>2515</v>
      </c>
      <c r="C701" s="113" t="s">
        <v>2514</v>
      </c>
      <c r="D701" s="113"/>
      <c r="E701" s="305"/>
      <c r="F701" s="305"/>
      <c r="G701" s="305"/>
      <c r="H701" s="305"/>
      <c r="I701" s="96" t="str">
        <f t="shared" si="10"/>
        <v xml:space="preserve">Renforcer la coordination thématique au sein de groupes de travail ad hoc créés dans le cadre de la </v>
      </c>
    </row>
    <row r="702" spans="1:9" ht="25.5" x14ac:dyDescent="0.25">
      <c r="A702" s="113" t="s">
        <v>1268</v>
      </c>
      <c r="B702" s="296" t="s">
        <v>2516</v>
      </c>
      <c r="C702" s="113" t="s">
        <v>2514</v>
      </c>
      <c r="D702" s="113"/>
      <c r="E702" s="305"/>
      <c r="F702" s="305"/>
      <c r="G702" s="305"/>
      <c r="H702" s="305"/>
      <c r="I702" s="96" t="str">
        <f t="shared" si="10"/>
        <v>Renforcer la coordination par bassin versant au sein de groupes de travail ad hoc créés dans le cadr</v>
      </c>
    </row>
    <row r="703" spans="1:9" ht="38.25" x14ac:dyDescent="0.25">
      <c r="A703" s="113" t="s">
        <v>1269</v>
      </c>
      <c r="B703" s="296" t="s">
        <v>2517</v>
      </c>
      <c r="C703" s="113" t="s">
        <v>2514</v>
      </c>
      <c r="D703" s="113"/>
      <c r="E703" s="305"/>
      <c r="F703" s="305"/>
      <c r="G703" s="305"/>
      <c r="H703" s="305"/>
      <c r="I703" s="96" t="str">
        <f t="shared" si="10"/>
        <v>Renforcer la coordination et l’échange entre les différents groupes de travail thématiques et par ba</v>
      </c>
    </row>
    <row r="704" spans="1:9" ht="14.45" customHeight="1" x14ac:dyDescent="0.25">
      <c r="A704" s="113" t="s">
        <v>1270</v>
      </c>
      <c r="B704" s="296" t="s">
        <v>2518</v>
      </c>
      <c r="C704" s="113" t="s">
        <v>2514</v>
      </c>
      <c r="D704" s="113"/>
      <c r="E704" s="305"/>
      <c r="F704" s="305"/>
      <c r="G704" s="305"/>
      <c r="H704" s="305"/>
      <c r="I704" s="96" t="str">
        <f t="shared" si="10"/>
        <v>Faciliter l'échange d'informations en améliorant la transparence de la Plateforme de coordination et</v>
      </c>
    </row>
    <row r="705" spans="1:9" ht="51" x14ac:dyDescent="0.25">
      <c r="A705" s="113" t="s">
        <v>1271</v>
      </c>
      <c r="B705" s="296" t="s">
        <v>2519</v>
      </c>
      <c r="C705" s="113" t="s">
        <v>2514</v>
      </c>
      <c r="D705" s="113"/>
      <c r="E705" s="305"/>
      <c r="F705" s="305"/>
      <c r="G705" s="305"/>
      <c r="H705" s="305"/>
      <c r="I705" s="96" t="str">
        <f t="shared" si="10"/>
        <v>Émettre des avis coordonnés dans le cadre de modifications réglementaires, sur des projets d’aménage</v>
      </c>
    </row>
    <row r="706" spans="1:9" ht="51" x14ac:dyDescent="0.25">
      <c r="A706" s="113" t="s">
        <v>1272</v>
      </c>
      <c r="B706" s="296" t="s">
        <v>2520</v>
      </c>
      <c r="C706" s="113" t="s">
        <v>2514</v>
      </c>
      <c r="D706" s="113"/>
      <c r="E706" s="305"/>
      <c r="F706" s="305"/>
      <c r="G706" s="305"/>
      <c r="H706" s="305"/>
      <c r="I706" s="96" t="str">
        <f t="shared" si="10"/>
        <v>Organiser des événements d’échanges de connaissance :
avec les associations et le monde académique (</v>
      </c>
    </row>
    <row r="707" spans="1:9" ht="25.5" x14ac:dyDescent="0.25">
      <c r="A707" s="113" t="s">
        <v>1273</v>
      </c>
      <c r="B707" s="296" t="s">
        <v>2521</v>
      </c>
      <c r="C707" s="113" t="s">
        <v>2522</v>
      </c>
      <c r="D707" s="113"/>
      <c r="E707" s="305"/>
      <c r="F707" s="305"/>
      <c r="G707" s="305"/>
      <c r="H707" s="305"/>
      <c r="I707" s="96" t="str">
        <f t="shared" si="10"/>
        <v>Assurer l’organisation de séminaires/colloques sur les différentes thématiques de l’eau afin de perm</v>
      </c>
    </row>
    <row r="708" spans="1:9" ht="51" x14ac:dyDescent="0.25">
      <c r="A708" s="113" t="s">
        <v>1274</v>
      </c>
      <c r="B708" s="296" t="s">
        <v>2523</v>
      </c>
      <c r="C708" s="113" t="s">
        <v>2524</v>
      </c>
      <c r="D708" s="113"/>
      <c r="E708" s="305"/>
      <c r="F708" s="305"/>
      <c r="G708" s="305"/>
      <c r="H708" s="305"/>
      <c r="I708" s="96" t="str">
        <f t="shared" si="10"/>
        <v>Participer en tant qu’observateur ou orateur aux séminaires/colloques/forums sur les différentes thé</v>
      </c>
    </row>
    <row r="709" spans="1:9" ht="38.25" x14ac:dyDescent="0.25">
      <c r="A709" s="113" t="s">
        <v>1275</v>
      </c>
      <c r="B709" s="296" t="s">
        <v>2525</v>
      </c>
      <c r="C709" s="113" t="s">
        <v>2524</v>
      </c>
      <c r="D709" s="113"/>
      <c r="E709" s="305"/>
      <c r="F709" s="305"/>
      <c r="G709" s="305"/>
      <c r="H709" s="305"/>
      <c r="I709" s="96" t="str">
        <f t="shared" si="10"/>
        <v>Valoriser toujours davantage l’expérience de la RBC en matière de gestion de l’eau spécifique au mil</v>
      </c>
    </row>
    <row r="710" spans="1:9" ht="89.25" x14ac:dyDescent="0.25">
      <c r="A710" s="113" t="s">
        <v>1276</v>
      </c>
      <c r="B710" s="296" t="s">
        <v>2526</v>
      </c>
      <c r="C710" s="113" t="s">
        <v>1738</v>
      </c>
      <c r="D710" s="113"/>
      <c r="E710" s="305"/>
      <c r="F710" s="305"/>
      <c r="G710" s="305"/>
      <c r="H710" s="305"/>
      <c r="I710" s="96" t="str">
        <f t="shared" si="10"/>
        <v>Continuer l’« appel à projets » auprès des communes et CPAS bruxellois afin d’encourager prioritaire</v>
      </c>
    </row>
    <row r="711" spans="1:9" ht="63.75" x14ac:dyDescent="0.25">
      <c r="A711" s="113" t="s">
        <v>1279</v>
      </c>
      <c r="B711" s="296" t="s">
        <v>2527</v>
      </c>
      <c r="C711" s="113" t="s">
        <v>1738</v>
      </c>
      <c r="D711" s="113"/>
      <c r="E711" s="305"/>
      <c r="F711" s="305"/>
      <c r="G711" s="305"/>
      <c r="H711" s="305"/>
      <c r="I711" s="96" t="str">
        <f t="shared" si="10"/>
        <v xml:space="preserve">Mettre en place ou étendre l’appel à projet 
- à d’autres institutions régionales (ex : STIB, BM,…) </v>
      </c>
    </row>
    <row r="712" spans="1:9" x14ac:dyDescent="0.25">
      <c r="A712" s="113" t="s">
        <v>1280</v>
      </c>
      <c r="B712" s="296" t="s">
        <v>2528</v>
      </c>
      <c r="C712" s="113" t="s">
        <v>1738</v>
      </c>
      <c r="D712" s="113"/>
      <c r="E712" s="305"/>
      <c r="F712" s="305"/>
      <c r="G712" s="305"/>
      <c r="H712" s="305"/>
      <c r="I712" s="96" t="str">
        <f t="shared" si="10"/>
        <v>Introduire la thématique Eau dans l’appel à projets           « Inspirons Le Quartier».</v>
      </c>
    </row>
    <row r="713" spans="1:9" ht="25.5" x14ac:dyDescent="0.25">
      <c r="A713" s="113" t="s">
        <v>1281</v>
      </c>
      <c r="B713" s="296" t="s">
        <v>2529</v>
      </c>
      <c r="C713" s="113" t="s">
        <v>1738</v>
      </c>
      <c r="D713" s="113"/>
      <c r="E713" s="305"/>
      <c r="F713" s="305"/>
      <c r="G713" s="305"/>
      <c r="H713" s="305"/>
      <c r="I713" s="96" t="str">
        <f t="shared" si="10"/>
        <v>Soutenir les Pouvoirs organisateurs des écoles pour des projets de déminéralisation et végétalisatio</v>
      </c>
    </row>
    <row r="714" spans="1:9" ht="25.5" x14ac:dyDescent="0.25">
      <c r="A714" s="113" t="s">
        <v>1282</v>
      </c>
      <c r="B714" s="296" t="s">
        <v>2530</v>
      </c>
      <c r="C714" s="113" t="s">
        <v>1738</v>
      </c>
      <c r="D714" s="113"/>
      <c r="E714" s="305"/>
      <c r="F714" s="305"/>
      <c r="G714" s="305"/>
      <c r="H714" s="305"/>
      <c r="I714" s="96" t="str">
        <f t="shared" si="10"/>
        <v xml:space="preserve">Evaluer l’opportunité d’octroyer des primes aux communes plutôt que des subventions, pour faciliter </v>
      </c>
    </row>
    <row r="715" spans="1:9" ht="25.5" x14ac:dyDescent="0.25">
      <c r="A715" s="113" t="s">
        <v>1283</v>
      </c>
      <c r="B715" s="296" t="s">
        <v>2531</v>
      </c>
      <c r="C715" s="113" t="s">
        <v>1738</v>
      </c>
      <c r="D715" s="113"/>
      <c r="E715" s="305"/>
      <c r="F715" s="305"/>
      <c r="G715" s="305"/>
      <c r="H715" s="305"/>
      <c r="I715" s="96" t="str">
        <f t="shared" si="10"/>
        <v>Promouvoir un label visant à encourager et valoriser les projets GiEP « exemplaires » dans le domain</v>
      </c>
    </row>
    <row r="716" spans="1:9" ht="25.5" x14ac:dyDescent="0.25">
      <c r="A716" s="113" t="s">
        <v>1284</v>
      </c>
      <c r="B716" s="296" t="s">
        <v>2532</v>
      </c>
      <c r="C716" s="113" t="s">
        <v>1738</v>
      </c>
      <c r="D716" s="113"/>
      <c r="E716" s="305"/>
      <c r="F716" s="305"/>
      <c r="G716" s="305"/>
      <c r="H716" s="305"/>
      <c r="I716" s="96" t="str">
        <f t="shared" si="10"/>
        <v xml:space="preserve">Soutenir les mouvements citoyens et associatifs qui mettent en œuvre le PGE 2022-2027 et plus large </v>
      </c>
    </row>
    <row r="717" spans="1:9" ht="51" x14ac:dyDescent="0.25">
      <c r="A717" s="113" t="s">
        <v>1285</v>
      </c>
      <c r="B717" s="296" t="s">
        <v>2533</v>
      </c>
      <c r="C717" s="113" t="s">
        <v>1738</v>
      </c>
      <c r="D717" s="113"/>
      <c r="E717" s="305"/>
      <c r="F717" s="305"/>
      <c r="G717" s="305"/>
      <c r="H717" s="305"/>
      <c r="I717" s="96" t="str">
        <f t="shared" si="10"/>
        <v>Réaliser un diagnostic des mécanismes financiers existants au sein des institutions régionales et co</v>
      </c>
    </row>
    <row r="718" spans="1:9" ht="38.25" x14ac:dyDescent="0.25">
      <c r="A718" s="113" t="s">
        <v>1286</v>
      </c>
      <c r="B718" s="296" t="s">
        <v>2534</v>
      </c>
      <c r="C718" s="113" t="s">
        <v>1738</v>
      </c>
      <c r="D718" s="113"/>
      <c r="E718" s="305"/>
      <c r="F718" s="305"/>
      <c r="G718" s="305"/>
      <c r="H718" s="305"/>
      <c r="I718" s="96" t="str">
        <f t="shared" si="10"/>
        <v>Réaliser un diagnostic des besoins spécifiques identifiés (e.g. demandes récurrentes, manques, raiso</v>
      </c>
    </row>
    <row r="719" spans="1:9" ht="63.75" x14ac:dyDescent="0.25">
      <c r="A719" s="113" t="s">
        <v>1277</v>
      </c>
      <c r="B719" s="296" t="s">
        <v>2535</v>
      </c>
      <c r="C719" s="113" t="s">
        <v>1738</v>
      </c>
      <c r="D719" s="113"/>
      <c r="E719" s="305"/>
      <c r="F719" s="305"/>
      <c r="G719" s="305"/>
      <c r="H719" s="305"/>
      <c r="I719" s="96" t="str">
        <f t="shared" si="10"/>
        <v>Mettre en place des primes ou des ajouts/extensions de champ d’application pour des primes existante</v>
      </c>
    </row>
    <row r="720" spans="1:9" ht="51" x14ac:dyDescent="0.25">
      <c r="A720" s="113" t="s">
        <v>1278</v>
      </c>
      <c r="B720" s="296" t="s">
        <v>2536</v>
      </c>
      <c r="C720" s="113" t="s">
        <v>1738</v>
      </c>
      <c r="D720" s="113"/>
      <c r="E720" s="305"/>
      <c r="F720" s="305"/>
      <c r="G720" s="305"/>
      <c r="H720" s="305"/>
      <c r="I720" s="96" t="str">
        <f t="shared" si="10"/>
        <v>Assurer l’actualisation régulière des informations disponibles sur les canaux de communication des i</v>
      </c>
    </row>
    <row r="721" spans="1:9" x14ac:dyDescent="0.25">
      <c r="E721" s="305"/>
      <c r="F721" s="305"/>
      <c r="G721" s="305"/>
      <c r="H721" s="305"/>
      <c r="I721" s="96" t="str">
        <f t="shared" ref="I721:I784" si="11">LEFT(B721,100)</f>
        <v/>
      </c>
    </row>
    <row r="722" spans="1:9" x14ac:dyDescent="0.25">
      <c r="E722" s="305"/>
      <c r="F722" s="305"/>
      <c r="G722" s="305"/>
      <c r="H722" s="305"/>
      <c r="I722" s="96" t="str">
        <f t="shared" si="11"/>
        <v/>
      </c>
    </row>
    <row r="723" spans="1:9" x14ac:dyDescent="0.25">
      <c r="E723" s="305"/>
      <c r="F723" s="305"/>
      <c r="G723" s="305"/>
      <c r="H723" s="305"/>
      <c r="I723" s="96" t="str">
        <f t="shared" si="11"/>
        <v/>
      </c>
    </row>
    <row r="724" spans="1:9" x14ac:dyDescent="0.25">
      <c r="E724" s="305"/>
      <c r="F724" s="305"/>
      <c r="G724" s="305"/>
      <c r="H724" s="305"/>
      <c r="I724" s="96" t="str">
        <f t="shared" si="11"/>
        <v/>
      </c>
    </row>
    <row r="725" spans="1:9" x14ac:dyDescent="0.25">
      <c r="A725" s="305"/>
      <c r="B725" s="308"/>
      <c r="C725" s="305"/>
      <c r="D725" s="306"/>
      <c r="E725" s="305"/>
      <c r="F725" s="305"/>
      <c r="G725" s="305"/>
      <c r="H725" s="305"/>
      <c r="I725" s="96" t="str">
        <f t="shared" si="11"/>
        <v/>
      </c>
    </row>
    <row r="726" spans="1:9" x14ac:dyDescent="0.25">
      <c r="I726" s="96" t="str">
        <f t="shared" si="11"/>
        <v/>
      </c>
    </row>
    <row r="727" spans="1:9" x14ac:dyDescent="0.25">
      <c r="I727" s="96" t="str">
        <f t="shared" si="11"/>
        <v/>
      </c>
    </row>
    <row r="728" spans="1:9" x14ac:dyDescent="0.25">
      <c r="I728" s="96" t="str">
        <f t="shared" si="11"/>
        <v/>
      </c>
    </row>
    <row r="729" spans="1:9" x14ac:dyDescent="0.25">
      <c r="I729" s="96" t="str">
        <f t="shared" si="11"/>
        <v/>
      </c>
    </row>
    <row r="730" spans="1:9" x14ac:dyDescent="0.25">
      <c r="I730" s="96" t="str">
        <f t="shared" si="11"/>
        <v/>
      </c>
    </row>
    <row r="731" spans="1:9" x14ac:dyDescent="0.25">
      <c r="I731" s="96" t="str">
        <f t="shared" si="11"/>
        <v/>
      </c>
    </row>
    <row r="732" spans="1:9" x14ac:dyDescent="0.25">
      <c r="I732" s="96" t="str">
        <f t="shared" si="11"/>
        <v/>
      </c>
    </row>
    <row r="733" spans="1:9" x14ac:dyDescent="0.25">
      <c r="I733" s="96" t="str">
        <f t="shared" si="11"/>
        <v/>
      </c>
    </row>
    <row r="734" spans="1:9" x14ac:dyDescent="0.25">
      <c r="I734" s="96" t="str">
        <f t="shared" si="11"/>
        <v/>
      </c>
    </row>
    <row r="735" spans="1:9" x14ac:dyDescent="0.25">
      <c r="I735" s="96" t="str">
        <f t="shared" si="11"/>
        <v/>
      </c>
    </row>
    <row r="736" spans="1:9" x14ac:dyDescent="0.25">
      <c r="I736" s="96" t="str">
        <f t="shared" si="11"/>
        <v/>
      </c>
    </row>
    <row r="737" spans="1:9" x14ac:dyDescent="0.25">
      <c r="I737" s="96" t="str">
        <f t="shared" si="11"/>
        <v/>
      </c>
    </row>
    <row r="738" spans="1:9" x14ac:dyDescent="0.25">
      <c r="I738" s="96" t="str">
        <f t="shared" si="11"/>
        <v/>
      </c>
    </row>
    <row r="739" spans="1:9" x14ac:dyDescent="0.25">
      <c r="I739" s="96" t="str">
        <f t="shared" si="11"/>
        <v/>
      </c>
    </row>
    <row r="740" spans="1:9" x14ac:dyDescent="0.25">
      <c r="I740" s="96" t="str">
        <f t="shared" si="11"/>
        <v/>
      </c>
    </row>
    <row r="741" spans="1:9" x14ac:dyDescent="0.25">
      <c r="A741" s="305"/>
      <c r="B741" s="308"/>
      <c r="C741" s="305"/>
      <c r="D741" s="306"/>
      <c r="E741" s="305"/>
      <c r="F741" s="305"/>
      <c r="G741" s="305"/>
      <c r="H741" s="305"/>
      <c r="I741" s="96" t="str">
        <f t="shared" si="11"/>
        <v/>
      </c>
    </row>
    <row r="742" spans="1:9" x14ac:dyDescent="0.25">
      <c r="A742" s="305"/>
      <c r="B742" s="308"/>
      <c r="C742" s="305"/>
      <c r="D742" s="306"/>
      <c r="E742" s="305"/>
      <c r="F742" s="305"/>
      <c r="G742" s="305"/>
      <c r="H742" s="305"/>
      <c r="I742" s="96" t="str">
        <f t="shared" si="11"/>
        <v/>
      </c>
    </row>
    <row r="743" spans="1:9" x14ac:dyDescent="0.25">
      <c r="A743" s="305"/>
      <c r="B743" s="308"/>
      <c r="C743" s="305"/>
      <c r="D743" s="306"/>
      <c r="E743" s="305"/>
      <c r="F743" s="305"/>
      <c r="G743" s="305"/>
      <c r="H743" s="305"/>
      <c r="I743" s="96" t="str">
        <f t="shared" si="11"/>
        <v/>
      </c>
    </row>
    <row r="744" spans="1:9" x14ac:dyDescent="0.25">
      <c r="A744" s="305"/>
      <c r="B744" s="308"/>
      <c r="C744" s="305"/>
      <c r="D744" s="306"/>
      <c r="E744" s="305"/>
      <c r="F744" s="305"/>
      <c r="G744" s="305"/>
      <c r="H744" s="305"/>
      <c r="I744" s="96" t="str">
        <f t="shared" si="11"/>
        <v/>
      </c>
    </row>
    <row r="745" spans="1:9" x14ac:dyDescent="0.25">
      <c r="A745" s="305"/>
      <c r="B745" s="308"/>
      <c r="C745" s="305"/>
      <c r="D745" s="306"/>
      <c r="E745" s="305"/>
      <c r="F745" s="305"/>
      <c r="G745" s="305"/>
      <c r="H745" s="305"/>
      <c r="I745" s="96" t="str">
        <f t="shared" si="11"/>
        <v/>
      </c>
    </row>
    <row r="746" spans="1:9" x14ac:dyDescent="0.25">
      <c r="A746" s="305"/>
      <c r="B746" s="308"/>
      <c r="C746" s="305"/>
      <c r="D746" s="306"/>
      <c r="E746" s="305"/>
      <c r="F746" s="305"/>
      <c r="G746" s="305"/>
      <c r="H746" s="305"/>
      <c r="I746" s="96" t="str">
        <f t="shared" si="11"/>
        <v/>
      </c>
    </row>
    <row r="747" spans="1:9" x14ac:dyDescent="0.25">
      <c r="A747" s="305"/>
      <c r="B747" s="308"/>
      <c r="C747" s="305"/>
      <c r="D747" s="306"/>
      <c r="E747" s="305"/>
      <c r="F747" s="305"/>
      <c r="G747" s="305"/>
      <c r="H747" s="305"/>
      <c r="I747" s="96" t="str">
        <f t="shared" si="11"/>
        <v/>
      </c>
    </row>
    <row r="748" spans="1:9" x14ac:dyDescent="0.25">
      <c r="A748" s="305"/>
      <c r="B748" s="308"/>
      <c r="C748" s="305"/>
      <c r="D748" s="306"/>
      <c r="E748" s="305"/>
      <c r="F748" s="305"/>
      <c r="G748" s="305"/>
      <c r="H748" s="305"/>
      <c r="I748" s="96" t="str">
        <f t="shared" si="11"/>
        <v/>
      </c>
    </row>
    <row r="749" spans="1:9" x14ac:dyDescent="0.25">
      <c r="A749" s="305"/>
      <c r="B749" s="308"/>
      <c r="C749" s="305"/>
      <c r="D749" s="306"/>
      <c r="E749" s="305"/>
      <c r="F749" s="305"/>
      <c r="G749" s="305"/>
      <c r="H749" s="305"/>
      <c r="I749" s="96" t="str">
        <f t="shared" si="11"/>
        <v/>
      </c>
    </row>
    <row r="750" spans="1:9" x14ac:dyDescent="0.25">
      <c r="A750" s="305"/>
      <c r="B750" s="308"/>
      <c r="C750" s="305"/>
      <c r="D750" s="306"/>
      <c r="E750" s="305"/>
      <c r="F750" s="305"/>
      <c r="G750" s="305"/>
      <c r="H750" s="305"/>
      <c r="I750" s="96" t="str">
        <f t="shared" si="11"/>
        <v/>
      </c>
    </row>
    <row r="751" spans="1:9" x14ac:dyDescent="0.25">
      <c r="A751" s="305"/>
      <c r="B751" s="308"/>
      <c r="C751" s="305"/>
      <c r="D751" s="306"/>
      <c r="E751" s="305"/>
      <c r="F751" s="305"/>
      <c r="G751" s="305"/>
      <c r="H751" s="305"/>
      <c r="I751" s="96" t="str">
        <f t="shared" si="11"/>
        <v/>
      </c>
    </row>
    <row r="752" spans="1:9" x14ac:dyDescent="0.25">
      <c r="A752" s="305"/>
      <c r="B752" s="308"/>
      <c r="C752" s="305"/>
      <c r="D752" s="306"/>
      <c r="E752" s="305"/>
      <c r="F752" s="305"/>
      <c r="G752" s="305"/>
      <c r="H752" s="305"/>
      <c r="I752" s="96" t="str">
        <f t="shared" si="11"/>
        <v/>
      </c>
    </row>
    <row r="753" spans="1:9" x14ac:dyDescent="0.25">
      <c r="A753" s="305"/>
      <c r="B753" s="308"/>
      <c r="C753" s="305"/>
      <c r="D753" s="306"/>
      <c r="E753" s="305"/>
      <c r="F753" s="305"/>
      <c r="G753" s="305"/>
      <c r="H753" s="305"/>
      <c r="I753" s="96" t="str">
        <f t="shared" si="11"/>
        <v/>
      </c>
    </row>
    <row r="754" spans="1:9" x14ac:dyDescent="0.25">
      <c r="A754" s="305"/>
      <c r="B754" s="308"/>
      <c r="C754" s="305"/>
      <c r="D754" s="306"/>
      <c r="E754" s="305"/>
      <c r="F754" s="305"/>
      <c r="G754" s="305"/>
      <c r="H754" s="305"/>
      <c r="I754" s="96" t="str">
        <f t="shared" si="11"/>
        <v/>
      </c>
    </row>
    <row r="755" spans="1:9" x14ac:dyDescent="0.25">
      <c r="A755" s="305"/>
      <c r="B755" s="308"/>
      <c r="C755" s="305"/>
      <c r="D755" s="306"/>
      <c r="E755" s="305"/>
      <c r="F755" s="305"/>
      <c r="G755" s="305"/>
      <c r="H755" s="305"/>
      <c r="I755" s="96" t="str">
        <f t="shared" si="11"/>
        <v/>
      </c>
    </row>
    <row r="756" spans="1:9" x14ac:dyDescent="0.25">
      <c r="A756" s="305"/>
      <c r="B756" s="308"/>
      <c r="C756" s="305"/>
      <c r="D756" s="306"/>
      <c r="E756" s="305"/>
      <c r="F756" s="305"/>
      <c r="G756" s="305"/>
      <c r="H756" s="305"/>
      <c r="I756" s="96" t="str">
        <f t="shared" si="11"/>
        <v/>
      </c>
    </row>
    <row r="757" spans="1:9" x14ac:dyDescent="0.25">
      <c r="A757" s="305"/>
      <c r="B757" s="308"/>
      <c r="C757" s="305"/>
      <c r="D757" s="306"/>
      <c r="E757" s="305"/>
      <c r="F757" s="305"/>
      <c r="G757" s="305"/>
      <c r="H757" s="305"/>
      <c r="I757" s="96" t="str">
        <f t="shared" si="11"/>
        <v/>
      </c>
    </row>
    <row r="758" spans="1:9" x14ac:dyDescent="0.25">
      <c r="A758" s="305"/>
      <c r="B758" s="308"/>
      <c r="C758" s="305"/>
      <c r="D758" s="306"/>
      <c r="E758" s="305"/>
      <c r="F758" s="305"/>
      <c r="G758" s="305"/>
      <c r="H758" s="305"/>
      <c r="I758" s="96" t="str">
        <f t="shared" si="11"/>
        <v/>
      </c>
    </row>
    <row r="759" spans="1:9" x14ac:dyDescent="0.25">
      <c r="A759" s="305"/>
      <c r="B759" s="308"/>
      <c r="C759" s="305"/>
      <c r="D759" s="306"/>
      <c r="E759" s="305"/>
      <c r="F759" s="305"/>
      <c r="G759" s="305"/>
      <c r="H759" s="305"/>
      <c r="I759" s="96" t="str">
        <f t="shared" si="11"/>
        <v/>
      </c>
    </row>
    <row r="760" spans="1:9" x14ac:dyDescent="0.25">
      <c r="A760" s="305"/>
      <c r="B760" s="308"/>
      <c r="C760" s="305"/>
      <c r="D760" s="306"/>
      <c r="E760" s="305"/>
      <c r="F760" s="305"/>
      <c r="G760" s="305"/>
      <c r="H760" s="305"/>
      <c r="I760" s="96" t="str">
        <f t="shared" si="11"/>
        <v/>
      </c>
    </row>
    <row r="761" spans="1:9" x14ac:dyDescent="0.25">
      <c r="A761" s="305"/>
      <c r="B761" s="308"/>
      <c r="C761" s="305"/>
      <c r="D761" s="306"/>
      <c r="E761" s="305"/>
      <c r="F761" s="305"/>
      <c r="G761" s="305"/>
      <c r="H761" s="305"/>
      <c r="I761" s="96" t="str">
        <f t="shared" si="11"/>
        <v/>
      </c>
    </row>
    <row r="762" spans="1:9" x14ac:dyDescent="0.25">
      <c r="A762" s="305"/>
      <c r="B762" s="308"/>
      <c r="C762" s="305"/>
      <c r="D762" s="306"/>
      <c r="E762" s="305"/>
      <c r="F762" s="305"/>
      <c r="G762" s="305"/>
      <c r="H762" s="305"/>
      <c r="I762" s="96" t="str">
        <f t="shared" si="11"/>
        <v/>
      </c>
    </row>
    <row r="763" spans="1:9" x14ac:dyDescent="0.25">
      <c r="A763" s="305"/>
      <c r="B763" s="308"/>
      <c r="C763" s="305"/>
      <c r="D763" s="306"/>
      <c r="E763" s="305"/>
      <c r="F763" s="305"/>
      <c r="G763" s="305"/>
      <c r="H763" s="305"/>
      <c r="I763" s="96" t="str">
        <f t="shared" si="11"/>
        <v/>
      </c>
    </row>
    <row r="764" spans="1:9" x14ac:dyDescent="0.25">
      <c r="A764" s="305"/>
      <c r="B764" s="308"/>
      <c r="C764" s="305"/>
      <c r="D764" s="306"/>
      <c r="E764" s="305"/>
      <c r="F764" s="305"/>
      <c r="G764" s="305"/>
      <c r="H764" s="305"/>
      <c r="I764" s="96" t="str">
        <f t="shared" si="11"/>
        <v/>
      </c>
    </row>
    <row r="765" spans="1:9" x14ac:dyDescent="0.25">
      <c r="A765" s="305"/>
      <c r="B765" s="308"/>
      <c r="C765" s="305"/>
      <c r="D765" s="306"/>
      <c r="E765" s="305"/>
      <c r="F765" s="305"/>
      <c r="G765" s="305"/>
      <c r="H765" s="305"/>
      <c r="I765" s="96" t="str">
        <f t="shared" si="11"/>
        <v/>
      </c>
    </row>
    <row r="766" spans="1:9" x14ac:dyDescent="0.25">
      <c r="A766" s="305"/>
      <c r="B766" s="308"/>
      <c r="C766" s="305"/>
      <c r="D766" s="306"/>
      <c r="E766" s="305"/>
      <c r="F766" s="305"/>
      <c r="G766" s="305"/>
      <c r="H766" s="305"/>
      <c r="I766" s="96" t="str">
        <f t="shared" si="11"/>
        <v/>
      </c>
    </row>
    <row r="767" spans="1:9" x14ac:dyDescent="0.25">
      <c r="A767" s="305"/>
      <c r="B767" s="308"/>
      <c r="C767" s="305"/>
      <c r="D767" s="306"/>
      <c r="E767" s="305"/>
      <c r="F767" s="305"/>
      <c r="G767" s="305"/>
      <c r="H767" s="305"/>
      <c r="I767" s="96" t="str">
        <f t="shared" si="11"/>
        <v/>
      </c>
    </row>
    <row r="768" spans="1:9" x14ac:dyDescent="0.25">
      <c r="A768" s="305"/>
      <c r="B768" s="308"/>
      <c r="C768" s="305"/>
      <c r="D768" s="306"/>
      <c r="E768" s="305"/>
      <c r="F768" s="305"/>
      <c r="G768" s="305"/>
      <c r="H768" s="305"/>
      <c r="I768" s="96" t="str">
        <f t="shared" si="11"/>
        <v/>
      </c>
    </row>
    <row r="769" spans="1:9" x14ac:dyDescent="0.25">
      <c r="A769" s="305"/>
      <c r="B769" s="308"/>
      <c r="C769" s="305"/>
      <c r="D769" s="306"/>
      <c r="E769" s="305"/>
      <c r="F769" s="305"/>
      <c r="G769" s="305"/>
      <c r="H769" s="305"/>
      <c r="I769" s="96" t="str">
        <f t="shared" si="11"/>
        <v/>
      </c>
    </row>
    <row r="770" spans="1:9" x14ac:dyDescent="0.25">
      <c r="A770" s="305"/>
      <c r="B770" s="308"/>
      <c r="C770" s="305"/>
      <c r="D770" s="306"/>
      <c r="E770" s="305"/>
      <c r="F770" s="305"/>
      <c r="G770" s="305"/>
      <c r="H770" s="305"/>
      <c r="I770" s="96" t="str">
        <f t="shared" si="11"/>
        <v/>
      </c>
    </row>
    <row r="771" spans="1:9" x14ac:dyDescent="0.25">
      <c r="A771" s="305"/>
      <c r="B771" s="308"/>
      <c r="C771" s="305"/>
      <c r="D771" s="306"/>
      <c r="E771" s="305"/>
      <c r="F771" s="305"/>
      <c r="G771" s="305"/>
      <c r="H771" s="305"/>
      <c r="I771" s="96" t="str">
        <f t="shared" si="11"/>
        <v/>
      </c>
    </row>
    <row r="772" spans="1:9" x14ac:dyDescent="0.25">
      <c r="A772" s="305"/>
      <c r="B772" s="308"/>
      <c r="C772" s="305"/>
      <c r="D772" s="306"/>
      <c r="E772" s="305"/>
      <c r="F772" s="305"/>
      <c r="G772" s="305"/>
      <c r="H772" s="305"/>
      <c r="I772" s="96" t="str">
        <f t="shared" si="11"/>
        <v/>
      </c>
    </row>
    <row r="773" spans="1:9" x14ac:dyDescent="0.25">
      <c r="A773" s="305"/>
      <c r="B773" s="308"/>
      <c r="C773" s="305"/>
      <c r="D773" s="306"/>
      <c r="E773" s="305"/>
      <c r="F773" s="305"/>
      <c r="G773" s="305"/>
      <c r="H773" s="305"/>
      <c r="I773" s="96" t="str">
        <f t="shared" si="11"/>
        <v/>
      </c>
    </row>
    <row r="774" spans="1:9" x14ac:dyDescent="0.25">
      <c r="A774" s="305"/>
      <c r="B774" s="308"/>
      <c r="C774" s="305"/>
      <c r="D774" s="306"/>
      <c r="E774" s="305"/>
      <c r="F774" s="305"/>
      <c r="G774" s="305"/>
      <c r="H774" s="305"/>
      <c r="I774" s="96" t="str">
        <f t="shared" si="11"/>
        <v/>
      </c>
    </row>
    <row r="775" spans="1:9" x14ac:dyDescent="0.25">
      <c r="A775" s="305"/>
      <c r="B775" s="308"/>
      <c r="C775" s="305"/>
      <c r="D775" s="306"/>
      <c r="E775" s="305"/>
      <c r="F775" s="305"/>
      <c r="G775" s="305"/>
      <c r="H775" s="305"/>
      <c r="I775" s="96" t="str">
        <f t="shared" si="11"/>
        <v/>
      </c>
    </row>
    <row r="776" spans="1:9" x14ac:dyDescent="0.25">
      <c r="A776" s="305"/>
      <c r="B776" s="308"/>
      <c r="C776" s="305"/>
      <c r="D776" s="306"/>
      <c r="E776" s="305"/>
      <c r="F776" s="305"/>
      <c r="G776" s="305"/>
      <c r="H776" s="305"/>
      <c r="I776" s="96" t="str">
        <f t="shared" si="11"/>
        <v/>
      </c>
    </row>
    <row r="777" spans="1:9" x14ac:dyDescent="0.25">
      <c r="A777" s="305"/>
      <c r="B777" s="308"/>
      <c r="C777" s="305"/>
      <c r="D777" s="306"/>
      <c r="E777" s="305"/>
      <c r="F777" s="305"/>
      <c r="G777" s="305"/>
      <c r="H777" s="305"/>
      <c r="I777" s="96" t="str">
        <f t="shared" si="11"/>
        <v/>
      </c>
    </row>
    <row r="778" spans="1:9" x14ac:dyDescent="0.25">
      <c r="A778" s="305"/>
      <c r="B778" s="308"/>
      <c r="C778" s="305"/>
      <c r="D778" s="306"/>
      <c r="E778" s="305"/>
      <c r="F778" s="305"/>
      <c r="G778" s="305"/>
      <c r="H778" s="305"/>
      <c r="I778" s="96" t="str">
        <f t="shared" si="11"/>
        <v/>
      </c>
    </row>
    <row r="779" spans="1:9" x14ac:dyDescent="0.25">
      <c r="A779" s="305"/>
      <c r="B779" s="308"/>
      <c r="C779" s="305"/>
      <c r="D779" s="306"/>
      <c r="E779" s="305"/>
      <c r="F779" s="305"/>
      <c r="G779" s="305"/>
      <c r="H779" s="305"/>
      <c r="I779" s="96" t="str">
        <f t="shared" si="11"/>
        <v/>
      </c>
    </row>
    <row r="780" spans="1:9" x14ac:dyDescent="0.25">
      <c r="A780" s="305"/>
      <c r="B780" s="308"/>
      <c r="C780" s="305"/>
      <c r="D780" s="306"/>
      <c r="E780" s="305"/>
      <c r="F780" s="305"/>
      <c r="G780" s="305"/>
      <c r="H780" s="305"/>
      <c r="I780" s="96" t="str">
        <f t="shared" si="11"/>
        <v/>
      </c>
    </row>
    <row r="781" spans="1:9" x14ac:dyDescent="0.25">
      <c r="A781" s="305"/>
      <c r="B781" s="308"/>
      <c r="C781" s="305"/>
      <c r="D781" s="306"/>
      <c r="E781" s="305"/>
      <c r="F781" s="305"/>
      <c r="G781" s="305"/>
      <c r="H781" s="305"/>
      <c r="I781" s="96" t="str">
        <f t="shared" si="11"/>
        <v/>
      </c>
    </row>
    <row r="782" spans="1:9" x14ac:dyDescent="0.25">
      <c r="A782" s="305"/>
      <c r="B782" s="308"/>
      <c r="C782" s="305"/>
      <c r="D782" s="306"/>
      <c r="E782" s="305"/>
      <c r="F782" s="305"/>
      <c r="G782" s="305"/>
      <c r="H782" s="305"/>
      <c r="I782" s="96" t="str">
        <f t="shared" si="11"/>
        <v/>
      </c>
    </row>
    <row r="783" spans="1:9" x14ac:dyDescent="0.25">
      <c r="A783" s="305"/>
      <c r="B783" s="308"/>
      <c r="C783" s="305"/>
      <c r="D783" s="306"/>
      <c r="E783" s="305"/>
      <c r="F783" s="305"/>
      <c r="G783" s="305"/>
      <c r="H783" s="305"/>
      <c r="I783" s="96" t="str">
        <f t="shared" si="11"/>
        <v/>
      </c>
    </row>
    <row r="784" spans="1:9" x14ac:dyDescent="0.25">
      <c r="A784" s="305"/>
      <c r="B784" s="308"/>
      <c r="C784" s="305"/>
      <c r="D784" s="306"/>
      <c r="E784" s="305"/>
      <c r="F784" s="305"/>
      <c r="G784" s="305"/>
      <c r="H784" s="305"/>
      <c r="I784" s="96" t="str">
        <f t="shared" si="11"/>
        <v/>
      </c>
    </row>
    <row r="785" spans="1:9" x14ac:dyDescent="0.25">
      <c r="A785" s="305"/>
      <c r="B785" s="308"/>
      <c r="C785" s="305"/>
      <c r="D785" s="306"/>
      <c r="E785" s="305"/>
      <c r="F785" s="305"/>
      <c r="G785" s="305"/>
      <c r="H785" s="305"/>
      <c r="I785" s="96" t="str">
        <f t="shared" ref="I785:I848" si="12">LEFT(B785,100)</f>
        <v/>
      </c>
    </row>
    <row r="786" spans="1:9" x14ac:dyDescent="0.25">
      <c r="A786" s="305"/>
      <c r="B786" s="308"/>
      <c r="C786" s="305"/>
      <c r="D786" s="306"/>
      <c r="E786" s="305"/>
      <c r="F786" s="305"/>
      <c r="G786" s="305"/>
      <c r="H786" s="305"/>
      <c r="I786" s="96" t="str">
        <f t="shared" si="12"/>
        <v/>
      </c>
    </row>
    <row r="787" spans="1:9" x14ac:dyDescent="0.25">
      <c r="A787" s="305"/>
      <c r="B787" s="308"/>
      <c r="C787" s="305"/>
      <c r="D787" s="306"/>
      <c r="E787" s="305"/>
      <c r="F787" s="305"/>
      <c r="G787" s="305"/>
      <c r="H787" s="305"/>
      <c r="I787" s="96" t="str">
        <f t="shared" si="12"/>
        <v/>
      </c>
    </row>
    <row r="788" spans="1:9" x14ac:dyDescent="0.25">
      <c r="A788" s="305"/>
      <c r="B788" s="308"/>
      <c r="C788" s="305"/>
      <c r="D788" s="306"/>
      <c r="E788" s="305"/>
      <c r="F788" s="305"/>
      <c r="G788" s="305"/>
      <c r="H788" s="305"/>
      <c r="I788" s="96" t="str">
        <f t="shared" si="12"/>
        <v/>
      </c>
    </row>
    <row r="789" spans="1:9" x14ac:dyDescent="0.25">
      <c r="A789" s="305"/>
      <c r="B789" s="308"/>
      <c r="C789" s="305"/>
      <c r="D789" s="306"/>
      <c r="E789" s="305"/>
      <c r="F789" s="305"/>
      <c r="G789" s="305"/>
      <c r="H789" s="305"/>
      <c r="I789" s="96" t="str">
        <f t="shared" si="12"/>
        <v/>
      </c>
    </row>
    <row r="790" spans="1:9" x14ac:dyDescent="0.25">
      <c r="A790" s="305"/>
      <c r="B790" s="308"/>
      <c r="C790" s="305"/>
      <c r="D790" s="306"/>
      <c r="E790" s="305"/>
      <c r="F790" s="305"/>
      <c r="G790" s="305"/>
      <c r="H790" s="305"/>
      <c r="I790" s="96" t="str">
        <f t="shared" si="12"/>
        <v/>
      </c>
    </row>
    <row r="791" spans="1:9" x14ac:dyDescent="0.25">
      <c r="A791" s="305"/>
      <c r="B791" s="308"/>
      <c r="C791" s="305"/>
      <c r="D791" s="306"/>
      <c r="E791" s="305"/>
      <c r="F791" s="305"/>
      <c r="G791" s="305"/>
      <c r="H791" s="305"/>
      <c r="I791" s="96" t="str">
        <f t="shared" si="12"/>
        <v/>
      </c>
    </row>
    <row r="792" spans="1:9" x14ac:dyDescent="0.25">
      <c r="A792" s="305"/>
      <c r="B792" s="308"/>
      <c r="C792" s="305"/>
      <c r="D792" s="306"/>
      <c r="E792" s="305"/>
      <c r="F792" s="305"/>
      <c r="G792" s="305"/>
      <c r="H792" s="305"/>
      <c r="I792" s="96" t="str">
        <f t="shared" si="12"/>
        <v/>
      </c>
    </row>
    <row r="793" spans="1:9" x14ac:dyDescent="0.25">
      <c r="A793" s="305"/>
      <c r="B793" s="308"/>
      <c r="C793" s="305"/>
      <c r="D793" s="306"/>
      <c r="E793" s="305"/>
      <c r="F793" s="305"/>
      <c r="G793" s="305"/>
      <c r="H793" s="305"/>
      <c r="I793" s="96" t="str">
        <f t="shared" si="12"/>
        <v/>
      </c>
    </row>
    <row r="794" spans="1:9" x14ac:dyDescent="0.25">
      <c r="A794" s="305"/>
      <c r="B794" s="308"/>
      <c r="C794" s="305"/>
      <c r="D794" s="306"/>
      <c r="E794" s="305"/>
      <c r="F794" s="305"/>
      <c r="G794" s="305"/>
      <c r="H794" s="305"/>
      <c r="I794" s="96" t="str">
        <f t="shared" si="12"/>
        <v/>
      </c>
    </row>
    <row r="795" spans="1:9" x14ac:dyDescent="0.25">
      <c r="A795" s="305"/>
      <c r="B795" s="308"/>
      <c r="C795" s="305"/>
      <c r="D795" s="306"/>
      <c r="E795" s="305"/>
      <c r="F795" s="305"/>
      <c r="G795" s="305"/>
      <c r="H795" s="305"/>
      <c r="I795" s="96" t="str">
        <f t="shared" si="12"/>
        <v/>
      </c>
    </row>
    <row r="796" spans="1:9" x14ac:dyDescent="0.25">
      <c r="A796" s="305"/>
      <c r="B796" s="308"/>
      <c r="C796" s="305"/>
      <c r="D796" s="306"/>
      <c r="E796" s="305"/>
      <c r="F796" s="305"/>
      <c r="G796" s="305"/>
      <c r="H796" s="305"/>
      <c r="I796" s="96" t="str">
        <f t="shared" si="12"/>
        <v/>
      </c>
    </row>
    <row r="797" spans="1:9" x14ac:dyDescent="0.25">
      <c r="A797" s="305"/>
      <c r="B797" s="308"/>
      <c r="C797" s="305"/>
      <c r="D797" s="306"/>
      <c r="E797" s="305"/>
      <c r="F797" s="305"/>
      <c r="G797" s="305"/>
      <c r="H797" s="305"/>
      <c r="I797" s="96" t="str">
        <f t="shared" si="12"/>
        <v/>
      </c>
    </row>
    <row r="798" spans="1:9" x14ac:dyDescent="0.25">
      <c r="A798" s="305"/>
      <c r="B798" s="308"/>
      <c r="C798" s="305"/>
      <c r="D798" s="306"/>
      <c r="E798" s="305"/>
      <c r="F798" s="305"/>
      <c r="G798" s="305"/>
      <c r="H798" s="305"/>
      <c r="I798" s="96" t="str">
        <f t="shared" si="12"/>
        <v/>
      </c>
    </row>
    <row r="799" spans="1:9" x14ac:dyDescent="0.25">
      <c r="A799" s="305"/>
      <c r="B799" s="308"/>
      <c r="C799" s="305"/>
      <c r="D799" s="306"/>
      <c r="E799" s="305"/>
      <c r="F799" s="305"/>
      <c r="G799" s="305"/>
      <c r="H799" s="305"/>
      <c r="I799" s="96" t="str">
        <f t="shared" si="12"/>
        <v/>
      </c>
    </row>
    <row r="800" spans="1:9" x14ac:dyDescent="0.25">
      <c r="A800" s="305"/>
      <c r="B800" s="308"/>
      <c r="C800" s="305"/>
      <c r="D800" s="306"/>
      <c r="E800" s="305"/>
      <c r="F800" s="305"/>
      <c r="G800" s="305"/>
      <c r="H800" s="305"/>
      <c r="I800" s="96" t="str">
        <f t="shared" si="12"/>
        <v/>
      </c>
    </row>
    <row r="801" spans="1:9" x14ac:dyDescent="0.25">
      <c r="A801" s="305"/>
      <c r="B801" s="308"/>
      <c r="C801" s="305"/>
      <c r="D801" s="306"/>
      <c r="E801" s="305"/>
      <c r="F801" s="305"/>
      <c r="G801" s="305"/>
      <c r="H801" s="305"/>
      <c r="I801" s="96" t="str">
        <f t="shared" si="12"/>
        <v/>
      </c>
    </row>
    <row r="802" spans="1:9" x14ac:dyDescent="0.25">
      <c r="A802" s="305"/>
      <c r="B802" s="308"/>
      <c r="C802" s="305"/>
      <c r="D802" s="306"/>
      <c r="E802" s="305"/>
      <c r="F802" s="305"/>
      <c r="G802" s="305"/>
      <c r="H802" s="305"/>
      <c r="I802" s="96" t="str">
        <f t="shared" si="12"/>
        <v/>
      </c>
    </row>
    <row r="803" spans="1:9" x14ac:dyDescent="0.25">
      <c r="A803" s="305"/>
      <c r="B803" s="308"/>
      <c r="C803" s="305"/>
      <c r="D803" s="306"/>
      <c r="E803" s="305"/>
      <c r="F803" s="305"/>
      <c r="G803" s="305"/>
      <c r="H803" s="305"/>
      <c r="I803" s="96" t="str">
        <f t="shared" si="12"/>
        <v/>
      </c>
    </row>
    <row r="804" spans="1:9" x14ac:dyDescent="0.25">
      <c r="A804" s="305"/>
      <c r="B804" s="308"/>
      <c r="C804" s="305"/>
      <c r="D804" s="306"/>
      <c r="E804" s="305"/>
      <c r="F804" s="305"/>
      <c r="G804" s="305"/>
      <c r="H804" s="305"/>
      <c r="I804" s="96" t="str">
        <f t="shared" si="12"/>
        <v/>
      </c>
    </row>
    <row r="805" spans="1:9" x14ac:dyDescent="0.25">
      <c r="A805" s="305"/>
      <c r="B805" s="308"/>
      <c r="C805" s="305"/>
      <c r="D805" s="306"/>
      <c r="E805" s="305"/>
      <c r="F805" s="305"/>
      <c r="G805" s="305"/>
      <c r="H805" s="305"/>
      <c r="I805" s="96" t="str">
        <f t="shared" si="12"/>
        <v/>
      </c>
    </row>
    <row r="806" spans="1:9" x14ac:dyDescent="0.25">
      <c r="A806" s="305"/>
      <c r="B806" s="308"/>
      <c r="C806" s="305"/>
      <c r="D806" s="306"/>
      <c r="E806" s="305"/>
      <c r="F806" s="305"/>
      <c r="G806" s="305"/>
      <c r="H806" s="305"/>
      <c r="I806" s="96" t="str">
        <f t="shared" si="12"/>
        <v/>
      </c>
    </row>
    <row r="807" spans="1:9" x14ac:dyDescent="0.25">
      <c r="A807" s="305"/>
      <c r="B807" s="308"/>
      <c r="C807" s="305"/>
      <c r="D807" s="306"/>
      <c r="E807" s="305"/>
      <c r="F807" s="305"/>
      <c r="G807" s="305"/>
      <c r="H807" s="305"/>
      <c r="I807" s="96" t="str">
        <f t="shared" si="12"/>
        <v/>
      </c>
    </row>
    <row r="808" spans="1:9" x14ac:dyDescent="0.25">
      <c r="A808" s="305"/>
      <c r="B808" s="308"/>
      <c r="C808" s="305"/>
      <c r="D808" s="306"/>
      <c r="E808" s="305"/>
      <c r="F808" s="305"/>
      <c r="G808" s="305"/>
      <c r="H808" s="305"/>
      <c r="I808" s="96" t="str">
        <f t="shared" si="12"/>
        <v/>
      </c>
    </row>
    <row r="809" spans="1:9" x14ac:dyDescent="0.25">
      <c r="A809" s="305"/>
      <c r="B809" s="308"/>
      <c r="C809" s="305"/>
      <c r="D809" s="306"/>
      <c r="E809" s="305"/>
      <c r="F809" s="305"/>
      <c r="G809" s="305"/>
      <c r="H809" s="305"/>
      <c r="I809" s="96" t="str">
        <f t="shared" si="12"/>
        <v/>
      </c>
    </row>
    <row r="810" spans="1:9" x14ac:dyDescent="0.25">
      <c r="A810" s="305"/>
      <c r="B810" s="308"/>
      <c r="C810" s="305"/>
      <c r="D810" s="306"/>
      <c r="E810" s="305"/>
      <c r="F810" s="305"/>
      <c r="G810" s="305"/>
      <c r="H810" s="305"/>
      <c r="I810" s="96" t="str">
        <f t="shared" si="12"/>
        <v/>
      </c>
    </row>
    <row r="811" spans="1:9" x14ac:dyDescent="0.25">
      <c r="A811" s="305"/>
      <c r="B811" s="308"/>
      <c r="C811" s="305"/>
      <c r="D811" s="306"/>
      <c r="E811" s="305"/>
      <c r="F811" s="305"/>
      <c r="G811" s="305"/>
      <c r="H811" s="305"/>
      <c r="I811" s="96" t="str">
        <f t="shared" si="12"/>
        <v/>
      </c>
    </row>
    <row r="812" spans="1:9" x14ac:dyDescent="0.25">
      <c r="A812" s="305"/>
      <c r="B812" s="308"/>
      <c r="C812" s="305"/>
      <c r="D812" s="306"/>
      <c r="E812" s="305"/>
      <c r="F812" s="305"/>
      <c r="G812" s="305"/>
      <c r="H812" s="305"/>
      <c r="I812" s="96" t="str">
        <f t="shared" si="12"/>
        <v/>
      </c>
    </row>
    <row r="813" spans="1:9" x14ac:dyDescent="0.25">
      <c r="A813" s="305"/>
      <c r="B813" s="308"/>
      <c r="C813" s="305"/>
      <c r="D813" s="306"/>
      <c r="E813" s="305"/>
      <c r="F813" s="305"/>
      <c r="G813" s="305"/>
      <c r="H813" s="305"/>
      <c r="I813" s="96" t="str">
        <f t="shared" si="12"/>
        <v/>
      </c>
    </row>
    <row r="814" spans="1:9" x14ac:dyDescent="0.25">
      <c r="A814" s="305"/>
      <c r="B814" s="308"/>
      <c r="C814" s="305"/>
      <c r="D814" s="306"/>
      <c r="E814" s="305"/>
      <c r="F814" s="305"/>
      <c r="G814" s="305"/>
      <c r="H814" s="305"/>
      <c r="I814" s="96" t="str">
        <f t="shared" si="12"/>
        <v/>
      </c>
    </row>
    <row r="815" spans="1:9" x14ac:dyDescent="0.25">
      <c r="A815" s="305"/>
      <c r="B815" s="308"/>
      <c r="C815" s="305"/>
      <c r="D815" s="306"/>
      <c r="E815" s="305"/>
      <c r="F815" s="305"/>
      <c r="G815" s="305"/>
      <c r="H815" s="305"/>
      <c r="I815" s="96" t="str">
        <f t="shared" si="12"/>
        <v/>
      </c>
    </row>
    <row r="816" spans="1:9" x14ac:dyDescent="0.25">
      <c r="A816" s="305"/>
      <c r="B816" s="308"/>
      <c r="C816" s="305"/>
      <c r="D816" s="306"/>
      <c r="E816" s="305"/>
      <c r="F816" s="305"/>
      <c r="G816" s="305"/>
      <c r="H816" s="305"/>
      <c r="I816" s="96" t="str">
        <f t="shared" si="12"/>
        <v/>
      </c>
    </row>
    <row r="817" spans="1:9" x14ac:dyDescent="0.25">
      <c r="A817" s="305"/>
      <c r="B817" s="308"/>
      <c r="C817" s="305"/>
      <c r="D817" s="306"/>
      <c r="E817" s="305"/>
      <c r="F817" s="305"/>
      <c r="G817" s="305"/>
      <c r="H817" s="305"/>
      <c r="I817" s="96" t="str">
        <f t="shared" si="12"/>
        <v/>
      </c>
    </row>
    <row r="818" spans="1:9" x14ac:dyDescent="0.25">
      <c r="A818" s="305"/>
      <c r="B818" s="308"/>
      <c r="C818" s="305"/>
      <c r="D818" s="306"/>
      <c r="E818" s="305"/>
      <c r="F818" s="305"/>
      <c r="G818" s="305"/>
      <c r="H818" s="305"/>
      <c r="I818" s="96" t="str">
        <f t="shared" si="12"/>
        <v/>
      </c>
    </row>
    <row r="819" spans="1:9" x14ac:dyDescent="0.25">
      <c r="A819" s="305"/>
      <c r="B819" s="308"/>
      <c r="C819" s="305"/>
      <c r="D819" s="306"/>
      <c r="E819" s="305"/>
      <c r="F819" s="305"/>
      <c r="G819" s="305"/>
      <c r="H819" s="305"/>
      <c r="I819" s="96" t="str">
        <f t="shared" si="12"/>
        <v/>
      </c>
    </row>
    <row r="820" spans="1:9" x14ac:dyDescent="0.25">
      <c r="A820" s="305"/>
      <c r="B820" s="308"/>
      <c r="C820" s="305"/>
      <c r="D820" s="306"/>
      <c r="E820" s="305"/>
      <c r="F820" s="305"/>
      <c r="G820" s="305"/>
      <c r="H820" s="305"/>
      <c r="I820" s="96" t="str">
        <f t="shared" si="12"/>
        <v/>
      </c>
    </row>
    <row r="821" spans="1:9" x14ac:dyDescent="0.25">
      <c r="A821" s="305"/>
      <c r="B821" s="308"/>
      <c r="C821" s="305"/>
      <c r="D821" s="306"/>
      <c r="E821" s="305"/>
      <c r="F821" s="305"/>
      <c r="G821" s="305"/>
      <c r="H821" s="305"/>
      <c r="I821" s="96" t="str">
        <f t="shared" si="12"/>
        <v/>
      </c>
    </row>
    <row r="822" spans="1:9" x14ac:dyDescent="0.25">
      <c r="A822" s="305"/>
      <c r="B822" s="308"/>
      <c r="C822" s="305"/>
      <c r="D822" s="306"/>
      <c r="E822" s="305"/>
      <c r="F822" s="305"/>
      <c r="G822" s="305"/>
      <c r="H822" s="305"/>
      <c r="I822" s="96" t="str">
        <f t="shared" si="12"/>
        <v/>
      </c>
    </row>
    <row r="823" spans="1:9" x14ac:dyDescent="0.25">
      <c r="A823" s="305"/>
      <c r="B823" s="308"/>
      <c r="C823" s="305"/>
      <c r="D823" s="306"/>
      <c r="E823" s="305"/>
      <c r="F823" s="305"/>
      <c r="G823" s="305"/>
      <c r="H823" s="305"/>
      <c r="I823" s="96" t="str">
        <f t="shared" si="12"/>
        <v/>
      </c>
    </row>
    <row r="824" spans="1:9" x14ac:dyDescent="0.25">
      <c r="A824" s="305"/>
      <c r="B824" s="308"/>
      <c r="C824" s="305"/>
      <c r="D824" s="306"/>
      <c r="E824" s="305"/>
      <c r="F824" s="305"/>
      <c r="G824" s="305"/>
      <c r="H824" s="305"/>
      <c r="I824" s="96" t="str">
        <f t="shared" si="12"/>
        <v/>
      </c>
    </row>
    <row r="825" spans="1:9" x14ac:dyDescent="0.25">
      <c r="A825" s="305"/>
      <c r="B825" s="308"/>
      <c r="C825" s="305"/>
      <c r="D825" s="306"/>
      <c r="E825" s="305"/>
      <c r="F825" s="305"/>
      <c r="G825" s="305"/>
      <c r="H825" s="305"/>
      <c r="I825" s="96" t="str">
        <f t="shared" si="12"/>
        <v/>
      </c>
    </row>
    <row r="826" spans="1:9" x14ac:dyDescent="0.25">
      <c r="A826" s="305"/>
      <c r="B826" s="308"/>
      <c r="C826" s="305"/>
      <c r="D826" s="306"/>
      <c r="E826" s="305"/>
      <c r="F826" s="305"/>
      <c r="G826" s="305"/>
      <c r="H826" s="305"/>
      <c r="I826" s="96" t="str">
        <f t="shared" si="12"/>
        <v/>
      </c>
    </row>
    <row r="827" spans="1:9" x14ac:dyDescent="0.25">
      <c r="A827" s="305"/>
      <c r="B827" s="308"/>
      <c r="C827" s="305"/>
      <c r="D827" s="306"/>
      <c r="E827" s="305"/>
      <c r="F827" s="305"/>
      <c r="G827" s="305"/>
      <c r="H827" s="305"/>
      <c r="I827" s="96" t="str">
        <f t="shared" si="12"/>
        <v/>
      </c>
    </row>
    <row r="828" spans="1:9" x14ac:dyDescent="0.25">
      <c r="A828" s="305"/>
      <c r="B828" s="308"/>
      <c r="C828" s="305"/>
      <c r="D828" s="306"/>
      <c r="E828" s="305"/>
      <c r="F828" s="305"/>
      <c r="G828" s="305"/>
      <c r="H828" s="305"/>
      <c r="I828" s="96" t="str">
        <f t="shared" si="12"/>
        <v/>
      </c>
    </row>
    <row r="829" spans="1:9" x14ac:dyDescent="0.25">
      <c r="A829" s="305"/>
      <c r="B829" s="308"/>
      <c r="C829" s="305"/>
      <c r="D829" s="306"/>
      <c r="E829" s="305"/>
      <c r="F829" s="305"/>
      <c r="G829" s="305"/>
      <c r="H829" s="305"/>
      <c r="I829" s="96" t="str">
        <f t="shared" si="12"/>
        <v/>
      </c>
    </row>
    <row r="830" spans="1:9" x14ac:dyDescent="0.25">
      <c r="A830" s="305"/>
      <c r="B830" s="308"/>
      <c r="C830" s="305"/>
      <c r="D830" s="306"/>
      <c r="E830" s="305"/>
      <c r="F830" s="305"/>
      <c r="G830" s="305"/>
      <c r="H830" s="305"/>
      <c r="I830" s="96" t="str">
        <f t="shared" si="12"/>
        <v/>
      </c>
    </row>
    <row r="831" spans="1:9" x14ac:dyDescent="0.25">
      <c r="A831" s="305"/>
      <c r="B831" s="308"/>
      <c r="C831" s="305"/>
      <c r="D831" s="306"/>
      <c r="E831" s="305"/>
      <c r="F831" s="305"/>
      <c r="G831" s="305"/>
      <c r="H831" s="305"/>
      <c r="I831" s="96" t="str">
        <f t="shared" si="12"/>
        <v/>
      </c>
    </row>
    <row r="832" spans="1:9" x14ac:dyDescent="0.25">
      <c r="A832" s="305"/>
      <c r="B832" s="308"/>
      <c r="C832" s="305"/>
      <c r="D832" s="306"/>
      <c r="E832" s="305"/>
      <c r="F832" s="305"/>
      <c r="G832" s="305"/>
      <c r="H832" s="305"/>
      <c r="I832" s="96" t="str">
        <f t="shared" si="12"/>
        <v/>
      </c>
    </row>
    <row r="833" spans="1:9" x14ac:dyDescent="0.25">
      <c r="A833" s="305"/>
      <c r="B833" s="308"/>
      <c r="C833" s="305"/>
      <c r="D833" s="306"/>
      <c r="E833" s="305"/>
      <c r="F833" s="305"/>
      <c r="G833" s="305"/>
      <c r="H833" s="305"/>
      <c r="I833" s="96" t="str">
        <f t="shared" si="12"/>
        <v/>
      </c>
    </row>
    <row r="834" spans="1:9" x14ac:dyDescent="0.25">
      <c r="A834" s="305"/>
      <c r="B834" s="308"/>
      <c r="C834" s="305"/>
      <c r="D834" s="306"/>
      <c r="E834" s="305"/>
      <c r="F834" s="305"/>
      <c r="G834" s="305"/>
      <c r="H834" s="305"/>
      <c r="I834" s="96" t="str">
        <f t="shared" si="12"/>
        <v/>
      </c>
    </row>
    <row r="835" spans="1:9" x14ac:dyDescent="0.25">
      <c r="A835" s="305"/>
      <c r="B835" s="308"/>
      <c r="C835" s="305"/>
      <c r="D835" s="306"/>
      <c r="E835" s="305"/>
      <c r="F835" s="305"/>
      <c r="G835" s="305"/>
      <c r="H835" s="305"/>
      <c r="I835" s="96" t="str">
        <f t="shared" si="12"/>
        <v/>
      </c>
    </row>
    <row r="836" spans="1:9" x14ac:dyDescent="0.25">
      <c r="A836" s="305"/>
      <c r="B836" s="308"/>
      <c r="C836" s="305"/>
      <c r="D836" s="306"/>
      <c r="E836" s="305"/>
      <c r="F836" s="305"/>
      <c r="G836" s="305"/>
      <c r="H836" s="305"/>
      <c r="I836" s="96" t="str">
        <f t="shared" si="12"/>
        <v/>
      </c>
    </row>
    <row r="837" spans="1:9" x14ac:dyDescent="0.25">
      <c r="A837" s="305"/>
      <c r="B837" s="308"/>
      <c r="C837" s="305"/>
      <c r="D837" s="306"/>
      <c r="E837" s="305"/>
      <c r="F837" s="305"/>
      <c r="G837" s="305"/>
      <c r="H837" s="305"/>
      <c r="I837" s="96" t="str">
        <f t="shared" si="12"/>
        <v/>
      </c>
    </row>
    <row r="838" spans="1:9" x14ac:dyDescent="0.25">
      <c r="A838" s="305"/>
      <c r="B838" s="308"/>
      <c r="C838" s="305"/>
      <c r="D838" s="306"/>
      <c r="E838" s="305"/>
      <c r="F838" s="305"/>
      <c r="G838" s="305"/>
      <c r="H838" s="305"/>
      <c r="I838" s="96" t="str">
        <f t="shared" si="12"/>
        <v/>
      </c>
    </row>
    <row r="839" spans="1:9" x14ac:dyDescent="0.25">
      <c r="A839" s="305"/>
      <c r="B839" s="308"/>
      <c r="C839" s="305"/>
      <c r="D839" s="306"/>
      <c r="E839" s="305"/>
      <c r="F839" s="305"/>
      <c r="G839" s="305"/>
      <c r="H839" s="305"/>
      <c r="I839" s="96" t="str">
        <f t="shared" si="12"/>
        <v/>
      </c>
    </row>
    <row r="840" spans="1:9" x14ac:dyDescent="0.25">
      <c r="A840" s="305"/>
      <c r="B840" s="308"/>
      <c r="C840" s="305"/>
      <c r="D840" s="306"/>
      <c r="E840" s="305"/>
      <c r="F840" s="305"/>
      <c r="G840" s="305"/>
      <c r="H840" s="305"/>
      <c r="I840" s="96" t="str">
        <f t="shared" si="12"/>
        <v/>
      </c>
    </row>
    <row r="841" spans="1:9" x14ac:dyDescent="0.25">
      <c r="A841" s="305"/>
      <c r="B841" s="308"/>
      <c r="C841" s="305"/>
      <c r="D841" s="306"/>
      <c r="E841" s="305"/>
      <c r="F841" s="305"/>
      <c r="G841" s="305"/>
      <c r="H841" s="305"/>
      <c r="I841" s="96" t="str">
        <f t="shared" si="12"/>
        <v/>
      </c>
    </row>
    <row r="842" spans="1:9" x14ac:dyDescent="0.25">
      <c r="A842" s="305"/>
      <c r="B842" s="308"/>
      <c r="C842" s="305"/>
      <c r="D842" s="306"/>
      <c r="E842" s="305"/>
      <c r="F842" s="305"/>
      <c r="G842" s="305"/>
      <c r="H842" s="305"/>
      <c r="I842" s="96" t="str">
        <f t="shared" si="12"/>
        <v/>
      </c>
    </row>
    <row r="843" spans="1:9" x14ac:dyDescent="0.25">
      <c r="A843" s="305"/>
      <c r="B843" s="308"/>
      <c r="C843" s="305"/>
      <c r="D843" s="306"/>
      <c r="E843" s="305"/>
      <c r="F843" s="305"/>
      <c r="G843" s="305"/>
      <c r="H843" s="305"/>
      <c r="I843" s="96" t="str">
        <f t="shared" si="12"/>
        <v/>
      </c>
    </row>
    <row r="844" spans="1:9" x14ac:dyDescent="0.25">
      <c r="A844" s="305"/>
      <c r="B844" s="308"/>
      <c r="C844" s="305"/>
      <c r="D844" s="306"/>
      <c r="E844" s="305"/>
      <c r="F844" s="305"/>
      <c r="G844" s="305"/>
      <c r="H844" s="305"/>
      <c r="I844" s="96" t="str">
        <f t="shared" si="12"/>
        <v/>
      </c>
    </row>
    <row r="845" spans="1:9" x14ac:dyDescent="0.25">
      <c r="A845" s="305"/>
      <c r="B845" s="308"/>
      <c r="C845" s="305"/>
      <c r="D845" s="306"/>
      <c r="E845" s="305"/>
      <c r="F845" s="305"/>
      <c r="G845" s="305"/>
      <c r="H845" s="305"/>
      <c r="I845" s="96" t="str">
        <f t="shared" si="12"/>
        <v/>
      </c>
    </row>
    <row r="846" spans="1:9" x14ac:dyDescent="0.25">
      <c r="A846" s="305"/>
      <c r="B846" s="308"/>
      <c r="C846" s="305"/>
      <c r="D846" s="306"/>
      <c r="E846" s="305"/>
      <c r="F846" s="305"/>
      <c r="G846" s="305"/>
      <c r="H846" s="305"/>
      <c r="I846" s="96" t="str">
        <f t="shared" si="12"/>
        <v/>
      </c>
    </row>
    <row r="847" spans="1:9" x14ac:dyDescent="0.25">
      <c r="A847" s="305"/>
      <c r="B847" s="308"/>
      <c r="C847" s="305"/>
      <c r="D847" s="306"/>
      <c r="E847" s="305"/>
      <c r="F847" s="305"/>
      <c r="G847" s="305"/>
      <c r="H847" s="305"/>
      <c r="I847" s="96" t="str">
        <f t="shared" si="12"/>
        <v/>
      </c>
    </row>
    <row r="848" spans="1:9" x14ac:dyDescent="0.25">
      <c r="A848" s="305"/>
      <c r="B848" s="308"/>
      <c r="C848" s="305"/>
      <c r="D848" s="306"/>
      <c r="E848" s="305"/>
      <c r="F848" s="305"/>
      <c r="G848" s="305"/>
      <c r="H848" s="305"/>
      <c r="I848" s="96" t="str">
        <f t="shared" si="12"/>
        <v/>
      </c>
    </row>
    <row r="849" spans="1:9" x14ac:dyDescent="0.25">
      <c r="A849" s="305"/>
      <c r="B849" s="308"/>
      <c r="C849" s="305"/>
      <c r="D849" s="306"/>
      <c r="E849" s="305"/>
      <c r="F849" s="305"/>
      <c r="G849" s="305"/>
      <c r="H849" s="305"/>
      <c r="I849" s="96" t="str">
        <f t="shared" ref="I849:I910" si="13">LEFT(B849,100)</f>
        <v/>
      </c>
    </row>
    <row r="850" spans="1:9" x14ac:dyDescent="0.25">
      <c r="A850" s="305"/>
      <c r="B850" s="308"/>
      <c r="C850" s="305"/>
      <c r="D850" s="306"/>
      <c r="E850" s="305"/>
      <c r="F850" s="305"/>
      <c r="G850" s="305"/>
      <c r="H850" s="305"/>
      <c r="I850" s="96" t="str">
        <f t="shared" si="13"/>
        <v/>
      </c>
    </row>
    <row r="851" spans="1:9" x14ac:dyDescent="0.25">
      <c r="A851" s="305"/>
      <c r="B851" s="308"/>
      <c r="C851" s="305"/>
      <c r="D851" s="306"/>
      <c r="E851" s="305"/>
      <c r="F851" s="305"/>
      <c r="G851" s="305"/>
      <c r="H851" s="305"/>
      <c r="I851" s="96" t="str">
        <f t="shared" si="13"/>
        <v/>
      </c>
    </row>
    <row r="852" spans="1:9" x14ac:dyDescent="0.25">
      <c r="A852" s="305"/>
      <c r="B852" s="308"/>
      <c r="C852" s="305"/>
      <c r="D852" s="306"/>
      <c r="E852" s="305"/>
      <c r="F852" s="305"/>
      <c r="G852" s="305"/>
      <c r="H852" s="305"/>
      <c r="I852" s="96" t="str">
        <f t="shared" si="13"/>
        <v/>
      </c>
    </row>
    <row r="853" spans="1:9" x14ac:dyDescent="0.25">
      <c r="A853" s="305"/>
      <c r="B853" s="308"/>
      <c r="C853" s="305"/>
      <c r="D853" s="306"/>
      <c r="E853" s="305"/>
      <c r="F853" s="305"/>
      <c r="G853" s="305"/>
      <c r="H853" s="305"/>
      <c r="I853" s="96" t="str">
        <f t="shared" si="13"/>
        <v/>
      </c>
    </row>
    <row r="854" spans="1:9" x14ac:dyDescent="0.25">
      <c r="A854" s="305"/>
      <c r="B854" s="308"/>
      <c r="C854" s="305"/>
      <c r="D854" s="306"/>
      <c r="E854" s="305"/>
      <c r="F854" s="305"/>
      <c r="G854" s="305"/>
      <c r="H854" s="305"/>
      <c r="I854" s="96" t="str">
        <f t="shared" si="13"/>
        <v/>
      </c>
    </row>
    <row r="855" spans="1:9" x14ac:dyDescent="0.25">
      <c r="A855" s="305"/>
      <c r="B855" s="308"/>
      <c r="C855" s="305"/>
      <c r="D855" s="306"/>
      <c r="E855" s="305"/>
      <c r="F855" s="305"/>
      <c r="G855" s="305"/>
      <c r="H855" s="305"/>
      <c r="I855" s="96" t="str">
        <f t="shared" si="13"/>
        <v/>
      </c>
    </row>
    <row r="856" spans="1:9" x14ac:dyDescent="0.25">
      <c r="A856" s="305"/>
      <c r="B856" s="308"/>
      <c r="C856" s="305"/>
      <c r="D856" s="306"/>
      <c r="E856" s="305"/>
      <c r="F856" s="305"/>
      <c r="G856" s="305"/>
      <c r="H856" s="305"/>
      <c r="I856" s="96" t="str">
        <f t="shared" si="13"/>
        <v/>
      </c>
    </row>
    <row r="857" spans="1:9" x14ac:dyDescent="0.25">
      <c r="A857" s="305"/>
      <c r="B857" s="308"/>
      <c r="C857" s="305"/>
      <c r="D857" s="306"/>
      <c r="E857" s="305"/>
      <c r="F857" s="305"/>
      <c r="G857" s="305"/>
      <c r="H857" s="305"/>
      <c r="I857" s="96" t="str">
        <f t="shared" si="13"/>
        <v/>
      </c>
    </row>
    <row r="858" spans="1:9" x14ac:dyDescent="0.25">
      <c r="A858" s="305"/>
      <c r="B858" s="308"/>
      <c r="C858" s="305"/>
      <c r="D858" s="306"/>
      <c r="E858" s="305"/>
      <c r="F858" s="305"/>
      <c r="G858" s="305"/>
      <c r="H858" s="305"/>
      <c r="I858" s="96" t="str">
        <f t="shared" si="13"/>
        <v/>
      </c>
    </row>
    <row r="859" spans="1:9" x14ac:dyDescent="0.25">
      <c r="A859" s="305"/>
      <c r="B859" s="308"/>
      <c r="C859" s="305"/>
      <c r="D859" s="306"/>
      <c r="E859" s="305"/>
      <c r="F859" s="305"/>
      <c r="G859" s="305"/>
      <c r="H859" s="305"/>
      <c r="I859" s="96" t="str">
        <f t="shared" si="13"/>
        <v/>
      </c>
    </row>
    <row r="860" spans="1:9" x14ac:dyDescent="0.25">
      <c r="A860" s="305"/>
      <c r="B860" s="308"/>
      <c r="C860" s="305"/>
      <c r="D860" s="306"/>
      <c r="E860" s="305"/>
      <c r="F860" s="305"/>
      <c r="G860" s="305"/>
      <c r="H860" s="305"/>
      <c r="I860" s="96" t="str">
        <f t="shared" si="13"/>
        <v/>
      </c>
    </row>
    <row r="861" spans="1:9" x14ac:dyDescent="0.25">
      <c r="A861" s="305"/>
      <c r="B861" s="308"/>
      <c r="C861" s="305"/>
      <c r="D861" s="306"/>
      <c r="E861" s="305"/>
      <c r="F861" s="305"/>
      <c r="G861" s="305"/>
      <c r="H861" s="305"/>
      <c r="I861" s="96" t="str">
        <f t="shared" si="13"/>
        <v/>
      </c>
    </row>
    <row r="862" spans="1:9" x14ac:dyDescent="0.25">
      <c r="A862" s="305"/>
      <c r="B862" s="308"/>
      <c r="C862" s="305"/>
      <c r="D862" s="306"/>
      <c r="E862" s="305"/>
      <c r="F862" s="305"/>
      <c r="G862" s="305"/>
      <c r="H862" s="305"/>
      <c r="I862" s="96" t="str">
        <f t="shared" si="13"/>
        <v/>
      </c>
    </row>
    <row r="863" spans="1:9" x14ac:dyDescent="0.25">
      <c r="A863" s="305"/>
      <c r="B863" s="308"/>
      <c r="C863" s="305"/>
      <c r="D863" s="306"/>
      <c r="E863" s="305"/>
      <c r="F863" s="305"/>
      <c r="G863" s="305"/>
      <c r="H863" s="305"/>
      <c r="I863" s="96" t="str">
        <f t="shared" si="13"/>
        <v/>
      </c>
    </row>
    <row r="864" spans="1:9" x14ac:dyDescent="0.25">
      <c r="A864" s="305"/>
      <c r="B864" s="308"/>
      <c r="C864" s="305"/>
      <c r="D864" s="306"/>
      <c r="E864" s="305"/>
      <c r="F864" s="305"/>
      <c r="G864" s="305"/>
      <c r="H864" s="305"/>
      <c r="I864" s="96" t="str">
        <f t="shared" si="13"/>
        <v/>
      </c>
    </row>
    <row r="865" spans="1:9" x14ac:dyDescent="0.25">
      <c r="A865" s="305"/>
      <c r="B865" s="308"/>
      <c r="C865" s="305"/>
      <c r="D865" s="306"/>
      <c r="E865" s="305"/>
      <c r="F865" s="305"/>
      <c r="G865" s="305"/>
      <c r="H865" s="305"/>
      <c r="I865" s="96" t="str">
        <f t="shared" si="13"/>
        <v/>
      </c>
    </row>
    <row r="866" spans="1:9" x14ac:dyDescent="0.25">
      <c r="A866" s="305"/>
      <c r="B866" s="308"/>
      <c r="C866" s="305"/>
      <c r="D866" s="306"/>
      <c r="E866" s="305"/>
      <c r="F866" s="305"/>
      <c r="G866" s="305"/>
      <c r="H866" s="305"/>
      <c r="I866" s="96" t="str">
        <f t="shared" si="13"/>
        <v/>
      </c>
    </row>
    <row r="867" spans="1:9" x14ac:dyDescent="0.25">
      <c r="A867" s="305"/>
      <c r="B867" s="308"/>
      <c r="C867" s="305"/>
      <c r="D867" s="306"/>
      <c r="E867" s="305"/>
      <c r="F867" s="305"/>
      <c r="G867" s="305"/>
      <c r="H867" s="305"/>
      <c r="I867" s="96" t="str">
        <f t="shared" si="13"/>
        <v/>
      </c>
    </row>
    <row r="868" spans="1:9" x14ac:dyDescent="0.25">
      <c r="A868" s="305"/>
      <c r="B868" s="308"/>
      <c r="C868" s="305"/>
      <c r="D868" s="306"/>
      <c r="E868" s="305"/>
      <c r="F868" s="305"/>
      <c r="G868" s="305"/>
      <c r="H868" s="305"/>
      <c r="I868" s="96" t="str">
        <f t="shared" si="13"/>
        <v/>
      </c>
    </row>
    <row r="869" spans="1:9" x14ac:dyDescent="0.25">
      <c r="A869" s="305"/>
      <c r="B869" s="308"/>
      <c r="C869" s="305"/>
      <c r="D869" s="306"/>
      <c r="E869" s="305"/>
      <c r="F869" s="305"/>
      <c r="G869" s="305"/>
      <c r="H869" s="305"/>
      <c r="I869" s="96" t="str">
        <f t="shared" si="13"/>
        <v/>
      </c>
    </row>
    <row r="870" spans="1:9" x14ac:dyDescent="0.25">
      <c r="A870" s="305"/>
      <c r="B870" s="308"/>
      <c r="C870" s="305"/>
      <c r="D870" s="306"/>
      <c r="E870" s="305"/>
      <c r="F870" s="305"/>
      <c r="G870" s="305"/>
      <c r="H870" s="305"/>
      <c r="I870" s="96" t="str">
        <f t="shared" si="13"/>
        <v/>
      </c>
    </row>
    <row r="871" spans="1:9" x14ac:dyDescent="0.25">
      <c r="A871" s="305"/>
      <c r="B871" s="308"/>
      <c r="C871" s="305"/>
      <c r="D871" s="306"/>
      <c r="E871" s="305"/>
      <c r="F871" s="305"/>
      <c r="G871" s="305"/>
      <c r="H871" s="305"/>
      <c r="I871" s="96" t="str">
        <f t="shared" si="13"/>
        <v/>
      </c>
    </row>
    <row r="872" spans="1:9" x14ac:dyDescent="0.25">
      <c r="A872" s="305"/>
      <c r="B872" s="308"/>
      <c r="C872" s="305"/>
      <c r="D872" s="306"/>
      <c r="E872" s="305"/>
      <c r="F872" s="305"/>
      <c r="G872" s="305"/>
      <c r="H872" s="305"/>
      <c r="I872" s="96" t="str">
        <f t="shared" si="13"/>
        <v/>
      </c>
    </row>
    <row r="873" spans="1:9" x14ac:dyDescent="0.25">
      <c r="A873" s="305"/>
      <c r="B873" s="308"/>
      <c r="C873" s="305"/>
      <c r="D873" s="306"/>
      <c r="E873" s="305"/>
      <c r="F873" s="305"/>
      <c r="G873" s="305"/>
      <c r="H873" s="305"/>
      <c r="I873" s="96" t="str">
        <f t="shared" si="13"/>
        <v/>
      </c>
    </row>
    <row r="874" spans="1:9" x14ac:dyDescent="0.25">
      <c r="A874" s="305"/>
      <c r="B874" s="308"/>
      <c r="C874" s="305"/>
      <c r="D874" s="306"/>
      <c r="E874" s="305"/>
      <c r="F874" s="305"/>
      <c r="G874" s="305"/>
      <c r="H874" s="305"/>
      <c r="I874" s="96" t="str">
        <f t="shared" si="13"/>
        <v/>
      </c>
    </row>
    <row r="875" spans="1:9" x14ac:dyDescent="0.25">
      <c r="A875" s="305"/>
      <c r="B875" s="308"/>
      <c r="C875" s="305"/>
      <c r="D875" s="306"/>
      <c r="E875" s="305"/>
      <c r="F875" s="305"/>
      <c r="G875" s="305"/>
      <c r="H875" s="305"/>
      <c r="I875" s="96" t="str">
        <f t="shared" si="13"/>
        <v/>
      </c>
    </row>
    <row r="876" spans="1:9" x14ac:dyDescent="0.25">
      <c r="A876" s="305"/>
      <c r="B876" s="308"/>
      <c r="C876" s="305"/>
      <c r="D876" s="306"/>
      <c r="E876" s="305"/>
      <c r="F876" s="305"/>
      <c r="G876" s="305"/>
      <c r="H876" s="305"/>
      <c r="I876" s="96" t="str">
        <f t="shared" si="13"/>
        <v/>
      </c>
    </row>
    <row r="877" spans="1:9" x14ac:dyDescent="0.25">
      <c r="A877" s="305"/>
      <c r="B877" s="308"/>
      <c r="C877" s="305"/>
      <c r="D877" s="306"/>
      <c r="E877" s="305"/>
      <c r="F877" s="305"/>
      <c r="G877" s="305"/>
      <c r="H877" s="305"/>
      <c r="I877" s="96" t="str">
        <f t="shared" si="13"/>
        <v/>
      </c>
    </row>
    <row r="878" spans="1:9" x14ac:dyDescent="0.25">
      <c r="A878" s="305"/>
      <c r="B878" s="308"/>
      <c r="C878" s="305"/>
      <c r="D878" s="306"/>
      <c r="E878" s="305"/>
      <c r="F878" s="305"/>
      <c r="G878" s="305"/>
      <c r="H878" s="305"/>
      <c r="I878" s="96" t="str">
        <f t="shared" si="13"/>
        <v/>
      </c>
    </row>
    <row r="879" spans="1:9" x14ac:dyDescent="0.25">
      <c r="A879" s="305"/>
      <c r="B879" s="308"/>
      <c r="C879" s="305"/>
      <c r="D879" s="306"/>
      <c r="E879" s="305"/>
      <c r="F879" s="305"/>
      <c r="G879" s="305"/>
      <c r="H879" s="305"/>
      <c r="I879" s="96" t="str">
        <f t="shared" si="13"/>
        <v/>
      </c>
    </row>
    <row r="880" spans="1:9" x14ac:dyDescent="0.25">
      <c r="A880" s="305"/>
      <c r="B880" s="308"/>
      <c r="C880" s="305"/>
      <c r="D880" s="306"/>
      <c r="E880" s="305"/>
      <c r="F880" s="305"/>
      <c r="G880" s="305"/>
      <c r="H880" s="305"/>
      <c r="I880" s="96" t="str">
        <f t="shared" si="13"/>
        <v/>
      </c>
    </row>
    <row r="881" spans="1:9" x14ac:dyDescent="0.25">
      <c r="A881" s="305"/>
      <c r="B881" s="308"/>
      <c r="C881" s="305"/>
      <c r="D881" s="306"/>
      <c r="E881" s="305"/>
      <c r="F881" s="305"/>
      <c r="G881" s="305"/>
      <c r="H881" s="305"/>
      <c r="I881" s="96" t="str">
        <f t="shared" si="13"/>
        <v/>
      </c>
    </row>
    <row r="882" spans="1:9" x14ac:dyDescent="0.25">
      <c r="A882" s="305"/>
      <c r="B882" s="308"/>
      <c r="C882" s="305"/>
      <c r="D882" s="306"/>
      <c r="E882" s="305"/>
      <c r="F882" s="305"/>
      <c r="G882" s="305"/>
      <c r="H882" s="305"/>
      <c r="I882" s="96" t="str">
        <f t="shared" si="13"/>
        <v/>
      </c>
    </row>
    <row r="883" spans="1:9" x14ac:dyDescent="0.25">
      <c r="A883" s="305"/>
      <c r="B883" s="308"/>
      <c r="C883" s="305"/>
      <c r="D883" s="306"/>
      <c r="E883" s="305"/>
      <c r="F883" s="305"/>
      <c r="G883" s="305"/>
      <c r="H883" s="305"/>
      <c r="I883" s="96" t="str">
        <f t="shared" si="13"/>
        <v/>
      </c>
    </row>
    <row r="884" spans="1:9" x14ac:dyDescent="0.25">
      <c r="A884" s="305"/>
      <c r="B884" s="308"/>
      <c r="C884" s="305"/>
      <c r="D884" s="306"/>
      <c r="E884" s="305"/>
      <c r="F884" s="305"/>
      <c r="G884" s="305"/>
      <c r="H884" s="305"/>
      <c r="I884" s="96" t="str">
        <f t="shared" si="13"/>
        <v/>
      </c>
    </row>
    <row r="885" spans="1:9" x14ac:dyDescent="0.25">
      <c r="A885" s="305"/>
      <c r="B885" s="308"/>
      <c r="C885" s="305"/>
      <c r="D885" s="306"/>
      <c r="E885" s="305"/>
      <c r="F885" s="305"/>
      <c r="G885" s="305"/>
      <c r="H885" s="305"/>
      <c r="I885" s="96" t="str">
        <f t="shared" si="13"/>
        <v/>
      </c>
    </row>
    <row r="886" spans="1:9" x14ac:dyDescent="0.25">
      <c r="A886" s="305"/>
      <c r="B886" s="308"/>
      <c r="C886" s="305"/>
      <c r="D886" s="306"/>
      <c r="E886" s="305"/>
      <c r="F886" s="305"/>
      <c r="G886" s="305"/>
      <c r="H886" s="305"/>
      <c r="I886" s="96" t="str">
        <f t="shared" si="13"/>
        <v/>
      </c>
    </row>
    <row r="887" spans="1:9" x14ac:dyDescent="0.25">
      <c r="A887" s="305"/>
      <c r="B887" s="308"/>
      <c r="C887" s="305"/>
      <c r="D887" s="306"/>
      <c r="E887" s="305"/>
      <c r="F887" s="305"/>
      <c r="G887" s="305"/>
      <c r="H887" s="305"/>
      <c r="I887" s="96" t="str">
        <f t="shared" si="13"/>
        <v/>
      </c>
    </row>
    <row r="888" spans="1:9" x14ac:dyDescent="0.25">
      <c r="A888" s="305"/>
      <c r="B888" s="308"/>
      <c r="C888" s="305"/>
      <c r="D888" s="306"/>
      <c r="E888" s="305"/>
      <c r="F888" s="305"/>
      <c r="G888" s="305"/>
      <c r="H888" s="305"/>
      <c r="I888" s="96" t="str">
        <f t="shared" si="13"/>
        <v/>
      </c>
    </row>
    <row r="889" spans="1:9" x14ac:dyDescent="0.25">
      <c r="A889" s="305"/>
      <c r="B889" s="308"/>
      <c r="C889" s="305"/>
      <c r="D889" s="306"/>
      <c r="E889" s="305"/>
      <c r="F889" s="305"/>
      <c r="G889" s="305"/>
      <c r="H889" s="305"/>
      <c r="I889" s="96" t="str">
        <f t="shared" si="13"/>
        <v/>
      </c>
    </row>
    <row r="890" spans="1:9" x14ac:dyDescent="0.25">
      <c r="A890" s="305"/>
      <c r="B890" s="308"/>
      <c r="C890" s="305"/>
      <c r="D890" s="306"/>
      <c r="E890" s="305"/>
      <c r="F890" s="305"/>
      <c r="G890" s="305"/>
      <c r="H890" s="305"/>
      <c r="I890" s="96" t="str">
        <f t="shared" si="13"/>
        <v/>
      </c>
    </row>
    <row r="891" spans="1:9" x14ac:dyDescent="0.25">
      <c r="A891" s="305"/>
      <c r="B891" s="308"/>
      <c r="C891" s="305"/>
      <c r="D891" s="306"/>
      <c r="E891" s="305"/>
      <c r="F891" s="305"/>
      <c r="G891" s="305"/>
      <c r="H891" s="305"/>
      <c r="I891" s="96" t="str">
        <f t="shared" si="13"/>
        <v/>
      </c>
    </row>
    <row r="892" spans="1:9" x14ac:dyDescent="0.25">
      <c r="A892" s="305"/>
      <c r="B892" s="308"/>
      <c r="C892" s="305"/>
      <c r="D892" s="306"/>
      <c r="E892" s="305"/>
      <c r="F892" s="305"/>
      <c r="G892" s="305"/>
      <c r="H892" s="305"/>
      <c r="I892" s="96" t="str">
        <f t="shared" si="13"/>
        <v/>
      </c>
    </row>
    <row r="893" spans="1:9" x14ac:dyDescent="0.25">
      <c r="A893" s="305"/>
      <c r="B893" s="308"/>
      <c r="C893" s="305"/>
      <c r="D893" s="306"/>
      <c r="E893" s="305"/>
      <c r="F893" s="305"/>
      <c r="G893" s="305"/>
      <c r="H893" s="305"/>
      <c r="I893" s="96" t="str">
        <f t="shared" si="13"/>
        <v/>
      </c>
    </row>
    <row r="894" spans="1:9" x14ac:dyDescent="0.25">
      <c r="A894" s="305"/>
      <c r="B894" s="308"/>
      <c r="C894" s="305"/>
      <c r="D894" s="306"/>
      <c r="E894" s="305"/>
      <c r="F894" s="305"/>
      <c r="G894" s="305"/>
      <c r="H894" s="305"/>
      <c r="I894" s="96" t="str">
        <f t="shared" si="13"/>
        <v/>
      </c>
    </row>
    <row r="895" spans="1:9" x14ac:dyDescent="0.25">
      <c r="A895" s="305"/>
      <c r="B895" s="308"/>
      <c r="C895" s="305"/>
      <c r="D895" s="306"/>
      <c r="E895" s="305"/>
      <c r="F895" s="305"/>
      <c r="G895" s="305"/>
      <c r="H895" s="305"/>
      <c r="I895" s="96" t="str">
        <f t="shared" si="13"/>
        <v/>
      </c>
    </row>
    <row r="896" spans="1:9" x14ac:dyDescent="0.25">
      <c r="A896" s="305"/>
      <c r="B896" s="308"/>
      <c r="C896" s="305"/>
      <c r="D896" s="306"/>
      <c r="E896" s="305"/>
      <c r="F896" s="305"/>
      <c r="G896" s="305"/>
      <c r="H896" s="305"/>
      <c r="I896" s="96" t="str">
        <f t="shared" si="13"/>
        <v/>
      </c>
    </row>
    <row r="897" spans="1:9" x14ac:dyDescent="0.25">
      <c r="A897" s="305"/>
      <c r="B897" s="308"/>
      <c r="C897" s="305"/>
      <c r="D897" s="306"/>
      <c r="E897" s="305"/>
      <c r="F897" s="305"/>
      <c r="G897" s="305"/>
      <c r="H897" s="305"/>
      <c r="I897" s="96" t="str">
        <f t="shared" si="13"/>
        <v/>
      </c>
    </row>
    <row r="898" spans="1:9" x14ac:dyDescent="0.25">
      <c r="A898" s="305"/>
      <c r="B898" s="308"/>
      <c r="C898" s="305"/>
      <c r="D898" s="306"/>
      <c r="E898" s="305"/>
      <c r="F898" s="305"/>
      <c r="G898" s="305"/>
      <c r="H898" s="305"/>
      <c r="I898" s="96" t="str">
        <f t="shared" si="13"/>
        <v/>
      </c>
    </row>
    <row r="899" spans="1:9" x14ac:dyDescent="0.25">
      <c r="A899" s="305"/>
      <c r="B899" s="308"/>
      <c r="C899" s="305"/>
      <c r="D899" s="306"/>
      <c r="E899" s="305"/>
      <c r="F899" s="305"/>
      <c r="G899" s="305"/>
      <c r="H899" s="305"/>
      <c r="I899" s="96" t="str">
        <f t="shared" si="13"/>
        <v/>
      </c>
    </row>
    <row r="900" spans="1:9" x14ac:dyDescent="0.25">
      <c r="A900" s="305"/>
      <c r="B900" s="308"/>
      <c r="C900" s="305"/>
      <c r="D900" s="306"/>
      <c r="E900" s="305"/>
      <c r="F900" s="305"/>
      <c r="G900" s="305"/>
      <c r="H900" s="305"/>
      <c r="I900" s="96" t="str">
        <f t="shared" si="13"/>
        <v/>
      </c>
    </row>
    <row r="901" spans="1:9" x14ac:dyDescent="0.25">
      <c r="A901" s="305"/>
      <c r="B901" s="308"/>
      <c r="C901" s="305"/>
      <c r="D901" s="306"/>
      <c r="E901" s="305"/>
      <c r="F901" s="305"/>
      <c r="G901" s="305"/>
      <c r="H901" s="305"/>
      <c r="I901" s="96" t="str">
        <f t="shared" si="13"/>
        <v/>
      </c>
    </row>
    <row r="902" spans="1:9" x14ac:dyDescent="0.25">
      <c r="A902" s="305"/>
      <c r="B902" s="308"/>
      <c r="C902" s="305"/>
      <c r="D902" s="306"/>
      <c r="E902" s="305"/>
      <c r="F902" s="305"/>
      <c r="G902" s="305"/>
      <c r="H902" s="305"/>
      <c r="I902" s="96" t="str">
        <f t="shared" si="13"/>
        <v/>
      </c>
    </row>
    <row r="903" spans="1:9" x14ac:dyDescent="0.25">
      <c r="A903" s="305"/>
      <c r="B903" s="308"/>
      <c r="C903" s="305"/>
      <c r="D903" s="306"/>
      <c r="E903" s="305"/>
      <c r="F903" s="305"/>
      <c r="G903" s="305"/>
      <c r="H903" s="305"/>
      <c r="I903" s="96" t="str">
        <f t="shared" si="13"/>
        <v/>
      </c>
    </row>
    <row r="904" spans="1:9" x14ac:dyDescent="0.25">
      <c r="A904" s="305"/>
      <c r="B904" s="308"/>
      <c r="C904" s="305"/>
      <c r="D904" s="306"/>
      <c r="E904" s="305"/>
      <c r="F904" s="305"/>
      <c r="G904" s="305"/>
      <c r="H904" s="305"/>
      <c r="I904" s="96" t="str">
        <f t="shared" si="13"/>
        <v/>
      </c>
    </row>
    <row r="905" spans="1:9" x14ac:dyDescent="0.25">
      <c r="A905" s="305"/>
      <c r="B905" s="308"/>
      <c r="C905" s="305"/>
      <c r="D905" s="306"/>
      <c r="E905" s="305"/>
      <c r="F905" s="305"/>
      <c r="G905" s="305"/>
      <c r="H905" s="305"/>
      <c r="I905" s="96" t="str">
        <f t="shared" si="13"/>
        <v/>
      </c>
    </row>
    <row r="906" spans="1:9" x14ac:dyDescent="0.25">
      <c r="A906" s="305"/>
      <c r="B906" s="308"/>
      <c r="C906" s="305"/>
      <c r="D906" s="306"/>
      <c r="E906" s="305"/>
      <c r="F906" s="305"/>
      <c r="G906" s="305"/>
      <c r="H906" s="305"/>
      <c r="I906" s="96" t="str">
        <f t="shared" si="13"/>
        <v/>
      </c>
    </row>
    <row r="907" spans="1:9" x14ac:dyDescent="0.25">
      <c r="A907" s="305"/>
      <c r="B907" s="308"/>
      <c r="C907" s="305"/>
      <c r="D907" s="306"/>
      <c r="E907" s="305"/>
      <c r="F907" s="305"/>
      <c r="G907" s="305"/>
      <c r="H907" s="305"/>
      <c r="I907" s="96" t="str">
        <f t="shared" si="13"/>
        <v/>
      </c>
    </row>
    <row r="908" spans="1:9" x14ac:dyDescent="0.25">
      <c r="A908" s="305"/>
      <c r="B908" s="308"/>
      <c r="C908" s="305"/>
      <c r="D908" s="306"/>
      <c r="E908" s="305"/>
      <c r="F908" s="305"/>
      <c r="G908" s="305"/>
      <c r="H908" s="305"/>
      <c r="I908" s="96" t="str">
        <f t="shared" si="13"/>
        <v/>
      </c>
    </row>
    <row r="909" spans="1:9" x14ac:dyDescent="0.25">
      <c r="A909" s="305"/>
      <c r="B909" s="308"/>
      <c r="C909" s="305"/>
      <c r="D909" s="306"/>
      <c r="E909" s="305"/>
      <c r="F909" s="305"/>
      <c r="G909" s="305"/>
      <c r="H909" s="305"/>
      <c r="I909" s="96" t="str">
        <f t="shared" si="13"/>
        <v/>
      </c>
    </row>
    <row r="910" spans="1:9" x14ac:dyDescent="0.25">
      <c r="A910" s="305"/>
      <c r="B910" s="308"/>
      <c r="C910" s="305"/>
      <c r="D910" s="306"/>
      <c r="E910" s="305"/>
      <c r="F910" s="305"/>
      <c r="G910" s="305"/>
      <c r="H910" s="305"/>
      <c r="I910" s="96" t="str">
        <f t="shared" si="13"/>
        <v/>
      </c>
    </row>
  </sheetData>
  <autoFilter ref="A2:H910" xr:uid="{00000000-0009-0000-0000-00000E000000}"/>
  <conditionalFormatting sqref="J3:J51">
    <cfRule type="cellIs" dxfId="11" priority="1" operator="greaterThan">
      <formula>50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1000000}">
          <x14:formula1>
            <xm:f>'\\data\ged$\16_EAU_WATER\01_PLAN\PGE 2022-2027\03 Rédaction\Chapitre 6 - Programme de mesures_NE PLUS MODIFIER\Analyse Coût Efficacité\[ACE_PGE3.xlsx]Val'!#REF!</xm:f>
          </x14:formula1>
          <xm:sqref>E3:H95 D3:D65</xm:sqref>
        </x14:dataValidation>
        <x14:dataValidation type="list" allowBlank="1" showInputMessage="1" showErrorMessage="1" xr:uid="{00000000-0002-0000-0E00-000000000000}">
          <x14:formula1>
            <xm:f>'9.DSimply_parties_prenantes'!$C$17:$C$92</xm:f>
          </x14:formula1>
          <xm:sqref>E721:H848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8" filterMode="1">
    <outlinePr summaryRight="0"/>
  </sheetPr>
  <dimension ref="A1:FV42"/>
  <sheetViews>
    <sheetView zoomScale="115" zoomScaleNormal="115" workbookViewId="0">
      <pane xSplit="3" ySplit="3" topLeftCell="D4" activePane="bottomRight" state="frozen"/>
      <selection pane="topRight" activeCell="D1" sqref="D1"/>
      <selection pane="bottomLeft" activeCell="A4" sqref="A4"/>
      <selection pane="bottomRight" activeCell="P32" sqref="P32"/>
    </sheetView>
  </sheetViews>
  <sheetFormatPr baseColWidth="10" defaultColWidth="10.85546875" defaultRowHeight="15" outlineLevelCol="2" x14ac:dyDescent="0.25"/>
  <cols>
    <col min="1" max="1" width="8.140625" customWidth="1"/>
    <col min="2" max="2" width="86.5703125" style="6" customWidth="1"/>
    <col min="4" max="5" width="21.5703125" bestFit="1" customWidth="1"/>
    <col min="6" max="6" width="18.85546875" bestFit="1" customWidth="1"/>
    <col min="7" max="7" width="19.5703125" bestFit="1" customWidth="1"/>
    <col min="8" max="9" width="21.140625" customWidth="1" outlineLevel="1"/>
    <col min="10" max="11" width="18" customWidth="1" outlineLevel="1"/>
    <col min="12" max="13" width="19.140625" customWidth="1" outlineLevel="1"/>
    <col min="14" max="15" width="18" customWidth="1" outlineLevel="1"/>
    <col min="16" max="16" width="19.140625" customWidth="1" outlineLevel="1"/>
    <col min="17" max="17" width="19.5703125" customWidth="1" outlineLevel="1"/>
    <col min="18" max="19" width="18" customWidth="1" outlineLevel="1"/>
    <col min="20" max="21" width="21.5703125" customWidth="1" outlineLevel="1"/>
    <col min="22" max="22" width="19.85546875" customWidth="1" outlineLevel="1"/>
    <col min="23" max="23" width="20.140625" customWidth="1" outlineLevel="1"/>
    <col min="24" max="25" width="25.140625" customWidth="1" outlineLevel="1"/>
    <col min="26" max="27" width="17" customWidth="1" outlineLevel="1"/>
    <col min="28" max="31" width="18" customWidth="1" outlineLevel="1"/>
    <col min="32" max="35" width="17" customWidth="1" outlineLevel="1"/>
    <col min="36" max="39" width="15.85546875" customWidth="1" outlineLevel="1"/>
    <col min="40" max="40" width="11.85546875" customWidth="1" outlineLevel="1"/>
    <col min="41" max="47" width="11.5703125" customWidth="1" outlineLevel="1"/>
    <col min="48" max="72" width="11.5703125" outlineLevel="2"/>
    <col min="75" max="75" width="19" customWidth="1" outlineLevel="2"/>
    <col min="76" max="76" width="17.42578125" customWidth="1" outlineLevel="2"/>
    <col min="77" max="78" width="19" customWidth="1" outlineLevel="2"/>
    <col min="79" max="79" width="14.85546875" customWidth="1" outlineLevel="2"/>
    <col min="80" max="80" width="17.42578125" customWidth="1" outlineLevel="2"/>
    <col min="81" max="81" width="17" customWidth="1" outlineLevel="2"/>
    <col min="82" max="82" width="18.42578125" customWidth="1" outlineLevel="2"/>
    <col min="83" max="83" width="17.42578125" customWidth="1" outlineLevel="2"/>
    <col min="84" max="84" width="24" customWidth="1" outlineLevel="2"/>
    <col min="85" max="85" width="17.140625" customWidth="1" outlineLevel="2"/>
    <col min="86" max="86" width="26.42578125" customWidth="1" outlineLevel="2"/>
    <col min="87" max="87" width="16.42578125" customWidth="1" outlineLevel="2"/>
    <col min="88" max="89" width="18.42578125" customWidth="1" outlineLevel="2"/>
    <col min="90" max="91" width="17.42578125" customWidth="1" outlineLevel="2"/>
    <col min="92" max="92" width="16.42578125" customWidth="1" outlineLevel="2"/>
    <col min="93" max="94" width="17.42578125" customWidth="1" outlineLevel="2"/>
    <col min="95" max="96" width="18.42578125" customWidth="1" outlineLevel="2"/>
    <col min="97" max="97" width="19.85546875" customWidth="1" outlineLevel="2"/>
    <col min="98" max="98" width="18.85546875" customWidth="1" outlineLevel="2"/>
    <col min="99" max="100" width="16.85546875" customWidth="1" outlineLevel="2"/>
    <col min="101" max="102" width="16.42578125" customWidth="1" outlineLevel="2"/>
    <col min="103" max="103" width="14.140625" customWidth="1" outlineLevel="2"/>
    <col min="104" max="104" width="15.140625" customWidth="1" outlineLevel="2"/>
    <col min="105" max="105" width="14.85546875" customWidth="1" outlineLevel="2"/>
    <col min="106" max="106" width="14.140625" customWidth="1" outlineLevel="2"/>
    <col min="107" max="107" width="15.140625" customWidth="1" outlineLevel="2"/>
    <col min="108" max="108" width="16.42578125" customWidth="1" outlineLevel="2"/>
    <col min="109" max="109" width="24.5703125" customWidth="1" outlineLevel="2"/>
    <col min="110" max="110" width="30.85546875" customWidth="1" outlineLevel="2"/>
    <col min="111" max="111" width="31.140625" customWidth="1" outlineLevel="2"/>
    <col min="112" max="112" width="23.140625" customWidth="1" outlineLevel="2"/>
    <col min="113" max="113" width="11.5703125" customWidth="1" outlineLevel="2"/>
    <col min="114" max="115" width="17.85546875" bestFit="1" customWidth="1" outlineLevel="2"/>
    <col min="116" max="116" width="14.85546875" bestFit="1" customWidth="1" outlineLevel="2"/>
    <col min="117" max="117" width="15.140625" bestFit="1" customWidth="1" outlineLevel="2"/>
    <col min="118" max="118" width="11.85546875" customWidth="1" outlineLevel="2"/>
    <col min="119" max="119" width="14.85546875" bestFit="1" customWidth="1" outlineLevel="2"/>
    <col min="120" max="120" width="15.42578125" bestFit="1" customWidth="1" outlineLevel="2"/>
    <col min="121" max="122" width="17.85546875" bestFit="1" customWidth="1" outlineLevel="2"/>
    <col min="123" max="126" width="11.5703125" customWidth="1" outlineLevel="2"/>
    <col min="129" max="129" width="14.42578125" bestFit="1" customWidth="1"/>
    <col min="130" max="130" width="21.140625" customWidth="1"/>
    <col min="132" max="133" width="13.42578125" bestFit="1" customWidth="1"/>
    <col min="136" max="136" width="16.140625" customWidth="1"/>
    <col min="137" max="137" width="19.140625" customWidth="1"/>
    <col min="138" max="138" width="18.140625" customWidth="1"/>
    <col min="140" max="141" width="15.85546875" bestFit="1" customWidth="1"/>
    <col min="142" max="144" width="14.85546875" bestFit="1" customWidth="1"/>
    <col min="145" max="146" width="15.85546875" bestFit="1" customWidth="1"/>
    <col min="147" max="148" width="17" bestFit="1" customWidth="1"/>
    <col min="153" max="154" width="15.85546875" bestFit="1" customWidth="1"/>
    <col min="155" max="156" width="14.140625" bestFit="1" customWidth="1"/>
    <col min="157" max="157" width="13.140625" bestFit="1" customWidth="1"/>
    <col min="158" max="159" width="14.140625" bestFit="1" customWidth="1"/>
    <col min="160" max="161" width="15.85546875" bestFit="1" customWidth="1"/>
    <col min="173" max="174" width="19.5703125" bestFit="1" customWidth="1"/>
  </cols>
  <sheetData>
    <row r="1" spans="1:177" x14ac:dyDescent="0.25">
      <c r="BW1" s="17" t="s">
        <v>395</v>
      </c>
      <c r="BX1" s="17"/>
      <c r="BY1" s="17"/>
      <c r="BZ1" s="17"/>
      <c r="CA1" s="17" t="s">
        <v>396</v>
      </c>
      <c r="CB1" s="17" t="s">
        <v>397</v>
      </c>
      <c r="CC1" s="17"/>
      <c r="CD1" s="17"/>
      <c r="CE1" s="17"/>
      <c r="CF1" s="17"/>
      <c r="CG1" s="17"/>
      <c r="CH1" s="17" t="s">
        <v>495</v>
      </c>
      <c r="CI1" s="17">
        <v>0.04</v>
      </c>
      <c r="CJ1" s="18" t="s">
        <v>395</v>
      </c>
      <c r="CK1" s="18"/>
      <c r="CL1" s="18"/>
      <c r="CM1" s="18"/>
      <c r="CN1" s="18" t="s">
        <v>396</v>
      </c>
      <c r="CO1" s="18" t="s">
        <v>397</v>
      </c>
      <c r="CP1" s="18"/>
      <c r="CQ1" s="18"/>
      <c r="CR1" s="18"/>
      <c r="CS1" s="18"/>
      <c r="CT1" s="18"/>
      <c r="CU1" s="18"/>
      <c r="CV1" s="18"/>
      <c r="CW1" s="19" t="s">
        <v>395</v>
      </c>
      <c r="CX1" s="19"/>
      <c r="CY1" s="19"/>
      <c r="CZ1" s="19"/>
      <c r="DA1" s="19" t="s">
        <v>396</v>
      </c>
      <c r="DB1" s="19" t="s">
        <v>397</v>
      </c>
      <c r="DC1" s="19"/>
      <c r="DD1" s="19"/>
      <c r="DE1" s="19"/>
      <c r="DF1" s="19"/>
      <c r="DG1" s="19"/>
      <c r="DH1" s="19"/>
      <c r="DI1" s="19"/>
      <c r="DJ1" s="20" t="s">
        <v>395</v>
      </c>
      <c r="DK1" s="20"/>
      <c r="DL1" s="20"/>
      <c r="DM1" s="20"/>
      <c r="DN1" s="20" t="s">
        <v>396</v>
      </c>
      <c r="DO1" s="20" t="s">
        <v>397</v>
      </c>
      <c r="DP1" s="20"/>
      <c r="DQ1" s="20"/>
      <c r="DR1" s="20"/>
      <c r="DS1" s="20"/>
      <c r="DT1" s="20"/>
      <c r="DU1" s="20"/>
      <c r="DV1" s="20"/>
      <c r="DW1" s="17" t="s">
        <v>395</v>
      </c>
      <c r="DX1" s="17"/>
      <c r="DY1" s="17"/>
      <c r="DZ1" s="17"/>
      <c r="EA1" s="17" t="s">
        <v>396</v>
      </c>
      <c r="EB1" s="17" t="s">
        <v>397</v>
      </c>
      <c r="EC1" s="17"/>
      <c r="ED1" s="17"/>
      <c r="EE1" s="17"/>
      <c r="EF1" s="17"/>
      <c r="EG1" s="17"/>
      <c r="EH1" s="17" t="s">
        <v>495</v>
      </c>
      <c r="EI1" s="17">
        <v>0.04</v>
      </c>
      <c r="EJ1" s="18" t="s">
        <v>395</v>
      </c>
      <c r="EK1" s="18"/>
      <c r="EL1" s="18"/>
      <c r="EM1" s="18"/>
      <c r="EN1" s="18" t="s">
        <v>396</v>
      </c>
      <c r="EO1" s="18" t="s">
        <v>397</v>
      </c>
      <c r="EP1" s="18"/>
      <c r="EQ1" s="18"/>
      <c r="ER1" s="18"/>
      <c r="ES1" s="18"/>
      <c r="ET1" s="18"/>
      <c r="EU1" s="18"/>
      <c r="EV1" s="18"/>
      <c r="EW1" s="19" t="s">
        <v>395</v>
      </c>
      <c r="EX1" s="19"/>
      <c r="EY1" s="19"/>
      <c r="EZ1" s="19"/>
      <c r="FA1" s="19" t="s">
        <v>396</v>
      </c>
      <c r="FB1" s="19" t="s">
        <v>397</v>
      </c>
      <c r="FC1" s="19"/>
      <c r="FD1" s="19"/>
      <c r="FE1" s="19"/>
      <c r="FF1" s="19"/>
      <c r="FG1" s="19"/>
      <c r="FH1" s="19"/>
      <c r="FI1" s="19"/>
      <c r="FJ1" s="20" t="s">
        <v>395</v>
      </c>
      <c r="FK1" s="20"/>
      <c r="FL1" s="20"/>
      <c r="FM1" s="20"/>
      <c r="FN1" s="20" t="s">
        <v>396</v>
      </c>
      <c r="FO1" s="20" t="s">
        <v>397</v>
      </c>
      <c r="FP1" s="20"/>
      <c r="FQ1" s="20"/>
      <c r="FR1" s="20"/>
      <c r="FS1" s="20"/>
      <c r="FT1" s="20"/>
      <c r="FU1" s="20"/>
    </row>
    <row r="2" spans="1:177" x14ac:dyDescent="0.25">
      <c r="A2" t="s">
        <v>496</v>
      </c>
      <c r="B2" s="6" t="s">
        <v>29</v>
      </c>
      <c r="D2" s="614" t="s">
        <v>497</v>
      </c>
      <c r="E2" s="614"/>
      <c r="F2" s="614"/>
      <c r="G2" s="417"/>
      <c r="H2" s="615" t="s">
        <v>498</v>
      </c>
      <c r="I2" s="615"/>
      <c r="J2" s="56"/>
      <c r="K2" s="56"/>
      <c r="L2" s="616" t="s">
        <v>499</v>
      </c>
      <c r="M2" s="616"/>
      <c r="N2" s="74"/>
      <c r="O2" s="74"/>
      <c r="P2" s="617" t="s">
        <v>500</v>
      </c>
      <c r="Q2" s="617"/>
      <c r="R2" s="87"/>
      <c r="S2" s="87"/>
      <c r="T2" s="618" t="s">
        <v>501</v>
      </c>
      <c r="U2" s="618"/>
      <c r="V2" s="329"/>
      <c r="W2" s="329"/>
      <c r="X2" s="53" t="s">
        <v>502</v>
      </c>
      <c r="Y2" s="53"/>
      <c r="Z2" s="53"/>
      <c r="AA2" s="53"/>
      <c r="AB2" s="420" t="s">
        <v>498</v>
      </c>
      <c r="AC2" s="53"/>
      <c r="AD2" s="53"/>
      <c r="AE2" s="53"/>
      <c r="AF2" s="419" t="s">
        <v>499</v>
      </c>
      <c r="AG2" s="85"/>
      <c r="AH2" s="85"/>
      <c r="AI2" s="85"/>
      <c r="AJ2" s="418" t="s">
        <v>500</v>
      </c>
      <c r="AK2" s="418"/>
      <c r="AL2" s="418"/>
      <c r="AM2" s="418"/>
      <c r="AN2" s="83" t="s">
        <v>501</v>
      </c>
      <c r="AO2" s="83"/>
      <c r="AP2" s="83"/>
      <c r="AQ2" s="83"/>
      <c r="AR2" s="421" t="s">
        <v>2610</v>
      </c>
      <c r="AS2" s="154" t="s">
        <v>498</v>
      </c>
      <c r="AT2" s="154" t="s">
        <v>499</v>
      </c>
      <c r="AU2" t="s">
        <v>500</v>
      </c>
      <c r="BW2" s="17" t="s">
        <v>394</v>
      </c>
      <c r="BX2" s="17"/>
      <c r="BY2" s="17" t="s">
        <v>398</v>
      </c>
      <c r="BZ2" s="17"/>
      <c r="CA2" s="17" t="s">
        <v>399</v>
      </c>
      <c r="CB2" s="17" t="s">
        <v>398</v>
      </c>
      <c r="CC2" s="17"/>
      <c r="CD2" s="17" t="s">
        <v>394</v>
      </c>
      <c r="CE2" s="17"/>
      <c r="CF2" s="17"/>
      <c r="CG2" s="17"/>
      <c r="CH2" s="17"/>
      <c r="CI2" s="17"/>
      <c r="CJ2" s="18" t="s">
        <v>394</v>
      </c>
      <c r="CK2" s="18"/>
      <c r="CL2" s="18" t="s">
        <v>398</v>
      </c>
      <c r="CM2" s="18"/>
      <c r="CN2" s="18" t="s">
        <v>399</v>
      </c>
      <c r="CO2" s="18" t="s">
        <v>398</v>
      </c>
      <c r="CP2" s="18"/>
      <c r="CQ2" s="18" t="s">
        <v>394</v>
      </c>
      <c r="CR2" s="18"/>
      <c r="CS2" s="18"/>
      <c r="CT2" s="18"/>
      <c r="CU2" s="18"/>
      <c r="CV2" s="18"/>
      <c r="CW2" s="19" t="s">
        <v>394</v>
      </c>
      <c r="CX2" s="19"/>
      <c r="CY2" s="19" t="s">
        <v>398</v>
      </c>
      <c r="CZ2" s="19"/>
      <c r="DA2" s="19" t="s">
        <v>399</v>
      </c>
      <c r="DB2" s="19" t="s">
        <v>398</v>
      </c>
      <c r="DC2" s="19"/>
      <c r="DD2" s="19" t="s">
        <v>394</v>
      </c>
      <c r="DE2" s="19"/>
      <c r="DF2" s="19"/>
      <c r="DG2" s="19"/>
      <c r="DH2" s="19"/>
      <c r="DI2" s="19"/>
      <c r="DJ2" s="20" t="s">
        <v>394</v>
      </c>
      <c r="DK2" s="20"/>
      <c r="DL2" s="20" t="s">
        <v>398</v>
      </c>
      <c r="DM2" s="20"/>
      <c r="DN2" s="20" t="s">
        <v>399</v>
      </c>
      <c r="DO2" s="20" t="s">
        <v>398</v>
      </c>
      <c r="DP2" s="20"/>
      <c r="DQ2" s="20" t="s">
        <v>394</v>
      </c>
      <c r="DR2" s="20"/>
      <c r="DS2" s="20"/>
      <c r="DT2" s="20"/>
      <c r="DU2" s="20"/>
      <c r="DV2" s="20"/>
      <c r="DW2" s="17" t="s">
        <v>394</v>
      </c>
      <c r="DX2" s="17"/>
      <c r="DY2" s="17" t="s">
        <v>398</v>
      </c>
      <c r="DZ2" s="17"/>
      <c r="EA2" s="17" t="s">
        <v>399</v>
      </c>
      <c r="EB2" s="17" t="s">
        <v>398</v>
      </c>
      <c r="EC2" s="17"/>
      <c r="ED2" s="17" t="s">
        <v>394</v>
      </c>
      <c r="EE2" s="17"/>
      <c r="EF2" s="17"/>
      <c r="EG2" s="17"/>
      <c r="EH2" s="17"/>
      <c r="EI2" s="17"/>
      <c r="EJ2" s="18" t="s">
        <v>394</v>
      </c>
      <c r="EK2" s="18"/>
      <c r="EL2" s="18" t="s">
        <v>398</v>
      </c>
      <c r="EM2" s="18"/>
      <c r="EN2" s="18" t="s">
        <v>399</v>
      </c>
      <c r="EO2" s="18" t="s">
        <v>398</v>
      </c>
      <c r="EP2" s="18"/>
      <c r="EQ2" s="18" t="s">
        <v>394</v>
      </c>
      <c r="ER2" s="18"/>
      <c r="ES2" s="18"/>
      <c r="ET2" s="18"/>
      <c r="EU2" s="18"/>
      <c r="EV2" s="18"/>
      <c r="EW2" s="19" t="s">
        <v>394</v>
      </c>
      <c r="EX2" s="19"/>
      <c r="EY2" s="19" t="s">
        <v>398</v>
      </c>
      <c r="EZ2" s="19"/>
      <c r="FA2" s="19" t="s">
        <v>399</v>
      </c>
      <c r="FB2" s="19" t="s">
        <v>398</v>
      </c>
      <c r="FC2" s="19"/>
      <c r="FD2" s="19" t="s">
        <v>394</v>
      </c>
      <c r="FE2" s="19"/>
      <c r="FF2" s="19"/>
      <c r="FG2" s="19"/>
      <c r="FH2" s="19"/>
      <c r="FI2" s="19"/>
      <c r="FJ2" s="20" t="s">
        <v>394</v>
      </c>
      <c r="FK2" s="20"/>
      <c r="FL2" s="20" t="s">
        <v>398</v>
      </c>
      <c r="FM2" s="20"/>
      <c r="FN2" s="20" t="s">
        <v>399</v>
      </c>
      <c r="FO2" s="20" t="s">
        <v>398</v>
      </c>
      <c r="FP2" s="20"/>
      <c r="FQ2" s="20" t="s">
        <v>394</v>
      </c>
      <c r="FR2" s="20"/>
      <c r="FS2" s="20"/>
      <c r="FT2" s="20"/>
      <c r="FU2" s="20"/>
    </row>
    <row r="3" spans="1:177" x14ac:dyDescent="0.25">
      <c r="C3" t="s">
        <v>503</v>
      </c>
      <c r="D3" s="81" t="s">
        <v>504</v>
      </c>
      <c r="E3" s="81" t="s">
        <v>505</v>
      </c>
      <c r="F3" s="81" t="s">
        <v>506</v>
      </c>
      <c r="G3" s="81" t="s">
        <v>507</v>
      </c>
      <c r="H3" s="53" t="s">
        <v>504</v>
      </c>
      <c r="I3" s="53" t="s">
        <v>505</v>
      </c>
      <c r="J3" s="53" t="s">
        <v>506</v>
      </c>
      <c r="K3" s="53" t="s">
        <v>507</v>
      </c>
      <c r="L3" s="85" t="s">
        <v>504</v>
      </c>
      <c r="M3" s="85" t="s">
        <v>505</v>
      </c>
      <c r="N3" s="85" t="s">
        <v>506</v>
      </c>
      <c r="O3" s="85" t="s">
        <v>507</v>
      </c>
      <c r="P3" s="84" t="s">
        <v>504</v>
      </c>
      <c r="Q3" s="84" t="s">
        <v>505</v>
      </c>
      <c r="R3" s="84" t="s">
        <v>506</v>
      </c>
      <c r="S3" s="84" t="s">
        <v>507</v>
      </c>
      <c r="T3" s="329" t="s">
        <v>504</v>
      </c>
      <c r="U3" s="329" t="s">
        <v>505</v>
      </c>
      <c r="V3" s="329" t="s">
        <v>506</v>
      </c>
      <c r="W3" s="329" t="s">
        <v>507</v>
      </c>
      <c r="X3" s="53" t="s">
        <v>504</v>
      </c>
      <c r="Y3" s="53" t="s">
        <v>505</v>
      </c>
      <c r="Z3" s="53" t="s">
        <v>508</v>
      </c>
      <c r="AA3" s="53" t="s">
        <v>507</v>
      </c>
      <c r="AB3" s="53" t="s">
        <v>504</v>
      </c>
      <c r="AC3" s="53" t="s">
        <v>509</v>
      </c>
      <c r="AD3" s="53" t="s">
        <v>506</v>
      </c>
      <c r="AE3" s="53" t="s">
        <v>507</v>
      </c>
      <c r="AF3" s="85" t="s">
        <v>504</v>
      </c>
      <c r="AG3" s="85" t="s">
        <v>509</v>
      </c>
      <c r="AH3" s="85" t="s">
        <v>506</v>
      </c>
      <c r="AI3" s="85" t="s">
        <v>510</v>
      </c>
      <c r="AJ3" s="418" t="s">
        <v>511</v>
      </c>
      <c r="AK3" s="418" t="s">
        <v>509</v>
      </c>
      <c r="AL3" s="418" t="s">
        <v>506</v>
      </c>
      <c r="AM3" s="418" t="s">
        <v>510</v>
      </c>
      <c r="AN3" s="83" t="s">
        <v>504</v>
      </c>
      <c r="AO3" s="83" t="s">
        <v>509</v>
      </c>
      <c r="AP3" s="83" t="s">
        <v>506</v>
      </c>
      <c r="AQ3" s="83" t="s">
        <v>510</v>
      </c>
      <c r="AR3" s="154"/>
      <c r="AS3" s="154" t="s">
        <v>504</v>
      </c>
      <c r="AT3" s="154" t="s">
        <v>504</v>
      </c>
      <c r="AU3" t="s">
        <v>511</v>
      </c>
      <c r="BU3" t="s">
        <v>400</v>
      </c>
      <c r="BV3" t="s">
        <v>401</v>
      </c>
      <c r="BW3" s="17" t="s">
        <v>402</v>
      </c>
      <c r="BX3" s="17" t="s">
        <v>403</v>
      </c>
      <c r="BY3" s="17" t="s">
        <v>402</v>
      </c>
      <c r="BZ3" s="17" t="s">
        <v>403</v>
      </c>
      <c r="CA3" s="17" t="s">
        <v>404</v>
      </c>
      <c r="CB3" s="17" t="s">
        <v>405</v>
      </c>
      <c r="CC3" s="17" t="s">
        <v>406</v>
      </c>
      <c r="CD3" s="17" t="s">
        <v>405</v>
      </c>
      <c r="CE3" s="17" t="s">
        <v>406</v>
      </c>
      <c r="CF3" s="17" t="s">
        <v>407</v>
      </c>
      <c r="CG3" s="17" t="s">
        <v>395</v>
      </c>
      <c r="CH3" s="17" t="s">
        <v>408</v>
      </c>
      <c r="CI3" s="17" t="s">
        <v>512</v>
      </c>
      <c r="CJ3" s="18" t="s">
        <v>402</v>
      </c>
      <c r="CK3" s="18" t="s">
        <v>403</v>
      </c>
      <c r="CL3" s="18" t="s">
        <v>402</v>
      </c>
      <c r="CM3" s="18" t="s">
        <v>403</v>
      </c>
      <c r="CN3" s="18" t="s">
        <v>404</v>
      </c>
      <c r="CO3" s="18" t="s">
        <v>405</v>
      </c>
      <c r="CP3" s="18" t="s">
        <v>406</v>
      </c>
      <c r="CQ3" s="18" t="s">
        <v>405</v>
      </c>
      <c r="CR3" s="18" t="s">
        <v>406</v>
      </c>
      <c r="CS3" s="18" t="s">
        <v>407</v>
      </c>
      <c r="CT3" s="18" t="s">
        <v>395</v>
      </c>
      <c r="CU3" s="18" t="s">
        <v>408</v>
      </c>
      <c r="CV3" s="18" t="s">
        <v>513</v>
      </c>
      <c r="CW3" s="19" t="s">
        <v>402</v>
      </c>
      <c r="CX3" s="19" t="s">
        <v>403</v>
      </c>
      <c r="CY3" s="19" t="s">
        <v>402</v>
      </c>
      <c r="CZ3" s="19" t="s">
        <v>403</v>
      </c>
      <c r="DA3" s="19" t="s">
        <v>404</v>
      </c>
      <c r="DB3" s="19" t="s">
        <v>405</v>
      </c>
      <c r="DC3" s="19" t="s">
        <v>406</v>
      </c>
      <c r="DD3" s="19" t="s">
        <v>405</v>
      </c>
      <c r="DE3" s="19" t="s">
        <v>406</v>
      </c>
      <c r="DF3" s="19" t="s">
        <v>407</v>
      </c>
      <c r="DG3" s="19" t="s">
        <v>395</v>
      </c>
      <c r="DH3" s="19" t="s">
        <v>408</v>
      </c>
      <c r="DI3" s="19" t="s">
        <v>513</v>
      </c>
      <c r="DJ3" s="20" t="s">
        <v>402</v>
      </c>
      <c r="DK3" s="20" t="s">
        <v>403</v>
      </c>
      <c r="DL3" s="20" t="s">
        <v>402</v>
      </c>
      <c r="DM3" s="20" t="s">
        <v>403</v>
      </c>
      <c r="DN3" s="20" t="s">
        <v>404</v>
      </c>
      <c r="DO3" s="20" t="s">
        <v>405</v>
      </c>
      <c r="DP3" s="20" t="s">
        <v>406</v>
      </c>
      <c r="DQ3" s="20" t="s">
        <v>405</v>
      </c>
      <c r="DR3" s="20" t="s">
        <v>406</v>
      </c>
      <c r="DS3" s="20" t="s">
        <v>407</v>
      </c>
      <c r="DT3" s="20" t="s">
        <v>395</v>
      </c>
      <c r="DU3" s="20" t="s">
        <v>408</v>
      </c>
      <c r="DV3" s="20" t="s">
        <v>513</v>
      </c>
      <c r="DW3" s="17" t="s">
        <v>402</v>
      </c>
      <c r="DX3" s="17" t="s">
        <v>403</v>
      </c>
      <c r="DY3" s="17" t="s">
        <v>402</v>
      </c>
      <c r="DZ3" s="17" t="s">
        <v>403</v>
      </c>
      <c r="EA3" s="17" t="s">
        <v>404</v>
      </c>
      <c r="EB3" s="17" t="s">
        <v>405</v>
      </c>
      <c r="EC3" s="17" t="s">
        <v>406</v>
      </c>
      <c r="ED3" s="17" t="s">
        <v>405</v>
      </c>
      <c r="EE3" s="17" t="s">
        <v>406</v>
      </c>
      <c r="EF3" s="17" t="s">
        <v>407</v>
      </c>
      <c r="EG3" s="17" t="s">
        <v>395</v>
      </c>
      <c r="EH3" s="17" t="s">
        <v>408</v>
      </c>
      <c r="EI3" s="17" t="s">
        <v>512</v>
      </c>
      <c r="EJ3" s="18" t="s">
        <v>402</v>
      </c>
      <c r="EK3" s="18" t="s">
        <v>403</v>
      </c>
      <c r="EL3" s="18" t="s">
        <v>402</v>
      </c>
      <c r="EM3" s="18" t="s">
        <v>403</v>
      </c>
      <c r="EN3" s="18" t="s">
        <v>404</v>
      </c>
      <c r="EO3" s="18" t="s">
        <v>405</v>
      </c>
      <c r="EP3" s="18" t="s">
        <v>406</v>
      </c>
      <c r="EQ3" s="18" t="s">
        <v>405</v>
      </c>
      <c r="ER3" s="18" t="s">
        <v>406</v>
      </c>
      <c r="ES3" s="18" t="s">
        <v>407</v>
      </c>
      <c r="ET3" s="18" t="s">
        <v>395</v>
      </c>
      <c r="EU3" s="18" t="s">
        <v>408</v>
      </c>
      <c r="EV3" s="18" t="s">
        <v>513</v>
      </c>
      <c r="EW3" s="19" t="s">
        <v>402</v>
      </c>
      <c r="EX3" s="19" t="s">
        <v>403</v>
      </c>
      <c r="EY3" s="19" t="s">
        <v>402</v>
      </c>
      <c r="EZ3" s="19" t="s">
        <v>403</v>
      </c>
      <c r="FA3" s="19" t="s">
        <v>404</v>
      </c>
      <c r="FB3" s="19" t="s">
        <v>405</v>
      </c>
      <c r="FC3" s="19" t="s">
        <v>406</v>
      </c>
      <c r="FD3" s="19" t="s">
        <v>405</v>
      </c>
      <c r="FE3" s="19" t="s">
        <v>406</v>
      </c>
      <c r="FF3" s="19" t="s">
        <v>407</v>
      </c>
      <c r="FG3" s="19" t="s">
        <v>395</v>
      </c>
      <c r="FH3" s="19" t="s">
        <v>408</v>
      </c>
      <c r="FI3" s="19" t="s">
        <v>513</v>
      </c>
      <c r="FJ3" s="20" t="s">
        <v>402</v>
      </c>
      <c r="FK3" s="20" t="s">
        <v>403</v>
      </c>
      <c r="FL3" s="20" t="s">
        <v>402</v>
      </c>
      <c r="FM3" s="20" t="s">
        <v>403</v>
      </c>
      <c r="FN3" s="20" t="s">
        <v>404</v>
      </c>
      <c r="FO3" s="20" t="s">
        <v>405</v>
      </c>
      <c r="FP3" s="20" t="s">
        <v>406</v>
      </c>
      <c r="FQ3" s="20" t="s">
        <v>405</v>
      </c>
      <c r="FR3" s="20" t="s">
        <v>406</v>
      </c>
      <c r="FS3" s="20" t="s">
        <v>395</v>
      </c>
      <c r="FT3" s="20" t="s">
        <v>408</v>
      </c>
      <c r="FU3" s="20" t="s">
        <v>513</v>
      </c>
    </row>
    <row r="4" spans="1:177" ht="180" hidden="1" x14ac:dyDescent="0.25">
      <c r="A4" s="406" t="s">
        <v>0</v>
      </c>
      <c r="B4" s="407" t="s">
        <v>238</v>
      </c>
      <c r="C4" s="243" t="s">
        <v>514</v>
      </c>
      <c r="D4" s="21">
        <f t="shared" ref="D4:G31" si="0">H4+L4+P4+T4</f>
        <v>208800000</v>
      </c>
      <c r="E4" s="21">
        <f t="shared" si="0"/>
        <v>276800000</v>
      </c>
      <c r="F4" s="21">
        <f t="shared" si="0"/>
        <v>10296240.891706474</v>
      </c>
      <c r="G4" s="21">
        <f t="shared" si="0"/>
        <v>13461654.522275299</v>
      </c>
      <c r="H4" s="21">
        <f>CD4</f>
        <v>88200000</v>
      </c>
      <c r="I4" s="21">
        <f>CE4</f>
        <v>116200000</v>
      </c>
      <c r="J4" s="21">
        <f>CB4</f>
        <v>4610216.8377614897</v>
      </c>
      <c r="K4" s="21">
        <f>CC4</f>
        <v>5913622.450348652</v>
      </c>
      <c r="L4" s="21">
        <f>CQ4</f>
        <v>120600000</v>
      </c>
      <c r="M4" s="21">
        <f>CR4</f>
        <v>160600000</v>
      </c>
      <c r="N4" s="21">
        <f>CO4</f>
        <v>5686024.0539449845</v>
      </c>
      <c r="O4" s="21">
        <f>CP4</f>
        <v>7548032.0719266459</v>
      </c>
      <c r="P4" s="21">
        <f>DD4</f>
        <v>0</v>
      </c>
      <c r="Q4" s="21">
        <f>DE4</f>
        <v>0</v>
      </c>
      <c r="R4" s="21">
        <f>DB4</f>
        <v>0</v>
      </c>
      <c r="S4" s="21">
        <f>DC4</f>
        <v>0</v>
      </c>
      <c r="T4" s="21">
        <f>DQ4</f>
        <v>0</v>
      </c>
      <c r="U4" s="21">
        <f>DR4</f>
        <v>0</v>
      </c>
      <c r="V4" s="21">
        <f>DO4</f>
        <v>0</v>
      </c>
      <c r="W4" s="21">
        <f>DP4</f>
        <v>0</v>
      </c>
      <c r="X4" s="7">
        <f>AB4+AF4+AJ4+AN4</f>
        <v>91420000</v>
      </c>
      <c r="Y4" s="7">
        <f>AC4+AG4+AK4+AO4</f>
        <v>119450000</v>
      </c>
      <c r="Z4" s="7"/>
      <c r="AA4" s="7"/>
      <c r="AB4">
        <f>ED4</f>
        <v>55240000</v>
      </c>
      <c r="AC4">
        <f>EE4</f>
        <v>71240000</v>
      </c>
      <c r="AD4" s="22">
        <f>EB4</f>
        <v>2600261.0247247848</v>
      </c>
      <c r="AE4" s="22">
        <f>EC4</f>
        <v>3345064.2319174493</v>
      </c>
      <c r="AF4" s="7">
        <f>EQ4</f>
        <v>36180000</v>
      </c>
      <c r="AG4" s="7">
        <f>ER4</f>
        <v>48210000</v>
      </c>
      <c r="AH4" s="7"/>
      <c r="AI4" s="7"/>
      <c r="AJ4">
        <f>FD4</f>
        <v>0</v>
      </c>
      <c r="AK4">
        <f>FE4</f>
        <v>0</v>
      </c>
      <c r="AN4">
        <f>FQ4</f>
        <v>0</v>
      </c>
      <c r="AO4">
        <f>FR4</f>
        <v>0</v>
      </c>
      <c r="AR4">
        <f>AS4+AT4+AU4</f>
        <v>24600000</v>
      </c>
      <c r="AS4">
        <f>7000000+17600000</f>
        <v>24600000</v>
      </c>
      <c r="BU4" t="s">
        <v>515</v>
      </c>
      <c r="BV4" t="s">
        <v>516</v>
      </c>
      <c r="BW4" s="21">
        <f>7*12000000</f>
        <v>84000000</v>
      </c>
      <c r="BX4" s="21">
        <f>7*16000000</f>
        <v>112000000</v>
      </c>
      <c r="BY4" s="22">
        <f>-PMT($CI$1,$CI$4,BW4)</f>
        <v>3910216.8377614892</v>
      </c>
      <c r="BZ4" s="22">
        <f>-PMT($CI$1,$CI$4,BX4)</f>
        <v>5213622.450348652</v>
      </c>
      <c r="CA4">
        <f>7*100000</f>
        <v>700000</v>
      </c>
      <c r="CB4" s="22">
        <f>BY4+CA4</f>
        <v>4610216.8377614897</v>
      </c>
      <c r="CC4" s="22">
        <f>BZ4+CA4</f>
        <v>5913622.450348652</v>
      </c>
      <c r="CD4">
        <f>BW4+CA4*6</f>
        <v>88200000</v>
      </c>
      <c r="CE4">
        <f>BX4+CA4*6</f>
        <v>116200000</v>
      </c>
      <c r="CF4" s="23" t="s">
        <v>517</v>
      </c>
      <c r="CG4" s="23" t="s">
        <v>518</v>
      </c>
      <c r="CH4" s="23" t="s">
        <v>519</v>
      </c>
      <c r="CI4" s="23">
        <v>50</v>
      </c>
      <c r="CJ4" s="21">
        <f>10*1000*12000</f>
        <v>120000000</v>
      </c>
      <c r="CK4" s="24">
        <f>10*16000*1000</f>
        <v>160000000</v>
      </c>
      <c r="CL4" s="22">
        <f>-PMT(0.04,$CV$4,CJ4)</f>
        <v>5586024.0539449845</v>
      </c>
      <c r="CM4" s="22">
        <f>-PMT(0.04,$CV$4,CK4)</f>
        <v>7448032.0719266459</v>
      </c>
      <c r="CN4">
        <f>10*10000</f>
        <v>100000</v>
      </c>
      <c r="CO4" s="22">
        <f>CL4+CN4</f>
        <v>5686024.0539449845</v>
      </c>
      <c r="CP4" s="22">
        <f>CM4+CN4</f>
        <v>7548032.0719266459</v>
      </c>
      <c r="CQ4">
        <f>CJ4+CN4*6</f>
        <v>120600000</v>
      </c>
      <c r="CR4">
        <f>CK4+CN4*6</f>
        <v>160600000</v>
      </c>
      <c r="CS4" s="23" t="s">
        <v>520</v>
      </c>
      <c r="CT4" s="23" t="s">
        <v>521</v>
      </c>
      <c r="CU4" s="23" t="s">
        <v>522</v>
      </c>
      <c r="CV4">
        <v>50</v>
      </c>
      <c r="DW4">
        <f>4*1000*12000 + 7000000</f>
        <v>55000000</v>
      </c>
      <c r="DX4">
        <f>4*1000*16000+7000000</f>
        <v>71000000</v>
      </c>
      <c r="DY4" s="22">
        <f>-PMT(0.04,EI4,DW4)</f>
        <v>2560261.0247247848</v>
      </c>
      <c r="DZ4" s="22">
        <f>-PMT(0.04,EI4,DX4)</f>
        <v>3305064.2319174493</v>
      </c>
      <c r="EA4">
        <f>4*10000</f>
        <v>40000</v>
      </c>
      <c r="EB4" s="22">
        <f>DY4+EA4</f>
        <v>2600261.0247247848</v>
      </c>
      <c r="EC4" s="22">
        <f>EA4+DZ4</f>
        <v>3345064.2319174493</v>
      </c>
      <c r="ED4">
        <f>DW4+EA4*6</f>
        <v>55240000</v>
      </c>
      <c r="EE4">
        <f>DX4+EA4*6</f>
        <v>71240000</v>
      </c>
      <c r="EF4" s="23" t="s">
        <v>523</v>
      </c>
      <c r="EG4" s="23" t="s">
        <v>524</v>
      </c>
      <c r="EH4" s="23" t="s">
        <v>522</v>
      </c>
      <c r="EI4" s="23">
        <v>50</v>
      </c>
      <c r="EJ4" s="21">
        <f>3*1000*12000</f>
        <v>36000000</v>
      </c>
      <c r="EK4" s="21">
        <f>3*1000*16000</f>
        <v>48000000</v>
      </c>
      <c r="EL4" s="21">
        <f>-PMT(0.04,$EV$4,EJ4)</f>
        <v>1675807.2161834952</v>
      </c>
      <c r="EM4" s="21">
        <f>-PMT(0.04,$EV$4,EK4)</f>
        <v>2234409.621577994</v>
      </c>
      <c r="EN4" s="21">
        <f>3*10000</f>
        <v>30000</v>
      </c>
      <c r="EO4" s="21">
        <f>EJ4+EN4</f>
        <v>36030000</v>
      </c>
      <c r="EP4" s="21">
        <f>EK4+EN4</f>
        <v>48030000</v>
      </c>
      <c r="EQ4" s="21">
        <f>EN4*6+EJ4</f>
        <v>36180000</v>
      </c>
      <c r="ER4" s="21">
        <f>EP4+EN4*6</f>
        <v>48210000</v>
      </c>
      <c r="ES4" s="23" t="s">
        <v>525</v>
      </c>
      <c r="ET4" s="23" t="s">
        <v>521</v>
      </c>
      <c r="EU4" s="23" t="s">
        <v>522</v>
      </c>
      <c r="EV4">
        <v>50</v>
      </c>
    </row>
    <row r="5" spans="1:177" ht="105" x14ac:dyDescent="0.25">
      <c r="A5" s="406" t="s">
        <v>1</v>
      </c>
      <c r="B5" s="407" t="s">
        <v>237</v>
      </c>
      <c r="C5" s="243" t="s">
        <v>514</v>
      </c>
      <c r="D5" s="21">
        <f t="shared" si="0"/>
        <v>5523000</v>
      </c>
      <c r="E5" s="21">
        <f t="shared" si="0"/>
        <v>12573000</v>
      </c>
      <c r="F5" s="21">
        <f t="shared" si="0"/>
        <v>307906.02229266183</v>
      </c>
      <c r="G5" s="21">
        <f t="shared" si="0"/>
        <v>636084.93546192965</v>
      </c>
      <c r="H5" s="21">
        <f t="shared" ref="H5:I32" si="1">CD5</f>
        <v>4360000</v>
      </c>
      <c r="I5" s="21">
        <f t="shared" si="1"/>
        <v>10360000</v>
      </c>
      <c r="J5" s="21">
        <f t="shared" ref="J5:K32" si="2">CB5</f>
        <v>246200.80179816615</v>
      </c>
      <c r="K5" s="21">
        <f t="shared" si="2"/>
        <v>525502.00449541537</v>
      </c>
      <c r="L5" s="21">
        <f t="shared" ref="L5:M32" si="3">CQ5</f>
        <v>0</v>
      </c>
      <c r="M5" s="21">
        <f t="shared" si="3"/>
        <v>0</v>
      </c>
      <c r="N5" s="21">
        <f t="shared" ref="N5:O32" si="4">CO5</f>
        <v>0</v>
      </c>
      <c r="O5" s="21">
        <f t="shared" si="4"/>
        <v>0</v>
      </c>
      <c r="P5" s="21">
        <f t="shared" ref="P5:Q32" si="5">DD5</f>
        <v>1163000</v>
      </c>
      <c r="Q5" s="21">
        <f t="shared" si="5"/>
        <v>2213000</v>
      </c>
      <c r="R5" s="21">
        <f t="shared" ref="R5:S32" si="6">DB5</f>
        <v>61705.220494495697</v>
      </c>
      <c r="S5" s="21">
        <f t="shared" si="6"/>
        <v>110582.93096651431</v>
      </c>
      <c r="T5" s="21">
        <f t="shared" ref="T5:U32" si="7">DQ5</f>
        <v>0</v>
      </c>
      <c r="U5" s="21">
        <f t="shared" si="7"/>
        <v>0</v>
      </c>
      <c r="V5" s="21">
        <f t="shared" ref="V5:W32" si="8">DO5</f>
        <v>0</v>
      </c>
      <c r="W5" s="21">
        <f t="shared" si="8"/>
        <v>0</v>
      </c>
      <c r="X5" s="7">
        <f t="shared" ref="X5:Z32" si="9">AB5+AF5+AJ5+AN5</f>
        <v>2180000</v>
      </c>
      <c r="Y5" s="7">
        <f t="shared" si="9"/>
        <v>5180000</v>
      </c>
      <c r="Z5" s="7">
        <f t="shared" si="9"/>
        <v>0</v>
      </c>
      <c r="AA5" s="7"/>
      <c r="AB5">
        <f t="shared" ref="AB5:AC32" si="10">ED5</f>
        <v>2180000</v>
      </c>
      <c r="AC5">
        <f t="shared" si="10"/>
        <v>5180000</v>
      </c>
      <c r="AF5" s="7">
        <f t="shared" ref="AF5:AG32" si="11">EQ5</f>
        <v>0</v>
      </c>
      <c r="AG5" s="7">
        <f t="shared" si="11"/>
        <v>0</v>
      </c>
      <c r="AH5" s="7"/>
      <c r="AI5" s="7"/>
      <c r="AJ5">
        <f t="shared" ref="AJ5:AK32" si="12">FD5</f>
        <v>0</v>
      </c>
      <c r="AK5">
        <f t="shared" si="12"/>
        <v>0</v>
      </c>
      <c r="AN5">
        <f t="shared" ref="AN5:AO32" si="13">FQ5</f>
        <v>0</v>
      </c>
      <c r="AO5">
        <f t="shared" si="13"/>
        <v>0</v>
      </c>
      <c r="BU5" s="25" t="s">
        <v>526</v>
      </c>
      <c r="BV5" s="6" t="s">
        <v>527</v>
      </c>
      <c r="BW5" s="21">
        <f>4*1000*1000</f>
        <v>4000000</v>
      </c>
      <c r="BX5" s="21">
        <f>4*1000*2500</f>
        <v>10000000</v>
      </c>
      <c r="BY5" s="22">
        <f>-PMT($CI$1,CI5,BW5)</f>
        <v>186200.80179816615</v>
      </c>
      <c r="BZ5" s="22">
        <f>-PMT($CI$1,CI5,BX5)</f>
        <v>465502.00449541537</v>
      </c>
      <c r="CA5">
        <f>4*15000</f>
        <v>60000</v>
      </c>
      <c r="CB5" s="22">
        <f>BY5+CA5</f>
        <v>246200.80179816615</v>
      </c>
      <c r="CC5" s="22">
        <f>BZ5+CA5</f>
        <v>525502.00449541537</v>
      </c>
      <c r="CD5">
        <f>BW5+CA5*6</f>
        <v>4360000</v>
      </c>
      <c r="CE5">
        <f>BX5+CA5*6</f>
        <v>10360000</v>
      </c>
      <c r="CF5" s="23" t="s">
        <v>528</v>
      </c>
      <c r="CG5" s="23" t="s">
        <v>529</v>
      </c>
      <c r="CH5" s="23" t="s">
        <v>530</v>
      </c>
      <c r="CI5" s="23">
        <v>50</v>
      </c>
      <c r="CO5" s="22">
        <f>CL5+CN5</f>
        <v>0</v>
      </c>
      <c r="CP5" s="22">
        <f>CM5+CN5</f>
        <v>0</v>
      </c>
      <c r="CQ5">
        <f>CJ5+CN5*6</f>
        <v>0</v>
      </c>
      <c r="CR5">
        <f>CK5+CN5*6</f>
        <v>0</v>
      </c>
      <c r="CW5" s="21">
        <f>1000*750+0.7*500000</f>
        <v>1100000</v>
      </c>
      <c r="CX5" s="21">
        <f>1000*750+0.7*2000000</f>
        <v>2150000</v>
      </c>
      <c r="CY5" s="21">
        <f>-PMT(0.04,DI5,CW5)</f>
        <v>51205.220494495697</v>
      </c>
      <c r="CZ5" s="21">
        <f>-PMT(0.04,DI5,CX5)</f>
        <v>100082.93096651431</v>
      </c>
      <c r="DA5" s="21">
        <f>15000*0.7</f>
        <v>10500</v>
      </c>
      <c r="DB5" s="21">
        <f>CY5+DA5</f>
        <v>61705.220494495697</v>
      </c>
      <c r="DC5" s="21">
        <f>CZ5+DA5</f>
        <v>110582.93096651431</v>
      </c>
      <c r="DD5" s="21">
        <f>CW5+6*DA5</f>
        <v>1163000</v>
      </c>
      <c r="DE5" s="21">
        <f>CX5+DA5*6</f>
        <v>2213000</v>
      </c>
      <c r="DF5" s="6" t="s">
        <v>531</v>
      </c>
      <c r="DG5" s="26" t="s">
        <v>532</v>
      </c>
      <c r="DH5" s="6" t="s">
        <v>530</v>
      </c>
      <c r="DI5">
        <v>50</v>
      </c>
      <c r="DW5">
        <f>2*1000*1000</f>
        <v>2000000</v>
      </c>
      <c r="DX5">
        <f>2*1000*2500</f>
        <v>5000000</v>
      </c>
      <c r="DY5" s="22">
        <f>-PMT(0.04,EI5,DW5)</f>
        <v>93100.400899083077</v>
      </c>
      <c r="DZ5" s="22">
        <f>-PMT(0.04,EI5,DX5)</f>
        <v>232751.00224770769</v>
      </c>
      <c r="EA5">
        <f>2*15000</f>
        <v>30000</v>
      </c>
      <c r="EB5">
        <f>DY5+EA5</f>
        <v>123100.40089908308</v>
      </c>
      <c r="EC5">
        <f>DZ5+EA5</f>
        <v>262751.00224770769</v>
      </c>
      <c r="ED5">
        <f>DW5+EA5*6</f>
        <v>2180000</v>
      </c>
      <c r="EE5">
        <f>DX5+EA5*6</f>
        <v>5180000</v>
      </c>
      <c r="EF5" s="23" t="s">
        <v>533</v>
      </c>
      <c r="EG5" s="23" t="s">
        <v>534</v>
      </c>
      <c r="EH5" s="23" t="s">
        <v>535</v>
      </c>
      <c r="EI5">
        <v>50</v>
      </c>
    </row>
    <row r="6" spans="1:177" ht="120" hidden="1" x14ac:dyDescent="0.25">
      <c r="A6" s="406" t="s">
        <v>2</v>
      </c>
      <c r="B6" s="407" t="s">
        <v>236</v>
      </c>
      <c r="C6" s="243" t="s">
        <v>514</v>
      </c>
      <c r="D6" s="21">
        <f t="shared" si="0"/>
        <v>560000</v>
      </c>
      <c r="E6" s="21">
        <f t="shared" si="0"/>
        <v>1060000</v>
      </c>
      <c r="F6" s="21">
        <f t="shared" si="0"/>
        <v>52909.999610976782</v>
      </c>
      <c r="G6" s="21">
        <f t="shared" si="0"/>
        <v>95819.999221953563</v>
      </c>
      <c r="H6" s="21">
        <f t="shared" si="1"/>
        <v>560000</v>
      </c>
      <c r="I6" s="21">
        <f t="shared" si="1"/>
        <v>1060000</v>
      </c>
      <c r="J6" s="21">
        <f t="shared" si="2"/>
        <v>52909.999610976782</v>
      </c>
      <c r="K6" s="21">
        <f t="shared" si="2"/>
        <v>95819.999221953563</v>
      </c>
      <c r="L6" s="21">
        <f t="shared" si="3"/>
        <v>0</v>
      </c>
      <c r="M6" s="21">
        <f t="shared" si="3"/>
        <v>0</v>
      </c>
      <c r="N6" s="21">
        <f t="shared" si="4"/>
        <v>0</v>
      </c>
      <c r="O6" s="21">
        <f t="shared" si="4"/>
        <v>0</v>
      </c>
      <c r="P6" s="21">
        <f t="shared" si="5"/>
        <v>0</v>
      </c>
      <c r="Q6" s="21">
        <f t="shared" si="5"/>
        <v>0</v>
      </c>
      <c r="R6" s="21">
        <f t="shared" si="6"/>
        <v>0</v>
      </c>
      <c r="S6" s="21">
        <f t="shared" si="6"/>
        <v>0</v>
      </c>
      <c r="T6" s="21">
        <f t="shared" si="7"/>
        <v>0</v>
      </c>
      <c r="U6" s="21">
        <f t="shared" si="7"/>
        <v>0</v>
      </c>
      <c r="V6" s="21">
        <f t="shared" si="8"/>
        <v>0</v>
      </c>
      <c r="W6" s="21">
        <f t="shared" si="8"/>
        <v>0</v>
      </c>
      <c r="X6" s="7">
        <f t="shared" si="9"/>
        <v>504000</v>
      </c>
      <c r="Y6" s="7">
        <f t="shared" si="9"/>
        <v>954000</v>
      </c>
      <c r="Z6" s="7">
        <f t="shared" si="9"/>
        <v>0</v>
      </c>
      <c r="AA6" s="7"/>
      <c r="AB6">
        <f t="shared" si="10"/>
        <v>504000</v>
      </c>
      <c r="AC6">
        <f t="shared" si="10"/>
        <v>954000</v>
      </c>
      <c r="AF6" s="7">
        <f t="shared" si="11"/>
        <v>0</v>
      </c>
      <c r="AG6" s="7">
        <f t="shared" si="11"/>
        <v>0</v>
      </c>
      <c r="AH6" s="7"/>
      <c r="AI6" s="7"/>
      <c r="AJ6">
        <f t="shared" si="12"/>
        <v>0</v>
      </c>
      <c r="AK6">
        <f t="shared" si="12"/>
        <v>0</v>
      </c>
      <c r="AN6">
        <f t="shared" si="13"/>
        <v>0</v>
      </c>
      <c r="AO6">
        <f t="shared" si="13"/>
        <v>0</v>
      </c>
      <c r="BU6" s="27" t="s">
        <v>536</v>
      </c>
      <c r="BV6" t="s">
        <v>537</v>
      </c>
      <c r="BW6">
        <f>10*50000</f>
        <v>500000</v>
      </c>
      <c r="BX6">
        <f>10*100000</f>
        <v>1000000</v>
      </c>
      <c r="BY6" s="22">
        <f>-PMT($CI$1,CI6,BW6)</f>
        <v>42909.999610976782</v>
      </c>
      <c r="BZ6" s="22">
        <f>-PMT($CI$1,CI6,BX6)</f>
        <v>85819.999221953563</v>
      </c>
      <c r="CA6">
        <f>0.02*BW6</f>
        <v>10000</v>
      </c>
      <c r="CB6" s="22">
        <f>BY6+CA6</f>
        <v>52909.999610976782</v>
      </c>
      <c r="CC6" s="22">
        <f>BZ6+CA6</f>
        <v>95819.999221953563</v>
      </c>
      <c r="CD6" s="21">
        <f>BW6+CA6*6</f>
        <v>560000</v>
      </c>
      <c r="CE6" s="21">
        <f>BX6+CA6*6</f>
        <v>1060000</v>
      </c>
      <c r="CF6" s="23" t="s">
        <v>538</v>
      </c>
      <c r="CG6" s="23" t="s">
        <v>539</v>
      </c>
      <c r="CH6" s="23" t="s">
        <v>540</v>
      </c>
      <c r="CI6" s="23">
        <v>16</v>
      </c>
      <c r="CO6" s="22">
        <f>CL6+CN6</f>
        <v>0</v>
      </c>
      <c r="CP6" s="22">
        <f>CM6+CN6</f>
        <v>0</v>
      </c>
      <c r="CQ6">
        <f>CJ6+CN6*6</f>
        <v>0</v>
      </c>
      <c r="CR6">
        <f>CK6+CN6*6</f>
        <v>0</v>
      </c>
      <c r="DW6">
        <f>9*50000</f>
        <v>450000</v>
      </c>
      <c r="DX6">
        <f>9*100000</f>
        <v>900000</v>
      </c>
      <c r="DY6" s="22">
        <f>-PMT(0.04,EI6,DW6)</f>
        <v>38618.999649879108</v>
      </c>
      <c r="DZ6" s="22">
        <f>-PMT(0.04,EI6,DX6)</f>
        <v>77237.999299758216</v>
      </c>
      <c r="EA6">
        <f>0.02*DW6</f>
        <v>9000</v>
      </c>
      <c r="EB6">
        <f>DY6+EA6</f>
        <v>47618.999649879108</v>
      </c>
      <c r="EC6">
        <f>DZ6+EA6</f>
        <v>86237.999299758216</v>
      </c>
      <c r="ED6">
        <f>DW6+EA6*6</f>
        <v>504000</v>
      </c>
      <c r="EE6">
        <f>DX6+EA6*6</f>
        <v>954000</v>
      </c>
      <c r="EF6" s="23" t="s">
        <v>541</v>
      </c>
      <c r="EG6" s="23" t="s">
        <v>542</v>
      </c>
      <c r="EH6" s="23" t="s">
        <v>543</v>
      </c>
      <c r="EI6">
        <v>16</v>
      </c>
    </row>
    <row r="7" spans="1:177" ht="195" hidden="1" x14ac:dyDescent="0.25">
      <c r="A7" s="406" t="s">
        <v>3</v>
      </c>
      <c r="B7" s="407" t="s">
        <v>235</v>
      </c>
      <c r="C7" s="243" t="s">
        <v>514</v>
      </c>
      <c r="D7" s="21">
        <f t="shared" si="0"/>
        <v>600000</v>
      </c>
      <c r="E7" s="21">
        <f t="shared" si="0"/>
        <v>600000</v>
      </c>
      <c r="F7" s="21">
        <f t="shared" si="0"/>
        <v>100000</v>
      </c>
      <c r="G7" s="21">
        <f t="shared" si="0"/>
        <v>100000</v>
      </c>
      <c r="H7" s="21">
        <f t="shared" si="1"/>
        <v>0</v>
      </c>
      <c r="I7" s="21">
        <f t="shared" si="1"/>
        <v>0</v>
      </c>
      <c r="J7" s="21">
        <f t="shared" si="2"/>
        <v>0</v>
      </c>
      <c r="K7" s="21">
        <f t="shared" si="2"/>
        <v>0</v>
      </c>
      <c r="L7" s="21">
        <f t="shared" si="3"/>
        <v>600000</v>
      </c>
      <c r="M7" s="21">
        <f t="shared" si="3"/>
        <v>600000</v>
      </c>
      <c r="N7" s="21">
        <f t="shared" si="4"/>
        <v>100000</v>
      </c>
      <c r="O7" s="21">
        <f t="shared" si="4"/>
        <v>100000</v>
      </c>
      <c r="P7" s="21">
        <f t="shared" si="5"/>
        <v>0</v>
      </c>
      <c r="Q7" s="21">
        <f t="shared" si="5"/>
        <v>0</v>
      </c>
      <c r="R7" s="21">
        <f t="shared" si="6"/>
        <v>0</v>
      </c>
      <c r="S7" s="21">
        <f t="shared" si="6"/>
        <v>0</v>
      </c>
      <c r="T7" s="21">
        <f t="shared" si="7"/>
        <v>0</v>
      </c>
      <c r="U7" s="21">
        <f t="shared" si="7"/>
        <v>0</v>
      </c>
      <c r="V7" s="21">
        <f t="shared" si="8"/>
        <v>0</v>
      </c>
      <c r="W7" s="21">
        <f t="shared" si="8"/>
        <v>0</v>
      </c>
      <c r="X7" s="7">
        <f t="shared" si="9"/>
        <v>600000</v>
      </c>
      <c r="Y7" s="7">
        <f t="shared" si="9"/>
        <v>600000</v>
      </c>
      <c r="Z7" s="7">
        <f t="shared" si="9"/>
        <v>0</v>
      </c>
      <c r="AA7" s="7"/>
      <c r="AB7">
        <f t="shared" si="10"/>
        <v>0</v>
      </c>
      <c r="AC7">
        <f t="shared" si="10"/>
        <v>0</v>
      </c>
      <c r="AF7" s="7">
        <f t="shared" si="11"/>
        <v>600000</v>
      </c>
      <c r="AG7" s="7">
        <f t="shared" si="11"/>
        <v>600000</v>
      </c>
      <c r="AH7" s="7"/>
      <c r="AI7" s="7"/>
      <c r="AJ7">
        <f t="shared" si="12"/>
        <v>0</v>
      </c>
      <c r="AK7">
        <f t="shared" si="12"/>
        <v>0</v>
      </c>
      <c r="AN7">
        <f t="shared" si="13"/>
        <v>0</v>
      </c>
      <c r="AO7">
        <f t="shared" si="13"/>
        <v>0</v>
      </c>
      <c r="BU7" s="27" t="s">
        <v>544</v>
      </c>
      <c r="BV7" t="s">
        <v>545</v>
      </c>
      <c r="CN7" s="21">
        <v>100000</v>
      </c>
      <c r="CO7" s="21">
        <f>CL7+CN7</f>
        <v>100000</v>
      </c>
      <c r="CP7" s="21">
        <f>CM7+CN7</f>
        <v>100000</v>
      </c>
      <c r="CQ7" s="21">
        <f>CJ7+CN7*6</f>
        <v>600000</v>
      </c>
      <c r="CR7" s="21">
        <f>CK7+CN7*6</f>
        <v>600000</v>
      </c>
      <c r="CS7" s="23" t="s">
        <v>546</v>
      </c>
      <c r="CT7" s="23"/>
      <c r="CU7" s="23" t="s">
        <v>547</v>
      </c>
      <c r="EL7" s="21"/>
      <c r="EM7" s="21"/>
      <c r="EN7" s="21">
        <v>100000</v>
      </c>
      <c r="EO7" s="21">
        <f>EL7+EN7</f>
        <v>100000</v>
      </c>
      <c r="EP7" s="21">
        <f>EM7+EN7</f>
        <v>100000</v>
      </c>
      <c r="EQ7" s="21">
        <f>EJ7+EN7*6</f>
        <v>600000</v>
      </c>
      <c r="ER7" s="21">
        <f>EK7+EN7*6</f>
        <v>600000</v>
      </c>
      <c r="ES7" s="23" t="s">
        <v>546</v>
      </c>
      <c r="ET7" s="23"/>
      <c r="EU7" s="23" t="s">
        <v>547</v>
      </c>
    </row>
    <row r="8" spans="1:177" hidden="1" x14ac:dyDescent="0.25">
      <c r="A8" s="408" t="s">
        <v>4</v>
      </c>
      <c r="B8" s="409" t="s">
        <v>234</v>
      </c>
      <c r="C8" s="243"/>
      <c r="D8" s="21">
        <f t="shared" si="0"/>
        <v>0</v>
      </c>
      <c r="E8" s="21">
        <f t="shared" si="0"/>
        <v>0</v>
      </c>
      <c r="F8" s="21">
        <f t="shared" si="0"/>
        <v>0</v>
      </c>
      <c r="G8" s="21">
        <f t="shared" si="0"/>
        <v>0</v>
      </c>
      <c r="H8" s="21">
        <f t="shared" si="1"/>
        <v>0</v>
      </c>
      <c r="I8" s="21">
        <f t="shared" si="1"/>
        <v>0</v>
      </c>
      <c r="J8" s="21">
        <f t="shared" si="2"/>
        <v>0</v>
      </c>
      <c r="K8" s="21">
        <f t="shared" si="2"/>
        <v>0</v>
      </c>
      <c r="L8" s="21">
        <f t="shared" si="3"/>
        <v>0</v>
      </c>
      <c r="M8" s="21">
        <f t="shared" si="3"/>
        <v>0</v>
      </c>
      <c r="N8" s="21">
        <f t="shared" si="4"/>
        <v>0</v>
      </c>
      <c r="O8" s="21">
        <f t="shared" si="4"/>
        <v>0</v>
      </c>
      <c r="P8" s="21">
        <f t="shared" si="5"/>
        <v>0</v>
      </c>
      <c r="Q8" s="21">
        <f t="shared" si="5"/>
        <v>0</v>
      </c>
      <c r="R8" s="21">
        <f t="shared" si="6"/>
        <v>0</v>
      </c>
      <c r="S8" s="21">
        <f t="shared" si="6"/>
        <v>0</v>
      </c>
      <c r="T8" s="21">
        <f t="shared" si="7"/>
        <v>0</v>
      </c>
      <c r="U8" s="21">
        <f t="shared" si="7"/>
        <v>0</v>
      </c>
      <c r="V8" s="21">
        <f t="shared" si="8"/>
        <v>0</v>
      </c>
      <c r="W8" s="21">
        <f t="shared" si="8"/>
        <v>0</v>
      </c>
      <c r="X8" s="7">
        <f t="shared" si="9"/>
        <v>0</v>
      </c>
      <c r="Y8" s="7">
        <f t="shared" si="9"/>
        <v>0</v>
      </c>
      <c r="Z8" s="7">
        <f t="shared" si="9"/>
        <v>0</v>
      </c>
      <c r="AA8" s="7"/>
      <c r="AB8">
        <f t="shared" si="10"/>
        <v>0</v>
      </c>
      <c r="AC8">
        <f t="shared" si="10"/>
        <v>0</v>
      </c>
      <c r="AF8" s="7">
        <f t="shared" si="11"/>
        <v>0</v>
      </c>
      <c r="AG8" s="7">
        <f t="shared" si="11"/>
        <v>0</v>
      </c>
      <c r="AH8" s="7"/>
      <c r="AI8" s="7"/>
      <c r="AJ8">
        <f t="shared" si="12"/>
        <v>0</v>
      </c>
      <c r="AK8">
        <f t="shared" si="12"/>
        <v>0</v>
      </c>
      <c r="AN8">
        <f t="shared" si="13"/>
        <v>0</v>
      </c>
      <c r="AO8">
        <f t="shared" si="13"/>
        <v>0</v>
      </c>
    </row>
    <row r="9" spans="1:177" ht="105" hidden="1" x14ac:dyDescent="0.25">
      <c r="A9" s="406" t="s">
        <v>5</v>
      </c>
      <c r="B9" s="407" t="s">
        <v>233</v>
      </c>
      <c r="C9" s="243" t="s">
        <v>503</v>
      </c>
      <c r="D9" s="21">
        <f t="shared" si="0"/>
        <v>3025000</v>
      </c>
      <c r="E9" s="21">
        <f t="shared" si="0"/>
        <v>3525000</v>
      </c>
      <c r="F9" s="21">
        <f t="shared" si="0"/>
        <v>232075.24783415336</v>
      </c>
      <c r="G9" s="21">
        <f t="shared" si="0"/>
        <v>260990.29740098401</v>
      </c>
      <c r="H9" s="21">
        <f t="shared" si="1"/>
        <v>3025000</v>
      </c>
      <c r="I9" s="21">
        <f t="shared" si="1"/>
        <v>3525000</v>
      </c>
      <c r="J9" s="21">
        <f t="shared" si="2"/>
        <v>232075.24783415336</v>
      </c>
      <c r="K9" s="21">
        <f t="shared" si="2"/>
        <v>260990.29740098401</v>
      </c>
      <c r="L9" s="21">
        <f t="shared" si="3"/>
        <v>0</v>
      </c>
      <c r="M9" s="21">
        <f t="shared" si="3"/>
        <v>0</v>
      </c>
      <c r="N9" s="21">
        <f t="shared" si="4"/>
        <v>0</v>
      </c>
      <c r="O9" s="21">
        <f t="shared" si="4"/>
        <v>0</v>
      </c>
      <c r="P9" s="21">
        <f t="shared" si="5"/>
        <v>0</v>
      </c>
      <c r="Q9" s="21">
        <f t="shared" si="5"/>
        <v>0</v>
      </c>
      <c r="R9" s="21">
        <f t="shared" si="6"/>
        <v>0</v>
      </c>
      <c r="S9" s="21">
        <f t="shared" si="6"/>
        <v>0</v>
      </c>
      <c r="T9" s="21">
        <f t="shared" si="7"/>
        <v>0</v>
      </c>
      <c r="U9" s="21">
        <f t="shared" si="7"/>
        <v>0</v>
      </c>
      <c r="V9" s="21">
        <f t="shared" si="8"/>
        <v>0</v>
      </c>
      <c r="W9" s="21">
        <f t="shared" si="8"/>
        <v>0</v>
      </c>
      <c r="X9" s="7">
        <f t="shared" si="9"/>
        <v>3025000</v>
      </c>
      <c r="Y9" s="7">
        <f t="shared" si="9"/>
        <v>3525000</v>
      </c>
      <c r="Z9" s="7">
        <f t="shared" si="9"/>
        <v>0</v>
      </c>
      <c r="AA9" s="7"/>
      <c r="AB9">
        <f t="shared" si="10"/>
        <v>3025000</v>
      </c>
      <c r="AC9">
        <f t="shared" si="10"/>
        <v>3525000</v>
      </c>
      <c r="AF9" s="7">
        <f t="shared" si="11"/>
        <v>0</v>
      </c>
      <c r="AG9" s="7">
        <f t="shared" si="11"/>
        <v>0</v>
      </c>
      <c r="AH9" s="7"/>
      <c r="AI9" s="7"/>
      <c r="AJ9">
        <f t="shared" si="12"/>
        <v>0</v>
      </c>
      <c r="AK9">
        <f t="shared" si="12"/>
        <v>0</v>
      </c>
      <c r="AN9">
        <f t="shared" si="13"/>
        <v>0</v>
      </c>
      <c r="AO9">
        <f t="shared" si="13"/>
        <v>0</v>
      </c>
      <c r="BU9" t="s">
        <v>548</v>
      </c>
      <c r="BV9" t="s">
        <v>549</v>
      </c>
      <c r="BW9">
        <f>5000*500</f>
        <v>2500000</v>
      </c>
      <c r="BX9">
        <f>5000*600</f>
        <v>3000000</v>
      </c>
      <c r="BY9" s="21">
        <f>-PMT($CI$1,CI9,BW9)</f>
        <v>144575.24783415336</v>
      </c>
      <c r="BZ9" s="21">
        <f>-PMT($CI$1,CI9,BX9)</f>
        <v>173490.29740098401</v>
      </c>
      <c r="CA9" s="21">
        <f>5000*17.5</f>
        <v>87500</v>
      </c>
      <c r="CB9" s="21">
        <f>BY9+CA9</f>
        <v>232075.24783415336</v>
      </c>
      <c r="CC9" s="21">
        <f>BZ9+CA9</f>
        <v>260990.29740098401</v>
      </c>
      <c r="CD9" s="21">
        <f>BW9+CA9*6</f>
        <v>3025000</v>
      </c>
      <c r="CE9" s="21">
        <f>BX9+CA9*6</f>
        <v>3525000</v>
      </c>
      <c r="CF9" s="23" t="s">
        <v>550</v>
      </c>
      <c r="CG9" s="23" t="s">
        <v>551</v>
      </c>
      <c r="CH9" s="23" t="s">
        <v>552</v>
      </c>
      <c r="CI9" s="23">
        <v>30</v>
      </c>
      <c r="DW9">
        <f>5000*500</f>
        <v>2500000</v>
      </c>
      <c r="DX9">
        <f>5000*600</f>
        <v>3000000</v>
      </c>
      <c r="DY9">
        <f>-PMT($CI$1,EI9,DW9)</f>
        <v>144575.24783415336</v>
      </c>
      <c r="DZ9">
        <f>-PMT($CI$1,EI9,DX9)</f>
        <v>173490.29740098401</v>
      </c>
      <c r="EA9">
        <f>5000*17.5</f>
        <v>87500</v>
      </c>
      <c r="EB9">
        <f>DY9+EA9</f>
        <v>232075.24783415336</v>
      </c>
      <c r="EC9">
        <f>DZ9+EA9</f>
        <v>260990.29740098401</v>
      </c>
      <c r="ED9">
        <f>DW9+EA9*6</f>
        <v>3025000</v>
      </c>
      <c r="EE9">
        <f>DX9+EA9*6</f>
        <v>3525000</v>
      </c>
      <c r="EF9" t="s">
        <v>550</v>
      </c>
      <c r="EG9" t="s">
        <v>551</v>
      </c>
      <c r="EH9" t="s">
        <v>552</v>
      </c>
      <c r="EI9">
        <v>30</v>
      </c>
    </row>
    <row r="10" spans="1:177" ht="90" hidden="1" x14ac:dyDescent="0.25">
      <c r="A10" s="406" t="s">
        <v>6</v>
      </c>
      <c r="B10" s="407" t="s">
        <v>232</v>
      </c>
      <c r="C10" s="243" t="s">
        <v>503</v>
      </c>
      <c r="D10" s="21">
        <f t="shared" si="0"/>
        <v>5390000</v>
      </c>
      <c r="E10" s="21">
        <f t="shared" si="0"/>
        <v>6390000</v>
      </c>
      <c r="F10" s="21">
        <f t="shared" si="0"/>
        <v>432908.75164314441</v>
      </c>
      <c r="G10" s="21">
        <f t="shared" si="0"/>
        <v>506490.50197177334</v>
      </c>
      <c r="H10" s="21">
        <f t="shared" si="1"/>
        <v>5390000</v>
      </c>
      <c r="I10" s="21">
        <f t="shared" si="1"/>
        <v>6390000</v>
      </c>
      <c r="J10" s="21">
        <f t="shared" si="2"/>
        <v>432908.75164314441</v>
      </c>
      <c r="K10" s="21">
        <f t="shared" si="2"/>
        <v>506490.50197177334</v>
      </c>
      <c r="L10" s="21">
        <f t="shared" si="3"/>
        <v>0</v>
      </c>
      <c r="M10" s="21">
        <f t="shared" si="3"/>
        <v>0</v>
      </c>
      <c r="N10" s="21">
        <f t="shared" si="4"/>
        <v>0</v>
      </c>
      <c r="O10" s="21">
        <f t="shared" si="4"/>
        <v>0</v>
      </c>
      <c r="P10" s="21">
        <f t="shared" si="5"/>
        <v>0</v>
      </c>
      <c r="Q10" s="21">
        <f t="shared" si="5"/>
        <v>0</v>
      </c>
      <c r="R10" s="21">
        <f t="shared" si="6"/>
        <v>0</v>
      </c>
      <c r="S10" s="21">
        <f t="shared" si="6"/>
        <v>0</v>
      </c>
      <c r="T10" s="21">
        <f t="shared" si="7"/>
        <v>0</v>
      </c>
      <c r="U10" s="21">
        <f t="shared" si="7"/>
        <v>0</v>
      </c>
      <c r="V10" s="21">
        <f t="shared" si="8"/>
        <v>0</v>
      </c>
      <c r="W10" s="21">
        <f t="shared" si="8"/>
        <v>0</v>
      </c>
      <c r="X10" s="7">
        <f t="shared" si="9"/>
        <v>5390000</v>
      </c>
      <c r="Y10" s="7">
        <f t="shared" si="9"/>
        <v>6390000</v>
      </c>
      <c r="Z10" s="7">
        <f t="shared" si="9"/>
        <v>0</v>
      </c>
      <c r="AA10" s="7"/>
      <c r="AB10">
        <f t="shared" si="10"/>
        <v>5390000</v>
      </c>
      <c r="AC10">
        <f t="shared" si="10"/>
        <v>6390000</v>
      </c>
      <c r="AF10" s="7">
        <f t="shared" si="11"/>
        <v>0</v>
      </c>
      <c r="AG10" s="7">
        <f t="shared" si="11"/>
        <v>0</v>
      </c>
      <c r="AH10" s="7"/>
      <c r="AI10" s="7"/>
      <c r="AJ10">
        <f t="shared" si="12"/>
        <v>0</v>
      </c>
      <c r="AK10">
        <f t="shared" si="12"/>
        <v>0</v>
      </c>
      <c r="AN10">
        <f t="shared" si="13"/>
        <v>0</v>
      </c>
      <c r="AO10">
        <f t="shared" si="13"/>
        <v>0</v>
      </c>
      <c r="BU10" t="s">
        <v>553</v>
      </c>
      <c r="BV10" t="s">
        <v>554</v>
      </c>
      <c r="BW10">
        <f>1000*5000</f>
        <v>5000000</v>
      </c>
      <c r="BX10">
        <f>1000*6000</f>
        <v>6000000</v>
      </c>
      <c r="BY10" s="21">
        <f>-PMT($CI$1,CI10,BW10)</f>
        <v>367908.75164314441</v>
      </c>
      <c r="BZ10" s="21">
        <f>-PMT($CI$1,CI10,BX10)</f>
        <v>441490.50197177334</v>
      </c>
      <c r="CA10">
        <f>1000*65</f>
        <v>65000</v>
      </c>
      <c r="CB10" s="21">
        <f>BY10+CA10</f>
        <v>432908.75164314441</v>
      </c>
      <c r="CC10" s="21">
        <f>BZ10+CA10</f>
        <v>506490.50197177334</v>
      </c>
      <c r="CD10" s="21">
        <f>BW10+CA10*6</f>
        <v>5390000</v>
      </c>
      <c r="CE10" s="21">
        <f>BX10+CA10*6</f>
        <v>6390000</v>
      </c>
      <c r="CF10" s="23" t="s">
        <v>555</v>
      </c>
      <c r="CG10" s="23" t="s">
        <v>556</v>
      </c>
      <c r="CH10" s="23" t="s">
        <v>557</v>
      </c>
      <c r="CI10" s="23">
        <v>20</v>
      </c>
      <c r="DW10">
        <f>1000*5000</f>
        <v>5000000</v>
      </c>
      <c r="DX10">
        <f>1000*6000</f>
        <v>6000000</v>
      </c>
      <c r="DY10">
        <f>-PMT($CI$1,EI10,DW10)</f>
        <v>367908.75164314441</v>
      </c>
      <c r="DZ10">
        <f>-PMT($CI$1,EI10,DX10)</f>
        <v>441490.50197177334</v>
      </c>
      <c r="EA10">
        <f>1000*65</f>
        <v>65000</v>
      </c>
      <c r="EB10">
        <f>DY10+EA10</f>
        <v>432908.75164314441</v>
      </c>
      <c r="EC10">
        <f>DZ10+EA10</f>
        <v>506490.50197177334</v>
      </c>
      <c r="ED10">
        <f>DW10+EA10*6</f>
        <v>5390000</v>
      </c>
      <c r="EE10">
        <f>DX10+EA10*6</f>
        <v>6390000</v>
      </c>
      <c r="EF10" t="s">
        <v>555</v>
      </c>
      <c r="EG10" t="s">
        <v>556</v>
      </c>
      <c r="EH10" t="s">
        <v>557</v>
      </c>
      <c r="EI10">
        <v>20</v>
      </c>
    </row>
    <row r="11" spans="1:177" ht="90" x14ac:dyDescent="0.25">
      <c r="A11" s="406" t="s">
        <v>7</v>
      </c>
      <c r="B11" s="407" t="s">
        <v>231</v>
      </c>
      <c r="C11" s="243" t="s">
        <v>503</v>
      </c>
      <c r="D11" s="21">
        <f t="shared" si="0"/>
        <v>537600000</v>
      </c>
      <c r="E11" s="21">
        <f t="shared" si="0"/>
        <v>1017600000</v>
      </c>
      <c r="F11" s="21">
        <f t="shared" si="0"/>
        <v>32251274.875722669</v>
      </c>
      <c r="G11" s="21">
        <f t="shared" si="0"/>
        <v>56502549.751445338</v>
      </c>
      <c r="H11" s="21">
        <f t="shared" si="1"/>
        <v>291200000</v>
      </c>
      <c r="I11" s="21">
        <f t="shared" si="1"/>
        <v>551200000</v>
      </c>
      <c r="J11" s="21">
        <f t="shared" si="2"/>
        <v>18336107.224349778</v>
      </c>
      <c r="K11" s="21">
        <f t="shared" si="2"/>
        <v>31472214.448699556</v>
      </c>
      <c r="L11" s="21">
        <f t="shared" si="3"/>
        <v>89600000</v>
      </c>
      <c r="M11" s="21">
        <f t="shared" si="3"/>
        <v>169600000</v>
      </c>
      <c r="N11" s="21">
        <f t="shared" si="4"/>
        <v>4041879.1459537782</v>
      </c>
      <c r="O11" s="21">
        <f t="shared" si="4"/>
        <v>8083758.2919075564</v>
      </c>
      <c r="P11" s="21">
        <f t="shared" si="5"/>
        <v>156800000</v>
      </c>
      <c r="Q11" s="21">
        <f t="shared" si="5"/>
        <v>296800000</v>
      </c>
      <c r="R11" s="21">
        <f t="shared" si="6"/>
        <v>9873288.5054191127</v>
      </c>
      <c r="S11" s="21">
        <f t="shared" si="6"/>
        <v>16946577.010838225</v>
      </c>
      <c r="T11" s="21">
        <f t="shared" si="7"/>
        <v>0</v>
      </c>
      <c r="U11" s="21">
        <f t="shared" si="7"/>
        <v>0</v>
      </c>
      <c r="V11" s="21">
        <f t="shared" si="8"/>
        <v>0</v>
      </c>
      <c r="W11" s="21">
        <f t="shared" si="8"/>
        <v>0</v>
      </c>
      <c r="X11" s="7">
        <f t="shared" si="9"/>
        <v>210000</v>
      </c>
      <c r="Y11" s="7">
        <f t="shared" si="9"/>
        <v>700000</v>
      </c>
      <c r="Z11" s="7">
        <f t="shared" si="9"/>
        <v>0</v>
      </c>
      <c r="AA11" s="7"/>
      <c r="AB11">
        <f t="shared" si="10"/>
        <v>150000</v>
      </c>
      <c r="AC11">
        <f t="shared" si="10"/>
        <v>500000</v>
      </c>
      <c r="AF11" s="7">
        <f t="shared" si="11"/>
        <v>30000</v>
      </c>
      <c r="AG11" s="7">
        <f t="shared" si="11"/>
        <v>100000</v>
      </c>
      <c r="AH11" s="7"/>
      <c r="AI11" s="7"/>
      <c r="AJ11">
        <f t="shared" si="12"/>
        <v>30000</v>
      </c>
      <c r="AK11">
        <f t="shared" si="12"/>
        <v>100000</v>
      </c>
      <c r="AN11">
        <f t="shared" si="13"/>
        <v>0</v>
      </c>
      <c r="AO11">
        <f t="shared" si="13"/>
        <v>0</v>
      </c>
      <c r="BU11" s="6" t="s">
        <v>558</v>
      </c>
      <c r="BV11" s="6" t="s">
        <v>559</v>
      </c>
      <c r="BW11" s="21">
        <f>13*20000000</f>
        <v>260000000</v>
      </c>
      <c r="BX11" s="21">
        <f>13*40000000</f>
        <v>520000000</v>
      </c>
      <c r="BY11" s="21">
        <f>-PMT(0.04,CI11,BW11)</f>
        <v>13136107.224349778</v>
      </c>
      <c r="BZ11" s="21">
        <f>-PMT($CI$1,CI11,BX11)</f>
        <v>26272214.448699556</v>
      </c>
      <c r="CA11" s="21">
        <f>BW11*0.02</f>
        <v>5200000</v>
      </c>
      <c r="CB11" s="21">
        <f>BY11+CA11</f>
        <v>18336107.224349778</v>
      </c>
      <c r="CC11" s="21">
        <f>BZ11+CA11</f>
        <v>31472214.448699556</v>
      </c>
      <c r="CD11" s="21">
        <f>BW11+CA11*6</f>
        <v>291200000</v>
      </c>
      <c r="CE11" s="21">
        <f>BX11+CA11*6</f>
        <v>551200000</v>
      </c>
      <c r="CF11" s="23" t="s">
        <v>560</v>
      </c>
      <c r="CG11" s="23" t="s">
        <v>561</v>
      </c>
      <c r="CH11" s="23" t="s">
        <v>562</v>
      </c>
      <c r="CI11" s="23">
        <v>40</v>
      </c>
      <c r="CL11">
        <f>4*20000000</f>
        <v>80000000</v>
      </c>
      <c r="CM11">
        <f>4*40000000</f>
        <v>160000000</v>
      </c>
      <c r="CN11">
        <f>0.02*CL11</f>
        <v>1600000</v>
      </c>
      <c r="CO11" s="22">
        <f>-PMT(0.04,$CV11,CL11)</f>
        <v>4041879.1459537782</v>
      </c>
      <c r="CP11" s="22">
        <f>-PMT(0.04,$CV11,CM11)</f>
        <v>8083758.2919075564</v>
      </c>
      <c r="CQ11" s="22">
        <f>CN11*6+CL11</f>
        <v>89600000</v>
      </c>
      <c r="CR11" s="22">
        <f>CN11*6+CM11</f>
        <v>169600000</v>
      </c>
      <c r="CS11" s="23" t="s">
        <v>563</v>
      </c>
      <c r="CT11" s="23" t="s">
        <v>564</v>
      </c>
      <c r="CU11" s="23" t="s">
        <v>565</v>
      </c>
      <c r="CV11">
        <v>40</v>
      </c>
      <c r="CW11" s="21">
        <f>7*20000000</f>
        <v>140000000</v>
      </c>
      <c r="CX11" s="21">
        <f>7*40000000</f>
        <v>280000000</v>
      </c>
      <c r="CY11" s="21">
        <f>-PMT(0.04,DI11,CW11)</f>
        <v>7073288.5054191118</v>
      </c>
      <c r="CZ11" s="21">
        <f>-PMT(0.04,DI11,CX11)</f>
        <v>14146577.010838224</v>
      </c>
      <c r="DA11" s="21">
        <f>0.02*CW11</f>
        <v>2800000</v>
      </c>
      <c r="DB11" s="21">
        <f>CY11+DA11</f>
        <v>9873288.5054191127</v>
      </c>
      <c r="DC11" s="21">
        <f>CZ11+DA11</f>
        <v>16946577.010838225</v>
      </c>
      <c r="DD11" s="21">
        <f>CW11+DA11*6</f>
        <v>156800000</v>
      </c>
      <c r="DE11" s="21">
        <f>CX11+6*DA11</f>
        <v>296800000</v>
      </c>
      <c r="DF11" s="23" t="s">
        <v>566</v>
      </c>
      <c r="DG11" s="23" t="s">
        <v>567</v>
      </c>
      <c r="DH11" s="23" t="s">
        <v>568</v>
      </c>
      <c r="DI11">
        <v>40</v>
      </c>
      <c r="DW11">
        <f>5*30000</f>
        <v>150000</v>
      </c>
      <c r="DX11">
        <f>5*100000</f>
        <v>500000</v>
      </c>
      <c r="DY11" s="22">
        <f>-PMT(0.04,EI11, DW11)</f>
        <v>28614.285376193104</v>
      </c>
      <c r="DZ11" s="22">
        <f>-PMT(0.04, EI11, DX11)</f>
        <v>95380.951253977008</v>
      </c>
      <c r="EA11">
        <v>0</v>
      </c>
      <c r="EB11">
        <f>DY11+EA11</f>
        <v>28614.285376193104</v>
      </c>
      <c r="EC11">
        <f>DZ11+EA11</f>
        <v>95380.951253977008</v>
      </c>
      <c r="ED11">
        <f>DW11+6*EA11</f>
        <v>150000</v>
      </c>
      <c r="EE11">
        <f>DX11+6*EA11</f>
        <v>500000</v>
      </c>
      <c r="EF11" t="s">
        <v>569</v>
      </c>
      <c r="EG11" t="s">
        <v>570</v>
      </c>
      <c r="EH11" t="s">
        <v>571</v>
      </c>
      <c r="EI11">
        <v>6</v>
      </c>
      <c r="EJ11">
        <v>30000</v>
      </c>
      <c r="EK11">
        <v>100000</v>
      </c>
      <c r="EL11" s="22">
        <f>-PMT(0.04,$EV$11,EJ11)</f>
        <v>1734.9029740098401</v>
      </c>
      <c r="EM11" s="22">
        <f>-PMT(0.04,$EV$11,EK11)</f>
        <v>5783.0099133661342</v>
      </c>
      <c r="EN11">
        <v>0</v>
      </c>
      <c r="EO11">
        <v>1734.9029740098401</v>
      </c>
      <c r="EP11">
        <v>5783.0099133661342</v>
      </c>
      <c r="EQ11">
        <f>EJ11+EN11*6</f>
        <v>30000</v>
      </c>
      <c r="ER11">
        <f>EK11+EN11*6</f>
        <v>100000</v>
      </c>
      <c r="ES11" t="s">
        <v>572</v>
      </c>
      <c r="ET11" t="s">
        <v>573</v>
      </c>
      <c r="EU11" t="s">
        <v>571</v>
      </c>
      <c r="EV11">
        <v>30</v>
      </c>
      <c r="EW11">
        <v>30000</v>
      </c>
      <c r="EX11">
        <v>100000</v>
      </c>
      <c r="EY11">
        <f>-PMT(0.04,$EV$11,EW11)</f>
        <v>1734.9029740098401</v>
      </c>
      <c r="EZ11">
        <f>-PMT(0.04,$EV$11,EX11)</f>
        <v>5783.0099133661342</v>
      </c>
      <c r="FA11">
        <v>0</v>
      </c>
      <c r="FB11">
        <f>EY11</f>
        <v>1734.9029740098401</v>
      </c>
      <c r="FC11">
        <f>EZ11</f>
        <v>5783.0099133661342</v>
      </c>
      <c r="FD11">
        <f>EW11+FA11*6</f>
        <v>30000</v>
      </c>
      <c r="FE11">
        <f>EX11+6*FA11</f>
        <v>100000</v>
      </c>
      <c r="FG11" t="s">
        <v>574</v>
      </c>
      <c r="FH11" t="s">
        <v>575</v>
      </c>
      <c r="FI11">
        <v>30</v>
      </c>
    </row>
    <row r="12" spans="1:177" ht="38.25" hidden="1" x14ac:dyDescent="0.25">
      <c r="A12" s="406" t="s">
        <v>8</v>
      </c>
      <c r="B12" s="407" t="s">
        <v>230</v>
      </c>
      <c r="C12" s="243" t="s">
        <v>503</v>
      </c>
      <c r="D12" s="21">
        <f t="shared" si="0"/>
        <v>0</v>
      </c>
      <c r="E12" s="21">
        <f t="shared" si="0"/>
        <v>0</v>
      </c>
      <c r="F12" s="21">
        <f t="shared" si="0"/>
        <v>0</v>
      </c>
      <c r="G12" s="21">
        <f t="shared" si="0"/>
        <v>0</v>
      </c>
      <c r="H12" s="21">
        <f t="shared" si="1"/>
        <v>0</v>
      </c>
      <c r="I12" s="21">
        <f t="shared" si="1"/>
        <v>0</v>
      </c>
      <c r="J12" s="21">
        <f t="shared" si="2"/>
        <v>0</v>
      </c>
      <c r="K12" s="21">
        <f t="shared" si="2"/>
        <v>0</v>
      </c>
      <c r="L12" s="21">
        <f t="shared" si="3"/>
        <v>0</v>
      </c>
      <c r="M12" s="21">
        <f t="shared" si="3"/>
        <v>0</v>
      </c>
      <c r="N12" s="21">
        <f t="shared" si="4"/>
        <v>0</v>
      </c>
      <c r="O12" s="21">
        <f t="shared" si="4"/>
        <v>0</v>
      </c>
      <c r="P12" s="21">
        <f t="shared" si="5"/>
        <v>0</v>
      </c>
      <c r="Q12" s="21">
        <f t="shared" si="5"/>
        <v>0</v>
      </c>
      <c r="R12" s="21">
        <f t="shared" si="6"/>
        <v>0</v>
      </c>
      <c r="S12" s="21">
        <f t="shared" si="6"/>
        <v>0</v>
      </c>
      <c r="T12" s="21">
        <f t="shared" si="7"/>
        <v>0</v>
      </c>
      <c r="U12" s="21">
        <f t="shared" si="7"/>
        <v>0</v>
      </c>
      <c r="V12" s="21">
        <f t="shared" si="8"/>
        <v>0</v>
      </c>
      <c r="W12" s="21">
        <f t="shared" si="8"/>
        <v>0</v>
      </c>
      <c r="X12" s="7">
        <f t="shared" si="9"/>
        <v>0</v>
      </c>
      <c r="Y12" s="7">
        <f t="shared" si="9"/>
        <v>0</v>
      </c>
      <c r="Z12" s="7">
        <f t="shared" si="9"/>
        <v>0</v>
      </c>
      <c r="AA12" s="7"/>
      <c r="AB12">
        <f t="shared" si="10"/>
        <v>0</v>
      </c>
      <c r="AC12">
        <f t="shared" si="10"/>
        <v>0</v>
      </c>
      <c r="AF12" s="7">
        <f t="shared" si="11"/>
        <v>0</v>
      </c>
      <c r="AG12" s="7">
        <f t="shared" si="11"/>
        <v>0</v>
      </c>
      <c r="AH12" s="7"/>
      <c r="AI12" s="7"/>
      <c r="AJ12">
        <f t="shared" si="12"/>
        <v>0</v>
      </c>
      <c r="AK12">
        <f t="shared" si="12"/>
        <v>0</v>
      </c>
      <c r="AN12">
        <f t="shared" si="13"/>
        <v>0</v>
      </c>
      <c r="AO12">
        <f t="shared" si="13"/>
        <v>0</v>
      </c>
    </row>
    <row r="13" spans="1:177" hidden="1" x14ac:dyDescent="0.25">
      <c r="A13" s="406" t="s">
        <v>9</v>
      </c>
      <c r="B13" s="407" t="s">
        <v>229</v>
      </c>
      <c r="C13" s="243" t="s">
        <v>503</v>
      </c>
      <c r="D13" s="21">
        <f t="shared" si="0"/>
        <v>0</v>
      </c>
      <c r="E13" s="21">
        <f t="shared" si="0"/>
        <v>0</v>
      </c>
      <c r="F13" s="21">
        <f t="shared" si="0"/>
        <v>0</v>
      </c>
      <c r="G13" s="21">
        <f t="shared" si="0"/>
        <v>0</v>
      </c>
      <c r="H13" s="21">
        <f t="shared" si="1"/>
        <v>0</v>
      </c>
      <c r="I13" s="21">
        <f t="shared" si="1"/>
        <v>0</v>
      </c>
      <c r="J13" s="21">
        <f t="shared" si="2"/>
        <v>0</v>
      </c>
      <c r="K13" s="21">
        <f t="shared" si="2"/>
        <v>0</v>
      </c>
      <c r="L13" s="21">
        <f t="shared" si="3"/>
        <v>0</v>
      </c>
      <c r="M13" s="21">
        <f t="shared" si="3"/>
        <v>0</v>
      </c>
      <c r="N13" s="21">
        <f t="shared" si="4"/>
        <v>0</v>
      </c>
      <c r="O13" s="21">
        <f t="shared" si="4"/>
        <v>0</v>
      </c>
      <c r="P13" s="21">
        <f t="shared" si="5"/>
        <v>0</v>
      </c>
      <c r="Q13" s="21">
        <f t="shared" si="5"/>
        <v>0</v>
      </c>
      <c r="R13" s="21">
        <f t="shared" si="6"/>
        <v>0</v>
      </c>
      <c r="S13" s="21">
        <f t="shared" si="6"/>
        <v>0</v>
      </c>
      <c r="T13" s="21">
        <f t="shared" si="7"/>
        <v>0</v>
      </c>
      <c r="U13" s="21">
        <f t="shared" si="7"/>
        <v>0</v>
      </c>
      <c r="V13" s="21">
        <f t="shared" si="8"/>
        <v>0</v>
      </c>
      <c r="W13" s="21">
        <f t="shared" si="8"/>
        <v>0</v>
      </c>
      <c r="X13" s="7">
        <f t="shared" si="9"/>
        <v>0</v>
      </c>
      <c r="Y13" s="7">
        <f t="shared" si="9"/>
        <v>0</v>
      </c>
      <c r="Z13" s="7">
        <f t="shared" si="9"/>
        <v>0</v>
      </c>
      <c r="AA13" s="7"/>
      <c r="AB13">
        <f t="shared" si="10"/>
        <v>0</v>
      </c>
      <c r="AC13">
        <f t="shared" si="10"/>
        <v>0</v>
      </c>
      <c r="AF13" s="7">
        <f t="shared" si="11"/>
        <v>0</v>
      </c>
      <c r="AG13" s="7">
        <f t="shared" si="11"/>
        <v>0</v>
      </c>
      <c r="AH13" s="7"/>
      <c r="AI13" s="7"/>
      <c r="AJ13">
        <f t="shared" si="12"/>
        <v>0</v>
      </c>
      <c r="AK13">
        <f t="shared" si="12"/>
        <v>0</v>
      </c>
      <c r="AN13">
        <f t="shared" si="13"/>
        <v>0</v>
      </c>
      <c r="AO13">
        <f t="shared" si="13"/>
        <v>0</v>
      </c>
    </row>
    <row r="14" spans="1:177" ht="135" hidden="1" x14ac:dyDescent="0.25">
      <c r="A14" s="406" t="s">
        <v>10</v>
      </c>
      <c r="B14" s="407" t="s">
        <v>228</v>
      </c>
      <c r="C14" s="243" t="s">
        <v>514</v>
      </c>
      <c r="D14" s="21">
        <f t="shared" si="0"/>
        <v>3000000</v>
      </c>
      <c r="E14" s="21">
        <f t="shared" si="0"/>
        <v>4500000</v>
      </c>
      <c r="F14" s="21">
        <f t="shared" si="0"/>
        <v>173490.29740098401</v>
      </c>
      <c r="G14" s="21">
        <f t="shared" si="0"/>
        <v>260235.44610147603</v>
      </c>
      <c r="H14" s="21">
        <f t="shared" si="1"/>
        <v>3000000</v>
      </c>
      <c r="I14" s="21">
        <f t="shared" si="1"/>
        <v>4500000</v>
      </c>
      <c r="J14" s="21">
        <f t="shared" si="2"/>
        <v>173490.29740098401</v>
      </c>
      <c r="K14" s="21">
        <f t="shared" si="2"/>
        <v>260235.44610147603</v>
      </c>
      <c r="L14" s="21">
        <f t="shared" si="3"/>
        <v>0</v>
      </c>
      <c r="M14" s="21">
        <f t="shared" si="3"/>
        <v>0</v>
      </c>
      <c r="N14" s="21">
        <f t="shared" si="4"/>
        <v>0</v>
      </c>
      <c r="O14" s="21">
        <f t="shared" si="4"/>
        <v>0</v>
      </c>
      <c r="P14" s="21">
        <f t="shared" si="5"/>
        <v>0</v>
      </c>
      <c r="Q14" s="21">
        <f t="shared" si="5"/>
        <v>0</v>
      </c>
      <c r="R14" s="21">
        <f t="shared" si="6"/>
        <v>0</v>
      </c>
      <c r="S14" s="21">
        <f t="shared" si="6"/>
        <v>0</v>
      </c>
      <c r="T14" s="21">
        <f t="shared" si="7"/>
        <v>0</v>
      </c>
      <c r="U14" s="21">
        <f t="shared" si="7"/>
        <v>0</v>
      </c>
      <c r="V14" s="21">
        <f t="shared" si="8"/>
        <v>0</v>
      </c>
      <c r="W14" s="21">
        <f t="shared" si="8"/>
        <v>0</v>
      </c>
      <c r="X14" s="7">
        <f t="shared" si="9"/>
        <v>0</v>
      </c>
      <c r="Y14" s="7">
        <f t="shared" si="9"/>
        <v>0</v>
      </c>
      <c r="Z14" s="7">
        <f t="shared" si="9"/>
        <v>0</v>
      </c>
      <c r="AA14" s="7"/>
      <c r="AB14">
        <f t="shared" si="10"/>
        <v>0</v>
      </c>
      <c r="AC14">
        <f t="shared" si="10"/>
        <v>0</v>
      </c>
      <c r="AF14" s="7">
        <f t="shared" si="11"/>
        <v>0</v>
      </c>
      <c r="AG14" s="7">
        <f t="shared" si="11"/>
        <v>0</v>
      </c>
      <c r="AH14" s="7"/>
      <c r="AI14" s="7"/>
      <c r="AJ14">
        <f t="shared" si="12"/>
        <v>0</v>
      </c>
      <c r="AK14">
        <f t="shared" si="12"/>
        <v>0</v>
      </c>
      <c r="AN14">
        <f t="shared" si="13"/>
        <v>0</v>
      </c>
      <c r="AO14">
        <f t="shared" si="13"/>
        <v>0</v>
      </c>
      <c r="BV14" t="s">
        <v>576</v>
      </c>
      <c r="BW14">
        <v>3000000</v>
      </c>
      <c r="BX14">
        <f>750000*6</f>
        <v>4500000</v>
      </c>
      <c r="BY14" s="22">
        <f>-(PMT(0.04,$CI14,BW14))</f>
        <v>173490.29740098401</v>
      </c>
      <c r="BZ14" s="22">
        <f>-(PMT(0.04,$CI14,BX14))</f>
        <v>260235.44610147603</v>
      </c>
      <c r="CA14">
        <v>0</v>
      </c>
      <c r="CB14" s="22">
        <f>BY14+CA14</f>
        <v>173490.29740098401</v>
      </c>
      <c r="CC14" s="22">
        <f>BZ14+CA14</f>
        <v>260235.44610147603</v>
      </c>
      <c r="CD14">
        <f>BW14+CA14*6</f>
        <v>3000000</v>
      </c>
      <c r="CE14">
        <f>BX14+CA14*6</f>
        <v>4500000</v>
      </c>
      <c r="CF14" s="6" t="s">
        <v>1498</v>
      </c>
      <c r="CG14" t="s">
        <v>1499</v>
      </c>
      <c r="CI14">
        <v>30</v>
      </c>
      <c r="DF14" s="28"/>
      <c r="DG14" s="6"/>
      <c r="DH14" s="28"/>
    </row>
    <row r="15" spans="1:177" ht="120" hidden="1" x14ac:dyDescent="0.25">
      <c r="A15" s="406" t="s">
        <v>11</v>
      </c>
      <c r="B15" s="407" t="s">
        <v>227</v>
      </c>
      <c r="C15" s="243" t="s">
        <v>503</v>
      </c>
      <c r="D15" s="21">
        <f t="shared" si="0"/>
        <v>348000000</v>
      </c>
      <c r="E15" s="21">
        <f t="shared" si="0"/>
        <v>378000000</v>
      </c>
      <c r="F15" s="21">
        <f t="shared" si="0"/>
        <v>41674514.870049201</v>
      </c>
      <c r="G15" s="21">
        <f t="shared" si="0"/>
        <v>43409417.844059043</v>
      </c>
      <c r="H15" s="21">
        <f t="shared" si="1"/>
        <v>348000000</v>
      </c>
      <c r="I15" s="21">
        <f t="shared" si="1"/>
        <v>378000000</v>
      </c>
      <c r="J15" s="21">
        <f t="shared" si="2"/>
        <v>41674514.870049201</v>
      </c>
      <c r="K15" s="21">
        <f t="shared" si="2"/>
        <v>43409417.844059043</v>
      </c>
      <c r="L15" s="21">
        <f t="shared" si="3"/>
        <v>0</v>
      </c>
      <c r="M15" s="21">
        <f t="shared" si="3"/>
        <v>0</v>
      </c>
      <c r="N15" s="21">
        <f t="shared" si="4"/>
        <v>0</v>
      </c>
      <c r="O15" s="21">
        <f t="shared" si="4"/>
        <v>0</v>
      </c>
      <c r="P15" s="21">
        <f t="shared" si="5"/>
        <v>0</v>
      </c>
      <c r="Q15" s="21">
        <f t="shared" si="5"/>
        <v>0</v>
      </c>
      <c r="R15" s="21">
        <f t="shared" si="6"/>
        <v>0</v>
      </c>
      <c r="S15" s="21">
        <f t="shared" si="6"/>
        <v>0</v>
      </c>
      <c r="T15" s="21">
        <f t="shared" si="7"/>
        <v>0</v>
      </c>
      <c r="U15" s="21">
        <f t="shared" si="7"/>
        <v>0</v>
      </c>
      <c r="V15" s="21">
        <f t="shared" si="8"/>
        <v>0</v>
      </c>
      <c r="W15" s="21">
        <f t="shared" si="8"/>
        <v>0</v>
      </c>
      <c r="X15" s="7">
        <f t="shared" si="9"/>
        <v>348000000</v>
      </c>
      <c r="Y15" s="7">
        <f t="shared" si="9"/>
        <v>378000000</v>
      </c>
      <c r="Z15" s="7">
        <f t="shared" si="9"/>
        <v>0</v>
      </c>
      <c r="AA15" s="7"/>
      <c r="AB15">
        <f t="shared" si="10"/>
        <v>348000000</v>
      </c>
      <c r="AC15">
        <f t="shared" si="10"/>
        <v>378000000</v>
      </c>
      <c r="AF15" s="7">
        <f t="shared" si="11"/>
        <v>0</v>
      </c>
      <c r="AG15" s="7">
        <f t="shared" si="11"/>
        <v>0</v>
      </c>
      <c r="AH15" s="7"/>
      <c r="AI15" s="7"/>
      <c r="AJ15">
        <f t="shared" si="12"/>
        <v>0</v>
      </c>
      <c r="AK15">
        <f t="shared" si="12"/>
        <v>0</v>
      </c>
      <c r="AN15">
        <f t="shared" si="13"/>
        <v>0</v>
      </c>
      <c r="AO15">
        <f t="shared" si="13"/>
        <v>0</v>
      </c>
      <c r="BU15" t="s">
        <v>577</v>
      </c>
      <c r="BV15" t="s">
        <v>578</v>
      </c>
      <c r="BW15">
        <v>150000000</v>
      </c>
      <c r="BX15">
        <v>180000000</v>
      </c>
      <c r="BY15">
        <f>-PMT(0.04,CI15,BW15)</f>
        <v>8674514.870049201</v>
      </c>
      <c r="BZ15">
        <f>-PMT($CI$1,CI15,BX15)</f>
        <v>10409417.844059041</v>
      </c>
      <c r="CA15">
        <f>3*11000000</f>
        <v>33000000</v>
      </c>
      <c r="CB15">
        <f>BY15+CA15</f>
        <v>41674514.870049201</v>
      </c>
      <c r="CC15">
        <f>BZ15+CA15</f>
        <v>43409417.844059043</v>
      </c>
      <c r="CD15">
        <f>BW15+CA15*6</f>
        <v>348000000</v>
      </c>
      <c r="CE15">
        <f>BX15+CA15*6</f>
        <v>378000000</v>
      </c>
      <c r="CF15" s="23" t="s">
        <v>579</v>
      </c>
      <c r="CG15" s="23" t="s">
        <v>580</v>
      </c>
      <c r="CH15" s="23" t="s">
        <v>581</v>
      </c>
      <c r="CI15">
        <v>30</v>
      </c>
      <c r="DG15" s="23"/>
      <c r="DW15">
        <v>150000000</v>
      </c>
      <c r="DX15">
        <v>180000000</v>
      </c>
      <c r="DY15">
        <v>8674514.870049201</v>
      </c>
      <c r="DZ15">
        <v>10409417.844059041</v>
      </c>
      <c r="EA15">
        <v>33000000</v>
      </c>
      <c r="EB15">
        <v>41674514.870049201</v>
      </c>
      <c r="EC15">
        <v>43409417.844059043</v>
      </c>
      <c r="ED15">
        <v>348000000</v>
      </c>
      <c r="EE15">
        <v>378000000</v>
      </c>
      <c r="EF15" t="s">
        <v>579</v>
      </c>
      <c r="EG15" t="s">
        <v>580</v>
      </c>
      <c r="EH15" t="s">
        <v>581</v>
      </c>
      <c r="EI15">
        <v>30</v>
      </c>
    </row>
    <row r="16" spans="1:177" hidden="1" x14ac:dyDescent="0.25">
      <c r="A16" s="410" t="s">
        <v>12</v>
      </c>
      <c r="B16" s="411" t="s">
        <v>582</v>
      </c>
      <c r="C16" s="243"/>
      <c r="D16" s="21">
        <f t="shared" si="0"/>
        <v>0</v>
      </c>
      <c r="E16" s="21">
        <f t="shared" si="0"/>
        <v>0</v>
      </c>
      <c r="F16" s="21">
        <f t="shared" si="0"/>
        <v>0</v>
      </c>
      <c r="G16" s="21">
        <f t="shared" si="0"/>
        <v>0</v>
      </c>
      <c r="H16" s="21">
        <f t="shared" si="1"/>
        <v>0</v>
      </c>
      <c r="I16" s="21">
        <f t="shared" si="1"/>
        <v>0</v>
      </c>
      <c r="J16" s="21">
        <f t="shared" si="2"/>
        <v>0</v>
      </c>
      <c r="K16" s="21">
        <f t="shared" si="2"/>
        <v>0</v>
      </c>
      <c r="L16" s="21">
        <f t="shared" si="3"/>
        <v>0</v>
      </c>
      <c r="M16" s="21">
        <f t="shared" si="3"/>
        <v>0</v>
      </c>
      <c r="N16" s="21">
        <f t="shared" si="4"/>
        <v>0</v>
      </c>
      <c r="O16" s="21">
        <f t="shared" si="4"/>
        <v>0</v>
      </c>
      <c r="P16" s="21">
        <f t="shared" si="5"/>
        <v>0</v>
      </c>
      <c r="Q16" s="21">
        <f t="shared" si="5"/>
        <v>0</v>
      </c>
      <c r="R16" s="21">
        <f t="shared" si="6"/>
        <v>0</v>
      </c>
      <c r="S16" s="21">
        <f t="shared" si="6"/>
        <v>0</v>
      </c>
      <c r="T16" s="21">
        <f t="shared" si="7"/>
        <v>0</v>
      </c>
      <c r="U16" s="21">
        <f t="shared" si="7"/>
        <v>0</v>
      </c>
      <c r="V16" s="21">
        <f t="shared" si="8"/>
        <v>0</v>
      </c>
      <c r="W16" s="21">
        <f t="shared" si="8"/>
        <v>0</v>
      </c>
      <c r="X16" s="7">
        <f t="shared" si="9"/>
        <v>0</v>
      </c>
      <c r="Y16" s="7">
        <f t="shared" si="9"/>
        <v>0</v>
      </c>
      <c r="Z16" s="7">
        <f t="shared" si="9"/>
        <v>0</v>
      </c>
      <c r="AA16" s="7"/>
      <c r="AB16">
        <f t="shared" si="10"/>
        <v>0</v>
      </c>
      <c r="AC16">
        <f t="shared" si="10"/>
        <v>0</v>
      </c>
      <c r="AF16" s="7">
        <f t="shared" si="11"/>
        <v>0</v>
      </c>
      <c r="AG16" s="7">
        <f t="shared" si="11"/>
        <v>0</v>
      </c>
      <c r="AH16" s="7"/>
      <c r="AI16" s="7"/>
      <c r="AJ16">
        <f t="shared" si="12"/>
        <v>0</v>
      </c>
      <c r="AK16">
        <f t="shared" si="12"/>
        <v>0</v>
      </c>
      <c r="AN16">
        <f t="shared" si="13"/>
        <v>0</v>
      </c>
      <c r="AO16">
        <f t="shared" si="13"/>
        <v>0</v>
      </c>
      <c r="DG16" s="23"/>
    </row>
    <row r="17" spans="1:178" hidden="1" x14ac:dyDescent="0.25">
      <c r="A17" s="406" t="s">
        <v>13</v>
      </c>
      <c r="B17" s="407" t="s">
        <v>226</v>
      </c>
      <c r="C17" s="243"/>
      <c r="D17" s="21">
        <f t="shared" si="0"/>
        <v>0</v>
      </c>
      <c r="E17" s="21">
        <f t="shared" si="0"/>
        <v>0</v>
      </c>
      <c r="F17" s="21">
        <f t="shared" si="0"/>
        <v>0</v>
      </c>
      <c r="G17" s="21">
        <f t="shared" si="0"/>
        <v>0</v>
      </c>
      <c r="H17" s="21">
        <f t="shared" si="1"/>
        <v>0</v>
      </c>
      <c r="I17" s="21">
        <f t="shared" si="1"/>
        <v>0</v>
      </c>
      <c r="J17" s="21">
        <f t="shared" si="2"/>
        <v>0</v>
      </c>
      <c r="K17" s="21">
        <f t="shared" si="2"/>
        <v>0</v>
      </c>
      <c r="L17" s="21">
        <f t="shared" si="3"/>
        <v>0</v>
      </c>
      <c r="M17" s="21">
        <f t="shared" si="3"/>
        <v>0</v>
      </c>
      <c r="N17" s="21">
        <f t="shared" si="4"/>
        <v>0</v>
      </c>
      <c r="O17" s="21">
        <f t="shared" si="4"/>
        <v>0</v>
      </c>
      <c r="P17" s="21">
        <f t="shared" si="5"/>
        <v>0</v>
      </c>
      <c r="Q17" s="21">
        <f t="shared" si="5"/>
        <v>0</v>
      </c>
      <c r="R17" s="21">
        <f t="shared" si="6"/>
        <v>0</v>
      </c>
      <c r="S17" s="21">
        <f t="shared" si="6"/>
        <v>0</v>
      </c>
      <c r="T17" s="21">
        <f t="shared" si="7"/>
        <v>0</v>
      </c>
      <c r="U17" s="21">
        <f t="shared" si="7"/>
        <v>0</v>
      </c>
      <c r="V17" s="21">
        <f t="shared" si="8"/>
        <v>0</v>
      </c>
      <c r="W17" s="21">
        <f t="shared" si="8"/>
        <v>0</v>
      </c>
      <c r="X17" s="7">
        <f t="shared" si="9"/>
        <v>0</v>
      </c>
      <c r="Y17" s="7">
        <f t="shared" si="9"/>
        <v>0</v>
      </c>
      <c r="Z17" s="7">
        <f t="shared" si="9"/>
        <v>0</v>
      </c>
      <c r="AA17" s="7"/>
      <c r="AB17">
        <f t="shared" si="10"/>
        <v>0</v>
      </c>
      <c r="AC17">
        <f t="shared" si="10"/>
        <v>0</v>
      </c>
      <c r="AF17" s="7">
        <f t="shared" si="11"/>
        <v>0</v>
      </c>
      <c r="AG17" s="7">
        <f t="shared" si="11"/>
        <v>0</v>
      </c>
      <c r="AH17" s="7"/>
      <c r="AI17" s="7"/>
      <c r="AJ17">
        <f t="shared" si="12"/>
        <v>0</v>
      </c>
      <c r="AK17">
        <f t="shared" si="12"/>
        <v>0</v>
      </c>
      <c r="AN17">
        <f t="shared" si="13"/>
        <v>0</v>
      </c>
      <c r="AO17">
        <f t="shared" si="13"/>
        <v>0</v>
      </c>
    </row>
    <row r="18" spans="1:178" ht="25.5" hidden="1" x14ac:dyDescent="0.25">
      <c r="A18" s="410" t="s">
        <v>14</v>
      </c>
      <c r="B18" s="411" t="s">
        <v>583</v>
      </c>
      <c r="C18" s="243"/>
      <c r="D18" s="21">
        <f t="shared" si="0"/>
        <v>0</v>
      </c>
      <c r="E18" s="21">
        <f t="shared" si="0"/>
        <v>0</v>
      </c>
      <c r="F18" s="21">
        <f t="shared" si="0"/>
        <v>0</v>
      </c>
      <c r="G18" s="21">
        <f t="shared" si="0"/>
        <v>0</v>
      </c>
      <c r="H18" s="21">
        <f t="shared" si="1"/>
        <v>0</v>
      </c>
      <c r="I18" s="21">
        <f t="shared" si="1"/>
        <v>0</v>
      </c>
      <c r="J18" s="21">
        <f t="shared" si="2"/>
        <v>0</v>
      </c>
      <c r="K18" s="21">
        <f t="shared" si="2"/>
        <v>0</v>
      </c>
      <c r="L18" s="21">
        <f t="shared" si="3"/>
        <v>0</v>
      </c>
      <c r="M18" s="21">
        <f t="shared" si="3"/>
        <v>0</v>
      </c>
      <c r="N18" s="21">
        <f t="shared" si="4"/>
        <v>0</v>
      </c>
      <c r="O18" s="21">
        <f t="shared" si="4"/>
        <v>0</v>
      </c>
      <c r="P18" s="21">
        <f t="shared" si="5"/>
        <v>0</v>
      </c>
      <c r="Q18" s="21">
        <f t="shared" si="5"/>
        <v>0</v>
      </c>
      <c r="R18" s="21">
        <f t="shared" si="6"/>
        <v>0</v>
      </c>
      <c r="S18" s="21">
        <f t="shared" si="6"/>
        <v>0</v>
      </c>
      <c r="T18" s="21">
        <f t="shared" si="7"/>
        <v>0</v>
      </c>
      <c r="U18" s="21">
        <f t="shared" si="7"/>
        <v>0</v>
      </c>
      <c r="V18" s="21">
        <f t="shared" si="8"/>
        <v>0</v>
      </c>
      <c r="W18" s="21">
        <f t="shared" si="8"/>
        <v>0</v>
      </c>
      <c r="X18" s="7">
        <f t="shared" si="9"/>
        <v>0</v>
      </c>
      <c r="Y18" s="7">
        <f t="shared" si="9"/>
        <v>0</v>
      </c>
      <c r="Z18" s="7">
        <f t="shared" si="9"/>
        <v>0</v>
      </c>
      <c r="AA18" s="7"/>
      <c r="AB18">
        <f t="shared" si="10"/>
        <v>0</v>
      </c>
      <c r="AC18">
        <f t="shared" si="10"/>
        <v>0</v>
      </c>
      <c r="AF18" s="7">
        <f t="shared" si="11"/>
        <v>0</v>
      </c>
      <c r="AG18" s="7">
        <f t="shared" si="11"/>
        <v>0</v>
      </c>
      <c r="AH18" s="7"/>
      <c r="AI18" s="7"/>
      <c r="AJ18">
        <f t="shared" si="12"/>
        <v>0</v>
      </c>
      <c r="AK18">
        <f t="shared" si="12"/>
        <v>0</v>
      </c>
      <c r="AN18">
        <f t="shared" si="13"/>
        <v>0</v>
      </c>
      <c r="AO18">
        <f t="shared" si="13"/>
        <v>0</v>
      </c>
    </row>
    <row r="19" spans="1:178" ht="225" hidden="1" x14ac:dyDescent="0.25">
      <c r="A19" s="406" t="s">
        <v>15</v>
      </c>
      <c r="B19" s="407" t="s">
        <v>225</v>
      </c>
      <c r="C19" s="243" t="s">
        <v>514</v>
      </c>
      <c r="D19" s="21">
        <f t="shared" si="0"/>
        <v>3520000</v>
      </c>
      <c r="E19" s="21">
        <f t="shared" si="0"/>
        <v>19360000</v>
      </c>
      <c r="F19" s="21">
        <f t="shared" si="0"/>
        <v>259007.76115677369</v>
      </c>
      <c r="G19" s="21">
        <f t="shared" si="0"/>
        <v>1424542.6863622551</v>
      </c>
      <c r="H19" s="21">
        <f t="shared" si="1"/>
        <v>3520000</v>
      </c>
      <c r="I19" s="21">
        <f t="shared" si="1"/>
        <v>19360000</v>
      </c>
      <c r="J19" s="21">
        <f t="shared" si="2"/>
        <v>259007.76115677369</v>
      </c>
      <c r="K19" s="21">
        <f t="shared" si="2"/>
        <v>1424542.6863622551</v>
      </c>
      <c r="L19" s="21">
        <f t="shared" si="3"/>
        <v>0</v>
      </c>
      <c r="M19" s="21">
        <f t="shared" si="3"/>
        <v>0</v>
      </c>
      <c r="N19" s="21">
        <f t="shared" si="4"/>
        <v>0</v>
      </c>
      <c r="O19" s="21">
        <f t="shared" si="4"/>
        <v>0</v>
      </c>
      <c r="P19" s="21">
        <f t="shared" si="5"/>
        <v>0</v>
      </c>
      <c r="Q19" s="21">
        <f t="shared" si="5"/>
        <v>0</v>
      </c>
      <c r="R19" s="21">
        <f t="shared" si="6"/>
        <v>0</v>
      </c>
      <c r="S19" s="21">
        <f t="shared" si="6"/>
        <v>0</v>
      </c>
      <c r="T19" s="21">
        <f t="shared" si="7"/>
        <v>0</v>
      </c>
      <c r="U19" s="21">
        <f t="shared" si="7"/>
        <v>0</v>
      </c>
      <c r="V19" s="21">
        <f t="shared" si="8"/>
        <v>0</v>
      </c>
      <c r="W19" s="21">
        <f t="shared" si="8"/>
        <v>0</v>
      </c>
      <c r="X19" s="7">
        <f t="shared" si="9"/>
        <v>3520000</v>
      </c>
      <c r="Y19" s="7">
        <f t="shared" si="9"/>
        <v>19360000</v>
      </c>
      <c r="Z19" s="7">
        <f t="shared" si="9"/>
        <v>0</v>
      </c>
      <c r="AA19" s="7"/>
      <c r="AB19">
        <f t="shared" si="10"/>
        <v>3520000</v>
      </c>
      <c r="AC19">
        <f t="shared" si="10"/>
        <v>19360000</v>
      </c>
      <c r="AF19" s="7">
        <f t="shared" si="11"/>
        <v>0</v>
      </c>
      <c r="AG19" s="7">
        <f t="shared" si="11"/>
        <v>0</v>
      </c>
      <c r="AH19" s="7"/>
      <c r="AI19" s="7"/>
      <c r="AJ19">
        <f t="shared" si="12"/>
        <v>0</v>
      </c>
      <c r="AK19">
        <f t="shared" si="12"/>
        <v>0</v>
      </c>
      <c r="AN19">
        <f t="shared" si="13"/>
        <v>0</v>
      </c>
      <c r="AO19">
        <f t="shared" si="13"/>
        <v>0</v>
      </c>
      <c r="BU19" s="25" t="s">
        <v>584</v>
      </c>
      <c r="BV19" s="25" t="s">
        <v>585</v>
      </c>
      <c r="BW19">
        <f>176000*20</f>
        <v>3520000</v>
      </c>
      <c r="BX19">
        <f>176000*110</f>
        <v>19360000</v>
      </c>
      <c r="BY19">
        <f>-PMT(0.04,CI19,BW19)</f>
        <v>259007.76115677369</v>
      </c>
      <c r="BZ19">
        <f>-PMT($CI$1,CI19,BX19)</f>
        <v>1424542.6863622551</v>
      </c>
      <c r="CA19">
        <v>0</v>
      </c>
      <c r="CB19">
        <f>BY19+CA19</f>
        <v>259007.76115677369</v>
      </c>
      <c r="CC19">
        <f>BZ19+CA19</f>
        <v>1424542.6863622551</v>
      </c>
      <c r="CD19">
        <f>BW19+CA19*6</f>
        <v>3520000</v>
      </c>
      <c r="CE19">
        <f>BX19+CA19*6</f>
        <v>19360000</v>
      </c>
      <c r="CF19" s="23" t="s">
        <v>586</v>
      </c>
      <c r="CG19" s="23" t="s">
        <v>587</v>
      </c>
      <c r="CH19" s="29"/>
      <c r="CI19">
        <v>20</v>
      </c>
      <c r="DW19">
        <v>3520000</v>
      </c>
      <c r="DX19">
        <v>19360000</v>
      </c>
      <c r="DY19">
        <v>259007.76115677369</v>
      </c>
      <c r="DZ19">
        <v>1424542.6863622551</v>
      </c>
      <c r="EA19">
        <v>0</v>
      </c>
      <c r="EB19">
        <v>259007.76115677369</v>
      </c>
      <c r="EC19">
        <v>1424542.6863622551</v>
      </c>
      <c r="ED19">
        <v>3520000</v>
      </c>
      <c r="EE19">
        <v>19360000</v>
      </c>
      <c r="EF19" t="s">
        <v>586</v>
      </c>
      <c r="EG19" t="s">
        <v>587</v>
      </c>
      <c r="EI19">
        <v>20</v>
      </c>
    </row>
    <row r="20" spans="1:178" hidden="1" x14ac:dyDescent="0.25">
      <c r="A20" s="408" t="s">
        <v>16</v>
      </c>
      <c r="B20" s="409" t="s">
        <v>224</v>
      </c>
      <c r="C20" s="243"/>
      <c r="D20" s="21">
        <f t="shared" si="0"/>
        <v>0</v>
      </c>
      <c r="E20" s="21">
        <f t="shared" si="0"/>
        <v>0</v>
      </c>
      <c r="F20" s="21">
        <f t="shared" si="0"/>
        <v>0</v>
      </c>
      <c r="G20" s="21">
        <f t="shared" si="0"/>
        <v>0</v>
      </c>
      <c r="H20" s="21">
        <f t="shared" si="1"/>
        <v>0</v>
      </c>
      <c r="I20" s="21">
        <f t="shared" si="1"/>
        <v>0</v>
      </c>
      <c r="J20" s="21">
        <f t="shared" si="2"/>
        <v>0</v>
      </c>
      <c r="K20" s="21">
        <f t="shared" si="2"/>
        <v>0</v>
      </c>
      <c r="L20" s="21">
        <f t="shared" si="3"/>
        <v>0</v>
      </c>
      <c r="M20" s="21">
        <f t="shared" si="3"/>
        <v>0</v>
      </c>
      <c r="N20" s="21">
        <f t="shared" si="4"/>
        <v>0</v>
      </c>
      <c r="O20" s="21">
        <f t="shared" si="4"/>
        <v>0</v>
      </c>
      <c r="P20" s="21">
        <f t="shared" si="5"/>
        <v>0</v>
      </c>
      <c r="Q20" s="21">
        <f t="shared" si="5"/>
        <v>0</v>
      </c>
      <c r="R20" s="21">
        <f t="shared" si="6"/>
        <v>0</v>
      </c>
      <c r="S20" s="21">
        <f t="shared" si="6"/>
        <v>0</v>
      </c>
      <c r="T20" s="21">
        <f t="shared" si="7"/>
        <v>0</v>
      </c>
      <c r="U20" s="21">
        <f t="shared" si="7"/>
        <v>0</v>
      </c>
      <c r="V20" s="21">
        <f t="shared" si="8"/>
        <v>0</v>
      </c>
      <c r="W20" s="21">
        <f t="shared" si="8"/>
        <v>0</v>
      </c>
      <c r="X20" s="7">
        <f t="shared" si="9"/>
        <v>0</v>
      </c>
      <c r="Y20" s="7">
        <f t="shared" si="9"/>
        <v>0</v>
      </c>
      <c r="Z20" s="7">
        <f t="shared" si="9"/>
        <v>0</v>
      </c>
      <c r="AA20" s="7"/>
      <c r="AB20">
        <f t="shared" si="10"/>
        <v>0</v>
      </c>
      <c r="AC20">
        <f t="shared" si="10"/>
        <v>0</v>
      </c>
      <c r="AF20" s="7">
        <f t="shared" si="11"/>
        <v>0</v>
      </c>
      <c r="AG20" s="7">
        <f t="shared" si="11"/>
        <v>0</v>
      </c>
      <c r="AH20" s="7"/>
      <c r="AI20" s="7"/>
      <c r="AJ20">
        <f t="shared" si="12"/>
        <v>0</v>
      </c>
      <c r="AK20">
        <f t="shared" si="12"/>
        <v>0</v>
      </c>
      <c r="AN20">
        <f t="shared" si="13"/>
        <v>0</v>
      </c>
      <c r="AO20">
        <f t="shared" si="13"/>
        <v>0</v>
      </c>
    </row>
    <row r="21" spans="1:178" ht="105" x14ac:dyDescent="0.25">
      <c r="A21" s="406" t="s">
        <v>18</v>
      </c>
      <c r="B21" s="407" t="s">
        <v>223</v>
      </c>
      <c r="C21" s="243" t="s">
        <v>514</v>
      </c>
      <c r="D21" s="21">
        <f t="shared" si="0"/>
        <v>35950000</v>
      </c>
      <c r="E21" s="21">
        <f t="shared" si="0"/>
        <v>46200000</v>
      </c>
      <c r="F21" s="21">
        <f t="shared" si="0"/>
        <v>2756965.8239198541</v>
      </c>
      <c r="G21" s="21">
        <f t="shared" si="0"/>
        <v>3511178.7647882998</v>
      </c>
      <c r="H21" s="21">
        <f t="shared" si="1"/>
        <v>0</v>
      </c>
      <c r="I21" s="21">
        <f t="shared" si="1"/>
        <v>0</v>
      </c>
      <c r="J21" s="21">
        <f t="shared" si="2"/>
        <v>0</v>
      </c>
      <c r="K21" s="21">
        <f t="shared" si="2"/>
        <v>0</v>
      </c>
      <c r="L21" s="21">
        <f t="shared" si="3"/>
        <v>0</v>
      </c>
      <c r="M21" s="21">
        <f t="shared" si="3"/>
        <v>0</v>
      </c>
      <c r="N21" s="21">
        <f t="shared" si="4"/>
        <v>0</v>
      </c>
      <c r="O21" s="21">
        <f t="shared" si="4"/>
        <v>0</v>
      </c>
      <c r="P21" s="21">
        <f t="shared" si="5"/>
        <v>35950000</v>
      </c>
      <c r="Q21" s="21">
        <f t="shared" si="5"/>
        <v>46200000</v>
      </c>
      <c r="R21" s="21">
        <f t="shared" si="6"/>
        <v>2756965.8239198541</v>
      </c>
      <c r="S21" s="21">
        <f t="shared" si="6"/>
        <v>3511178.7647882998</v>
      </c>
      <c r="T21" s="21">
        <f t="shared" si="7"/>
        <v>0</v>
      </c>
      <c r="U21" s="21">
        <f t="shared" si="7"/>
        <v>0</v>
      </c>
      <c r="V21" s="21">
        <f t="shared" si="8"/>
        <v>0</v>
      </c>
      <c r="W21" s="21">
        <f t="shared" si="8"/>
        <v>0</v>
      </c>
      <c r="X21" s="7">
        <f t="shared" si="9"/>
        <v>35950000</v>
      </c>
      <c r="Y21" s="7">
        <f t="shared" si="9"/>
        <v>46200000</v>
      </c>
      <c r="Z21" s="7">
        <f t="shared" si="9"/>
        <v>0</v>
      </c>
      <c r="AA21" s="7"/>
      <c r="AB21">
        <f t="shared" si="10"/>
        <v>0</v>
      </c>
      <c r="AC21">
        <f t="shared" si="10"/>
        <v>0</v>
      </c>
      <c r="AF21" s="7">
        <f t="shared" si="11"/>
        <v>0</v>
      </c>
      <c r="AG21" s="7">
        <f t="shared" si="11"/>
        <v>0</v>
      </c>
      <c r="AH21" s="7"/>
      <c r="AI21" s="7"/>
      <c r="AJ21">
        <f t="shared" si="12"/>
        <v>35950000</v>
      </c>
      <c r="AK21">
        <f t="shared" si="12"/>
        <v>46200000</v>
      </c>
      <c r="AN21">
        <f t="shared" si="13"/>
        <v>0</v>
      </c>
      <c r="AO21">
        <f t="shared" si="13"/>
        <v>0</v>
      </c>
      <c r="BU21" s="30" t="s">
        <v>588</v>
      </c>
      <c r="BV21" s="31" t="s">
        <v>589</v>
      </c>
      <c r="CW21">
        <f>330000*75 +2*5000000</f>
        <v>34750000</v>
      </c>
      <c r="CX21">
        <f>330000*100+2*6000000</f>
        <v>45000000</v>
      </c>
      <c r="CY21">
        <f>-PMT(0.04,DI21,CW21)</f>
        <v>2556965.8239198541</v>
      </c>
      <c r="CZ21">
        <f>-PMT(0.04,DI21,CX21)</f>
        <v>3311178.7647882998</v>
      </c>
      <c r="DA21">
        <v>200000</v>
      </c>
      <c r="DB21">
        <f>CY21+DA21</f>
        <v>2756965.8239198541</v>
      </c>
      <c r="DC21">
        <f>CZ21+DA21</f>
        <v>3511178.7647882998</v>
      </c>
      <c r="DD21">
        <f>CW21+DA21*6</f>
        <v>35950000</v>
      </c>
      <c r="DE21" s="21">
        <f>CX21+6*DA21</f>
        <v>46200000</v>
      </c>
      <c r="DF21" s="28" t="s">
        <v>590</v>
      </c>
      <c r="DG21" s="28" t="s">
        <v>591</v>
      </c>
      <c r="DH21" s="28" t="s">
        <v>592</v>
      </c>
      <c r="DI21">
        <v>20</v>
      </c>
      <c r="EW21">
        <f>330000*75 +2*5000000</f>
        <v>34750000</v>
      </c>
      <c r="EX21">
        <f>330000*100+2*6000000</f>
        <v>45000000</v>
      </c>
      <c r="EY21">
        <f>-PMT(0.04,FJ21,EW21)</f>
        <v>2556965.8239198541</v>
      </c>
      <c r="EZ21">
        <f>-PMT(0.04,FJ21,EX21)</f>
        <v>3311178.7647882998</v>
      </c>
      <c r="FA21">
        <v>200000</v>
      </c>
      <c r="FB21">
        <f>EY21+FA21</f>
        <v>2756965.8239198541</v>
      </c>
      <c r="FC21">
        <f>EZ21+FA21</f>
        <v>3511178.7647882998</v>
      </c>
      <c r="FD21">
        <f>EW21+FA21*6</f>
        <v>35950000</v>
      </c>
      <c r="FE21">
        <f>EX21+6*FA21</f>
        <v>46200000</v>
      </c>
      <c r="FG21" t="s">
        <v>590</v>
      </c>
      <c r="FH21" t="s">
        <v>591</v>
      </c>
      <c r="FI21" t="s">
        <v>592</v>
      </c>
      <c r="FJ21">
        <v>20</v>
      </c>
    </row>
    <row r="22" spans="1:178" hidden="1" x14ac:dyDescent="0.25">
      <c r="A22" s="410" t="s">
        <v>19</v>
      </c>
      <c r="B22" s="412" t="s">
        <v>222</v>
      </c>
      <c r="C22" s="243"/>
      <c r="D22" s="21">
        <f t="shared" si="0"/>
        <v>0</v>
      </c>
      <c r="E22" s="21">
        <f t="shared" si="0"/>
        <v>0</v>
      </c>
      <c r="F22" s="21">
        <f t="shared" si="0"/>
        <v>0</v>
      </c>
      <c r="G22" s="21">
        <f t="shared" si="0"/>
        <v>0</v>
      </c>
      <c r="H22" s="21">
        <f t="shared" si="1"/>
        <v>0</v>
      </c>
      <c r="I22" s="21">
        <f t="shared" si="1"/>
        <v>0</v>
      </c>
      <c r="J22" s="21">
        <f t="shared" si="2"/>
        <v>0</v>
      </c>
      <c r="K22" s="21">
        <f t="shared" si="2"/>
        <v>0</v>
      </c>
      <c r="L22" s="21">
        <f t="shared" si="3"/>
        <v>0</v>
      </c>
      <c r="M22" s="21">
        <f t="shared" si="3"/>
        <v>0</v>
      </c>
      <c r="N22" s="21">
        <f t="shared" si="4"/>
        <v>0</v>
      </c>
      <c r="O22" s="21">
        <f t="shared" si="4"/>
        <v>0</v>
      </c>
      <c r="P22" s="21">
        <f t="shared" si="5"/>
        <v>0</v>
      </c>
      <c r="Q22" s="21">
        <f t="shared" si="5"/>
        <v>0</v>
      </c>
      <c r="R22" s="21">
        <f t="shared" si="6"/>
        <v>0</v>
      </c>
      <c r="S22" s="21">
        <f t="shared" si="6"/>
        <v>0</v>
      </c>
      <c r="T22" s="21">
        <f t="shared" si="7"/>
        <v>0</v>
      </c>
      <c r="U22" s="21">
        <f t="shared" si="7"/>
        <v>0</v>
      </c>
      <c r="V22" s="21">
        <f t="shared" si="8"/>
        <v>0</v>
      </c>
      <c r="W22" s="21">
        <f t="shared" si="8"/>
        <v>0</v>
      </c>
      <c r="X22" s="7">
        <f t="shared" si="9"/>
        <v>0</v>
      </c>
      <c r="Y22" s="7">
        <f t="shared" si="9"/>
        <v>0</v>
      </c>
      <c r="Z22" s="7">
        <f t="shared" si="9"/>
        <v>0</v>
      </c>
      <c r="AA22" s="7"/>
      <c r="AB22">
        <f t="shared" si="10"/>
        <v>0</v>
      </c>
      <c r="AC22">
        <f t="shared" si="10"/>
        <v>0</v>
      </c>
      <c r="AF22" s="7">
        <f t="shared" si="11"/>
        <v>0</v>
      </c>
      <c r="AG22" s="7">
        <f t="shared" si="11"/>
        <v>0</v>
      </c>
      <c r="AH22" s="7"/>
      <c r="AI22" s="7"/>
      <c r="AJ22">
        <f t="shared" si="12"/>
        <v>0</v>
      </c>
      <c r="AK22">
        <f t="shared" si="12"/>
        <v>0</v>
      </c>
      <c r="AN22">
        <f t="shared" si="13"/>
        <v>0</v>
      </c>
      <c r="AO22">
        <f t="shared" si="13"/>
        <v>0</v>
      </c>
    </row>
    <row r="23" spans="1:178" ht="25.5" hidden="1" x14ac:dyDescent="0.25">
      <c r="A23" s="410" t="s">
        <v>20</v>
      </c>
      <c r="B23" s="413" t="s">
        <v>2609</v>
      </c>
      <c r="C23" s="243"/>
      <c r="D23" s="21">
        <f t="shared" si="0"/>
        <v>0</v>
      </c>
      <c r="E23" s="21">
        <f t="shared" si="0"/>
        <v>0</v>
      </c>
      <c r="F23" s="21">
        <f t="shared" si="0"/>
        <v>0</v>
      </c>
      <c r="G23" s="21">
        <f t="shared" si="0"/>
        <v>0</v>
      </c>
      <c r="H23" s="21">
        <f t="shared" si="1"/>
        <v>0</v>
      </c>
      <c r="I23" s="21">
        <f t="shared" si="1"/>
        <v>0</v>
      </c>
      <c r="J23" s="21">
        <f t="shared" si="2"/>
        <v>0</v>
      </c>
      <c r="K23" s="21">
        <f t="shared" si="2"/>
        <v>0</v>
      </c>
      <c r="L23" s="21">
        <f t="shared" si="3"/>
        <v>0</v>
      </c>
      <c r="M23" s="21">
        <f t="shared" si="3"/>
        <v>0</v>
      </c>
      <c r="N23" s="21">
        <f t="shared" si="4"/>
        <v>0</v>
      </c>
      <c r="O23" s="21">
        <f t="shared" si="4"/>
        <v>0</v>
      </c>
      <c r="P23" s="21">
        <f t="shared" si="5"/>
        <v>0</v>
      </c>
      <c r="Q23" s="21">
        <f t="shared" si="5"/>
        <v>0</v>
      </c>
      <c r="R23" s="21">
        <f t="shared" si="6"/>
        <v>0</v>
      </c>
      <c r="S23" s="21">
        <f t="shared" si="6"/>
        <v>0</v>
      </c>
      <c r="T23" s="21">
        <f t="shared" si="7"/>
        <v>0</v>
      </c>
      <c r="U23" s="21">
        <f t="shared" si="7"/>
        <v>0</v>
      </c>
      <c r="V23" s="21">
        <f t="shared" si="8"/>
        <v>0</v>
      </c>
      <c r="W23" s="21">
        <f t="shared" si="8"/>
        <v>0</v>
      </c>
      <c r="X23" s="7">
        <f t="shared" si="9"/>
        <v>0</v>
      </c>
      <c r="Y23" s="7">
        <f t="shared" si="9"/>
        <v>0</v>
      </c>
      <c r="Z23" s="7">
        <f t="shared" si="9"/>
        <v>0</v>
      </c>
      <c r="AA23" s="7"/>
      <c r="AB23">
        <f t="shared" si="10"/>
        <v>0</v>
      </c>
      <c r="AC23">
        <f t="shared" si="10"/>
        <v>0</v>
      </c>
      <c r="AF23" s="7">
        <f t="shared" si="11"/>
        <v>0</v>
      </c>
      <c r="AG23" s="7">
        <f t="shared" si="11"/>
        <v>0</v>
      </c>
      <c r="AH23" s="7"/>
      <c r="AI23" s="7"/>
      <c r="AJ23">
        <f t="shared" si="12"/>
        <v>0</v>
      </c>
      <c r="AK23">
        <f t="shared" si="12"/>
        <v>0</v>
      </c>
      <c r="AN23">
        <f t="shared" si="13"/>
        <v>0</v>
      </c>
      <c r="AO23">
        <f t="shared" si="13"/>
        <v>0</v>
      </c>
    </row>
    <row r="24" spans="1:178" ht="25.5" hidden="1" x14ac:dyDescent="0.25">
      <c r="A24" s="406" t="s">
        <v>21</v>
      </c>
      <c r="B24" s="414" t="s">
        <v>221</v>
      </c>
      <c r="C24" s="243"/>
      <c r="D24" s="21">
        <f t="shared" si="0"/>
        <v>0</v>
      </c>
      <c r="E24" s="21">
        <f t="shared" si="0"/>
        <v>0</v>
      </c>
      <c r="F24" s="21">
        <f t="shared" si="0"/>
        <v>0</v>
      </c>
      <c r="G24" s="21">
        <f t="shared" si="0"/>
        <v>0</v>
      </c>
      <c r="H24" s="21">
        <f t="shared" si="1"/>
        <v>0</v>
      </c>
      <c r="I24" s="21">
        <f t="shared" si="1"/>
        <v>0</v>
      </c>
      <c r="J24" s="21">
        <f t="shared" si="2"/>
        <v>0</v>
      </c>
      <c r="K24" s="21">
        <f t="shared" si="2"/>
        <v>0</v>
      </c>
      <c r="L24" s="21">
        <f t="shared" si="3"/>
        <v>0</v>
      </c>
      <c r="M24" s="21">
        <f t="shared" si="3"/>
        <v>0</v>
      </c>
      <c r="N24" s="21">
        <f t="shared" si="4"/>
        <v>0</v>
      </c>
      <c r="O24" s="21">
        <f t="shared" si="4"/>
        <v>0</v>
      </c>
      <c r="P24" s="21">
        <f t="shared" si="5"/>
        <v>0</v>
      </c>
      <c r="Q24" s="21">
        <f t="shared" si="5"/>
        <v>0</v>
      </c>
      <c r="R24" s="21">
        <f t="shared" si="6"/>
        <v>0</v>
      </c>
      <c r="S24" s="21">
        <f t="shared" si="6"/>
        <v>0</v>
      </c>
      <c r="T24" s="21">
        <f t="shared" si="7"/>
        <v>0</v>
      </c>
      <c r="U24" s="21">
        <f t="shared" si="7"/>
        <v>0</v>
      </c>
      <c r="V24" s="21">
        <f t="shared" si="8"/>
        <v>0</v>
      </c>
      <c r="W24" s="21">
        <f t="shared" si="8"/>
        <v>0</v>
      </c>
      <c r="X24" s="7">
        <f t="shared" si="9"/>
        <v>0</v>
      </c>
      <c r="Y24" s="7">
        <f t="shared" si="9"/>
        <v>0</v>
      </c>
      <c r="Z24" s="7">
        <f t="shared" si="9"/>
        <v>0</v>
      </c>
      <c r="AA24" s="7"/>
      <c r="AB24">
        <f t="shared" si="10"/>
        <v>0</v>
      </c>
      <c r="AC24">
        <f t="shared" si="10"/>
        <v>0</v>
      </c>
      <c r="AF24" s="7">
        <f t="shared" si="11"/>
        <v>0</v>
      </c>
      <c r="AG24" s="7">
        <f t="shared" si="11"/>
        <v>0</v>
      </c>
      <c r="AH24" s="7"/>
      <c r="AI24" s="7"/>
      <c r="AJ24">
        <f t="shared" si="12"/>
        <v>0</v>
      </c>
      <c r="AK24">
        <f t="shared" si="12"/>
        <v>0</v>
      </c>
      <c r="AN24">
        <f t="shared" si="13"/>
        <v>0</v>
      </c>
      <c r="AO24">
        <f t="shared" si="13"/>
        <v>0</v>
      </c>
    </row>
    <row r="25" spans="1:178" hidden="1" x14ac:dyDescent="0.25">
      <c r="A25" s="406" t="s">
        <v>22</v>
      </c>
      <c r="B25" s="414" t="s">
        <v>220</v>
      </c>
      <c r="C25" s="243"/>
      <c r="D25" s="21">
        <f t="shared" si="0"/>
        <v>0</v>
      </c>
      <c r="E25" s="21">
        <f t="shared" si="0"/>
        <v>0</v>
      </c>
      <c r="F25" s="21">
        <f t="shared" si="0"/>
        <v>0</v>
      </c>
      <c r="G25" s="21">
        <f t="shared" si="0"/>
        <v>0</v>
      </c>
      <c r="H25" s="21">
        <f t="shared" si="1"/>
        <v>0</v>
      </c>
      <c r="I25" s="21">
        <f t="shared" si="1"/>
        <v>0</v>
      </c>
      <c r="J25" s="21">
        <f t="shared" si="2"/>
        <v>0</v>
      </c>
      <c r="K25" s="21">
        <f t="shared" si="2"/>
        <v>0</v>
      </c>
      <c r="L25" s="21">
        <f t="shared" si="3"/>
        <v>0</v>
      </c>
      <c r="M25" s="21">
        <f t="shared" si="3"/>
        <v>0</v>
      </c>
      <c r="N25" s="21">
        <f t="shared" si="4"/>
        <v>0</v>
      </c>
      <c r="O25" s="21">
        <f t="shared" si="4"/>
        <v>0</v>
      </c>
      <c r="P25" s="21">
        <f t="shared" si="5"/>
        <v>0</v>
      </c>
      <c r="Q25" s="21">
        <f t="shared" si="5"/>
        <v>0</v>
      </c>
      <c r="R25" s="21">
        <f t="shared" si="6"/>
        <v>0</v>
      </c>
      <c r="S25" s="21">
        <f t="shared" si="6"/>
        <v>0</v>
      </c>
      <c r="T25" s="21">
        <f t="shared" si="7"/>
        <v>0</v>
      </c>
      <c r="U25" s="21">
        <f t="shared" si="7"/>
        <v>0</v>
      </c>
      <c r="V25" s="21">
        <f t="shared" si="8"/>
        <v>0</v>
      </c>
      <c r="W25" s="21">
        <f t="shared" si="8"/>
        <v>0</v>
      </c>
      <c r="X25" s="7">
        <f t="shared" si="9"/>
        <v>0</v>
      </c>
      <c r="Y25" s="7">
        <f t="shared" si="9"/>
        <v>0</v>
      </c>
      <c r="Z25" s="7">
        <f t="shared" si="9"/>
        <v>0</v>
      </c>
      <c r="AA25" s="7"/>
      <c r="AB25">
        <f t="shared" si="10"/>
        <v>0</v>
      </c>
      <c r="AC25">
        <f t="shared" si="10"/>
        <v>0</v>
      </c>
      <c r="AF25" s="7">
        <f t="shared" si="11"/>
        <v>0</v>
      </c>
      <c r="AG25" s="7">
        <f t="shared" si="11"/>
        <v>0</v>
      </c>
      <c r="AH25" s="7"/>
      <c r="AI25" s="7"/>
      <c r="AJ25">
        <f t="shared" si="12"/>
        <v>0</v>
      </c>
      <c r="AK25">
        <f t="shared" si="12"/>
        <v>0</v>
      </c>
      <c r="AN25">
        <f t="shared" si="13"/>
        <v>0</v>
      </c>
      <c r="AO25">
        <f t="shared" si="13"/>
        <v>0</v>
      </c>
    </row>
    <row r="26" spans="1:178" ht="25.5" hidden="1" x14ac:dyDescent="0.25">
      <c r="A26" s="406" t="s">
        <v>24</v>
      </c>
      <c r="B26" s="414" t="s">
        <v>2584</v>
      </c>
      <c r="C26" s="243"/>
      <c r="D26" s="21">
        <f t="shared" si="0"/>
        <v>0</v>
      </c>
      <c r="E26" s="21">
        <f t="shared" si="0"/>
        <v>0</v>
      </c>
      <c r="F26" s="21">
        <f t="shared" si="0"/>
        <v>0</v>
      </c>
      <c r="G26" s="21">
        <f t="shared" si="0"/>
        <v>0</v>
      </c>
      <c r="H26" s="21">
        <f t="shared" si="1"/>
        <v>0</v>
      </c>
      <c r="I26" s="21">
        <f t="shared" si="1"/>
        <v>0</v>
      </c>
      <c r="J26" s="21">
        <f t="shared" si="2"/>
        <v>0</v>
      </c>
      <c r="K26" s="21">
        <f t="shared" si="2"/>
        <v>0</v>
      </c>
      <c r="L26" s="21">
        <f t="shared" si="3"/>
        <v>0</v>
      </c>
      <c r="M26" s="21">
        <f t="shared" si="3"/>
        <v>0</v>
      </c>
      <c r="N26" s="21">
        <f t="shared" si="4"/>
        <v>0</v>
      </c>
      <c r="O26" s="21">
        <f t="shared" si="4"/>
        <v>0</v>
      </c>
      <c r="P26" s="21">
        <f t="shared" si="5"/>
        <v>0</v>
      </c>
      <c r="Q26" s="21">
        <f t="shared" si="5"/>
        <v>0</v>
      </c>
      <c r="R26" s="21">
        <f t="shared" si="6"/>
        <v>0</v>
      </c>
      <c r="S26" s="21">
        <f t="shared" si="6"/>
        <v>0</v>
      </c>
      <c r="T26" s="21">
        <f t="shared" si="7"/>
        <v>0</v>
      </c>
      <c r="U26" s="21">
        <f t="shared" si="7"/>
        <v>0</v>
      </c>
      <c r="V26" s="21">
        <f t="shared" si="8"/>
        <v>0</v>
      </c>
      <c r="W26" s="21">
        <f t="shared" si="8"/>
        <v>0</v>
      </c>
      <c r="X26" s="7">
        <f t="shared" si="9"/>
        <v>0</v>
      </c>
      <c r="Y26" s="7">
        <f t="shared" si="9"/>
        <v>0</v>
      </c>
      <c r="Z26" s="7">
        <f t="shared" si="9"/>
        <v>0</v>
      </c>
      <c r="AA26" s="7"/>
      <c r="AB26">
        <f t="shared" si="10"/>
        <v>0</v>
      </c>
      <c r="AC26">
        <f t="shared" si="10"/>
        <v>0</v>
      </c>
      <c r="AF26" s="7">
        <f t="shared" si="11"/>
        <v>0</v>
      </c>
      <c r="AG26" s="7">
        <f t="shared" si="11"/>
        <v>0</v>
      </c>
      <c r="AH26" s="7"/>
      <c r="AI26" s="7"/>
      <c r="AJ26">
        <f t="shared" si="12"/>
        <v>0</v>
      </c>
      <c r="AK26">
        <f t="shared" si="12"/>
        <v>0</v>
      </c>
      <c r="AN26">
        <f t="shared" si="13"/>
        <v>0</v>
      </c>
      <c r="AO26">
        <f t="shared" si="13"/>
        <v>0</v>
      </c>
    </row>
    <row r="27" spans="1:178" hidden="1" x14ac:dyDescent="0.25">
      <c r="A27" s="406" t="s">
        <v>25</v>
      </c>
      <c r="B27" s="407" t="s">
        <v>219</v>
      </c>
      <c r="C27" s="243"/>
      <c r="D27" s="21">
        <f t="shared" si="0"/>
        <v>0</v>
      </c>
      <c r="E27" s="21">
        <f t="shared" si="0"/>
        <v>0</v>
      </c>
      <c r="F27" s="21">
        <f t="shared" si="0"/>
        <v>0</v>
      </c>
      <c r="G27" s="21">
        <f t="shared" si="0"/>
        <v>0</v>
      </c>
      <c r="H27" s="21">
        <f t="shared" si="1"/>
        <v>0</v>
      </c>
      <c r="I27" s="21">
        <f t="shared" si="1"/>
        <v>0</v>
      </c>
      <c r="J27" s="21">
        <f t="shared" si="2"/>
        <v>0</v>
      </c>
      <c r="K27" s="21">
        <f t="shared" si="2"/>
        <v>0</v>
      </c>
      <c r="L27" s="21">
        <f t="shared" si="3"/>
        <v>0</v>
      </c>
      <c r="M27" s="21">
        <f t="shared" si="3"/>
        <v>0</v>
      </c>
      <c r="N27" s="21">
        <f t="shared" si="4"/>
        <v>0</v>
      </c>
      <c r="O27" s="21">
        <f t="shared" si="4"/>
        <v>0</v>
      </c>
      <c r="P27" s="21">
        <f t="shared" si="5"/>
        <v>0</v>
      </c>
      <c r="Q27" s="21">
        <f t="shared" si="5"/>
        <v>0</v>
      </c>
      <c r="R27" s="21">
        <f t="shared" si="6"/>
        <v>0</v>
      </c>
      <c r="S27" s="21">
        <f t="shared" si="6"/>
        <v>0</v>
      </c>
      <c r="T27" s="21">
        <f t="shared" si="7"/>
        <v>0</v>
      </c>
      <c r="U27" s="21">
        <f t="shared" si="7"/>
        <v>0</v>
      </c>
      <c r="V27" s="21">
        <f t="shared" si="8"/>
        <v>0</v>
      </c>
      <c r="W27" s="21">
        <f t="shared" si="8"/>
        <v>0</v>
      </c>
      <c r="X27" s="7">
        <f t="shared" si="9"/>
        <v>0</v>
      </c>
      <c r="Y27" s="7">
        <f t="shared" si="9"/>
        <v>0</v>
      </c>
      <c r="Z27" s="7">
        <f t="shared" si="9"/>
        <v>0</v>
      </c>
      <c r="AA27" s="7"/>
      <c r="AB27">
        <f t="shared" si="10"/>
        <v>0</v>
      </c>
      <c r="AC27">
        <f t="shared" si="10"/>
        <v>0</v>
      </c>
      <c r="AF27" s="7">
        <f t="shared" si="11"/>
        <v>0</v>
      </c>
      <c r="AG27" s="7">
        <f t="shared" si="11"/>
        <v>0</v>
      </c>
      <c r="AH27" s="7"/>
      <c r="AI27" s="7"/>
      <c r="AJ27">
        <f t="shared" si="12"/>
        <v>0</v>
      </c>
      <c r="AK27">
        <f t="shared" si="12"/>
        <v>0</v>
      </c>
      <c r="AN27">
        <f t="shared" si="13"/>
        <v>0</v>
      </c>
      <c r="AO27">
        <f t="shared" si="13"/>
        <v>0</v>
      </c>
    </row>
    <row r="28" spans="1:178" hidden="1" x14ac:dyDescent="0.25">
      <c r="A28" s="406" t="s">
        <v>26</v>
      </c>
      <c r="B28" s="407" t="s">
        <v>218</v>
      </c>
      <c r="C28" s="243"/>
      <c r="D28" s="21">
        <f t="shared" si="0"/>
        <v>0</v>
      </c>
      <c r="E28" s="21">
        <f t="shared" si="0"/>
        <v>0</v>
      </c>
      <c r="F28" s="21">
        <f t="shared" si="0"/>
        <v>0</v>
      </c>
      <c r="G28" s="21">
        <f t="shared" si="0"/>
        <v>0</v>
      </c>
      <c r="H28" s="21">
        <f t="shared" si="1"/>
        <v>0</v>
      </c>
      <c r="I28" s="21">
        <f t="shared" si="1"/>
        <v>0</v>
      </c>
      <c r="J28" s="21">
        <f t="shared" si="2"/>
        <v>0</v>
      </c>
      <c r="K28" s="21">
        <f t="shared" si="2"/>
        <v>0</v>
      </c>
      <c r="L28" s="21">
        <f t="shared" si="3"/>
        <v>0</v>
      </c>
      <c r="M28" s="21">
        <f t="shared" si="3"/>
        <v>0</v>
      </c>
      <c r="N28" s="21">
        <f t="shared" si="4"/>
        <v>0</v>
      </c>
      <c r="O28" s="21">
        <f t="shared" si="4"/>
        <v>0</v>
      </c>
      <c r="P28" s="21">
        <f t="shared" si="5"/>
        <v>0</v>
      </c>
      <c r="Q28" s="21">
        <f t="shared" si="5"/>
        <v>0</v>
      </c>
      <c r="R28" s="21">
        <f t="shared" si="6"/>
        <v>0</v>
      </c>
      <c r="S28" s="21">
        <f t="shared" si="6"/>
        <v>0</v>
      </c>
      <c r="T28" s="21">
        <f t="shared" si="7"/>
        <v>0</v>
      </c>
      <c r="U28" s="21">
        <f t="shared" si="7"/>
        <v>0</v>
      </c>
      <c r="V28" s="21">
        <f t="shared" si="8"/>
        <v>0</v>
      </c>
      <c r="W28" s="21">
        <f t="shared" si="8"/>
        <v>0</v>
      </c>
      <c r="X28" s="7">
        <f t="shared" si="9"/>
        <v>0</v>
      </c>
      <c r="Y28" s="7">
        <f t="shared" si="9"/>
        <v>0</v>
      </c>
      <c r="Z28" s="7">
        <f t="shared" si="9"/>
        <v>0</v>
      </c>
      <c r="AA28" s="7"/>
      <c r="AB28">
        <f t="shared" si="10"/>
        <v>0</v>
      </c>
      <c r="AC28">
        <f t="shared" si="10"/>
        <v>0</v>
      </c>
      <c r="AF28" s="7">
        <f t="shared" si="11"/>
        <v>0</v>
      </c>
      <c r="AG28" s="7">
        <f t="shared" si="11"/>
        <v>0</v>
      </c>
      <c r="AH28" s="7"/>
      <c r="AI28" s="7"/>
      <c r="AJ28">
        <f t="shared" si="12"/>
        <v>0</v>
      </c>
      <c r="AK28">
        <f t="shared" si="12"/>
        <v>0</v>
      </c>
      <c r="AN28">
        <f t="shared" si="13"/>
        <v>0</v>
      </c>
      <c r="AO28">
        <f t="shared" si="13"/>
        <v>0</v>
      </c>
    </row>
    <row r="29" spans="1:178" ht="195" hidden="1" x14ac:dyDescent="0.25">
      <c r="A29" s="406" t="s">
        <v>27</v>
      </c>
      <c r="B29" s="407" t="s">
        <v>217</v>
      </c>
      <c r="C29" s="243"/>
      <c r="D29" s="21">
        <f t="shared" si="0"/>
        <v>180000</v>
      </c>
      <c r="E29" s="21">
        <f t="shared" si="0"/>
        <v>18180000</v>
      </c>
      <c r="F29" s="21">
        <f t="shared" si="0"/>
        <v>309301.20269724925</v>
      </c>
      <c r="G29" s="21">
        <f t="shared" si="0"/>
        <v>867903.60809174762</v>
      </c>
      <c r="H29" s="21">
        <f t="shared" si="1"/>
        <v>180000</v>
      </c>
      <c r="I29" s="21">
        <f t="shared" si="1"/>
        <v>18180000</v>
      </c>
      <c r="J29" s="21">
        <f t="shared" si="2"/>
        <v>309301.20269724925</v>
      </c>
      <c r="K29" s="21">
        <f t="shared" si="2"/>
        <v>867903.60809174762</v>
      </c>
      <c r="L29" s="21">
        <f t="shared" si="3"/>
        <v>0</v>
      </c>
      <c r="M29" s="21">
        <f t="shared" si="3"/>
        <v>0</v>
      </c>
      <c r="N29" s="21">
        <f t="shared" si="4"/>
        <v>0</v>
      </c>
      <c r="O29" s="21">
        <f t="shared" si="4"/>
        <v>0</v>
      </c>
      <c r="P29" s="21">
        <f t="shared" si="5"/>
        <v>0</v>
      </c>
      <c r="Q29" s="21">
        <f t="shared" si="5"/>
        <v>0</v>
      </c>
      <c r="R29" s="21">
        <f t="shared" si="6"/>
        <v>0</v>
      </c>
      <c r="S29" s="21">
        <f t="shared" si="6"/>
        <v>0</v>
      </c>
      <c r="T29" s="21">
        <f t="shared" si="7"/>
        <v>0</v>
      </c>
      <c r="U29" s="21">
        <f t="shared" si="7"/>
        <v>0</v>
      </c>
      <c r="V29" s="21">
        <f t="shared" si="8"/>
        <v>0</v>
      </c>
      <c r="W29" s="21">
        <f t="shared" si="8"/>
        <v>0</v>
      </c>
      <c r="X29" s="7">
        <f t="shared" si="9"/>
        <v>0</v>
      </c>
      <c r="Y29" s="7">
        <f t="shared" si="9"/>
        <v>0</v>
      </c>
      <c r="Z29" s="7">
        <f t="shared" si="9"/>
        <v>0</v>
      </c>
      <c r="AA29" s="7"/>
      <c r="AB29">
        <f t="shared" si="10"/>
        <v>0</v>
      </c>
      <c r="AC29">
        <f t="shared" si="10"/>
        <v>0</v>
      </c>
      <c r="AF29" s="7">
        <f t="shared" si="11"/>
        <v>0</v>
      </c>
      <c r="AG29" s="7">
        <f t="shared" si="11"/>
        <v>0</v>
      </c>
      <c r="AH29" s="7"/>
      <c r="AI29" s="7"/>
      <c r="AJ29">
        <f t="shared" si="12"/>
        <v>0</v>
      </c>
      <c r="AK29">
        <f t="shared" si="12"/>
        <v>0</v>
      </c>
      <c r="AN29">
        <f t="shared" si="13"/>
        <v>0</v>
      </c>
      <c r="AO29">
        <f t="shared" si="13"/>
        <v>0</v>
      </c>
      <c r="BW29">
        <f>6000*1000</f>
        <v>6000000</v>
      </c>
      <c r="BX29">
        <f>6000*3000</f>
        <v>18000000</v>
      </c>
      <c r="BY29" s="22">
        <f>-PMT(0.04,CI29,BW29)</f>
        <v>279301.20269724925</v>
      </c>
      <c r="BZ29" s="22">
        <f>-PMT(0.04,CI29,BX29)</f>
        <v>837903.60809174762</v>
      </c>
      <c r="CA29">
        <f>6000*5</f>
        <v>30000</v>
      </c>
      <c r="CB29" s="22">
        <f>BY29+CA29</f>
        <v>309301.20269724925</v>
      </c>
      <c r="CC29" s="22">
        <f>BZ29+CA29</f>
        <v>867903.60809174762</v>
      </c>
      <c r="CD29">
        <f>BV29+CA29*6</f>
        <v>180000</v>
      </c>
      <c r="CE29" s="22">
        <f>BX29+CA29*6</f>
        <v>18180000</v>
      </c>
      <c r="CF29" s="23" t="s">
        <v>593</v>
      </c>
      <c r="CG29" s="23" t="s">
        <v>594</v>
      </c>
      <c r="CH29" s="23" t="s">
        <v>595</v>
      </c>
      <c r="CI29">
        <v>50</v>
      </c>
    </row>
    <row r="30" spans="1:178" ht="232.35" hidden="1" customHeight="1" x14ac:dyDescent="0.25">
      <c r="A30" s="115" t="s">
        <v>38</v>
      </c>
      <c r="B30" s="116" t="s">
        <v>596</v>
      </c>
      <c r="C30" s="243" t="s">
        <v>503</v>
      </c>
      <c r="D30" s="21">
        <f t="shared" si="0"/>
        <v>1317000000</v>
      </c>
      <c r="E30" s="21">
        <f t="shared" si="0"/>
        <v>1842000000</v>
      </c>
      <c r="F30" s="21">
        <f t="shared" si="0"/>
        <v>138275267.82581198</v>
      </c>
      <c r="G30" s="21">
        <f t="shared" si="0"/>
        <v>193285374.95613676</v>
      </c>
      <c r="H30" s="21">
        <f t="shared" si="1"/>
        <v>0</v>
      </c>
      <c r="I30" s="21">
        <f t="shared" si="1"/>
        <v>0</v>
      </c>
      <c r="J30" s="21">
        <f t="shared" si="2"/>
        <v>0</v>
      </c>
      <c r="K30" s="21">
        <f t="shared" si="2"/>
        <v>0</v>
      </c>
      <c r="L30" s="21">
        <f t="shared" si="3"/>
        <v>0</v>
      </c>
      <c r="M30" s="21">
        <f t="shared" si="3"/>
        <v>0</v>
      </c>
      <c r="N30" s="21">
        <f t="shared" si="4"/>
        <v>0</v>
      </c>
      <c r="O30" s="21">
        <f t="shared" si="4"/>
        <v>0</v>
      </c>
      <c r="P30" s="21">
        <f t="shared" si="5"/>
        <v>0</v>
      </c>
      <c r="Q30" s="21">
        <f t="shared" si="5"/>
        <v>0</v>
      </c>
      <c r="R30" s="21">
        <f t="shared" si="6"/>
        <v>0</v>
      </c>
      <c r="S30" s="21">
        <f t="shared" si="6"/>
        <v>0</v>
      </c>
      <c r="T30" s="21">
        <f t="shared" si="7"/>
        <v>1317000000</v>
      </c>
      <c r="U30" s="21">
        <f t="shared" si="7"/>
        <v>1842000000</v>
      </c>
      <c r="V30" s="21">
        <f t="shared" si="8"/>
        <v>138275267.82581198</v>
      </c>
      <c r="W30" s="21">
        <f t="shared" si="8"/>
        <v>193285374.95613676</v>
      </c>
      <c r="X30" s="7">
        <f t="shared" si="9"/>
        <v>692000000</v>
      </c>
      <c r="Y30" s="7">
        <f t="shared" si="9"/>
        <v>967000000</v>
      </c>
      <c r="Z30" s="7">
        <f t="shared" si="9"/>
        <v>0</v>
      </c>
      <c r="AA30" s="7"/>
      <c r="AB30">
        <f t="shared" si="10"/>
        <v>0</v>
      </c>
      <c r="AC30">
        <f t="shared" si="10"/>
        <v>0</v>
      </c>
      <c r="AF30" s="7">
        <f t="shared" si="11"/>
        <v>0</v>
      </c>
      <c r="AG30" s="7">
        <f t="shared" si="11"/>
        <v>0</v>
      </c>
      <c r="AH30" s="7"/>
      <c r="AI30" s="7"/>
      <c r="AJ30">
        <f t="shared" si="12"/>
        <v>0</v>
      </c>
      <c r="AK30">
        <f t="shared" si="12"/>
        <v>0</v>
      </c>
      <c r="AN30">
        <f t="shared" si="13"/>
        <v>692000000</v>
      </c>
      <c r="AO30">
        <f t="shared" si="13"/>
        <v>967000000</v>
      </c>
      <c r="BV30" s="6" t="s">
        <v>597</v>
      </c>
      <c r="DJ30" s="21">
        <f>(1900*0.25)*2500000+(50*2500000)</f>
        <v>1312500000</v>
      </c>
      <c r="DK30" s="21">
        <f>(1900*0.25)*3500000+(50*3500000)</f>
        <v>1837500000</v>
      </c>
      <c r="DL30" s="21">
        <f>(-PMT(0.04,20,1187500000))+(-PMT(0.04,75,1187500000))</f>
        <v>137525267.82581198</v>
      </c>
      <c r="DM30" s="21">
        <f>(-PMT(0.04,20,1662500000))+(-PMT(0.04,75,1662500000))</f>
        <v>192535374.95613676</v>
      </c>
      <c r="DN30">
        <v>750000</v>
      </c>
      <c r="DO30" s="7">
        <f>DL30+DN30</f>
        <v>138275267.82581198</v>
      </c>
      <c r="DP30" s="7">
        <f>DM30+DN30</f>
        <v>193285374.95613676</v>
      </c>
      <c r="DQ30" s="7">
        <f>DJ30+DN30*6</f>
        <v>1317000000</v>
      </c>
      <c r="DR30" s="7">
        <f>DK30+DN30*6</f>
        <v>1842000000</v>
      </c>
      <c r="DS30" s="23" t="s">
        <v>598</v>
      </c>
      <c r="DT30" s="23" t="s">
        <v>599</v>
      </c>
      <c r="DU30" s="23" t="s">
        <v>600</v>
      </c>
      <c r="DV30" s="6" t="s">
        <v>601</v>
      </c>
      <c r="FJ30">
        <f>(2000*0.25)*2500000*0.5+(50*2500000)*0.5</f>
        <v>687500000</v>
      </c>
      <c r="FK30">
        <f>(2000*0.25)*3500000*0.5+(50*3500000)*0.5</f>
        <v>962500000</v>
      </c>
      <c r="FL30">
        <f>(-PMT(0.04,20,1250000000))+(-PMT(0.04,75,125000000))</f>
        <v>97255813.101371929</v>
      </c>
      <c r="FM30">
        <f>(-PMT(0.04,20,1750000000))+(-PMT(0.04,75,175000000))</f>
        <v>136158138.34192067</v>
      </c>
      <c r="FN30">
        <v>750000</v>
      </c>
      <c r="FO30">
        <f>FL30+FN30</f>
        <v>98005813.101371929</v>
      </c>
      <c r="FP30">
        <f>FM30+FN30</f>
        <v>136908138.34192067</v>
      </c>
      <c r="FQ30" s="21">
        <f>FJ30+FN30*6</f>
        <v>692000000</v>
      </c>
      <c r="FR30" s="21">
        <f>FK30+FN30*6</f>
        <v>967000000</v>
      </c>
      <c r="FS30" s="23" t="s">
        <v>602</v>
      </c>
      <c r="FT30" s="23" t="s">
        <v>599</v>
      </c>
      <c r="FU30" s="23" t="s">
        <v>600</v>
      </c>
      <c r="FV30" s="6" t="s">
        <v>601</v>
      </c>
    </row>
    <row r="31" spans="1:178" ht="25.5" hidden="1" x14ac:dyDescent="0.25">
      <c r="A31" s="399" t="s">
        <v>65</v>
      </c>
      <c r="B31" s="400" t="s">
        <v>603</v>
      </c>
      <c r="C31" s="243" t="s">
        <v>503</v>
      </c>
      <c r="D31" s="21">
        <f t="shared" si="0"/>
        <v>0</v>
      </c>
      <c r="E31" s="21">
        <f t="shared" si="0"/>
        <v>0</v>
      </c>
      <c r="F31" s="21">
        <f t="shared" si="0"/>
        <v>0</v>
      </c>
      <c r="G31" s="21">
        <f t="shared" si="0"/>
        <v>0</v>
      </c>
      <c r="H31" s="21">
        <f t="shared" si="1"/>
        <v>0</v>
      </c>
      <c r="I31" s="21">
        <f t="shared" si="1"/>
        <v>0</v>
      </c>
      <c r="J31" s="21">
        <f t="shared" si="2"/>
        <v>0</v>
      </c>
      <c r="K31" s="21">
        <f t="shared" si="2"/>
        <v>0</v>
      </c>
      <c r="L31" s="21">
        <f t="shared" si="3"/>
        <v>0</v>
      </c>
      <c r="M31" s="21">
        <f t="shared" si="3"/>
        <v>0</v>
      </c>
      <c r="N31" s="21">
        <f t="shared" si="4"/>
        <v>0</v>
      </c>
      <c r="O31" s="21">
        <f t="shared" si="4"/>
        <v>0</v>
      </c>
      <c r="P31" s="21">
        <f t="shared" si="5"/>
        <v>0</v>
      </c>
      <c r="Q31" s="21">
        <f t="shared" si="5"/>
        <v>0</v>
      </c>
      <c r="R31" s="21">
        <f t="shared" si="6"/>
        <v>0</v>
      </c>
      <c r="S31" s="21">
        <f t="shared" si="6"/>
        <v>0</v>
      </c>
      <c r="T31" s="21">
        <f t="shared" si="7"/>
        <v>0</v>
      </c>
      <c r="U31" s="21">
        <f t="shared" si="7"/>
        <v>0</v>
      </c>
      <c r="V31" s="21">
        <f t="shared" si="8"/>
        <v>0</v>
      </c>
      <c r="W31" s="21">
        <f t="shared" si="8"/>
        <v>0</v>
      </c>
      <c r="X31" s="7"/>
      <c r="Y31" s="7"/>
      <c r="Z31" s="7">
        <f t="shared" si="9"/>
        <v>0</v>
      </c>
      <c r="AA31" s="7"/>
      <c r="AF31" s="7"/>
      <c r="AG31" s="7"/>
      <c r="AH31" s="7"/>
      <c r="AI31" s="7"/>
      <c r="BV31" s="6"/>
      <c r="DJ31" s="21"/>
      <c r="DK31" s="21"/>
      <c r="DL31" s="21"/>
      <c r="DM31" s="21"/>
      <c r="DO31" s="7"/>
      <c r="DP31" s="7"/>
      <c r="DQ31" s="7"/>
      <c r="DR31" s="7"/>
      <c r="DS31" s="23"/>
      <c r="DT31" s="23"/>
      <c r="DU31" s="23"/>
      <c r="DV31" s="6"/>
      <c r="FQ31" s="21"/>
      <c r="FR31" s="21"/>
      <c r="FS31" s="23"/>
      <c r="FT31" s="23"/>
      <c r="FU31" s="23"/>
      <c r="FV31" s="6"/>
    </row>
    <row r="32" spans="1:178" ht="409.5" x14ac:dyDescent="0.25">
      <c r="A32" s="415" t="s">
        <v>79</v>
      </c>
      <c r="B32" s="416" t="s">
        <v>604</v>
      </c>
      <c r="C32" s="243" t="s">
        <v>514</v>
      </c>
      <c r="D32" s="21">
        <f>H32+L32+P32+T32</f>
        <v>948632745.49449217</v>
      </c>
      <c r="E32" s="21">
        <f>I32+M32+Q32+U32</f>
        <v>996632745.49449217</v>
      </c>
      <c r="F32" s="21">
        <f>J32+N32+R32+V32</f>
        <v>56260997.425424062</v>
      </c>
      <c r="G32" s="21">
        <f>K32+O32+S32+W32</f>
        <v>59036842.183839813</v>
      </c>
      <c r="H32" s="21">
        <f t="shared" si="1"/>
        <v>613612800</v>
      </c>
      <c r="I32" s="21">
        <f t="shared" si="1"/>
        <v>647112800</v>
      </c>
      <c r="J32" s="21">
        <f t="shared" si="2"/>
        <v>39265487.786493875</v>
      </c>
      <c r="K32" s="21">
        <f t="shared" si="2"/>
        <v>41202796.107471533</v>
      </c>
      <c r="L32" s="21">
        <f t="shared" si="3"/>
        <v>325861545.49449217</v>
      </c>
      <c r="M32" s="21">
        <f t="shared" si="3"/>
        <v>339861545.49449217</v>
      </c>
      <c r="N32" s="21">
        <f t="shared" si="4"/>
        <v>16409457.582415352</v>
      </c>
      <c r="O32" s="21">
        <f t="shared" si="4"/>
        <v>17219078.970286615</v>
      </c>
      <c r="P32" s="21">
        <f t="shared" si="5"/>
        <v>9158400</v>
      </c>
      <c r="Q32" s="21">
        <f t="shared" si="5"/>
        <v>9658400</v>
      </c>
      <c r="R32" s="21">
        <f t="shared" si="6"/>
        <v>586052.05651483394</v>
      </c>
      <c r="S32" s="21">
        <f t="shared" si="6"/>
        <v>614967.10608166468</v>
      </c>
      <c r="T32" s="21">
        <f t="shared" si="7"/>
        <v>0</v>
      </c>
      <c r="U32" s="21">
        <f t="shared" si="7"/>
        <v>0</v>
      </c>
      <c r="V32" s="21">
        <f t="shared" si="8"/>
        <v>0</v>
      </c>
      <c r="W32" s="21">
        <f t="shared" si="8"/>
        <v>0</v>
      </c>
      <c r="X32" s="7">
        <f t="shared" si="9"/>
        <v>263761920</v>
      </c>
      <c r="Y32" s="7">
        <f t="shared" si="9"/>
        <v>278161920</v>
      </c>
      <c r="Z32" s="7">
        <f t="shared" si="9"/>
        <v>0</v>
      </c>
      <c r="AA32" s="7"/>
      <c r="AB32" s="21">
        <f t="shared" si="10"/>
        <v>184083840</v>
      </c>
      <c r="AC32" s="21">
        <f t="shared" si="10"/>
        <v>194133840</v>
      </c>
      <c r="AD32" s="21"/>
      <c r="AE32" s="21"/>
      <c r="AF32" s="21">
        <f t="shared" si="11"/>
        <v>76930560</v>
      </c>
      <c r="AG32" s="21">
        <f t="shared" si="11"/>
        <v>81130560</v>
      </c>
      <c r="AH32" s="21"/>
      <c r="AI32" s="21"/>
      <c r="AJ32" s="21">
        <f t="shared" si="12"/>
        <v>2747520</v>
      </c>
      <c r="AK32" s="21">
        <f t="shared" si="12"/>
        <v>2897520</v>
      </c>
      <c r="AL32" s="21"/>
      <c r="AM32" s="21"/>
      <c r="AN32" s="21">
        <f t="shared" si="13"/>
        <v>0</v>
      </c>
      <c r="AO32">
        <f t="shared" si="13"/>
        <v>0</v>
      </c>
      <c r="BV32" s="6" t="s">
        <v>605</v>
      </c>
      <c r="BW32" s="32">
        <f>(150000000+250000000+50000000+270000000+144000000)*0.67</f>
        <v>578880000</v>
      </c>
      <c r="BX32" s="32">
        <f>(150000000+250000000+100000000+270000000+144000000)*0.67</f>
        <v>612380000</v>
      </c>
      <c r="BY32" s="33">
        <f>-PMT(0.04,CI32,BW32)</f>
        <v>33476687.786493875</v>
      </c>
      <c r="BZ32" s="33">
        <f>-PMT(0.04,CI32,BX32)</f>
        <v>35413996.107471533</v>
      </c>
      <c r="CA32" s="34">
        <f>BW32*0.01</f>
        <v>5788800</v>
      </c>
      <c r="CB32" s="35">
        <f>BY32+CA32</f>
        <v>39265487.786493875</v>
      </c>
      <c r="CC32" s="35">
        <f>BZ32+CA32</f>
        <v>41202796.107471533</v>
      </c>
      <c r="CD32" s="34">
        <f>BW32+CA32*6</f>
        <v>613612800</v>
      </c>
      <c r="CE32" s="34">
        <f>BX32+CA32*6</f>
        <v>647112800</v>
      </c>
      <c r="CF32" s="23" t="s">
        <v>606</v>
      </c>
      <c r="CG32" s="23" t="s">
        <v>607</v>
      </c>
      <c r="CH32" s="23" t="s">
        <v>608</v>
      </c>
      <c r="CI32">
        <v>30</v>
      </c>
      <c r="CJ32" s="21">
        <f>(150000000+250000000+50000000+270000000+144000000)*0.28</f>
        <v>241920000.00000003</v>
      </c>
      <c r="CK32" s="21">
        <f>(150000000+250000000+100000000+270000000+144000000)*0.28</f>
        <v>255920000.00000003</v>
      </c>
      <c r="CL32" s="7">
        <f>-PMT(0.04,CV32,CJ32)</f>
        <v>13990257.582415352</v>
      </c>
      <c r="CM32" s="7">
        <f>-PMT(0.04,CV32,CK32)</f>
        <v>14799878.970286613</v>
      </c>
      <c r="CN32" s="7">
        <f>CJ32*0.01</f>
        <v>2419200.0000000005</v>
      </c>
      <c r="CO32" s="7">
        <f>CL32+CN32</f>
        <v>16409457.582415352</v>
      </c>
      <c r="CP32" s="7">
        <f>CM32+CN32</f>
        <v>17219078.970286615</v>
      </c>
      <c r="CQ32" s="7">
        <f>CJ32+CL32*6</f>
        <v>325861545.49449217</v>
      </c>
      <c r="CR32" s="7">
        <f>CK32+CL32*6</f>
        <v>339861545.49449217</v>
      </c>
      <c r="CS32" s="23" t="s">
        <v>609</v>
      </c>
      <c r="CT32" s="23" t="s">
        <v>610</v>
      </c>
      <c r="CU32" s="23" t="s">
        <v>608</v>
      </c>
      <c r="CV32">
        <v>30</v>
      </c>
      <c r="CW32" s="32">
        <f>(150000000+250000000+50000000+270000000+144000000)*0.01</f>
        <v>8640000</v>
      </c>
      <c r="CX32" s="32">
        <f>(150000000+250000000+100000000+270000000+144000000)*0.01</f>
        <v>9140000</v>
      </c>
      <c r="CY32" s="34">
        <f>CW32*0.01</f>
        <v>86400</v>
      </c>
      <c r="CZ32" s="22">
        <f>-PMT(0.04,30,CW32)</f>
        <v>499652.05651483394</v>
      </c>
      <c r="DA32" s="22">
        <f>-PMT(0.04,30,CX32)</f>
        <v>528567.10608166468</v>
      </c>
      <c r="DB32" s="22">
        <f>CZ32+CY32</f>
        <v>586052.05651483394</v>
      </c>
      <c r="DC32" s="22">
        <f>DA32+CY32</f>
        <v>614967.10608166468</v>
      </c>
      <c r="DD32" s="34">
        <f>CW32+CY32*6</f>
        <v>9158400</v>
      </c>
      <c r="DE32" s="34">
        <f>CX32+CY32*6</f>
        <v>9658400</v>
      </c>
      <c r="DF32" s="23" t="s">
        <v>611</v>
      </c>
      <c r="DG32" s="23" t="s">
        <v>612</v>
      </c>
      <c r="DH32" s="23" t="s">
        <v>608</v>
      </c>
      <c r="DI32">
        <v>30</v>
      </c>
      <c r="DW32">
        <f>578880000*0.3</f>
        <v>173664000</v>
      </c>
      <c r="DX32">
        <f>612380000*0.3</f>
        <v>183714000</v>
      </c>
      <c r="DY32" s="22">
        <f>-PMT(0.04,$EI$32,DW32)</f>
        <v>10043006.335948164</v>
      </c>
      <c r="DZ32" s="22">
        <f>-PMT(0.04,$EI$32,DX32)</f>
        <v>10624198.832241459</v>
      </c>
      <c r="EA32">
        <f>DW32*0.01</f>
        <v>1736640</v>
      </c>
      <c r="EB32">
        <f>DW32+EA32</f>
        <v>175400640</v>
      </c>
      <c r="EC32">
        <f>DX32+EA32</f>
        <v>185450640</v>
      </c>
      <c r="ED32">
        <f>DW32+EA32*6</f>
        <v>184083840</v>
      </c>
      <c r="EE32">
        <f>DX32+EA32*6</f>
        <v>194133840</v>
      </c>
      <c r="EF32" s="6" t="s">
        <v>606</v>
      </c>
      <c r="EG32" s="6" t="s">
        <v>613</v>
      </c>
      <c r="EH32" s="6" t="s">
        <v>608</v>
      </c>
      <c r="EI32" s="6">
        <v>30</v>
      </c>
      <c r="EJ32" s="21">
        <f>241920000*0.3</f>
        <v>72576000</v>
      </c>
      <c r="EK32" s="21">
        <f>255920000*0.3</f>
        <v>76776000</v>
      </c>
      <c r="EL32" s="21">
        <f>-PMT(0.04,$EV$32,EJ32)</f>
        <v>4197077.2747246055</v>
      </c>
      <c r="EM32" s="21">
        <f>-PMT(0.04,$EV$32,EK32)</f>
        <v>4439963.6910859831</v>
      </c>
      <c r="EN32" s="21">
        <f>EJ32*0.01</f>
        <v>725760</v>
      </c>
      <c r="EO32" s="21">
        <f>EL32+EN32</f>
        <v>4922837.2747246055</v>
      </c>
      <c r="EP32" s="21">
        <f>EM32+EN32</f>
        <v>5165723.6910859831</v>
      </c>
      <c r="EQ32" s="21">
        <f>EJ32+EN32*6</f>
        <v>76930560</v>
      </c>
      <c r="ER32" s="21">
        <f>EK32+EN32*6</f>
        <v>81130560</v>
      </c>
      <c r="ES32" s="6" t="s">
        <v>609</v>
      </c>
      <c r="ET32" s="6" t="s">
        <v>614</v>
      </c>
      <c r="EU32" s="6" t="s">
        <v>608</v>
      </c>
      <c r="EV32" s="6">
        <v>30</v>
      </c>
      <c r="EW32" s="21">
        <f>8640000*0.3</f>
        <v>2592000</v>
      </c>
      <c r="EX32" s="21">
        <f>9140000*0.3</f>
        <v>2742000</v>
      </c>
      <c r="EY32" s="21">
        <f>-PMT(0.04,$FI$32,EW32)</f>
        <v>149895.6169544502</v>
      </c>
      <c r="EZ32" s="21">
        <f>-PMT(0.04,$FI$32,EX32)</f>
        <v>158570.1318244994</v>
      </c>
      <c r="FA32" s="21">
        <f>EW32*0.01</f>
        <v>25920</v>
      </c>
      <c r="FB32" s="21">
        <f>EY32+FA32</f>
        <v>175815.6169544502</v>
      </c>
      <c r="FC32" s="21">
        <f>FA32+EZ32</f>
        <v>184490.1318244994</v>
      </c>
      <c r="FD32" s="21">
        <f>EW32+6*FA32</f>
        <v>2747520</v>
      </c>
      <c r="FE32" s="21">
        <f>EX32+6*FA32</f>
        <v>2897520</v>
      </c>
      <c r="FF32" s="6" t="s">
        <v>611</v>
      </c>
      <c r="FG32" s="6" t="s">
        <v>615</v>
      </c>
      <c r="FH32" s="6" t="s">
        <v>608</v>
      </c>
      <c r="FI32" s="6">
        <v>30</v>
      </c>
    </row>
    <row r="33" spans="1:84" x14ac:dyDescent="0.25">
      <c r="A33" s="19"/>
      <c r="B33" s="36"/>
      <c r="C33" s="19"/>
      <c r="D33" s="37">
        <f>SUM(D4:D32)</f>
        <v>3417780745.4944921</v>
      </c>
      <c r="E33" s="37">
        <f>SUM(E4:E32)</f>
        <v>4623420745.4944925</v>
      </c>
      <c r="F33" s="37">
        <f t="shared" ref="F33:W33" si="14">SUM(F4:F32)</f>
        <v>283382860.99527013</v>
      </c>
      <c r="G33" s="37">
        <f t="shared" si="14"/>
        <v>373359085.49715662</v>
      </c>
      <c r="H33" s="37">
        <f t="shared" si="14"/>
        <v>1361047800</v>
      </c>
      <c r="I33" s="37">
        <f t="shared" si="14"/>
        <v>1755887800</v>
      </c>
      <c r="J33" s="37">
        <f t="shared" si="14"/>
        <v>105592220.78079578</v>
      </c>
      <c r="K33" s="37">
        <f t="shared" si="14"/>
        <v>125939535.39422438</v>
      </c>
      <c r="L33" s="37">
        <f t="shared" si="14"/>
        <v>536661545.49449217</v>
      </c>
      <c r="M33" s="37">
        <f t="shared" si="14"/>
        <v>670661545.49449217</v>
      </c>
      <c r="N33" s="37">
        <f t="shared" si="14"/>
        <v>26237360.782314114</v>
      </c>
      <c r="O33" s="37">
        <f t="shared" si="14"/>
        <v>32950869.334120817</v>
      </c>
      <c r="P33" s="37">
        <f t="shared" si="14"/>
        <v>203071400</v>
      </c>
      <c r="Q33" s="37">
        <f t="shared" si="14"/>
        <v>354871400</v>
      </c>
      <c r="R33" s="37">
        <f t="shared" si="14"/>
        <v>13278011.606348295</v>
      </c>
      <c r="S33" s="37">
        <f t="shared" si="14"/>
        <v>21183305.812674705</v>
      </c>
      <c r="T33" s="37">
        <f t="shared" si="14"/>
        <v>1317000000</v>
      </c>
      <c r="U33" s="37">
        <f t="shared" si="14"/>
        <v>1842000000</v>
      </c>
      <c r="V33" s="37">
        <f t="shared" si="14"/>
        <v>138275267.82581198</v>
      </c>
      <c r="W33" s="37">
        <f t="shared" si="14"/>
        <v>193285374.95613676</v>
      </c>
      <c r="X33" s="38">
        <f>SUM(X4:X32)</f>
        <v>1446560920</v>
      </c>
      <c r="Y33" s="38">
        <f>SUM(Y4:Y32)</f>
        <v>1825520920</v>
      </c>
      <c r="Z33" s="7">
        <f>AD33+AH33+AL33+AP33</f>
        <v>0</v>
      </c>
    </row>
    <row r="34" spans="1:84" hidden="1" x14ac:dyDescent="0.25">
      <c r="D34" s="21">
        <f>D33/6</f>
        <v>569630124.24908197</v>
      </c>
      <c r="E34" s="21">
        <f>E33/6</f>
        <v>770570124.24908209</v>
      </c>
      <c r="F34" s="21"/>
      <c r="G34" s="21"/>
      <c r="H34" s="21"/>
      <c r="I34" s="21"/>
      <c r="J34" s="21"/>
      <c r="K34" s="21"/>
      <c r="L34" s="21"/>
      <c r="M34" s="21"/>
      <c r="N34" s="21"/>
      <c r="O34" s="21"/>
      <c r="P34" s="21"/>
      <c r="Q34" s="21"/>
      <c r="R34" s="21"/>
      <c r="S34" s="21"/>
      <c r="T34" s="21"/>
      <c r="U34" s="21"/>
      <c r="V34" s="21"/>
      <c r="W34" s="21"/>
      <c r="Z34" s="7">
        <f>AD34+AH34+AL34+AP34</f>
        <v>0</v>
      </c>
      <c r="CF34" s="32"/>
    </row>
    <row r="35" spans="1:84" x14ac:dyDescent="0.25">
      <c r="D35" s="21">
        <f>D32+D21+D19+D7+D6+D5+D4</f>
        <v>1203585745.4944921</v>
      </c>
      <c r="E35" s="21">
        <f>E32+E21+E19+E7+E6+E5+E4</f>
        <v>1353225745.4944921</v>
      </c>
      <c r="F35" s="21">
        <f>F32+F21+F19+F7+F6+F5+F4</f>
        <v>70034027.9241108</v>
      </c>
      <c r="G35" s="21">
        <f>G32+G21+G19+G7+G6+G5+G4</f>
        <v>78266123.091949552</v>
      </c>
      <c r="H35" s="21"/>
      <c r="I35" s="21"/>
      <c r="J35" s="21"/>
      <c r="K35" s="21"/>
      <c r="L35" s="21"/>
      <c r="M35" s="21"/>
      <c r="N35" s="21"/>
      <c r="O35" s="21"/>
      <c r="P35" s="21"/>
      <c r="Q35" s="21"/>
      <c r="R35" s="21"/>
      <c r="S35" s="21"/>
      <c r="T35" s="21"/>
      <c r="U35" s="21"/>
      <c r="V35" s="21"/>
      <c r="W35" s="21"/>
      <c r="X35" s="32">
        <f>X32+X21+X19+X7+X6+X5+X4</f>
        <v>397935920</v>
      </c>
      <c r="Y35" s="32">
        <f>Y32+Y21+Y19+Y7+Y6+Y5+Y4</f>
        <v>469905920</v>
      </c>
      <c r="Z35" s="7">
        <f>AD35+AH35+AL35+AP35</f>
        <v>0</v>
      </c>
      <c r="AA35" s="32"/>
      <c r="CF35" s="32"/>
    </row>
    <row r="37" spans="1:84" x14ac:dyDescent="0.25">
      <c r="D37" s="39">
        <v>4762163.22</v>
      </c>
    </row>
    <row r="38" spans="1:84" x14ac:dyDescent="0.25">
      <c r="D38" s="40">
        <v>25500</v>
      </c>
    </row>
    <row r="39" spans="1:84" x14ac:dyDescent="0.25">
      <c r="D39" s="40">
        <v>96060</v>
      </c>
    </row>
    <row r="40" spans="1:84" x14ac:dyDescent="0.25">
      <c r="D40" s="40">
        <v>56000</v>
      </c>
    </row>
    <row r="41" spans="1:84" x14ac:dyDescent="0.25">
      <c r="D41" s="32">
        <f>SUBTOTAL(9,D37:D40)</f>
        <v>4939723.22</v>
      </c>
    </row>
    <row r="42" spans="1:84" x14ac:dyDescent="0.25">
      <c r="D42" s="34">
        <f>D41*6</f>
        <v>29638339.32</v>
      </c>
    </row>
  </sheetData>
  <autoFilter ref="A3:FU34" xr:uid="{00000000-0009-0000-0000-00000F000000}">
    <filterColumn colId="15">
      <filters>
        <filter val="1.163.000"/>
        <filter val="156.800.000"/>
        <filter val="203.071.400"/>
        <filter val="35.950.000"/>
        <filter val="9.158.400"/>
      </filters>
    </filterColumn>
  </autoFilter>
  <mergeCells count="5">
    <mergeCell ref="D2:F2"/>
    <mergeCell ref="H2:I2"/>
    <mergeCell ref="L2:M2"/>
    <mergeCell ref="P2:Q2"/>
    <mergeCell ref="T2:U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1">
    <outlinePr summaryBelow="0" summaryRight="0"/>
  </sheetPr>
  <dimension ref="A1:CY274"/>
  <sheetViews>
    <sheetView showGridLines="0" zoomScale="70" zoomScaleNormal="70" workbookViewId="0">
      <pane xSplit="8" ySplit="4" topLeftCell="I169" activePane="bottomRight" state="frozen"/>
      <selection pane="topRight" activeCell="I1" sqref="I1"/>
      <selection pane="bottomLeft" activeCell="A4" sqref="A4"/>
      <selection pane="bottomRight" activeCell="A75" sqref="A75"/>
    </sheetView>
  </sheetViews>
  <sheetFormatPr baseColWidth="10" defaultColWidth="11.5703125" defaultRowHeight="14.25" outlineLevelRow="1" outlineLevelCol="1" x14ac:dyDescent="0.2"/>
  <cols>
    <col min="1" max="1" width="19" style="79" customWidth="1"/>
    <col min="2" max="2" width="102.5703125" style="80" customWidth="1" collapsed="1"/>
    <col min="3" max="3" width="10.140625" style="79" hidden="1" customWidth="1" outlineLevel="1"/>
    <col min="4" max="4" width="11.140625" style="79" hidden="1" customWidth="1" outlineLevel="1"/>
    <col min="5" max="5" width="9.85546875" style="79" hidden="1" customWidth="1" outlineLevel="1"/>
    <col min="6" max="7" width="11.5703125" style="79" hidden="1" customWidth="1" outlineLevel="1"/>
    <col min="8" max="8" width="16.85546875" style="79" hidden="1" customWidth="1" outlineLevel="1"/>
    <col min="9" max="9" width="10.140625" style="79" hidden="1" customWidth="1" outlineLevel="1"/>
    <col min="10" max="10" width="3.42578125" style="79" hidden="1" customWidth="1"/>
    <col min="11" max="11" width="4.85546875" style="120" customWidth="1"/>
    <col min="12" max="12" width="4" style="79" customWidth="1" outlineLevel="1"/>
    <col min="13" max="13" width="4.85546875" style="79" customWidth="1" outlineLevel="1"/>
    <col min="14" max="14" width="5.140625" style="79" customWidth="1" outlineLevel="1"/>
    <col min="15" max="15" width="5.85546875" style="79" customWidth="1" outlineLevel="1"/>
    <col min="16" max="16" width="4.85546875" style="79" customWidth="1" outlineLevel="1"/>
    <col min="17" max="17" width="7.140625" style="79" customWidth="1" outlineLevel="1"/>
    <col min="18" max="18" width="8.85546875" style="79" customWidth="1" outlineLevel="1"/>
    <col min="19" max="19" width="11.140625" style="79" customWidth="1" outlineLevel="1"/>
    <col min="20" max="20" width="6.140625" style="79" customWidth="1" outlineLevel="1"/>
    <col min="21" max="21" width="9.140625" style="79" customWidth="1" outlineLevel="1"/>
    <col min="22" max="22" width="8.5703125" style="79" customWidth="1" outlineLevel="1"/>
    <col min="23" max="24" width="6.42578125" style="79" customWidth="1" outlineLevel="1"/>
    <col min="25" max="25" width="5" style="79" customWidth="1" outlineLevel="1"/>
    <col min="26" max="26" width="6.5703125" style="79" customWidth="1" outlineLevel="1"/>
    <col min="27" max="27" width="6" style="121" customWidth="1" outlineLevel="1"/>
    <col min="28" max="28" width="6" style="79" customWidth="1" outlineLevel="1"/>
    <col min="29" max="29" width="5.85546875" style="79" customWidth="1" outlineLevel="1"/>
    <col min="30" max="30" width="6" style="79" customWidth="1" outlineLevel="1"/>
    <col min="31" max="31" width="6.140625" style="79" customWidth="1" outlineLevel="1"/>
    <col min="32" max="32" width="4.85546875" style="79" customWidth="1" outlineLevel="1"/>
    <col min="33" max="33" width="7.85546875" style="79" customWidth="1" outlineLevel="1"/>
    <col min="34" max="34" width="5" style="121" customWidth="1" outlineLevel="1"/>
    <col min="35" max="35" width="5.85546875" style="79" customWidth="1" outlineLevel="1"/>
    <col min="36" max="36" width="4.5703125" style="79" customWidth="1" outlineLevel="1"/>
    <col min="37" max="37" width="4.140625" style="121" customWidth="1" outlineLevel="1"/>
    <col min="38" max="41" width="5.85546875" style="79" customWidth="1" outlineLevel="1"/>
    <col min="42" max="42" width="2.85546875" style="120" customWidth="1"/>
    <col min="43" max="43" width="3.5703125" style="79" customWidth="1" outlineLevel="1"/>
    <col min="44" max="44" width="4.5703125" style="79" customWidth="1" outlineLevel="1"/>
    <col min="45" max="45" width="5.140625" style="79" customWidth="1" outlineLevel="1"/>
    <col min="46" max="46" width="5.85546875" style="79" customWidth="1" outlineLevel="1"/>
    <col min="47" max="47" width="4.85546875" style="79" customWidth="1" outlineLevel="1"/>
    <col min="48" max="48" width="5.42578125" style="79" customWidth="1" outlineLevel="1"/>
    <col min="49" max="49" width="5" style="79" customWidth="1" outlineLevel="1"/>
    <col min="50" max="50" width="8.85546875" style="79" customWidth="1" outlineLevel="1"/>
    <col min="51" max="51" width="6.140625" style="79" customWidth="1" outlineLevel="1"/>
    <col min="52" max="52" width="9.140625" style="79" customWidth="1" outlineLevel="1"/>
    <col min="53" max="53" width="8.5703125" style="79" customWidth="1" outlineLevel="1"/>
    <col min="54" max="55" width="6.42578125" style="79" customWidth="1" outlineLevel="1"/>
    <col min="56" max="56" width="5" style="79" customWidth="1" outlineLevel="1"/>
    <col min="57" max="57" width="6.5703125" style="79" customWidth="1" outlineLevel="1"/>
    <col min="58" max="58" width="4" style="121" customWidth="1" outlineLevel="1"/>
    <col min="59" max="59" width="4" style="79" customWidth="1" outlineLevel="1"/>
    <col min="60" max="60" width="5.85546875" style="79" customWidth="1" outlineLevel="1"/>
    <col min="61" max="61" width="6" style="79" customWidth="1" outlineLevel="1"/>
    <col min="62" max="62" width="4.140625" style="79" customWidth="1" outlineLevel="1"/>
    <col min="63" max="63" width="4.85546875" style="79" customWidth="1" outlineLevel="1"/>
    <col min="64" max="64" width="7.85546875" style="79" customWidth="1" outlineLevel="1"/>
    <col min="65" max="65" width="7.140625" style="121" customWidth="1" outlineLevel="1"/>
    <col min="66" max="66" width="7.140625" style="79" customWidth="1" outlineLevel="1"/>
    <col min="67" max="67" width="5.140625" style="79" customWidth="1" outlineLevel="1"/>
    <col min="68" max="68" width="4.140625" style="121" customWidth="1" outlineLevel="1"/>
    <col min="69" max="70" width="4.140625" style="79" customWidth="1" outlineLevel="1"/>
    <col min="71" max="71" width="3.42578125" style="79" customWidth="1" outlineLevel="1"/>
    <col min="72" max="72" width="6.140625" style="79" customWidth="1" outlineLevel="1"/>
    <col min="73" max="73" width="2.85546875" style="120" customWidth="1"/>
    <col min="74" max="74" width="3.5703125" style="79" customWidth="1" outlineLevel="1"/>
    <col min="75" max="75" width="4.5703125" style="79" customWidth="1" outlineLevel="1"/>
    <col min="76" max="76" width="5.140625" style="79" customWidth="1" outlineLevel="1"/>
    <col min="77" max="77" width="5.85546875" style="79" customWidth="1" outlineLevel="1"/>
    <col min="78" max="78" width="4.85546875" style="79" customWidth="1" outlineLevel="1"/>
    <col min="79" max="79" width="5.42578125" style="79" customWidth="1" outlineLevel="1"/>
    <col min="80" max="80" width="5" style="79" customWidth="1" outlineLevel="1"/>
    <col min="81" max="81" width="8.85546875" style="79" customWidth="1" outlineLevel="1"/>
    <col min="82" max="82" width="6.140625" style="79" customWidth="1" outlineLevel="1"/>
    <col min="83" max="83" width="9.140625" style="79" customWidth="1" outlineLevel="1"/>
    <col min="84" max="84" width="8.5703125" style="79" customWidth="1" outlineLevel="1"/>
    <col min="85" max="86" width="6.42578125" style="79" customWidth="1" outlineLevel="1"/>
    <col min="87" max="87" width="5" style="79" customWidth="1" outlineLevel="1"/>
    <col min="88" max="88" width="6.5703125" style="79" customWidth="1" outlineLevel="1"/>
    <col min="89" max="89" width="2.5703125" style="121" customWidth="1" outlineLevel="1"/>
    <col min="90" max="90" width="2.42578125" style="79" customWidth="1" outlineLevel="1"/>
    <col min="91" max="91" width="5.85546875" style="79" customWidth="1" outlineLevel="1"/>
    <col min="92" max="92" width="6" style="79" customWidth="1" outlineLevel="1"/>
    <col min="93" max="93" width="4" style="79" customWidth="1" outlineLevel="1"/>
    <col min="94" max="94" width="4.85546875" style="79" customWidth="1" outlineLevel="1"/>
    <col min="95" max="95" width="7.85546875" style="79" customWidth="1" outlineLevel="1"/>
    <col min="96" max="96" width="7.140625" style="121" customWidth="1" outlineLevel="1"/>
    <col min="97" max="97" width="10.5703125" style="79" customWidth="1" outlineLevel="1"/>
    <col min="98" max="98" width="9.42578125" style="79" customWidth="1" outlineLevel="1"/>
    <col min="99" max="99" width="4.140625" style="121" customWidth="1" outlineLevel="1"/>
    <col min="100" max="101" width="4.140625" style="79" customWidth="1" outlineLevel="1"/>
    <col min="102" max="102" width="4.85546875" style="79" customWidth="1" outlineLevel="1"/>
    <col min="103" max="103" width="6.140625" style="79" customWidth="1" outlineLevel="1"/>
    <col min="104" max="16384" width="11.5703125" style="79"/>
  </cols>
  <sheetData>
    <row r="1" spans="1:103" ht="27.75" thickBot="1" x14ac:dyDescent="0.4">
      <c r="B1" s="80" t="s">
        <v>1580</v>
      </c>
      <c r="C1" s="81" t="s">
        <v>1581</v>
      </c>
      <c r="D1" s="81"/>
      <c r="E1" s="81"/>
      <c r="F1" s="81"/>
      <c r="G1" s="81"/>
      <c r="H1" s="81"/>
      <c r="I1" s="81"/>
      <c r="J1" s="82"/>
      <c r="K1" s="541" t="s">
        <v>498</v>
      </c>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0" t="s">
        <v>500</v>
      </c>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42" t="s">
        <v>499</v>
      </c>
      <c r="BV1" s="543"/>
      <c r="BW1" s="543"/>
      <c r="BX1" s="543"/>
      <c r="BY1" s="543"/>
      <c r="BZ1" s="543"/>
      <c r="CA1" s="543"/>
      <c r="CB1" s="543"/>
      <c r="CC1" s="543"/>
      <c r="CD1" s="543"/>
      <c r="CE1" s="543"/>
      <c r="CF1" s="543"/>
      <c r="CG1" s="543"/>
      <c r="CH1" s="543"/>
      <c r="CI1" s="543"/>
      <c r="CJ1" s="543"/>
      <c r="CK1" s="543"/>
      <c r="CL1" s="543"/>
      <c r="CM1" s="543"/>
      <c r="CN1" s="543"/>
      <c r="CO1" s="543"/>
      <c r="CP1" s="543"/>
      <c r="CQ1" s="543"/>
      <c r="CR1" s="543"/>
      <c r="CS1" s="543"/>
      <c r="CT1" s="543"/>
      <c r="CU1" s="543"/>
      <c r="CV1" s="543"/>
      <c r="CW1" s="543"/>
      <c r="CX1" s="543"/>
      <c r="CY1" s="543"/>
    </row>
    <row r="2" spans="1:103" ht="15" thickBot="1" x14ac:dyDescent="0.25">
      <c r="B2" s="86" t="s">
        <v>1582</v>
      </c>
      <c r="C2" s="81"/>
      <c r="D2" s="81"/>
      <c r="E2" s="81"/>
      <c r="F2" s="81"/>
      <c r="G2" s="81"/>
      <c r="H2" s="81"/>
      <c r="I2" s="81"/>
      <c r="J2" s="82"/>
      <c r="K2" s="532" t="s">
        <v>1536</v>
      </c>
      <c r="L2" s="532"/>
      <c r="M2" s="532"/>
      <c r="N2" s="532"/>
      <c r="O2" s="532"/>
      <c r="P2" s="532"/>
      <c r="Q2" s="532"/>
      <c r="R2" s="532"/>
      <c r="S2" s="532"/>
      <c r="T2" s="532"/>
      <c r="U2" s="532"/>
      <c r="V2" s="532"/>
      <c r="W2" s="532"/>
      <c r="X2" s="532"/>
      <c r="Y2" s="532"/>
      <c r="Z2" s="532"/>
      <c r="AA2" s="532" t="s">
        <v>1537</v>
      </c>
      <c r="AB2" s="532"/>
      <c r="AC2" s="532"/>
      <c r="AD2" s="532"/>
      <c r="AE2" s="532"/>
      <c r="AF2" s="532"/>
      <c r="AG2" s="532"/>
      <c r="AH2" s="532" t="s">
        <v>1538</v>
      </c>
      <c r="AI2" s="532"/>
      <c r="AJ2" s="532"/>
      <c r="AK2" s="532" t="s">
        <v>1539</v>
      </c>
      <c r="AL2" s="532"/>
      <c r="AM2" s="532"/>
      <c r="AN2" s="532"/>
      <c r="AO2" s="532"/>
      <c r="AP2" s="521" t="s">
        <v>1536</v>
      </c>
      <c r="AQ2" s="521"/>
      <c r="AR2" s="521"/>
      <c r="AS2" s="521"/>
      <c r="AT2" s="521"/>
      <c r="AU2" s="521"/>
      <c r="AV2" s="521"/>
      <c r="AW2" s="521"/>
      <c r="AX2" s="521"/>
      <c r="AY2" s="521"/>
      <c r="AZ2" s="521"/>
      <c r="BA2" s="521"/>
      <c r="BB2" s="521"/>
      <c r="BC2" s="521"/>
      <c r="BD2" s="521"/>
      <c r="BE2" s="521"/>
      <c r="BF2" s="521" t="s">
        <v>1537</v>
      </c>
      <c r="BG2" s="521"/>
      <c r="BH2" s="521"/>
      <c r="BI2" s="521"/>
      <c r="BJ2" s="521"/>
      <c r="BK2" s="521"/>
      <c r="BL2" s="521"/>
      <c r="BM2" s="521" t="s">
        <v>1538</v>
      </c>
      <c r="BN2" s="521"/>
      <c r="BO2" s="521"/>
      <c r="BP2" s="521" t="s">
        <v>1539</v>
      </c>
      <c r="BQ2" s="521"/>
      <c r="BR2" s="521"/>
      <c r="BS2" s="521"/>
      <c r="BT2" s="521"/>
      <c r="BU2" s="544" t="s">
        <v>1536</v>
      </c>
      <c r="BV2" s="544"/>
      <c r="BW2" s="544"/>
      <c r="BX2" s="544"/>
      <c r="BY2" s="544"/>
      <c r="BZ2" s="544"/>
      <c r="CA2" s="544"/>
      <c r="CB2" s="544"/>
      <c r="CC2" s="544"/>
      <c r="CD2" s="544"/>
      <c r="CE2" s="544"/>
      <c r="CF2" s="544"/>
      <c r="CG2" s="544"/>
      <c r="CH2" s="544"/>
      <c r="CI2" s="544"/>
      <c r="CJ2" s="544"/>
      <c r="CK2" s="544" t="s">
        <v>1537</v>
      </c>
      <c r="CL2" s="544"/>
      <c r="CM2" s="544"/>
      <c r="CN2" s="544"/>
      <c r="CO2" s="544"/>
      <c r="CP2" s="544"/>
      <c r="CQ2" s="544"/>
      <c r="CR2" s="544" t="s">
        <v>1538</v>
      </c>
      <c r="CS2" s="544"/>
      <c r="CT2" s="544"/>
      <c r="CU2" s="544" t="s">
        <v>1539</v>
      </c>
      <c r="CV2" s="544"/>
      <c r="CW2" s="544"/>
      <c r="CX2" s="544"/>
      <c r="CY2" s="544"/>
    </row>
    <row r="3" spans="1:103" ht="42" customHeight="1" thickBot="1" x14ac:dyDescent="0.25">
      <c r="B3" s="86"/>
      <c r="C3" s="81"/>
      <c r="D3" s="81"/>
      <c r="E3" s="81"/>
      <c r="F3" s="81"/>
      <c r="G3" s="81"/>
      <c r="H3" s="81"/>
      <c r="I3" s="81"/>
      <c r="J3" s="82"/>
      <c r="K3" s="619" t="s">
        <v>1540</v>
      </c>
      <c r="L3" s="619"/>
      <c r="M3" s="619"/>
      <c r="N3" s="619"/>
      <c r="O3" s="619"/>
      <c r="P3" s="532" t="s">
        <v>1541</v>
      </c>
      <c r="Q3" s="620" t="s">
        <v>1542</v>
      </c>
      <c r="R3" s="619"/>
      <c r="S3" s="532"/>
      <c r="T3" s="532" t="s">
        <v>1543</v>
      </c>
      <c r="U3" s="532"/>
      <c r="V3" s="620" t="s">
        <v>1544</v>
      </c>
      <c r="W3" s="619"/>
      <c r="X3" s="619"/>
      <c r="Y3" s="619"/>
      <c r="Z3" s="619"/>
      <c r="AA3" s="619" t="s">
        <v>1583</v>
      </c>
      <c r="AB3" s="619"/>
      <c r="AC3" s="619"/>
      <c r="AD3" s="619"/>
      <c r="AE3" s="619"/>
      <c r="AF3" s="619"/>
      <c r="AG3" s="619"/>
      <c r="AH3" s="619" t="s">
        <v>1584</v>
      </c>
      <c r="AI3" s="619"/>
      <c r="AJ3" s="619"/>
      <c r="AK3" s="619" t="s">
        <v>1585</v>
      </c>
      <c r="AL3" s="619"/>
      <c r="AM3" s="619"/>
      <c r="AN3" s="619"/>
      <c r="AO3" s="619"/>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row>
    <row r="4" spans="1:103" ht="90" customHeight="1" thickBot="1" x14ac:dyDescent="0.25">
      <c r="A4" s="88" t="s">
        <v>496</v>
      </c>
      <c r="B4" s="489" t="s">
        <v>29</v>
      </c>
      <c r="C4" s="89" t="s">
        <v>414</v>
      </c>
      <c r="D4" s="89" t="s">
        <v>415</v>
      </c>
      <c r="E4" s="89" t="s">
        <v>416</v>
      </c>
      <c r="F4" s="89" t="s">
        <v>1586</v>
      </c>
      <c r="G4" s="89">
        <v>0</v>
      </c>
      <c r="H4" s="89" t="s">
        <v>394</v>
      </c>
      <c r="I4" s="90"/>
      <c r="J4" s="91" t="s">
        <v>1587</v>
      </c>
      <c r="K4" s="533" t="s">
        <v>1545</v>
      </c>
      <c r="L4" s="533" t="s">
        <v>1546</v>
      </c>
      <c r="M4" s="534" t="s">
        <v>1547</v>
      </c>
      <c r="N4" s="534" t="s">
        <v>1548</v>
      </c>
      <c r="O4" s="534" t="s">
        <v>1549</v>
      </c>
      <c r="P4" s="535" t="s">
        <v>1616</v>
      </c>
      <c r="Q4" s="534" t="s">
        <v>1550</v>
      </c>
      <c r="R4" s="534" t="s">
        <v>1551</v>
      </c>
      <c r="S4" s="536" t="s">
        <v>1552</v>
      </c>
      <c r="T4" s="534" t="s">
        <v>1553</v>
      </c>
      <c r="U4" s="534" t="s">
        <v>1554</v>
      </c>
      <c r="V4" s="537" t="s">
        <v>1555</v>
      </c>
      <c r="W4" s="534" t="s">
        <v>1556</v>
      </c>
      <c r="X4" s="534" t="s">
        <v>1557</v>
      </c>
      <c r="Y4" s="534" t="s">
        <v>1558</v>
      </c>
      <c r="Z4" s="534" t="s">
        <v>1559</v>
      </c>
      <c r="AA4" s="535" t="s">
        <v>1560</v>
      </c>
      <c r="AB4" s="533" t="s">
        <v>1561</v>
      </c>
      <c r="AC4" s="533" t="s">
        <v>1562</v>
      </c>
      <c r="AD4" s="533" t="s">
        <v>1563</v>
      </c>
      <c r="AE4" s="533" t="s">
        <v>1564</v>
      </c>
      <c r="AF4" s="534" t="s">
        <v>1565</v>
      </c>
      <c r="AG4" s="534" t="s">
        <v>1566</v>
      </c>
      <c r="AH4" s="534" t="s">
        <v>1567</v>
      </c>
      <c r="AI4" s="534" t="s">
        <v>1568</v>
      </c>
      <c r="AJ4" s="534" t="s">
        <v>1569</v>
      </c>
      <c r="AK4" s="537" t="s">
        <v>514</v>
      </c>
      <c r="AL4" s="534" t="s">
        <v>1570</v>
      </c>
      <c r="AM4" s="534" t="s">
        <v>1571</v>
      </c>
      <c r="AN4" s="534" t="s">
        <v>1572</v>
      </c>
      <c r="AO4" s="534" t="s">
        <v>1573</v>
      </c>
      <c r="AP4" s="522" t="s">
        <v>1545</v>
      </c>
      <c r="AQ4" s="523" t="s">
        <v>1546</v>
      </c>
      <c r="AR4" s="524" t="s">
        <v>1547</v>
      </c>
      <c r="AS4" s="524" t="s">
        <v>1548</v>
      </c>
      <c r="AT4" s="524" t="s">
        <v>1549</v>
      </c>
      <c r="AU4" s="523" t="s">
        <v>1612</v>
      </c>
      <c r="AV4" s="525" t="s">
        <v>1550</v>
      </c>
      <c r="AW4" s="524" t="s">
        <v>1551</v>
      </c>
      <c r="AX4" s="524" t="s">
        <v>1552</v>
      </c>
      <c r="AY4" s="525" t="s">
        <v>1553</v>
      </c>
      <c r="AZ4" s="524" t="s">
        <v>1554</v>
      </c>
      <c r="BA4" s="524" t="s">
        <v>1555</v>
      </c>
      <c r="BB4" s="524" t="s">
        <v>1556</v>
      </c>
      <c r="BC4" s="524" t="s">
        <v>1557</v>
      </c>
      <c r="BD4" s="525" t="s">
        <v>1558</v>
      </c>
      <c r="BE4" s="524" t="s">
        <v>1559</v>
      </c>
      <c r="BF4" s="523" t="s">
        <v>1560</v>
      </c>
      <c r="BG4" s="522" t="s">
        <v>1561</v>
      </c>
      <c r="BH4" s="522" t="s">
        <v>1562</v>
      </c>
      <c r="BI4" s="522" t="s">
        <v>1563</v>
      </c>
      <c r="BJ4" s="522" t="s">
        <v>1564</v>
      </c>
      <c r="BK4" s="525" t="s">
        <v>1565</v>
      </c>
      <c r="BL4" s="525" t="s">
        <v>1566</v>
      </c>
      <c r="BM4" s="524" t="s">
        <v>1567</v>
      </c>
      <c r="BN4" s="524" t="s">
        <v>1568</v>
      </c>
      <c r="BO4" s="524" t="s">
        <v>1569</v>
      </c>
      <c r="BP4" s="525" t="s">
        <v>514</v>
      </c>
      <c r="BQ4" s="524" t="s">
        <v>1570</v>
      </c>
      <c r="BR4" s="525" t="s">
        <v>1571</v>
      </c>
      <c r="BS4" s="524" t="s">
        <v>1572</v>
      </c>
      <c r="BT4" s="524" t="s">
        <v>1573</v>
      </c>
      <c r="BU4" s="545" t="s">
        <v>1545</v>
      </c>
      <c r="BV4" s="545" t="s">
        <v>1546</v>
      </c>
      <c r="BW4" s="546" t="s">
        <v>1547</v>
      </c>
      <c r="BX4" s="547" t="s">
        <v>1548</v>
      </c>
      <c r="BY4" s="547" t="s">
        <v>1549</v>
      </c>
      <c r="BZ4" s="548" t="s">
        <v>1577</v>
      </c>
      <c r="CA4" s="546" t="s">
        <v>1550</v>
      </c>
      <c r="CB4" s="546" t="s">
        <v>1551</v>
      </c>
      <c r="CC4" s="546" t="s">
        <v>1552</v>
      </c>
      <c r="CD4" s="546" t="s">
        <v>1553</v>
      </c>
      <c r="CE4" s="546" t="s">
        <v>1554</v>
      </c>
      <c r="CF4" s="546" t="s">
        <v>1555</v>
      </c>
      <c r="CG4" s="547" t="s">
        <v>1556</v>
      </c>
      <c r="CH4" s="547" t="s">
        <v>1557</v>
      </c>
      <c r="CI4" s="546" t="s">
        <v>1558</v>
      </c>
      <c r="CJ4" s="546" t="s">
        <v>1559</v>
      </c>
      <c r="CK4" s="545" t="s">
        <v>1560</v>
      </c>
      <c r="CL4" s="545" t="s">
        <v>1561</v>
      </c>
      <c r="CM4" s="545" t="s">
        <v>1562</v>
      </c>
      <c r="CN4" s="545" t="s">
        <v>1563</v>
      </c>
      <c r="CO4" s="545" t="s">
        <v>1564</v>
      </c>
      <c r="CP4" s="547" t="s">
        <v>1565</v>
      </c>
      <c r="CQ4" s="546" t="s">
        <v>1566</v>
      </c>
      <c r="CR4" s="547" t="s">
        <v>1567</v>
      </c>
      <c r="CS4" s="547" t="s">
        <v>1568</v>
      </c>
      <c r="CT4" s="546" t="s">
        <v>1569</v>
      </c>
      <c r="CU4" s="546" t="s">
        <v>514</v>
      </c>
      <c r="CV4" s="547" t="s">
        <v>1570</v>
      </c>
      <c r="CW4" s="546" t="s">
        <v>1571</v>
      </c>
      <c r="CX4" s="547" t="s">
        <v>1572</v>
      </c>
      <c r="CY4" s="547" t="s">
        <v>1573</v>
      </c>
    </row>
    <row r="5" spans="1:103" s="95" customFormat="1" ht="15.75" thickBot="1" x14ac:dyDescent="0.25">
      <c r="A5" s="92"/>
      <c r="B5" s="92"/>
      <c r="C5" s="93"/>
      <c r="D5" s="93"/>
      <c r="E5" s="93"/>
      <c r="F5" s="93"/>
      <c r="G5" s="93"/>
      <c r="H5" s="93" t="s">
        <v>1588</v>
      </c>
      <c r="I5" s="93"/>
      <c r="J5" s="94"/>
      <c r="K5" s="538">
        <v>-0.5</v>
      </c>
      <c r="L5" s="538">
        <v>0.5</v>
      </c>
      <c r="M5" s="539">
        <v>0</v>
      </c>
      <c r="N5" s="539">
        <v>0.6</v>
      </c>
      <c r="O5" s="539">
        <v>0.6</v>
      </c>
      <c r="P5" s="538" t="s">
        <v>1574</v>
      </c>
      <c r="Q5" s="539" t="s">
        <v>1575</v>
      </c>
      <c r="R5" s="539" t="s">
        <v>1529</v>
      </c>
      <c r="S5" s="539" t="s">
        <v>1528</v>
      </c>
      <c r="T5" s="539" t="s">
        <v>1528</v>
      </c>
      <c r="U5" s="539" t="s">
        <v>1527</v>
      </c>
      <c r="V5" s="540" t="s">
        <v>1528</v>
      </c>
      <c r="W5" s="539" t="s">
        <v>1528</v>
      </c>
      <c r="X5" s="539" t="s">
        <v>1528</v>
      </c>
      <c r="Y5" s="539" t="s">
        <v>1576</v>
      </c>
      <c r="Z5" s="539" t="s">
        <v>1530</v>
      </c>
      <c r="AA5" s="538"/>
      <c r="AB5" s="538"/>
      <c r="AC5" s="538"/>
      <c r="AD5" s="538"/>
      <c r="AE5" s="538"/>
      <c r="AF5" s="539"/>
      <c r="AG5" s="539"/>
      <c r="AH5" s="539"/>
      <c r="AI5" s="539"/>
      <c r="AJ5" s="539"/>
      <c r="AK5" s="540"/>
      <c r="AL5" s="539"/>
      <c r="AM5" s="539"/>
      <c r="AN5" s="539"/>
      <c r="AO5" s="539"/>
      <c r="AP5" s="526">
        <v>-0.5</v>
      </c>
      <c r="AQ5" s="527">
        <v>0.5</v>
      </c>
      <c r="AR5" s="528">
        <v>0</v>
      </c>
      <c r="AS5" s="528">
        <v>0.6</v>
      </c>
      <c r="AT5" s="528">
        <v>0.6</v>
      </c>
      <c r="AU5" s="527" t="s">
        <v>1574</v>
      </c>
      <c r="AV5" s="529" t="s">
        <v>1575</v>
      </c>
      <c r="AW5" s="528" t="s">
        <v>1529</v>
      </c>
      <c r="AX5" s="528" t="s">
        <v>1528</v>
      </c>
      <c r="AY5" s="529" t="s">
        <v>1528</v>
      </c>
      <c r="AZ5" s="528" t="s">
        <v>1527</v>
      </c>
      <c r="BA5" s="528" t="s">
        <v>1528</v>
      </c>
      <c r="BB5" s="528" t="s">
        <v>1528</v>
      </c>
      <c r="BC5" s="528" t="s">
        <v>1528</v>
      </c>
      <c r="BD5" s="529" t="s">
        <v>1576</v>
      </c>
      <c r="BE5" s="528" t="s">
        <v>1530</v>
      </c>
      <c r="BF5" s="527"/>
      <c r="BG5" s="526"/>
      <c r="BH5" s="526"/>
      <c r="BI5" s="526"/>
      <c r="BJ5" s="526"/>
      <c r="BK5" s="529"/>
      <c r="BL5" s="529"/>
      <c r="BM5" s="528"/>
      <c r="BN5" s="528"/>
      <c r="BO5" s="528"/>
      <c r="BP5" s="529"/>
      <c r="BQ5" s="528"/>
      <c r="BR5" s="529"/>
      <c r="BS5" s="528"/>
      <c r="BT5" s="528"/>
      <c r="BU5" s="549">
        <v>-0.5</v>
      </c>
      <c r="BV5" s="549">
        <v>0.5</v>
      </c>
      <c r="BW5" s="550">
        <v>0</v>
      </c>
      <c r="BX5" s="551">
        <v>0.6</v>
      </c>
      <c r="BY5" s="551">
        <v>0.6</v>
      </c>
      <c r="BZ5" s="552" t="s">
        <v>1574</v>
      </c>
      <c r="CA5" s="550" t="s">
        <v>1575</v>
      </c>
      <c r="CB5" s="550" t="s">
        <v>1529</v>
      </c>
      <c r="CC5" s="550" t="s">
        <v>1528</v>
      </c>
      <c r="CD5" s="550" t="s">
        <v>1528</v>
      </c>
      <c r="CE5" s="550" t="s">
        <v>1527</v>
      </c>
      <c r="CF5" s="550" t="s">
        <v>1528</v>
      </c>
      <c r="CG5" s="551" t="s">
        <v>1528</v>
      </c>
      <c r="CH5" s="551" t="s">
        <v>1528</v>
      </c>
      <c r="CI5" s="550" t="s">
        <v>1576</v>
      </c>
      <c r="CJ5" s="550" t="s">
        <v>1530</v>
      </c>
      <c r="CK5" s="549"/>
      <c r="CL5" s="549"/>
      <c r="CM5" s="549"/>
      <c r="CN5" s="549"/>
      <c r="CO5" s="549"/>
      <c r="CP5" s="551"/>
      <c r="CQ5" s="550"/>
      <c r="CR5" s="551"/>
      <c r="CS5" s="551"/>
      <c r="CT5" s="550"/>
      <c r="CU5" s="550"/>
      <c r="CV5" s="551"/>
      <c r="CW5" s="550"/>
      <c r="CX5" s="551"/>
      <c r="CY5" s="551"/>
    </row>
    <row r="6" spans="1:103" collapsed="1" x14ac:dyDescent="0.2">
      <c r="A6" s="394" t="s">
        <v>0</v>
      </c>
      <c r="B6" s="395" t="str">
        <f>VLOOKUP(A6,'1. Mesures'!$A$2:$B$116,2,0)</f>
        <v xml:space="preserve">Remettre à ciel ouvert le réseau hydrographique  </v>
      </c>
      <c r="C6" s="96"/>
      <c r="D6" s="96">
        <v>6120000</v>
      </c>
      <c r="E6" s="96">
        <v>2330000</v>
      </c>
      <c r="F6" s="96"/>
      <c r="G6" s="96"/>
      <c r="H6" s="96">
        <v>8450000</v>
      </c>
      <c r="I6" s="97" t="s">
        <v>1589</v>
      </c>
      <c r="J6" s="97"/>
      <c r="K6" s="516"/>
      <c r="L6" s="517"/>
      <c r="M6" s="517"/>
      <c r="N6" s="517"/>
      <c r="O6" s="517"/>
      <c r="P6" s="517"/>
      <c r="Q6" s="517"/>
      <c r="R6" s="517"/>
      <c r="S6" s="517"/>
      <c r="T6" s="517"/>
      <c r="U6" s="517"/>
      <c r="V6" s="517"/>
      <c r="W6" s="517"/>
      <c r="X6" s="517"/>
      <c r="Y6" s="517"/>
      <c r="Z6" s="518"/>
      <c r="AA6" s="519"/>
      <c r="AB6" s="517"/>
      <c r="AC6" s="517"/>
      <c r="AD6" s="517"/>
      <c r="AE6" s="517"/>
      <c r="AF6" s="517" t="s">
        <v>1590</v>
      </c>
      <c r="AG6" s="518"/>
      <c r="AH6" s="519" t="s">
        <v>1576</v>
      </c>
      <c r="AI6" s="517" t="s">
        <v>1576</v>
      </c>
      <c r="AJ6" s="518" t="s">
        <v>1576</v>
      </c>
      <c r="AK6" s="519"/>
      <c r="AL6" s="517" t="s">
        <v>1575</v>
      </c>
      <c r="AM6" s="517" t="s">
        <v>1576</v>
      </c>
      <c r="AN6" s="517" t="s">
        <v>1576</v>
      </c>
      <c r="AO6" s="518" t="s">
        <v>1576</v>
      </c>
      <c r="AP6" s="516"/>
      <c r="AQ6" s="517"/>
      <c r="AR6" s="517"/>
      <c r="AS6" s="517"/>
      <c r="AT6" s="517"/>
      <c r="AU6" s="517"/>
      <c r="AV6" s="517"/>
      <c r="AW6" s="517"/>
      <c r="AX6" s="517"/>
      <c r="AY6" s="517"/>
      <c r="AZ6" s="517"/>
      <c r="BA6" s="517"/>
      <c r="BB6" s="517"/>
      <c r="BC6" s="517"/>
      <c r="BD6" s="517"/>
      <c r="BE6" s="518"/>
      <c r="BF6" s="519"/>
      <c r="BG6" s="517"/>
      <c r="BH6" s="517"/>
      <c r="BI6" s="517"/>
      <c r="BJ6" s="517"/>
      <c r="BK6" s="517"/>
      <c r="BL6" s="518"/>
      <c r="BM6" s="519"/>
      <c r="BN6" s="517"/>
      <c r="BO6" s="518"/>
      <c r="BP6" s="519"/>
      <c r="BQ6" s="517"/>
      <c r="BR6" s="517"/>
      <c r="BS6" s="517"/>
      <c r="BT6" s="518"/>
      <c r="BU6" s="516"/>
      <c r="BV6" s="517"/>
      <c r="BW6" s="517"/>
      <c r="BX6" s="517"/>
      <c r="BY6" s="517"/>
      <c r="BZ6" s="517"/>
      <c r="CA6" s="517"/>
      <c r="CB6" s="517"/>
      <c r="CC6" s="517"/>
      <c r="CD6" s="517"/>
      <c r="CE6" s="517"/>
      <c r="CF6" s="517"/>
      <c r="CG6" s="517"/>
      <c r="CH6" s="517"/>
      <c r="CI6" s="517"/>
      <c r="CJ6" s="518"/>
      <c r="CK6" s="519"/>
      <c r="CL6" s="517"/>
      <c r="CM6" s="517"/>
      <c r="CN6" s="517"/>
      <c r="CO6" s="517"/>
      <c r="CP6" s="517" t="s">
        <v>1590</v>
      </c>
      <c r="CQ6" s="518"/>
      <c r="CR6" s="519" t="s">
        <v>1576</v>
      </c>
      <c r="CS6" s="517" t="s">
        <v>1576</v>
      </c>
      <c r="CT6" s="518"/>
      <c r="CU6" s="519"/>
      <c r="CV6" s="517" t="s">
        <v>1575</v>
      </c>
      <c r="CW6" s="517"/>
      <c r="CX6" s="517" t="s">
        <v>1576</v>
      </c>
      <c r="CY6" s="517" t="s">
        <v>1576</v>
      </c>
    </row>
    <row r="7" spans="1:103" ht="25.5" hidden="1" outlineLevel="1" x14ac:dyDescent="0.2">
      <c r="A7" s="422" t="s">
        <v>636</v>
      </c>
      <c r="B7" s="423" t="str">
        <f>VLOOKUP(A7,[1]ACTIONS!$A$3:$B$238,2,0)</f>
        <v>Projet « Max-sur-Senne » : réaménagement du parc Maximilien avec mise à ciel ouvert de la Senne sur une longueur de 580 m minimum – Etude (également sur M6.6) (action C13_6 Belini)</v>
      </c>
      <c r="C7" s="96"/>
      <c r="D7" s="96">
        <v>100000</v>
      </c>
      <c r="E7" s="96"/>
      <c r="F7" s="96"/>
      <c r="G7" s="96"/>
      <c r="H7" s="96">
        <v>100000</v>
      </c>
      <c r="I7" s="97"/>
      <c r="J7" s="97"/>
      <c r="K7" s="98"/>
      <c r="L7" s="99"/>
      <c r="M7" s="99"/>
      <c r="N7" s="99"/>
      <c r="O7" s="99"/>
      <c r="P7" s="99"/>
      <c r="Q7" s="99"/>
      <c r="R7" s="99"/>
      <c r="S7" s="99"/>
      <c r="T7" s="99"/>
      <c r="U7" s="99"/>
      <c r="V7" s="99"/>
      <c r="W7" s="99"/>
      <c r="X7" s="99"/>
      <c r="Y7" s="99"/>
      <c r="Z7" s="100"/>
      <c r="AA7" s="101"/>
      <c r="AB7" s="99"/>
      <c r="AC7" s="99"/>
      <c r="AD7" s="99"/>
      <c r="AE7" s="99"/>
      <c r="AF7" s="99"/>
      <c r="AG7" s="100"/>
      <c r="AH7" s="101"/>
      <c r="AI7" s="99"/>
      <c r="AJ7" s="100"/>
      <c r="AK7" s="101"/>
      <c r="AL7" s="99"/>
      <c r="AM7" s="99"/>
      <c r="AN7" s="99"/>
      <c r="AO7" s="100"/>
      <c r="AP7" s="98"/>
      <c r="AQ7" s="99"/>
      <c r="AR7" s="99"/>
      <c r="AS7" s="99"/>
      <c r="AT7" s="99"/>
      <c r="AU7" s="99"/>
      <c r="AV7" s="99"/>
      <c r="AW7" s="99"/>
      <c r="AX7" s="99"/>
      <c r="AY7" s="99"/>
      <c r="AZ7" s="99"/>
      <c r="BA7" s="99"/>
      <c r="BB7" s="99"/>
      <c r="BC7" s="99"/>
      <c r="BD7" s="99"/>
      <c r="BE7" s="100"/>
      <c r="BF7" s="101"/>
      <c r="BG7" s="99"/>
      <c r="BH7" s="99"/>
      <c r="BI7" s="99"/>
      <c r="BJ7" s="99"/>
      <c r="BK7" s="99"/>
      <c r="BL7" s="100"/>
      <c r="BM7" s="101"/>
      <c r="BN7" s="99"/>
      <c r="BO7" s="100"/>
      <c r="BP7" s="101"/>
      <c r="BQ7" s="99"/>
      <c r="BR7" s="99"/>
      <c r="BS7" s="99"/>
      <c r="BT7" s="100"/>
      <c r="BU7" s="98"/>
      <c r="BV7" s="99"/>
      <c r="BW7" s="99"/>
      <c r="BX7" s="99"/>
      <c r="BY7" s="99"/>
      <c r="BZ7" s="99"/>
      <c r="CA7" s="99"/>
      <c r="CB7" s="99"/>
      <c r="CC7" s="99"/>
      <c r="CD7" s="99"/>
      <c r="CE7" s="99"/>
      <c r="CF7" s="99"/>
      <c r="CG7" s="99"/>
      <c r="CH7" s="99"/>
      <c r="CI7" s="99"/>
      <c r="CJ7" s="100"/>
      <c r="CK7" s="101"/>
      <c r="CL7" s="99"/>
      <c r="CM7" s="99"/>
      <c r="CN7" s="99"/>
      <c r="CO7" s="99"/>
      <c r="CP7" s="99"/>
      <c r="CQ7" s="100"/>
      <c r="CR7" s="101"/>
      <c r="CS7" s="99"/>
      <c r="CT7" s="100"/>
      <c r="CU7" s="101"/>
      <c r="CV7" s="99"/>
      <c r="CW7" s="99"/>
      <c r="CX7" s="99"/>
      <c r="CY7" s="99"/>
    </row>
    <row r="8" spans="1:103" hidden="1" outlineLevel="1" x14ac:dyDescent="0.2">
      <c r="A8" s="422" t="s">
        <v>637</v>
      </c>
      <c r="B8" s="423" t="str">
        <f>VLOOKUP(A8,[1]ACTIONS!$A$3:$B$238,2,0)</f>
        <v>Mise à ciel ouvert du Roodkloosterbeek dans le parc Bergoge sur 100m - Travaux (également sur M1.2)</v>
      </c>
      <c r="C8" s="96"/>
      <c r="D8" s="96"/>
      <c r="E8" s="96">
        <v>900000</v>
      </c>
      <c r="F8" s="96"/>
      <c r="G8" s="96"/>
      <c r="H8" s="96">
        <v>900000</v>
      </c>
      <c r="I8" s="97"/>
      <c r="J8" s="97"/>
      <c r="K8" s="98"/>
      <c r="L8" s="99"/>
      <c r="M8" s="99"/>
      <c r="N8" s="99"/>
      <c r="O8" s="99"/>
      <c r="P8" s="99"/>
      <c r="Q8" s="99"/>
      <c r="R8" s="99"/>
      <c r="S8" s="99"/>
      <c r="T8" s="99"/>
      <c r="U8" s="99"/>
      <c r="V8" s="99"/>
      <c r="W8" s="99"/>
      <c r="X8" s="99"/>
      <c r="Y8" s="99"/>
      <c r="Z8" s="100"/>
      <c r="AA8" s="101"/>
      <c r="AB8" s="99"/>
      <c r="AC8" s="99"/>
      <c r="AD8" s="99"/>
      <c r="AE8" s="99"/>
      <c r="AF8" s="99"/>
      <c r="AG8" s="100"/>
      <c r="AH8" s="101"/>
      <c r="AI8" s="99"/>
      <c r="AJ8" s="100"/>
      <c r="AK8" s="101"/>
      <c r="AL8" s="99"/>
      <c r="AM8" s="99"/>
      <c r="AN8" s="99"/>
      <c r="AO8" s="100"/>
      <c r="AP8" s="98"/>
      <c r="AQ8" s="99"/>
      <c r="AR8" s="99"/>
      <c r="AS8" s="99"/>
      <c r="AT8" s="99"/>
      <c r="AU8" s="99"/>
      <c r="AV8" s="99"/>
      <c r="AW8" s="99"/>
      <c r="AX8" s="99"/>
      <c r="AY8" s="99"/>
      <c r="AZ8" s="99"/>
      <c r="BA8" s="99"/>
      <c r="BB8" s="99"/>
      <c r="BC8" s="99"/>
      <c r="BD8" s="99"/>
      <c r="BE8" s="100"/>
      <c r="BF8" s="101"/>
      <c r="BG8" s="99"/>
      <c r="BH8" s="99"/>
      <c r="BI8" s="99"/>
      <c r="BJ8" s="99"/>
      <c r="BK8" s="99"/>
      <c r="BL8" s="100"/>
      <c r="BM8" s="101"/>
      <c r="BN8" s="99"/>
      <c r="BO8" s="100"/>
      <c r="BP8" s="101"/>
      <c r="BQ8" s="99"/>
      <c r="BR8" s="99"/>
      <c r="BS8" s="99"/>
      <c r="BT8" s="100"/>
      <c r="BU8" s="98"/>
      <c r="BV8" s="99"/>
      <c r="BW8" s="99"/>
      <c r="BX8" s="99"/>
      <c r="BY8" s="99"/>
      <c r="BZ8" s="99"/>
      <c r="CA8" s="99"/>
      <c r="CB8" s="99"/>
      <c r="CC8" s="99"/>
      <c r="CD8" s="99"/>
      <c r="CE8" s="99"/>
      <c r="CF8" s="99"/>
      <c r="CG8" s="99"/>
      <c r="CH8" s="99"/>
      <c r="CI8" s="99"/>
      <c r="CJ8" s="100"/>
      <c r="CK8" s="101"/>
      <c r="CL8" s="99"/>
      <c r="CM8" s="99"/>
      <c r="CN8" s="99"/>
      <c r="CO8" s="99"/>
      <c r="CP8" s="99"/>
      <c r="CQ8" s="100"/>
      <c r="CR8" s="101"/>
      <c r="CS8" s="99"/>
      <c r="CT8" s="100"/>
      <c r="CU8" s="101"/>
      <c r="CV8" s="99"/>
      <c r="CW8" s="99"/>
      <c r="CX8" s="99"/>
      <c r="CY8" s="99"/>
    </row>
    <row r="9" spans="1:103" hidden="1" outlineLevel="1" x14ac:dyDescent="0.2">
      <c r="A9" s="422" t="s">
        <v>638</v>
      </c>
      <c r="B9" s="423" t="str">
        <f>VLOOKUP(A9,[1]ACTIONS!$A$3:$B$238,2,0)</f>
        <v xml:space="preserve">Étude de faisabilité de mise à ciel ouvert du Kerkebeek sur 800 m au niveau du Moeraske </v>
      </c>
      <c r="C9" s="96"/>
      <c r="D9" s="96">
        <v>100000</v>
      </c>
      <c r="E9" s="96"/>
      <c r="F9" s="96"/>
      <c r="G9" s="96"/>
      <c r="H9" s="96">
        <v>100000</v>
      </c>
      <c r="I9" s="97"/>
      <c r="J9" s="97"/>
      <c r="K9" s="98"/>
      <c r="L9" s="99"/>
      <c r="M9" s="99"/>
      <c r="N9" s="99"/>
      <c r="O9" s="99"/>
      <c r="P9" s="99"/>
      <c r="Q9" s="99"/>
      <c r="R9" s="99"/>
      <c r="S9" s="99"/>
      <c r="T9" s="99"/>
      <c r="U9" s="99"/>
      <c r="V9" s="99"/>
      <c r="W9" s="99"/>
      <c r="X9" s="99"/>
      <c r="Y9" s="99"/>
      <c r="Z9" s="100"/>
      <c r="AA9" s="101"/>
      <c r="AB9" s="99"/>
      <c r="AC9" s="99"/>
      <c r="AD9" s="99"/>
      <c r="AE9" s="99"/>
      <c r="AF9" s="99"/>
      <c r="AG9" s="100"/>
      <c r="AH9" s="101"/>
      <c r="AI9" s="99"/>
      <c r="AJ9" s="100"/>
      <c r="AK9" s="101"/>
      <c r="AL9" s="99"/>
      <c r="AM9" s="99"/>
      <c r="AN9" s="99"/>
      <c r="AO9" s="100"/>
      <c r="AP9" s="98"/>
      <c r="AQ9" s="99"/>
      <c r="AR9" s="99"/>
      <c r="AS9" s="99"/>
      <c r="AT9" s="99"/>
      <c r="AU9" s="99"/>
      <c r="AV9" s="99"/>
      <c r="AW9" s="99"/>
      <c r="AX9" s="99"/>
      <c r="AY9" s="99"/>
      <c r="AZ9" s="99"/>
      <c r="BA9" s="99"/>
      <c r="BB9" s="99"/>
      <c r="BC9" s="99"/>
      <c r="BD9" s="99"/>
      <c r="BE9" s="100"/>
      <c r="BF9" s="101"/>
      <c r="BG9" s="99"/>
      <c r="BH9" s="99"/>
      <c r="BI9" s="99"/>
      <c r="BJ9" s="99"/>
      <c r="BK9" s="99"/>
      <c r="BL9" s="100"/>
      <c r="BM9" s="101"/>
      <c r="BN9" s="99"/>
      <c r="BO9" s="100"/>
      <c r="BP9" s="101"/>
      <c r="BQ9" s="99"/>
      <c r="BR9" s="99"/>
      <c r="BS9" s="99"/>
      <c r="BT9" s="100"/>
      <c r="BU9" s="98"/>
      <c r="BV9" s="99"/>
      <c r="BW9" s="99"/>
      <c r="BX9" s="99"/>
      <c r="BY9" s="99"/>
      <c r="BZ9" s="99"/>
      <c r="CA9" s="99"/>
      <c r="CB9" s="99"/>
      <c r="CC9" s="99"/>
      <c r="CD9" s="99"/>
      <c r="CE9" s="99"/>
      <c r="CF9" s="99"/>
      <c r="CG9" s="99"/>
      <c r="CH9" s="99"/>
      <c r="CI9" s="99"/>
      <c r="CJ9" s="100"/>
      <c r="CK9" s="101"/>
      <c r="CL9" s="99"/>
      <c r="CM9" s="99"/>
      <c r="CN9" s="99"/>
      <c r="CO9" s="99"/>
      <c r="CP9" s="99"/>
      <c r="CQ9" s="100"/>
      <c r="CR9" s="101"/>
      <c r="CS9" s="99"/>
      <c r="CT9" s="100"/>
      <c r="CU9" s="101"/>
      <c r="CV9" s="99"/>
      <c r="CW9" s="99"/>
      <c r="CX9" s="99"/>
      <c r="CY9" s="99"/>
    </row>
    <row r="10" spans="1:103" hidden="1" outlineLevel="1" x14ac:dyDescent="0.2">
      <c r="A10" s="422" t="s">
        <v>639</v>
      </c>
      <c r="B10" s="423" t="str">
        <f>VLOOKUP(A10,[1]ACTIONS!$A$3:$B$238,2,0)</f>
        <v xml:space="preserve">Etude Étude de faisabilité de mise à ciel ouvert du Hollebeek sur 100 m au niveau du site Citydev, rue du Bruel – Etude </v>
      </c>
      <c r="C10" s="96"/>
      <c r="D10" s="96">
        <v>70000</v>
      </c>
      <c r="E10" s="96"/>
      <c r="F10" s="96"/>
      <c r="G10" s="96"/>
      <c r="H10" s="96">
        <v>70000</v>
      </c>
      <c r="I10" s="97"/>
      <c r="J10" s="97"/>
      <c r="K10" s="98"/>
      <c r="L10" s="99"/>
      <c r="M10" s="99"/>
      <c r="N10" s="99"/>
      <c r="O10" s="99"/>
      <c r="P10" s="99"/>
      <c r="Q10" s="99"/>
      <c r="R10" s="99"/>
      <c r="S10" s="99"/>
      <c r="T10" s="99"/>
      <c r="U10" s="99"/>
      <c r="V10" s="99"/>
      <c r="W10" s="99"/>
      <c r="X10" s="99"/>
      <c r="Y10" s="99"/>
      <c r="Z10" s="100"/>
      <c r="AA10" s="101"/>
      <c r="AB10" s="99"/>
      <c r="AC10" s="99"/>
      <c r="AD10" s="99"/>
      <c r="AE10" s="99"/>
      <c r="AF10" s="99"/>
      <c r="AG10" s="100"/>
      <c r="AH10" s="101"/>
      <c r="AI10" s="99"/>
      <c r="AJ10" s="100"/>
      <c r="AK10" s="101"/>
      <c r="AL10" s="99"/>
      <c r="AM10" s="99"/>
      <c r="AN10" s="99"/>
      <c r="AO10" s="100"/>
      <c r="AP10" s="98"/>
      <c r="AQ10" s="99"/>
      <c r="AR10" s="99"/>
      <c r="AS10" s="99"/>
      <c r="AT10" s="99"/>
      <c r="AU10" s="99"/>
      <c r="AV10" s="99"/>
      <c r="AW10" s="99"/>
      <c r="AX10" s="99"/>
      <c r="AY10" s="99"/>
      <c r="AZ10" s="99"/>
      <c r="BA10" s="99"/>
      <c r="BB10" s="99"/>
      <c r="BC10" s="99"/>
      <c r="BD10" s="99"/>
      <c r="BE10" s="100"/>
      <c r="BF10" s="101"/>
      <c r="BG10" s="99"/>
      <c r="BH10" s="99"/>
      <c r="BI10" s="99"/>
      <c r="BJ10" s="99"/>
      <c r="BK10" s="99"/>
      <c r="BL10" s="100"/>
      <c r="BM10" s="101"/>
      <c r="BN10" s="99"/>
      <c r="BO10" s="100"/>
      <c r="BP10" s="101"/>
      <c r="BQ10" s="99"/>
      <c r="BR10" s="99"/>
      <c r="BS10" s="99"/>
      <c r="BT10" s="100"/>
      <c r="BU10" s="98"/>
      <c r="BV10" s="99"/>
      <c r="BW10" s="99"/>
      <c r="BX10" s="99"/>
      <c r="BY10" s="99"/>
      <c r="BZ10" s="99"/>
      <c r="CA10" s="99"/>
      <c r="CB10" s="99"/>
      <c r="CC10" s="99"/>
      <c r="CD10" s="99"/>
      <c r="CE10" s="99"/>
      <c r="CF10" s="99"/>
      <c r="CG10" s="99"/>
      <c r="CH10" s="99"/>
      <c r="CI10" s="99"/>
      <c r="CJ10" s="100"/>
      <c r="CK10" s="101"/>
      <c r="CL10" s="99"/>
      <c r="CM10" s="99"/>
      <c r="CN10" s="99"/>
      <c r="CO10" s="99"/>
      <c r="CP10" s="99"/>
      <c r="CQ10" s="100"/>
      <c r="CR10" s="101"/>
      <c r="CS10" s="99"/>
      <c r="CT10" s="100"/>
      <c r="CU10" s="101"/>
      <c r="CV10" s="99"/>
      <c r="CW10" s="99"/>
      <c r="CX10" s="99"/>
      <c r="CY10" s="99"/>
    </row>
    <row r="11" spans="1:103" ht="25.5" hidden="1" outlineLevel="1" x14ac:dyDescent="0.2">
      <c r="A11" s="422" t="s">
        <v>640</v>
      </c>
      <c r="B11" s="423" t="str">
        <f>VLOOKUP(A11,[1]ACTIONS!$A$3:$B$238,2,0)</f>
        <v>Projet « Max-sur-Senne » : réaménagement du parc Maximilien avec mise à ciel ouvert de la Senne sur une longueur de 580 m minimum – Travaux (également sur M6.6)</v>
      </c>
      <c r="C11" s="96"/>
      <c r="D11" s="96">
        <v>3700000</v>
      </c>
      <c r="E11" s="96"/>
      <c r="F11" s="96"/>
      <c r="G11" s="96"/>
      <c r="H11" s="96">
        <v>3700000</v>
      </c>
      <c r="I11" s="97"/>
      <c r="J11" s="97"/>
      <c r="K11" s="98"/>
      <c r="L11" s="99"/>
      <c r="M11" s="99"/>
      <c r="N11" s="99"/>
      <c r="O11" s="99"/>
      <c r="P11" s="99"/>
      <c r="Q11" s="99"/>
      <c r="R11" s="99"/>
      <c r="S11" s="99"/>
      <c r="T11" s="99"/>
      <c r="U11" s="99"/>
      <c r="V11" s="99"/>
      <c r="W11" s="99"/>
      <c r="X11" s="99"/>
      <c r="Y11" s="99"/>
      <c r="Z11" s="100"/>
      <c r="AA11" s="101"/>
      <c r="AB11" s="99"/>
      <c r="AC11" s="99"/>
      <c r="AD11" s="99"/>
      <c r="AE11" s="99"/>
      <c r="AF11" s="99"/>
      <c r="AG11" s="100"/>
      <c r="AH11" s="101" t="s">
        <v>1575</v>
      </c>
      <c r="AI11" s="99" t="s">
        <v>1575</v>
      </c>
      <c r="AJ11" s="100" t="s">
        <v>1575</v>
      </c>
      <c r="AK11" s="101"/>
      <c r="AL11" s="99"/>
      <c r="AM11" s="99"/>
      <c r="AN11" s="99"/>
      <c r="AO11" s="100"/>
      <c r="AP11" s="98"/>
      <c r="AQ11" s="99"/>
      <c r="AR11" s="99"/>
      <c r="AS11" s="99"/>
      <c r="AT11" s="99"/>
      <c r="AU11" s="99"/>
      <c r="AV11" s="99"/>
      <c r="AW11" s="99"/>
      <c r="AX11" s="99"/>
      <c r="AY11" s="99"/>
      <c r="AZ11" s="99"/>
      <c r="BA11" s="99"/>
      <c r="BB11" s="99"/>
      <c r="BC11" s="99"/>
      <c r="BD11" s="99"/>
      <c r="BE11" s="100"/>
      <c r="BF11" s="101"/>
      <c r="BG11" s="99"/>
      <c r="BH11" s="99"/>
      <c r="BI11" s="99"/>
      <c r="BJ11" s="99"/>
      <c r="BK11" s="99"/>
      <c r="BL11" s="100"/>
      <c r="BM11" s="101"/>
      <c r="BN11" s="99"/>
      <c r="BO11" s="100"/>
      <c r="BP11" s="101"/>
      <c r="BQ11" s="99"/>
      <c r="BR11" s="99"/>
      <c r="BS11" s="99"/>
      <c r="BT11" s="100"/>
      <c r="BU11" s="98"/>
      <c r="BV11" s="99"/>
      <c r="BW11" s="99"/>
      <c r="BX11" s="99"/>
      <c r="BY11" s="99"/>
      <c r="BZ11" s="99"/>
      <c r="CA11" s="99"/>
      <c r="CB11" s="99"/>
      <c r="CC11" s="99"/>
      <c r="CD11" s="99"/>
      <c r="CE11" s="99"/>
      <c r="CF11" s="99"/>
      <c r="CG11" s="99"/>
      <c r="CH11" s="99"/>
      <c r="CI11" s="99"/>
      <c r="CJ11" s="100"/>
      <c r="CK11" s="101"/>
      <c r="CL11" s="99"/>
      <c r="CM11" s="99"/>
      <c r="CN11" s="99"/>
      <c r="CO11" s="99"/>
      <c r="CP11" s="99"/>
      <c r="CQ11" s="100"/>
      <c r="CR11" s="101"/>
      <c r="CS11" s="99"/>
      <c r="CT11" s="100"/>
      <c r="CU11" s="101"/>
      <c r="CV11" s="99"/>
      <c r="CW11" s="99"/>
      <c r="CX11" s="99"/>
      <c r="CY11" s="99"/>
    </row>
    <row r="12" spans="1:103" ht="25.5" hidden="1" outlineLevel="1" x14ac:dyDescent="0.2">
      <c r="A12" s="422" t="s">
        <v>641</v>
      </c>
      <c r="B12" s="423" t="str">
        <f>VLOOKUP(A12,[1]ACTIONS!$A$3:$B$238,2,0)</f>
        <v>Projet Schaerbeek Formation : mise à ciel ouvert de la Senne sur le site de Schaerbeek Formation – Etude (également sur M6.6)</v>
      </c>
      <c r="C12" s="96"/>
      <c r="D12" s="96">
        <v>100000</v>
      </c>
      <c r="E12" s="96"/>
      <c r="F12" s="96"/>
      <c r="G12" s="96"/>
      <c r="H12" s="96">
        <v>100000</v>
      </c>
      <c r="I12" s="97"/>
      <c r="J12" s="97"/>
      <c r="K12" s="98"/>
      <c r="L12" s="99"/>
      <c r="M12" s="99"/>
      <c r="N12" s="99"/>
      <c r="O12" s="99"/>
      <c r="P12" s="99"/>
      <c r="Q12" s="99"/>
      <c r="R12" s="99"/>
      <c r="S12" s="99"/>
      <c r="T12" s="99"/>
      <c r="U12" s="99"/>
      <c r="V12" s="99"/>
      <c r="W12" s="99"/>
      <c r="X12" s="99"/>
      <c r="Y12" s="99"/>
      <c r="Z12" s="100"/>
      <c r="AA12" s="101"/>
      <c r="AB12" s="99"/>
      <c r="AC12" s="99"/>
      <c r="AD12" s="99"/>
      <c r="AE12" s="99"/>
      <c r="AF12" s="99"/>
      <c r="AG12" s="100"/>
      <c r="AH12" s="101"/>
      <c r="AI12" s="99"/>
      <c r="AJ12" s="100"/>
      <c r="AK12" s="101"/>
      <c r="AL12" s="99"/>
      <c r="AM12" s="99"/>
      <c r="AN12" s="99"/>
      <c r="AO12" s="100"/>
      <c r="AP12" s="98"/>
      <c r="AQ12" s="99"/>
      <c r="AR12" s="99"/>
      <c r="AS12" s="99"/>
      <c r="AT12" s="99"/>
      <c r="AU12" s="99"/>
      <c r="AV12" s="99"/>
      <c r="AW12" s="99"/>
      <c r="AX12" s="99"/>
      <c r="AY12" s="99"/>
      <c r="AZ12" s="99"/>
      <c r="BA12" s="99"/>
      <c r="BB12" s="99"/>
      <c r="BC12" s="99"/>
      <c r="BD12" s="99"/>
      <c r="BE12" s="100"/>
      <c r="BF12" s="101"/>
      <c r="BG12" s="99"/>
      <c r="BH12" s="99"/>
      <c r="BI12" s="99"/>
      <c r="BJ12" s="99"/>
      <c r="BK12" s="99"/>
      <c r="BL12" s="100"/>
      <c r="BM12" s="101"/>
      <c r="BN12" s="99"/>
      <c r="BO12" s="100"/>
      <c r="BP12" s="101"/>
      <c r="BQ12" s="99"/>
      <c r="BR12" s="99"/>
      <c r="BS12" s="99"/>
      <c r="BT12" s="100"/>
      <c r="BU12" s="98"/>
      <c r="BV12" s="99"/>
      <c r="BW12" s="99"/>
      <c r="BX12" s="99"/>
      <c r="BY12" s="99"/>
      <c r="BZ12" s="99"/>
      <c r="CA12" s="99"/>
      <c r="CB12" s="99"/>
      <c r="CC12" s="99"/>
      <c r="CD12" s="99"/>
      <c r="CE12" s="99"/>
      <c r="CF12" s="99"/>
      <c r="CG12" s="99"/>
      <c r="CH12" s="99"/>
      <c r="CI12" s="99"/>
      <c r="CJ12" s="100"/>
      <c r="CK12" s="101"/>
      <c r="CL12" s="99"/>
      <c r="CM12" s="99"/>
      <c r="CN12" s="99"/>
      <c r="CO12" s="99"/>
      <c r="CP12" s="99"/>
      <c r="CQ12" s="100"/>
      <c r="CR12" s="101"/>
      <c r="CS12" s="99"/>
      <c r="CT12" s="100"/>
      <c r="CU12" s="101"/>
      <c r="CV12" s="99"/>
      <c r="CW12" s="99"/>
      <c r="CX12" s="99"/>
      <c r="CY12" s="99"/>
    </row>
    <row r="13" spans="1:103" ht="25.5" hidden="1" outlineLevel="1" x14ac:dyDescent="0.2">
      <c r="A13" s="422" t="s">
        <v>642</v>
      </c>
      <c r="B13" s="423" t="str">
        <f>VLOOKUP(A13,[1]ACTIONS!$A$3:$B$238,2,0)</f>
        <v>Projet Schaerbeek Formation : mise à ciel ouvert de la Senne sur le site de Schaerbeek Formation –Travaux (également sur M6.6)</v>
      </c>
      <c r="C13" s="96"/>
      <c r="D13" s="96">
        <v>0</v>
      </c>
      <c r="E13" s="96"/>
      <c r="F13" s="96"/>
      <c r="G13" s="96"/>
      <c r="H13" s="96">
        <v>0</v>
      </c>
      <c r="I13" s="97"/>
      <c r="J13" s="97"/>
      <c r="K13" s="98"/>
      <c r="L13" s="99"/>
      <c r="M13" s="99"/>
      <c r="N13" s="99"/>
      <c r="O13" s="99"/>
      <c r="P13" s="99"/>
      <c r="Q13" s="99"/>
      <c r="R13" s="99"/>
      <c r="S13" s="99"/>
      <c r="T13" s="99"/>
      <c r="U13" s="99"/>
      <c r="V13" s="99"/>
      <c r="W13" s="99"/>
      <c r="X13" s="99"/>
      <c r="Y13" s="99"/>
      <c r="Z13" s="100"/>
      <c r="AA13" s="101"/>
      <c r="AB13" s="99"/>
      <c r="AC13" s="99"/>
      <c r="AD13" s="99"/>
      <c r="AE13" s="99"/>
      <c r="AF13" s="99"/>
      <c r="AG13" s="100"/>
      <c r="AH13" s="102" t="s">
        <v>1576</v>
      </c>
      <c r="AI13" s="103" t="s">
        <v>1576</v>
      </c>
      <c r="AJ13" s="104" t="s">
        <v>1576</v>
      </c>
      <c r="AK13" s="101"/>
      <c r="AL13" s="99"/>
      <c r="AM13" s="99"/>
      <c r="AN13" s="99"/>
      <c r="AO13" s="100"/>
      <c r="AP13" s="98"/>
      <c r="AQ13" s="99"/>
      <c r="AR13" s="99"/>
      <c r="AS13" s="99"/>
      <c r="AT13" s="99"/>
      <c r="AU13" s="99"/>
      <c r="AV13" s="99"/>
      <c r="AW13" s="99"/>
      <c r="AX13" s="99"/>
      <c r="AY13" s="99"/>
      <c r="AZ13" s="99"/>
      <c r="BA13" s="99"/>
      <c r="BB13" s="99"/>
      <c r="BC13" s="99"/>
      <c r="BD13" s="99"/>
      <c r="BE13" s="100"/>
      <c r="BF13" s="101"/>
      <c r="BG13" s="99"/>
      <c r="BH13" s="99"/>
      <c r="BI13" s="99"/>
      <c r="BJ13" s="99"/>
      <c r="BK13" s="99"/>
      <c r="BL13" s="100"/>
      <c r="BM13" s="101"/>
      <c r="BN13" s="99"/>
      <c r="BO13" s="100"/>
      <c r="BP13" s="101"/>
      <c r="BQ13" s="99"/>
      <c r="BR13" s="99"/>
      <c r="BS13" s="99"/>
      <c r="BT13" s="100"/>
      <c r="BU13" s="98"/>
      <c r="BV13" s="99"/>
      <c r="BW13" s="99"/>
      <c r="BX13" s="99"/>
      <c r="BY13" s="99"/>
      <c r="BZ13" s="99"/>
      <c r="CA13" s="99"/>
      <c r="CB13" s="99"/>
      <c r="CC13" s="99"/>
      <c r="CD13" s="99"/>
      <c r="CE13" s="99"/>
      <c r="CF13" s="99"/>
      <c r="CG13" s="99"/>
      <c r="CH13" s="99"/>
      <c r="CI13" s="99"/>
      <c r="CJ13" s="100"/>
      <c r="CK13" s="101"/>
      <c r="CL13" s="99"/>
      <c r="CM13" s="99"/>
      <c r="CN13" s="99"/>
      <c r="CO13" s="99"/>
      <c r="CP13" s="99"/>
      <c r="CQ13" s="100"/>
      <c r="CR13" s="101"/>
      <c r="CS13" s="99"/>
      <c r="CT13" s="100"/>
      <c r="CU13" s="101"/>
      <c r="CV13" s="99"/>
      <c r="CW13" s="99"/>
      <c r="CX13" s="99"/>
      <c r="CY13" s="99"/>
    </row>
    <row r="14" spans="1:103" ht="25.5" hidden="1" outlineLevel="1" x14ac:dyDescent="0.2">
      <c r="A14" s="422" t="s">
        <v>643</v>
      </c>
      <c r="B14" s="423" t="str">
        <f>VLOOKUP(A14,[1]ACTIONS!$A$3:$B$238,2,0)</f>
        <v>Projet Poincaré : mise en perspective de la Senne au niveau du musée des égouts - Etude (fait partie de l’action C12_4 Belini)</v>
      </c>
      <c r="C14" s="96"/>
      <c r="D14" s="96">
        <v>50000</v>
      </c>
      <c r="E14" s="96"/>
      <c r="F14" s="96"/>
      <c r="G14" s="96"/>
      <c r="H14" s="96">
        <v>50000</v>
      </c>
      <c r="I14" s="97"/>
      <c r="J14" s="97"/>
      <c r="K14" s="98"/>
      <c r="L14" s="99"/>
      <c r="M14" s="99"/>
      <c r="N14" s="99"/>
      <c r="O14" s="99"/>
      <c r="P14" s="99"/>
      <c r="Q14" s="99"/>
      <c r="R14" s="99"/>
      <c r="S14" s="99"/>
      <c r="T14" s="99"/>
      <c r="U14" s="99"/>
      <c r="V14" s="99"/>
      <c r="W14" s="99"/>
      <c r="X14" s="99"/>
      <c r="Y14" s="99"/>
      <c r="Z14" s="100"/>
      <c r="AA14" s="101"/>
      <c r="AB14" s="99"/>
      <c r="AC14" s="99"/>
      <c r="AD14" s="99"/>
      <c r="AE14" s="99"/>
      <c r="AF14" s="99"/>
      <c r="AG14" s="100"/>
      <c r="AH14" s="101"/>
      <c r="AI14" s="99"/>
      <c r="AJ14" s="100"/>
      <c r="AK14" s="101"/>
      <c r="AL14" s="99"/>
      <c r="AM14" s="99"/>
      <c r="AN14" s="99"/>
      <c r="AO14" s="100"/>
      <c r="AP14" s="98"/>
      <c r="AQ14" s="99"/>
      <c r="AR14" s="99"/>
      <c r="AS14" s="99"/>
      <c r="AT14" s="99"/>
      <c r="AU14" s="99"/>
      <c r="AV14" s="99"/>
      <c r="AW14" s="99"/>
      <c r="AX14" s="99"/>
      <c r="AY14" s="99"/>
      <c r="AZ14" s="99"/>
      <c r="BA14" s="99"/>
      <c r="BB14" s="99"/>
      <c r="BC14" s="99"/>
      <c r="BD14" s="99"/>
      <c r="BE14" s="100"/>
      <c r="BF14" s="101"/>
      <c r="BG14" s="99"/>
      <c r="BH14" s="99"/>
      <c r="BI14" s="99"/>
      <c r="BJ14" s="99"/>
      <c r="BK14" s="99"/>
      <c r="BL14" s="100"/>
      <c r="BM14" s="101"/>
      <c r="BN14" s="99"/>
      <c r="BO14" s="100"/>
      <c r="BP14" s="101"/>
      <c r="BQ14" s="99"/>
      <c r="BR14" s="99"/>
      <c r="BS14" s="99"/>
      <c r="BT14" s="100"/>
      <c r="BU14" s="98"/>
      <c r="BV14" s="99"/>
      <c r="BW14" s="99"/>
      <c r="BX14" s="99"/>
      <c r="BY14" s="99"/>
      <c r="BZ14" s="99"/>
      <c r="CA14" s="99"/>
      <c r="CB14" s="99"/>
      <c r="CC14" s="99"/>
      <c r="CD14" s="99"/>
      <c r="CE14" s="99"/>
      <c r="CF14" s="99"/>
      <c r="CG14" s="99"/>
      <c r="CH14" s="99"/>
      <c r="CI14" s="99"/>
      <c r="CJ14" s="100"/>
      <c r="CK14" s="101"/>
      <c r="CL14" s="99"/>
      <c r="CM14" s="99"/>
      <c r="CN14" s="99"/>
      <c r="CO14" s="99"/>
      <c r="CP14" s="99"/>
      <c r="CQ14" s="100"/>
      <c r="CR14" s="101"/>
      <c r="CS14" s="99"/>
      <c r="CT14" s="100"/>
      <c r="CU14" s="101"/>
      <c r="CV14" s="99"/>
      <c r="CW14" s="99"/>
      <c r="CX14" s="99"/>
      <c r="CY14" s="99"/>
    </row>
    <row r="15" spans="1:103" hidden="1" outlineLevel="1" x14ac:dyDescent="0.2">
      <c r="A15" s="422" t="s">
        <v>644</v>
      </c>
      <c r="B15" s="423" t="str">
        <f>VLOOKUP(A15,[1]ACTIONS!$A$3:$B$238,2,0)</f>
        <v>Projet Poincaré : mise en perspective de la Senne au niveau du musée des égouts – Travaux</v>
      </c>
      <c r="C15" s="96"/>
      <c r="D15" s="96">
        <v>2000000</v>
      </c>
      <c r="E15" s="96"/>
      <c r="F15" s="96"/>
      <c r="G15" s="96"/>
      <c r="H15" s="96">
        <v>2000000</v>
      </c>
      <c r="I15" s="97"/>
      <c r="J15" s="97"/>
      <c r="K15" s="98"/>
      <c r="L15" s="99"/>
      <c r="M15" s="99"/>
      <c r="N15" s="99"/>
      <c r="O15" s="99"/>
      <c r="P15" s="99"/>
      <c r="Q15" s="99"/>
      <c r="R15" s="99"/>
      <c r="S15" s="99"/>
      <c r="T15" s="99"/>
      <c r="U15" s="99"/>
      <c r="V15" s="99"/>
      <c r="W15" s="99"/>
      <c r="X15" s="99"/>
      <c r="Y15" s="99"/>
      <c r="Z15" s="100"/>
      <c r="AA15" s="101"/>
      <c r="AB15" s="99"/>
      <c r="AC15" s="99"/>
      <c r="AD15" s="99"/>
      <c r="AE15" s="99"/>
      <c r="AF15" s="99"/>
      <c r="AG15" s="100"/>
      <c r="AH15" s="101" t="s">
        <v>1590</v>
      </c>
      <c r="AI15" s="99" t="s">
        <v>1590</v>
      </c>
      <c r="AJ15" s="100" t="s">
        <v>1590</v>
      </c>
      <c r="AK15" s="101"/>
      <c r="AL15" s="99"/>
      <c r="AM15" s="99"/>
      <c r="AN15" s="99"/>
      <c r="AO15" s="100"/>
      <c r="AP15" s="98"/>
      <c r="AQ15" s="99"/>
      <c r="AR15" s="99"/>
      <c r="AS15" s="99"/>
      <c r="AT15" s="99"/>
      <c r="AU15" s="99"/>
      <c r="AV15" s="99"/>
      <c r="AW15" s="99"/>
      <c r="AX15" s="99"/>
      <c r="AY15" s="99"/>
      <c r="AZ15" s="99"/>
      <c r="BA15" s="99"/>
      <c r="BB15" s="99"/>
      <c r="BC15" s="99"/>
      <c r="BD15" s="99"/>
      <c r="BE15" s="100"/>
      <c r="BF15" s="101"/>
      <c r="BG15" s="99"/>
      <c r="BH15" s="99"/>
      <c r="BI15" s="99"/>
      <c r="BJ15" s="99"/>
      <c r="BK15" s="99"/>
      <c r="BL15" s="100"/>
      <c r="BM15" s="101"/>
      <c r="BN15" s="99"/>
      <c r="BO15" s="100"/>
      <c r="BP15" s="101"/>
      <c r="BQ15" s="99"/>
      <c r="BR15" s="99"/>
      <c r="BS15" s="99"/>
      <c r="BT15" s="100"/>
      <c r="BU15" s="98"/>
      <c r="BV15" s="99"/>
      <c r="BW15" s="99"/>
      <c r="BX15" s="99"/>
      <c r="BY15" s="99"/>
      <c r="BZ15" s="99"/>
      <c r="CA15" s="99"/>
      <c r="CB15" s="99"/>
      <c r="CC15" s="99"/>
      <c r="CD15" s="99"/>
      <c r="CE15" s="99"/>
      <c r="CF15" s="99"/>
      <c r="CG15" s="99"/>
      <c r="CH15" s="99"/>
      <c r="CI15" s="99"/>
      <c r="CJ15" s="100"/>
      <c r="CK15" s="101"/>
      <c r="CL15" s="99"/>
      <c r="CM15" s="99"/>
      <c r="CN15" s="99"/>
      <c r="CO15" s="99"/>
      <c r="CP15" s="99"/>
      <c r="CQ15" s="100"/>
      <c r="CR15" s="101"/>
      <c r="CS15" s="99"/>
      <c r="CT15" s="100"/>
      <c r="CU15" s="101"/>
      <c r="CV15" s="99"/>
      <c r="CW15" s="99"/>
      <c r="CX15" s="99"/>
      <c r="CY15" s="99"/>
    </row>
    <row r="16" spans="1:103" ht="25.5" hidden="1" outlineLevel="1" x14ac:dyDescent="0.2">
      <c r="A16" s="422" t="s">
        <v>645</v>
      </c>
      <c r="B16" s="423" t="str">
        <f>VLOOKUP(A16,[1]ACTIONS!$A$3:$B$238,2,0)</f>
        <v>Projet site « Royale Belge » : Mise à ciel ouvert de la Woluwe sur une longueur de 250 m – Etude (voir également fiche M1.2)</v>
      </c>
      <c r="C16" s="96"/>
      <c r="D16" s="96"/>
      <c r="E16" s="96">
        <v>140000</v>
      </c>
      <c r="F16" s="96"/>
      <c r="G16" s="96"/>
      <c r="H16" s="96">
        <v>140000</v>
      </c>
      <c r="I16" s="97"/>
      <c r="J16" s="97"/>
      <c r="K16" s="98"/>
      <c r="L16" s="99"/>
      <c r="M16" s="99"/>
      <c r="N16" s="99"/>
      <c r="O16" s="99"/>
      <c r="P16" s="99"/>
      <c r="Q16" s="99"/>
      <c r="R16" s="99"/>
      <c r="S16" s="99"/>
      <c r="T16" s="99"/>
      <c r="U16" s="99"/>
      <c r="V16" s="99"/>
      <c r="W16" s="99"/>
      <c r="X16" s="99"/>
      <c r="Y16" s="99"/>
      <c r="Z16" s="100"/>
      <c r="AA16" s="101"/>
      <c r="AB16" s="99"/>
      <c r="AC16" s="99"/>
      <c r="AD16" s="99"/>
      <c r="AE16" s="99"/>
      <c r="AF16" s="99"/>
      <c r="AG16" s="100"/>
      <c r="AH16" s="101"/>
      <c r="AI16" s="99"/>
      <c r="AJ16" s="100"/>
      <c r="AK16" s="101"/>
      <c r="AL16" s="99"/>
      <c r="AM16" s="99"/>
      <c r="AN16" s="99"/>
      <c r="AO16" s="100"/>
      <c r="AP16" s="98"/>
      <c r="AQ16" s="99"/>
      <c r="AR16" s="99"/>
      <c r="AS16" s="99"/>
      <c r="AT16" s="99"/>
      <c r="AU16" s="99"/>
      <c r="AV16" s="99"/>
      <c r="AW16" s="99"/>
      <c r="AX16" s="99"/>
      <c r="AY16" s="99"/>
      <c r="AZ16" s="99"/>
      <c r="BA16" s="99"/>
      <c r="BB16" s="99"/>
      <c r="BC16" s="99"/>
      <c r="BD16" s="99"/>
      <c r="BE16" s="100"/>
      <c r="BF16" s="101"/>
      <c r="BG16" s="99"/>
      <c r="BH16" s="99"/>
      <c r="BI16" s="99"/>
      <c r="BJ16" s="99"/>
      <c r="BK16" s="99"/>
      <c r="BL16" s="100"/>
      <c r="BM16" s="101"/>
      <c r="BN16" s="99"/>
      <c r="BO16" s="100"/>
      <c r="BP16" s="101"/>
      <c r="BQ16" s="99"/>
      <c r="BR16" s="99"/>
      <c r="BS16" s="99"/>
      <c r="BT16" s="100"/>
      <c r="BU16" s="98"/>
      <c r="BV16" s="99"/>
      <c r="BW16" s="99"/>
      <c r="BX16" s="99"/>
      <c r="BY16" s="99"/>
      <c r="BZ16" s="99"/>
      <c r="CA16" s="99"/>
      <c r="CB16" s="99"/>
      <c r="CC16" s="99"/>
      <c r="CD16" s="99"/>
      <c r="CE16" s="99"/>
      <c r="CF16" s="99"/>
      <c r="CG16" s="99"/>
      <c r="CH16" s="99"/>
      <c r="CI16" s="99"/>
      <c r="CJ16" s="100"/>
      <c r="CK16" s="101"/>
      <c r="CL16" s="99"/>
      <c r="CM16" s="99"/>
      <c r="CN16" s="99"/>
      <c r="CO16" s="99"/>
      <c r="CP16" s="99"/>
      <c r="CQ16" s="100"/>
      <c r="CR16" s="101"/>
      <c r="CS16" s="99"/>
      <c r="CT16" s="100"/>
      <c r="CU16" s="101"/>
      <c r="CV16" s="99"/>
      <c r="CW16" s="99"/>
      <c r="CX16" s="99"/>
      <c r="CY16" s="99"/>
    </row>
    <row r="17" spans="1:103" ht="25.5" hidden="1" outlineLevel="1" x14ac:dyDescent="0.2">
      <c r="A17" s="422" t="s">
        <v>646</v>
      </c>
      <c r="B17" s="423" t="str">
        <f>VLOOKUP(A17,[1]ACTIONS!$A$3:$B$238,2,0)</f>
        <v>Projet site « Royale Belge »: Mise à ciel ouvert de la Woluwe sur une longueur de 250 m – Travaux (financés par des charges d’urbanisme) (voir également fiche M1.2)</v>
      </c>
      <c r="C17" s="96"/>
      <c r="D17" s="96"/>
      <c r="E17" s="96">
        <v>1200000</v>
      </c>
      <c r="F17" s="96"/>
      <c r="G17" s="96"/>
      <c r="H17" s="96">
        <v>1200000</v>
      </c>
      <c r="I17" s="97"/>
      <c r="J17" s="97"/>
      <c r="K17" s="98"/>
      <c r="L17" s="99"/>
      <c r="M17" s="99"/>
      <c r="N17" s="99"/>
      <c r="O17" s="99"/>
      <c r="P17" s="99"/>
      <c r="Q17" s="99"/>
      <c r="R17" s="99"/>
      <c r="S17" s="99"/>
      <c r="T17" s="99"/>
      <c r="U17" s="99"/>
      <c r="V17" s="99"/>
      <c r="W17" s="99"/>
      <c r="X17" s="99"/>
      <c r="Y17" s="99"/>
      <c r="Z17" s="100"/>
      <c r="AA17" s="101"/>
      <c r="AB17" s="99"/>
      <c r="AC17" s="99"/>
      <c r="AD17" s="99"/>
      <c r="AE17" s="99"/>
      <c r="AF17" s="99"/>
      <c r="AG17" s="100"/>
      <c r="AH17" s="101"/>
      <c r="AI17" s="99"/>
      <c r="AJ17" s="100"/>
      <c r="AK17" s="101"/>
      <c r="AL17" s="99"/>
      <c r="AM17" s="99"/>
      <c r="AN17" s="99"/>
      <c r="AO17" s="100"/>
      <c r="AP17" s="98"/>
      <c r="AQ17" s="99"/>
      <c r="AR17" s="99"/>
      <c r="AS17" s="99"/>
      <c r="AT17" s="99"/>
      <c r="AU17" s="99"/>
      <c r="AV17" s="99"/>
      <c r="AW17" s="99"/>
      <c r="AX17" s="99"/>
      <c r="AY17" s="99"/>
      <c r="AZ17" s="99"/>
      <c r="BA17" s="99"/>
      <c r="BB17" s="99"/>
      <c r="BC17" s="99"/>
      <c r="BD17" s="99"/>
      <c r="BE17" s="100"/>
      <c r="BF17" s="101"/>
      <c r="BG17" s="99"/>
      <c r="BH17" s="99"/>
      <c r="BI17" s="99"/>
      <c r="BJ17" s="99"/>
      <c r="BK17" s="99"/>
      <c r="BL17" s="100"/>
      <c r="BM17" s="101"/>
      <c r="BN17" s="99"/>
      <c r="BO17" s="100"/>
      <c r="BP17" s="101"/>
      <c r="BQ17" s="99"/>
      <c r="BR17" s="99"/>
      <c r="BS17" s="99"/>
      <c r="BT17" s="100"/>
      <c r="BU17" s="98"/>
      <c r="BV17" s="99"/>
      <c r="BW17" s="99"/>
      <c r="BX17" s="99"/>
      <c r="BY17" s="99"/>
      <c r="BZ17" s="99"/>
      <c r="CA17" s="99"/>
      <c r="CB17" s="99"/>
      <c r="CC17" s="99"/>
      <c r="CD17" s="99"/>
      <c r="CE17" s="99"/>
      <c r="CF17" s="99"/>
      <c r="CG17" s="99"/>
      <c r="CH17" s="99"/>
      <c r="CI17" s="99"/>
      <c r="CJ17" s="100"/>
      <c r="CK17" s="101"/>
      <c r="CL17" s="99"/>
      <c r="CM17" s="99"/>
      <c r="CN17" s="99"/>
      <c r="CO17" s="99"/>
      <c r="CP17" s="99"/>
      <c r="CQ17" s="100"/>
      <c r="CR17" s="101" t="s">
        <v>1576</v>
      </c>
      <c r="CS17" s="99" t="s">
        <v>1576</v>
      </c>
      <c r="CT17" s="100"/>
      <c r="CU17" s="101"/>
      <c r="CV17" s="99"/>
      <c r="CW17" s="99"/>
      <c r="CX17" s="99"/>
      <c r="CY17" s="99"/>
    </row>
    <row r="18" spans="1:103" hidden="1" outlineLevel="1" x14ac:dyDescent="0.2">
      <c r="A18" s="422" t="s">
        <v>647</v>
      </c>
      <c r="B18" s="423" t="str">
        <f>VLOOKUP(A18,[1]ACTIONS!$A$3:$B$238,2,0)</f>
        <v>Mise à ciel ouvert du Roodkloosterbeek dans le parc Bergoge sur 100m – Etude (également sur M1.2)</v>
      </c>
      <c r="C18" s="96"/>
      <c r="D18" s="96"/>
      <c r="E18" s="96">
        <v>90000</v>
      </c>
      <c r="F18" s="96"/>
      <c r="G18" s="96"/>
      <c r="H18" s="96">
        <v>90000</v>
      </c>
      <c r="I18" s="97"/>
      <c r="J18" s="97"/>
      <c r="K18" s="98"/>
      <c r="L18" s="99"/>
      <c r="M18" s="99"/>
      <c r="N18" s="99"/>
      <c r="O18" s="99"/>
      <c r="P18" s="99"/>
      <c r="Q18" s="99"/>
      <c r="R18" s="99"/>
      <c r="S18" s="99"/>
      <c r="T18" s="99"/>
      <c r="U18" s="99"/>
      <c r="V18" s="99"/>
      <c r="W18" s="99"/>
      <c r="X18" s="99"/>
      <c r="Y18" s="99"/>
      <c r="Z18" s="100"/>
      <c r="AA18" s="101"/>
      <c r="AB18" s="99"/>
      <c r="AC18" s="99"/>
      <c r="AD18" s="99"/>
      <c r="AE18" s="99"/>
      <c r="AF18" s="99"/>
      <c r="AG18" s="100"/>
      <c r="AH18" s="101"/>
      <c r="AI18" s="99"/>
      <c r="AJ18" s="100"/>
      <c r="AK18" s="101"/>
      <c r="AL18" s="99"/>
      <c r="AM18" s="99"/>
      <c r="AN18" s="99"/>
      <c r="AO18" s="100"/>
      <c r="AP18" s="98"/>
      <c r="AQ18" s="99"/>
      <c r="AR18" s="99"/>
      <c r="AS18" s="99"/>
      <c r="AT18" s="99"/>
      <c r="AU18" s="99"/>
      <c r="AV18" s="99"/>
      <c r="AW18" s="99"/>
      <c r="AX18" s="99"/>
      <c r="AY18" s="99"/>
      <c r="AZ18" s="99"/>
      <c r="BA18" s="99"/>
      <c r="BB18" s="99"/>
      <c r="BC18" s="99"/>
      <c r="BD18" s="99"/>
      <c r="BE18" s="100"/>
      <c r="BF18" s="101"/>
      <c r="BG18" s="99"/>
      <c r="BH18" s="99"/>
      <c r="BI18" s="99"/>
      <c r="BJ18" s="99"/>
      <c r="BK18" s="99"/>
      <c r="BL18" s="100"/>
      <c r="BM18" s="101"/>
      <c r="BN18" s="99"/>
      <c r="BO18" s="100"/>
      <c r="BP18" s="101"/>
      <c r="BQ18" s="99"/>
      <c r="BR18" s="99"/>
      <c r="BS18" s="99"/>
      <c r="BT18" s="100"/>
      <c r="BU18" s="98"/>
      <c r="BV18" s="99"/>
      <c r="BW18" s="99"/>
      <c r="BX18" s="99"/>
      <c r="BY18" s="99"/>
      <c r="BZ18" s="99"/>
      <c r="CA18" s="99"/>
      <c r="CB18" s="99"/>
      <c r="CC18" s="99"/>
      <c r="CD18" s="99"/>
      <c r="CE18" s="99"/>
      <c r="CF18" s="99"/>
      <c r="CG18" s="99"/>
      <c r="CH18" s="99"/>
      <c r="CI18" s="99"/>
      <c r="CJ18" s="100"/>
      <c r="CK18" s="101"/>
      <c r="CL18" s="99"/>
      <c r="CM18" s="99"/>
      <c r="CN18" s="99"/>
      <c r="CO18" s="99"/>
      <c r="CP18" s="99"/>
      <c r="CQ18" s="100"/>
      <c r="CR18" s="101"/>
      <c r="CS18" s="99"/>
      <c r="CT18" s="100"/>
      <c r="CU18" s="101"/>
      <c r="CV18" s="99"/>
      <c r="CW18" s="99"/>
      <c r="CX18" s="99"/>
      <c r="CY18" s="99"/>
    </row>
    <row r="19" spans="1:103" hidden="1" outlineLevel="1" x14ac:dyDescent="0.2">
      <c r="A19" s="422" t="s">
        <v>648</v>
      </c>
      <c r="B19" s="423" t="str">
        <f>VLOOKUP(A19,[1]ACTIONS!$A$3:$B$238,2,0)</f>
        <v>Remise à ciel ouvert complète de la Senne</v>
      </c>
      <c r="C19" s="96"/>
      <c r="D19" s="96">
        <v>0</v>
      </c>
      <c r="E19" s="96"/>
      <c r="F19" s="96"/>
      <c r="G19" s="96"/>
      <c r="H19" s="96">
        <v>0</v>
      </c>
      <c r="I19" s="97"/>
      <c r="J19" s="97"/>
      <c r="K19" s="98"/>
      <c r="L19" s="99"/>
      <c r="M19" s="99"/>
      <c r="N19" s="99"/>
      <c r="O19" s="99"/>
      <c r="P19" s="99"/>
      <c r="Q19" s="99"/>
      <c r="R19" s="99"/>
      <c r="S19" s="99"/>
      <c r="T19" s="99"/>
      <c r="U19" s="99"/>
      <c r="V19" s="99"/>
      <c r="W19" s="99"/>
      <c r="X19" s="99"/>
      <c r="Y19" s="99"/>
      <c r="Z19" s="100"/>
      <c r="AA19" s="101"/>
      <c r="AB19" s="99"/>
      <c r="AC19" s="99"/>
      <c r="AD19" s="99"/>
      <c r="AE19" s="99"/>
      <c r="AF19" s="99"/>
      <c r="AG19" s="100"/>
      <c r="AH19" s="102" t="s">
        <v>1591</v>
      </c>
      <c r="AI19" s="103" t="s">
        <v>1591</v>
      </c>
      <c r="AJ19" s="104" t="s">
        <v>1591</v>
      </c>
      <c r="AK19" s="101"/>
      <c r="AL19" s="99"/>
      <c r="AM19" s="99"/>
      <c r="AN19" s="99"/>
      <c r="AO19" s="100"/>
      <c r="AP19" s="98"/>
      <c r="AQ19" s="99"/>
      <c r="AR19" s="99"/>
      <c r="AS19" s="99"/>
      <c r="AT19" s="99"/>
      <c r="AU19" s="99"/>
      <c r="AV19" s="99"/>
      <c r="AW19" s="99"/>
      <c r="AX19" s="99"/>
      <c r="AY19" s="99"/>
      <c r="AZ19" s="99"/>
      <c r="BA19" s="99"/>
      <c r="BB19" s="99"/>
      <c r="BC19" s="99"/>
      <c r="BD19" s="99"/>
      <c r="BE19" s="100"/>
      <c r="BF19" s="101"/>
      <c r="BG19" s="99"/>
      <c r="BH19" s="99"/>
      <c r="BI19" s="99"/>
      <c r="BJ19" s="99"/>
      <c r="BK19" s="99"/>
      <c r="BL19" s="100"/>
      <c r="BM19" s="101"/>
      <c r="BN19" s="99"/>
      <c r="BO19" s="100"/>
      <c r="BP19" s="101"/>
      <c r="BQ19" s="99"/>
      <c r="BR19" s="99"/>
      <c r="BS19" s="99"/>
      <c r="BT19" s="100"/>
      <c r="BU19" s="98"/>
      <c r="BV19" s="99"/>
      <c r="BW19" s="99"/>
      <c r="BX19" s="99"/>
      <c r="BY19" s="99"/>
      <c r="BZ19" s="99"/>
      <c r="CA19" s="99"/>
      <c r="CB19" s="99"/>
      <c r="CC19" s="99"/>
      <c r="CD19" s="99"/>
      <c r="CE19" s="99"/>
      <c r="CF19" s="99"/>
      <c r="CG19" s="99"/>
      <c r="CH19" s="99"/>
      <c r="CI19" s="99"/>
      <c r="CJ19" s="100"/>
      <c r="CK19" s="101"/>
      <c r="CL19" s="99"/>
      <c r="CM19" s="99"/>
      <c r="CN19" s="99"/>
      <c r="CO19" s="99"/>
      <c r="CP19" s="99"/>
      <c r="CQ19" s="100"/>
      <c r="CR19" s="101"/>
      <c r="CS19" s="99"/>
      <c r="CT19" s="100"/>
      <c r="CU19" s="101"/>
      <c r="CV19" s="99"/>
      <c r="CW19" s="99"/>
      <c r="CX19" s="99"/>
      <c r="CY19" s="99"/>
    </row>
    <row r="20" spans="1:103" hidden="1" outlineLevel="1" x14ac:dyDescent="0.2">
      <c r="A20" s="422" t="s">
        <v>649</v>
      </c>
      <c r="B20" s="423" t="str">
        <f>VLOOKUP(A20,[1]ACTIONS!$A$3:$B$238,2,0)</f>
        <v>Remise à ciel ouvert complète de la Woluwe</v>
      </c>
      <c r="C20" s="96"/>
      <c r="D20" s="96"/>
      <c r="E20" s="96">
        <v>0</v>
      </c>
      <c r="F20" s="96"/>
      <c r="G20" s="96"/>
      <c r="H20" s="96">
        <v>0</v>
      </c>
      <c r="I20" s="97"/>
      <c r="J20" s="97"/>
      <c r="K20" s="98"/>
      <c r="L20" s="99"/>
      <c r="M20" s="99"/>
      <c r="N20" s="99"/>
      <c r="O20" s="99"/>
      <c r="P20" s="99"/>
      <c r="Q20" s="99"/>
      <c r="R20" s="99"/>
      <c r="S20" s="99"/>
      <c r="T20" s="99"/>
      <c r="U20" s="99"/>
      <c r="V20" s="99"/>
      <c r="W20" s="99"/>
      <c r="X20" s="99"/>
      <c r="Y20" s="99"/>
      <c r="Z20" s="100"/>
      <c r="AA20" s="101"/>
      <c r="AB20" s="99"/>
      <c r="AC20" s="99"/>
      <c r="AD20" s="99"/>
      <c r="AE20" s="99"/>
      <c r="AF20" s="99"/>
      <c r="AG20" s="100"/>
      <c r="AH20" s="101"/>
      <c r="AI20" s="99"/>
      <c r="AJ20" s="100"/>
      <c r="AK20" s="101"/>
      <c r="AL20" s="99"/>
      <c r="AM20" s="99"/>
      <c r="AN20" s="99"/>
      <c r="AO20" s="100"/>
      <c r="AP20" s="98"/>
      <c r="AQ20" s="99"/>
      <c r="AR20" s="99"/>
      <c r="AS20" s="99"/>
      <c r="AT20" s="99"/>
      <c r="AU20" s="99"/>
      <c r="AV20" s="99"/>
      <c r="AW20" s="99"/>
      <c r="AX20" s="99"/>
      <c r="AY20" s="99"/>
      <c r="AZ20" s="99"/>
      <c r="BA20" s="99"/>
      <c r="BB20" s="99"/>
      <c r="BC20" s="99"/>
      <c r="BD20" s="99"/>
      <c r="BE20" s="100"/>
      <c r="BF20" s="101"/>
      <c r="BG20" s="99"/>
      <c r="BH20" s="99"/>
      <c r="BI20" s="99"/>
      <c r="BJ20" s="99"/>
      <c r="BK20" s="99"/>
      <c r="BL20" s="100"/>
      <c r="BM20" s="101"/>
      <c r="BN20" s="99"/>
      <c r="BO20" s="100"/>
      <c r="BP20" s="101"/>
      <c r="BQ20" s="99"/>
      <c r="BR20" s="99"/>
      <c r="BS20" s="99"/>
      <c r="BT20" s="100"/>
      <c r="BU20" s="98"/>
      <c r="BV20" s="99"/>
      <c r="BW20" s="99"/>
      <c r="BX20" s="99"/>
      <c r="BY20" s="99"/>
      <c r="BZ20" s="99"/>
      <c r="CA20" s="99"/>
      <c r="CB20" s="99"/>
      <c r="CC20" s="99"/>
      <c r="CD20" s="99"/>
      <c r="CE20" s="99"/>
      <c r="CF20" s="99"/>
      <c r="CG20" s="99"/>
      <c r="CH20" s="99"/>
      <c r="CI20" s="99"/>
      <c r="CJ20" s="100"/>
      <c r="CK20" s="101"/>
      <c r="CL20" s="99"/>
      <c r="CM20" s="99"/>
      <c r="CN20" s="99"/>
      <c r="CO20" s="99"/>
      <c r="CP20" s="99"/>
      <c r="CQ20" s="100"/>
      <c r="CR20" s="102" t="s">
        <v>1591</v>
      </c>
      <c r="CS20" s="103" t="s">
        <v>1591</v>
      </c>
      <c r="CT20" s="104" t="s">
        <v>1591</v>
      </c>
      <c r="CU20" s="101"/>
      <c r="CV20" s="99"/>
      <c r="CW20" s="99"/>
      <c r="CX20" s="99"/>
      <c r="CY20" s="99"/>
    </row>
    <row r="21" spans="1:103" ht="25.5" collapsed="1" x14ac:dyDescent="0.2">
      <c r="A21" s="394" t="s">
        <v>1</v>
      </c>
      <c r="B21" s="395" t="str">
        <f>VLOOKUP(A21,'1. Mesures'!$A$2:$B$116,2,0)</f>
        <v>Améliorer la qualité des berges et des lits du réseau hydrographique, créer des méandres et aménager des zones propices au développement de la faune et de la flore aquatiques</v>
      </c>
      <c r="C21" s="96">
        <v>1265000</v>
      </c>
      <c r="D21" s="96">
        <v>6670000</v>
      </c>
      <c r="E21" s="96">
        <v>690000</v>
      </c>
      <c r="F21" s="96"/>
      <c r="G21" s="96"/>
      <c r="H21" s="96">
        <v>8625000</v>
      </c>
      <c r="I21" s="97" t="s">
        <v>1589</v>
      </c>
      <c r="J21" s="97"/>
      <c r="K21" s="98"/>
      <c r="L21" s="99"/>
      <c r="M21" s="99"/>
      <c r="N21" s="99"/>
      <c r="O21" s="99"/>
      <c r="P21" s="99"/>
      <c r="Q21" s="99"/>
      <c r="R21" s="99"/>
      <c r="S21" s="99"/>
      <c r="T21" s="99"/>
      <c r="U21" s="99"/>
      <c r="V21" s="99"/>
      <c r="W21" s="99"/>
      <c r="X21" s="99"/>
      <c r="Y21" s="99"/>
      <c r="Z21" s="100"/>
      <c r="AA21" s="101"/>
      <c r="AB21" s="99"/>
      <c r="AC21" s="99"/>
      <c r="AD21" s="99"/>
      <c r="AE21" s="99"/>
      <c r="AF21" s="99" t="s">
        <v>1590</v>
      </c>
      <c r="AG21" s="100"/>
      <c r="AH21" s="101" t="s">
        <v>1576</v>
      </c>
      <c r="AI21" s="99" t="s">
        <v>1576</v>
      </c>
      <c r="AJ21" s="100" t="s">
        <v>1576</v>
      </c>
      <c r="AK21" s="101"/>
      <c r="AL21" s="99" t="s">
        <v>1575</v>
      </c>
      <c r="AM21" s="99" t="s">
        <v>1576</v>
      </c>
      <c r="AN21" s="99" t="s">
        <v>1576</v>
      </c>
      <c r="AO21" s="100" t="s">
        <v>1576</v>
      </c>
      <c r="AP21" s="98"/>
      <c r="AQ21" s="99"/>
      <c r="AR21" s="99"/>
      <c r="AS21" s="99"/>
      <c r="AT21" s="99"/>
      <c r="AU21" s="99"/>
      <c r="AV21" s="99"/>
      <c r="AW21" s="99"/>
      <c r="AX21" s="99"/>
      <c r="AY21" s="99"/>
      <c r="AZ21" s="99"/>
      <c r="BA21" s="99"/>
      <c r="BB21" s="99"/>
      <c r="BC21" s="99"/>
      <c r="BD21" s="99"/>
      <c r="BE21" s="100"/>
      <c r="BF21" s="101"/>
      <c r="BG21" s="99"/>
      <c r="BH21" s="99"/>
      <c r="BI21" s="99"/>
      <c r="BJ21" s="99"/>
      <c r="BK21" s="99"/>
      <c r="BL21" s="100"/>
      <c r="BM21" s="101" t="s">
        <v>1576</v>
      </c>
      <c r="BN21" s="99" t="s">
        <v>1576</v>
      </c>
      <c r="BO21" s="100" t="s">
        <v>1576</v>
      </c>
      <c r="BP21" s="101"/>
      <c r="BQ21" s="99" t="s">
        <v>1575</v>
      </c>
      <c r="BR21" s="99"/>
      <c r="BS21" s="99" t="s">
        <v>1576</v>
      </c>
      <c r="BT21" s="100" t="s">
        <v>1576</v>
      </c>
      <c r="BU21" s="98"/>
      <c r="BV21" s="99"/>
      <c r="BW21" s="99"/>
      <c r="BX21" s="99"/>
      <c r="BY21" s="99"/>
      <c r="BZ21" s="99"/>
      <c r="CA21" s="99"/>
      <c r="CB21" s="99"/>
      <c r="CC21" s="99"/>
      <c r="CD21" s="99"/>
      <c r="CE21" s="99"/>
      <c r="CF21" s="99"/>
      <c r="CG21" s="99"/>
      <c r="CH21" s="99"/>
      <c r="CI21" s="99"/>
      <c r="CJ21" s="100"/>
      <c r="CK21" s="101"/>
      <c r="CL21" s="99"/>
      <c r="CM21" s="99"/>
      <c r="CN21" s="99"/>
      <c r="CO21" s="99"/>
      <c r="CP21" s="99"/>
      <c r="CQ21" s="100"/>
      <c r="CR21" s="101"/>
      <c r="CS21" s="99"/>
      <c r="CT21" s="100"/>
      <c r="CU21" s="101"/>
      <c r="CV21" s="99"/>
      <c r="CW21" s="99"/>
      <c r="CX21" s="99"/>
      <c r="CY21" s="99"/>
    </row>
    <row r="22" spans="1:103" ht="25.5" hidden="1" outlineLevel="1" x14ac:dyDescent="0.2">
      <c r="A22" s="424" t="s">
        <v>700</v>
      </c>
      <c r="B22" s="401" t="str">
        <f>VLOOKUP(A22,[1]ACTIONS!$A$3:$B$238,2,0)</f>
        <v>Amélioration de la berge et l’aménagement d’une annexe hydraulique abritée (frayère) à hauteur du site d’Aquiris (action C12_2 Belini) – Etude (*)</v>
      </c>
      <c r="C22" s="96"/>
      <c r="D22" s="96">
        <v>80000</v>
      </c>
      <c r="E22" s="96"/>
      <c r="F22" s="96"/>
      <c r="G22" s="96"/>
      <c r="H22" s="96">
        <v>80000</v>
      </c>
      <c r="I22" s="97"/>
      <c r="J22" s="97"/>
      <c r="K22" s="98"/>
      <c r="L22" s="99"/>
      <c r="M22" s="99"/>
      <c r="N22" s="99"/>
      <c r="O22" s="99"/>
      <c r="P22" s="99"/>
      <c r="Q22" s="99"/>
      <c r="R22" s="99"/>
      <c r="S22" s="99"/>
      <c r="T22" s="99"/>
      <c r="U22" s="99"/>
      <c r="V22" s="99"/>
      <c r="W22" s="99"/>
      <c r="X22" s="99"/>
      <c r="Y22" s="99"/>
      <c r="Z22" s="100"/>
      <c r="AA22" s="101"/>
      <c r="AB22" s="99"/>
      <c r="AC22" s="99"/>
      <c r="AD22" s="99"/>
      <c r="AE22" s="99"/>
      <c r="AF22" s="99"/>
      <c r="AG22" s="100"/>
      <c r="AH22" s="101"/>
      <c r="AI22" s="99"/>
      <c r="AJ22" s="100"/>
      <c r="AK22" s="101"/>
      <c r="AL22" s="99"/>
      <c r="AM22" s="99"/>
      <c r="AN22" s="99"/>
      <c r="AO22" s="100"/>
      <c r="AP22" s="98"/>
      <c r="AQ22" s="99"/>
      <c r="AR22" s="99"/>
      <c r="AS22" s="99"/>
      <c r="AT22" s="99"/>
      <c r="AU22" s="99"/>
      <c r="AV22" s="99"/>
      <c r="AW22" s="99"/>
      <c r="AX22" s="99"/>
      <c r="AY22" s="99"/>
      <c r="AZ22" s="99"/>
      <c r="BA22" s="99"/>
      <c r="BB22" s="99"/>
      <c r="BC22" s="99"/>
      <c r="BD22" s="99"/>
      <c r="BE22" s="100"/>
      <c r="BF22" s="101"/>
      <c r="BG22" s="99"/>
      <c r="BH22" s="99"/>
      <c r="BI22" s="99"/>
      <c r="BJ22" s="99"/>
      <c r="BK22" s="99"/>
      <c r="BL22" s="100"/>
      <c r="BM22" s="101"/>
      <c r="BN22" s="99"/>
      <c r="BO22" s="100"/>
      <c r="BP22" s="101"/>
      <c r="BQ22" s="99"/>
      <c r="BR22" s="99"/>
      <c r="BS22" s="99"/>
      <c r="BT22" s="100"/>
      <c r="BU22" s="98"/>
      <c r="BV22" s="99"/>
      <c r="BW22" s="99"/>
      <c r="BX22" s="99"/>
      <c r="BY22" s="99"/>
      <c r="BZ22" s="99"/>
      <c r="CA22" s="99"/>
      <c r="CB22" s="99"/>
      <c r="CC22" s="99"/>
      <c r="CD22" s="99"/>
      <c r="CE22" s="99"/>
      <c r="CF22" s="99"/>
      <c r="CG22" s="99"/>
      <c r="CH22" s="99"/>
      <c r="CI22" s="99"/>
      <c r="CJ22" s="100"/>
      <c r="CK22" s="101"/>
      <c r="CL22" s="99"/>
      <c r="CM22" s="99"/>
      <c r="CN22" s="99"/>
      <c r="CO22" s="99"/>
      <c r="CP22" s="99"/>
      <c r="CQ22" s="100"/>
      <c r="CR22" s="101"/>
      <c r="CS22" s="99"/>
      <c r="CT22" s="100"/>
      <c r="CU22" s="101"/>
      <c r="CV22" s="99"/>
      <c r="CW22" s="99"/>
      <c r="CX22" s="99"/>
      <c r="CY22" s="99"/>
    </row>
    <row r="23" spans="1:103" ht="25.5" hidden="1" outlineLevel="1" x14ac:dyDescent="0.2">
      <c r="A23" s="424" t="s">
        <v>701</v>
      </c>
      <c r="B23" s="401" t="str">
        <f>VLOOKUP(A23,[1]ACTIONS!$A$3:$B$238,2,0)</f>
        <v>Améliorer l’hydromorphologie de la Senne entre la Rue du Rupel (aval du Pont Van Praet) et la Rampe du Lion (état actuel : berges bétonnées au niveau d’Elia, voire également le lit) - Travaux</v>
      </c>
      <c r="C23" s="96"/>
      <c r="D23" s="96">
        <v>0</v>
      </c>
      <c r="E23" s="96"/>
      <c r="F23" s="96"/>
      <c r="G23" s="96"/>
      <c r="H23" s="96">
        <v>0</v>
      </c>
      <c r="I23" s="97"/>
      <c r="J23" s="97"/>
      <c r="K23" s="98"/>
      <c r="L23" s="99"/>
      <c r="M23" s="99"/>
      <c r="N23" s="99"/>
      <c r="O23" s="99"/>
      <c r="P23" s="99"/>
      <c r="Q23" s="99"/>
      <c r="R23" s="99"/>
      <c r="S23" s="99"/>
      <c r="T23" s="99"/>
      <c r="U23" s="99"/>
      <c r="V23" s="99"/>
      <c r="W23" s="99"/>
      <c r="X23" s="99"/>
      <c r="Y23" s="99"/>
      <c r="Z23" s="100"/>
      <c r="AA23" s="101"/>
      <c r="AB23" s="99"/>
      <c r="AC23" s="99"/>
      <c r="AD23" s="99"/>
      <c r="AE23" s="99"/>
      <c r="AF23" s="99"/>
      <c r="AG23" s="100"/>
      <c r="AH23" s="102" t="s">
        <v>1575</v>
      </c>
      <c r="AI23" s="103" t="s">
        <v>1575</v>
      </c>
      <c r="AJ23" s="104" t="s">
        <v>1575</v>
      </c>
      <c r="AK23" s="101"/>
      <c r="AL23" s="99"/>
      <c r="AM23" s="99"/>
      <c r="AN23" s="99"/>
      <c r="AO23" s="100"/>
      <c r="AP23" s="98"/>
      <c r="AQ23" s="99"/>
      <c r="AR23" s="99"/>
      <c r="AS23" s="99"/>
      <c r="AT23" s="99"/>
      <c r="AU23" s="99"/>
      <c r="AV23" s="99"/>
      <c r="AW23" s="99"/>
      <c r="AX23" s="99"/>
      <c r="AY23" s="99"/>
      <c r="AZ23" s="99"/>
      <c r="BA23" s="99"/>
      <c r="BB23" s="99"/>
      <c r="BC23" s="99"/>
      <c r="BD23" s="99"/>
      <c r="BE23" s="100"/>
      <c r="BF23" s="101"/>
      <c r="BG23" s="99"/>
      <c r="BH23" s="99"/>
      <c r="BI23" s="99"/>
      <c r="BJ23" s="99"/>
      <c r="BK23" s="99"/>
      <c r="BL23" s="100"/>
      <c r="BM23" s="101"/>
      <c r="BN23" s="99"/>
      <c r="BO23" s="100"/>
      <c r="BP23" s="101"/>
      <c r="BQ23" s="99"/>
      <c r="BR23" s="99"/>
      <c r="BS23" s="99"/>
      <c r="BT23" s="100"/>
      <c r="BU23" s="98"/>
      <c r="BV23" s="99"/>
      <c r="BW23" s="99"/>
      <c r="BX23" s="99"/>
      <c r="BY23" s="99"/>
      <c r="BZ23" s="99"/>
      <c r="CA23" s="99"/>
      <c r="CB23" s="99"/>
      <c r="CC23" s="99"/>
      <c r="CD23" s="99"/>
      <c r="CE23" s="99"/>
      <c r="CF23" s="99"/>
      <c r="CG23" s="99"/>
      <c r="CH23" s="99"/>
      <c r="CI23" s="99"/>
      <c r="CJ23" s="100"/>
      <c r="CK23" s="101"/>
      <c r="CL23" s="99"/>
      <c r="CM23" s="99"/>
      <c r="CN23" s="99"/>
      <c r="CO23" s="99"/>
      <c r="CP23" s="99"/>
      <c r="CQ23" s="100"/>
      <c r="CR23" s="101"/>
      <c r="CS23" s="99"/>
      <c r="CT23" s="100"/>
      <c r="CU23" s="101"/>
      <c r="CV23" s="99"/>
      <c r="CW23" s="99"/>
      <c r="CX23" s="99"/>
      <c r="CY23" s="99"/>
    </row>
    <row r="24" spans="1:103" ht="25.5" hidden="1" outlineLevel="1" x14ac:dyDescent="0.2">
      <c r="A24" s="424" t="s">
        <v>702</v>
      </c>
      <c r="B24" s="401" t="str">
        <f>VLOOKUP(A24,[1]ACTIONS!$A$3:$B$238,2,0)</f>
        <v>Aménager les berges et lit naturels entre la Chaussée de Buda et la sortie de la région, tenant compte du curage prévu de ce tronçon - Etude</v>
      </c>
      <c r="C24" s="96"/>
      <c r="D24" s="96">
        <v>0</v>
      </c>
      <c r="E24" s="96"/>
      <c r="F24" s="96"/>
      <c r="G24" s="96"/>
      <c r="H24" s="96">
        <v>0</v>
      </c>
      <c r="I24" s="97"/>
      <c r="J24" s="97"/>
      <c r="K24" s="98"/>
      <c r="L24" s="99"/>
      <c r="M24" s="99"/>
      <c r="N24" s="99"/>
      <c r="O24" s="99"/>
      <c r="P24" s="99"/>
      <c r="Q24" s="99"/>
      <c r="R24" s="99"/>
      <c r="S24" s="99"/>
      <c r="T24" s="99"/>
      <c r="U24" s="99"/>
      <c r="V24" s="99"/>
      <c r="W24" s="99"/>
      <c r="X24" s="99"/>
      <c r="Y24" s="99"/>
      <c r="Z24" s="100"/>
      <c r="AA24" s="101"/>
      <c r="AB24" s="99"/>
      <c r="AC24" s="99"/>
      <c r="AD24" s="99"/>
      <c r="AE24" s="99"/>
      <c r="AF24" s="99"/>
      <c r="AG24" s="100"/>
      <c r="AH24" s="101"/>
      <c r="AI24" s="99"/>
      <c r="AJ24" s="100"/>
      <c r="AK24" s="101"/>
      <c r="AL24" s="99"/>
      <c r="AM24" s="99"/>
      <c r="AN24" s="99"/>
      <c r="AO24" s="100"/>
      <c r="AP24" s="98"/>
      <c r="AQ24" s="99"/>
      <c r="AR24" s="99"/>
      <c r="AS24" s="99"/>
      <c r="AT24" s="99"/>
      <c r="AU24" s="99"/>
      <c r="AV24" s="99"/>
      <c r="AW24" s="99"/>
      <c r="AX24" s="99"/>
      <c r="AY24" s="99"/>
      <c r="AZ24" s="99"/>
      <c r="BA24" s="99"/>
      <c r="BB24" s="99"/>
      <c r="BC24" s="99"/>
      <c r="BD24" s="99"/>
      <c r="BE24" s="100"/>
      <c r="BF24" s="101"/>
      <c r="BG24" s="99"/>
      <c r="BH24" s="99"/>
      <c r="BI24" s="99"/>
      <c r="BJ24" s="99"/>
      <c r="BK24" s="99"/>
      <c r="BL24" s="100"/>
      <c r="BM24" s="101"/>
      <c r="BN24" s="99"/>
      <c r="BO24" s="100"/>
      <c r="BP24" s="101"/>
      <c r="BQ24" s="99"/>
      <c r="BR24" s="99"/>
      <c r="BS24" s="99"/>
      <c r="BT24" s="100"/>
      <c r="BU24" s="98"/>
      <c r="BV24" s="99"/>
      <c r="BW24" s="99"/>
      <c r="BX24" s="99"/>
      <c r="BY24" s="99"/>
      <c r="BZ24" s="99"/>
      <c r="CA24" s="99"/>
      <c r="CB24" s="99"/>
      <c r="CC24" s="99"/>
      <c r="CD24" s="99"/>
      <c r="CE24" s="99"/>
      <c r="CF24" s="99"/>
      <c r="CG24" s="99"/>
      <c r="CH24" s="99"/>
      <c r="CI24" s="99"/>
      <c r="CJ24" s="100"/>
      <c r="CK24" s="101"/>
      <c r="CL24" s="99"/>
      <c r="CM24" s="99"/>
      <c r="CN24" s="99"/>
      <c r="CO24" s="99"/>
      <c r="CP24" s="99"/>
      <c r="CQ24" s="100"/>
      <c r="CR24" s="101"/>
      <c r="CS24" s="99"/>
      <c r="CT24" s="100"/>
      <c r="CU24" s="101"/>
      <c r="CV24" s="99"/>
      <c r="CW24" s="99"/>
      <c r="CX24" s="99"/>
      <c r="CY24" s="99"/>
    </row>
    <row r="25" spans="1:103" ht="25.5" hidden="1" outlineLevel="1" x14ac:dyDescent="0.2">
      <c r="A25" s="424" t="s">
        <v>703</v>
      </c>
      <c r="B25" s="401" t="str">
        <f>VLOOKUP(A25,[1]ACTIONS!$A$3:$B$238,2,0)</f>
        <v>Aménager les berges et lit naturels entre la Chaussée de Buda et la sortie de la région, tenant compte du curage de ce tronçon - Travaux</v>
      </c>
      <c r="C25" s="96"/>
      <c r="D25" s="96">
        <v>0</v>
      </c>
      <c r="E25" s="96"/>
      <c r="F25" s="96"/>
      <c r="G25" s="96"/>
      <c r="H25" s="96">
        <v>0</v>
      </c>
      <c r="I25" s="97"/>
      <c r="J25" s="97"/>
      <c r="K25" s="98"/>
      <c r="L25" s="99"/>
      <c r="M25" s="99"/>
      <c r="N25" s="99"/>
      <c r="O25" s="99"/>
      <c r="P25" s="99"/>
      <c r="Q25" s="99"/>
      <c r="R25" s="99"/>
      <c r="S25" s="99"/>
      <c r="T25" s="99"/>
      <c r="U25" s="99"/>
      <c r="V25" s="99"/>
      <c r="W25" s="99"/>
      <c r="X25" s="99"/>
      <c r="Y25" s="99"/>
      <c r="Z25" s="100"/>
      <c r="AA25" s="101"/>
      <c r="AB25" s="99"/>
      <c r="AC25" s="99"/>
      <c r="AD25" s="99"/>
      <c r="AE25" s="99"/>
      <c r="AF25" s="99"/>
      <c r="AG25" s="100"/>
      <c r="AH25" s="102" t="s">
        <v>1576</v>
      </c>
      <c r="AI25" s="103" t="s">
        <v>1576</v>
      </c>
      <c r="AJ25" s="104" t="s">
        <v>1576</v>
      </c>
      <c r="AK25" s="101"/>
      <c r="AL25" s="99"/>
      <c r="AM25" s="99"/>
      <c r="AN25" s="99"/>
      <c r="AO25" s="100"/>
      <c r="AP25" s="98"/>
      <c r="AQ25" s="99"/>
      <c r="AR25" s="99"/>
      <c r="AS25" s="99"/>
      <c r="AT25" s="99"/>
      <c r="AU25" s="99"/>
      <c r="AV25" s="99"/>
      <c r="AW25" s="99"/>
      <c r="AX25" s="99"/>
      <c r="AY25" s="99"/>
      <c r="AZ25" s="99"/>
      <c r="BA25" s="99"/>
      <c r="BB25" s="99"/>
      <c r="BC25" s="99"/>
      <c r="BD25" s="99"/>
      <c r="BE25" s="100"/>
      <c r="BF25" s="101"/>
      <c r="BG25" s="99"/>
      <c r="BH25" s="99"/>
      <c r="BI25" s="99"/>
      <c r="BJ25" s="99"/>
      <c r="BK25" s="99"/>
      <c r="BL25" s="100"/>
      <c r="BM25" s="101"/>
      <c r="BN25" s="99"/>
      <c r="BO25" s="100"/>
      <c r="BP25" s="101"/>
      <c r="BQ25" s="99"/>
      <c r="BR25" s="99"/>
      <c r="BS25" s="99"/>
      <c r="BT25" s="100"/>
      <c r="BU25" s="98"/>
      <c r="BV25" s="99"/>
      <c r="BW25" s="99"/>
      <c r="BX25" s="99"/>
      <c r="BY25" s="99"/>
      <c r="BZ25" s="99"/>
      <c r="CA25" s="99"/>
      <c r="CB25" s="99"/>
      <c r="CC25" s="99"/>
      <c r="CD25" s="99"/>
      <c r="CE25" s="99"/>
      <c r="CF25" s="99"/>
      <c r="CG25" s="99"/>
      <c r="CH25" s="99"/>
      <c r="CI25" s="99"/>
      <c r="CJ25" s="100"/>
      <c r="CK25" s="101"/>
      <c r="CL25" s="99"/>
      <c r="CM25" s="99"/>
      <c r="CN25" s="99"/>
      <c r="CO25" s="99"/>
      <c r="CP25" s="99"/>
      <c r="CQ25" s="100"/>
      <c r="CR25" s="101"/>
      <c r="CS25" s="99"/>
      <c r="CT25" s="100"/>
      <c r="CU25" s="101"/>
      <c r="CV25" s="99"/>
      <c r="CW25" s="99"/>
      <c r="CX25" s="99"/>
      <c r="CY25" s="99"/>
    </row>
    <row r="26" spans="1:103" hidden="1" outlineLevel="1" x14ac:dyDescent="0.2">
      <c r="A26" s="424" t="s">
        <v>704</v>
      </c>
      <c r="B26" s="401" t="str">
        <f>VLOOKUP(A26,[1]ACTIONS!$A$3:$B$238,2,0)</f>
        <v>Aménager de berges naturelles entre la Rue de la Bienvenue et le Boulevard International - Etude</v>
      </c>
      <c r="C26" s="96"/>
      <c r="D26" s="96">
        <v>0</v>
      </c>
      <c r="E26" s="96"/>
      <c r="F26" s="96"/>
      <c r="G26" s="96"/>
      <c r="H26" s="96">
        <v>0</v>
      </c>
      <c r="I26" s="97"/>
      <c r="J26" s="97"/>
      <c r="K26" s="98"/>
      <c r="L26" s="99"/>
      <c r="M26" s="99"/>
      <c r="N26" s="99"/>
      <c r="O26" s="99"/>
      <c r="P26" s="99"/>
      <c r="Q26" s="99"/>
      <c r="R26" s="99"/>
      <c r="S26" s="99"/>
      <c r="T26" s="99"/>
      <c r="U26" s="99"/>
      <c r="V26" s="99"/>
      <c r="W26" s="99"/>
      <c r="X26" s="99"/>
      <c r="Y26" s="99"/>
      <c r="Z26" s="100"/>
      <c r="AA26" s="101"/>
      <c r="AB26" s="99"/>
      <c r="AC26" s="99"/>
      <c r="AD26" s="99"/>
      <c r="AE26" s="99"/>
      <c r="AF26" s="99"/>
      <c r="AG26" s="100"/>
      <c r="AH26" s="102" t="s">
        <v>1590</v>
      </c>
      <c r="AI26" s="103" t="s">
        <v>1590</v>
      </c>
      <c r="AJ26" s="104" t="s">
        <v>1590</v>
      </c>
      <c r="AK26" s="101"/>
      <c r="AL26" s="99"/>
      <c r="AM26" s="99"/>
      <c r="AN26" s="99"/>
      <c r="AO26" s="100"/>
      <c r="AP26" s="98"/>
      <c r="AQ26" s="99"/>
      <c r="AR26" s="99"/>
      <c r="AS26" s="99"/>
      <c r="AT26" s="99"/>
      <c r="AU26" s="99"/>
      <c r="AV26" s="99"/>
      <c r="AW26" s="99"/>
      <c r="AX26" s="99"/>
      <c r="AY26" s="99"/>
      <c r="AZ26" s="99"/>
      <c r="BA26" s="99"/>
      <c r="BB26" s="99"/>
      <c r="BC26" s="99"/>
      <c r="BD26" s="99"/>
      <c r="BE26" s="100"/>
      <c r="BF26" s="101"/>
      <c r="BG26" s="99"/>
      <c r="BH26" s="99"/>
      <c r="BI26" s="99"/>
      <c r="BJ26" s="99"/>
      <c r="BK26" s="99"/>
      <c r="BL26" s="100"/>
      <c r="BM26" s="101"/>
      <c r="BN26" s="99"/>
      <c r="BO26" s="100"/>
      <c r="BP26" s="101"/>
      <c r="BQ26" s="99"/>
      <c r="BR26" s="99"/>
      <c r="BS26" s="99"/>
      <c r="BT26" s="100"/>
      <c r="BU26" s="98"/>
      <c r="BV26" s="99"/>
      <c r="BW26" s="99"/>
      <c r="BX26" s="99"/>
      <c r="BY26" s="99"/>
      <c r="BZ26" s="99"/>
      <c r="CA26" s="99"/>
      <c r="CB26" s="99"/>
      <c r="CC26" s="99"/>
      <c r="CD26" s="99"/>
      <c r="CE26" s="99"/>
      <c r="CF26" s="99"/>
      <c r="CG26" s="99"/>
      <c r="CH26" s="99"/>
      <c r="CI26" s="99"/>
      <c r="CJ26" s="100"/>
      <c r="CK26" s="101"/>
      <c r="CL26" s="99"/>
      <c r="CM26" s="99"/>
      <c r="CN26" s="99"/>
      <c r="CO26" s="99"/>
      <c r="CP26" s="99"/>
      <c r="CQ26" s="100"/>
      <c r="CR26" s="101"/>
      <c r="CS26" s="99"/>
      <c r="CT26" s="100"/>
      <c r="CU26" s="101"/>
      <c r="CV26" s="99"/>
      <c r="CW26" s="99"/>
      <c r="CX26" s="99"/>
      <c r="CY26" s="99"/>
    </row>
    <row r="27" spans="1:103" hidden="1" outlineLevel="1" x14ac:dyDescent="0.2">
      <c r="A27" s="424" t="s">
        <v>705</v>
      </c>
      <c r="B27" s="401" t="str">
        <f>VLOOKUP(A27,[1]ACTIONS!$A$3:$B$238,2,0)</f>
        <v>Travaux pour aménager une zone humide le long de la Woluwe au niveau de l’étang rond, Parc de la Woluwe – Etude</v>
      </c>
      <c r="C27" s="96"/>
      <c r="D27" s="96"/>
      <c r="E27" s="96">
        <v>90000</v>
      </c>
      <c r="F27" s="96"/>
      <c r="G27" s="96"/>
      <c r="H27" s="96">
        <v>90000</v>
      </c>
      <c r="I27" s="97"/>
      <c r="J27" s="97"/>
      <c r="K27" s="98"/>
      <c r="L27" s="99"/>
      <c r="M27" s="99"/>
      <c r="N27" s="99"/>
      <c r="O27" s="99"/>
      <c r="P27" s="99"/>
      <c r="Q27" s="99"/>
      <c r="R27" s="99"/>
      <c r="S27" s="99"/>
      <c r="T27" s="99"/>
      <c r="U27" s="99"/>
      <c r="V27" s="99"/>
      <c r="W27" s="99"/>
      <c r="X27" s="99"/>
      <c r="Y27" s="99"/>
      <c r="Z27" s="100"/>
      <c r="AA27" s="101"/>
      <c r="AB27" s="99"/>
      <c r="AC27" s="99"/>
      <c r="AD27" s="99"/>
      <c r="AE27" s="99"/>
      <c r="AF27" s="99"/>
      <c r="AG27" s="100"/>
      <c r="AH27" s="101"/>
      <c r="AI27" s="99"/>
      <c r="AJ27" s="100"/>
      <c r="AK27" s="101"/>
      <c r="AL27" s="99"/>
      <c r="AM27" s="99"/>
      <c r="AN27" s="99"/>
      <c r="AO27" s="100"/>
      <c r="AP27" s="98"/>
      <c r="AQ27" s="99"/>
      <c r="AR27" s="99"/>
      <c r="AS27" s="99"/>
      <c r="AT27" s="99"/>
      <c r="AU27" s="99"/>
      <c r="AV27" s="99"/>
      <c r="AW27" s="99"/>
      <c r="AX27" s="99"/>
      <c r="AY27" s="99"/>
      <c r="AZ27" s="99"/>
      <c r="BA27" s="99"/>
      <c r="BB27" s="99"/>
      <c r="BC27" s="99"/>
      <c r="BD27" s="99"/>
      <c r="BE27" s="100"/>
      <c r="BF27" s="101"/>
      <c r="BG27" s="99"/>
      <c r="BH27" s="99"/>
      <c r="BI27" s="99"/>
      <c r="BJ27" s="99"/>
      <c r="BK27" s="99"/>
      <c r="BL27" s="100"/>
      <c r="BM27" s="101"/>
      <c r="BN27" s="99"/>
      <c r="BO27" s="100"/>
      <c r="BP27" s="101"/>
      <c r="BQ27" s="99"/>
      <c r="BR27" s="99"/>
      <c r="BS27" s="99"/>
      <c r="BT27" s="100"/>
      <c r="BU27" s="98"/>
      <c r="BV27" s="99"/>
      <c r="BW27" s="99"/>
      <c r="BX27" s="99"/>
      <c r="BY27" s="99"/>
      <c r="BZ27" s="99"/>
      <c r="CA27" s="99"/>
      <c r="CB27" s="99"/>
      <c r="CC27" s="99"/>
      <c r="CD27" s="99"/>
      <c r="CE27" s="99"/>
      <c r="CF27" s="99"/>
      <c r="CG27" s="99"/>
      <c r="CH27" s="99"/>
      <c r="CI27" s="99"/>
      <c r="CJ27" s="100"/>
      <c r="CK27" s="101"/>
      <c r="CL27" s="99"/>
      <c r="CM27" s="99"/>
      <c r="CN27" s="99"/>
      <c r="CO27" s="99"/>
      <c r="CP27" s="99"/>
      <c r="CQ27" s="100"/>
      <c r="CR27" s="101"/>
      <c r="CS27" s="99"/>
      <c r="CT27" s="100"/>
      <c r="CU27" s="101"/>
      <c r="CV27" s="99"/>
      <c r="CW27" s="99"/>
      <c r="CX27" s="99"/>
      <c r="CY27" s="99"/>
    </row>
    <row r="28" spans="1:103" hidden="1" outlineLevel="1" x14ac:dyDescent="0.2">
      <c r="A28" s="424" t="s">
        <v>706</v>
      </c>
      <c r="B28" s="401" t="str">
        <f>VLOOKUP(A28,[1]ACTIONS!$A$3:$B$238,2,0)</f>
        <v>Travaux pour aménager une zone humide le long de la Woluwe au niveau de l’étang rond, Parc de la Woluwe – Travaux</v>
      </c>
      <c r="C28" s="96"/>
      <c r="D28" s="96"/>
      <c r="E28" s="96">
        <v>600000</v>
      </c>
      <c r="F28" s="96"/>
      <c r="G28" s="96"/>
      <c r="H28" s="96">
        <v>600000</v>
      </c>
      <c r="I28" s="97"/>
      <c r="J28" s="97"/>
      <c r="K28" s="98"/>
      <c r="L28" s="99"/>
      <c r="M28" s="99"/>
      <c r="N28" s="99"/>
      <c r="O28" s="99"/>
      <c r="P28" s="99"/>
      <c r="Q28" s="99"/>
      <c r="R28" s="99"/>
      <c r="S28" s="99"/>
      <c r="T28" s="99"/>
      <c r="U28" s="99"/>
      <c r="V28" s="99"/>
      <c r="W28" s="99"/>
      <c r="X28" s="99"/>
      <c r="Y28" s="99"/>
      <c r="Z28" s="100"/>
      <c r="AA28" s="101"/>
      <c r="AB28" s="99"/>
      <c r="AC28" s="99"/>
      <c r="AD28" s="99"/>
      <c r="AE28" s="99"/>
      <c r="AF28" s="99"/>
      <c r="AG28" s="100"/>
      <c r="AH28" s="101"/>
      <c r="AI28" s="99"/>
      <c r="AJ28" s="100"/>
      <c r="AK28" s="101"/>
      <c r="AL28" s="99"/>
      <c r="AM28" s="99"/>
      <c r="AN28" s="99"/>
      <c r="AO28" s="100"/>
      <c r="AP28" s="98"/>
      <c r="AQ28" s="99"/>
      <c r="AR28" s="99"/>
      <c r="AS28" s="99"/>
      <c r="AT28" s="99"/>
      <c r="AU28" s="99"/>
      <c r="AV28" s="99"/>
      <c r="AW28" s="99"/>
      <c r="AX28" s="99"/>
      <c r="AY28" s="99"/>
      <c r="AZ28" s="99"/>
      <c r="BA28" s="99"/>
      <c r="BB28" s="99"/>
      <c r="BC28" s="99"/>
      <c r="BD28" s="99"/>
      <c r="BE28" s="100"/>
      <c r="BF28" s="101"/>
      <c r="BG28" s="99"/>
      <c r="BH28" s="99"/>
      <c r="BI28" s="99"/>
      <c r="BJ28" s="99"/>
      <c r="BK28" s="99"/>
      <c r="BL28" s="100"/>
      <c r="BM28" s="101"/>
      <c r="BN28" s="99"/>
      <c r="BO28" s="100"/>
      <c r="BP28" s="101"/>
      <c r="BQ28" s="99"/>
      <c r="BR28" s="99"/>
      <c r="BS28" s="99"/>
      <c r="BT28" s="100"/>
      <c r="BU28" s="98"/>
      <c r="BV28" s="99"/>
      <c r="BW28" s="99"/>
      <c r="BX28" s="99"/>
      <c r="BY28" s="99"/>
      <c r="BZ28" s="99"/>
      <c r="CA28" s="99"/>
      <c r="CB28" s="99"/>
      <c r="CC28" s="99"/>
      <c r="CD28" s="99"/>
      <c r="CE28" s="99"/>
      <c r="CF28" s="99"/>
      <c r="CG28" s="99"/>
      <c r="CH28" s="99"/>
      <c r="CI28" s="99"/>
      <c r="CJ28" s="100"/>
      <c r="CK28" s="101"/>
      <c r="CL28" s="99"/>
      <c r="CM28" s="99"/>
      <c r="CN28" s="99"/>
      <c r="CO28" s="99"/>
      <c r="CP28" s="99"/>
      <c r="CQ28" s="100"/>
      <c r="CR28" s="101"/>
      <c r="CS28" s="99"/>
      <c r="CT28" s="100"/>
      <c r="CU28" s="101"/>
      <c r="CV28" s="99"/>
      <c r="CW28" s="99"/>
      <c r="CX28" s="99"/>
      <c r="CY28" s="99"/>
    </row>
    <row r="29" spans="1:103" ht="25.5" hidden="1" outlineLevel="1" x14ac:dyDescent="0.2">
      <c r="A29" s="424" t="s">
        <v>707</v>
      </c>
      <c r="B29" s="401" t="str">
        <f>VLOOKUP(A29,[1]ACTIONS!$A$3:$B$238,2,0)</f>
        <v xml:space="preserve">Réaliser une étude pour l’aménagement de berges naturelles sur la Woluwe entre l’Avenue Debecker et l’Avenue Vandervelde </v>
      </c>
      <c r="C29" s="96"/>
      <c r="D29" s="96"/>
      <c r="E29" s="96">
        <v>0</v>
      </c>
      <c r="F29" s="96"/>
      <c r="G29" s="96"/>
      <c r="H29" s="96">
        <v>0</v>
      </c>
      <c r="I29" s="97"/>
      <c r="J29" s="97"/>
      <c r="K29" s="98"/>
      <c r="L29" s="99"/>
      <c r="M29" s="99"/>
      <c r="N29" s="99"/>
      <c r="O29" s="99"/>
      <c r="P29" s="99"/>
      <c r="Q29" s="99"/>
      <c r="R29" s="99"/>
      <c r="S29" s="99"/>
      <c r="T29" s="99"/>
      <c r="U29" s="99"/>
      <c r="V29" s="99"/>
      <c r="W29" s="99"/>
      <c r="X29" s="99"/>
      <c r="Y29" s="99"/>
      <c r="Z29" s="100"/>
      <c r="AA29" s="101"/>
      <c r="AB29" s="99"/>
      <c r="AC29" s="99"/>
      <c r="AD29" s="99"/>
      <c r="AE29" s="99"/>
      <c r="AF29" s="99"/>
      <c r="AG29" s="100"/>
      <c r="AH29" s="101"/>
      <c r="AI29" s="99"/>
      <c r="AJ29" s="100"/>
      <c r="AK29" s="101"/>
      <c r="AL29" s="99"/>
      <c r="AM29" s="99"/>
      <c r="AN29" s="99"/>
      <c r="AO29" s="100"/>
      <c r="AP29" s="98"/>
      <c r="AQ29" s="99"/>
      <c r="AR29" s="99"/>
      <c r="AS29" s="99"/>
      <c r="AT29" s="99"/>
      <c r="AU29" s="99"/>
      <c r="AV29" s="99"/>
      <c r="AW29" s="99"/>
      <c r="AX29" s="99"/>
      <c r="AY29" s="99"/>
      <c r="AZ29" s="99"/>
      <c r="BA29" s="99"/>
      <c r="BB29" s="99"/>
      <c r="BC29" s="99"/>
      <c r="BD29" s="99"/>
      <c r="BE29" s="100"/>
      <c r="BF29" s="101"/>
      <c r="BG29" s="99"/>
      <c r="BH29" s="99"/>
      <c r="BI29" s="99"/>
      <c r="BJ29" s="99"/>
      <c r="BK29" s="99"/>
      <c r="BL29" s="100"/>
      <c r="BM29" s="101"/>
      <c r="BN29" s="99"/>
      <c r="BO29" s="100"/>
      <c r="BP29" s="101"/>
      <c r="BQ29" s="99"/>
      <c r="BR29" s="99"/>
      <c r="BS29" s="99"/>
      <c r="BT29" s="100"/>
      <c r="BU29" s="98"/>
      <c r="BV29" s="99"/>
      <c r="BW29" s="99"/>
      <c r="BX29" s="99"/>
      <c r="BY29" s="99"/>
      <c r="BZ29" s="99"/>
      <c r="CA29" s="99"/>
      <c r="CB29" s="99"/>
      <c r="CC29" s="99"/>
      <c r="CD29" s="99"/>
      <c r="CE29" s="99"/>
      <c r="CF29" s="99"/>
      <c r="CG29" s="99"/>
      <c r="CH29" s="99"/>
      <c r="CI29" s="99"/>
      <c r="CJ29" s="100"/>
      <c r="CK29" s="101"/>
      <c r="CL29" s="99"/>
      <c r="CM29" s="99"/>
      <c r="CN29" s="99"/>
      <c r="CO29" s="99"/>
      <c r="CP29" s="99"/>
      <c r="CQ29" s="100"/>
      <c r="CR29" s="101"/>
      <c r="CS29" s="99"/>
      <c r="CT29" s="100"/>
      <c r="CU29" s="101"/>
      <c r="CV29" s="99"/>
      <c r="CW29" s="99"/>
      <c r="CX29" s="99"/>
      <c r="CY29" s="99"/>
    </row>
    <row r="30" spans="1:103" hidden="1" outlineLevel="1" x14ac:dyDescent="0.2">
      <c r="A30" s="424" t="s">
        <v>708</v>
      </c>
      <c r="B30" s="401" t="str">
        <f>VLOOKUP(A30,[1]ACTIONS!$A$3:$B$238,2,0)</f>
        <v>Aménager des berges naturelles sur la Woluwe entre l’Avenue Debecker et l’Avenue Vandervelde</v>
      </c>
      <c r="C30" s="96"/>
      <c r="D30" s="96"/>
      <c r="E30" s="96">
        <v>0</v>
      </c>
      <c r="F30" s="96"/>
      <c r="G30" s="96"/>
      <c r="H30" s="96">
        <v>0</v>
      </c>
      <c r="I30" s="97"/>
      <c r="J30" s="97"/>
      <c r="K30" s="98"/>
      <c r="L30" s="99"/>
      <c r="M30" s="99"/>
      <c r="N30" s="99"/>
      <c r="O30" s="99"/>
      <c r="P30" s="99"/>
      <c r="Q30" s="99"/>
      <c r="R30" s="99"/>
      <c r="S30" s="99"/>
      <c r="T30" s="99"/>
      <c r="U30" s="99"/>
      <c r="V30" s="99"/>
      <c r="W30" s="99"/>
      <c r="X30" s="99"/>
      <c r="Y30" s="99"/>
      <c r="Z30" s="100"/>
      <c r="AA30" s="101"/>
      <c r="AB30" s="99"/>
      <c r="AC30" s="99"/>
      <c r="AD30" s="99"/>
      <c r="AE30" s="99"/>
      <c r="AF30" s="99"/>
      <c r="AG30" s="100"/>
      <c r="AH30" s="101"/>
      <c r="AI30" s="99"/>
      <c r="AJ30" s="100"/>
      <c r="AK30" s="101"/>
      <c r="AL30" s="99"/>
      <c r="AM30" s="99"/>
      <c r="AN30" s="99"/>
      <c r="AO30" s="100"/>
      <c r="AP30" s="98"/>
      <c r="AQ30" s="99"/>
      <c r="AR30" s="99"/>
      <c r="AS30" s="99"/>
      <c r="AT30" s="99"/>
      <c r="AU30" s="99"/>
      <c r="AV30" s="99"/>
      <c r="AW30" s="99"/>
      <c r="AX30" s="99"/>
      <c r="AY30" s="99"/>
      <c r="AZ30" s="99"/>
      <c r="BA30" s="99"/>
      <c r="BB30" s="99"/>
      <c r="BC30" s="99"/>
      <c r="BD30" s="99"/>
      <c r="BE30" s="100"/>
      <c r="BF30" s="101"/>
      <c r="BG30" s="99"/>
      <c r="BH30" s="99"/>
      <c r="BI30" s="99"/>
      <c r="BJ30" s="99"/>
      <c r="BK30" s="99"/>
      <c r="BL30" s="100"/>
      <c r="BM30" s="101"/>
      <c r="BN30" s="99"/>
      <c r="BO30" s="100"/>
      <c r="BP30" s="101"/>
      <c r="BQ30" s="99"/>
      <c r="BR30" s="99"/>
      <c r="BS30" s="99"/>
      <c r="BT30" s="100"/>
      <c r="BU30" s="98"/>
      <c r="BV30" s="99"/>
      <c r="BW30" s="99"/>
      <c r="BX30" s="99"/>
      <c r="BY30" s="99"/>
      <c r="BZ30" s="99"/>
      <c r="CA30" s="99"/>
      <c r="CB30" s="99"/>
      <c r="CC30" s="99"/>
      <c r="CD30" s="99"/>
      <c r="CE30" s="99"/>
      <c r="CF30" s="99"/>
      <c r="CG30" s="99"/>
      <c r="CH30" s="99"/>
      <c r="CI30" s="99"/>
      <c r="CJ30" s="100"/>
      <c r="CK30" s="101"/>
      <c r="CL30" s="99"/>
      <c r="CM30" s="99"/>
      <c r="CN30" s="99"/>
      <c r="CO30" s="99"/>
      <c r="CP30" s="99"/>
      <c r="CQ30" s="100"/>
      <c r="CR30" s="102" t="s">
        <v>1575</v>
      </c>
      <c r="CS30" s="103" t="s">
        <v>1575</v>
      </c>
      <c r="CT30" s="104" t="s">
        <v>1575</v>
      </c>
      <c r="CU30" s="101"/>
      <c r="CV30" s="99"/>
      <c r="CW30" s="99"/>
      <c r="CX30" s="99"/>
      <c r="CY30" s="99"/>
    </row>
    <row r="31" spans="1:103" ht="25.5" hidden="1" outlineLevel="1" x14ac:dyDescent="0.2">
      <c r="A31" s="424" t="s">
        <v>709</v>
      </c>
      <c r="B31" s="401" t="str">
        <f>VLOOKUP(A31,[1]ACTIONS!$A$3:$B$238,2,0)</f>
        <v>Analyser les perspectives d’adoucissement de la pente des berges et d’augmentation de la sinuosité de la Woluwe entre le tronçon Vandervelde et l’Avenue Chapelle-aux-Champs</v>
      </c>
      <c r="C31" s="96"/>
      <c r="D31" s="96"/>
      <c r="E31" s="96">
        <v>0</v>
      </c>
      <c r="F31" s="96"/>
      <c r="G31" s="96"/>
      <c r="H31" s="96">
        <v>0</v>
      </c>
      <c r="I31" s="97"/>
      <c r="J31" s="97"/>
      <c r="K31" s="98"/>
      <c r="L31" s="99"/>
      <c r="M31" s="99"/>
      <c r="N31" s="99"/>
      <c r="O31" s="99"/>
      <c r="P31" s="99"/>
      <c r="Q31" s="99"/>
      <c r="R31" s="99"/>
      <c r="S31" s="99"/>
      <c r="T31" s="99"/>
      <c r="U31" s="99"/>
      <c r="V31" s="99"/>
      <c r="W31" s="99"/>
      <c r="X31" s="99"/>
      <c r="Y31" s="99"/>
      <c r="Z31" s="100"/>
      <c r="AA31" s="101"/>
      <c r="AB31" s="99"/>
      <c r="AC31" s="99"/>
      <c r="AD31" s="99"/>
      <c r="AE31" s="99"/>
      <c r="AF31" s="99"/>
      <c r="AG31" s="100"/>
      <c r="AH31" s="101"/>
      <c r="AI31" s="99"/>
      <c r="AJ31" s="100"/>
      <c r="AK31" s="101"/>
      <c r="AL31" s="99"/>
      <c r="AM31" s="99"/>
      <c r="AN31" s="99"/>
      <c r="AO31" s="100"/>
      <c r="AP31" s="98"/>
      <c r="AQ31" s="99"/>
      <c r="AR31" s="99"/>
      <c r="AS31" s="99"/>
      <c r="AT31" s="99"/>
      <c r="AU31" s="99"/>
      <c r="AV31" s="99"/>
      <c r="AW31" s="99"/>
      <c r="AX31" s="99"/>
      <c r="AY31" s="99"/>
      <c r="AZ31" s="99"/>
      <c r="BA31" s="99"/>
      <c r="BB31" s="99"/>
      <c r="BC31" s="99"/>
      <c r="BD31" s="99"/>
      <c r="BE31" s="100"/>
      <c r="BF31" s="101"/>
      <c r="BG31" s="99"/>
      <c r="BH31" s="99"/>
      <c r="BI31" s="99"/>
      <c r="BJ31" s="99"/>
      <c r="BK31" s="99"/>
      <c r="BL31" s="100"/>
      <c r="BM31" s="101"/>
      <c r="BN31" s="99"/>
      <c r="BO31" s="100"/>
      <c r="BP31" s="101"/>
      <c r="BQ31" s="99"/>
      <c r="BR31" s="99"/>
      <c r="BS31" s="99"/>
      <c r="BT31" s="100"/>
      <c r="BU31" s="98"/>
      <c r="BV31" s="99"/>
      <c r="BW31" s="99"/>
      <c r="BX31" s="99"/>
      <c r="BY31" s="99"/>
      <c r="BZ31" s="99"/>
      <c r="CA31" s="99"/>
      <c r="CB31" s="99"/>
      <c r="CC31" s="99"/>
      <c r="CD31" s="99"/>
      <c r="CE31" s="99"/>
      <c r="CF31" s="99"/>
      <c r="CG31" s="99"/>
      <c r="CH31" s="99"/>
      <c r="CI31" s="99"/>
      <c r="CJ31" s="100"/>
      <c r="CK31" s="101"/>
      <c r="CL31" s="99"/>
      <c r="CM31" s="99"/>
      <c r="CN31" s="99"/>
      <c r="CO31" s="99"/>
      <c r="CP31" s="99"/>
      <c r="CQ31" s="100"/>
      <c r="CR31" s="105"/>
      <c r="CS31" s="106"/>
      <c r="CT31" s="107"/>
      <c r="CU31" s="101"/>
      <c r="CV31" s="99"/>
      <c r="CW31" s="99"/>
      <c r="CX31" s="99"/>
      <c r="CY31" s="99"/>
    </row>
    <row r="32" spans="1:103" ht="25.5" hidden="1" outlineLevel="1" x14ac:dyDescent="0.2">
      <c r="A32" s="424" t="s">
        <v>710</v>
      </c>
      <c r="B32" s="401" t="str">
        <f>VLOOKUP(A32,[1]ACTIONS!$A$3:$B$238,2,0)</f>
        <v xml:space="preserve">Analyser les perspectives d’adoucissement de la pente des berges et d’augmentation de la sinuosité de la Woluwe au niveau du domaine de Val Duchesse </v>
      </c>
      <c r="C32" s="96"/>
      <c r="D32" s="96"/>
      <c r="E32" s="96">
        <v>0</v>
      </c>
      <c r="F32" s="96"/>
      <c r="G32" s="96"/>
      <c r="H32" s="96">
        <v>0</v>
      </c>
      <c r="I32" s="97"/>
      <c r="J32" s="97"/>
      <c r="K32" s="98"/>
      <c r="L32" s="99"/>
      <c r="M32" s="99"/>
      <c r="N32" s="99"/>
      <c r="O32" s="99"/>
      <c r="P32" s="99"/>
      <c r="Q32" s="99"/>
      <c r="R32" s="99"/>
      <c r="S32" s="99"/>
      <c r="T32" s="99"/>
      <c r="U32" s="99"/>
      <c r="V32" s="99"/>
      <c r="W32" s="99"/>
      <c r="X32" s="99"/>
      <c r="Y32" s="99"/>
      <c r="Z32" s="100"/>
      <c r="AA32" s="101"/>
      <c r="AB32" s="99"/>
      <c r="AC32" s="99"/>
      <c r="AD32" s="99"/>
      <c r="AE32" s="99"/>
      <c r="AF32" s="99"/>
      <c r="AG32" s="100"/>
      <c r="AH32" s="101"/>
      <c r="AI32" s="99"/>
      <c r="AJ32" s="100"/>
      <c r="AK32" s="101"/>
      <c r="AL32" s="99"/>
      <c r="AM32" s="99"/>
      <c r="AN32" s="99"/>
      <c r="AO32" s="100"/>
      <c r="AP32" s="98"/>
      <c r="AQ32" s="99"/>
      <c r="AR32" s="99"/>
      <c r="AS32" s="99"/>
      <c r="AT32" s="99"/>
      <c r="AU32" s="99"/>
      <c r="AV32" s="99"/>
      <c r="AW32" s="99"/>
      <c r="AX32" s="99"/>
      <c r="AY32" s="99"/>
      <c r="AZ32" s="99"/>
      <c r="BA32" s="99"/>
      <c r="BB32" s="99"/>
      <c r="BC32" s="99"/>
      <c r="BD32" s="99"/>
      <c r="BE32" s="100"/>
      <c r="BF32" s="101"/>
      <c r="BG32" s="99"/>
      <c r="BH32" s="99"/>
      <c r="BI32" s="99"/>
      <c r="BJ32" s="99"/>
      <c r="BK32" s="99"/>
      <c r="BL32" s="100"/>
      <c r="BM32" s="101"/>
      <c r="BN32" s="99"/>
      <c r="BO32" s="100"/>
      <c r="BP32" s="101"/>
      <c r="BQ32" s="99"/>
      <c r="BR32" s="99"/>
      <c r="BS32" s="99"/>
      <c r="BT32" s="100"/>
      <c r="BU32" s="98"/>
      <c r="BV32" s="99"/>
      <c r="BW32" s="99"/>
      <c r="BX32" s="99"/>
      <c r="BY32" s="99"/>
      <c r="BZ32" s="99"/>
      <c r="CA32" s="99"/>
      <c r="CB32" s="99"/>
      <c r="CC32" s="99"/>
      <c r="CD32" s="99"/>
      <c r="CE32" s="99"/>
      <c r="CF32" s="99"/>
      <c r="CG32" s="99"/>
      <c r="CH32" s="99"/>
      <c r="CI32" s="99"/>
      <c r="CJ32" s="100"/>
      <c r="CK32" s="101"/>
      <c r="CL32" s="99"/>
      <c r="CM32" s="99"/>
      <c r="CN32" s="99"/>
      <c r="CO32" s="99"/>
      <c r="CP32" s="99"/>
      <c r="CQ32" s="100"/>
      <c r="CR32" s="105"/>
      <c r="CS32" s="106"/>
      <c r="CT32" s="107"/>
      <c r="CU32" s="101"/>
      <c r="CV32" s="99"/>
      <c r="CW32" s="99"/>
      <c r="CX32" s="99"/>
      <c r="CY32" s="99"/>
    </row>
    <row r="33" spans="1:103" hidden="1" outlineLevel="1" x14ac:dyDescent="0.2">
      <c r="A33" s="424" t="s">
        <v>711</v>
      </c>
      <c r="B33" s="401" t="str">
        <f>VLOOKUP(A33,[1]ACTIONS!$A$3:$B$238,2,0)</f>
        <v>Aménager la berge et une annexe hydraulique abritée (frayère) à hauteur d’Aquiris (action C12_2 Belini) – Travaux (*)</v>
      </c>
      <c r="C33" s="96"/>
      <c r="D33" s="96">
        <v>1500000</v>
      </c>
      <c r="E33" s="96"/>
      <c r="F33" s="96"/>
      <c r="G33" s="96"/>
      <c r="H33" s="96">
        <v>1500000</v>
      </c>
      <c r="I33" s="97"/>
      <c r="J33" s="97"/>
      <c r="K33" s="98"/>
      <c r="L33" s="99"/>
      <c r="M33" s="99"/>
      <c r="N33" s="99"/>
      <c r="O33" s="99"/>
      <c r="P33" s="99"/>
      <c r="Q33" s="99"/>
      <c r="R33" s="99"/>
      <c r="S33" s="99"/>
      <c r="T33" s="99"/>
      <c r="U33" s="99"/>
      <c r="V33" s="99"/>
      <c r="W33" s="99"/>
      <c r="X33" s="99"/>
      <c r="Y33" s="99"/>
      <c r="Z33" s="100"/>
      <c r="AA33" s="101"/>
      <c r="AB33" s="99"/>
      <c r="AC33" s="99"/>
      <c r="AD33" s="99"/>
      <c r="AE33" s="99"/>
      <c r="AF33" s="99"/>
      <c r="AG33" s="100"/>
      <c r="AH33" s="101" t="s">
        <v>1575</v>
      </c>
      <c r="AI33" s="99" t="s">
        <v>1575</v>
      </c>
      <c r="AJ33" s="100" t="s">
        <v>1575</v>
      </c>
      <c r="AK33" s="101"/>
      <c r="AL33" s="99"/>
      <c r="AM33" s="99"/>
      <c r="AN33" s="99"/>
      <c r="AO33" s="100"/>
      <c r="AP33" s="98"/>
      <c r="AQ33" s="99"/>
      <c r="AR33" s="99"/>
      <c r="AS33" s="99"/>
      <c r="AT33" s="99"/>
      <c r="AU33" s="99"/>
      <c r="AV33" s="99"/>
      <c r="AW33" s="99"/>
      <c r="AX33" s="99"/>
      <c r="AY33" s="99"/>
      <c r="AZ33" s="99"/>
      <c r="BA33" s="99"/>
      <c r="BB33" s="99"/>
      <c r="BC33" s="99"/>
      <c r="BD33" s="99"/>
      <c r="BE33" s="100"/>
      <c r="BF33" s="101"/>
      <c r="BG33" s="99"/>
      <c r="BH33" s="99"/>
      <c r="BI33" s="99"/>
      <c r="BJ33" s="99"/>
      <c r="BK33" s="99"/>
      <c r="BL33" s="100"/>
      <c r="BM33" s="101"/>
      <c r="BN33" s="99"/>
      <c r="BO33" s="100"/>
      <c r="BP33" s="101"/>
      <c r="BQ33" s="99"/>
      <c r="BR33" s="99"/>
      <c r="BS33" s="99"/>
      <c r="BT33" s="100"/>
      <c r="BU33" s="98"/>
      <c r="BV33" s="99"/>
      <c r="BW33" s="99"/>
      <c r="BX33" s="99"/>
      <c r="BY33" s="99"/>
      <c r="BZ33" s="99"/>
      <c r="CA33" s="99"/>
      <c r="CB33" s="99"/>
      <c r="CC33" s="99"/>
      <c r="CD33" s="99"/>
      <c r="CE33" s="99"/>
      <c r="CF33" s="99"/>
      <c r="CG33" s="99"/>
      <c r="CH33" s="99"/>
      <c r="CI33" s="99"/>
      <c r="CJ33" s="100"/>
      <c r="CK33" s="101"/>
      <c r="CL33" s="99"/>
      <c r="CM33" s="99"/>
      <c r="CN33" s="99"/>
      <c r="CO33" s="99"/>
      <c r="CP33" s="99"/>
      <c r="CQ33" s="100"/>
      <c r="CR33" s="101"/>
      <c r="CS33" s="99"/>
      <c r="CT33" s="100"/>
      <c r="CU33" s="101"/>
      <c r="CV33" s="99"/>
      <c r="CW33" s="99"/>
      <c r="CX33" s="99"/>
      <c r="CY33" s="99"/>
    </row>
    <row r="34" spans="1:103" hidden="1" outlineLevel="1" x14ac:dyDescent="0.2">
      <c r="A34" s="424" t="s">
        <v>712</v>
      </c>
      <c r="B34" s="401" t="str">
        <f>VLOOKUP(A34,[1]ACTIONS!$A$3:$B$238,2,0)</f>
        <v>Réaliser une étude de faisabilité pour l’installation d’un dispositif-test d’île flottante/radeaux végétalisés (cf. aussi M 5.21)</v>
      </c>
      <c r="C34" s="96">
        <v>0</v>
      </c>
      <c r="D34" s="96"/>
      <c r="E34" s="96"/>
      <c r="F34" s="96"/>
      <c r="G34" s="96"/>
      <c r="H34" s="96">
        <v>0</v>
      </c>
      <c r="I34" s="97"/>
      <c r="J34" s="97"/>
      <c r="K34" s="98"/>
      <c r="L34" s="99"/>
      <c r="M34" s="99"/>
      <c r="N34" s="99"/>
      <c r="O34" s="99"/>
      <c r="P34" s="99"/>
      <c r="Q34" s="99"/>
      <c r="R34" s="99"/>
      <c r="S34" s="99"/>
      <c r="T34" s="99"/>
      <c r="U34" s="99"/>
      <c r="V34" s="99"/>
      <c r="W34" s="99"/>
      <c r="X34" s="99"/>
      <c r="Y34" s="99"/>
      <c r="Z34" s="100"/>
      <c r="AA34" s="101"/>
      <c r="AB34" s="99"/>
      <c r="AC34" s="99"/>
      <c r="AD34" s="99"/>
      <c r="AE34" s="99"/>
      <c r="AF34" s="99"/>
      <c r="AG34" s="100"/>
      <c r="AH34" s="101"/>
      <c r="AI34" s="99"/>
      <c r="AJ34" s="100"/>
      <c r="AK34" s="101"/>
      <c r="AL34" s="99"/>
      <c r="AM34" s="99"/>
      <c r="AN34" s="99"/>
      <c r="AO34" s="100"/>
      <c r="AP34" s="98"/>
      <c r="AQ34" s="99"/>
      <c r="AR34" s="99"/>
      <c r="AS34" s="99"/>
      <c r="AT34" s="99"/>
      <c r="AU34" s="99"/>
      <c r="AV34" s="99"/>
      <c r="AW34" s="99"/>
      <c r="AX34" s="99"/>
      <c r="AY34" s="99"/>
      <c r="AZ34" s="99"/>
      <c r="BA34" s="99"/>
      <c r="BB34" s="99"/>
      <c r="BC34" s="99"/>
      <c r="BD34" s="99"/>
      <c r="BE34" s="100"/>
      <c r="BF34" s="101"/>
      <c r="BG34" s="99"/>
      <c r="BH34" s="99"/>
      <c r="BI34" s="99"/>
      <c r="BJ34" s="99"/>
      <c r="BK34" s="99"/>
      <c r="BL34" s="100"/>
      <c r="BM34" s="101"/>
      <c r="BN34" s="99"/>
      <c r="BO34" s="100"/>
      <c r="BP34" s="101"/>
      <c r="BQ34" s="99"/>
      <c r="BR34" s="99"/>
      <c r="BS34" s="99"/>
      <c r="BT34" s="100"/>
      <c r="BU34" s="98"/>
      <c r="BV34" s="99"/>
      <c r="BW34" s="99"/>
      <c r="BX34" s="99"/>
      <c r="BY34" s="99"/>
      <c r="BZ34" s="99"/>
      <c r="CA34" s="99"/>
      <c r="CB34" s="99"/>
      <c r="CC34" s="99"/>
      <c r="CD34" s="99"/>
      <c r="CE34" s="99"/>
      <c r="CF34" s="99"/>
      <c r="CG34" s="99"/>
      <c r="CH34" s="99"/>
      <c r="CI34" s="99"/>
      <c r="CJ34" s="100"/>
      <c r="CK34" s="101"/>
      <c r="CL34" s="99"/>
      <c r="CM34" s="99"/>
      <c r="CN34" s="99"/>
      <c r="CO34" s="99"/>
      <c r="CP34" s="99"/>
      <c r="CQ34" s="100"/>
      <c r="CR34" s="101"/>
      <c r="CS34" s="99"/>
      <c r="CT34" s="100"/>
      <c r="CU34" s="101"/>
      <c r="CV34" s="99"/>
      <c r="CW34" s="99"/>
      <c r="CX34" s="99"/>
      <c r="CY34" s="99"/>
    </row>
    <row r="35" spans="1:103" hidden="1" outlineLevel="1" x14ac:dyDescent="0.2">
      <c r="A35" s="424" t="s">
        <v>713</v>
      </c>
      <c r="B35" s="401" t="str">
        <f>VLOOKUP(A35,[1]ACTIONS!$A$3:$B$238,2,0)</f>
        <v>Installer un dispositif-test d’île flottante (en cours à hauteur du BRYC)</v>
      </c>
      <c r="C35" s="96">
        <v>200000</v>
      </c>
      <c r="D35" s="96"/>
      <c r="E35" s="96"/>
      <c r="F35" s="96"/>
      <c r="G35" s="96"/>
      <c r="H35" s="96">
        <v>200000</v>
      </c>
      <c r="I35" s="97"/>
      <c r="J35" s="97"/>
      <c r="K35" s="98"/>
      <c r="L35" s="99"/>
      <c r="M35" s="99"/>
      <c r="N35" s="99"/>
      <c r="O35" s="99"/>
      <c r="P35" s="99"/>
      <c r="Q35" s="99"/>
      <c r="R35" s="99"/>
      <c r="S35" s="99"/>
      <c r="T35" s="99"/>
      <c r="U35" s="99"/>
      <c r="V35" s="99"/>
      <c r="W35" s="99"/>
      <c r="X35" s="99"/>
      <c r="Y35" s="99"/>
      <c r="Z35" s="100"/>
      <c r="AA35" s="101"/>
      <c r="AB35" s="99"/>
      <c r="AC35" s="99"/>
      <c r="AD35" s="99"/>
      <c r="AE35" s="99"/>
      <c r="AF35" s="99"/>
      <c r="AG35" s="100"/>
      <c r="AH35" s="101"/>
      <c r="AI35" s="99"/>
      <c r="AJ35" s="100"/>
      <c r="AK35" s="101"/>
      <c r="AL35" s="99"/>
      <c r="AM35" s="99"/>
      <c r="AN35" s="99"/>
      <c r="AO35" s="100"/>
      <c r="AP35" s="98"/>
      <c r="AQ35" s="99"/>
      <c r="AR35" s="99"/>
      <c r="AS35" s="99"/>
      <c r="AT35" s="99"/>
      <c r="AU35" s="99"/>
      <c r="AV35" s="99"/>
      <c r="AW35" s="99"/>
      <c r="AX35" s="99"/>
      <c r="AY35" s="99"/>
      <c r="AZ35" s="99"/>
      <c r="BA35" s="99"/>
      <c r="BB35" s="99"/>
      <c r="BC35" s="99"/>
      <c r="BD35" s="99"/>
      <c r="BE35" s="100"/>
      <c r="BF35" s="101"/>
      <c r="BG35" s="99"/>
      <c r="BH35" s="99"/>
      <c r="BI35" s="99"/>
      <c r="BJ35" s="99"/>
      <c r="BK35" s="99"/>
      <c r="BL35" s="100"/>
      <c r="BM35" s="101" t="s">
        <v>1590</v>
      </c>
      <c r="BN35" s="99" t="s">
        <v>1590</v>
      </c>
      <c r="BO35" s="100" t="s">
        <v>1590</v>
      </c>
      <c r="BP35" s="101"/>
      <c r="BQ35" s="99"/>
      <c r="BR35" s="99"/>
      <c r="BS35" s="99"/>
      <c r="BT35" s="100"/>
      <c r="BU35" s="98"/>
      <c r="BV35" s="99"/>
      <c r="BW35" s="99"/>
      <c r="BX35" s="99"/>
      <c r="BY35" s="99"/>
      <c r="BZ35" s="99"/>
      <c r="CA35" s="99"/>
      <c r="CB35" s="99"/>
      <c r="CC35" s="99"/>
      <c r="CD35" s="99"/>
      <c r="CE35" s="99"/>
      <c r="CF35" s="99"/>
      <c r="CG35" s="99"/>
      <c r="CH35" s="99"/>
      <c r="CI35" s="99"/>
      <c r="CJ35" s="100"/>
      <c r="CK35" s="101"/>
      <c r="CL35" s="99"/>
      <c r="CM35" s="99"/>
      <c r="CN35" s="99"/>
      <c r="CO35" s="99"/>
      <c r="CP35" s="99"/>
      <c r="CQ35" s="100"/>
      <c r="CR35" s="101"/>
      <c r="CS35" s="99"/>
      <c r="CT35" s="100"/>
      <c r="CU35" s="101"/>
      <c r="CV35" s="99"/>
      <c r="CW35" s="99"/>
      <c r="CX35" s="99"/>
      <c r="CY35" s="99"/>
    </row>
    <row r="36" spans="1:103" ht="25.5" hidden="1" outlineLevel="1" x14ac:dyDescent="0.2">
      <c r="A36" s="424" t="s">
        <v>714</v>
      </c>
      <c r="B36" s="401" t="str">
        <f>VLOOKUP(A36,[1]ACTIONS!$A$3:$B$238,2,0)</f>
        <v>Réaliser une étude de faisabilité pour l’aménagement d’une berge naturelle avec zone de lagunage et éventuelle annexe hydraulique en rive gauche du bassin de batelage</v>
      </c>
      <c r="C36" s="96">
        <v>30000</v>
      </c>
      <c r="D36" s="96"/>
      <c r="E36" s="96"/>
      <c r="F36" s="96"/>
      <c r="G36" s="96"/>
      <c r="H36" s="96">
        <v>30000</v>
      </c>
      <c r="I36" s="97"/>
      <c r="J36" s="97"/>
      <c r="K36" s="98"/>
      <c r="L36" s="99"/>
      <c r="M36" s="99"/>
      <c r="N36" s="99"/>
      <c r="O36" s="99"/>
      <c r="P36" s="99"/>
      <c r="Q36" s="99"/>
      <c r="R36" s="99"/>
      <c r="S36" s="99"/>
      <c r="T36" s="99"/>
      <c r="U36" s="99"/>
      <c r="V36" s="99"/>
      <c r="W36" s="99"/>
      <c r="X36" s="99"/>
      <c r="Y36" s="99"/>
      <c r="Z36" s="100"/>
      <c r="AA36" s="101"/>
      <c r="AB36" s="99"/>
      <c r="AC36" s="99"/>
      <c r="AD36" s="99"/>
      <c r="AE36" s="99"/>
      <c r="AF36" s="99"/>
      <c r="AG36" s="100"/>
      <c r="AH36" s="101"/>
      <c r="AI36" s="99"/>
      <c r="AJ36" s="100"/>
      <c r="AK36" s="101"/>
      <c r="AL36" s="99"/>
      <c r="AM36" s="99"/>
      <c r="AN36" s="99"/>
      <c r="AO36" s="100"/>
      <c r="AP36" s="98"/>
      <c r="AQ36" s="99"/>
      <c r="AR36" s="99"/>
      <c r="AS36" s="99"/>
      <c r="AT36" s="99"/>
      <c r="AU36" s="99"/>
      <c r="AV36" s="99"/>
      <c r="AW36" s="99"/>
      <c r="AX36" s="99"/>
      <c r="AY36" s="99"/>
      <c r="AZ36" s="99"/>
      <c r="BA36" s="99"/>
      <c r="BB36" s="99"/>
      <c r="BC36" s="99"/>
      <c r="BD36" s="99"/>
      <c r="BE36" s="100"/>
      <c r="BF36" s="101"/>
      <c r="BG36" s="99"/>
      <c r="BH36" s="99"/>
      <c r="BI36" s="99"/>
      <c r="BJ36" s="99"/>
      <c r="BK36" s="99"/>
      <c r="BL36" s="100"/>
      <c r="BM36" s="101"/>
      <c r="BN36" s="99"/>
      <c r="BO36" s="100"/>
      <c r="BP36" s="101"/>
      <c r="BQ36" s="99"/>
      <c r="BR36" s="99"/>
      <c r="BS36" s="99"/>
      <c r="BT36" s="100"/>
      <c r="BU36" s="98"/>
      <c r="BV36" s="99"/>
      <c r="BW36" s="99"/>
      <c r="BX36" s="99"/>
      <c r="BY36" s="99"/>
      <c r="BZ36" s="99"/>
      <c r="CA36" s="99"/>
      <c r="CB36" s="99"/>
      <c r="CC36" s="99"/>
      <c r="CD36" s="99"/>
      <c r="CE36" s="99"/>
      <c r="CF36" s="99"/>
      <c r="CG36" s="99"/>
      <c r="CH36" s="99"/>
      <c r="CI36" s="99"/>
      <c r="CJ36" s="100"/>
      <c r="CK36" s="101"/>
      <c r="CL36" s="99"/>
      <c r="CM36" s="99"/>
      <c r="CN36" s="99"/>
      <c r="CO36" s="99"/>
      <c r="CP36" s="99"/>
      <c r="CQ36" s="100"/>
      <c r="CR36" s="101"/>
      <c r="CS36" s="99"/>
      <c r="CT36" s="100"/>
      <c r="CU36" s="101"/>
      <c r="CV36" s="99"/>
      <c r="CW36" s="99"/>
      <c r="CX36" s="99"/>
      <c r="CY36" s="99"/>
    </row>
    <row r="37" spans="1:103" ht="25.5" hidden="1" outlineLevel="1" x14ac:dyDescent="0.2">
      <c r="A37" s="424" t="s">
        <v>715</v>
      </c>
      <c r="B37" s="401" t="str">
        <f>VLOOKUP(A37,[1]ACTIONS!$A$3:$B$238,2,0)</f>
        <v>Evaluer le résultat et l’expérience acquise avec le dispositif-test d’île flottante pour orienter l’extension de ce type d’aménagements à d’autres zones</v>
      </c>
      <c r="C37" s="96">
        <v>0</v>
      </c>
      <c r="D37" s="96"/>
      <c r="E37" s="96"/>
      <c r="F37" s="96"/>
      <c r="G37" s="96"/>
      <c r="H37" s="96">
        <v>0</v>
      </c>
      <c r="I37" s="97"/>
      <c r="J37" s="97"/>
      <c r="K37" s="98"/>
      <c r="L37" s="99"/>
      <c r="M37" s="99"/>
      <c r="N37" s="99"/>
      <c r="O37" s="99"/>
      <c r="P37" s="99"/>
      <c r="Q37" s="99"/>
      <c r="R37" s="99"/>
      <c r="S37" s="99"/>
      <c r="T37" s="99"/>
      <c r="U37" s="99"/>
      <c r="V37" s="99"/>
      <c r="W37" s="99"/>
      <c r="X37" s="99"/>
      <c r="Y37" s="99"/>
      <c r="Z37" s="100"/>
      <c r="AA37" s="101"/>
      <c r="AB37" s="99"/>
      <c r="AC37" s="99"/>
      <c r="AD37" s="99"/>
      <c r="AE37" s="99"/>
      <c r="AF37" s="99"/>
      <c r="AG37" s="100"/>
      <c r="AH37" s="101"/>
      <c r="AI37" s="99"/>
      <c r="AJ37" s="100"/>
      <c r="AK37" s="101"/>
      <c r="AL37" s="99"/>
      <c r="AM37" s="99"/>
      <c r="AN37" s="99"/>
      <c r="AO37" s="100"/>
      <c r="AP37" s="98"/>
      <c r="AQ37" s="99"/>
      <c r="AR37" s="99"/>
      <c r="AS37" s="99"/>
      <c r="AT37" s="99"/>
      <c r="AU37" s="99"/>
      <c r="AV37" s="99"/>
      <c r="AW37" s="99"/>
      <c r="AX37" s="99"/>
      <c r="AY37" s="99"/>
      <c r="AZ37" s="99"/>
      <c r="BA37" s="99"/>
      <c r="BB37" s="99"/>
      <c r="BC37" s="99"/>
      <c r="BD37" s="99"/>
      <c r="BE37" s="100"/>
      <c r="BF37" s="101"/>
      <c r="BG37" s="99"/>
      <c r="BH37" s="99"/>
      <c r="BI37" s="99"/>
      <c r="BJ37" s="99"/>
      <c r="BK37" s="99"/>
      <c r="BL37" s="100"/>
      <c r="BM37" s="101"/>
      <c r="BN37" s="99"/>
      <c r="BO37" s="100"/>
      <c r="BP37" s="101"/>
      <c r="BQ37" s="99"/>
      <c r="BR37" s="99"/>
      <c r="BS37" s="99"/>
      <c r="BT37" s="100"/>
      <c r="BU37" s="98"/>
      <c r="BV37" s="99"/>
      <c r="BW37" s="99"/>
      <c r="BX37" s="99"/>
      <c r="BY37" s="99"/>
      <c r="BZ37" s="99"/>
      <c r="CA37" s="99"/>
      <c r="CB37" s="99"/>
      <c r="CC37" s="99"/>
      <c r="CD37" s="99"/>
      <c r="CE37" s="99"/>
      <c r="CF37" s="99"/>
      <c r="CG37" s="99"/>
      <c r="CH37" s="99"/>
      <c r="CI37" s="99"/>
      <c r="CJ37" s="100"/>
      <c r="CK37" s="101"/>
      <c r="CL37" s="99"/>
      <c r="CM37" s="99"/>
      <c r="CN37" s="99"/>
      <c r="CO37" s="99"/>
      <c r="CP37" s="99"/>
      <c r="CQ37" s="100"/>
      <c r="CR37" s="101"/>
      <c r="CS37" s="99"/>
      <c r="CT37" s="100"/>
      <c r="CU37" s="101"/>
      <c r="CV37" s="99"/>
      <c r="CW37" s="99"/>
      <c r="CX37" s="99"/>
      <c r="CY37" s="99"/>
    </row>
    <row r="38" spans="1:103" ht="25.5" hidden="1" outlineLevel="1" x14ac:dyDescent="0.2">
      <c r="A38" s="424" t="s">
        <v>716</v>
      </c>
      <c r="B38" s="401" t="str">
        <f>VLOOKUP(A38,[1]ACTIONS!$A$3:$B$238,2,0)</f>
        <v xml:space="preserve">Installer des aménagements de berges (tels que des îles flottantes) à d’autres endroits, en fonction du résultat et de l’expérience acquise avec le dispositif-test d’île flottante </v>
      </c>
      <c r="C38" s="96">
        <v>835000</v>
      </c>
      <c r="D38" s="96"/>
      <c r="E38" s="96"/>
      <c r="F38" s="96"/>
      <c r="G38" s="96"/>
      <c r="H38" s="96">
        <v>835000</v>
      </c>
      <c r="I38" s="97"/>
      <c r="J38" s="97"/>
      <c r="K38" s="98"/>
      <c r="L38" s="99"/>
      <c r="M38" s="99"/>
      <c r="N38" s="99"/>
      <c r="O38" s="99"/>
      <c r="P38" s="99"/>
      <c r="Q38" s="99"/>
      <c r="R38" s="99"/>
      <c r="S38" s="99"/>
      <c r="T38" s="99"/>
      <c r="U38" s="99"/>
      <c r="V38" s="99"/>
      <c r="W38" s="99"/>
      <c r="X38" s="99"/>
      <c r="Y38" s="99"/>
      <c r="Z38" s="100"/>
      <c r="AA38" s="101"/>
      <c r="AB38" s="99"/>
      <c r="AC38" s="99"/>
      <c r="AD38" s="99"/>
      <c r="AE38" s="99"/>
      <c r="AF38" s="99"/>
      <c r="AG38" s="100"/>
      <c r="AH38" s="101"/>
      <c r="AI38" s="99"/>
      <c r="AJ38" s="100"/>
      <c r="AK38" s="101"/>
      <c r="AL38" s="99"/>
      <c r="AM38" s="99"/>
      <c r="AN38" s="99"/>
      <c r="AO38" s="100"/>
      <c r="AP38" s="98"/>
      <c r="AQ38" s="99"/>
      <c r="AR38" s="99"/>
      <c r="AS38" s="99"/>
      <c r="AT38" s="99"/>
      <c r="AU38" s="99"/>
      <c r="AV38" s="99"/>
      <c r="AW38" s="99"/>
      <c r="AX38" s="99"/>
      <c r="AY38" s="99"/>
      <c r="AZ38" s="99"/>
      <c r="BA38" s="99"/>
      <c r="BB38" s="99"/>
      <c r="BC38" s="99"/>
      <c r="BD38" s="99"/>
      <c r="BE38" s="100"/>
      <c r="BF38" s="101"/>
      <c r="BG38" s="99"/>
      <c r="BH38" s="99"/>
      <c r="BI38" s="99"/>
      <c r="BJ38" s="99"/>
      <c r="BK38" s="99"/>
      <c r="BL38" s="100"/>
      <c r="BM38" s="101" t="s">
        <v>1575</v>
      </c>
      <c r="BN38" s="99" t="s">
        <v>1575</v>
      </c>
      <c r="BO38" s="100" t="s">
        <v>1575</v>
      </c>
      <c r="BP38" s="101"/>
      <c r="BQ38" s="99"/>
      <c r="BR38" s="99"/>
      <c r="BS38" s="99"/>
      <c r="BT38" s="100"/>
      <c r="BU38" s="98"/>
      <c r="BV38" s="99"/>
      <c r="BW38" s="99"/>
      <c r="BX38" s="99"/>
      <c r="BY38" s="99"/>
      <c r="BZ38" s="99"/>
      <c r="CA38" s="99"/>
      <c r="CB38" s="99"/>
      <c r="CC38" s="99"/>
      <c r="CD38" s="99"/>
      <c r="CE38" s="99"/>
      <c r="CF38" s="99"/>
      <c r="CG38" s="99"/>
      <c r="CH38" s="99"/>
      <c r="CI38" s="99"/>
      <c r="CJ38" s="100"/>
      <c r="CK38" s="101"/>
      <c r="CL38" s="99"/>
      <c r="CM38" s="99"/>
      <c r="CN38" s="99"/>
      <c r="CO38" s="99"/>
      <c r="CP38" s="99"/>
      <c r="CQ38" s="100"/>
      <c r="CR38" s="101"/>
      <c r="CS38" s="99"/>
      <c r="CT38" s="100"/>
      <c r="CU38" s="101"/>
      <c r="CV38" s="99"/>
      <c r="CW38" s="99"/>
      <c r="CX38" s="99"/>
      <c r="CY38" s="99"/>
    </row>
    <row r="39" spans="1:103" ht="25.5" hidden="1" outlineLevel="1" x14ac:dyDescent="0.2">
      <c r="A39" s="424" t="s">
        <v>717</v>
      </c>
      <c r="B39" s="401" t="str">
        <f>VLOOKUP(A39,[1]ACTIONS!$A$3:$B$238,2,0)</f>
        <v>Aménager la berge en rive gauche du bassin de batelage en fonction des résultats de l’étude de faisabilité (actuellement envisagé : berge naturelle avec zone de lagunage protégée des remous)</v>
      </c>
      <c r="C39" s="96">
        <v>200000</v>
      </c>
      <c r="D39" s="96"/>
      <c r="E39" s="96"/>
      <c r="F39" s="96"/>
      <c r="G39" s="96"/>
      <c r="H39" s="96">
        <v>200000</v>
      </c>
      <c r="I39" s="97"/>
      <c r="J39" s="97"/>
      <c r="K39" s="98"/>
      <c r="L39" s="99"/>
      <c r="M39" s="99"/>
      <c r="N39" s="99"/>
      <c r="O39" s="99"/>
      <c r="P39" s="99"/>
      <c r="Q39" s="99"/>
      <c r="R39" s="99"/>
      <c r="S39" s="99"/>
      <c r="T39" s="99"/>
      <c r="U39" s="99"/>
      <c r="V39" s="99"/>
      <c r="W39" s="99"/>
      <c r="X39" s="99"/>
      <c r="Y39" s="99"/>
      <c r="Z39" s="100"/>
      <c r="AA39" s="101"/>
      <c r="AB39" s="99"/>
      <c r="AC39" s="99"/>
      <c r="AD39" s="99"/>
      <c r="AE39" s="99"/>
      <c r="AF39" s="99"/>
      <c r="AG39" s="100"/>
      <c r="AH39" s="101"/>
      <c r="AI39" s="99"/>
      <c r="AJ39" s="100"/>
      <c r="AK39" s="101"/>
      <c r="AL39" s="99"/>
      <c r="AM39" s="99"/>
      <c r="AN39" s="99"/>
      <c r="AO39" s="100"/>
      <c r="AP39" s="98"/>
      <c r="AQ39" s="99"/>
      <c r="AR39" s="99"/>
      <c r="AS39" s="99"/>
      <c r="AT39" s="99"/>
      <c r="AU39" s="99"/>
      <c r="AV39" s="99"/>
      <c r="AW39" s="99"/>
      <c r="AX39" s="99"/>
      <c r="AY39" s="99"/>
      <c r="AZ39" s="99"/>
      <c r="BA39" s="99"/>
      <c r="BB39" s="99"/>
      <c r="BC39" s="99"/>
      <c r="BD39" s="99"/>
      <c r="BE39" s="100"/>
      <c r="BF39" s="101"/>
      <c r="BG39" s="99"/>
      <c r="BH39" s="99"/>
      <c r="BI39" s="99"/>
      <c r="BJ39" s="99"/>
      <c r="BK39" s="99"/>
      <c r="BL39" s="100"/>
      <c r="BM39" s="101" t="s">
        <v>1576</v>
      </c>
      <c r="BN39" s="99" t="s">
        <v>1576</v>
      </c>
      <c r="BO39" s="100" t="s">
        <v>1576</v>
      </c>
      <c r="BP39" s="101"/>
      <c r="BQ39" s="99"/>
      <c r="BR39" s="99"/>
      <c r="BS39" s="99"/>
      <c r="BT39" s="100"/>
      <c r="BU39" s="98"/>
      <c r="BV39" s="99"/>
      <c r="BW39" s="99"/>
      <c r="BX39" s="99"/>
      <c r="BY39" s="99"/>
      <c r="BZ39" s="99"/>
      <c r="CA39" s="99"/>
      <c r="CB39" s="99"/>
      <c r="CC39" s="99"/>
      <c r="CD39" s="99"/>
      <c r="CE39" s="99"/>
      <c r="CF39" s="99"/>
      <c r="CG39" s="99"/>
      <c r="CH39" s="99"/>
      <c r="CI39" s="99"/>
      <c r="CJ39" s="100"/>
      <c r="CK39" s="101"/>
      <c r="CL39" s="99"/>
      <c r="CM39" s="99"/>
      <c r="CN39" s="99"/>
      <c r="CO39" s="99"/>
      <c r="CP39" s="99"/>
      <c r="CQ39" s="100"/>
      <c r="CR39" s="101"/>
      <c r="CS39" s="99"/>
      <c r="CT39" s="100"/>
      <c r="CU39" s="101"/>
      <c r="CV39" s="99"/>
      <c r="CW39" s="99"/>
      <c r="CX39" s="99"/>
      <c r="CY39" s="99"/>
    </row>
    <row r="40" spans="1:103" hidden="1" outlineLevel="1" x14ac:dyDescent="0.2">
      <c r="A40" s="424" t="s">
        <v>718</v>
      </c>
      <c r="B40" s="401" t="str">
        <f>VLOOKUP(A40,[1]ACTIONS!$A$3:$B$238,2,0)</f>
        <v>Mise en valeur des berges du Zuunbeek dans le cadre de l’aménagement du parc du Zuun - Travaux</v>
      </c>
      <c r="C40" s="96"/>
      <c r="D40" s="96">
        <v>300000</v>
      </c>
      <c r="E40" s="96"/>
      <c r="F40" s="96"/>
      <c r="G40" s="96"/>
      <c r="H40" s="96">
        <v>300000</v>
      </c>
      <c r="I40" s="97"/>
      <c r="J40" s="97"/>
      <c r="K40" s="98"/>
      <c r="L40" s="99"/>
      <c r="M40" s="99"/>
      <c r="N40" s="99"/>
      <c r="O40" s="99"/>
      <c r="P40" s="99"/>
      <c r="Q40" s="99"/>
      <c r="R40" s="99"/>
      <c r="S40" s="99"/>
      <c r="T40" s="99"/>
      <c r="U40" s="99"/>
      <c r="V40" s="99"/>
      <c r="W40" s="99"/>
      <c r="X40" s="99"/>
      <c r="Y40" s="99"/>
      <c r="Z40" s="100"/>
      <c r="AA40" s="101"/>
      <c r="AB40" s="99"/>
      <c r="AC40" s="99"/>
      <c r="AD40" s="99"/>
      <c r="AE40" s="99"/>
      <c r="AF40" s="99"/>
      <c r="AG40" s="100"/>
      <c r="AH40" s="101"/>
      <c r="AI40" s="99"/>
      <c r="AJ40" s="100"/>
      <c r="AK40" s="101"/>
      <c r="AL40" s="99"/>
      <c r="AM40" s="99"/>
      <c r="AN40" s="99"/>
      <c r="AO40" s="100"/>
      <c r="AP40" s="98"/>
      <c r="AQ40" s="99"/>
      <c r="AR40" s="99"/>
      <c r="AS40" s="99"/>
      <c r="AT40" s="99"/>
      <c r="AU40" s="99"/>
      <c r="AV40" s="99"/>
      <c r="AW40" s="99"/>
      <c r="AX40" s="99"/>
      <c r="AY40" s="99"/>
      <c r="AZ40" s="99"/>
      <c r="BA40" s="99"/>
      <c r="BB40" s="99"/>
      <c r="BC40" s="99"/>
      <c r="BD40" s="99"/>
      <c r="BE40" s="100"/>
      <c r="BF40" s="101"/>
      <c r="BG40" s="99"/>
      <c r="BH40" s="99"/>
      <c r="BI40" s="99"/>
      <c r="BJ40" s="99"/>
      <c r="BK40" s="99"/>
      <c r="BL40" s="100"/>
      <c r="BM40" s="101"/>
      <c r="BN40" s="99"/>
      <c r="BO40" s="100"/>
      <c r="BP40" s="101"/>
      <c r="BQ40" s="99"/>
      <c r="BR40" s="99"/>
      <c r="BS40" s="99"/>
      <c r="BT40" s="100"/>
      <c r="BU40" s="98"/>
      <c r="BV40" s="99"/>
      <c r="BW40" s="99"/>
      <c r="BX40" s="99"/>
      <c r="BY40" s="99"/>
      <c r="BZ40" s="99"/>
      <c r="CA40" s="99"/>
      <c r="CB40" s="99"/>
      <c r="CC40" s="99"/>
      <c r="CD40" s="99"/>
      <c r="CE40" s="99"/>
      <c r="CF40" s="99"/>
      <c r="CG40" s="99"/>
      <c r="CH40" s="99"/>
      <c r="CI40" s="99"/>
      <c r="CJ40" s="100"/>
      <c r="CK40" s="101"/>
      <c r="CL40" s="99"/>
      <c r="CM40" s="99"/>
      <c r="CN40" s="99"/>
      <c r="CO40" s="99"/>
      <c r="CP40" s="99"/>
      <c r="CQ40" s="100"/>
      <c r="CR40" s="101"/>
      <c r="CS40" s="99"/>
      <c r="CT40" s="100"/>
      <c r="CU40" s="101"/>
      <c r="CV40" s="99"/>
      <c r="CW40" s="99"/>
      <c r="CX40" s="99"/>
      <c r="CY40" s="99"/>
    </row>
    <row r="41" spans="1:103" hidden="1" outlineLevel="1" x14ac:dyDescent="0.2">
      <c r="A41" s="424" t="s">
        <v>719</v>
      </c>
      <c r="B41" s="401" t="str">
        <f>VLOOKUP(A41,[1]ACTIONS!$A$3:$B$238,2,0)</f>
        <v>Aménagement des berges du Molenbeek au niveau du Marais de Jette</v>
      </c>
      <c r="C41" s="96"/>
      <c r="D41" s="96">
        <v>500000</v>
      </c>
      <c r="E41" s="96"/>
      <c r="F41" s="96"/>
      <c r="G41" s="96"/>
      <c r="H41" s="96">
        <v>500000</v>
      </c>
      <c r="I41" s="97"/>
      <c r="J41" s="97"/>
      <c r="K41" s="98"/>
      <c r="L41" s="99"/>
      <c r="M41" s="99"/>
      <c r="N41" s="99"/>
      <c r="O41" s="99"/>
      <c r="P41" s="99"/>
      <c r="Q41" s="99"/>
      <c r="R41" s="99"/>
      <c r="S41" s="99"/>
      <c r="T41" s="99"/>
      <c r="U41" s="99"/>
      <c r="V41" s="99"/>
      <c r="W41" s="99"/>
      <c r="X41" s="99"/>
      <c r="Y41" s="99"/>
      <c r="Z41" s="100"/>
      <c r="AA41" s="101"/>
      <c r="AB41" s="99"/>
      <c r="AC41" s="99"/>
      <c r="AD41" s="99"/>
      <c r="AE41" s="99"/>
      <c r="AF41" s="99"/>
      <c r="AG41" s="100"/>
      <c r="AH41" s="101"/>
      <c r="AI41" s="99"/>
      <c r="AJ41" s="100"/>
      <c r="AK41" s="101"/>
      <c r="AL41" s="99"/>
      <c r="AM41" s="99"/>
      <c r="AN41" s="99"/>
      <c r="AO41" s="100"/>
      <c r="AP41" s="98"/>
      <c r="AQ41" s="99"/>
      <c r="AR41" s="99"/>
      <c r="AS41" s="99"/>
      <c r="AT41" s="99"/>
      <c r="AU41" s="99"/>
      <c r="AV41" s="99"/>
      <c r="AW41" s="99"/>
      <c r="AX41" s="99"/>
      <c r="AY41" s="99"/>
      <c r="AZ41" s="99"/>
      <c r="BA41" s="99"/>
      <c r="BB41" s="99"/>
      <c r="BC41" s="99"/>
      <c r="BD41" s="99"/>
      <c r="BE41" s="100"/>
      <c r="BF41" s="101"/>
      <c r="BG41" s="99"/>
      <c r="BH41" s="99"/>
      <c r="BI41" s="99"/>
      <c r="BJ41" s="99"/>
      <c r="BK41" s="99"/>
      <c r="BL41" s="100"/>
      <c r="BM41" s="101"/>
      <c r="BN41" s="99"/>
      <c r="BO41" s="100"/>
      <c r="BP41" s="101"/>
      <c r="BQ41" s="99"/>
      <c r="BR41" s="99"/>
      <c r="BS41" s="99"/>
      <c r="BT41" s="100"/>
      <c r="BU41" s="98"/>
      <c r="BV41" s="99"/>
      <c r="BW41" s="99"/>
      <c r="BX41" s="99"/>
      <c r="BY41" s="99"/>
      <c r="BZ41" s="99"/>
      <c r="CA41" s="99"/>
      <c r="CB41" s="99"/>
      <c r="CC41" s="99"/>
      <c r="CD41" s="99"/>
      <c r="CE41" s="99"/>
      <c r="CF41" s="99"/>
      <c r="CG41" s="99"/>
      <c r="CH41" s="99"/>
      <c r="CI41" s="99"/>
      <c r="CJ41" s="100"/>
      <c r="CK41" s="101"/>
      <c r="CL41" s="99"/>
      <c r="CM41" s="99"/>
      <c r="CN41" s="99"/>
      <c r="CO41" s="99"/>
      <c r="CP41" s="99"/>
      <c r="CQ41" s="100"/>
      <c r="CR41" s="101"/>
      <c r="CS41" s="99"/>
      <c r="CT41" s="100"/>
      <c r="CU41" s="101"/>
      <c r="CV41" s="99"/>
      <c r="CW41" s="99"/>
      <c r="CX41" s="99"/>
      <c r="CY41" s="99"/>
    </row>
    <row r="42" spans="1:103" hidden="1" outlineLevel="1" x14ac:dyDescent="0.2">
      <c r="A42" s="424" t="s">
        <v>720</v>
      </c>
      <c r="B42" s="401" t="str">
        <f>VLOOKUP(A42,[1]ACTIONS!$A$3:$B$238,2,0)</f>
        <v>Création de zone refuge en cas d’étiage du Molenbeek au niveau du Parc Roi Baudouin</v>
      </c>
      <c r="C42" s="96"/>
      <c r="D42" s="96">
        <v>200000</v>
      </c>
      <c r="E42" s="96"/>
      <c r="F42" s="96"/>
      <c r="G42" s="96"/>
      <c r="H42" s="96">
        <v>200000</v>
      </c>
      <c r="I42" s="97"/>
      <c r="J42" s="97"/>
      <c r="K42" s="98"/>
      <c r="L42" s="99"/>
      <c r="M42" s="99"/>
      <c r="N42" s="99"/>
      <c r="O42" s="99"/>
      <c r="P42" s="99"/>
      <c r="Q42" s="99"/>
      <c r="R42" s="99"/>
      <c r="S42" s="99"/>
      <c r="T42" s="99"/>
      <c r="U42" s="99"/>
      <c r="V42" s="99"/>
      <c r="W42" s="99"/>
      <c r="X42" s="99"/>
      <c r="Y42" s="99"/>
      <c r="Z42" s="100"/>
      <c r="AA42" s="101"/>
      <c r="AB42" s="99"/>
      <c r="AC42" s="99"/>
      <c r="AD42" s="99"/>
      <c r="AE42" s="99"/>
      <c r="AF42" s="99"/>
      <c r="AG42" s="100"/>
      <c r="AH42" s="101"/>
      <c r="AI42" s="99"/>
      <c r="AJ42" s="100"/>
      <c r="AK42" s="101"/>
      <c r="AL42" s="99"/>
      <c r="AM42" s="99"/>
      <c r="AN42" s="99"/>
      <c r="AO42" s="100"/>
      <c r="AP42" s="98"/>
      <c r="AQ42" s="99"/>
      <c r="AR42" s="99"/>
      <c r="AS42" s="99"/>
      <c r="AT42" s="99"/>
      <c r="AU42" s="99"/>
      <c r="AV42" s="99"/>
      <c r="AW42" s="99"/>
      <c r="AX42" s="99"/>
      <c r="AY42" s="99"/>
      <c r="AZ42" s="99"/>
      <c r="BA42" s="99"/>
      <c r="BB42" s="99"/>
      <c r="BC42" s="99"/>
      <c r="BD42" s="99"/>
      <c r="BE42" s="100"/>
      <c r="BF42" s="101"/>
      <c r="BG42" s="99"/>
      <c r="BH42" s="99"/>
      <c r="BI42" s="99"/>
      <c r="BJ42" s="99"/>
      <c r="BK42" s="99"/>
      <c r="BL42" s="100"/>
      <c r="BM42" s="101"/>
      <c r="BN42" s="99"/>
      <c r="BO42" s="100"/>
      <c r="BP42" s="101"/>
      <c r="BQ42" s="99"/>
      <c r="BR42" s="99"/>
      <c r="BS42" s="99"/>
      <c r="BT42" s="100"/>
      <c r="BU42" s="98"/>
      <c r="BV42" s="99"/>
      <c r="BW42" s="99"/>
      <c r="BX42" s="99"/>
      <c r="BY42" s="99"/>
      <c r="BZ42" s="99"/>
      <c r="CA42" s="99"/>
      <c r="CB42" s="99"/>
      <c r="CC42" s="99"/>
      <c r="CD42" s="99"/>
      <c r="CE42" s="99"/>
      <c r="CF42" s="99"/>
      <c r="CG42" s="99"/>
      <c r="CH42" s="99"/>
      <c r="CI42" s="99"/>
      <c r="CJ42" s="100"/>
      <c r="CK42" s="101"/>
      <c r="CL42" s="99"/>
      <c r="CM42" s="99"/>
      <c r="CN42" s="99"/>
      <c r="CO42" s="99"/>
      <c r="CP42" s="99"/>
      <c r="CQ42" s="100"/>
      <c r="CR42" s="101"/>
      <c r="CS42" s="99"/>
      <c r="CT42" s="100"/>
      <c r="CU42" s="101"/>
      <c r="CV42" s="99"/>
      <c r="CW42" s="99"/>
      <c r="CX42" s="99"/>
      <c r="CY42" s="99"/>
    </row>
    <row r="43" spans="1:103" ht="25.5" hidden="1" outlineLevel="1" x14ac:dyDescent="0.2">
      <c r="A43" s="424" t="s">
        <v>721</v>
      </c>
      <c r="B43" s="401" t="str">
        <f>VLOOKUP(A43,[1]ACTIONS!$A$3:$B$238,2,0)</f>
        <v>Aménager un lit et des berges naturelles en rives gauche et droite au niveau de l’Avenue de Vilvorde (action C13_4 Belini) - Travaux</v>
      </c>
      <c r="C43" s="96"/>
      <c r="D43" s="96">
        <v>2500000</v>
      </c>
      <c r="E43" s="96"/>
      <c r="F43" s="96"/>
      <c r="G43" s="96"/>
      <c r="H43" s="96">
        <v>2500000</v>
      </c>
      <c r="I43" s="97"/>
      <c r="J43" s="97"/>
      <c r="K43" s="98"/>
      <c r="L43" s="99"/>
      <c r="M43" s="99"/>
      <c r="N43" s="99"/>
      <c r="O43" s="99"/>
      <c r="P43" s="99"/>
      <c r="Q43" s="99"/>
      <c r="R43" s="99"/>
      <c r="S43" s="99"/>
      <c r="T43" s="99"/>
      <c r="U43" s="99"/>
      <c r="V43" s="99"/>
      <c r="W43" s="99"/>
      <c r="X43" s="99"/>
      <c r="Y43" s="99"/>
      <c r="Z43" s="100"/>
      <c r="AA43" s="101"/>
      <c r="AB43" s="99"/>
      <c r="AC43" s="99"/>
      <c r="AD43" s="99"/>
      <c r="AE43" s="99"/>
      <c r="AF43" s="99"/>
      <c r="AG43" s="100"/>
      <c r="AH43" s="101" t="s">
        <v>1575</v>
      </c>
      <c r="AI43" s="99" t="s">
        <v>1575</v>
      </c>
      <c r="AJ43" s="100" t="s">
        <v>1575</v>
      </c>
      <c r="AK43" s="101"/>
      <c r="AL43" s="99"/>
      <c r="AM43" s="99"/>
      <c r="AN43" s="99"/>
      <c r="AO43" s="100"/>
      <c r="AP43" s="98"/>
      <c r="AQ43" s="99"/>
      <c r="AR43" s="99"/>
      <c r="AS43" s="99"/>
      <c r="AT43" s="99"/>
      <c r="AU43" s="99"/>
      <c r="AV43" s="99"/>
      <c r="AW43" s="99"/>
      <c r="AX43" s="99"/>
      <c r="AY43" s="99"/>
      <c r="AZ43" s="99"/>
      <c r="BA43" s="99"/>
      <c r="BB43" s="99"/>
      <c r="BC43" s="99"/>
      <c r="BD43" s="99"/>
      <c r="BE43" s="100"/>
      <c r="BF43" s="101"/>
      <c r="BG43" s="99"/>
      <c r="BH43" s="99"/>
      <c r="BI43" s="99"/>
      <c r="BJ43" s="99"/>
      <c r="BK43" s="99"/>
      <c r="BL43" s="100"/>
      <c r="BM43" s="101"/>
      <c r="BN43" s="99"/>
      <c r="BO43" s="100"/>
      <c r="BP43" s="101"/>
      <c r="BQ43" s="99"/>
      <c r="BR43" s="99"/>
      <c r="BS43" s="99"/>
      <c r="BT43" s="100"/>
      <c r="BU43" s="98"/>
      <c r="BV43" s="99"/>
      <c r="BW43" s="99"/>
      <c r="BX43" s="99"/>
      <c r="BY43" s="99"/>
      <c r="BZ43" s="99"/>
      <c r="CA43" s="99"/>
      <c r="CB43" s="99"/>
      <c r="CC43" s="99"/>
      <c r="CD43" s="99"/>
      <c r="CE43" s="99"/>
      <c r="CF43" s="99"/>
      <c r="CG43" s="99"/>
      <c r="CH43" s="99"/>
      <c r="CI43" s="99"/>
      <c r="CJ43" s="100"/>
      <c r="CK43" s="101"/>
      <c r="CL43" s="99"/>
      <c r="CM43" s="99"/>
      <c r="CN43" s="99"/>
      <c r="CO43" s="99"/>
      <c r="CP43" s="99"/>
      <c r="CQ43" s="100"/>
      <c r="CR43" s="101"/>
      <c r="CS43" s="99"/>
      <c r="CT43" s="100"/>
      <c r="CU43" s="101"/>
      <c r="CV43" s="99"/>
      <c r="CW43" s="99"/>
      <c r="CX43" s="99"/>
      <c r="CY43" s="99"/>
    </row>
    <row r="44" spans="1:103" ht="25.5" hidden="1" outlineLevel="1" x14ac:dyDescent="0.2">
      <c r="A44" s="424" t="s">
        <v>722</v>
      </c>
      <c r="B44" s="401" t="str">
        <f>VLOOKUP(A44,[1]ACTIONS!$A$3:$B$238,2,0)</f>
        <v>Poursuivre l’aménagement de berges et lit naturels et d’un bras mort à hauteur de la Rue du Charroi (île Sainte Hélène, en aval du Boulevard Paepsem) – Etude (cf. aussi M 6.6) (*)</v>
      </c>
      <c r="C44" s="96"/>
      <c r="D44" s="96">
        <v>90000</v>
      </c>
      <c r="E44" s="96"/>
      <c r="F44" s="96"/>
      <c r="G44" s="96"/>
      <c r="H44" s="96">
        <v>90000</v>
      </c>
      <c r="I44" s="97"/>
      <c r="J44" s="97"/>
      <c r="K44" s="98"/>
      <c r="L44" s="99"/>
      <c r="M44" s="99"/>
      <c r="N44" s="99"/>
      <c r="O44" s="99"/>
      <c r="P44" s="99"/>
      <c r="Q44" s="99"/>
      <c r="R44" s="99"/>
      <c r="S44" s="99"/>
      <c r="T44" s="99"/>
      <c r="U44" s="99"/>
      <c r="V44" s="99"/>
      <c r="W44" s="99"/>
      <c r="X44" s="99"/>
      <c r="Y44" s="99"/>
      <c r="Z44" s="100"/>
      <c r="AA44" s="101"/>
      <c r="AB44" s="99"/>
      <c r="AC44" s="99"/>
      <c r="AD44" s="99"/>
      <c r="AE44" s="99"/>
      <c r="AF44" s="99"/>
      <c r="AG44" s="100"/>
      <c r="AH44" s="101"/>
      <c r="AI44" s="99"/>
      <c r="AJ44" s="100"/>
      <c r="AK44" s="101"/>
      <c r="AL44" s="99"/>
      <c r="AM44" s="99"/>
      <c r="AN44" s="99"/>
      <c r="AO44" s="100"/>
      <c r="AP44" s="98"/>
      <c r="AQ44" s="99"/>
      <c r="AR44" s="99"/>
      <c r="AS44" s="99"/>
      <c r="AT44" s="99"/>
      <c r="AU44" s="99"/>
      <c r="AV44" s="99"/>
      <c r="AW44" s="99"/>
      <c r="AX44" s="99"/>
      <c r="AY44" s="99"/>
      <c r="AZ44" s="99"/>
      <c r="BA44" s="99"/>
      <c r="BB44" s="99"/>
      <c r="BC44" s="99"/>
      <c r="BD44" s="99"/>
      <c r="BE44" s="100"/>
      <c r="BF44" s="101"/>
      <c r="BG44" s="99"/>
      <c r="BH44" s="99"/>
      <c r="BI44" s="99"/>
      <c r="BJ44" s="99"/>
      <c r="BK44" s="99"/>
      <c r="BL44" s="100"/>
      <c r="BM44" s="101"/>
      <c r="BN44" s="99"/>
      <c r="BO44" s="100"/>
      <c r="BP44" s="101"/>
      <c r="BQ44" s="99"/>
      <c r="BR44" s="99"/>
      <c r="BS44" s="99"/>
      <c r="BT44" s="100"/>
      <c r="BU44" s="98"/>
      <c r="BV44" s="99"/>
      <c r="BW44" s="99"/>
      <c r="BX44" s="99"/>
      <c r="BY44" s="99"/>
      <c r="BZ44" s="99"/>
      <c r="CA44" s="99"/>
      <c r="CB44" s="99"/>
      <c r="CC44" s="99"/>
      <c r="CD44" s="99"/>
      <c r="CE44" s="99"/>
      <c r="CF44" s="99"/>
      <c r="CG44" s="99"/>
      <c r="CH44" s="99"/>
      <c r="CI44" s="99"/>
      <c r="CJ44" s="100"/>
      <c r="CK44" s="101"/>
      <c r="CL44" s="99"/>
      <c r="CM44" s="99"/>
      <c r="CN44" s="99"/>
      <c r="CO44" s="99"/>
      <c r="CP44" s="99"/>
      <c r="CQ44" s="100"/>
      <c r="CR44" s="101"/>
      <c r="CS44" s="99"/>
      <c r="CT44" s="100"/>
      <c r="CU44" s="101"/>
      <c r="CV44" s="99"/>
      <c r="CW44" s="99"/>
      <c r="CX44" s="99"/>
      <c r="CY44" s="99"/>
    </row>
    <row r="45" spans="1:103" ht="25.5" hidden="1" outlineLevel="1" x14ac:dyDescent="0.2">
      <c r="A45" s="424" t="s">
        <v>723</v>
      </c>
      <c r="B45" s="401" t="str">
        <f>VLOOKUP(A45,[1]ACTIONS!$A$3:$B$238,2,0)</f>
        <v>Poursuivre l’aménagement de berges et lit naturels et d’un bras mort à hauteur de la Rue du Charroi (île Sainte Hélène, en aval du Boulevard Paepsem) – Travaux (également sur Mesure 6.6)</v>
      </c>
      <c r="C45" s="96"/>
      <c r="D45" s="96">
        <v>550000</v>
      </c>
      <c r="E45" s="96"/>
      <c r="F45" s="96"/>
      <c r="G45" s="96"/>
      <c r="H45" s="96">
        <v>550000</v>
      </c>
      <c r="I45" s="97"/>
      <c r="J45" s="97"/>
      <c r="K45" s="98"/>
      <c r="L45" s="99"/>
      <c r="M45" s="99"/>
      <c r="N45" s="99"/>
      <c r="O45" s="99"/>
      <c r="P45" s="99"/>
      <c r="Q45" s="99"/>
      <c r="R45" s="99"/>
      <c r="S45" s="99"/>
      <c r="T45" s="99"/>
      <c r="U45" s="99"/>
      <c r="V45" s="99"/>
      <c r="W45" s="99"/>
      <c r="X45" s="99"/>
      <c r="Y45" s="99"/>
      <c r="Z45" s="100"/>
      <c r="AA45" s="101"/>
      <c r="AB45" s="99"/>
      <c r="AC45" s="99"/>
      <c r="AD45" s="99"/>
      <c r="AE45" s="99"/>
      <c r="AF45" s="99"/>
      <c r="AG45" s="100"/>
      <c r="AH45" s="101" t="s">
        <v>1590</v>
      </c>
      <c r="AI45" s="99" t="s">
        <v>1590</v>
      </c>
      <c r="AJ45" s="100" t="s">
        <v>1590</v>
      </c>
      <c r="AK45" s="101"/>
      <c r="AL45" s="99"/>
      <c r="AM45" s="99"/>
      <c r="AN45" s="99"/>
      <c r="AO45" s="100"/>
      <c r="AP45" s="98"/>
      <c r="AQ45" s="99"/>
      <c r="AR45" s="99"/>
      <c r="AS45" s="99"/>
      <c r="AT45" s="99"/>
      <c r="AU45" s="99"/>
      <c r="AV45" s="99"/>
      <c r="AW45" s="99"/>
      <c r="AX45" s="99"/>
      <c r="AY45" s="99"/>
      <c r="AZ45" s="99"/>
      <c r="BA45" s="99"/>
      <c r="BB45" s="99"/>
      <c r="BC45" s="99"/>
      <c r="BD45" s="99"/>
      <c r="BE45" s="100"/>
      <c r="BF45" s="101"/>
      <c r="BG45" s="99"/>
      <c r="BH45" s="99"/>
      <c r="BI45" s="99"/>
      <c r="BJ45" s="99"/>
      <c r="BK45" s="99"/>
      <c r="BL45" s="100"/>
      <c r="BM45" s="101"/>
      <c r="BN45" s="99"/>
      <c r="BO45" s="100"/>
      <c r="BP45" s="101"/>
      <c r="BQ45" s="99"/>
      <c r="BR45" s="99"/>
      <c r="BS45" s="99"/>
      <c r="BT45" s="100"/>
      <c r="BU45" s="98"/>
      <c r="BV45" s="99"/>
      <c r="BW45" s="99"/>
      <c r="BX45" s="99"/>
      <c r="BY45" s="99"/>
      <c r="BZ45" s="99"/>
      <c r="CA45" s="99"/>
      <c r="CB45" s="99"/>
      <c r="CC45" s="99"/>
      <c r="CD45" s="99"/>
      <c r="CE45" s="99"/>
      <c r="CF45" s="99"/>
      <c r="CG45" s="99"/>
      <c r="CH45" s="99"/>
      <c r="CI45" s="99"/>
      <c r="CJ45" s="100"/>
      <c r="CK45" s="101"/>
      <c r="CL45" s="99"/>
      <c r="CM45" s="99"/>
      <c r="CN45" s="99"/>
      <c r="CO45" s="99"/>
      <c r="CP45" s="99"/>
      <c r="CQ45" s="100"/>
      <c r="CR45" s="101"/>
      <c r="CS45" s="99"/>
      <c r="CT45" s="100"/>
      <c r="CU45" s="101"/>
      <c r="CV45" s="99"/>
      <c r="CW45" s="99"/>
      <c r="CX45" s="99"/>
      <c r="CY45" s="99"/>
    </row>
    <row r="46" spans="1:103" hidden="1" outlineLevel="1" x14ac:dyDescent="0.2">
      <c r="A46" s="424" t="s">
        <v>724</v>
      </c>
      <c r="B46" s="401" t="str">
        <f>VLOOKUP(A46,[1]ACTIONS!$A$3:$B$238,2,0)</f>
        <v>Aménager des berges naturelles entre la Dérivation d’Aa et la Rue Bollinckx – Etude (voir également fiche M6.6)</v>
      </c>
      <c r="C46" s="96"/>
      <c r="D46" s="96">
        <v>150000</v>
      </c>
      <c r="E46" s="96"/>
      <c r="F46" s="96"/>
      <c r="G46" s="96"/>
      <c r="H46" s="96">
        <v>150000</v>
      </c>
      <c r="I46" s="97"/>
      <c r="J46" s="97"/>
      <c r="K46" s="98"/>
      <c r="L46" s="99"/>
      <c r="M46" s="99"/>
      <c r="N46" s="99"/>
      <c r="O46" s="99"/>
      <c r="P46" s="99"/>
      <c r="Q46" s="99"/>
      <c r="R46" s="99"/>
      <c r="S46" s="99"/>
      <c r="T46" s="99"/>
      <c r="U46" s="99"/>
      <c r="V46" s="99"/>
      <c r="W46" s="99"/>
      <c r="X46" s="99"/>
      <c r="Y46" s="99"/>
      <c r="Z46" s="100"/>
      <c r="AA46" s="101"/>
      <c r="AB46" s="99"/>
      <c r="AC46" s="99"/>
      <c r="AD46" s="99"/>
      <c r="AE46" s="99"/>
      <c r="AF46" s="99"/>
      <c r="AG46" s="100"/>
      <c r="AH46" s="101"/>
      <c r="AI46" s="99"/>
      <c r="AJ46" s="100"/>
      <c r="AK46" s="101"/>
      <c r="AL46" s="99"/>
      <c r="AM46" s="99"/>
      <c r="AN46" s="99"/>
      <c r="AO46" s="100"/>
      <c r="AP46" s="98"/>
      <c r="AQ46" s="99"/>
      <c r="AR46" s="99"/>
      <c r="AS46" s="99"/>
      <c r="AT46" s="99"/>
      <c r="AU46" s="99"/>
      <c r="AV46" s="99"/>
      <c r="AW46" s="99"/>
      <c r="AX46" s="99"/>
      <c r="AY46" s="99"/>
      <c r="AZ46" s="99"/>
      <c r="BA46" s="99"/>
      <c r="BB46" s="99"/>
      <c r="BC46" s="99"/>
      <c r="BD46" s="99"/>
      <c r="BE46" s="100"/>
      <c r="BF46" s="101"/>
      <c r="BG46" s="99"/>
      <c r="BH46" s="99"/>
      <c r="BI46" s="99"/>
      <c r="BJ46" s="99"/>
      <c r="BK46" s="99"/>
      <c r="BL46" s="100"/>
      <c r="BM46" s="101"/>
      <c r="BN46" s="99"/>
      <c r="BO46" s="100"/>
      <c r="BP46" s="101"/>
      <c r="BQ46" s="99"/>
      <c r="BR46" s="99"/>
      <c r="BS46" s="99"/>
      <c r="BT46" s="100"/>
      <c r="BU46" s="98"/>
      <c r="BV46" s="99"/>
      <c r="BW46" s="99"/>
      <c r="BX46" s="99"/>
      <c r="BY46" s="99"/>
      <c r="BZ46" s="99"/>
      <c r="CA46" s="99"/>
      <c r="CB46" s="99"/>
      <c r="CC46" s="99"/>
      <c r="CD46" s="99"/>
      <c r="CE46" s="99"/>
      <c r="CF46" s="99"/>
      <c r="CG46" s="99"/>
      <c r="CH46" s="99"/>
      <c r="CI46" s="99"/>
      <c r="CJ46" s="100"/>
      <c r="CK46" s="101"/>
      <c r="CL46" s="99"/>
      <c r="CM46" s="99"/>
      <c r="CN46" s="99"/>
      <c r="CO46" s="99"/>
      <c r="CP46" s="99"/>
      <c r="CQ46" s="100"/>
      <c r="CR46" s="101"/>
      <c r="CS46" s="99"/>
      <c r="CT46" s="100"/>
      <c r="CU46" s="101"/>
      <c r="CV46" s="99"/>
      <c r="CW46" s="99"/>
      <c r="CX46" s="99"/>
      <c r="CY46" s="99"/>
    </row>
    <row r="47" spans="1:103" hidden="1" outlineLevel="1" x14ac:dyDescent="0.2">
      <c r="A47" s="424" t="s">
        <v>725</v>
      </c>
      <c r="B47" s="401" t="str">
        <f>VLOOKUP(A47,[1]ACTIONS!$A$3:$B$238,2,0)</f>
        <v>Aménager des berges naturelles entre la Dérivation d’Aa et la Rue Bollinckx – Travaux (voir également fiche M6.6)</v>
      </c>
      <c r="C47" s="96"/>
      <c r="D47" s="96">
        <v>600000</v>
      </c>
      <c r="E47" s="96"/>
      <c r="F47" s="96"/>
      <c r="G47" s="96"/>
      <c r="H47" s="96">
        <v>600000</v>
      </c>
      <c r="I47" s="97"/>
      <c r="J47" s="97"/>
      <c r="K47" s="98"/>
      <c r="L47" s="99"/>
      <c r="M47" s="99"/>
      <c r="N47" s="99"/>
      <c r="O47" s="99"/>
      <c r="P47" s="99"/>
      <c r="Q47" s="99"/>
      <c r="R47" s="99"/>
      <c r="S47" s="99"/>
      <c r="T47" s="99"/>
      <c r="U47" s="99"/>
      <c r="V47" s="99"/>
      <c r="W47" s="99"/>
      <c r="X47" s="99"/>
      <c r="Y47" s="99"/>
      <c r="Z47" s="100"/>
      <c r="AA47" s="101"/>
      <c r="AB47" s="99"/>
      <c r="AC47" s="99"/>
      <c r="AD47" s="99"/>
      <c r="AE47" s="99"/>
      <c r="AF47" s="99"/>
      <c r="AG47" s="100"/>
      <c r="AH47" s="101" t="s">
        <v>1590</v>
      </c>
      <c r="AI47" s="99" t="s">
        <v>1590</v>
      </c>
      <c r="AJ47" s="100" t="s">
        <v>1590</v>
      </c>
      <c r="AK47" s="101"/>
      <c r="AL47" s="99"/>
      <c r="AM47" s="99"/>
      <c r="AN47" s="99"/>
      <c r="AO47" s="100"/>
      <c r="AP47" s="98"/>
      <c r="AQ47" s="99"/>
      <c r="AR47" s="99"/>
      <c r="AS47" s="99"/>
      <c r="AT47" s="99"/>
      <c r="AU47" s="99"/>
      <c r="AV47" s="99"/>
      <c r="AW47" s="99"/>
      <c r="AX47" s="99"/>
      <c r="AY47" s="99"/>
      <c r="AZ47" s="99"/>
      <c r="BA47" s="99"/>
      <c r="BB47" s="99"/>
      <c r="BC47" s="99"/>
      <c r="BD47" s="99"/>
      <c r="BE47" s="100"/>
      <c r="BF47" s="101"/>
      <c r="BG47" s="99"/>
      <c r="BH47" s="99"/>
      <c r="BI47" s="99"/>
      <c r="BJ47" s="99"/>
      <c r="BK47" s="99"/>
      <c r="BL47" s="100"/>
      <c r="BM47" s="101"/>
      <c r="BN47" s="99"/>
      <c r="BO47" s="100"/>
      <c r="BP47" s="101"/>
      <c r="BQ47" s="99"/>
      <c r="BR47" s="99"/>
      <c r="BS47" s="99"/>
      <c r="BT47" s="100"/>
      <c r="BU47" s="98"/>
      <c r="BV47" s="99"/>
      <c r="BW47" s="99"/>
      <c r="BX47" s="99"/>
      <c r="BY47" s="99"/>
      <c r="BZ47" s="99"/>
      <c r="CA47" s="99"/>
      <c r="CB47" s="99"/>
      <c r="CC47" s="99"/>
      <c r="CD47" s="99"/>
      <c r="CE47" s="99"/>
      <c r="CF47" s="99"/>
      <c r="CG47" s="99"/>
      <c r="CH47" s="99"/>
      <c r="CI47" s="99"/>
      <c r="CJ47" s="100"/>
      <c r="CK47" s="101"/>
      <c r="CL47" s="99"/>
      <c r="CM47" s="99"/>
      <c r="CN47" s="99"/>
      <c r="CO47" s="99"/>
      <c r="CP47" s="99"/>
      <c r="CQ47" s="100"/>
      <c r="CR47" s="101"/>
      <c r="CS47" s="99"/>
      <c r="CT47" s="100"/>
      <c r="CU47" s="101"/>
      <c r="CV47" s="99"/>
      <c r="CW47" s="99"/>
      <c r="CX47" s="99"/>
      <c r="CY47" s="99"/>
    </row>
    <row r="48" spans="1:103" ht="25.5" hidden="1" outlineLevel="1" x14ac:dyDescent="0.2">
      <c r="A48" s="424" t="s">
        <v>726</v>
      </c>
      <c r="B48" s="401" t="str">
        <f>VLOOKUP(A48,[1]ACTIONS!$A$3:$B$238,2,0)</f>
        <v>Aménager des berges naturelles et d’une promenade entre la Rue du Charroi et la Rue des Vétérinaires – Etude (voir également fiche M6.6)</v>
      </c>
      <c r="C48" s="96"/>
      <c r="D48" s="96">
        <v>150000</v>
      </c>
      <c r="E48" s="96"/>
      <c r="F48" s="96"/>
      <c r="G48" s="96"/>
      <c r="H48" s="96">
        <v>150000</v>
      </c>
      <c r="I48" s="97"/>
      <c r="J48" s="97"/>
      <c r="K48" s="98"/>
      <c r="L48" s="99"/>
      <c r="M48" s="99"/>
      <c r="N48" s="99"/>
      <c r="O48" s="99"/>
      <c r="P48" s="99"/>
      <c r="Q48" s="99"/>
      <c r="R48" s="99"/>
      <c r="S48" s="99"/>
      <c r="T48" s="99"/>
      <c r="U48" s="99"/>
      <c r="V48" s="99"/>
      <c r="W48" s="99"/>
      <c r="X48" s="99"/>
      <c r="Y48" s="99"/>
      <c r="Z48" s="100"/>
      <c r="AA48" s="101"/>
      <c r="AB48" s="99"/>
      <c r="AC48" s="99"/>
      <c r="AD48" s="99"/>
      <c r="AE48" s="99"/>
      <c r="AF48" s="99"/>
      <c r="AG48" s="100"/>
      <c r="AH48" s="101"/>
      <c r="AI48" s="99"/>
      <c r="AJ48" s="100"/>
      <c r="AK48" s="101"/>
      <c r="AL48" s="99"/>
      <c r="AM48" s="99"/>
      <c r="AN48" s="99"/>
      <c r="AO48" s="100"/>
      <c r="AP48" s="98"/>
      <c r="AQ48" s="99"/>
      <c r="AR48" s="99"/>
      <c r="AS48" s="99"/>
      <c r="AT48" s="99"/>
      <c r="AU48" s="99"/>
      <c r="AV48" s="99"/>
      <c r="AW48" s="99"/>
      <c r="AX48" s="99"/>
      <c r="AY48" s="99"/>
      <c r="AZ48" s="99"/>
      <c r="BA48" s="99"/>
      <c r="BB48" s="99"/>
      <c r="BC48" s="99"/>
      <c r="BD48" s="99"/>
      <c r="BE48" s="100"/>
      <c r="BF48" s="101"/>
      <c r="BG48" s="99"/>
      <c r="BH48" s="99"/>
      <c r="BI48" s="99"/>
      <c r="BJ48" s="99"/>
      <c r="BK48" s="99"/>
      <c r="BL48" s="100"/>
      <c r="BM48" s="101"/>
      <c r="BN48" s="99"/>
      <c r="BO48" s="100"/>
      <c r="BP48" s="101"/>
      <c r="BQ48" s="99"/>
      <c r="BR48" s="99"/>
      <c r="BS48" s="99"/>
      <c r="BT48" s="100"/>
      <c r="BU48" s="98"/>
      <c r="BV48" s="99"/>
      <c r="BW48" s="99"/>
      <c r="BX48" s="99"/>
      <c r="BY48" s="99"/>
      <c r="BZ48" s="99"/>
      <c r="CA48" s="99"/>
      <c r="CB48" s="99"/>
      <c r="CC48" s="99"/>
      <c r="CD48" s="99"/>
      <c r="CE48" s="99"/>
      <c r="CF48" s="99"/>
      <c r="CG48" s="99"/>
      <c r="CH48" s="99"/>
      <c r="CI48" s="99"/>
      <c r="CJ48" s="100"/>
      <c r="CK48" s="101"/>
      <c r="CL48" s="99"/>
      <c r="CM48" s="99"/>
      <c r="CN48" s="99"/>
      <c r="CO48" s="99"/>
      <c r="CP48" s="99"/>
      <c r="CQ48" s="100"/>
      <c r="CR48" s="101"/>
      <c r="CS48" s="99"/>
      <c r="CT48" s="100"/>
      <c r="CU48" s="101"/>
      <c r="CV48" s="99"/>
      <c r="CW48" s="99"/>
      <c r="CX48" s="99"/>
      <c r="CY48" s="99"/>
    </row>
    <row r="49" spans="1:103" ht="25.5" hidden="1" outlineLevel="1" x14ac:dyDescent="0.2">
      <c r="A49" s="424" t="s">
        <v>727</v>
      </c>
      <c r="B49" s="401" t="str">
        <f>VLOOKUP(A49,[1]ACTIONS!$A$3:$B$238,2,0)</f>
        <v>Améliorer l’hydromorphologie de la Senne entre la Rue du Rupel (aval du Pont Van Praet) et la Rampe du Lion (état actuel : berges bétonnées au niveau d’Elia, voire également le lit) - Etude</v>
      </c>
      <c r="C49" s="96"/>
      <c r="D49" s="96">
        <v>50000</v>
      </c>
      <c r="E49" s="96"/>
      <c r="F49" s="96"/>
      <c r="G49" s="96"/>
      <c r="H49" s="96">
        <v>50000</v>
      </c>
      <c r="I49" s="97"/>
      <c r="J49" s="97"/>
      <c r="K49" s="98"/>
      <c r="L49" s="99"/>
      <c r="M49" s="99"/>
      <c r="N49" s="99"/>
      <c r="O49" s="99"/>
      <c r="P49" s="99"/>
      <c r="Q49" s="99"/>
      <c r="R49" s="99"/>
      <c r="S49" s="99"/>
      <c r="T49" s="99"/>
      <c r="U49" s="99"/>
      <c r="V49" s="99"/>
      <c r="W49" s="99"/>
      <c r="X49" s="99"/>
      <c r="Y49" s="99"/>
      <c r="Z49" s="100"/>
      <c r="AA49" s="101"/>
      <c r="AB49" s="99"/>
      <c r="AC49" s="99"/>
      <c r="AD49" s="99"/>
      <c r="AE49" s="99"/>
      <c r="AF49" s="99"/>
      <c r="AG49" s="100"/>
      <c r="AH49" s="101"/>
      <c r="AI49" s="99"/>
      <c r="AJ49" s="100"/>
      <c r="AK49" s="101"/>
      <c r="AL49" s="99"/>
      <c r="AM49" s="99"/>
      <c r="AN49" s="99"/>
      <c r="AO49" s="100"/>
      <c r="AP49" s="98"/>
      <c r="AQ49" s="99"/>
      <c r="AR49" s="99"/>
      <c r="AS49" s="99"/>
      <c r="AT49" s="99"/>
      <c r="AU49" s="99"/>
      <c r="AV49" s="99"/>
      <c r="AW49" s="99"/>
      <c r="AX49" s="99"/>
      <c r="AY49" s="99"/>
      <c r="AZ49" s="99"/>
      <c r="BA49" s="99"/>
      <c r="BB49" s="99"/>
      <c r="BC49" s="99"/>
      <c r="BD49" s="99"/>
      <c r="BE49" s="100"/>
      <c r="BF49" s="101"/>
      <c r="BG49" s="99"/>
      <c r="BH49" s="99"/>
      <c r="BI49" s="99"/>
      <c r="BJ49" s="99"/>
      <c r="BK49" s="99"/>
      <c r="BL49" s="100"/>
      <c r="BM49" s="101"/>
      <c r="BN49" s="99"/>
      <c r="BO49" s="100"/>
      <c r="BP49" s="101"/>
      <c r="BQ49" s="99"/>
      <c r="BR49" s="99"/>
      <c r="BS49" s="99"/>
      <c r="BT49" s="100"/>
      <c r="BU49" s="98"/>
      <c r="BV49" s="99"/>
      <c r="BW49" s="99"/>
      <c r="BX49" s="99"/>
      <c r="BY49" s="99"/>
      <c r="BZ49" s="99"/>
      <c r="CA49" s="99"/>
      <c r="CB49" s="99"/>
      <c r="CC49" s="99"/>
      <c r="CD49" s="99"/>
      <c r="CE49" s="99"/>
      <c r="CF49" s="99"/>
      <c r="CG49" s="99"/>
      <c r="CH49" s="99"/>
      <c r="CI49" s="99"/>
      <c r="CJ49" s="100"/>
      <c r="CK49" s="101"/>
      <c r="CL49" s="99"/>
      <c r="CM49" s="99"/>
      <c r="CN49" s="99"/>
      <c r="CO49" s="99"/>
      <c r="CP49" s="99"/>
      <c r="CQ49" s="100"/>
      <c r="CR49" s="101"/>
      <c r="CS49" s="99"/>
      <c r="CT49" s="100"/>
      <c r="CU49" s="101"/>
      <c r="CV49" s="99"/>
      <c r="CW49" s="99"/>
      <c r="CX49" s="99"/>
      <c r="CY49" s="99"/>
    </row>
    <row r="50" spans="1:103" collapsed="1" x14ac:dyDescent="0.2">
      <c r="A50" s="394" t="s">
        <v>2</v>
      </c>
      <c r="B50" s="395" t="str">
        <f>VLOOKUP(A50,'1. Mesures'!$A$2:$B$116,2,0)</f>
        <v>Supprimer les obstacles à la libre circulation des poissons</v>
      </c>
      <c r="C50" s="96">
        <v>0</v>
      </c>
      <c r="D50" s="96">
        <v>250000</v>
      </c>
      <c r="E50" s="96">
        <v>200000</v>
      </c>
      <c r="F50" s="96"/>
      <c r="G50" s="96"/>
      <c r="H50" s="96">
        <v>450000</v>
      </c>
      <c r="I50" s="97" t="s">
        <v>1589</v>
      </c>
      <c r="J50" s="97"/>
      <c r="K50" s="98"/>
      <c r="L50" s="99"/>
      <c r="M50" s="99"/>
      <c r="N50" s="99"/>
      <c r="O50" s="99"/>
      <c r="P50" s="99"/>
      <c r="Q50" s="99"/>
      <c r="R50" s="99"/>
      <c r="S50" s="99"/>
      <c r="T50" s="99"/>
      <c r="U50" s="99"/>
      <c r="V50" s="99"/>
      <c r="W50" s="99"/>
      <c r="X50" s="99"/>
      <c r="Y50" s="99"/>
      <c r="Z50" s="100"/>
      <c r="AA50" s="101"/>
      <c r="AB50" s="99"/>
      <c r="AC50" s="99"/>
      <c r="AD50" s="99"/>
      <c r="AE50" s="99"/>
      <c r="AF50" s="99"/>
      <c r="AG50" s="100"/>
      <c r="AH50" s="101" t="s">
        <v>1575</v>
      </c>
      <c r="AI50" s="99"/>
      <c r="AJ50" s="100"/>
      <c r="AK50" s="101"/>
      <c r="AL50" s="99"/>
      <c r="AM50" s="99"/>
      <c r="AN50" s="99"/>
      <c r="AO50" s="100" t="s">
        <v>1575</v>
      </c>
      <c r="AP50" s="98"/>
      <c r="AQ50" s="99"/>
      <c r="AR50" s="99"/>
      <c r="AS50" s="99"/>
      <c r="AT50" s="99"/>
      <c r="AU50" s="99"/>
      <c r="AV50" s="99"/>
      <c r="AW50" s="99"/>
      <c r="AX50" s="99"/>
      <c r="AY50" s="99"/>
      <c r="AZ50" s="99"/>
      <c r="BA50" s="99"/>
      <c r="BB50" s="99"/>
      <c r="BC50" s="99"/>
      <c r="BD50" s="99"/>
      <c r="BE50" s="100"/>
      <c r="BF50" s="101"/>
      <c r="BG50" s="99"/>
      <c r="BH50" s="99"/>
      <c r="BI50" s="99"/>
      <c r="BJ50" s="99"/>
      <c r="BK50" s="99"/>
      <c r="BL50" s="100"/>
      <c r="BM50" s="101"/>
      <c r="BN50" s="99"/>
      <c r="BO50" s="100"/>
      <c r="BP50" s="101"/>
      <c r="BQ50" s="99"/>
      <c r="BR50" s="99"/>
      <c r="BS50" s="99"/>
      <c r="BT50" s="100"/>
      <c r="BU50" s="98"/>
      <c r="BV50" s="99"/>
      <c r="BW50" s="99"/>
      <c r="BX50" s="99"/>
      <c r="BY50" s="99"/>
      <c r="BZ50" s="99"/>
      <c r="CA50" s="99"/>
      <c r="CB50" s="99"/>
      <c r="CC50" s="99"/>
      <c r="CD50" s="99"/>
      <c r="CE50" s="99"/>
      <c r="CF50" s="99"/>
      <c r="CG50" s="99"/>
      <c r="CH50" s="99"/>
      <c r="CI50" s="99"/>
      <c r="CJ50" s="100"/>
      <c r="CK50" s="101"/>
      <c r="CL50" s="99"/>
      <c r="CM50" s="99"/>
      <c r="CN50" s="99"/>
      <c r="CO50" s="99"/>
      <c r="CP50" s="99"/>
      <c r="CQ50" s="100"/>
      <c r="CR50" s="101" t="s">
        <v>1575</v>
      </c>
      <c r="CS50" s="99"/>
      <c r="CT50" s="100"/>
      <c r="CU50" s="101"/>
      <c r="CV50" s="99"/>
      <c r="CW50" s="99"/>
      <c r="CX50" s="99"/>
      <c r="CY50" s="99" t="s">
        <v>1575</v>
      </c>
    </row>
    <row r="51" spans="1:103" ht="25.5" hidden="1" outlineLevel="1" x14ac:dyDescent="0.2">
      <c r="A51" s="424" t="s">
        <v>775</v>
      </c>
      <c r="B51" s="401" t="str">
        <f>VLOOKUP(A51,[1]ACTIONS!$A$3:$B$238,2,0)</f>
        <v>Réaliser une étude de faisabilité pour l’aménagement d’une 1ère série d’obstacles sur la Woluwe (4 obstacles dans partie aval) et la Senne (action C12_1 Belini pour la Senne)</v>
      </c>
      <c r="C51" s="96"/>
      <c r="D51" s="96"/>
      <c r="E51" s="96">
        <v>50000</v>
      </c>
      <c r="F51" s="96"/>
      <c r="G51" s="96"/>
      <c r="H51" s="96">
        <v>50000</v>
      </c>
      <c r="I51" s="97"/>
      <c r="J51" s="97"/>
      <c r="K51" s="98"/>
      <c r="L51" s="99"/>
      <c r="M51" s="99"/>
      <c r="N51" s="99"/>
      <c r="O51" s="99"/>
      <c r="P51" s="99"/>
      <c r="Q51" s="99"/>
      <c r="R51" s="99"/>
      <c r="S51" s="99"/>
      <c r="T51" s="99"/>
      <c r="U51" s="99"/>
      <c r="V51" s="99"/>
      <c r="W51" s="99"/>
      <c r="X51" s="99"/>
      <c r="Y51" s="99"/>
      <c r="Z51" s="100"/>
      <c r="AA51" s="101"/>
      <c r="AB51" s="99"/>
      <c r="AC51" s="99"/>
      <c r="AD51" s="99"/>
      <c r="AE51" s="99"/>
      <c r="AF51" s="99"/>
      <c r="AG51" s="100"/>
      <c r="AH51" s="101"/>
      <c r="AI51" s="99"/>
      <c r="AJ51" s="100"/>
      <c r="AK51" s="101"/>
      <c r="AL51" s="99"/>
      <c r="AM51" s="99"/>
      <c r="AN51" s="99"/>
      <c r="AO51" s="100"/>
      <c r="AP51" s="98"/>
      <c r="AQ51" s="99"/>
      <c r="AR51" s="99"/>
      <c r="AS51" s="99"/>
      <c r="AT51" s="99"/>
      <c r="AU51" s="99"/>
      <c r="AV51" s="99"/>
      <c r="AW51" s="99"/>
      <c r="AX51" s="99"/>
      <c r="AY51" s="99"/>
      <c r="AZ51" s="99"/>
      <c r="BA51" s="99"/>
      <c r="BB51" s="99"/>
      <c r="BC51" s="99"/>
      <c r="BD51" s="99"/>
      <c r="BE51" s="100"/>
      <c r="BF51" s="101"/>
      <c r="BG51" s="99"/>
      <c r="BH51" s="99"/>
      <c r="BI51" s="99"/>
      <c r="BJ51" s="99"/>
      <c r="BK51" s="99"/>
      <c r="BL51" s="100"/>
      <c r="BM51" s="101"/>
      <c r="BN51" s="99"/>
      <c r="BO51" s="100"/>
      <c r="BP51" s="101"/>
      <c r="BQ51" s="99"/>
      <c r="BR51" s="99"/>
      <c r="BS51" s="99"/>
      <c r="BT51" s="100"/>
      <c r="BU51" s="98"/>
      <c r="BV51" s="99"/>
      <c r="BW51" s="99"/>
      <c r="BX51" s="99"/>
      <c r="BY51" s="99"/>
      <c r="BZ51" s="99"/>
      <c r="CA51" s="99"/>
      <c r="CB51" s="99"/>
      <c r="CC51" s="99"/>
      <c r="CD51" s="99"/>
      <c r="CE51" s="99"/>
      <c r="CF51" s="99"/>
      <c r="CG51" s="99"/>
      <c r="CH51" s="99"/>
      <c r="CI51" s="99"/>
      <c r="CJ51" s="100"/>
      <c r="CK51" s="101"/>
      <c r="CL51" s="99"/>
      <c r="CM51" s="99"/>
      <c r="CN51" s="99"/>
      <c r="CO51" s="99"/>
      <c r="CP51" s="99"/>
      <c r="CQ51" s="100"/>
      <c r="CR51" s="101"/>
      <c r="CS51" s="99"/>
      <c r="CT51" s="100"/>
      <c r="CU51" s="101"/>
      <c r="CV51" s="99"/>
      <c r="CW51" s="99"/>
      <c r="CX51" s="99"/>
      <c r="CY51" s="99"/>
    </row>
    <row r="52" spans="1:103" ht="25.5" hidden="1" outlineLevel="1" x14ac:dyDescent="0.2">
      <c r="A52" s="424" t="s">
        <v>776</v>
      </c>
      <c r="B52" s="401" t="str">
        <f>VLOOKUP(A52,[1]ACTIONS!$A$3:$B$238,2,0)</f>
        <v>Mener une étude de projet pour l’aménagement d’une 1ère série de 4 obstacles sur la Woluwe (partie aval) + 1 obstacle sur la Senne</v>
      </c>
      <c r="C52" s="96"/>
      <c r="D52" s="96"/>
      <c r="E52" s="96">
        <v>50000</v>
      </c>
      <c r="F52" s="96"/>
      <c r="G52" s="96"/>
      <c r="H52" s="96">
        <v>50000</v>
      </c>
      <c r="I52" s="97"/>
      <c r="J52" s="97"/>
      <c r="K52" s="98"/>
      <c r="L52" s="99"/>
      <c r="M52" s="99"/>
      <c r="N52" s="99"/>
      <c r="O52" s="99"/>
      <c r="P52" s="99"/>
      <c r="Q52" s="99"/>
      <c r="R52" s="99"/>
      <c r="S52" s="99"/>
      <c r="T52" s="99"/>
      <c r="U52" s="99"/>
      <c r="V52" s="99"/>
      <c r="W52" s="99"/>
      <c r="X52" s="99"/>
      <c r="Y52" s="99"/>
      <c r="Z52" s="100"/>
      <c r="AA52" s="101"/>
      <c r="AB52" s="99"/>
      <c r="AC52" s="99"/>
      <c r="AD52" s="99"/>
      <c r="AE52" s="99"/>
      <c r="AF52" s="99"/>
      <c r="AG52" s="100"/>
      <c r="AH52" s="101"/>
      <c r="AI52" s="99"/>
      <c r="AJ52" s="100"/>
      <c r="AK52" s="101"/>
      <c r="AL52" s="99"/>
      <c r="AM52" s="99"/>
      <c r="AN52" s="99"/>
      <c r="AO52" s="100"/>
      <c r="AP52" s="98"/>
      <c r="AQ52" s="99"/>
      <c r="AR52" s="99"/>
      <c r="AS52" s="99"/>
      <c r="AT52" s="99"/>
      <c r="AU52" s="99"/>
      <c r="AV52" s="99"/>
      <c r="AW52" s="99"/>
      <c r="AX52" s="99"/>
      <c r="AY52" s="99"/>
      <c r="AZ52" s="99"/>
      <c r="BA52" s="99"/>
      <c r="BB52" s="99"/>
      <c r="BC52" s="99"/>
      <c r="BD52" s="99"/>
      <c r="BE52" s="100"/>
      <c r="BF52" s="101"/>
      <c r="BG52" s="99"/>
      <c r="BH52" s="99"/>
      <c r="BI52" s="99"/>
      <c r="BJ52" s="99"/>
      <c r="BK52" s="99"/>
      <c r="BL52" s="100"/>
      <c r="BM52" s="101"/>
      <c r="BN52" s="99"/>
      <c r="BO52" s="100"/>
      <c r="BP52" s="101"/>
      <c r="BQ52" s="99"/>
      <c r="BR52" s="99"/>
      <c r="BS52" s="99"/>
      <c r="BT52" s="100"/>
      <c r="BU52" s="98"/>
      <c r="BV52" s="99"/>
      <c r="BW52" s="99"/>
      <c r="BX52" s="99"/>
      <c r="BY52" s="99"/>
      <c r="BZ52" s="99"/>
      <c r="CA52" s="99"/>
      <c r="CB52" s="99"/>
      <c r="CC52" s="99"/>
      <c r="CD52" s="99"/>
      <c r="CE52" s="99"/>
      <c r="CF52" s="99"/>
      <c r="CG52" s="99"/>
      <c r="CH52" s="99"/>
      <c r="CI52" s="99"/>
      <c r="CJ52" s="100"/>
      <c r="CK52" s="101"/>
      <c r="CL52" s="99"/>
      <c r="CM52" s="99"/>
      <c r="CN52" s="99"/>
      <c r="CO52" s="99"/>
      <c r="CP52" s="99"/>
      <c r="CQ52" s="100"/>
      <c r="CR52" s="101"/>
      <c r="CS52" s="99"/>
      <c r="CT52" s="100"/>
      <c r="CU52" s="101"/>
      <c r="CV52" s="99"/>
      <c r="CW52" s="99"/>
      <c r="CX52" s="99"/>
      <c r="CY52" s="99"/>
    </row>
    <row r="53" spans="1:103" hidden="1" outlineLevel="1" x14ac:dyDescent="0.2">
      <c r="A53" s="424" t="s">
        <v>777</v>
      </c>
      <c r="B53" s="401" t="str">
        <f>VLOOKUP(A53,[1]ACTIONS!$A$3:$B$238,2,0)</f>
        <v>Travaux d’aménagement de 2 obstacles parmi la 1ère série de 4 sur la Woluwe (partie aval)</v>
      </c>
      <c r="C53" s="96"/>
      <c r="D53" s="96"/>
      <c r="E53" s="96">
        <v>100000</v>
      </c>
      <c r="F53" s="96"/>
      <c r="G53" s="96"/>
      <c r="H53" s="96">
        <v>100000</v>
      </c>
      <c r="I53" s="97"/>
      <c r="J53" s="97"/>
      <c r="K53" s="98"/>
      <c r="L53" s="99"/>
      <c r="M53" s="99"/>
      <c r="N53" s="99"/>
      <c r="O53" s="99"/>
      <c r="P53" s="99"/>
      <c r="Q53" s="99"/>
      <c r="R53" s="99"/>
      <c r="S53" s="99"/>
      <c r="T53" s="99"/>
      <c r="U53" s="99"/>
      <c r="V53" s="99"/>
      <c r="W53" s="99"/>
      <c r="X53" s="99"/>
      <c r="Y53" s="99"/>
      <c r="Z53" s="100"/>
      <c r="AA53" s="101"/>
      <c r="AB53" s="99"/>
      <c r="AC53" s="99"/>
      <c r="AD53" s="99"/>
      <c r="AE53" s="99"/>
      <c r="AF53" s="99"/>
      <c r="AG53" s="100"/>
      <c r="AH53" s="101"/>
      <c r="AI53" s="99"/>
      <c r="AJ53" s="100"/>
      <c r="AK53" s="101"/>
      <c r="AL53" s="99"/>
      <c r="AM53" s="99"/>
      <c r="AN53" s="99"/>
      <c r="AO53" s="100"/>
      <c r="AP53" s="98"/>
      <c r="AQ53" s="99"/>
      <c r="AR53" s="99"/>
      <c r="AS53" s="99"/>
      <c r="AT53" s="99"/>
      <c r="AU53" s="99"/>
      <c r="AV53" s="99"/>
      <c r="AW53" s="99"/>
      <c r="AX53" s="99"/>
      <c r="AY53" s="99"/>
      <c r="AZ53" s="99"/>
      <c r="BA53" s="99"/>
      <c r="BB53" s="99"/>
      <c r="BC53" s="99"/>
      <c r="BD53" s="99"/>
      <c r="BE53" s="100"/>
      <c r="BF53" s="101"/>
      <c r="BG53" s="99"/>
      <c r="BH53" s="99"/>
      <c r="BI53" s="99"/>
      <c r="BJ53" s="99"/>
      <c r="BK53" s="99"/>
      <c r="BL53" s="100"/>
      <c r="BM53" s="101"/>
      <c r="BN53" s="99"/>
      <c r="BO53" s="100"/>
      <c r="BP53" s="101"/>
      <c r="BQ53" s="99"/>
      <c r="BR53" s="99"/>
      <c r="BS53" s="99"/>
      <c r="BT53" s="100"/>
      <c r="BU53" s="98"/>
      <c r="BV53" s="99"/>
      <c r="BW53" s="99"/>
      <c r="BX53" s="99"/>
      <c r="BY53" s="99"/>
      <c r="BZ53" s="99"/>
      <c r="CA53" s="99"/>
      <c r="CB53" s="99"/>
      <c r="CC53" s="99"/>
      <c r="CD53" s="99"/>
      <c r="CE53" s="99"/>
      <c r="CF53" s="99"/>
      <c r="CG53" s="99"/>
      <c r="CH53" s="99"/>
      <c r="CI53" s="99"/>
      <c r="CJ53" s="100"/>
      <c r="CK53" s="101"/>
      <c r="CL53" s="99"/>
      <c r="CM53" s="99"/>
      <c r="CN53" s="99"/>
      <c r="CO53" s="99"/>
      <c r="CP53" s="99"/>
      <c r="CQ53" s="100"/>
      <c r="CR53" s="101" t="s">
        <v>1575</v>
      </c>
      <c r="CS53" s="99"/>
      <c r="CT53" s="100"/>
      <c r="CU53" s="101"/>
      <c r="CV53" s="99"/>
      <c r="CW53" s="99"/>
      <c r="CX53" s="99"/>
      <c r="CY53" s="99" t="s">
        <v>1575</v>
      </c>
    </row>
    <row r="54" spans="1:103" hidden="1" outlineLevel="1" x14ac:dyDescent="0.2">
      <c r="A54" s="424" t="s">
        <v>778</v>
      </c>
      <c r="B54" s="401" t="str">
        <f>VLOOKUP(A54,[1]ACTIONS!$A$3:$B$238,2,0)</f>
        <v>Travaux d’aménagement des 2 derniers obstacles parmi la 1ère série de 4 sur la Woluwe (partie aval)</v>
      </c>
      <c r="C54" s="96"/>
      <c r="D54" s="96"/>
      <c r="E54" s="96">
        <v>0</v>
      </c>
      <c r="F54" s="96"/>
      <c r="G54" s="96"/>
      <c r="H54" s="96">
        <v>0</v>
      </c>
      <c r="I54" s="97"/>
      <c r="J54" s="97"/>
      <c r="K54" s="98"/>
      <c r="L54" s="99"/>
      <c r="M54" s="99"/>
      <c r="N54" s="99"/>
      <c r="O54" s="99"/>
      <c r="P54" s="99"/>
      <c r="Q54" s="99"/>
      <c r="R54" s="99"/>
      <c r="S54" s="99"/>
      <c r="T54" s="99"/>
      <c r="U54" s="99"/>
      <c r="V54" s="99"/>
      <c r="W54" s="99"/>
      <c r="X54" s="99"/>
      <c r="Y54" s="99"/>
      <c r="Z54" s="100"/>
      <c r="AA54" s="101"/>
      <c r="AB54" s="99"/>
      <c r="AC54" s="99"/>
      <c r="AD54" s="99"/>
      <c r="AE54" s="99"/>
      <c r="AF54" s="99"/>
      <c r="AG54" s="100"/>
      <c r="AH54" s="101"/>
      <c r="AI54" s="99"/>
      <c r="AJ54" s="100"/>
      <c r="AK54" s="101"/>
      <c r="AL54" s="99"/>
      <c r="AM54" s="99"/>
      <c r="AN54" s="99"/>
      <c r="AO54" s="100"/>
      <c r="AP54" s="98"/>
      <c r="AQ54" s="99"/>
      <c r="AR54" s="99"/>
      <c r="AS54" s="99"/>
      <c r="AT54" s="99"/>
      <c r="AU54" s="99"/>
      <c r="AV54" s="99"/>
      <c r="AW54" s="99"/>
      <c r="AX54" s="99"/>
      <c r="AY54" s="99"/>
      <c r="AZ54" s="99"/>
      <c r="BA54" s="99"/>
      <c r="BB54" s="99"/>
      <c r="BC54" s="99"/>
      <c r="BD54" s="99"/>
      <c r="BE54" s="100"/>
      <c r="BF54" s="101"/>
      <c r="BG54" s="99"/>
      <c r="BH54" s="99"/>
      <c r="BI54" s="99"/>
      <c r="BJ54" s="99"/>
      <c r="BK54" s="99"/>
      <c r="BL54" s="100"/>
      <c r="BM54" s="101"/>
      <c r="BN54" s="99"/>
      <c r="BO54" s="100"/>
      <c r="BP54" s="101"/>
      <c r="BQ54" s="99"/>
      <c r="BR54" s="99"/>
      <c r="BS54" s="99"/>
      <c r="BT54" s="100"/>
      <c r="BU54" s="98"/>
      <c r="BV54" s="99"/>
      <c r="BW54" s="99"/>
      <c r="BX54" s="99"/>
      <c r="BY54" s="99"/>
      <c r="BZ54" s="99"/>
      <c r="CA54" s="99"/>
      <c r="CB54" s="99"/>
      <c r="CC54" s="99"/>
      <c r="CD54" s="99"/>
      <c r="CE54" s="99"/>
      <c r="CF54" s="99"/>
      <c r="CG54" s="99"/>
      <c r="CH54" s="99"/>
      <c r="CI54" s="99"/>
      <c r="CJ54" s="100"/>
      <c r="CK54" s="101"/>
      <c r="CL54" s="99"/>
      <c r="CM54" s="99"/>
      <c r="CN54" s="99"/>
      <c r="CO54" s="99"/>
      <c r="CP54" s="99"/>
      <c r="CQ54" s="100"/>
      <c r="CR54" s="102" t="s">
        <v>1575</v>
      </c>
      <c r="CS54" s="99"/>
      <c r="CT54" s="100"/>
      <c r="CU54" s="101"/>
      <c r="CV54" s="99"/>
      <c r="CW54" s="99"/>
      <c r="CX54" s="99"/>
      <c r="CY54" s="103" t="s">
        <v>1575</v>
      </c>
    </row>
    <row r="55" spans="1:103" hidden="1" outlineLevel="1" x14ac:dyDescent="0.2">
      <c r="A55" s="424" t="s">
        <v>779</v>
      </c>
      <c r="B55" s="401" t="str">
        <f>VLOOKUP(A55,[1]ACTIONS!$A$3:$B$238,2,0)</f>
        <v>Travaux d’aménagement de l’obstacle sur la Senne</v>
      </c>
      <c r="C55" s="96"/>
      <c r="D55" s="96">
        <v>250000</v>
      </c>
      <c r="E55" s="96"/>
      <c r="F55" s="96"/>
      <c r="G55" s="96"/>
      <c r="H55" s="96">
        <v>250000</v>
      </c>
      <c r="I55" s="97"/>
      <c r="J55" s="97"/>
      <c r="K55" s="98"/>
      <c r="L55" s="99"/>
      <c r="M55" s="99"/>
      <c r="N55" s="99"/>
      <c r="O55" s="99"/>
      <c r="P55" s="99"/>
      <c r="Q55" s="99"/>
      <c r="R55" s="99"/>
      <c r="S55" s="99"/>
      <c r="T55" s="99"/>
      <c r="U55" s="99"/>
      <c r="V55" s="99"/>
      <c r="W55" s="99"/>
      <c r="X55" s="99"/>
      <c r="Y55" s="99"/>
      <c r="Z55" s="100"/>
      <c r="AA55" s="101"/>
      <c r="AB55" s="99"/>
      <c r="AC55" s="99"/>
      <c r="AD55" s="99"/>
      <c r="AE55" s="99"/>
      <c r="AF55" s="99"/>
      <c r="AG55" s="100"/>
      <c r="AH55" s="101" t="s">
        <v>1575</v>
      </c>
      <c r="AI55" s="99"/>
      <c r="AJ55" s="100"/>
      <c r="AK55" s="101"/>
      <c r="AL55" s="99"/>
      <c r="AM55" s="99"/>
      <c r="AN55" s="99"/>
      <c r="AO55" s="100" t="s">
        <v>1575</v>
      </c>
      <c r="AP55" s="98"/>
      <c r="AQ55" s="99"/>
      <c r="AR55" s="99"/>
      <c r="AS55" s="99"/>
      <c r="AT55" s="99"/>
      <c r="AU55" s="99"/>
      <c r="AV55" s="99"/>
      <c r="AW55" s="99"/>
      <c r="AX55" s="99"/>
      <c r="AY55" s="99"/>
      <c r="AZ55" s="99"/>
      <c r="BA55" s="99"/>
      <c r="BB55" s="99"/>
      <c r="BC55" s="99"/>
      <c r="BD55" s="99"/>
      <c r="BE55" s="100"/>
      <c r="BF55" s="101"/>
      <c r="BG55" s="99"/>
      <c r="BH55" s="99"/>
      <c r="BI55" s="99"/>
      <c r="BJ55" s="99"/>
      <c r="BK55" s="99"/>
      <c r="BL55" s="100"/>
      <c r="BM55" s="101"/>
      <c r="BN55" s="99"/>
      <c r="BO55" s="100"/>
      <c r="BP55" s="101"/>
      <c r="BQ55" s="99"/>
      <c r="BR55" s="99"/>
      <c r="BS55" s="99"/>
      <c r="BT55" s="100"/>
      <c r="BU55" s="98"/>
      <c r="BV55" s="99"/>
      <c r="BW55" s="99"/>
      <c r="BX55" s="99"/>
      <c r="BY55" s="99"/>
      <c r="BZ55" s="99"/>
      <c r="CA55" s="99"/>
      <c r="CB55" s="99"/>
      <c r="CC55" s="99"/>
      <c r="CD55" s="99"/>
      <c r="CE55" s="99"/>
      <c r="CF55" s="99"/>
      <c r="CG55" s="99"/>
      <c r="CH55" s="99"/>
      <c r="CI55" s="99"/>
      <c r="CJ55" s="100"/>
      <c r="CK55" s="101"/>
      <c r="CL55" s="99"/>
      <c r="CM55" s="99"/>
      <c r="CN55" s="99"/>
      <c r="CO55" s="99"/>
      <c r="CP55" s="99"/>
      <c r="CQ55" s="100"/>
      <c r="CR55" s="101"/>
      <c r="CS55" s="99"/>
      <c r="CT55" s="100"/>
      <c r="CU55" s="101"/>
      <c r="CV55" s="99"/>
      <c r="CW55" s="99"/>
      <c r="CX55" s="99"/>
      <c r="CY55" s="99"/>
    </row>
    <row r="56" spans="1:103" hidden="1" outlineLevel="1" x14ac:dyDescent="0.2">
      <c r="A56" s="424" t="s">
        <v>780</v>
      </c>
      <c r="B56" s="401" t="str">
        <f>VLOOKUP(A56,[1]ACTIONS!$A$3:$B$238,2,0)</f>
        <v>Réaliser une étude de faisabilité pour l’aménagement d’une 2ème série de 5 obstacles sur la Woluwe (partie amont)</v>
      </c>
      <c r="C56" s="96"/>
      <c r="D56" s="96"/>
      <c r="E56" s="96">
        <v>0</v>
      </c>
      <c r="F56" s="96"/>
      <c r="G56" s="96"/>
      <c r="H56" s="96">
        <v>0</v>
      </c>
      <c r="I56" s="97"/>
      <c r="J56" s="97"/>
      <c r="K56" s="98"/>
      <c r="L56" s="99"/>
      <c r="M56" s="99"/>
      <c r="N56" s="99"/>
      <c r="O56" s="99"/>
      <c r="P56" s="99"/>
      <c r="Q56" s="99"/>
      <c r="R56" s="99"/>
      <c r="S56" s="99"/>
      <c r="T56" s="99"/>
      <c r="U56" s="99"/>
      <c r="V56" s="99"/>
      <c r="W56" s="99"/>
      <c r="X56" s="99"/>
      <c r="Y56" s="99"/>
      <c r="Z56" s="100"/>
      <c r="AA56" s="101"/>
      <c r="AB56" s="99"/>
      <c r="AC56" s="99"/>
      <c r="AD56" s="99"/>
      <c r="AE56" s="99"/>
      <c r="AF56" s="99"/>
      <c r="AG56" s="100"/>
      <c r="AH56" s="101"/>
      <c r="AI56" s="99"/>
      <c r="AJ56" s="100"/>
      <c r="AK56" s="101"/>
      <c r="AL56" s="99"/>
      <c r="AM56" s="99"/>
      <c r="AN56" s="99"/>
      <c r="AO56" s="100"/>
      <c r="AP56" s="98"/>
      <c r="AQ56" s="99"/>
      <c r="AR56" s="99"/>
      <c r="AS56" s="99"/>
      <c r="AT56" s="99"/>
      <c r="AU56" s="99"/>
      <c r="AV56" s="99"/>
      <c r="AW56" s="99"/>
      <c r="AX56" s="99"/>
      <c r="AY56" s="99"/>
      <c r="AZ56" s="99"/>
      <c r="BA56" s="99"/>
      <c r="BB56" s="99"/>
      <c r="BC56" s="99"/>
      <c r="BD56" s="99"/>
      <c r="BE56" s="100"/>
      <c r="BF56" s="101"/>
      <c r="BG56" s="99"/>
      <c r="BH56" s="99"/>
      <c r="BI56" s="99"/>
      <c r="BJ56" s="99"/>
      <c r="BK56" s="99"/>
      <c r="BL56" s="100"/>
      <c r="BM56" s="101"/>
      <c r="BN56" s="99"/>
      <c r="BO56" s="100"/>
      <c r="BP56" s="101"/>
      <c r="BQ56" s="99"/>
      <c r="BR56" s="99"/>
      <c r="BS56" s="99"/>
      <c r="BT56" s="100"/>
      <c r="BU56" s="98"/>
      <c r="BV56" s="99"/>
      <c r="BW56" s="99"/>
      <c r="BX56" s="99"/>
      <c r="BY56" s="99"/>
      <c r="BZ56" s="99"/>
      <c r="CA56" s="99"/>
      <c r="CB56" s="99"/>
      <c r="CC56" s="99"/>
      <c r="CD56" s="99"/>
      <c r="CE56" s="99"/>
      <c r="CF56" s="99"/>
      <c r="CG56" s="99"/>
      <c r="CH56" s="99"/>
      <c r="CI56" s="99"/>
      <c r="CJ56" s="100"/>
      <c r="CK56" s="101"/>
      <c r="CL56" s="99"/>
      <c r="CM56" s="99"/>
      <c r="CN56" s="99"/>
      <c r="CO56" s="99"/>
      <c r="CP56" s="99"/>
      <c r="CQ56" s="100"/>
      <c r="CR56" s="101"/>
      <c r="CS56" s="99"/>
      <c r="CT56" s="100"/>
      <c r="CU56" s="101"/>
      <c r="CV56" s="99"/>
      <c r="CW56" s="99"/>
      <c r="CX56" s="99"/>
      <c r="CY56" s="99"/>
    </row>
    <row r="57" spans="1:103" hidden="1" outlineLevel="1" x14ac:dyDescent="0.2">
      <c r="A57" s="424" t="s">
        <v>781</v>
      </c>
      <c r="B57" s="401" t="str">
        <f>VLOOKUP(A57,[1]ACTIONS!$A$3:$B$238,2,0)</f>
        <v>Réaliser une étude de projet pour l’aménagement d’une 2ème série de 5 obstacles sur la Woluwe (partie amont)</v>
      </c>
      <c r="C57" s="96"/>
      <c r="D57" s="96"/>
      <c r="E57" s="96">
        <v>0</v>
      </c>
      <c r="F57" s="96"/>
      <c r="G57" s="96"/>
      <c r="H57" s="96">
        <v>0</v>
      </c>
      <c r="I57" s="97"/>
      <c r="J57" s="97"/>
      <c r="K57" s="98"/>
      <c r="L57" s="99"/>
      <c r="M57" s="99"/>
      <c r="N57" s="99"/>
      <c r="O57" s="99"/>
      <c r="P57" s="99"/>
      <c r="Q57" s="99"/>
      <c r="R57" s="99"/>
      <c r="S57" s="99"/>
      <c r="T57" s="99"/>
      <c r="U57" s="99"/>
      <c r="V57" s="99"/>
      <c r="W57" s="99"/>
      <c r="X57" s="99"/>
      <c r="Y57" s="99"/>
      <c r="Z57" s="100"/>
      <c r="AA57" s="101"/>
      <c r="AB57" s="99"/>
      <c r="AC57" s="99"/>
      <c r="AD57" s="99"/>
      <c r="AE57" s="99"/>
      <c r="AF57" s="99"/>
      <c r="AG57" s="100"/>
      <c r="AH57" s="101"/>
      <c r="AI57" s="99"/>
      <c r="AJ57" s="100"/>
      <c r="AK57" s="101"/>
      <c r="AL57" s="99"/>
      <c r="AM57" s="99"/>
      <c r="AN57" s="99"/>
      <c r="AO57" s="100"/>
      <c r="AP57" s="98"/>
      <c r="AQ57" s="99"/>
      <c r="AR57" s="99"/>
      <c r="AS57" s="99"/>
      <c r="AT57" s="99"/>
      <c r="AU57" s="99"/>
      <c r="AV57" s="99"/>
      <c r="AW57" s="99"/>
      <c r="AX57" s="99"/>
      <c r="AY57" s="99"/>
      <c r="AZ57" s="99"/>
      <c r="BA57" s="99"/>
      <c r="BB57" s="99"/>
      <c r="BC57" s="99"/>
      <c r="BD57" s="99"/>
      <c r="BE57" s="100"/>
      <c r="BF57" s="101"/>
      <c r="BG57" s="99"/>
      <c r="BH57" s="99"/>
      <c r="BI57" s="99"/>
      <c r="BJ57" s="99"/>
      <c r="BK57" s="99"/>
      <c r="BL57" s="100"/>
      <c r="BM57" s="101"/>
      <c r="BN57" s="99"/>
      <c r="BO57" s="100"/>
      <c r="BP57" s="101"/>
      <c r="BQ57" s="99"/>
      <c r="BR57" s="99"/>
      <c r="BS57" s="99"/>
      <c r="BT57" s="100"/>
      <c r="BU57" s="98"/>
      <c r="BV57" s="99"/>
      <c r="BW57" s="99"/>
      <c r="BX57" s="99"/>
      <c r="BY57" s="99"/>
      <c r="BZ57" s="99"/>
      <c r="CA57" s="99"/>
      <c r="CB57" s="99"/>
      <c r="CC57" s="99"/>
      <c r="CD57" s="99"/>
      <c r="CE57" s="99"/>
      <c r="CF57" s="99"/>
      <c r="CG57" s="99"/>
      <c r="CH57" s="99"/>
      <c r="CI57" s="99"/>
      <c r="CJ57" s="100"/>
      <c r="CK57" s="101"/>
      <c r="CL57" s="99"/>
      <c r="CM57" s="99"/>
      <c r="CN57" s="99"/>
      <c r="CO57" s="99"/>
      <c r="CP57" s="99"/>
      <c r="CQ57" s="100"/>
      <c r="CR57" s="101"/>
      <c r="CS57" s="99"/>
      <c r="CT57" s="100"/>
      <c r="CU57" s="101"/>
      <c r="CV57" s="99"/>
      <c r="CW57" s="99"/>
      <c r="CX57" s="99"/>
      <c r="CY57" s="99"/>
    </row>
    <row r="58" spans="1:103" hidden="1" outlineLevel="1" x14ac:dyDescent="0.2">
      <c r="A58" s="424" t="s">
        <v>782</v>
      </c>
      <c r="B58" s="401" t="str">
        <f>VLOOKUP(A58,[1]ACTIONS!$A$3:$B$238,2,0)</f>
        <v>Travaux d’aménagement des 5 obstacles de la 2ème série sur la Woluwe (partie amont)</v>
      </c>
      <c r="C58" s="96"/>
      <c r="D58" s="96"/>
      <c r="E58" s="96">
        <v>0</v>
      </c>
      <c r="F58" s="96"/>
      <c r="G58" s="96"/>
      <c r="H58" s="96">
        <v>0</v>
      </c>
      <c r="I58" s="97"/>
      <c r="J58" s="97"/>
      <c r="K58" s="98"/>
      <c r="L58" s="99"/>
      <c r="M58" s="99"/>
      <c r="N58" s="99"/>
      <c r="O58" s="99"/>
      <c r="P58" s="99"/>
      <c r="Q58" s="99"/>
      <c r="R58" s="99"/>
      <c r="S58" s="99"/>
      <c r="T58" s="99"/>
      <c r="U58" s="99"/>
      <c r="V58" s="99"/>
      <c r="W58" s="99"/>
      <c r="X58" s="99"/>
      <c r="Y58" s="99"/>
      <c r="Z58" s="100"/>
      <c r="AA58" s="101"/>
      <c r="AB58" s="99"/>
      <c r="AC58" s="99"/>
      <c r="AD58" s="99"/>
      <c r="AE58" s="99"/>
      <c r="AF58" s="99"/>
      <c r="AG58" s="100"/>
      <c r="AH58" s="101"/>
      <c r="AI58" s="99"/>
      <c r="AJ58" s="100"/>
      <c r="AK58" s="101"/>
      <c r="AL58" s="99"/>
      <c r="AM58" s="99"/>
      <c r="AN58" s="99"/>
      <c r="AO58" s="100"/>
      <c r="AP58" s="98"/>
      <c r="AQ58" s="99"/>
      <c r="AR58" s="99"/>
      <c r="AS58" s="99"/>
      <c r="AT58" s="99"/>
      <c r="AU58" s="99"/>
      <c r="AV58" s="99"/>
      <c r="AW58" s="99"/>
      <c r="AX58" s="99"/>
      <c r="AY58" s="99"/>
      <c r="AZ58" s="99"/>
      <c r="BA58" s="99"/>
      <c r="BB58" s="99"/>
      <c r="BC58" s="99"/>
      <c r="BD58" s="99"/>
      <c r="BE58" s="100"/>
      <c r="BF58" s="101"/>
      <c r="BG58" s="99"/>
      <c r="BH58" s="99"/>
      <c r="BI58" s="99"/>
      <c r="BJ58" s="99"/>
      <c r="BK58" s="99"/>
      <c r="BL58" s="100"/>
      <c r="BM58" s="101"/>
      <c r="BN58" s="99"/>
      <c r="BO58" s="100"/>
      <c r="BP58" s="101"/>
      <c r="BQ58" s="99"/>
      <c r="BR58" s="99"/>
      <c r="BS58" s="99"/>
      <c r="BT58" s="100"/>
      <c r="BU58" s="98"/>
      <c r="BV58" s="99"/>
      <c r="BW58" s="99"/>
      <c r="BX58" s="99"/>
      <c r="BY58" s="99"/>
      <c r="BZ58" s="99"/>
      <c r="CA58" s="99"/>
      <c r="CB58" s="99"/>
      <c r="CC58" s="99"/>
      <c r="CD58" s="99"/>
      <c r="CE58" s="99"/>
      <c r="CF58" s="99"/>
      <c r="CG58" s="99"/>
      <c r="CH58" s="99"/>
      <c r="CI58" s="99"/>
      <c r="CJ58" s="100"/>
      <c r="CK58" s="101"/>
      <c r="CL58" s="99"/>
      <c r="CM58" s="99"/>
      <c r="CN58" s="99"/>
      <c r="CO58" s="99"/>
      <c r="CP58" s="99"/>
      <c r="CQ58" s="100"/>
      <c r="CR58" s="102" t="s">
        <v>1576</v>
      </c>
      <c r="CS58" s="99"/>
      <c r="CT58" s="100"/>
      <c r="CU58" s="101"/>
      <c r="CV58" s="99"/>
      <c r="CW58" s="99"/>
      <c r="CX58" s="99"/>
      <c r="CY58" s="103" t="s">
        <v>1576</v>
      </c>
    </row>
    <row r="59" spans="1:103" hidden="1" outlineLevel="1" x14ac:dyDescent="0.2">
      <c r="A59" s="424" t="s">
        <v>783</v>
      </c>
      <c r="B59" s="401" t="str">
        <f>VLOOKUP(A59,[1]ACTIONS!$A$3:$B$238,2,0)</f>
        <v>Aménager les écluses du Canal de passes à poissons</v>
      </c>
      <c r="C59" s="96">
        <v>0</v>
      </c>
      <c r="D59" s="96"/>
      <c r="E59" s="96"/>
      <c r="F59" s="96"/>
      <c r="G59" s="96"/>
      <c r="H59" s="96">
        <v>0</v>
      </c>
      <c r="I59" s="97"/>
      <c r="J59" s="97"/>
      <c r="K59" s="98"/>
      <c r="L59" s="99"/>
      <c r="M59" s="99"/>
      <c r="N59" s="99"/>
      <c r="O59" s="99"/>
      <c r="P59" s="99"/>
      <c r="Q59" s="99"/>
      <c r="R59" s="99"/>
      <c r="S59" s="99"/>
      <c r="T59" s="99"/>
      <c r="U59" s="99"/>
      <c r="V59" s="99"/>
      <c r="W59" s="99"/>
      <c r="X59" s="99"/>
      <c r="Y59" s="99"/>
      <c r="Z59" s="100"/>
      <c r="AA59" s="101"/>
      <c r="AB59" s="99"/>
      <c r="AC59" s="99"/>
      <c r="AD59" s="99"/>
      <c r="AE59" s="99"/>
      <c r="AF59" s="99"/>
      <c r="AG59" s="100"/>
      <c r="AH59" s="101"/>
      <c r="AI59" s="99"/>
      <c r="AJ59" s="100"/>
      <c r="AK59" s="101"/>
      <c r="AL59" s="99"/>
      <c r="AM59" s="99"/>
      <c r="AN59" s="99"/>
      <c r="AO59" s="100"/>
      <c r="AP59" s="98"/>
      <c r="AQ59" s="99"/>
      <c r="AR59" s="99"/>
      <c r="AS59" s="99"/>
      <c r="AT59" s="99"/>
      <c r="AU59" s="99"/>
      <c r="AV59" s="99"/>
      <c r="AW59" s="99"/>
      <c r="AX59" s="99"/>
      <c r="AY59" s="99"/>
      <c r="AZ59" s="99"/>
      <c r="BA59" s="99"/>
      <c r="BB59" s="99"/>
      <c r="BC59" s="99"/>
      <c r="BD59" s="99"/>
      <c r="BE59" s="100"/>
      <c r="BF59" s="101"/>
      <c r="BG59" s="99"/>
      <c r="BH59" s="99"/>
      <c r="BI59" s="99"/>
      <c r="BJ59" s="99"/>
      <c r="BK59" s="99"/>
      <c r="BL59" s="100"/>
      <c r="BM59" s="102" t="s">
        <v>1575</v>
      </c>
      <c r="BN59" s="99"/>
      <c r="BO59" s="100"/>
      <c r="BP59" s="101"/>
      <c r="BQ59" s="99"/>
      <c r="BR59" s="99"/>
      <c r="BS59" s="99"/>
      <c r="BT59" s="104" t="s">
        <v>1575</v>
      </c>
      <c r="BU59" s="98"/>
      <c r="BV59" s="99"/>
      <c r="BW59" s="99"/>
      <c r="BX59" s="99"/>
      <c r="BY59" s="99"/>
      <c r="BZ59" s="99"/>
      <c r="CA59" s="99"/>
      <c r="CB59" s="99"/>
      <c r="CC59" s="99"/>
      <c r="CD59" s="99"/>
      <c r="CE59" s="99"/>
      <c r="CF59" s="99"/>
      <c r="CG59" s="99"/>
      <c r="CH59" s="99"/>
      <c r="CI59" s="99"/>
      <c r="CJ59" s="100"/>
      <c r="CK59" s="101"/>
      <c r="CL59" s="99"/>
      <c r="CM59" s="99"/>
      <c r="CN59" s="99"/>
      <c r="CO59" s="99"/>
      <c r="CP59" s="99"/>
      <c r="CQ59" s="100"/>
      <c r="CR59" s="101"/>
      <c r="CS59" s="99"/>
      <c r="CT59" s="100"/>
      <c r="CU59" s="101"/>
      <c r="CV59" s="99"/>
      <c r="CW59" s="99"/>
      <c r="CX59" s="99"/>
      <c r="CY59" s="99"/>
    </row>
    <row r="60" spans="1:103" ht="25.5" collapsed="1" x14ac:dyDescent="0.2">
      <c r="A60" s="394" t="s">
        <v>3</v>
      </c>
      <c r="B60" s="395" t="str">
        <f>VLOOKUP(A60,'1. Mesures'!$A$2:$B$116,2,0)</f>
        <v>Lutter contre les espèces exotiques envahissantes qui portent atteinte ou présentent un risque pour le bon potentiel écologique des masses d'eau de surface</v>
      </c>
      <c r="C60" s="96"/>
      <c r="D60" s="96"/>
      <c r="E60" s="96"/>
      <c r="F60" s="96">
        <v>0</v>
      </c>
      <c r="G60" s="96">
        <v>330000</v>
      </c>
      <c r="H60" s="96">
        <v>330000</v>
      </c>
      <c r="I60" s="97" t="s">
        <v>1589</v>
      </c>
      <c r="J60" s="97"/>
      <c r="K60" s="98"/>
      <c r="L60" s="99"/>
      <c r="M60" s="99"/>
      <c r="N60" s="99"/>
      <c r="O60" s="99"/>
      <c r="P60" s="99"/>
      <c r="Q60" s="99"/>
      <c r="R60" s="99"/>
      <c r="S60" s="99"/>
      <c r="T60" s="99"/>
      <c r="U60" s="99"/>
      <c r="V60" s="99"/>
      <c r="W60" s="99"/>
      <c r="X60" s="99"/>
      <c r="Y60" s="99"/>
      <c r="Z60" s="100"/>
      <c r="AA60" s="101"/>
      <c r="AB60" s="99"/>
      <c r="AC60" s="99"/>
      <c r="AD60" s="99"/>
      <c r="AE60" s="99"/>
      <c r="AF60" s="99"/>
      <c r="AG60" s="100"/>
      <c r="AH60" s="101"/>
      <c r="AI60" s="99"/>
      <c r="AJ60" s="100"/>
      <c r="AK60" s="101"/>
      <c r="AL60" s="99"/>
      <c r="AM60" s="99" t="s">
        <v>1590</v>
      </c>
      <c r="AN60" s="99" t="s">
        <v>1590</v>
      </c>
      <c r="AO60" s="100" t="s">
        <v>1590</v>
      </c>
      <c r="AP60" s="98"/>
      <c r="AQ60" s="99"/>
      <c r="AR60" s="99"/>
      <c r="AS60" s="99"/>
      <c r="AT60" s="99"/>
      <c r="AU60" s="99"/>
      <c r="AV60" s="99"/>
      <c r="AW60" s="99"/>
      <c r="AX60" s="99"/>
      <c r="AY60" s="99"/>
      <c r="AZ60" s="99"/>
      <c r="BA60" s="99"/>
      <c r="BB60" s="99"/>
      <c r="BC60" s="99"/>
      <c r="BD60" s="99"/>
      <c r="BE60" s="100"/>
      <c r="BF60" s="101"/>
      <c r="BG60" s="99"/>
      <c r="BH60" s="99"/>
      <c r="BI60" s="99"/>
      <c r="BJ60" s="99"/>
      <c r="BK60" s="99"/>
      <c r="BL60" s="100"/>
      <c r="BM60" s="101"/>
      <c r="BN60" s="99"/>
      <c r="BO60" s="100"/>
      <c r="BP60" s="101"/>
      <c r="BQ60" s="99"/>
      <c r="BR60" s="99"/>
      <c r="BS60" s="99"/>
      <c r="BT60" s="100"/>
      <c r="BU60" s="98"/>
      <c r="BV60" s="99"/>
      <c r="BW60" s="99"/>
      <c r="BX60" s="99"/>
      <c r="BY60" s="99"/>
      <c r="BZ60" s="99"/>
      <c r="CA60" s="99"/>
      <c r="CB60" s="99"/>
      <c r="CC60" s="99"/>
      <c r="CD60" s="99"/>
      <c r="CE60" s="99"/>
      <c r="CF60" s="99"/>
      <c r="CG60" s="99"/>
      <c r="CH60" s="99"/>
      <c r="CI60" s="99"/>
      <c r="CJ60" s="100"/>
      <c r="CK60" s="101"/>
      <c r="CL60" s="99"/>
      <c r="CM60" s="99"/>
      <c r="CN60" s="99"/>
      <c r="CO60" s="99"/>
      <c r="CP60" s="99"/>
      <c r="CQ60" s="100"/>
      <c r="CR60" s="101"/>
      <c r="CS60" s="99"/>
      <c r="CT60" s="100"/>
      <c r="CU60" s="101"/>
      <c r="CV60" s="99"/>
      <c r="CW60" s="99"/>
      <c r="CX60" s="99" t="s">
        <v>1575</v>
      </c>
      <c r="CY60" s="99" t="s">
        <v>1575</v>
      </c>
    </row>
    <row r="61" spans="1:103" ht="153" hidden="1" outlineLevel="1" x14ac:dyDescent="0.2">
      <c r="A61" s="424" t="s">
        <v>784</v>
      </c>
      <c r="B61" s="425" t="str">
        <f>VLOOKUP(A61,[1]ACTIONS!$A$3:$B$238,2,0)</f>
        <v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v>
      </c>
      <c r="C61" s="96"/>
      <c r="D61" s="96"/>
      <c r="E61" s="96"/>
      <c r="F61" s="96"/>
      <c r="G61" s="96">
        <v>0</v>
      </c>
      <c r="H61" s="96">
        <v>0</v>
      </c>
      <c r="I61" s="97"/>
      <c r="J61" s="97"/>
      <c r="K61" s="98"/>
      <c r="L61" s="99"/>
      <c r="M61" s="99"/>
      <c r="N61" s="99"/>
      <c r="O61" s="99"/>
      <c r="P61" s="99"/>
      <c r="Q61" s="99"/>
      <c r="R61" s="99"/>
      <c r="S61" s="99"/>
      <c r="T61" s="99"/>
      <c r="U61" s="99"/>
      <c r="V61" s="99"/>
      <c r="W61" s="99"/>
      <c r="X61" s="99"/>
      <c r="Y61" s="99"/>
      <c r="Z61" s="100"/>
      <c r="AA61" s="101"/>
      <c r="AB61" s="99"/>
      <c r="AC61" s="99"/>
      <c r="AD61" s="99"/>
      <c r="AE61" s="99"/>
      <c r="AF61" s="99"/>
      <c r="AG61" s="100"/>
      <c r="AH61" s="101"/>
      <c r="AI61" s="99"/>
      <c r="AJ61" s="100"/>
      <c r="AK61" s="101"/>
      <c r="AL61" s="99"/>
      <c r="AM61" s="99"/>
      <c r="AN61" s="99"/>
      <c r="AO61" s="100"/>
      <c r="AP61" s="98"/>
      <c r="AQ61" s="99"/>
      <c r="AR61" s="99"/>
      <c r="AS61" s="99"/>
      <c r="AT61" s="99"/>
      <c r="AU61" s="99"/>
      <c r="AV61" s="99"/>
      <c r="AW61" s="99"/>
      <c r="AX61" s="99"/>
      <c r="AY61" s="99"/>
      <c r="AZ61" s="99"/>
      <c r="BA61" s="99"/>
      <c r="BB61" s="99"/>
      <c r="BC61" s="99"/>
      <c r="BD61" s="99"/>
      <c r="BE61" s="100"/>
      <c r="BF61" s="101"/>
      <c r="BG61" s="99"/>
      <c r="BH61" s="99"/>
      <c r="BI61" s="99"/>
      <c r="BJ61" s="99"/>
      <c r="BK61" s="99"/>
      <c r="BL61" s="100"/>
      <c r="BM61" s="101"/>
      <c r="BN61" s="99"/>
      <c r="BO61" s="100"/>
      <c r="BP61" s="101"/>
      <c r="BQ61" s="99"/>
      <c r="BR61" s="99"/>
      <c r="BS61" s="99"/>
      <c r="BT61" s="100"/>
      <c r="BU61" s="98"/>
      <c r="BV61" s="99"/>
      <c r="BW61" s="99"/>
      <c r="BX61" s="99"/>
      <c r="BY61" s="99"/>
      <c r="BZ61" s="99"/>
      <c r="CA61" s="99"/>
      <c r="CB61" s="99"/>
      <c r="CC61" s="99"/>
      <c r="CD61" s="99"/>
      <c r="CE61" s="99"/>
      <c r="CF61" s="99"/>
      <c r="CG61" s="99"/>
      <c r="CH61" s="99"/>
      <c r="CI61" s="99"/>
      <c r="CJ61" s="100"/>
      <c r="CK61" s="101"/>
      <c r="CL61" s="99"/>
      <c r="CM61" s="99"/>
      <c r="CN61" s="99"/>
      <c r="CO61" s="99"/>
      <c r="CP61" s="99"/>
      <c r="CQ61" s="100"/>
      <c r="CR61" s="101"/>
      <c r="CS61" s="99"/>
      <c r="CT61" s="100"/>
      <c r="CU61" s="101"/>
      <c r="CV61" s="99"/>
      <c r="CW61" s="99"/>
      <c r="CX61" s="99"/>
      <c r="CY61" s="99"/>
    </row>
    <row r="62" spans="1:103" ht="38.25" hidden="1" outlineLevel="1" x14ac:dyDescent="0.2">
      <c r="A62" s="424" t="s">
        <v>785</v>
      </c>
      <c r="B62" s="425" t="str">
        <f>VLOOKUP(A62,[1]ACTIONS!$A$3:$B$238,2,0)</f>
        <v>Porter  auprès des instances compétentes la problématique de la vente des EEE (pépinières, animaleries, etc.) de la liste européenne pour réaliser les contrôles nécessaires à faire appliquer l’interdiction. Sensibiliser les commerces quant à cette interdiction</v>
      </c>
      <c r="C62" s="96"/>
      <c r="D62" s="96"/>
      <c r="E62" s="96"/>
      <c r="F62" s="96"/>
      <c r="G62" s="96">
        <v>0</v>
      </c>
      <c r="H62" s="96">
        <v>0</v>
      </c>
      <c r="I62" s="97"/>
      <c r="J62" s="97"/>
      <c r="K62" s="98"/>
      <c r="L62" s="99"/>
      <c r="M62" s="99"/>
      <c r="N62" s="99"/>
      <c r="O62" s="99"/>
      <c r="P62" s="99"/>
      <c r="Q62" s="99"/>
      <c r="R62" s="99"/>
      <c r="S62" s="99"/>
      <c r="T62" s="99"/>
      <c r="U62" s="99"/>
      <c r="V62" s="99"/>
      <c r="W62" s="99"/>
      <c r="X62" s="99"/>
      <c r="Y62" s="99"/>
      <c r="Z62" s="100"/>
      <c r="AA62" s="101"/>
      <c r="AB62" s="99"/>
      <c r="AC62" s="99"/>
      <c r="AD62" s="99"/>
      <c r="AE62" s="99"/>
      <c r="AF62" s="99"/>
      <c r="AG62" s="100"/>
      <c r="AH62" s="101"/>
      <c r="AI62" s="99"/>
      <c r="AJ62" s="100"/>
      <c r="AK62" s="101"/>
      <c r="AL62" s="99"/>
      <c r="AM62" s="99"/>
      <c r="AN62" s="99"/>
      <c r="AO62" s="100"/>
      <c r="AP62" s="98"/>
      <c r="AQ62" s="99"/>
      <c r="AR62" s="99"/>
      <c r="AS62" s="99"/>
      <c r="AT62" s="99"/>
      <c r="AU62" s="99"/>
      <c r="AV62" s="99"/>
      <c r="AW62" s="99"/>
      <c r="AX62" s="99"/>
      <c r="AY62" s="99"/>
      <c r="AZ62" s="99"/>
      <c r="BA62" s="99"/>
      <c r="BB62" s="99"/>
      <c r="BC62" s="99"/>
      <c r="BD62" s="99"/>
      <c r="BE62" s="100"/>
      <c r="BF62" s="101"/>
      <c r="BG62" s="99"/>
      <c r="BH62" s="99"/>
      <c r="BI62" s="99"/>
      <c r="BJ62" s="99"/>
      <c r="BK62" s="99"/>
      <c r="BL62" s="100"/>
      <c r="BM62" s="101"/>
      <c r="BN62" s="99"/>
      <c r="BO62" s="100"/>
      <c r="BP62" s="101"/>
      <c r="BQ62" s="99"/>
      <c r="BR62" s="99"/>
      <c r="BS62" s="99"/>
      <c r="BT62" s="100"/>
      <c r="BU62" s="98"/>
      <c r="BV62" s="99"/>
      <c r="BW62" s="99"/>
      <c r="BX62" s="99"/>
      <c r="BY62" s="99"/>
      <c r="BZ62" s="99"/>
      <c r="CA62" s="99"/>
      <c r="CB62" s="99"/>
      <c r="CC62" s="99"/>
      <c r="CD62" s="99"/>
      <c r="CE62" s="99"/>
      <c r="CF62" s="99"/>
      <c r="CG62" s="99"/>
      <c r="CH62" s="99"/>
      <c r="CI62" s="99"/>
      <c r="CJ62" s="100"/>
      <c r="CK62" s="101"/>
      <c r="CL62" s="99"/>
      <c r="CM62" s="99"/>
      <c r="CN62" s="99"/>
      <c r="CO62" s="99"/>
      <c r="CP62" s="99"/>
      <c r="CQ62" s="100"/>
      <c r="CR62" s="101"/>
      <c r="CS62" s="99"/>
      <c r="CT62" s="100"/>
      <c r="CU62" s="101"/>
      <c r="CV62" s="99"/>
      <c r="CW62" s="99"/>
      <c r="CX62" s="99"/>
      <c r="CY62" s="99"/>
    </row>
    <row r="63" spans="1:103" ht="63.75" hidden="1" outlineLevel="1" x14ac:dyDescent="0.2">
      <c r="A63" s="424" t="s">
        <v>786</v>
      </c>
      <c r="B63" s="425" t="str">
        <f>VLOOKUP(A63,[1]ACTIONS!$A$3:$B$238,2,0)</f>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v>
      </c>
      <c r="C63" s="96"/>
      <c r="D63" s="96"/>
      <c r="E63" s="96"/>
      <c r="F63" s="96"/>
      <c r="G63" s="96">
        <v>0</v>
      </c>
      <c r="H63" s="96">
        <v>0</v>
      </c>
      <c r="I63" s="97"/>
      <c r="J63" s="97"/>
      <c r="K63" s="98"/>
      <c r="L63" s="99"/>
      <c r="M63" s="99"/>
      <c r="N63" s="99"/>
      <c r="O63" s="99"/>
      <c r="P63" s="99"/>
      <c r="Q63" s="99"/>
      <c r="R63" s="99"/>
      <c r="S63" s="99"/>
      <c r="T63" s="99"/>
      <c r="U63" s="99"/>
      <c r="V63" s="99"/>
      <c r="W63" s="99"/>
      <c r="X63" s="99"/>
      <c r="Y63" s="99"/>
      <c r="Z63" s="100"/>
      <c r="AA63" s="101"/>
      <c r="AB63" s="99"/>
      <c r="AC63" s="99"/>
      <c r="AD63" s="99"/>
      <c r="AE63" s="99"/>
      <c r="AF63" s="99"/>
      <c r="AG63" s="100"/>
      <c r="AH63" s="101"/>
      <c r="AI63" s="99"/>
      <c r="AJ63" s="100"/>
      <c r="AK63" s="101"/>
      <c r="AL63" s="99"/>
      <c r="AM63" s="99"/>
      <c r="AN63" s="99"/>
      <c r="AO63" s="100"/>
      <c r="AP63" s="98"/>
      <c r="AQ63" s="99"/>
      <c r="AR63" s="99"/>
      <c r="AS63" s="99"/>
      <c r="AT63" s="99"/>
      <c r="AU63" s="99"/>
      <c r="AV63" s="99"/>
      <c r="AW63" s="99"/>
      <c r="AX63" s="99"/>
      <c r="AY63" s="99"/>
      <c r="AZ63" s="99"/>
      <c r="BA63" s="99"/>
      <c r="BB63" s="99"/>
      <c r="BC63" s="99"/>
      <c r="BD63" s="99"/>
      <c r="BE63" s="100"/>
      <c r="BF63" s="101"/>
      <c r="BG63" s="99"/>
      <c r="BH63" s="99"/>
      <c r="BI63" s="99"/>
      <c r="BJ63" s="99"/>
      <c r="BK63" s="99"/>
      <c r="BL63" s="100"/>
      <c r="BM63" s="101"/>
      <c r="BN63" s="99"/>
      <c r="BO63" s="100"/>
      <c r="BP63" s="101"/>
      <c r="BQ63" s="99"/>
      <c r="BR63" s="99"/>
      <c r="BS63" s="99"/>
      <c r="BT63" s="100"/>
      <c r="BU63" s="98"/>
      <c r="BV63" s="99"/>
      <c r="BW63" s="99"/>
      <c r="BX63" s="99"/>
      <c r="BY63" s="99"/>
      <c r="BZ63" s="99"/>
      <c r="CA63" s="99"/>
      <c r="CB63" s="99"/>
      <c r="CC63" s="99"/>
      <c r="CD63" s="99"/>
      <c r="CE63" s="99"/>
      <c r="CF63" s="99"/>
      <c r="CG63" s="99"/>
      <c r="CH63" s="99"/>
      <c r="CI63" s="99"/>
      <c r="CJ63" s="100"/>
      <c r="CK63" s="101"/>
      <c r="CL63" s="99"/>
      <c r="CM63" s="99"/>
      <c r="CN63" s="99"/>
      <c r="CO63" s="99"/>
      <c r="CP63" s="99"/>
      <c r="CQ63" s="100"/>
      <c r="CR63" s="101"/>
      <c r="CS63" s="99"/>
      <c r="CT63" s="100"/>
      <c r="CU63" s="101"/>
      <c r="CV63" s="99"/>
      <c r="CW63" s="99"/>
      <c r="CX63" s="99"/>
      <c r="CY63" s="99"/>
    </row>
    <row r="64" spans="1:103" ht="51" hidden="1" outlineLevel="1" x14ac:dyDescent="0.2">
      <c r="A64" s="424" t="s">
        <v>787</v>
      </c>
      <c r="B64" s="425" t="str">
        <f>VLOOKUP(A64,[1]ACTIONS!$A$3:$B$238,2,0)</f>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v>
      </c>
      <c r="C64" s="96"/>
      <c r="D64" s="96"/>
      <c r="E64" s="96"/>
      <c r="F64" s="96"/>
      <c r="G64" s="96">
        <v>0</v>
      </c>
      <c r="H64" s="96">
        <v>0</v>
      </c>
      <c r="I64" s="97"/>
      <c r="J64" s="97"/>
      <c r="K64" s="98"/>
      <c r="L64" s="99"/>
      <c r="M64" s="99"/>
      <c r="N64" s="99"/>
      <c r="O64" s="99"/>
      <c r="P64" s="99"/>
      <c r="Q64" s="99"/>
      <c r="R64" s="99"/>
      <c r="S64" s="99"/>
      <c r="T64" s="99"/>
      <c r="U64" s="99"/>
      <c r="V64" s="99"/>
      <c r="W64" s="99"/>
      <c r="X64" s="99"/>
      <c r="Y64" s="99"/>
      <c r="Z64" s="100"/>
      <c r="AA64" s="101"/>
      <c r="AB64" s="99"/>
      <c r="AC64" s="99"/>
      <c r="AD64" s="99"/>
      <c r="AE64" s="99"/>
      <c r="AF64" s="99"/>
      <c r="AG64" s="100"/>
      <c r="AH64" s="101"/>
      <c r="AI64" s="99"/>
      <c r="AJ64" s="100"/>
      <c r="AK64" s="101"/>
      <c r="AL64" s="99"/>
      <c r="AM64" s="99"/>
      <c r="AN64" s="99"/>
      <c r="AO64" s="100"/>
      <c r="AP64" s="98"/>
      <c r="AQ64" s="99"/>
      <c r="AR64" s="99"/>
      <c r="AS64" s="99"/>
      <c r="AT64" s="99"/>
      <c r="AU64" s="99"/>
      <c r="AV64" s="99"/>
      <c r="AW64" s="99"/>
      <c r="AX64" s="99"/>
      <c r="AY64" s="99"/>
      <c r="AZ64" s="99"/>
      <c r="BA64" s="99"/>
      <c r="BB64" s="99"/>
      <c r="BC64" s="99"/>
      <c r="BD64" s="99"/>
      <c r="BE64" s="100"/>
      <c r="BF64" s="101"/>
      <c r="BG64" s="99"/>
      <c r="BH64" s="99"/>
      <c r="BI64" s="99"/>
      <c r="BJ64" s="99"/>
      <c r="BK64" s="99"/>
      <c r="BL64" s="100"/>
      <c r="BM64" s="101"/>
      <c r="BN64" s="99"/>
      <c r="BO64" s="100"/>
      <c r="BP64" s="101"/>
      <c r="BQ64" s="99"/>
      <c r="BR64" s="99"/>
      <c r="BS64" s="99"/>
      <c r="BT64" s="100"/>
      <c r="BU64" s="98"/>
      <c r="BV64" s="99"/>
      <c r="BW64" s="99"/>
      <c r="BX64" s="99"/>
      <c r="BY64" s="99"/>
      <c r="BZ64" s="99"/>
      <c r="CA64" s="99"/>
      <c r="CB64" s="99"/>
      <c r="CC64" s="99"/>
      <c r="CD64" s="99"/>
      <c r="CE64" s="99"/>
      <c r="CF64" s="99"/>
      <c r="CG64" s="99"/>
      <c r="CH64" s="99"/>
      <c r="CI64" s="99"/>
      <c r="CJ64" s="100"/>
      <c r="CK64" s="101"/>
      <c r="CL64" s="99"/>
      <c r="CM64" s="99"/>
      <c r="CN64" s="99"/>
      <c r="CO64" s="99"/>
      <c r="CP64" s="99"/>
      <c r="CQ64" s="100"/>
      <c r="CR64" s="101"/>
      <c r="CS64" s="99"/>
      <c r="CT64" s="100"/>
      <c r="CU64" s="101"/>
      <c r="CV64" s="99"/>
      <c r="CW64" s="99"/>
      <c r="CX64" s="99"/>
      <c r="CY64" s="99"/>
    </row>
    <row r="65" spans="1:103" hidden="1" outlineLevel="1" x14ac:dyDescent="0.2">
      <c r="A65" s="424" t="s">
        <v>788</v>
      </c>
      <c r="B65" s="425" t="str">
        <f>VLOOKUP(A65,[1]ACTIONS!$A$3:$B$238,2,0)</f>
        <v xml:space="preserve">Actions de confinement de certaines plantes aquatiques et ripicoles envahissantes dans des zones spécifiques </v>
      </c>
      <c r="C65" s="96"/>
      <c r="D65" s="96"/>
      <c r="E65" s="96"/>
      <c r="F65" s="96"/>
      <c r="G65" s="96">
        <v>165000</v>
      </c>
      <c r="H65" s="96">
        <v>165000</v>
      </c>
      <c r="I65" s="97"/>
      <c r="J65" s="97"/>
      <c r="K65" s="98"/>
      <c r="L65" s="99"/>
      <c r="M65" s="99"/>
      <c r="N65" s="99"/>
      <c r="O65" s="99"/>
      <c r="P65" s="99"/>
      <c r="Q65" s="99"/>
      <c r="R65" s="99"/>
      <c r="S65" s="99"/>
      <c r="T65" s="99"/>
      <c r="U65" s="99"/>
      <c r="V65" s="99"/>
      <c r="W65" s="99"/>
      <c r="X65" s="99"/>
      <c r="Y65" s="99"/>
      <c r="Z65" s="100"/>
      <c r="AA65" s="101"/>
      <c r="AB65" s="99"/>
      <c r="AC65" s="99"/>
      <c r="AD65" s="99"/>
      <c r="AE65" s="99"/>
      <c r="AF65" s="99"/>
      <c r="AG65" s="100"/>
      <c r="AH65" s="101"/>
      <c r="AI65" s="99"/>
      <c r="AJ65" s="100"/>
      <c r="AK65" s="101"/>
      <c r="AL65" s="99"/>
      <c r="AM65" s="99"/>
      <c r="AN65" s="99"/>
      <c r="AO65" s="100"/>
      <c r="AP65" s="98"/>
      <c r="AQ65" s="99"/>
      <c r="AR65" s="99"/>
      <c r="AS65" s="99"/>
      <c r="AT65" s="99"/>
      <c r="AU65" s="99"/>
      <c r="AV65" s="99"/>
      <c r="AW65" s="99"/>
      <c r="AX65" s="99"/>
      <c r="AY65" s="99"/>
      <c r="AZ65" s="99"/>
      <c r="BA65" s="99"/>
      <c r="BB65" s="99"/>
      <c r="BC65" s="99"/>
      <c r="BD65" s="99"/>
      <c r="BE65" s="100"/>
      <c r="BF65" s="101"/>
      <c r="BG65" s="99"/>
      <c r="BH65" s="99"/>
      <c r="BI65" s="99"/>
      <c r="BJ65" s="99"/>
      <c r="BK65" s="99"/>
      <c r="BL65" s="100"/>
      <c r="BM65" s="101"/>
      <c r="BN65" s="99"/>
      <c r="BO65" s="100"/>
      <c r="BP65" s="101"/>
      <c r="BQ65" s="99"/>
      <c r="BR65" s="99"/>
      <c r="BS65" s="99"/>
      <c r="BT65" s="100"/>
      <c r="BU65" s="98"/>
      <c r="BV65" s="99"/>
      <c r="BW65" s="99"/>
      <c r="BX65" s="99"/>
      <c r="BY65" s="99"/>
      <c r="BZ65" s="99"/>
      <c r="CA65" s="99"/>
      <c r="CB65" s="99"/>
      <c r="CC65" s="99"/>
      <c r="CD65" s="99"/>
      <c r="CE65" s="99"/>
      <c r="CF65" s="99"/>
      <c r="CG65" s="99"/>
      <c r="CH65" s="99"/>
      <c r="CI65" s="99"/>
      <c r="CJ65" s="100"/>
      <c r="CK65" s="101"/>
      <c r="CL65" s="99"/>
      <c r="CM65" s="99"/>
      <c r="CN65" s="99"/>
      <c r="CO65" s="99"/>
      <c r="CP65" s="99"/>
      <c r="CQ65" s="100"/>
      <c r="CR65" s="101"/>
      <c r="CS65" s="99"/>
      <c r="CT65" s="100"/>
      <c r="CU65" s="101"/>
      <c r="CV65" s="99"/>
      <c r="CW65" s="99"/>
      <c r="CX65" s="99"/>
      <c r="CY65" s="99"/>
    </row>
    <row r="66" spans="1:103" ht="178.5" hidden="1" outlineLevel="1" x14ac:dyDescent="0.2">
      <c r="A66" s="424" t="s">
        <v>789</v>
      </c>
      <c r="B66" s="425" t="str">
        <f>VLOOKUP(A66,[1]ACTIONS!$A$3:$B$238,2,0)</f>
        <v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v>
      </c>
      <c r="C66" s="96"/>
      <c r="D66" s="96"/>
      <c r="E66" s="96"/>
      <c r="F66" s="96"/>
      <c r="G66" s="96">
        <v>0</v>
      </c>
      <c r="H66" s="96">
        <v>0</v>
      </c>
      <c r="I66" s="97"/>
      <c r="J66" s="97"/>
      <c r="K66" s="98"/>
      <c r="L66" s="99"/>
      <c r="M66" s="99"/>
      <c r="N66" s="99"/>
      <c r="O66" s="99"/>
      <c r="P66" s="99"/>
      <c r="Q66" s="99"/>
      <c r="R66" s="99"/>
      <c r="S66" s="99"/>
      <c r="T66" s="99"/>
      <c r="U66" s="99"/>
      <c r="V66" s="99"/>
      <c r="W66" s="99"/>
      <c r="X66" s="99"/>
      <c r="Y66" s="99"/>
      <c r="Z66" s="100"/>
      <c r="AA66" s="101"/>
      <c r="AB66" s="99"/>
      <c r="AC66" s="99"/>
      <c r="AD66" s="99"/>
      <c r="AE66" s="99"/>
      <c r="AF66" s="99"/>
      <c r="AG66" s="100"/>
      <c r="AH66" s="101"/>
      <c r="AI66" s="99"/>
      <c r="AJ66" s="100"/>
      <c r="AK66" s="101"/>
      <c r="AL66" s="99"/>
      <c r="AM66" s="99"/>
      <c r="AN66" s="99"/>
      <c r="AO66" s="100"/>
      <c r="AP66" s="98"/>
      <c r="AQ66" s="99"/>
      <c r="AR66" s="99"/>
      <c r="AS66" s="99"/>
      <c r="AT66" s="99"/>
      <c r="AU66" s="99"/>
      <c r="AV66" s="99"/>
      <c r="AW66" s="99"/>
      <c r="AX66" s="99"/>
      <c r="AY66" s="99"/>
      <c r="AZ66" s="99"/>
      <c r="BA66" s="99"/>
      <c r="BB66" s="99"/>
      <c r="BC66" s="99"/>
      <c r="BD66" s="99"/>
      <c r="BE66" s="100"/>
      <c r="BF66" s="101"/>
      <c r="BG66" s="99"/>
      <c r="BH66" s="99"/>
      <c r="BI66" s="99"/>
      <c r="BJ66" s="99"/>
      <c r="BK66" s="99"/>
      <c r="BL66" s="100"/>
      <c r="BM66" s="101"/>
      <c r="BN66" s="99"/>
      <c r="BO66" s="100"/>
      <c r="BP66" s="101"/>
      <c r="BQ66" s="99"/>
      <c r="BR66" s="99"/>
      <c r="BS66" s="99"/>
      <c r="BT66" s="100"/>
      <c r="BU66" s="98"/>
      <c r="BV66" s="99"/>
      <c r="BW66" s="99"/>
      <c r="BX66" s="99"/>
      <c r="BY66" s="99"/>
      <c r="BZ66" s="99"/>
      <c r="CA66" s="99"/>
      <c r="CB66" s="99"/>
      <c r="CC66" s="99"/>
      <c r="CD66" s="99"/>
      <c r="CE66" s="99"/>
      <c r="CF66" s="99"/>
      <c r="CG66" s="99"/>
      <c r="CH66" s="99"/>
      <c r="CI66" s="99"/>
      <c r="CJ66" s="100"/>
      <c r="CK66" s="101"/>
      <c r="CL66" s="99"/>
      <c r="CM66" s="99"/>
      <c r="CN66" s="99"/>
      <c r="CO66" s="99"/>
      <c r="CP66" s="99"/>
      <c r="CQ66" s="100"/>
      <c r="CR66" s="101"/>
      <c r="CS66" s="99"/>
      <c r="CT66" s="100"/>
      <c r="CU66" s="101"/>
      <c r="CV66" s="99"/>
      <c r="CW66" s="99"/>
      <c r="CX66" s="99"/>
      <c r="CY66" s="99"/>
    </row>
    <row r="67" spans="1:103" ht="178.5" hidden="1" outlineLevel="1" x14ac:dyDescent="0.2">
      <c r="A67" s="424" t="s">
        <v>790</v>
      </c>
      <c r="B67" s="425" t="str">
        <f>VLOOKUP(A67,[1]ACTIONS!$A$3:$B$238,2,0)</f>
        <v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v>
      </c>
      <c r="C67" s="96"/>
      <c r="D67" s="96"/>
      <c r="E67" s="96"/>
      <c r="F67" s="96"/>
      <c r="G67" s="96">
        <v>0</v>
      </c>
      <c r="H67" s="96">
        <v>0</v>
      </c>
      <c r="I67" s="97"/>
      <c r="J67" s="97"/>
      <c r="K67" s="98"/>
      <c r="L67" s="99"/>
      <c r="M67" s="99"/>
      <c r="N67" s="99"/>
      <c r="O67" s="99"/>
      <c r="P67" s="99"/>
      <c r="Q67" s="99"/>
      <c r="R67" s="99"/>
      <c r="S67" s="99"/>
      <c r="T67" s="99"/>
      <c r="U67" s="99"/>
      <c r="V67" s="99"/>
      <c r="W67" s="99"/>
      <c r="X67" s="99"/>
      <c r="Y67" s="99"/>
      <c r="Z67" s="100"/>
      <c r="AA67" s="101"/>
      <c r="AB67" s="99"/>
      <c r="AC67" s="99"/>
      <c r="AD67" s="99"/>
      <c r="AE67" s="99"/>
      <c r="AF67" s="99"/>
      <c r="AG67" s="100"/>
      <c r="AH67" s="101"/>
      <c r="AI67" s="99"/>
      <c r="AJ67" s="100"/>
      <c r="AK67" s="101"/>
      <c r="AL67" s="99"/>
      <c r="AM67" s="99"/>
      <c r="AN67" s="99"/>
      <c r="AO67" s="100"/>
      <c r="AP67" s="98"/>
      <c r="AQ67" s="99"/>
      <c r="AR67" s="99"/>
      <c r="AS67" s="99"/>
      <c r="AT67" s="99"/>
      <c r="AU67" s="99"/>
      <c r="AV67" s="99"/>
      <c r="AW67" s="99"/>
      <c r="AX67" s="99"/>
      <c r="AY67" s="99"/>
      <c r="AZ67" s="99"/>
      <c r="BA67" s="99"/>
      <c r="BB67" s="99"/>
      <c r="BC67" s="99"/>
      <c r="BD67" s="99"/>
      <c r="BE67" s="100"/>
      <c r="BF67" s="101"/>
      <c r="BG67" s="99"/>
      <c r="BH67" s="99"/>
      <c r="BI67" s="99"/>
      <c r="BJ67" s="99"/>
      <c r="BK67" s="99"/>
      <c r="BL67" s="100"/>
      <c r="BM67" s="101"/>
      <c r="BN67" s="99"/>
      <c r="BO67" s="100"/>
      <c r="BP67" s="101"/>
      <c r="BQ67" s="99"/>
      <c r="BR67" s="99"/>
      <c r="BS67" s="99"/>
      <c r="BT67" s="100"/>
      <c r="BU67" s="98"/>
      <c r="BV67" s="99"/>
      <c r="BW67" s="99"/>
      <c r="BX67" s="99"/>
      <c r="BY67" s="99"/>
      <c r="BZ67" s="99"/>
      <c r="CA67" s="99"/>
      <c r="CB67" s="99"/>
      <c r="CC67" s="99"/>
      <c r="CD67" s="99"/>
      <c r="CE67" s="99"/>
      <c r="CF67" s="99"/>
      <c r="CG67" s="99"/>
      <c r="CH67" s="99"/>
      <c r="CI67" s="99"/>
      <c r="CJ67" s="100"/>
      <c r="CK67" s="101"/>
      <c r="CL67" s="99"/>
      <c r="CM67" s="99"/>
      <c r="CN67" s="99"/>
      <c r="CO67" s="99"/>
      <c r="CP67" s="99"/>
      <c r="CQ67" s="100"/>
      <c r="CR67" s="101"/>
      <c r="CS67" s="99"/>
      <c r="CT67" s="100"/>
      <c r="CU67" s="101"/>
      <c r="CV67" s="99"/>
      <c r="CW67" s="99"/>
      <c r="CX67" s="99"/>
      <c r="CY67" s="99"/>
    </row>
    <row r="68" spans="1:103" ht="63.75" hidden="1" outlineLevel="1" x14ac:dyDescent="0.2">
      <c r="A68" s="424" t="s">
        <v>791</v>
      </c>
      <c r="B68" s="425" t="str">
        <f>VLOOKUP(A68,[1]ACTIONS!$A$3:$B$238,2,0)</f>
        <v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v>
      </c>
      <c r="C68" s="96"/>
      <c r="D68" s="96"/>
      <c r="E68" s="96"/>
      <c r="F68" s="96"/>
      <c r="G68" s="96">
        <v>0</v>
      </c>
      <c r="H68" s="96">
        <v>0</v>
      </c>
      <c r="I68" s="97"/>
      <c r="J68" s="97"/>
      <c r="K68" s="98"/>
      <c r="L68" s="99"/>
      <c r="M68" s="99"/>
      <c r="N68" s="99"/>
      <c r="O68" s="99"/>
      <c r="P68" s="99"/>
      <c r="Q68" s="99"/>
      <c r="R68" s="99"/>
      <c r="S68" s="99"/>
      <c r="T68" s="99"/>
      <c r="U68" s="99"/>
      <c r="V68" s="99"/>
      <c r="W68" s="99"/>
      <c r="X68" s="99"/>
      <c r="Y68" s="99"/>
      <c r="Z68" s="100"/>
      <c r="AA68" s="101"/>
      <c r="AB68" s="99"/>
      <c r="AC68" s="99"/>
      <c r="AD68" s="99"/>
      <c r="AE68" s="99"/>
      <c r="AF68" s="99"/>
      <c r="AG68" s="100"/>
      <c r="AH68" s="101"/>
      <c r="AI68" s="99"/>
      <c r="AJ68" s="100"/>
      <c r="AK68" s="101"/>
      <c r="AL68" s="99"/>
      <c r="AM68" s="99"/>
      <c r="AN68" s="99"/>
      <c r="AO68" s="100"/>
      <c r="AP68" s="98"/>
      <c r="AQ68" s="99"/>
      <c r="AR68" s="99"/>
      <c r="AS68" s="99"/>
      <c r="AT68" s="99"/>
      <c r="AU68" s="99"/>
      <c r="AV68" s="99"/>
      <c r="AW68" s="99"/>
      <c r="AX68" s="99"/>
      <c r="AY68" s="99"/>
      <c r="AZ68" s="99"/>
      <c r="BA68" s="99"/>
      <c r="BB68" s="99"/>
      <c r="BC68" s="99"/>
      <c r="BD68" s="99"/>
      <c r="BE68" s="100"/>
      <c r="BF68" s="101"/>
      <c r="BG68" s="99"/>
      <c r="BH68" s="99"/>
      <c r="BI68" s="99"/>
      <c r="BJ68" s="99"/>
      <c r="BK68" s="99"/>
      <c r="BL68" s="100"/>
      <c r="BM68" s="101"/>
      <c r="BN68" s="99"/>
      <c r="BO68" s="100"/>
      <c r="BP68" s="101"/>
      <c r="BQ68" s="99"/>
      <c r="BR68" s="99"/>
      <c r="BS68" s="99"/>
      <c r="BT68" s="100"/>
      <c r="BU68" s="98"/>
      <c r="BV68" s="99"/>
      <c r="BW68" s="99"/>
      <c r="BX68" s="99"/>
      <c r="BY68" s="99"/>
      <c r="BZ68" s="99"/>
      <c r="CA68" s="99"/>
      <c r="CB68" s="99"/>
      <c r="CC68" s="99"/>
      <c r="CD68" s="99"/>
      <c r="CE68" s="99"/>
      <c r="CF68" s="99"/>
      <c r="CG68" s="99"/>
      <c r="CH68" s="99"/>
      <c r="CI68" s="99"/>
      <c r="CJ68" s="100"/>
      <c r="CK68" s="101"/>
      <c r="CL68" s="99"/>
      <c r="CM68" s="99"/>
      <c r="CN68" s="99"/>
      <c r="CO68" s="99"/>
      <c r="CP68" s="99"/>
      <c r="CQ68" s="100"/>
      <c r="CR68" s="101"/>
      <c r="CS68" s="99"/>
      <c r="CT68" s="100"/>
      <c r="CU68" s="101"/>
      <c r="CV68" s="99"/>
      <c r="CW68" s="99"/>
      <c r="CX68" s="99"/>
      <c r="CY68" s="99"/>
    </row>
    <row r="69" spans="1:103" ht="76.5" hidden="1" outlineLevel="1" x14ac:dyDescent="0.2">
      <c r="A69" s="424" t="s">
        <v>792</v>
      </c>
      <c r="B69" s="425" t="str">
        <f>VLOOKUP(A69,[1]ACTIONS!$A$3:$B$238,2,0)</f>
        <v xml:space="preserve">Développer et valider des « zones-tests » afin d’expérimenter des techniques nouvelles :
- d’éradication précoce,
- de contrôle (notamment biologique),
- de confinement.
Ex : pièges à écrevisses, plantation de plantes indigènes compétitrices, éco-pâturage
</v>
      </c>
      <c r="C69" s="96"/>
      <c r="D69" s="96"/>
      <c r="E69" s="96"/>
      <c r="F69" s="96"/>
      <c r="G69" s="96">
        <v>0</v>
      </c>
      <c r="H69" s="96">
        <v>0</v>
      </c>
      <c r="I69" s="97"/>
      <c r="J69" s="97"/>
      <c r="K69" s="98"/>
      <c r="L69" s="99"/>
      <c r="M69" s="99"/>
      <c r="N69" s="99"/>
      <c r="O69" s="99"/>
      <c r="P69" s="99"/>
      <c r="Q69" s="99"/>
      <c r="R69" s="99"/>
      <c r="S69" s="99"/>
      <c r="T69" s="99"/>
      <c r="U69" s="99"/>
      <c r="V69" s="99"/>
      <c r="W69" s="99"/>
      <c r="X69" s="99"/>
      <c r="Y69" s="99"/>
      <c r="Z69" s="100"/>
      <c r="AA69" s="101"/>
      <c r="AB69" s="99"/>
      <c r="AC69" s="99"/>
      <c r="AD69" s="99"/>
      <c r="AE69" s="99"/>
      <c r="AF69" s="99"/>
      <c r="AG69" s="100"/>
      <c r="AH69" s="101"/>
      <c r="AI69" s="99"/>
      <c r="AJ69" s="100"/>
      <c r="AK69" s="101"/>
      <c r="AL69" s="99"/>
      <c r="AM69" s="99"/>
      <c r="AN69" s="99"/>
      <c r="AO69" s="100"/>
      <c r="AP69" s="98"/>
      <c r="AQ69" s="99"/>
      <c r="AR69" s="99"/>
      <c r="AS69" s="99"/>
      <c r="AT69" s="99"/>
      <c r="AU69" s="99"/>
      <c r="AV69" s="99"/>
      <c r="AW69" s="99"/>
      <c r="AX69" s="99"/>
      <c r="AY69" s="99"/>
      <c r="AZ69" s="99"/>
      <c r="BA69" s="99"/>
      <c r="BB69" s="99"/>
      <c r="BC69" s="99"/>
      <c r="BD69" s="99"/>
      <c r="BE69" s="100"/>
      <c r="BF69" s="101"/>
      <c r="BG69" s="99"/>
      <c r="BH69" s="99"/>
      <c r="BI69" s="99"/>
      <c r="BJ69" s="99"/>
      <c r="BK69" s="99"/>
      <c r="BL69" s="100"/>
      <c r="BM69" s="101"/>
      <c r="BN69" s="99"/>
      <c r="BO69" s="100"/>
      <c r="BP69" s="101"/>
      <c r="BQ69" s="99"/>
      <c r="BR69" s="99"/>
      <c r="BS69" s="99"/>
      <c r="BT69" s="100"/>
      <c r="BU69" s="98"/>
      <c r="BV69" s="99"/>
      <c r="BW69" s="99"/>
      <c r="BX69" s="99"/>
      <c r="BY69" s="99"/>
      <c r="BZ69" s="99"/>
      <c r="CA69" s="99"/>
      <c r="CB69" s="99"/>
      <c r="CC69" s="99"/>
      <c r="CD69" s="99"/>
      <c r="CE69" s="99"/>
      <c r="CF69" s="99"/>
      <c r="CG69" s="99"/>
      <c r="CH69" s="99"/>
      <c r="CI69" s="99"/>
      <c r="CJ69" s="100"/>
      <c r="CK69" s="101"/>
      <c r="CL69" s="99"/>
      <c r="CM69" s="99"/>
      <c r="CN69" s="99"/>
      <c r="CO69" s="99"/>
      <c r="CP69" s="99"/>
      <c r="CQ69" s="100"/>
      <c r="CR69" s="101"/>
      <c r="CS69" s="99"/>
      <c r="CT69" s="100"/>
      <c r="CU69" s="101"/>
      <c r="CV69" s="99"/>
      <c r="CW69" s="99"/>
      <c r="CX69" s="99"/>
      <c r="CY69" s="99"/>
    </row>
    <row r="70" spans="1:103" ht="38.25" hidden="1" outlineLevel="1" x14ac:dyDescent="0.2">
      <c r="A70" s="424" t="s">
        <v>793</v>
      </c>
      <c r="B70" s="425" t="str">
        <f>VLOOKUP(A70,[1]ACTIONS!$A$3:$B$238,2,0)</f>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v>
      </c>
      <c r="C70" s="96"/>
      <c r="D70" s="96"/>
      <c r="E70" s="96"/>
      <c r="F70" s="96"/>
      <c r="G70" s="96">
        <v>0</v>
      </c>
      <c r="H70" s="96">
        <v>0</v>
      </c>
      <c r="I70" s="97"/>
      <c r="J70" s="97"/>
      <c r="K70" s="98"/>
      <c r="L70" s="99"/>
      <c r="M70" s="99"/>
      <c r="N70" s="99"/>
      <c r="O70" s="99"/>
      <c r="P70" s="99"/>
      <c r="Q70" s="99"/>
      <c r="R70" s="99"/>
      <c r="S70" s="99"/>
      <c r="T70" s="99"/>
      <c r="U70" s="99"/>
      <c r="V70" s="99"/>
      <c r="W70" s="99"/>
      <c r="X70" s="99"/>
      <c r="Y70" s="99"/>
      <c r="Z70" s="100"/>
      <c r="AA70" s="101"/>
      <c r="AB70" s="99"/>
      <c r="AC70" s="99"/>
      <c r="AD70" s="99"/>
      <c r="AE70" s="99"/>
      <c r="AF70" s="99"/>
      <c r="AG70" s="100"/>
      <c r="AH70" s="101"/>
      <c r="AI70" s="99"/>
      <c r="AJ70" s="100"/>
      <c r="AK70" s="101"/>
      <c r="AL70" s="99"/>
      <c r="AM70" s="99"/>
      <c r="AN70" s="99"/>
      <c r="AO70" s="100"/>
      <c r="AP70" s="98"/>
      <c r="AQ70" s="99"/>
      <c r="AR70" s="99"/>
      <c r="AS70" s="99"/>
      <c r="AT70" s="99"/>
      <c r="AU70" s="99"/>
      <c r="AV70" s="99"/>
      <c r="AW70" s="99"/>
      <c r="AX70" s="99"/>
      <c r="AY70" s="99"/>
      <c r="AZ70" s="99"/>
      <c r="BA70" s="99"/>
      <c r="BB70" s="99"/>
      <c r="BC70" s="99"/>
      <c r="BD70" s="99"/>
      <c r="BE70" s="100"/>
      <c r="BF70" s="101"/>
      <c r="BG70" s="99"/>
      <c r="BH70" s="99"/>
      <c r="BI70" s="99"/>
      <c r="BJ70" s="99"/>
      <c r="BK70" s="99"/>
      <c r="BL70" s="100"/>
      <c r="BM70" s="101"/>
      <c r="BN70" s="99"/>
      <c r="BO70" s="100"/>
      <c r="BP70" s="101"/>
      <c r="BQ70" s="99"/>
      <c r="BR70" s="99"/>
      <c r="BS70" s="99"/>
      <c r="BT70" s="100"/>
      <c r="BU70" s="98"/>
      <c r="BV70" s="99"/>
      <c r="BW70" s="99"/>
      <c r="BX70" s="99"/>
      <c r="BY70" s="99"/>
      <c r="BZ70" s="99"/>
      <c r="CA70" s="99"/>
      <c r="CB70" s="99"/>
      <c r="CC70" s="99"/>
      <c r="CD70" s="99"/>
      <c r="CE70" s="99"/>
      <c r="CF70" s="99"/>
      <c r="CG70" s="99"/>
      <c r="CH70" s="99"/>
      <c r="CI70" s="99"/>
      <c r="CJ70" s="100"/>
      <c r="CK70" s="101"/>
      <c r="CL70" s="99"/>
      <c r="CM70" s="99"/>
      <c r="CN70" s="99"/>
      <c r="CO70" s="99"/>
      <c r="CP70" s="99"/>
      <c r="CQ70" s="100"/>
      <c r="CR70" s="101"/>
      <c r="CS70" s="99"/>
      <c r="CT70" s="100"/>
      <c r="CU70" s="101"/>
      <c r="CV70" s="99"/>
      <c r="CW70" s="99"/>
      <c r="CX70" s="99"/>
      <c r="CY70" s="99"/>
    </row>
    <row r="71" spans="1:103" ht="63.75" hidden="1" outlineLevel="1" x14ac:dyDescent="0.2">
      <c r="A71" s="424" t="s">
        <v>794</v>
      </c>
      <c r="B71" s="425" t="str">
        <f>VLOOKUP(A71,[1]ACTIONS!$A$3:$B$238,2,0)</f>
        <v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v>
      </c>
      <c r="C71" s="96"/>
      <c r="D71" s="96"/>
      <c r="E71" s="96"/>
      <c r="F71" s="96"/>
      <c r="G71" s="96">
        <v>0</v>
      </c>
      <c r="H71" s="96">
        <v>0</v>
      </c>
      <c r="I71" s="97"/>
      <c r="J71" s="97"/>
      <c r="K71" s="98"/>
      <c r="L71" s="99"/>
      <c r="M71" s="99"/>
      <c r="N71" s="99"/>
      <c r="O71" s="99"/>
      <c r="P71" s="99"/>
      <c r="Q71" s="99"/>
      <c r="R71" s="99"/>
      <c r="S71" s="99"/>
      <c r="T71" s="99"/>
      <c r="U71" s="99"/>
      <c r="V71" s="99"/>
      <c r="W71" s="99"/>
      <c r="X71" s="99"/>
      <c r="Y71" s="99"/>
      <c r="Z71" s="100"/>
      <c r="AA71" s="101"/>
      <c r="AB71" s="99"/>
      <c r="AC71" s="99"/>
      <c r="AD71" s="99"/>
      <c r="AE71" s="99"/>
      <c r="AF71" s="99"/>
      <c r="AG71" s="100"/>
      <c r="AH71" s="101"/>
      <c r="AI71" s="99"/>
      <c r="AJ71" s="100"/>
      <c r="AK71" s="101"/>
      <c r="AL71" s="99"/>
      <c r="AM71" s="99"/>
      <c r="AN71" s="99"/>
      <c r="AO71" s="100"/>
      <c r="AP71" s="98"/>
      <c r="AQ71" s="99"/>
      <c r="AR71" s="99"/>
      <c r="AS71" s="99"/>
      <c r="AT71" s="99"/>
      <c r="AU71" s="99"/>
      <c r="AV71" s="99"/>
      <c r="AW71" s="99"/>
      <c r="AX71" s="99"/>
      <c r="AY71" s="99"/>
      <c r="AZ71" s="99"/>
      <c r="BA71" s="99"/>
      <c r="BB71" s="99"/>
      <c r="BC71" s="99"/>
      <c r="BD71" s="99"/>
      <c r="BE71" s="100"/>
      <c r="BF71" s="101"/>
      <c r="BG71" s="99"/>
      <c r="BH71" s="99"/>
      <c r="BI71" s="99"/>
      <c r="BJ71" s="99"/>
      <c r="BK71" s="99"/>
      <c r="BL71" s="100"/>
      <c r="BM71" s="101"/>
      <c r="BN71" s="99"/>
      <c r="BO71" s="100"/>
      <c r="BP71" s="101"/>
      <c r="BQ71" s="99"/>
      <c r="BR71" s="99"/>
      <c r="BS71" s="99"/>
      <c r="BT71" s="100"/>
      <c r="BU71" s="98"/>
      <c r="BV71" s="99"/>
      <c r="BW71" s="99"/>
      <c r="BX71" s="99"/>
      <c r="BY71" s="99"/>
      <c r="BZ71" s="99"/>
      <c r="CA71" s="99"/>
      <c r="CB71" s="99"/>
      <c r="CC71" s="99"/>
      <c r="CD71" s="99"/>
      <c r="CE71" s="99"/>
      <c r="CF71" s="99"/>
      <c r="CG71" s="99"/>
      <c r="CH71" s="99"/>
      <c r="CI71" s="99"/>
      <c r="CJ71" s="100"/>
      <c r="CK71" s="101"/>
      <c r="CL71" s="99"/>
      <c r="CM71" s="99"/>
      <c r="CN71" s="99"/>
      <c r="CO71" s="99"/>
      <c r="CP71" s="99"/>
      <c r="CQ71" s="100"/>
      <c r="CR71" s="101"/>
      <c r="CS71" s="99"/>
      <c r="CT71" s="100"/>
      <c r="CU71" s="101"/>
      <c r="CV71" s="99"/>
      <c r="CW71" s="99"/>
      <c r="CX71" s="99"/>
      <c r="CY71" s="99"/>
    </row>
    <row r="72" spans="1:103" ht="25.5" hidden="1" outlineLevel="1" x14ac:dyDescent="0.2">
      <c r="A72" s="424" t="s">
        <v>795</v>
      </c>
      <c r="B72" s="425" t="str">
        <f>VLOOKUP(A72,[1]ACTIONS!$A$3:$B$238,2,0)</f>
        <v>Etendre les mesures de lutte contre les EEE aquatiques sur le territoire de la région en fonction des résultats des zones-tests</v>
      </c>
      <c r="C72" s="96"/>
      <c r="D72" s="96"/>
      <c r="E72" s="96"/>
      <c r="F72" s="96"/>
      <c r="G72" s="96">
        <v>165000</v>
      </c>
      <c r="H72" s="96">
        <v>165000</v>
      </c>
      <c r="I72" s="97"/>
      <c r="J72" s="97"/>
      <c r="K72" s="98"/>
      <c r="L72" s="99"/>
      <c r="M72" s="99"/>
      <c r="N72" s="99"/>
      <c r="O72" s="99"/>
      <c r="P72" s="99"/>
      <c r="Q72" s="99"/>
      <c r="R72" s="99"/>
      <c r="S72" s="99"/>
      <c r="T72" s="99"/>
      <c r="U72" s="99"/>
      <c r="V72" s="99"/>
      <c r="W72" s="99"/>
      <c r="X72" s="99"/>
      <c r="Y72" s="99"/>
      <c r="Z72" s="100"/>
      <c r="AA72" s="101"/>
      <c r="AB72" s="99"/>
      <c r="AC72" s="99"/>
      <c r="AD72" s="99"/>
      <c r="AE72" s="99"/>
      <c r="AF72" s="99"/>
      <c r="AG72" s="100"/>
      <c r="AH72" s="101"/>
      <c r="AI72" s="99"/>
      <c r="AJ72" s="100"/>
      <c r="AK72" s="101"/>
      <c r="AL72" s="99"/>
      <c r="AM72" s="99"/>
      <c r="AN72" s="99"/>
      <c r="AO72" s="100"/>
      <c r="AP72" s="98"/>
      <c r="AQ72" s="99"/>
      <c r="AR72" s="99"/>
      <c r="AS72" s="99"/>
      <c r="AT72" s="99"/>
      <c r="AU72" s="99"/>
      <c r="AV72" s="99"/>
      <c r="AW72" s="99"/>
      <c r="AX72" s="99"/>
      <c r="AY72" s="99"/>
      <c r="AZ72" s="99"/>
      <c r="BA72" s="99"/>
      <c r="BB72" s="99"/>
      <c r="BC72" s="99"/>
      <c r="BD72" s="99"/>
      <c r="BE72" s="100"/>
      <c r="BF72" s="101"/>
      <c r="BG72" s="99"/>
      <c r="BH72" s="99"/>
      <c r="BI72" s="99"/>
      <c r="BJ72" s="99"/>
      <c r="BK72" s="99"/>
      <c r="BL72" s="100"/>
      <c r="BM72" s="101"/>
      <c r="BN72" s="99"/>
      <c r="BO72" s="100"/>
      <c r="BP72" s="101"/>
      <c r="BQ72" s="99"/>
      <c r="BR72" s="99"/>
      <c r="BS72" s="99"/>
      <c r="BT72" s="100"/>
      <c r="BU72" s="98"/>
      <c r="BV72" s="99"/>
      <c r="BW72" s="99"/>
      <c r="BX72" s="99"/>
      <c r="BY72" s="99"/>
      <c r="BZ72" s="99"/>
      <c r="CA72" s="99"/>
      <c r="CB72" s="99"/>
      <c r="CC72" s="99"/>
      <c r="CD72" s="99"/>
      <c r="CE72" s="99"/>
      <c r="CF72" s="99"/>
      <c r="CG72" s="99"/>
      <c r="CH72" s="99"/>
      <c r="CI72" s="99"/>
      <c r="CJ72" s="100"/>
      <c r="CK72" s="101"/>
      <c r="CL72" s="99"/>
      <c r="CM72" s="99"/>
      <c r="CN72" s="99"/>
      <c r="CO72" s="99"/>
      <c r="CP72" s="99"/>
      <c r="CQ72" s="100"/>
      <c r="CR72" s="101"/>
      <c r="CS72" s="99"/>
      <c r="CT72" s="100"/>
      <c r="CU72" s="101"/>
      <c r="CV72" s="99"/>
      <c r="CW72" s="99"/>
      <c r="CX72" s="99"/>
      <c r="CY72" s="99"/>
    </row>
    <row r="73" spans="1:103" ht="38.25" hidden="1" outlineLevel="1" x14ac:dyDescent="0.2">
      <c r="A73" s="424" t="s">
        <v>796</v>
      </c>
      <c r="B73" s="425" t="str">
        <f>VLOOKUP(A73,[1]ACTIONS!$A$3:$B$238,2,0)</f>
        <v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v>
      </c>
      <c r="C73" s="96"/>
      <c r="D73" s="96"/>
      <c r="E73" s="96"/>
      <c r="F73" s="96"/>
      <c r="G73" s="96">
        <v>0</v>
      </c>
      <c r="H73" s="96">
        <v>0</v>
      </c>
      <c r="I73" s="97"/>
      <c r="J73" s="97"/>
      <c r="K73" s="98"/>
      <c r="L73" s="99"/>
      <c r="M73" s="99"/>
      <c r="N73" s="99"/>
      <c r="O73" s="99"/>
      <c r="P73" s="99"/>
      <c r="Q73" s="99"/>
      <c r="R73" s="99"/>
      <c r="S73" s="99"/>
      <c r="T73" s="99"/>
      <c r="U73" s="99"/>
      <c r="V73" s="99"/>
      <c r="W73" s="99"/>
      <c r="X73" s="99"/>
      <c r="Y73" s="99"/>
      <c r="Z73" s="100"/>
      <c r="AA73" s="101"/>
      <c r="AB73" s="99"/>
      <c r="AC73" s="99"/>
      <c r="AD73" s="99"/>
      <c r="AE73" s="99"/>
      <c r="AF73" s="99"/>
      <c r="AG73" s="100"/>
      <c r="AH73" s="101"/>
      <c r="AI73" s="99"/>
      <c r="AJ73" s="100"/>
      <c r="AK73" s="101"/>
      <c r="AL73" s="99"/>
      <c r="AM73" s="99"/>
      <c r="AN73" s="99"/>
      <c r="AO73" s="100"/>
      <c r="AP73" s="98"/>
      <c r="AQ73" s="99"/>
      <c r="AR73" s="99"/>
      <c r="AS73" s="99"/>
      <c r="AT73" s="99"/>
      <c r="AU73" s="99"/>
      <c r="AV73" s="99"/>
      <c r="AW73" s="99"/>
      <c r="AX73" s="99"/>
      <c r="AY73" s="99"/>
      <c r="AZ73" s="99"/>
      <c r="BA73" s="99"/>
      <c r="BB73" s="99"/>
      <c r="BC73" s="99"/>
      <c r="BD73" s="99"/>
      <c r="BE73" s="100"/>
      <c r="BF73" s="101"/>
      <c r="BG73" s="99"/>
      <c r="BH73" s="99"/>
      <c r="BI73" s="99"/>
      <c r="BJ73" s="99"/>
      <c r="BK73" s="99"/>
      <c r="BL73" s="100"/>
      <c r="BM73" s="101"/>
      <c r="BN73" s="99"/>
      <c r="BO73" s="100"/>
      <c r="BP73" s="101"/>
      <c r="BQ73" s="99"/>
      <c r="BR73" s="99"/>
      <c r="BS73" s="99"/>
      <c r="BT73" s="100"/>
      <c r="BU73" s="98"/>
      <c r="BV73" s="99"/>
      <c r="BW73" s="99"/>
      <c r="BX73" s="99"/>
      <c r="BY73" s="99"/>
      <c r="BZ73" s="99"/>
      <c r="CA73" s="99"/>
      <c r="CB73" s="99"/>
      <c r="CC73" s="99"/>
      <c r="CD73" s="99"/>
      <c r="CE73" s="99"/>
      <c r="CF73" s="99"/>
      <c r="CG73" s="99"/>
      <c r="CH73" s="99"/>
      <c r="CI73" s="99"/>
      <c r="CJ73" s="100"/>
      <c r="CK73" s="101"/>
      <c r="CL73" s="99"/>
      <c r="CM73" s="99"/>
      <c r="CN73" s="99"/>
      <c r="CO73" s="99"/>
      <c r="CP73" s="99"/>
      <c r="CQ73" s="100"/>
      <c r="CR73" s="101"/>
      <c r="CS73" s="99"/>
      <c r="CT73" s="100"/>
      <c r="CU73" s="101"/>
      <c r="CV73" s="99"/>
      <c r="CW73" s="99"/>
      <c r="CX73" s="99"/>
      <c r="CY73" s="99"/>
    </row>
    <row r="74" spans="1:103" ht="25.5" hidden="1" outlineLevel="1" x14ac:dyDescent="0.2">
      <c r="A74" s="424" t="s">
        <v>797</v>
      </c>
      <c r="B74" s="401" t="str">
        <f>VLOOKUP(A74,[1]ACTIONS!$A$3:$B$238,2,0)</f>
        <v>Sensibiliser et contrôler l’interdiction de nourrissage des animaux sauvages (oiseaux, poissons) à proximité des étangs et du Canal, car le nourrissage favorise les espèces invasives (= M 5.22.2)</v>
      </c>
      <c r="C74" s="96"/>
      <c r="D74" s="96"/>
      <c r="E74" s="96"/>
      <c r="F74" s="96">
        <v>0</v>
      </c>
      <c r="G74" s="96"/>
      <c r="H74" s="96">
        <v>0</v>
      </c>
      <c r="I74" s="97"/>
      <c r="J74" s="97"/>
      <c r="K74" s="98"/>
      <c r="L74" s="99"/>
      <c r="M74" s="99"/>
      <c r="N74" s="99"/>
      <c r="O74" s="99"/>
      <c r="P74" s="99"/>
      <c r="Q74" s="99"/>
      <c r="R74" s="99"/>
      <c r="S74" s="99"/>
      <c r="T74" s="99"/>
      <c r="U74" s="99"/>
      <c r="V74" s="99"/>
      <c r="W74" s="99"/>
      <c r="X74" s="99"/>
      <c r="Y74" s="99"/>
      <c r="Z74" s="100"/>
      <c r="AA74" s="101"/>
      <c r="AB74" s="99"/>
      <c r="AC74" s="99"/>
      <c r="AD74" s="99"/>
      <c r="AE74" s="99"/>
      <c r="AF74" s="99"/>
      <c r="AG74" s="100"/>
      <c r="AH74" s="101"/>
      <c r="AI74" s="99"/>
      <c r="AJ74" s="100"/>
      <c r="AK74" s="101"/>
      <c r="AL74" s="99"/>
      <c r="AM74" s="99"/>
      <c r="AN74" s="99"/>
      <c r="AO74" s="100"/>
      <c r="AP74" s="98"/>
      <c r="AQ74" s="99"/>
      <c r="AR74" s="99"/>
      <c r="AS74" s="99"/>
      <c r="AT74" s="99"/>
      <c r="AU74" s="99"/>
      <c r="AV74" s="99"/>
      <c r="AW74" s="99"/>
      <c r="AX74" s="99"/>
      <c r="AY74" s="99"/>
      <c r="AZ74" s="99"/>
      <c r="BA74" s="99"/>
      <c r="BB74" s="99"/>
      <c r="BC74" s="99"/>
      <c r="BD74" s="99"/>
      <c r="BE74" s="100"/>
      <c r="BF74" s="101"/>
      <c r="BG74" s="99"/>
      <c r="BH74" s="99"/>
      <c r="BI74" s="99"/>
      <c r="BJ74" s="99"/>
      <c r="BK74" s="99"/>
      <c r="BL74" s="100"/>
      <c r="BM74" s="101"/>
      <c r="BN74" s="99"/>
      <c r="BO74" s="100"/>
      <c r="BP74" s="101"/>
      <c r="BQ74" s="99"/>
      <c r="BR74" s="99"/>
      <c r="BS74" s="99"/>
      <c r="BT74" s="100"/>
      <c r="BU74" s="98"/>
      <c r="BV74" s="99"/>
      <c r="BW74" s="99"/>
      <c r="BX74" s="99"/>
      <c r="BY74" s="99"/>
      <c r="BZ74" s="99"/>
      <c r="CA74" s="99"/>
      <c r="CB74" s="99"/>
      <c r="CC74" s="99"/>
      <c r="CD74" s="99"/>
      <c r="CE74" s="99"/>
      <c r="CF74" s="99"/>
      <c r="CG74" s="99"/>
      <c r="CH74" s="99"/>
      <c r="CI74" s="99"/>
      <c r="CJ74" s="100"/>
      <c r="CK74" s="101"/>
      <c r="CL74" s="99"/>
      <c r="CM74" s="99"/>
      <c r="CN74" s="99"/>
      <c r="CO74" s="99"/>
      <c r="CP74" s="99"/>
      <c r="CQ74" s="100"/>
      <c r="CR74" s="101"/>
      <c r="CS74" s="99"/>
      <c r="CT74" s="100"/>
      <c r="CU74" s="101"/>
      <c r="CV74" s="99"/>
      <c r="CW74" s="99"/>
      <c r="CX74" s="99"/>
      <c r="CY74" s="99"/>
    </row>
    <row r="75" spans="1:103" collapsed="1" x14ac:dyDescent="0.2">
      <c r="A75" s="394" t="s">
        <v>4</v>
      </c>
      <c r="B75" s="395" t="str">
        <f>VLOOKUP(A75,'1. Mesures'!$A$2:$B$116,2,0)</f>
        <v xml:space="preserve">Inventorier les rejets directs dans une base de données dynamique </v>
      </c>
      <c r="C75" s="96"/>
      <c r="D75" s="96"/>
      <c r="E75" s="96"/>
      <c r="F75" s="96">
        <v>67000</v>
      </c>
      <c r="G75" s="96"/>
      <c r="H75" s="96">
        <v>67000</v>
      </c>
      <c r="I75" s="97"/>
      <c r="J75" s="97"/>
      <c r="K75" s="98"/>
      <c r="L75" s="99"/>
      <c r="M75" s="99"/>
      <c r="N75" s="99"/>
      <c r="O75" s="99"/>
      <c r="P75" s="99"/>
      <c r="Q75" s="99"/>
      <c r="R75" s="99"/>
      <c r="S75" s="99"/>
      <c r="T75" s="99"/>
      <c r="U75" s="99"/>
      <c r="V75" s="99"/>
      <c r="W75" s="99"/>
      <c r="X75" s="99"/>
      <c r="Y75" s="99"/>
      <c r="Z75" s="100"/>
      <c r="AA75" s="101"/>
      <c r="AB75" s="99"/>
      <c r="AC75" s="99"/>
      <c r="AD75" s="99"/>
      <c r="AE75" s="99"/>
      <c r="AF75" s="99"/>
      <c r="AG75" s="100"/>
      <c r="AH75" s="101"/>
      <c r="AI75" s="99"/>
      <c r="AJ75" s="100"/>
      <c r="AK75" s="101"/>
      <c r="AL75" s="99"/>
      <c r="AM75" s="99"/>
      <c r="AN75" s="99"/>
      <c r="AO75" s="100"/>
      <c r="AP75" s="98"/>
      <c r="AQ75" s="99"/>
      <c r="AR75" s="99"/>
      <c r="AS75" s="99"/>
      <c r="AT75" s="99"/>
      <c r="AU75" s="99"/>
      <c r="AV75" s="99"/>
      <c r="AW75" s="99"/>
      <c r="AX75" s="99"/>
      <c r="AY75" s="99"/>
      <c r="AZ75" s="99"/>
      <c r="BA75" s="99"/>
      <c r="BB75" s="99"/>
      <c r="BC75" s="99"/>
      <c r="BD75" s="99"/>
      <c r="BE75" s="100"/>
      <c r="BF75" s="101"/>
      <c r="BG75" s="99"/>
      <c r="BH75" s="99"/>
      <c r="BI75" s="99"/>
      <c r="BJ75" s="99"/>
      <c r="BK75" s="99"/>
      <c r="BL75" s="100"/>
      <c r="BM75" s="101"/>
      <c r="BN75" s="99"/>
      <c r="BO75" s="100"/>
      <c r="BP75" s="101"/>
      <c r="BQ75" s="99"/>
      <c r="BR75" s="99"/>
      <c r="BS75" s="99"/>
      <c r="BT75" s="100"/>
      <c r="BU75" s="98"/>
      <c r="BV75" s="99"/>
      <c r="BW75" s="99"/>
      <c r="BX75" s="99"/>
      <c r="BY75" s="99"/>
      <c r="BZ75" s="99"/>
      <c r="CA75" s="99"/>
      <c r="CB75" s="99"/>
      <c r="CC75" s="99"/>
      <c r="CD75" s="99"/>
      <c r="CE75" s="99"/>
      <c r="CF75" s="99"/>
      <c r="CG75" s="99"/>
      <c r="CH75" s="99"/>
      <c r="CI75" s="99"/>
      <c r="CJ75" s="100"/>
      <c r="CK75" s="101"/>
      <c r="CL75" s="99"/>
      <c r="CM75" s="99"/>
      <c r="CN75" s="99"/>
      <c r="CO75" s="99"/>
      <c r="CP75" s="99"/>
      <c r="CQ75" s="100"/>
      <c r="CR75" s="101"/>
      <c r="CS75" s="99"/>
      <c r="CT75" s="100"/>
      <c r="CU75" s="101"/>
      <c r="CV75" s="99"/>
      <c r="CW75" s="99"/>
      <c r="CX75" s="99"/>
      <c r="CY75" s="99"/>
    </row>
    <row r="76" spans="1:103" ht="25.5" hidden="1" outlineLevel="1" x14ac:dyDescent="0.2">
      <c r="A76" s="424" t="s">
        <v>798</v>
      </c>
      <c r="B76" s="401" t="str">
        <f>VLOOKUP(A76,[1]ACTIONS!$A$3:$B$238,2,0)</f>
        <v xml:space="preserve">Définir les informations à récolter par point de rejet et créer un format permettant l’encodage dans la base de données géographique BE des rejets </v>
      </c>
      <c r="C76" s="96"/>
      <c r="D76" s="96"/>
      <c r="E76" s="96"/>
      <c r="F76" s="96">
        <v>0</v>
      </c>
      <c r="G76" s="96"/>
      <c r="H76" s="96">
        <v>0</v>
      </c>
      <c r="I76" s="97"/>
      <c r="J76" s="97"/>
      <c r="K76" s="98"/>
      <c r="L76" s="99"/>
      <c r="M76" s="99"/>
      <c r="N76" s="99"/>
      <c r="O76" s="99"/>
      <c r="P76" s="99"/>
      <c r="Q76" s="99"/>
      <c r="R76" s="99"/>
      <c r="S76" s="99"/>
      <c r="T76" s="99"/>
      <c r="U76" s="99"/>
      <c r="V76" s="99"/>
      <c r="W76" s="99"/>
      <c r="X76" s="99"/>
      <c r="Y76" s="99"/>
      <c r="Z76" s="100"/>
      <c r="AA76" s="101"/>
      <c r="AB76" s="99"/>
      <c r="AC76" s="99"/>
      <c r="AD76" s="99"/>
      <c r="AE76" s="99"/>
      <c r="AF76" s="99"/>
      <c r="AG76" s="100"/>
      <c r="AH76" s="101"/>
      <c r="AI76" s="99"/>
      <c r="AJ76" s="100"/>
      <c r="AK76" s="101"/>
      <c r="AL76" s="99"/>
      <c r="AM76" s="99"/>
      <c r="AN76" s="99"/>
      <c r="AO76" s="100"/>
      <c r="AP76" s="98"/>
      <c r="AQ76" s="99"/>
      <c r="AR76" s="99"/>
      <c r="AS76" s="99"/>
      <c r="AT76" s="99"/>
      <c r="AU76" s="99"/>
      <c r="AV76" s="99"/>
      <c r="AW76" s="99"/>
      <c r="AX76" s="99"/>
      <c r="AY76" s="99"/>
      <c r="AZ76" s="99"/>
      <c r="BA76" s="99"/>
      <c r="BB76" s="99"/>
      <c r="BC76" s="99"/>
      <c r="BD76" s="99"/>
      <c r="BE76" s="100"/>
      <c r="BF76" s="101"/>
      <c r="BG76" s="99"/>
      <c r="BH76" s="99"/>
      <c r="BI76" s="99"/>
      <c r="BJ76" s="99"/>
      <c r="BK76" s="99"/>
      <c r="BL76" s="100"/>
      <c r="BM76" s="101"/>
      <c r="BN76" s="99"/>
      <c r="BO76" s="100"/>
      <c r="BP76" s="101"/>
      <c r="BQ76" s="99"/>
      <c r="BR76" s="99"/>
      <c r="BS76" s="99"/>
      <c r="BT76" s="100"/>
      <c r="BU76" s="98"/>
      <c r="BV76" s="99"/>
      <c r="BW76" s="99"/>
      <c r="BX76" s="99"/>
      <c r="BY76" s="99"/>
      <c r="BZ76" s="99"/>
      <c r="CA76" s="99"/>
      <c r="CB76" s="99"/>
      <c r="CC76" s="99"/>
      <c r="CD76" s="99"/>
      <c r="CE76" s="99"/>
      <c r="CF76" s="99"/>
      <c r="CG76" s="99"/>
      <c r="CH76" s="99"/>
      <c r="CI76" s="99"/>
      <c r="CJ76" s="100"/>
      <c r="CK76" s="101"/>
      <c r="CL76" s="99"/>
      <c r="CM76" s="99"/>
      <c r="CN76" s="99"/>
      <c r="CO76" s="99"/>
      <c r="CP76" s="99"/>
      <c r="CQ76" s="100"/>
      <c r="CR76" s="101"/>
      <c r="CS76" s="99"/>
      <c r="CT76" s="100"/>
      <c r="CU76" s="101"/>
      <c r="CV76" s="99"/>
      <c r="CW76" s="99"/>
      <c r="CX76" s="99"/>
      <c r="CY76" s="99"/>
    </row>
    <row r="77" spans="1:103" ht="25.5" hidden="1" outlineLevel="1" x14ac:dyDescent="0.2">
      <c r="A77" s="424" t="s">
        <v>799</v>
      </c>
      <c r="B77" s="401" t="str">
        <f>VLOOKUP(A77,[1]ACTIONS!$A$3:$B$238,2,0)</f>
        <v xml:space="preserve">Compiler les données relatives au réseau d’écoulement des parcelles privées du domaine portuaire et les fournir à BE afin qu’elles soient intégrées dans la base de données BE des rejets </v>
      </c>
      <c r="C77" s="96"/>
      <c r="D77" s="96"/>
      <c r="E77" s="96"/>
      <c r="F77" s="96">
        <v>0</v>
      </c>
      <c r="G77" s="96"/>
      <c r="H77" s="96">
        <v>0</v>
      </c>
      <c r="I77" s="97"/>
      <c r="J77" s="97"/>
      <c r="K77" s="98"/>
      <c r="L77" s="99"/>
      <c r="M77" s="99"/>
      <c r="N77" s="99"/>
      <c r="O77" s="99"/>
      <c r="P77" s="99"/>
      <c r="Q77" s="99"/>
      <c r="R77" s="99"/>
      <c r="S77" s="99"/>
      <c r="T77" s="99"/>
      <c r="U77" s="99"/>
      <c r="V77" s="99"/>
      <c r="W77" s="99"/>
      <c r="X77" s="99"/>
      <c r="Y77" s="99"/>
      <c r="Z77" s="100"/>
      <c r="AA77" s="101"/>
      <c r="AB77" s="99"/>
      <c r="AC77" s="99"/>
      <c r="AD77" s="99"/>
      <c r="AE77" s="99"/>
      <c r="AF77" s="99"/>
      <c r="AG77" s="100"/>
      <c r="AH77" s="101"/>
      <c r="AI77" s="99"/>
      <c r="AJ77" s="100"/>
      <c r="AK77" s="101"/>
      <c r="AL77" s="99"/>
      <c r="AM77" s="99"/>
      <c r="AN77" s="99"/>
      <c r="AO77" s="100"/>
      <c r="AP77" s="98"/>
      <c r="AQ77" s="99"/>
      <c r="AR77" s="99"/>
      <c r="AS77" s="99"/>
      <c r="AT77" s="99"/>
      <c r="AU77" s="99"/>
      <c r="AV77" s="99"/>
      <c r="AW77" s="99"/>
      <c r="AX77" s="99"/>
      <c r="AY77" s="99"/>
      <c r="AZ77" s="99"/>
      <c r="BA77" s="99"/>
      <c r="BB77" s="99"/>
      <c r="BC77" s="99"/>
      <c r="BD77" s="99"/>
      <c r="BE77" s="100"/>
      <c r="BF77" s="101"/>
      <c r="BG77" s="99"/>
      <c r="BH77" s="99"/>
      <c r="BI77" s="99"/>
      <c r="BJ77" s="99"/>
      <c r="BK77" s="99"/>
      <c r="BL77" s="100"/>
      <c r="BM77" s="101"/>
      <c r="BN77" s="99"/>
      <c r="BO77" s="100"/>
      <c r="BP77" s="101"/>
      <c r="BQ77" s="99"/>
      <c r="BR77" s="99"/>
      <c r="BS77" s="99"/>
      <c r="BT77" s="100"/>
      <c r="BU77" s="98"/>
      <c r="BV77" s="99"/>
      <c r="BW77" s="99"/>
      <c r="BX77" s="99"/>
      <c r="BY77" s="99"/>
      <c r="BZ77" s="99"/>
      <c r="CA77" s="99"/>
      <c r="CB77" s="99"/>
      <c r="CC77" s="99"/>
      <c r="CD77" s="99"/>
      <c r="CE77" s="99"/>
      <c r="CF77" s="99"/>
      <c r="CG77" s="99"/>
      <c r="CH77" s="99"/>
      <c r="CI77" s="99"/>
      <c r="CJ77" s="100"/>
      <c r="CK77" s="101"/>
      <c r="CL77" s="99"/>
      <c r="CM77" s="99"/>
      <c r="CN77" s="99"/>
      <c r="CO77" s="99"/>
      <c r="CP77" s="99"/>
      <c r="CQ77" s="100"/>
      <c r="CR77" s="101"/>
      <c r="CS77" s="99"/>
      <c r="CT77" s="100"/>
      <c r="CU77" s="101"/>
      <c r="CV77" s="99"/>
      <c r="CW77" s="99"/>
      <c r="CX77" s="99"/>
      <c r="CY77" s="99"/>
    </row>
    <row r="78" spans="1:103" hidden="1" outlineLevel="1" x14ac:dyDescent="0.2">
      <c r="A78" s="424" t="s">
        <v>800</v>
      </c>
      <c r="B78" s="401" t="str">
        <f>VLOOKUP(A78,[1]ACTIONS!$A$3:$B$238,2,0)</f>
        <v>Étudier la possibilité de caractériser un point noir (débit, charge EH, sources potentielles, photos…)</v>
      </c>
      <c r="C78" s="96"/>
      <c r="D78" s="96"/>
      <c r="E78" s="96"/>
      <c r="F78" s="96">
        <v>0</v>
      </c>
      <c r="G78" s="96"/>
      <c r="H78" s="96">
        <v>0</v>
      </c>
      <c r="I78" s="97"/>
      <c r="J78" s="97"/>
      <c r="K78" s="98"/>
      <c r="L78" s="99"/>
      <c r="M78" s="99"/>
      <c r="N78" s="99"/>
      <c r="O78" s="99"/>
      <c r="P78" s="99"/>
      <c r="Q78" s="99"/>
      <c r="R78" s="99"/>
      <c r="S78" s="99"/>
      <c r="T78" s="99"/>
      <c r="U78" s="99"/>
      <c r="V78" s="99"/>
      <c r="W78" s="99"/>
      <c r="X78" s="99"/>
      <c r="Y78" s="99"/>
      <c r="Z78" s="100"/>
      <c r="AA78" s="101"/>
      <c r="AB78" s="99"/>
      <c r="AC78" s="99"/>
      <c r="AD78" s="99"/>
      <c r="AE78" s="99"/>
      <c r="AF78" s="99"/>
      <c r="AG78" s="100"/>
      <c r="AH78" s="101"/>
      <c r="AI78" s="99"/>
      <c r="AJ78" s="100"/>
      <c r="AK78" s="101"/>
      <c r="AL78" s="99"/>
      <c r="AM78" s="99"/>
      <c r="AN78" s="99"/>
      <c r="AO78" s="100"/>
      <c r="AP78" s="98"/>
      <c r="AQ78" s="99"/>
      <c r="AR78" s="99"/>
      <c r="AS78" s="99"/>
      <c r="AT78" s="99"/>
      <c r="AU78" s="99"/>
      <c r="AV78" s="99"/>
      <c r="AW78" s="99"/>
      <c r="AX78" s="99"/>
      <c r="AY78" s="99"/>
      <c r="AZ78" s="99"/>
      <c r="BA78" s="99"/>
      <c r="BB78" s="99"/>
      <c r="BC78" s="99"/>
      <c r="BD78" s="99"/>
      <c r="BE78" s="100"/>
      <c r="BF78" s="101"/>
      <c r="BG78" s="99"/>
      <c r="BH78" s="99"/>
      <c r="BI78" s="99"/>
      <c r="BJ78" s="99"/>
      <c r="BK78" s="99"/>
      <c r="BL78" s="100"/>
      <c r="BM78" s="101"/>
      <c r="BN78" s="99"/>
      <c r="BO78" s="100"/>
      <c r="BP78" s="101"/>
      <c r="BQ78" s="99"/>
      <c r="BR78" s="99"/>
      <c r="BS78" s="99"/>
      <c r="BT78" s="100"/>
      <c r="BU78" s="98"/>
      <c r="BV78" s="99"/>
      <c r="BW78" s="99"/>
      <c r="BX78" s="99"/>
      <c r="BY78" s="99"/>
      <c r="BZ78" s="99"/>
      <c r="CA78" s="99"/>
      <c r="CB78" s="99"/>
      <c r="CC78" s="99"/>
      <c r="CD78" s="99"/>
      <c r="CE78" s="99"/>
      <c r="CF78" s="99"/>
      <c r="CG78" s="99"/>
      <c r="CH78" s="99"/>
      <c r="CI78" s="99"/>
      <c r="CJ78" s="100"/>
      <c r="CK78" s="101"/>
      <c r="CL78" s="99"/>
      <c r="CM78" s="99"/>
      <c r="CN78" s="99"/>
      <c r="CO78" s="99"/>
      <c r="CP78" s="99"/>
      <c r="CQ78" s="100"/>
      <c r="CR78" s="101"/>
      <c r="CS78" s="99"/>
      <c r="CT78" s="100"/>
      <c r="CU78" s="101"/>
      <c r="CV78" s="99"/>
      <c r="CW78" s="99"/>
      <c r="CX78" s="99"/>
      <c r="CY78" s="99"/>
    </row>
    <row r="79" spans="1:103" ht="25.5" hidden="1" outlineLevel="1" x14ac:dyDescent="0.2">
      <c r="A79" s="424" t="s">
        <v>801</v>
      </c>
      <c r="B79" s="401" t="str">
        <f>VLOOKUP(A79,[1]ACTIONS!$A$3:$B$238,2,0)</f>
        <v>Mise à jour du relevé sur terrain des rejets vers la Senne, notamment en s’aidant des connaissances déjà disponibles, et les compiler dans la base de données BE des rejets</v>
      </c>
      <c r="C79" s="96"/>
      <c r="D79" s="96"/>
      <c r="E79" s="96"/>
      <c r="F79" s="96">
        <v>0</v>
      </c>
      <c r="G79" s="96"/>
      <c r="H79" s="96">
        <v>0</v>
      </c>
      <c r="I79" s="97"/>
      <c r="J79" s="97"/>
      <c r="K79" s="98"/>
      <c r="L79" s="99"/>
      <c r="M79" s="99"/>
      <c r="N79" s="99"/>
      <c r="O79" s="99"/>
      <c r="P79" s="99"/>
      <c r="Q79" s="99"/>
      <c r="R79" s="99"/>
      <c r="S79" s="99"/>
      <c r="T79" s="99"/>
      <c r="U79" s="99"/>
      <c r="V79" s="99"/>
      <c r="W79" s="99"/>
      <c r="X79" s="99"/>
      <c r="Y79" s="99"/>
      <c r="Z79" s="100"/>
      <c r="AA79" s="101"/>
      <c r="AB79" s="99"/>
      <c r="AC79" s="99"/>
      <c r="AD79" s="99"/>
      <c r="AE79" s="99"/>
      <c r="AF79" s="99"/>
      <c r="AG79" s="100"/>
      <c r="AH79" s="101"/>
      <c r="AI79" s="99"/>
      <c r="AJ79" s="100"/>
      <c r="AK79" s="101"/>
      <c r="AL79" s="99"/>
      <c r="AM79" s="99"/>
      <c r="AN79" s="99"/>
      <c r="AO79" s="100"/>
      <c r="AP79" s="98"/>
      <c r="AQ79" s="99"/>
      <c r="AR79" s="99"/>
      <c r="AS79" s="99"/>
      <c r="AT79" s="99"/>
      <c r="AU79" s="99"/>
      <c r="AV79" s="99"/>
      <c r="AW79" s="99"/>
      <c r="AX79" s="99"/>
      <c r="AY79" s="99"/>
      <c r="AZ79" s="99"/>
      <c r="BA79" s="99"/>
      <c r="BB79" s="99"/>
      <c r="BC79" s="99"/>
      <c r="BD79" s="99"/>
      <c r="BE79" s="100"/>
      <c r="BF79" s="101"/>
      <c r="BG79" s="99"/>
      <c r="BH79" s="99"/>
      <c r="BI79" s="99"/>
      <c r="BJ79" s="99"/>
      <c r="BK79" s="99"/>
      <c r="BL79" s="100"/>
      <c r="BM79" s="101"/>
      <c r="BN79" s="99"/>
      <c r="BO79" s="100"/>
      <c r="BP79" s="101"/>
      <c r="BQ79" s="99"/>
      <c r="BR79" s="99"/>
      <c r="BS79" s="99"/>
      <c r="BT79" s="100"/>
      <c r="BU79" s="98"/>
      <c r="BV79" s="99"/>
      <c r="BW79" s="99"/>
      <c r="BX79" s="99"/>
      <c r="BY79" s="99"/>
      <c r="BZ79" s="99"/>
      <c r="CA79" s="99"/>
      <c r="CB79" s="99"/>
      <c r="CC79" s="99"/>
      <c r="CD79" s="99"/>
      <c r="CE79" s="99"/>
      <c r="CF79" s="99"/>
      <c r="CG79" s="99"/>
      <c r="CH79" s="99"/>
      <c r="CI79" s="99"/>
      <c r="CJ79" s="100"/>
      <c r="CK79" s="101"/>
      <c r="CL79" s="99"/>
      <c r="CM79" s="99"/>
      <c r="CN79" s="99"/>
      <c r="CO79" s="99"/>
      <c r="CP79" s="99"/>
      <c r="CQ79" s="100"/>
      <c r="CR79" s="101"/>
      <c r="CS79" s="99"/>
      <c r="CT79" s="100"/>
      <c r="CU79" s="101"/>
      <c r="CV79" s="99"/>
      <c r="CW79" s="99"/>
      <c r="CX79" s="99"/>
      <c r="CY79" s="99"/>
    </row>
    <row r="80" spans="1:103" ht="25.5" hidden="1" outlineLevel="1" x14ac:dyDescent="0.2">
      <c r="A80" s="424" t="s">
        <v>802</v>
      </c>
      <c r="B80" s="401" t="str">
        <f>VLOOKUP(A80,[1]ACTIONS!$A$3:$B$238,2,0)</f>
        <v>Faire un relevé sur terrain des rejets vers le Hollebeek, notamment en s’aidant des connaissances déjà disponibles, et les compiler dans la base de données BE des rejets</v>
      </c>
      <c r="C80" s="96"/>
      <c r="D80" s="96"/>
      <c r="E80" s="96"/>
      <c r="F80" s="96">
        <v>0</v>
      </c>
      <c r="G80" s="96"/>
      <c r="H80" s="96">
        <v>0</v>
      </c>
      <c r="I80" s="97"/>
      <c r="J80" s="97"/>
      <c r="K80" s="98"/>
      <c r="L80" s="99"/>
      <c r="M80" s="99"/>
      <c r="N80" s="99"/>
      <c r="O80" s="99"/>
      <c r="P80" s="99"/>
      <c r="Q80" s="99"/>
      <c r="R80" s="99"/>
      <c r="S80" s="99"/>
      <c r="T80" s="99"/>
      <c r="U80" s="99"/>
      <c r="V80" s="99"/>
      <c r="W80" s="99"/>
      <c r="X80" s="99"/>
      <c r="Y80" s="99"/>
      <c r="Z80" s="100"/>
      <c r="AA80" s="101"/>
      <c r="AB80" s="99"/>
      <c r="AC80" s="99"/>
      <c r="AD80" s="99"/>
      <c r="AE80" s="99"/>
      <c r="AF80" s="99"/>
      <c r="AG80" s="100"/>
      <c r="AH80" s="101"/>
      <c r="AI80" s="99"/>
      <c r="AJ80" s="100"/>
      <c r="AK80" s="101"/>
      <c r="AL80" s="99"/>
      <c r="AM80" s="99"/>
      <c r="AN80" s="99"/>
      <c r="AO80" s="100"/>
      <c r="AP80" s="98"/>
      <c r="AQ80" s="99"/>
      <c r="AR80" s="99"/>
      <c r="AS80" s="99"/>
      <c r="AT80" s="99"/>
      <c r="AU80" s="99"/>
      <c r="AV80" s="99"/>
      <c r="AW80" s="99"/>
      <c r="AX80" s="99"/>
      <c r="AY80" s="99"/>
      <c r="AZ80" s="99"/>
      <c r="BA80" s="99"/>
      <c r="BB80" s="99"/>
      <c r="BC80" s="99"/>
      <c r="BD80" s="99"/>
      <c r="BE80" s="100"/>
      <c r="BF80" s="101"/>
      <c r="BG80" s="99"/>
      <c r="BH80" s="99"/>
      <c r="BI80" s="99"/>
      <c r="BJ80" s="99"/>
      <c r="BK80" s="99"/>
      <c r="BL80" s="100"/>
      <c r="BM80" s="101"/>
      <c r="BN80" s="99"/>
      <c r="BO80" s="100"/>
      <c r="BP80" s="101"/>
      <c r="BQ80" s="99"/>
      <c r="BR80" s="99"/>
      <c r="BS80" s="99"/>
      <c r="BT80" s="100"/>
      <c r="BU80" s="98"/>
      <c r="BV80" s="99"/>
      <c r="BW80" s="99"/>
      <c r="BX80" s="99"/>
      <c r="BY80" s="99"/>
      <c r="BZ80" s="99"/>
      <c r="CA80" s="99"/>
      <c r="CB80" s="99"/>
      <c r="CC80" s="99"/>
      <c r="CD80" s="99"/>
      <c r="CE80" s="99"/>
      <c r="CF80" s="99"/>
      <c r="CG80" s="99"/>
      <c r="CH80" s="99"/>
      <c r="CI80" s="99"/>
      <c r="CJ80" s="100"/>
      <c r="CK80" s="101"/>
      <c r="CL80" s="99"/>
      <c r="CM80" s="99"/>
      <c r="CN80" s="99"/>
      <c r="CO80" s="99"/>
      <c r="CP80" s="99"/>
      <c r="CQ80" s="100"/>
      <c r="CR80" s="101"/>
      <c r="CS80" s="99"/>
      <c r="CT80" s="100"/>
      <c r="CU80" s="101"/>
      <c r="CV80" s="99"/>
      <c r="CW80" s="99"/>
      <c r="CX80" s="99"/>
      <c r="CY80" s="99"/>
    </row>
    <row r="81" spans="1:103" ht="25.5" hidden="1" outlineLevel="1" x14ac:dyDescent="0.2">
      <c r="A81" s="424" t="s">
        <v>803</v>
      </c>
      <c r="B81" s="401" t="str">
        <f>VLOOKUP(A81,[1]ACTIONS!$A$3:$B$238,2,0)</f>
        <v>Faire un relevé sur terrain des rejets vers le Vogelzangbeek, notamment en s’aidant des connaissances déjà disponibles, et les compiler dans la base de données BE des rejets</v>
      </c>
      <c r="C81" s="96"/>
      <c r="D81" s="96"/>
      <c r="E81" s="96"/>
      <c r="F81" s="96">
        <v>0</v>
      </c>
      <c r="G81" s="96"/>
      <c r="H81" s="96">
        <v>0</v>
      </c>
      <c r="I81" s="97"/>
      <c r="J81" s="97"/>
      <c r="K81" s="98"/>
      <c r="L81" s="99"/>
      <c r="M81" s="99"/>
      <c r="N81" s="99"/>
      <c r="O81" s="99"/>
      <c r="P81" s="99"/>
      <c r="Q81" s="99"/>
      <c r="R81" s="99"/>
      <c r="S81" s="99"/>
      <c r="T81" s="99"/>
      <c r="U81" s="99"/>
      <c r="V81" s="99"/>
      <c r="W81" s="99"/>
      <c r="X81" s="99"/>
      <c r="Y81" s="99"/>
      <c r="Z81" s="100"/>
      <c r="AA81" s="101"/>
      <c r="AB81" s="99"/>
      <c r="AC81" s="99"/>
      <c r="AD81" s="99"/>
      <c r="AE81" s="99"/>
      <c r="AF81" s="99"/>
      <c r="AG81" s="100"/>
      <c r="AH81" s="101"/>
      <c r="AI81" s="99"/>
      <c r="AJ81" s="100"/>
      <c r="AK81" s="101"/>
      <c r="AL81" s="99"/>
      <c r="AM81" s="99"/>
      <c r="AN81" s="99"/>
      <c r="AO81" s="100"/>
      <c r="AP81" s="98"/>
      <c r="AQ81" s="99"/>
      <c r="AR81" s="99"/>
      <c r="AS81" s="99"/>
      <c r="AT81" s="99"/>
      <c r="AU81" s="99"/>
      <c r="AV81" s="99"/>
      <c r="AW81" s="99"/>
      <c r="AX81" s="99"/>
      <c r="AY81" s="99"/>
      <c r="AZ81" s="99"/>
      <c r="BA81" s="99"/>
      <c r="BB81" s="99"/>
      <c r="BC81" s="99"/>
      <c r="BD81" s="99"/>
      <c r="BE81" s="100"/>
      <c r="BF81" s="101"/>
      <c r="BG81" s="99"/>
      <c r="BH81" s="99"/>
      <c r="BI81" s="99"/>
      <c r="BJ81" s="99"/>
      <c r="BK81" s="99"/>
      <c r="BL81" s="100"/>
      <c r="BM81" s="101"/>
      <c r="BN81" s="99"/>
      <c r="BO81" s="100"/>
      <c r="BP81" s="101"/>
      <c r="BQ81" s="99"/>
      <c r="BR81" s="99"/>
      <c r="BS81" s="99"/>
      <c r="BT81" s="100"/>
      <c r="BU81" s="98"/>
      <c r="BV81" s="99"/>
      <c r="BW81" s="99"/>
      <c r="BX81" s="99"/>
      <c r="BY81" s="99"/>
      <c r="BZ81" s="99"/>
      <c r="CA81" s="99"/>
      <c r="CB81" s="99"/>
      <c r="CC81" s="99"/>
      <c r="CD81" s="99"/>
      <c r="CE81" s="99"/>
      <c r="CF81" s="99"/>
      <c r="CG81" s="99"/>
      <c r="CH81" s="99"/>
      <c r="CI81" s="99"/>
      <c r="CJ81" s="100"/>
      <c r="CK81" s="101"/>
      <c r="CL81" s="99"/>
      <c r="CM81" s="99"/>
      <c r="CN81" s="99"/>
      <c r="CO81" s="99"/>
      <c r="CP81" s="99"/>
      <c r="CQ81" s="100"/>
      <c r="CR81" s="101"/>
      <c r="CS81" s="99"/>
      <c r="CT81" s="100"/>
      <c r="CU81" s="101"/>
      <c r="CV81" s="99"/>
      <c r="CW81" s="99"/>
      <c r="CX81" s="99"/>
      <c r="CY81" s="99"/>
    </row>
    <row r="82" spans="1:103" ht="25.5" hidden="1" outlineLevel="1" x14ac:dyDescent="0.2">
      <c r="A82" s="424" t="s">
        <v>804</v>
      </c>
      <c r="B82" s="401" t="str">
        <f>VLOOKUP(A82,[1]ACTIONS!$A$3:$B$238,2,0)</f>
        <v>Faire un relevé sur terrain des rejets vers le Verrewinkelbeek, notamment en s’aidant des connaissances déjà disponibles, et les compiler dans la base de données BE des rejets</v>
      </c>
      <c r="C82" s="96"/>
      <c r="D82" s="96"/>
      <c r="E82" s="96"/>
      <c r="F82" s="96">
        <v>0</v>
      </c>
      <c r="G82" s="96"/>
      <c r="H82" s="96">
        <v>0</v>
      </c>
      <c r="I82" s="97"/>
      <c r="J82" s="97"/>
      <c r="K82" s="98"/>
      <c r="L82" s="99"/>
      <c r="M82" s="99"/>
      <c r="N82" s="99"/>
      <c r="O82" s="99"/>
      <c r="P82" s="99"/>
      <c r="Q82" s="99"/>
      <c r="R82" s="99"/>
      <c r="S82" s="99"/>
      <c r="T82" s="99"/>
      <c r="U82" s="99"/>
      <c r="V82" s="99"/>
      <c r="W82" s="99"/>
      <c r="X82" s="99"/>
      <c r="Y82" s="99"/>
      <c r="Z82" s="100"/>
      <c r="AA82" s="101"/>
      <c r="AB82" s="99"/>
      <c r="AC82" s="99"/>
      <c r="AD82" s="99"/>
      <c r="AE82" s="99"/>
      <c r="AF82" s="99"/>
      <c r="AG82" s="100"/>
      <c r="AH82" s="101"/>
      <c r="AI82" s="99"/>
      <c r="AJ82" s="100"/>
      <c r="AK82" s="101"/>
      <c r="AL82" s="99"/>
      <c r="AM82" s="99"/>
      <c r="AN82" s="99"/>
      <c r="AO82" s="100"/>
      <c r="AP82" s="98"/>
      <c r="AQ82" s="99"/>
      <c r="AR82" s="99"/>
      <c r="AS82" s="99"/>
      <c r="AT82" s="99"/>
      <c r="AU82" s="99"/>
      <c r="AV82" s="99"/>
      <c r="AW82" s="99"/>
      <c r="AX82" s="99"/>
      <c r="AY82" s="99"/>
      <c r="AZ82" s="99"/>
      <c r="BA82" s="99"/>
      <c r="BB82" s="99"/>
      <c r="BC82" s="99"/>
      <c r="BD82" s="99"/>
      <c r="BE82" s="100"/>
      <c r="BF82" s="101"/>
      <c r="BG82" s="99"/>
      <c r="BH82" s="99"/>
      <c r="BI82" s="99"/>
      <c r="BJ82" s="99"/>
      <c r="BK82" s="99"/>
      <c r="BL82" s="100"/>
      <c r="BM82" s="101"/>
      <c r="BN82" s="99"/>
      <c r="BO82" s="100"/>
      <c r="BP82" s="101"/>
      <c r="BQ82" s="99"/>
      <c r="BR82" s="99"/>
      <c r="BS82" s="99"/>
      <c r="BT82" s="100"/>
      <c r="BU82" s="98"/>
      <c r="BV82" s="99"/>
      <c r="BW82" s="99"/>
      <c r="BX82" s="99"/>
      <c r="BY82" s="99"/>
      <c r="BZ82" s="99"/>
      <c r="CA82" s="99"/>
      <c r="CB82" s="99"/>
      <c r="CC82" s="99"/>
      <c r="CD82" s="99"/>
      <c r="CE82" s="99"/>
      <c r="CF82" s="99"/>
      <c r="CG82" s="99"/>
      <c r="CH82" s="99"/>
      <c r="CI82" s="99"/>
      <c r="CJ82" s="100"/>
      <c r="CK82" s="101"/>
      <c r="CL82" s="99"/>
      <c r="CM82" s="99"/>
      <c r="CN82" s="99"/>
      <c r="CO82" s="99"/>
      <c r="CP82" s="99"/>
      <c r="CQ82" s="100"/>
      <c r="CR82" s="101"/>
      <c r="CS82" s="99"/>
      <c r="CT82" s="100"/>
      <c r="CU82" s="101"/>
      <c r="CV82" s="99"/>
      <c r="CW82" s="99"/>
      <c r="CX82" s="99"/>
      <c r="CY82" s="99"/>
    </row>
    <row r="83" spans="1:103" ht="25.5" hidden="1" outlineLevel="1" x14ac:dyDescent="0.2">
      <c r="A83" s="424" t="s">
        <v>805</v>
      </c>
      <c r="B83" s="401" t="str">
        <f>VLOOKUP(A83,[1]ACTIONS!$A$3:$B$238,2,0)</f>
        <v>Mise à jour du relevé sur terrain des rejets vers le Neerpedebeek, notamment en s’aidant des connaissances déjà disponibles, et les compiler dans la base de données BE des rejets</v>
      </c>
      <c r="C83" s="96"/>
      <c r="D83" s="96"/>
      <c r="E83" s="96"/>
      <c r="F83" s="96">
        <v>0</v>
      </c>
      <c r="G83" s="96"/>
      <c r="H83" s="96">
        <v>0</v>
      </c>
      <c r="I83" s="97"/>
      <c r="J83" s="97"/>
      <c r="K83" s="98"/>
      <c r="L83" s="99"/>
      <c r="M83" s="99"/>
      <c r="N83" s="99"/>
      <c r="O83" s="99"/>
      <c r="P83" s="99"/>
      <c r="Q83" s="99"/>
      <c r="R83" s="99"/>
      <c r="S83" s="99"/>
      <c r="T83" s="99"/>
      <c r="U83" s="99"/>
      <c r="V83" s="99"/>
      <c r="W83" s="99"/>
      <c r="X83" s="99"/>
      <c r="Y83" s="99"/>
      <c r="Z83" s="100"/>
      <c r="AA83" s="101"/>
      <c r="AB83" s="99"/>
      <c r="AC83" s="99"/>
      <c r="AD83" s="99"/>
      <c r="AE83" s="99"/>
      <c r="AF83" s="99"/>
      <c r="AG83" s="100"/>
      <c r="AH83" s="101"/>
      <c r="AI83" s="99"/>
      <c r="AJ83" s="100"/>
      <c r="AK83" s="101"/>
      <c r="AL83" s="99"/>
      <c r="AM83" s="99"/>
      <c r="AN83" s="99"/>
      <c r="AO83" s="100"/>
      <c r="AP83" s="98"/>
      <c r="AQ83" s="99"/>
      <c r="AR83" s="99"/>
      <c r="AS83" s="99"/>
      <c r="AT83" s="99"/>
      <c r="AU83" s="99"/>
      <c r="AV83" s="99"/>
      <c r="AW83" s="99"/>
      <c r="AX83" s="99"/>
      <c r="AY83" s="99"/>
      <c r="AZ83" s="99"/>
      <c r="BA83" s="99"/>
      <c r="BB83" s="99"/>
      <c r="BC83" s="99"/>
      <c r="BD83" s="99"/>
      <c r="BE83" s="100"/>
      <c r="BF83" s="101"/>
      <c r="BG83" s="99"/>
      <c r="BH83" s="99"/>
      <c r="BI83" s="99"/>
      <c r="BJ83" s="99"/>
      <c r="BK83" s="99"/>
      <c r="BL83" s="100"/>
      <c r="BM83" s="101"/>
      <c r="BN83" s="99"/>
      <c r="BO83" s="100"/>
      <c r="BP83" s="101"/>
      <c r="BQ83" s="99"/>
      <c r="BR83" s="99"/>
      <c r="BS83" s="99"/>
      <c r="BT83" s="100"/>
      <c r="BU83" s="98"/>
      <c r="BV83" s="99"/>
      <c r="BW83" s="99"/>
      <c r="BX83" s="99"/>
      <c r="BY83" s="99"/>
      <c r="BZ83" s="99"/>
      <c r="CA83" s="99"/>
      <c r="CB83" s="99"/>
      <c r="CC83" s="99"/>
      <c r="CD83" s="99"/>
      <c r="CE83" s="99"/>
      <c r="CF83" s="99"/>
      <c r="CG83" s="99"/>
      <c r="CH83" s="99"/>
      <c r="CI83" s="99"/>
      <c r="CJ83" s="100"/>
      <c r="CK83" s="101"/>
      <c r="CL83" s="99"/>
      <c r="CM83" s="99"/>
      <c r="CN83" s="99"/>
      <c r="CO83" s="99"/>
      <c r="CP83" s="99"/>
      <c r="CQ83" s="100"/>
      <c r="CR83" s="101"/>
      <c r="CS83" s="99"/>
      <c r="CT83" s="100"/>
      <c r="CU83" s="101"/>
      <c r="CV83" s="99"/>
      <c r="CW83" s="99"/>
      <c r="CX83" s="99"/>
      <c r="CY83" s="99"/>
    </row>
    <row r="84" spans="1:103" ht="140.25" hidden="1" outlineLevel="1" x14ac:dyDescent="0.2">
      <c r="A84" s="424" t="s">
        <v>806</v>
      </c>
      <c r="B84" s="401" t="str">
        <f>VLOOKUP(A84,[1]ACTIONS!$A$3:$B$238,2,0)</f>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
      <c r="C84" s="96"/>
      <c r="D84" s="96"/>
      <c r="E84" s="96"/>
      <c r="F84" s="96">
        <v>17000</v>
      </c>
      <c r="G84" s="96"/>
      <c r="H84" s="96">
        <v>17000</v>
      </c>
      <c r="I84" s="97"/>
      <c r="J84" s="97"/>
      <c r="K84" s="98"/>
      <c r="L84" s="99"/>
      <c r="M84" s="99"/>
      <c r="N84" s="99"/>
      <c r="O84" s="99"/>
      <c r="P84" s="99"/>
      <c r="Q84" s="99"/>
      <c r="R84" s="99"/>
      <c r="S84" s="99"/>
      <c r="T84" s="99"/>
      <c r="U84" s="99"/>
      <c r="V84" s="99"/>
      <c r="W84" s="99"/>
      <c r="X84" s="99"/>
      <c r="Y84" s="99"/>
      <c r="Z84" s="100"/>
      <c r="AA84" s="101"/>
      <c r="AB84" s="99"/>
      <c r="AC84" s="99"/>
      <c r="AD84" s="99"/>
      <c r="AE84" s="99"/>
      <c r="AF84" s="99"/>
      <c r="AG84" s="100"/>
      <c r="AH84" s="101"/>
      <c r="AI84" s="99"/>
      <c r="AJ84" s="100"/>
      <c r="AK84" s="101"/>
      <c r="AL84" s="99"/>
      <c r="AM84" s="99"/>
      <c r="AN84" s="99"/>
      <c r="AO84" s="100"/>
      <c r="AP84" s="98"/>
      <c r="AQ84" s="99"/>
      <c r="AR84" s="99"/>
      <c r="AS84" s="99"/>
      <c r="AT84" s="99"/>
      <c r="AU84" s="99"/>
      <c r="AV84" s="99"/>
      <c r="AW84" s="99"/>
      <c r="AX84" s="99"/>
      <c r="AY84" s="99"/>
      <c r="AZ84" s="99"/>
      <c r="BA84" s="99"/>
      <c r="BB84" s="99"/>
      <c r="BC84" s="99"/>
      <c r="BD84" s="99"/>
      <c r="BE84" s="100"/>
      <c r="BF84" s="101"/>
      <c r="BG84" s="99"/>
      <c r="BH84" s="99"/>
      <c r="BI84" s="99"/>
      <c r="BJ84" s="99"/>
      <c r="BK84" s="99"/>
      <c r="BL84" s="100"/>
      <c r="BM84" s="101"/>
      <c r="BN84" s="99"/>
      <c r="BO84" s="100"/>
      <c r="BP84" s="101"/>
      <c r="BQ84" s="99"/>
      <c r="BR84" s="99"/>
      <c r="BS84" s="99"/>
      <c r="BT84" s="100"/>
      <c r="BU84" s="98"/>
      <c r="BV84" s="99"/>
      <c r="BW84" s="99"/>
      <c r="BX84" s="99"/>
      <c r="BY84" s="99"/>
      <c r="BZ84" s="99"/>
      <c r="CA84" s="99"/>
      <c r="CB84" s="99"/>
      <c r="CC84" s="99"/>
      <c r="CD84" s="99"/>
      <c r="CE84" s="99"/>
      <c r="CF84" s="99"/>
      <c r="CG84" s="99"/>
      <c r="CH84" s="99"/>
      <c r="CI84" s="99"/>
      <c r="CJ84" s="100"/>
      <c r="CK84" s="101"/>
      <c r="CL84" s="99"/>
      <c r="CM84" s="99"/>
      <c r="CN84" s="99"/>
      <c r="CO84" s="99"/>
      <c r="CP84" s="99"/>
      <c r="CQ84" s="100"/>
      <c r="CR84" s="101"/>
      <c r="CS84" s="99"/>
      <c r="CT84" s="100"/>
      <c r="CU84" s="101"/>
      <c r="CV84" s="99"/>
      <c r="CW84" s="99"/>
      <c r="CX84" s="99"/>
      <c r="CY84" s="99"/>
    </row>
    <row r="85" spans="1:103" hidden="1" outlineLevel="1" x14ac:dyDescent="0.2">
      <c r="A85" s="424" t="s">
        <v>807</v>
      </c>
      <c r="B85" s="401" t="str">
        <f>VLOOKUP(A85,[1]ACTIONS!$A$3:$B$238,2,0)</f>
        <v xml:space="preserve">Compiler les données des points de rejets des bateaux/navires permanents dans la base de données BE des rejets </v>
      </c>
      <c r="C85" s="96"/>
      <c r="D85" s="96"/>
      <c r="E85" s="96"/>
      <c r="F85" s="96">
        <v>0</v>
      </c>
      <c r="G85" s="96"/>
      <c r="H85" s="96">
        <v>0</v>
      </c>
      <c r="I85" s="97"/>
      <c r="J85" s="97"/>
      <c r="K85" s="98"/>
      <c r="L85" s="99"/>
      <c r="M85" s="99"/>
      <c r="N85" s="99"/>
      <c r="O85" s="99"/>
      <c r="P85" s="99"/>
      <c r="Q85" s="99"/>
      <c r="R85" s="99"/>
      <c r="S85" s="99"/>
      <c r="T85" s="99"/>
      <c r="U85" s="99"/>
      <c r="V85" s="99"/>
      <c r="W85" s="99"/>
      <c r="X85" s="99"/>
      <c r="Y85" s="99"/>
      <c r="Z85" s="100"/>
      <c r="AA85" s="101"/>
      <c r="AB85" s="99"/>
      <c r="AC85" s="99"/>
      <c r="AD85" s="99"/>
      <c r="AE85" s="99"/>
      <c r="AF85" s="99"/>
      <c r="AG85" s="100"/>
      <c r="AH85" s="101"/>
      <c r="AI85" s="99"/>
      <c r="AJ85" s="100"/>
      <c r="AK85" s="101"/>
      <c r="AL85" s="99"/>
      <c r="AM85" s="99"/>
      <c r="AN85" s="99"/>
      <c r="AO85" s="100"/>
      <c r="AP85" s="98"/>
      <c r="AQ85" s="99"/>
      <c r="AR85" s="99"/>
      <c r="AS85" s="99"/>
      <c r="AT85" s="99"/>
      <c r="AU85" s="99"/>
      <c r="AV85" s="99"/>
      <c r="AW85" s="99"/>
      <c r="AX85" s="99"/>
      <c r="AY85" s="99"/>
      <c r="AZ85" s="99"/>
      <c r="BA85" s="99"/>
      <c r="BB85" s="99"/>
      <c r="BC85" s="99"/>
      <c r="BD85" s="99"/>
      <c r="BE85" s="100"/>
      <c r="BF85" s="101"/>
      <c r="BG85" s="99"/>
      <c r="BH85" s="99"/>
      <c r="BI85" s="99"/>
      <c r="BJ85" s="99"/>
      <c r="BK85" s="99"/>
      <c r="BL85" s="100"/>
      <c r="BM85" s="101"/>
      <c r="BN85" s="99"/>
      <c r="BO85" s="100"/>
      <c r="BP85" s="101"/>
      <c r="BQ85" s="99"/>
      <c r="BR85" s="99"/>
      <c r="BS85" s="99"/>
      <c r="BT85" s="100"/>
      <c r="BU85" s="98"/>
      <c r="BV85" s="99"/>
      <c r="BW85" s="99"/>
      <c r="BX85" s="99"/>
      <c r="BY85" s="99"/>
      <c r="BZ85" s="99"/>
      <c r="CA85" s="99"/>
      <c r="CB85" s="99"/>
      <c r="CC85" s="99"/>
      <c r="CD85" s="99"/>
      <c r="CE85" s="99"/>
      <c r="CF85" s="99"/>
      <c r="CG85" s="99"/>
      <c r="CH85" s="99"/>
      <c r="CI85" s="99"/>
      <c r="CJ85" s="100"/>
      <c r="CK85" s="101"/>
      <c r="CL85" s="99"/>
      <c r="CM85" s="99"/>
      <c r="CN85" s="99"/>
      <c r="CO85" s="99"/>
      <c r="CP85" s="99"/>
      <c r="CQ85" s="100"/>
      <c r="CR85" s="101"/>
      <c r="CS85" s="99"/>
      <c r="CT85" s="100"/>
      <c r="CU85" s="101"/>
      <c r="CV85" s="99"/>
      <c r="CW85" s="99"/>
      <c r="CX85" s="99"/>
      <c r="CY85" s="99"/>
    </row>
    <row r="86" spans="1:103" ht="51" hidden="1" outlineLevel="1" x14ac:dyDescent="0.2">
      <c r="A86" s="424" t="s">
        <v>808</v>
      </c>
      <c r="B86" s="401" t="str">
        <f>VLOOKUP(A86,[1]ACTIONS!$A$3:$B$238,2,0)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
      <c r="C86" s="96"/>
      <c r="D86" s="96"/>
      <c r="E86" s="96"/>
      <c r="F86" s="96">
        <v>25000</v>
      </c>
      <c r="G86" s="96"/>
      <c r="H86" s="96">
        <v>25000</v>
      </c>
      <c r="I86" s="97"/>
      <c r="J86" s="97"/>
      <c r="K86" s="98"/>
      <c r="L86" s="99"/>
      <c r="M86" s="99"/>
      <c r="N86" s="99"/>
      <c r="O86" s="99"/>
      <c r="P86" s="99"/>
      <c r="Q86" s="99"/>
      <c r="R86" s="99"/>
      <c r="S86" s="99"/>
      <c r="T86" s="99"/>
      <c r="U86" s="99"/>
      <c r="V86" s="99"/>
      <c r="W86" s="99"/>
      <c r="X86" s="99"/>
      <c r="Y86" s="99"/>
      <c r="Z86" s="100"/>
      <c r="AA86" s="101"/>
      <c r="AB86" s="99"/>
      <c r="AC86" s="99"/>
      <c r="AD86" s="99"/>
      <c r="AE86" s="99"/>
      <c r="AF86" s="99"/>
      <c r="AG86" s="100"/>
      <c r="AH86" s="101"/>
      <c r="AI86" s="99"/>
      <c r="AJ86" s="100"/>
      <c r="AK86" s="101"/>
      <c r="AL86" s="99"/>
      <c r="AM86" s="99"/>
      <c r="AN86" s="99"/>
      <c r="AO86" s="100"/>
      <c r="AP86" s="98"/>
      <c r="AQ86" s="99"/>
      <c r="AR86" s="99"/>
      <c r="AS86" s="99"/>
      <c r="AT86" s="99"/>
      <c r="AU86" s="99"/>
      <c r="AV86" s="99"/>
      <c r="AW86" s="99"/>
      <c r="AX86" s="99"/>
      <c r="AY86" s="99"/>
      <c r="AZ86" s="99"/>
      <c r="BA86" s="99"/>
      <c r="BB86" s="99"/>
      <c r="BC86" s="99"/>
      <c r="BD86" s="99"/>
      <c r="BE86" s="100"/>
      <c r="BF86" s="101"/>
      <c r="BG86" s="99"/>
      <c r="BH86" s="99"/>
      <c r="BI86" s="99"/>
      <c r="BJ86" s="99"/>
      <c r="BK86" s="99"/>
      <c r="BL86" s="100"/>
      <c r="BM86" s="101"/>
      <c r="BN86" s="99"/>
      <c r="BO86" s="100"/>
      <c r="BP86" s="101"/>
      <c r="BQ86" s="99"/>
      <c r="BR86" s="99"/>
      <c r="BS86" s="99"/>
      <c r="BT86" s="100"/>
      <c r="BU86" s="98"/>
      <c r="BV86" s="99"/>
      <c r="BW86" s="99"/>
      <c r="BX86" s="99"/>
      <c r="BY86" s="99"/>
      <c r="BZ86" s="99"/>
      <c r="CA86" s="99"/>
      <c r="CB86" s="99"/>
      <c r="CC86" s="99"/>
      <c r="CD86" s="99"/>
      <c r="CE86" s="99"/>
      <c r="CF86" s="99"/>
      <c r="CG86" s="99"/>
      <c r="CH86" s="99"/>
      <c r="CI86" s="99"/>
      <c r="CJ86" s="100"/>
      <c r="CK86" s="101"/>
      <c r="CL86" s="99"/>
      <c r="CM86" s="99"/>
      <c r="CN86" s="99"/>
      <c r="CO86" s="99"/>
      <c r="CP86" s="99"/>
      <c r="CQ86" s="100"/>
      <c r="CR86" s="101"/>
      <c r="CS86" s="99"/>
      <c r="CT86" s="100"/>
      <c r="CU86" s="101"/>
      <c r="CV86" s="99"/>
      <c r="CW86" s="99"/>
      <c r="CX86" s="99"/>
      <c r="CY86" s="99"/>
    </row>
    <row r="87" spans="1:103" ht="25.5" hidden="1" outlineLevel="1" x14ac:dyDescent="0.2">
      <c r="A87" s="424" t="s">
        <v>809</v>
      </c>
      <c r="B87" s="401" t="str">
        <f>VLOOKUP(A87,[1]ACTIONS!$A$3:$B$238,2,0)</f>
        <v>Récupérer les données complémentaires disponibles auprès des opérateurs (chainons manquants, zones non raccordées…)</v>
      </c>
      <c r="C87" s="96"/>
      <c r="D87" s="96"/>
      <c r="E87" s="96"/>
      <c r="F87" s="96">
        <v>0</v>
      </c>
      <c r="G87" s="96"/>
      <c r="H87" s="96">
        <v>0</v>
      </c>
      <c r="I87" s="97"/>
      <c r="J87" s="97"/>
      <c r="K87" s="98"/>
      <c r="L87" s="99"/>
      <c r="M87" s="99"/>
      <c r="N87" s="99"/>
      <c r="O87" s="99"/>
      <c r="P87" s="99"/>
      <c r="Q87" s="99"/>
      <c r="R87" s="99"/>
      <c r="S87" s="99"/>
      <c r="T87" s="99"/>
      <c r="U87" s="99"/>
      <c r="V87" s="99"/>
      <c r="W87" s="99"/>
      <c r="X87" s="99"/>
      <c r="Y87" s="99"/>
      <c r="Z87" s="100"/>
      <c r="AA87" s="101"/>
      <c r="AB87" s="99"/>
      <c r="AC87" s="99"/>
      <c r="AD87" s="99"/>
      <c r="AE87" s="99"/>
      <c r="AF87" s="99"/>
      <c r="AG87" s="100"/>
      <c r="AH87" s="101"/>
      <c r="AI87" s="99"/>
      <c r="AJ87" s="100"/>
      <c r="AK87" s="101"/>
      <c r="AL87" s="99"/>
      <c r="AM87" s="99"/>
      <c r="AN87" s="99"/>
      <c r="AO87" s="100"/>
      <c r="AP87" s="98"/>
      <c r="AQ87" s="99"/>
      <c r="AR87" s="99"/>
      <c r="AS87" s="99"/>
      <c r="AT87" s="99"/>
      <c r="AU87" s="99"/>
      <c r="AV87" s="99"/>
      <c r="AW87" s="99"/>
      <c r="AX87" s="99"/>
      <c r="AY87" s="99"/>
      <c r="AZ87" s="99"/>
      <c r="BA87" s="99"/>
      <c r="BB87" s="99"/>
      <c r="BC87" s="99"/>
      <c r="BD87" s="99"/>
      <c r="BE87" s="100"/>
      <c r="BF87" s="101"/>
      <c r="BG87" s="99"/>
      <c r="BH87" s="99"/>
      <c r="BI87" s="99"/>
      <c r="BJ87" s="99"/>
      <c r="BK87" s="99"/>
      <c r="BL87" s="100"/>
      <c r="BM87" s="101"/>
      <c r="BN87" s="99"/>
      <c r="BO87" s="100"/>
      <c r="BP87" s="101"/>
      <c r="BQ87" s="99"/>
      <c r="BR87" s="99"/>
      <c r="BS87" s="99"/>
      <c r="BT87" s="100"/>
      <c r="BU87" s="98"/>
      <c r="BV87" s="99"/>
      <c r="BW87" s="99"/>
      <c r="BX87" s="99"/>
      <c r="BY87" s="99"/>
      <c r="BZ87" s="99"/>
      <c r="CA87" s="99"/>
      <c r="CB87" s="99"/>
      <c r="CC87" s="99"/>
      <c r="CD87" s="99"/>
      <c r="CE87" s="99"/>
      <c r="CF87" s="99"/>
      <c r="CG87" s="99"/>
      <c r="CH87" s="99"/>
      <c r="CI87" s="99"/>
      <c r="CJ87" s="100"/>
      <c r="CK87" s="101"/>
      <c r="CL87" s="99"/>
      <c r="CM87" s="99"/>
      <c r="CN87" s="99"/>
      <c r="CO87" s="99"/>
      <c r="CP87" s="99"/>
      <c r="CQ87" s="100"/>
      <c r="CR87" s="101"/>
      <c r="CS87" s="99"/>
      <c r="CT87" s="100"/>
      <c r="CU87" s="101"/>
      <c r="CV87" s="99"/>
      <c r="CW87" s="99"/>
      <c r="CX87" s="99"/>
      <c r="CY87" s="99"/>
    </row>
    <row r="88" spans="1:103" ht="25.5" hidden="1" outlineLevel="1" x14ac:dyDescent="0.2">
      <c r="A88" s="424" t="s">
        <v>810</v>
      </c>
      <c r="B88" s="401" t="str">
        <f>VLOOKUP(A88,[1]ACTIONS!$A$3:$B$238,2,0)</f>
        <v xml:space="preserve">Compiler les données relatives au réseau d’écoulement des parcelles privées du domaine portuaire dans la base de données BE des rejets </v>
      </c>
      <c r="C88" s="96"/>
      <c r="D88" s="96"/>
      <c r="E88" s="96"/>
      <c r="F88" s="96">
        <v>0</v>
      </c>
      <c r="G88" s="96"/>
      <c r="H88" s="96">
        <v>0</v>
      </c>
      <c r="I88" s="97"/>
      <c r="J88" s="97"/>
      <c r="K88" s="98"/>
      <c r="L88" s="99"/>
      <c r="M88" s="99"/>
      <c r="N88" s="99"/>
      <c r="O88" s="99"/>
      <c r="P88" s="99"/>
      <c r="Q88" s="99"/>
      <c r="R88" s="99"/>
      <c r="S88" s="99"/>
      <c r="T88" s="99"/>
      <c r="U88" s="99"/>
      <c r="V88" s="99"/>
      <c r="W88" s="99"/>
      <c r="X88" s="99"/>
      <c r="Y88" s="99"/>
      <c r="Z88" s="100"/>
      <c r="AA88" s="101"/>
      <c r="AB88" s="99"/>
      <c r="AC88" s="99"/>
      <c r="AD88" s="99"/>
      <c r="AE88" s="99"/>
      <c r="AF88" s="99"/>
      <c r="AG88" s="100"/>
      <c r="AH88" s="101"/>
      <c r="AI88" s="99"/>
      <c r="AJ88" s="100"/>
      <c r="AK88" s="101"/>
      <c r="AL88" s="99"/>
      <c r="AM88" s="99"/>
      <c r="AN88" s="99"/>
      <c r="AO88" s="100"/>
      <c r="AP88" s="98"/>
      <c r="AQ88" s="99"/>
      <c r="AR88" s="99"/>
      <c r="AS88" s="99"/>
      <c r="AT88" s="99"/>
      <c r="AU88" s="99"/>
      <c r="AV88" s="99"/>
      <c r="AW88" s="99"/>
      <c r="AX88" s="99"/>
      <c r="AY88" s="99"/>
      <c r="AZ88" s="99"/>
      <c r="BA88" s="99"/>
      <c r="BB88" s="99"/>
      <c r="BC88" s="99"/>
      <c r="BD88" s="99"/>
      <c r="BE88" s="100"/>
      <c r="BF88" s="101"/>
      <c r="BG88" s="99"/>
      <c r="BH88" s="99"/>
      <c r="BI88" s="99"/>
      <c r="BJ88" s="99"/>
      <c r="BK88" s="99"/>
      <c r="BL88" s="100"/>
      <c r="BM88" s="101"/>
      <c r="BN88" s="99"/>
      <c r="BO88" s="100"/>
      <c r="BP88" s="101"/>
      <c r="BQ88" s="99"/>
      <c r="BR88" s="99"/>
      <c r="BS88" s="99"/>
      <c r="BT88" s="100"/>
      <c r="BU88" s="98"/>
      <c r="BV88" s="99"/>
      <c r="BW88" s="99"/>
      <c r="BX88" s="99"/>
      <c r="BY88" s="99"/>
      <c r="BZ88" s="99"/>
      <c r="CA88" s="99"/>
      <c r="CB88" s="99"/>
      <c r="CC88" s="99"/>
      <c r="CD88" s="99"/>
      <c r="CE88" s="99"/>
      <c r="CF88" s="99"/>
      <c r="CG88" s="99"/>
      <c r="CH88" s="99"/>
      <c r="CI88" s="99"/>
      <c r="CJ88" s="100"/>
      <c r="CK88" s="101"/>
      <c r="CL88" s="99"/>
      <c r="CM88" s="99"/>
      <c r="CN88" s="99"/>
      <c r="CO88" s="99"/>
      <c r="CP88" s="99"/>
      <c r="CQ88" s="100"/>
      <c r="CR88" s="101"/>
      <c r="CS88" s="99"/>
      <c r="CT88" s="100"/>
      <c r="CU88" s="101"/>
      <c r="CV88" s="99"/>
      <c r="CW88" s="99"/>
      <c r="CX88" s="99"/>
      <c r="CY88" s="99"/>
    </row>
    <row r="89" spans="1:103" hidden="1" outlineLevel="1" x14ac:dyDescent="0.2">
      <c r="A89" s="424" t="s">
        <v>811</v>
      </c>
      <c r="B89" s="401" t="str">
        <f>VLOOKUP(A89,[1]ACTIONS!$A$3:$B$238,2,0)</f>
        <v>Compiler les données du Port relatives aux autorisations de rejet dans le Canal dans la base de données BE des rejets</v>
      </c>
      <c r="C89" s="96"/>
      <c r="D89" s="96"/>
      <c r="E89" s="96"/>
      <c r="F89" s="96">
        <v>0</v>
      </c>
      <c r="G89" s="96"/>
      <c r="H89" s="96">
        <v>0</v>
      </c>
      <c r="I89" s="97"/>
      <c r="J89" s="97"/>
      <c r="K89" s="98"/>
      <c r="L89" s="99"/>
      <c r="M89" s="99"/>
      <c r="N89" s="99"/>
      <c r="O89" s="99"/>
      <c r="P89" s="99"/>
      <c r="Q89" s="99"/>
      <c r="R89" s="99"/>
      <c r="S89" s="99"/>
      <c r="T89" s="99"/>
      <c r="U89" s="99"/>
      <c r="V89" s="99"/>
      <c r="W89" s="99"/>
      <c r="X89" s="99"/>
      <c r="Y89" s="99"/>
      <c r="Z89" s="100"/>
      <c r="AA89" s="101"/>
      <c r="AB89" s="99"/>
      <c r="AC89" s="99"/>
      <c r="AD89" s="99"/>
      <c r="AE89" s="99"/>
      <c r="AF89" s="99"/>
      <c r="AG89" s="100"/>
      <c r="AH89" s="101"/>
      <c r="AI89" s="99"/>
      <c r="AJ89" s="100"/>
      <c r="AK89" s="101"/>
      <c r="AL89" s="99"/>
      <c r="AM89" s="99"/>
      <c r="AN89" s="99"/>
      <c r="AO89" s="100"/>
      <c r="AP89" s="98"/>
      <c r="AQ89" s="99"/>
      <c r="AR89" s="99"/>
      <c r="AS89" s="99"/>
      <c r="AT89" s="99"/>
      <c r="AU89" s="99"/>
      <c r="AV89" s="99"/>
      <c r="AW89" s="99"/>
      <c r="AX89" s="99"/>
      <c r="AY89" s="99"/>
      <c r="AZ89" s="99"/>
      <c r="BA89" s="99"/>
      <c r="BB89" s="99"/>
      <c r="BC89" s="99"/>
      <c r="BD89" s="99"/>
      <c r="BE89" s="100"/>
      <c r="BF89" s="101"/>
      <c r="BG89" s="99"/>
      <c r="BH89" s="99"/>
      <c r="BI89" s="99"/>
      <c r="BJ89" s="99"/>
      <c r="BK89" s="99"/>
      <c r="BL89" s="100"/>
      <c r="BM89" s="101"/>
      <c r="BN89" s="99"/>
      <c r="BO89" s="100"/>
      <c r="BP89" s="101"/>
      <c r="BQ89" s="99"/>
      <c r="BR89" s="99"/>
      <c r="BS89" s="99"/>
      <c r="BT89" s="100"/>
      <c r="BU89" s="98"/>
      <c r="BV89" s="99"/>
      <c r="BW89" s="99"/>
      <c r="BX89" s="99"/>
      <c r="BY89" s="99"/>
      <c r="BZ89" s="99"/>
      <c r="CA89" s="99"/>
      <c r="CB89" s="99"/>
      <c r="CC89" s="99"/>
      <c r="CD89" s="99"/>
      <c r="CE89" s="99"/>
      <c r="CF89" s="99"/>
      <c r="CG89" s="99"/>
      <c r="CH89" s="99"/>
      <c r="CI89" s="99"/>
      <c r="CJ89" s="100"/>
      <c r="CK89" s="101"/>
      <c r="CL89" s="99"/>
      <c r="CM89" s="99"/>
      <c r="CN89" s="99"/>
      <c r="CO89" s="99"/>
      <c r="CP89" s="99"/>
      <c r="CQ89" s="100"/>
      <c r="CR89" s="101"/>
      <c r="CS89" s="99"/>
      <c r="CT89" s="100"/>
      <c r="CU89" s="101"/>
      <c r="CV89" s="99"/>
      <c r="CW89" s="99"/>
      <c r="CX89" s="99"/>
      <c r="CY89" s="99"/>
    </row>
    <row r="90" spans="1:103" ht="38.25" hidden="1" outlineLevel="1" x14ac:dyDescent="0.2">
      <c r="A90" s="424" t="s">
        <v>812</v>
      </c>
      <c r="B90" s="401" t="str">
        <f>VLOOKUP(A90,[1]ACTIONS!$A$3:$B$238,2,0)</f>
        <v>Faire un relevé sur terrain des rejets vers la Woluwe et les étangs de la Woluwe (y compris l’égout qui déborderait ponctuellement au Parc des Sources), notamment en s’aidant des connaissances déjà disponibles, et les compiler dans la base de données BE des rejets</v>
      </c>
      <c r="C90" s="96"/>
      <c r="D90" s="96"/>
      <c r="E90" s="96"/>
      <c r="F90" s="96">
        <v>0</v>
      </c>
      <c r="G90" s="96"/>
      <c r="H90" s="96">
        <v>0</v>
      </c>
      <c r="I90" s="97"/>
      <c r="J90" s="97"/>
      <c r="K90" s="98"/>
      <c r="L90" s="99"/>
      <c r="M90" s="99"/>
      <c r="N90" s="99"/>
      <c r="O90" s="99"/>
      <c r="P90" s="99"/>
      <c r="Q90" s="99"/>
      <c r="R90" s="99"/>
      <c r="S90" s="99"/>
      <c r="T90" s="99"/>
      <c r="U90" s="99"/>
      <c r="V90" s="99"/>
      <c r="W90" s="99"/>
      <c r="X90" s="99"/>
      <c r="Y90" s="99"/>
      <c r="Z90" s="100"/>
      <c r="AA90" s="101"/>
      <c r="AB90" s="99"/>
      <c r="AC90" s="99"/>
      <c r="AD90" s="99"/>
      <c r="AE90" s="99"/>
      <c r="AF90" s="99"/>
      <c r="AG90" s="100"/>
      <c r="AH90" s="101"/>
      <c r="AI90" s="99"/>
      <c r="AJ90" s="100"/>
      <c r="AK90" s="101"/>
      <c r="AL90" s="99"/>
      <c r="AM90" s="99"/>
      <c r="AN90" s="99"/>
      <c r="AO90" s="100"/>
      <c r="AP90" s="98"/>
      <c r="AQ90" s="99"/>
      <c r="AR90" s="99"/>
      <c r="AS90" s="99"/>
      <c r="AT90" s="99"/>
      <c r="AU90" s="99"/>
      <c r="AV90" s="99"/>
      <c r="AW90" s="99"/>
      <c r="AX90" s="99"/>
      <c r="AY90" s="99"/>
      <c r="AZ90" s="99"/>
      <c r="BA90" s="99"/>
      <c r="BB90" s="99"/>
      <c r="BC90" s="99"/>
      <c r="BD90" s="99"/>
      <c r="BE90" s="100"/>
      <c r="BF90" s="101"/>
      <c r="BG90" s="99"/>
      <c r="BH90" s="99"/>
      <c r="BI90" s="99"/>
      <c r="BJ90" s="99"/>
      <c r="BK90" s="99"/>
      <c r="BL90" s="100"/>
      <c r="BM90" s="101"/>
      <c r="BN90" s="99"/>
      <c r="BO90" s="100"/>
      <c r="BP90" s="101"/>
      <c r="BQ90" s="99"/>
      <c r="BR90" s="99"/>
      <c r="BS90" s="99"/>
      <c r="BT90" s="100"/>
      <c r="BU90" s="98"/>
      <c r="BV90" s="99"/>
      <c r="BW90" s="99"/>
      <c r="BX90" s="99"/>
      <c r="BY90" s="99"/>
      <c r="BZ90" s="99"/>
      <c r="CA90" s="99"/>
      <c r="CB90" s="99"/>
      <c r="CC90" s="99"/>
      <c r="CD90" s="99"/>
      <c r="CE90" s="99"/>
      <c r="CF90" s="99"/>
      <c r="CG90" s="99"/>
      <c r="CH90" s="99"/>
      <c r="CI90" s="99"/>
      <c r="CJ90" s="100"/>
      <c r="CK90" s="101"/>
      <c r="CL90" s="99"/>
      <c r="CM90" s="99"/>
      <c r="CN90" s="99"/>
      <c r="CO90" s="99"/>
      <c r="CP90" s="99"/>
      <c r="CQ90" s="100"/>
      <c r="CR90" s="101"/>
      <c r="CS90" s="99"/>
      <c r="CT90" s="100"/>
      <c r="CU90" s="101"/>
      <c r="CV90" s="99"/>
      <c r="CW90" s="99"/>
      <c r="CX90" s="99"/>
      <c r="CY90" s="99"/>
    </row>
    <row r="91" spans="1:103" ht="25.5" hidden="1" outlineLevel="1" x14ac:dyDescent="0.2">
      <c r="A91" s="424" t="s">
        <v>813</v>
      </c>
      <c r="B91" s="401" t="str">
        <f>VLOOKUP(A91,[1]ACTIONS!$A$3:$B$238,2,0)</f>
        <v>Finir les investigations des sources des rejets vers le Zwanewijdebeek qui ont été relevés sur terrain et les compiler dans la base de données BE des rejets</v>
      </c>
      <c r="C91" s="96"/>
      <c r="D91" s="96"/>
      <c r="E91" s="96"/>
      <c r="F91" s="96">
        <v>0</v>
      </c>
      <c r="G91" s="96"/>
      <c r="H91" s="96">
        <v>0</v>
      </c>
      <c r="I91" s="97"/>
      <c r="J91" s="97"/>
      <c r="K91" s="98"/>
      <c r="L91" s="99"/>
      <c r="M91" s="99"/>
      <c r="N91" s="99"/>
      <c r="O91" s="99"/>
      <c r="P91" s="99"/>
      <c r="Q91" s="99"/>
      <c r="R91" s="99"/>
      <c r="S91" s="99"/>
      <c r="T91" s="99"/>
      <c r="U91" s="99"/>
      <c r="V91" s="99"/>
      <c r="W91" s="99"/>
      <c r="X91" s="99"/>
      <c r="Y91" s="99"/>
      <c r="Z91" s="100"/>
      <c r="AA91" s="101"/>
      <c r="AB91" s="99"/>
      <c r="AC91" s="99"/>
      <c r="AD91" s="99"/>
      <c r="AE91" s="99"/>
      <c r="AF91" s="99"/>
      <c r="AG91" s="100"/>
      <c r="AH91" s="101"/>
      <c r="AI91" s="99"/>
      <c r="AJ91" s="100"/>
      <c r="AK91" s="101"/>
      <c r="AL91" s="99"/>
      <c r="AM91" s="99"/>
      <c r="AN91" s="99"/>
      <c r="AO91" s="100"/>
      <c r="AP91" s="98"/>
      <c r="AQ91" s="99"/>
      <c r="AR91" s="99"/>
      <c r="AS91" s="99"/>
      <c r="AT91" s="99"/>
      <c r="AU91" s="99"/>
      <c r="AV91" s="99"/>
      <c r="AW91" s="99"/>
      <c r="AX91" s="99"/>
      <c r="AY91" s="99"/>
      <c r="AZ91" s="99"/>
      <c r="BA91" s="99"/>
      <c r="BB91" s="99"/>
      <c r="BC91" s="99"/>
      <c r="BD91" s="99"/>
      <c r="BE91" s="100"/>
      <c r="BF91" s="101"/>
      <c r="BG91" s="99"/>
      <c r="BH91" s="99"/>
      <c r="BI91" s="99"/>
      <c r="BJ91" s="99"/>
      <c r="BK91" s="99"/>
      <c r="BL91" s="100"/>
      <c r="BM91" s="101"/>
      <c r="BN91" s="99"/>
      <c r="BO91" s="100"/>
      <c r="BP91" s="101"/>
      <c r="BQ91" s="99"/>
      <c r="BR91" s="99"/>
      <c r="BS91" s="99"/>
      <c r="BT91" s="100"/>
      <c r="BU91" s="98"/>
      <c r="BV91" s="99"/>
      <c r="BW91" s="99"/>
      <c r="BX91" s="99"/>
      <c r="BY91" s="99"/>
      <c r="BZ91" s="99"/>
      <c r="CA91" s="99"/>
      <c r="CB91" s="99"/>
      <c r="CC91" s="99"/>
      <c r="CD91" s="99"/>
      <c r="CE91" s="99"/>
      <c r="CF91" s="99"/>
      <c r="CG91" s="99"/>
      <c r="CH91" s="99"/>
      <c r="CI91" s="99"/>
      <c r="CJ91" s="100"/>
      <c r="CK91" s="101"/>
      <c r="CL91" s="99"/>
      <c r="CM91" s="99"/>
      <c r="CN91" s="99"/>
      <c r="CO91" s="99"/>
      <c r="CP91" s="99"/>
      <c r="CQ91" s="100"/>
      <c r="CR91" s="101"/>
      <c r="CS91" s="99"/>
      <c r="CT91" s="100"/>
      <c r="CU91" s="101"/>
      <c r="CV91" s="99"/>
      <c r="CW91" s="99"/>
      <c r="CX91" s="99"/>
      <c r="CY91" s="99"/>
    </row>
    <row r="92" spans="1:103" hidden="1" outlineLevel="1" x14ac:dyDescent="0.2">
      <c r="A92" s="424" t="s">
        <v>814</v>
      </c>
      <c r="B92" s="401" t="str">
        <f>VLOOKUP(A92,[1]ACTIONS!$A$3:$B$238,2,0)</f>
        <v xml:space="preserve">Dresser une carte des rejets avec les informations de la base de données </v>
      </c>
      <c r="C92" s="96"/>
      <c r="D92" s="96"/>
      <c r="E92" s="96"/>
      <c r="F92" s="96">
        <v>0</v>
      </c>
      <c r="G92" s="96"/>
      <c r="H92" s="96">
        <v>0</v>
      </c>
      <c r="I92" s="97"/>
      <c r="J92" s="97"/>
      <c r="K92" s="98"/>
      <c r="L92" s="99"/>
      <c r="M92" s="99"/>
      <c r="N92" s="99"/>
      <c r="O92" s="99"/>
      <c r="P92" s="99"/>
      <c r="Q92" s="99"/>
      <c r="R92" s="99"/>
      <c r="S92" s="99"/>
      <c r="T92" s="99"/>
      <c r="U92" s="99"/>
      <c r="V92" s="99"/>
      <c r="W92" s="99"/>
      <c r="X92" s="99"/>
      <c r="Y92" s="99"/>
      <c r="Z92" s="100"/>
      <c r="AA92" s="101"/>
      <c r="AB92" s="99"/>
      <c r="AC92" s="99"/>
      <c r="AD92" s="99"/>
      <c r="AE92" s="99"/>
      <c r="AF92" s="99"/>
      <c r="AG92" s="100"/>
      <c r="AH92" s="101"/>
      <c r="AI92" s="99"/>
      <c r="AJ92" s="100"/>
      <c r="AK92" s="101"/>
      <c r="AL92" s="99"/>
      <c r="AM92" s="99"/>
      <c r="AN92" s="99"/>
      <c r="AO92" s="100"/>
      <c r="AP92" s="98"/>
      <c r="AQ92" s="99"/>
      <c r="AR92" s="99"/>
      <c r="AS92" s="99"/>
      <c r="AT92" s="99"/>
      <c r="AU92" s="99"/>
      <c r="AV92" s="99"/>
      <c r="AW92" s="99"/>
      <c r="AX92" s="99"/>
      <c r="AY92" s="99"/>
      <c r="AZ92" s="99"/>
      <c r="BA92" s="99"/>
      <c r="BB92" s="99"/>
      <c r="BC92" s="99"/>
      <c r="BD92" s="99"/>
      <c r="BE92" s="100"/>
      <c r="BF92" s="101"/>
      <c r="BG92" s="99"/>
      <c r="BH92" s="99"/>
      <c r="BI92" s="99"/>
      <c r="BJ92" s="99"/>
      <c r="BK92" s="99"/>
      <c r="BL92" s="100"/>
      <c r="BM92" s="101"/>
      <c r="BN92" s="99"/>
      <c r="BO92" s="100"/>
      <c r="BP92" s="101"/>
      <c r="BQ92" s="99"/>
      <c r="BR92" s="99"/>
      <c r="BS92" s="99"/>
      <c r="BT92" s="100"/>
      <c r="BU92" s="98"/>
      <c r="BV92" s="99"/>
      <c r="BW92" s="99"/>
      <c r="BX92" s="99"/>
      <c r="BY92" s="99"/>
      <c r="BZ92" s="99"/>
      <c r="CA92" s="99"/>
      <c r="CB92" s="99"/>
      <c r="CC92" s="99"/>
      <c r="CD92" s="99"/>
      <c r="CE92" s="99"/>
      <c r="CF92" s="99"/>
      <c r="CG92" s="99"/>
      <c r="CH92" s="99"/>
      <c r="CI92" s="99"/>
      <c r="CJ92" s="100"/>
      <c r="CK92" s="101"/>
      <c r="CL92" s="99"/>
      <c r="CM92" s="99"/>
      <c r="CN92" s="99"/>
      <c r="CO92" s="99"/>
      <c r="CP92" s="99"/>
      <c r="CQ92" s="100"/>
      <c r="CR92" s="101"/>
      <c r="CS92" s="99"/>
      <c r="CT92" s="100"/>
      <c r="CU92" s="101"/>
      <c r="CV92" s="99"/>
      <c r="CW92" s="99"/>
      <c r="CX92" s="99"/>
      <c r="CY92" s="99"/>
    </row>
    <row r="93" spans="1:103" hidden="1" outlineLevel="1" x14ac:dyDescent="0.2">
      <c r="A93" s="424" t="s">
        <v>815</v>
      </c>
      <c r="B93" s="401" t="str">
        <f>VLOOKUP(A93,[1]ACTIONS!$A$3:$B$238,2,0)</f>
        <v>Mettre la carte des rejets et les résultats à disposition du Port, de VVQ et de la SBGE</v>
      </c>
      <c r="C93" s="96"/>
      <c r="D93" s="96"/>
      <c r="E93" s="96"/>
      <c r="F93" s="96">
        <v>0</v>
      </c>
      <c r="G93" s="96"/>
      <c r="H93" s="96">
        <v>0</v>
      </c>
      <c r="I93" s="97"/>
      <c r="J93" s="97"/>
      <c r="K93" s="98"/>
      <c r="L93" s="99"/>
      <c r="M93" s="99"/>
      <c r="N93" s="99"/>
      <c r="O93" s="99"/>
      <c r="P93" s="99"/>
      <c r="Q93" s="99"/>
      <c r="R93" s="99"/>
      <c r="S93" s="99"/>
      <c r="T93" s="99"/>
      <c r="U93" s="99"/>
      <c r="V93" s="99"/>
      <c r="W93" s="99"/>
      <c r="X93" s="99"/>
      <c r="Y93" s="99"/>
      <c r="Z93" s="100"/>
      <c r="AA93" s="101"/>
      <c r="AB93" s="99"/>
      <c r="AC93" s="99"/>
      <c r="AD93" s="99"/>
      <c r="AE93" s="99"/>
      <c r="AF93" s="99"/>
      <c r="AG93" s="100"/>
      <c r="AH93" s="101"/>
      <c r="AI93" s="99"/>
      <c r="AJ93" s="100"/>
      <c r="AK93" s="101"/>
      <c r="AL93" s="99"/>
      <c r="AM93" s="99"/>
      <c r="AN93" s="99"/>
      <c r="AO93" s="100"/>
      <c r="AP93" s="98"/>
      <c r="AQ93" s="99"/>
      <c r="AR93" s="99"/>
      <c r="AS93" s="99"/>
      <c r="AT93" s="99"/>
      <c r="AU93" s="99"/>
      <c r="AV93" s="99"/>
      <c r="AW93" s="99"/>
      <c r="AX93" s="99"/>
      <c r="AY93" s="99"/>
      <c r="AZ93" s="99"/>
      <c r="BA93" s="99"/>
      <c r="BB93" s="99"/>
      <c r="BC93" s="99"/>
      <c r="BD93" s="99"/>
      <c r="BE93" s="100"/>
      <c r="BF93" s="101"/>
      <c r="BG93" s="99"/>
      <c r="BH93" s="99"/>
      <c r="BI93" s="99"/>
      <c r="BJ93" s="99"/>
      <c r="BK93" s="99"/>
      <c r="BL93" s="100"/>
      <c r="BM93" s="101"/>
      <c r="BN93" s="99"/>
      <c r="BO93" s="100"/>
      <c r="BP93" s="101"/>
      <c r="BQ93" s="99"/>
      <c r="BR93" s="99"/>
      <c r="BS93" s="99"/>
      <c r="BT93" s="100"/>
      <c r="BU93" s="98"/>
      <c r="BV93" s="99"/>
      <c r="BW93" s="99"/>
      <c r="BX93" s="99"/>
      <c r="BY93" s="99"/>
      <c r="BZ93" s="99"/>
      <c r="CA93" s="99"/>
      <c r="CB93" s="99"/>
      <c r="CC93" s="99"/>
      <c r="CD93" s="99"/>
      <c r="CE93" s="99"/>
      <c r="CF93" s="99"/>
      <c r="CG93" s="99"/>
      <c r="CH93" s="99"/>
      <c r="CI93" s="99"/>
      <c r="CJ93" s="100"/>
      <c r="CK93" s="101"/>
      <c r="CL93" s="99"/>
      <c r="CM93" s="99"/>
      <c r="CN93" s="99"/>
      <c r="CO93" s="99"/>
      <c r="CP93" s="99"/>
      <c r="CQ93" s="100"/>
      <c r="CR93" s="101"/>
      <c r="CS93" s="99"/>
      <c r="CT93" s="100"/>
      <c r="CU93" s="101"/>
      <c r="CV93" s="99"/>
      <c r="CW93" s="99"/>
      <c r="CX93" s="99"/>
      <c r="CY93" s="99"/>
    </row>
    <row r="94" spans="1:103" ht="38.25" hidden="1" outlineLevel="1" x14ac:dyDescent="0.2">
      <c r="A94" s="424" t="s">
        <v>816</v>
      </c>
      <c r="B94" s="401" t="str">
        <f>VLOOKUP(A94,[1]ACTIONS!$A$3:$B$238,2,0)</f>
        <v>Mettre à disposition les données pertinentes (masse d’eau réceptrice, localisation du point de rejet, source/propriétaire, éléments permettant d’estimer la charge et le débit de rejet, traitement d’épuration éventuel) des autorisations de rejet vers les eaux de surface</v>
      </c>
      <c r="C94" s="96"/>
      <c r="D94" s="96"/>
      <c r="E94" s="96"/>
      <c r="F94" s="96">
        <v>0</v>
      </c>
      <c r="G94" s="96"/>
      <c r="H94" s="96">
        <v>0</v>
      </c>
      <c r="I94" s="97"/>
      <c r="J94" s="97"/>
      <c r="K94" s="98"/>
      <c r="L94" s="99"/>
      <c r="M94" s="99"/>
      <c r="N94" s="99"/>
      <c r="O94" s="99"/>
      <c r="P94" s="99"/>
      <c r="Q94" s="99"/>
      <c r="R94" s="99"/>
      <c r="S94" s="99"/>
      <c r="T94" s="99"/>
      <c r="U94" s="99"/>
      <c r="V94" s="99"/>
      <c r="W94" s="99"/>
      <c r="X94" s="99"/>
      <c r="Y94" s="99"/>
      <c r="Z94" s="100"/>
      <c r="AA94" s="101"/>
      <c r="AB94" s="99"/>
      <c r="AC94" s="99"/>
      <c r="AD94" s="99"/>
      <c r="AE94" s="99"/>
      <c r="AF94" s="99"/>
      <c r="AG94" s="100"/>
      <c r="AH94" s="101"/>
      <c r="AI94" s="99"/>
      <c r="AJ94" s="100"/>
      <c r="AK94" s="101"/>
      <c r="AL94" s="99"/>
      <c r="AM94" s="99"/>
      <c r="AN94" s="99"/>
      <c r="AO94" s="100"/>
      <c r="AP94" s="98"/>
      <c r="AQ94" s="99"/>
      <c r="AR94" s="99"/>
      <c r="AS94" s="99"/>
      <c r="AT94" s="99"/>
      <c r="AU94" s="99"/>
      <c r="AV94" s="99"/>
      <c r="AW94" s="99"/>
      <c r="AX94" s="99"/>
      <c r="AY94" s="99"/>
      <c r="AZ94" s="99"/>
      <c r="BA94" s="99"/>
      <c r="BB94" s="99"/>
      <c r="BC94" s="99"/>
      <c r="BD94" s="99"/>
      <c r="BE94" s="100"/>
      <c r="BF94" s="101"/>
      <c r="BG94" s="99"/>
      <c r="BH94" s="99"/>
      <c r="BI94" s="99"/>
      <c r="BJ94" s="99"/>
      <c r="BK94" s="99"/>
      <c r="BL94" s="100"/>
      <c r="BM94" s="101"/>
      <c r="BN94" s="99"/>
      <c r="BO94" s="100"/>
      <c r="BP94" s="101"/>
      <c r="BQ94" s="99"/>
      <c r="BR94" s="99"/>
      <c r="BS94" s="99"/>
      <c r="BT94" s="100"/>
      <c r="BU94" s="98"/>
      <c r="BV94" s="99"/>
      <c r="BW94" s="99"/>
      <c r="BX94" s="99"/>
      <c r="BY94" s="99"/>
      <c r="BZ94" s="99"/>
      <c r="CA94" s="99"/>
      <c r="CB94" s="99"/>
      <c r="CC94" s="99"/>
      <c r="CD94" s="99"/>
      <c r="CE94" s="99"/>
      <c r="CF94" s="99"/>
      <c r="CG94" s="99"/>
      <c r="CH94" s="99"/>
      <c r="CI94" s="99"/>
      <c r="CJ94" s="100"/>
      <c r="CK94" s="101"/>
      <c r="CL94" s="99"/>
      <c r="CM94" s="99"/>
      <c r="CN94" s="99"/>
      <c r="CO94" s="99"/>
      <c r="CP94" s="99"/>
      <c r="CQ94" s="100"/>
      <c r="CR94" s="101"/>
      <c r="CS94" s="99"/>
      <c r="CT94" s="100"/>
      <c r="CU94" s="101"/>
      <c r="CV94" s="99"/>
      <c r="CW94" s="99"/>
      <c r="CX94" s="99"/>
      <c r="CY94" s="99"/>
    </row>
    <row r="95" spans="1:103" hidden="1" outlineLevel="1" x14ac:dyDescent="0.2">
      <c r="A95" s="424" t="s">
        <v>817</v>
      </c>
      <c r="B95" s="401" t="str">
        <f>VLOOKUP(A95,[1]ACTIONS!$A$3:$B$238,2,0)</f>
        <v>Mener des investigations sur l’origine des rejets non identifiés en remontant les tuyaux</v>
      </c>
      <c r="C95" s="96"/>
      <c r="D95" s="96"/>
      <c r="E95" s="96"/>
      <c r="F95" s="96">
        <v>0</v>
      </c>
      <c r="G95" s="96"/>
      <c r="H95" s="96">
        <v>0</v>
      </c>
      <c r="I95" s="97"/>
      <c r="J95" s="97"/>
      <c r="K95" s="98"/>
      <c r="L95" s="99"/>
      <c r="M95" s="99"/>
      <c r="N95" s="99"/>
      <c r="O95" s="99"/>
      <c r="P95" s="99"/>
      <c r="Q95" s="99"/>
      <c r="R95" s="99"/>
      <c r="S95" s="99"/>
      <c r="T95" s="99"/>
      <c r="U95" s="99"/>
      <c r="V95" s="99"/>
      <c r="W95" s="99"/>
      <c r="X95" s="99"/>
      <c r="Y95" s="99"/>
      <c r="Z95" s="100"/>
      <c r="AA95" s="101"/>
      <c r="AB95" s="99"/>
      <c r="AC95" s="99"/>
      <c r="AD95" s="99"/>
      <c r="AE95" s="99"/>
      <c r="AF95" s="99"/>
      <c r="AG95" s="100"/>
      <c r="AH95" s="101"/>
      <c r="AI95" s="99"/>
      <c r="AJ95" s="100"/>
      <c r="AK95" s="101"/>
      <c r="AL95" s="99"/>
      <c r="AM95" s="99"/>
      <c r="AN95" s="99"/>
      <c r="AO95" s="100"/>
      <c r="AP95" s="98"/>
      <c r="AQ95" s="99"/>
      <c r="AR95" s="99"/>
      <c r="AS95" s="99"/>
      <c r="AT95" s="99"/>
      <c r="AU95" s="99"/>
      <c r="AV95" s="99"/>
      <c r="AW95" s="99"/>
      <c r="AX95" s="99"/>
      <c r="AY95" s="99"/>
      <c r="AZ95" s="99"/>
      <c r="BA95" s="99"/>
      <c r="BB95" s="99"/>
      <c r="BC95" s="99"/>
      <c r="BD95" s="99"/>
      <c r="BE95" s="100"/>
      <c r="BF95" s="101"/>
      <c r="BG95" s="99"/>
      <c r="BH95" s="99"/>
      <c r="BI95" s="99"/>
      <c r="BJ95" s="99"/>
      <c r="BK95" s="99"/>
      <c r="BL95" s="100"/>
      <c r="BM95" s="101"/>
      <c r="BN95" s="99"/>
      <c r="BO95" s="100"/>
      <c r="BP95" s="101"/>
      <c r="BQ95" s="99"/>
      <c r="BR95" s="99"/>
      <c r="BS95" s="99"/>
      <c r="BT95" s="100"/>
      <c r="BU95" s="98"/>
      <c r="BV95" s="99"/>
      <c r="BW95" s="99"/>
      <c r="BX95" s="99"/>
      <c r="BY95" s="99"/>
      <c r="BZ95" s="99"/>
      <c r="CA95" s="99"/>
      <c r="CB95" s="99"/>
      <c r="CC95" s="99"/>
      <c r="CD95" s="99"/>
      <c r="CE95" s="99"/>
      <c r="CF95" s="99"/>
      <c r="CG95" s="99"/>
      <c r="CH95" s="99"/>
      <c r="CI95" s="99"/>
      <c r="CJ95" s="100"/>
      <c r="CK95" s="101"/>
      <c r="CL95" s="99"/>
      <c r="CM95" s="99"/>
      <c r="CN95" s="99"/>
      <c r="CO95" s="99"/>
      <c r="CP95" s="99"/>
      <c r="CQ95" s="100"/>
      <c r="CR95" s="101"/>
      <c r="CS95" s="99"/>
      <c r="CT95" s="100"/>
      <c r="CU95" s="101"/>
      <c r="CV95" s="99"/>
      <c r="CW95" s="99"/>
      <c r="CX95" s="99"/>
      <c r="CY95" s="99"/>
    </row>
    <row r="96" spans="1:103" ht="25.5" hidden="1" outlineLevel="1" x14ac:dyDescent="0.2">
      <c r="A96" s="424" t="s">
        <v>818</v>
      </c>
      <c r="B96" s="401" t="str">
        <f>VLOOKUP(A96,[1]ACTIONS!$A$3:$B$238,2,0)</f>
        <v>Caractériser la qualité d'effluents/rejets quand cela s’avère nécessaire pour déterminer la solution à privilégier pour le traiter</v>
      </c>
      <c r="C96" s="96"/>
      <c r="D96" s="96"/>
      <c r="E96" s="96"/>
      <c r="F96" s="96">
        <v>0</v>
      </c>
      <c r="G96" s="96"/>
      <c r="H96" s="96">
        <v>0</v>
      </c>
      <c r="I96" s="97"/>
      <c r="J96" s="97"/>
      <c r="K96" s="98"/>
      <c r="L96" s="99"/>
      <c r="M96" s="99"/>
      <c r="N96" s="99"/>
      <c r="O96" s="99"/>
      <c r="P96" s="99"/>
      <c r="Q96" s="99"/>
      <c r="R96" s="99"/>
      <c r="S96" s="99"/>
      <c r="T96" s="99"/>
      <c r="U96" s="99"/>
      <c r="V96" s="99"/>
      <c r="W96" s="99"/>
      <c r="X96" s="99"/>
      <c r="Y96" s="99"/>
      <c r="Z96" s="100"/>
      <c r="AA96" s="101"/>
      <c r="AB96" s="99"/>
      <c r="AC96" s="99"/>
      <c r="AD96" s="99"/>
      <c r="AE96" s="99"/>
      <c r="AF96" s="99"/>
      <c r="AG96" s="100"/>
      <c r="AH96" s="101"/>
      <c r="AI96" s="99"/>
      <c r="AJ96" s="100"/>
      <c r="AK96" s="101"/>
      <c r="AL96" s="99"/>
      <c r="AM96" s="99"/>
      <c r="AN96" s="99"/>
      <c r="AO96" s="100"/>
      <c r="AP96" s="98"/>
      <c r="AQ96" s="99"/>
      <c r="AR96" s="99"/>
      <c r="AS96" s="99"/>
      <c r="AT96" s="99"/>
      <c r="AU96" s="99"/>
      <c r="AV96" s="99"/>
      <c r="AW96" s="99"/>
      <c r="AX96" s="99"/>
      <c r="AY96" s="99"/>
      <c r="AZ96" s="99"/>
      <c r="BA96" s="99"/>
      <c r="BB96" s="99"/>
      <c r="BC96" s="99"/>
      <c r="BD96" s="99"/>
      <c r="BE96" s="100"/>
      <c r="BF96" s="101"/>
      <c r="BG96" s="99"/>
      <c r="BH96" s="99"/>
      <c r="BI96" s="99"/>
      <c r="BJ96" s="99"/>
      <c r="BK96" s="99"/>
      <c r="BL96" s="100"/>
      <c r="BM96" s="101"/>
      <c r="BN96" s="99"/>
      <c r="BO96" s="100"/>
      <c r="BP96" s="101"/>
      <c r="BQ96" s="99"/>
      <c r="BR96" s="99"/>
      <c r="BS96" s="99"/>
      <c r="BT96" s="100"/>
      <c r="BU96" s="98"/>
      <c r="BV96" s="99"/>
      <c r="BW96" s="99"/>
      <c r="BX96" s="99"/>
      <c r="BY96" s="99"/>
      <c r="BZ96" s="99"/>
      <c r="CA96" s="99"/>
      <c r="CB96" s="99"/>
      <c r="CC96" s="99"/>
      <c r="CD96" s="99"/>
      <c r="CE96" s="99"/>
      <c r="CF96" s="99"/>
      <c r="CG96" s="99"/>
      <c r="CH96" s="99"/>
      <c r="CI96" s="99"/>
      <c r="CJ96" s="100"/>
      <c r="CK96" s="101"/>
      <c r="CL96" s="99"/>
      <c r="CM96" s="99"/>
      <c r="CN96" s="99"/>
      <c r="CO96" s="99"/>
      <c r="CP96" s="99"/>
      <c r="CQ96" s="100"/>
      <c r="CR96" s="101"/>
      <c r="CS96" s="99"/>
      <c r="CT96" s="100"/>
      <c r="CU96" s="101"/>
      <c r="CV96" s="99"/>
      <c r="CW96" s="99"/>
      <c r="CX96" s="99"/>
      <c r="CY96" s="99"/>
    </row>
    <row r="97" spans="1:103" ht="63.75" hidden="1" outlineLevel="1" x14ac:dyDescent="0.2">
      <c r="A97" s="424" t="s">
        <v>819</v>
      </c>
      <c r="B97" s="401" t="str">
        <f>VLOOKUP(A97,[1]ACTIONS!$A$3:$B$238,2,0)</f>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
      <c r="C97" s="96"/>
      <c r="D97" s="96"/>
      <c r="E97" s="96"/>
      <c r="F97" s="96">
        <v>0</v>
      </c>
      <c r="G97" s="96"/>
      <c r="H97" s="96">
        <v>0</v>
      </c>
      <c r="I97" s="97"/>
      <c r="J97" s="97"/>
      <c r="K97" s="98"/>
      <c r="L97" s="99"/>
      <c r="M97" s="99"/>
      <c r="N97" s="99"/>
      <c r="O97" s="99"/>
      <c r="P97" s="99"/>
      <c r="Q97" s="99"/>
      <c r="R97" s="99"/>
      <c r="S97" s="99"/>
      <c r="T97" s="99"/>
      <c r="U97" s="99"/>
      <c r="V97" s="99"/>
      <c r="W97" s="99"/>
      <c r="X97" s="99"/>
      <c r="Y97" s="99"/>
      <c r="Z97" s="100"/>
      <c r="AA97" s="101"/>
      <c r="AB97" s="99"/>
      <c r="AC97" s="99"/>
      <c r="AD97" s="99"/>
      <c r="AE97" s="99"/>
      <c r="AF97" s="99"/>
      <c r="AG97" s="100"/>
      <c r="AH97" s="101"/>
      <c r="AI97" s="99"/>
      <c r="AJ97" s="100"/>
      <c r="AK97" s="101"/>
      <c r="AL97" s="99"/>
      <c r="AM97" s="99"/>
      <c r="AN97" s="99"/>
      <c r="AO97" s="100"/>
      <c r="AP97" s="98"/>
      <c r="AQ97" s="99"/>
      <c r="AR97" s="99"/>
      <c r="AS97" s="99"/>
      <c r="AT97" s="99"/>
      <c r="AU97" s="99"/>
      <c r="AV97" s="99"/>
      <c r="AW97" s="99"/>
      <c r="AX97" s="99"/>
      <c r="AY97" s="99"/>
      <c r="AZ97" s="99"/>
      <c r="BA97" s="99"/>
      <c r="BB97" s="99"/>
      <c r="BC97" s="99"/>
      <c r="BD97" s="99"/>
      <c r="BE97" s="100"/>
      <c r="BF97" s="101"/>
      <c r="BG97" s="99"/>
      <c r="BH97" s="99"/>
      <c r="BI97" s="99"/>
      <c r="BJ97" s="99"/>
      <c r="BK97" s="99"/>
      <c r="BL97" s="100"/>
      <c r="BM97" s="101"/>
      <c r="BN97" s="99"/>
      <c r="BO97" s="100"/>
      <c r="BP97" s="101"/>
      <c r="BQ97" s="99"/>
      <c r="BR97" s="99"/>
      <c r="BS97" s="99"/>
      <c r="BT97" s="100"/>
      <c r="BU97" s="98"/>
      <c r="BV97" s="99"/>
      <c r="BW97" s="99"/>
      <c r="BX97" s="99"/>
      <c r="BY97" s="99"/>
      <c r="BZ97" s="99"/>
      <c r="CA97" s="99"/>
      <c r="CB97" s="99"/>
      <c r="CC97" s="99"/>
      <c r="CD97" s="99"/>
      <c r="CE97" s="99"/>
      <c r="CF97" s="99"/>
      <c r="CG97" s="99"/>
      <c r="CH97" s="99"/>
      <c r="CI97" s="99"/>
      <c r="CJ97" s="100"/>
      <c r="CK97" s="101"/>
      <c r="CL97" s="99"/>
      <c r="CM97" s="99"/>
      <c r="CN97" s="99"/>
      <c r="CO97" s="99"/>
      <c r="CP97" s="99"/>
      <c r="CQ97" s="100"/>
      <c r="CR97" s="101"/>
      <c r="CS97" s="99"/>
      <c r="CT97" s="100"/>
      <c r="CU97" s="101"/>
      <c r="CV97" s="99"/>
      <c r="CW97" s="99"/>
      <c r="CX97" s="99"/>
      <c r="CY97" s="99"/>
    </row>
    <row r="98" spans="1:103" ht="51" hidden="1" outlineLevel="1" x14ac:dyDescent="0.2">
      <c r="A98" s="424" t="s">
        <v>820</v>
      </c>
      <c r="B98" s="401" t="str">
        <f>VLOOKUP(A98,[1]ACTIONS!$A$3:$B$238,2,0)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
      <c r="C98" s="96"/>
      <c r="D98" s="96"/>
      <c r="E98" s="96"/>
      <c r="F98" s="96">
        <v>25000</v>
      </c>
      <c r="G98" s="96"/>
      <c r="H98" s="96">
        <v>25000</v>
      </c>
      <c r="I98" s="97"/>
      <c r="J98" s="97"/>
      <c r="K98" s="98"/>
      <c r="L98" s="99"/>
      <c r="M98" s="99"/>
      <c r="N98" s="99"/>
      <c r="O98" s="99"/>
      <c r="P98" s="99"/>
      <c r="Q98" s="99"/>
      <c r="R98" s="99"/>
      <c r="S98" s="99"/>
      <c r="T98" s="99"/>
      <c r="U98" s="99"/>
      <c r="V98" s="99"/>
      <c r="W98" s="99"/>
      <c r="X98" s="99"/>
      <c r="Y98" s="99"/>
      <c r="Z98" s="100"/>
      <c r="AA98" s="101"/>
      <c r="AB98" s="99"/>
      <c r="AC98" s="99"/>
      <c r="AD98" s="99"/>
      <c r="AE98" s="99"/>
      <c r="AF98" s="99"/>
      <c r="AG98" s="100"/>
      <c r="AH98" s="101"/>
      <c r="AI98" s="99"/>
      <c r="AJ98" s="100"/>
      <c r="AK98" s="101"/>
      <c r="AL98" s="99"/>
      <c r="AM98" s="99"/>
      <c r="AN98" s="99"/>
      <c r="AO98" s="100"/>
      <c r="AP98" s="98"/>
      <c r="AQ98" s="99"/>
      <c r="AR98" s="99"/>
      <c r="AS98" s="99"/>
      <c r="AT98" s="99"/>
      <c r="AU98" s="99"/>
      <c r="AV98" s="99"/>
      <c r="AW98" s="99"/>
      <c r="AX98" s="99"/>
      <c r="AY98" s="99"/>
      <c r="AZ98" s="99"/>
      <c r="BA98" s="99"/>
      <c r="BB98" s="99"/>
      <c r="BC98" s="99"/>
      <c r="BD98" s="99"/>
      <c r="BE98" s="100"/>
      <c r="BF98" s="101"/>
      <c r="BG98" s="99"/>
      <c r="BH98" s="99"/>
      <c r="BI98" s="99"/>
      <c r="BJ98" s="99"/>
      <c r="BK98" s="99"/>
      <c r="BL98" s="100"/>
      <c r="BM98" s="101"/>
      <c r="BN98" s="99"/>
      <c r="BO98" s="100"/>
      <c r="BP98" s="101"/>
      <c r="BQ98" s="99"/>
      <c r="BR98" s="99"/>
      <c r="BS98" s="99"/>
      <c r="BT98" s="100"/>
      <c r="BU98" s="98"/>
      <c r="BV98" s="99"/>
      <c r="BW98" s="99"/>
      <c r="BX98" s="99"/>
      <c r="BY98" s="99"/>
      <c r="BZ98" s="99"/>
      <c r="CA98" s="99"/>
      <c r="CB98" s="99"/>
      <c r="CC98" s="99"/>
      <c r="CD98" s="99"/>
      <c r="CE98" s="99"/>
      <c r="CF98" s="99"/>
      <c r="CG98" s="99"/>
      <c r="CH98" s="99"/>
      <c r="CI98" s="99"/>
      <c r="CJ98" s="100"/>
      <c r="CK98" s="101"/>
      <c r="CL98" s="99"/>
      <c r="CM98" s="99"/>
      <c r="CN98" s="99"/>
      <c r="CO98" s="99"/>
      <c r="CP98" s="99"/>
      <c r="CQ98" s="100"/>
      <c r="CR98" s="101"/>
      <c r="CS98" s="99"/>
      <c r="CT98" s="100"/>
      <c r="CU98" s="101"/>
      <c r="CV98" s="99"/>
      <c r="CW98" s="99"/>
      <c r="CX98" s="99"/>
      <c r="CY98" s="99"/>
    </row>
    <row r="99" spans="1:103" ht="25.5" collapsed="1" x14ac:dyDescent="0.2">
      <c r="A99" s="394" t="s">
        <v>5</v>
      </c>
      <c r="B99" s="395" t="str">
        <f>VLOOKUP(A99,'1. Mesures'!$A$2:$B$116,2,0)</f>
        <v xml:space="preserve">Assurer le raccordement effectif des points de rejet d’eaux usées domestiques et non domestiques vers le réseau d’égouttage </v>
      </c>
      <c r="C99" s="96"/>
      <c r="D99" s="96"/>
      <c r="E99" s="96"/>
      <c r="F99" s="96">
        <v>200000</v>
      </c>
      <c r="G99" s="96"/>
      <c r="H99" s="96">
        <v>200000</v>
      </c>
      <c r="I99" s="97" t="s">
        <v>1589</v>
      </c>
      <c r="J99" s="97"/>
      <c r="K99" s="98" t="s">
        <v>1575</v>
      </c>
      <c r="L99" s="99" t="s">
        <v>1575</v>
      </c>
      <c r="M99" s="99" t="s">
        <v>1575</v>
      </c>
      <c r="N99" s="99" t="s">
        <v>1575</v>
      </c>
      <c r="O99" s="99" t="s">
        <v>1575</v>
      </c>
      <c r="P99" s="99" t="s">
        <v>1575</v>
      </c>
      <c r="Q99" s="99" t="s">
        <v>1575</v>
      </c>
      <c r="R99" s="99" t="s">
        <v>1575</v>
      </c>
      <c r="S99" s="99" t="s">
        <v>1590</v>
      </c>
      <c r="T99" s="99" t="s">
        <v>1590</v>
      </c>
      <c r="U99" s="99" t="s">
        <v>1590</v>
      </c>
      <c r="V99" s="99"/>
      <c r="W99" s="99" t="s">
        <v>1590</v>
      </c>
      <c r="X99" s="99" t="s">
        <v>1575</v>
      </c>
      <c r="Y99" s="99" t="s">
        <v>1590</v>
      </c>
      <c r="Z99" s="100" t="s">
        <v>1575</v>
      </c>
      <c r="AA99" s="101" t="s">
        <v>1575</v>
      </c>
      <c r="AB99" s="99" t="s">
        <v>1575</v>
      </c>
      <c r="AC99" s="99" t="s">
        <v>1575</v>
      </c>
      <c r="AD99" s="99" t="s">
        <v>1575</v>
      </c>
      <c r="AE99" s="99" t="s">
        <v>1575</v>
      </c>
      <c r="AF99" s="99" t="s">
        <v>1575</v>
      </c>
      <c r="AG99" s="100" t="s">
        <v>1575</v>
      </c>
      <c r="AH99" s="101"/>
      <c r="AI99" s="99"/>
      <c r="AJ99" s="100"/>
      <c r="AK99" s="101"/>
      <c r="AL99" s="99" t="s">
        <v>1575</v>
      </c>
      <c r="AM99" s="99" t="s">
        <v>1575</v>
      </c>
      <c r="AN99" s="99" t="s">
        <v>1575</v>
      </c>
      <c r="AO99" s="100" t="s">
        <v>1575</v>
      </c>
      <c r="AP99" s="98"/>
      <c r="AQ99" s="99" t="s">
        <v>1575</v>
      </c>
      <c r="AR99" s="99" t="s">
        <v>1575</v>
      </c>
      <c r="AS99" s="99" t="s">
        <v>1575</v>
      </c>
      <c r="AT99" s="99" t="s">
        <v>1575</v>
      </c>
      <c r="AU99" s="99" t="s">
        <v>1575</v>
      </c>
      <c r="AV99" s="99"/>
      <c r="AW99" s="99" t="s">
        <v>1575</v>
      </c>
      <c r="AX99" s="99" t="s">
        <v>1590</v>
      </c>
      <c r="AY99" s="99"/>
      <c r="AZ99" s="99"/>
      <c r="BA99" s="99" t="s">
        <v>1590</v>
      </c>
      <c r="BB99" s="99" t="s">
        <v>1590</v>
      </c>
      <c r="BC99" s="99" t="s">
        <v>1575</v>
      </c>
      <c r="BD99" s="99"/>
      <c r="BE99" s="100" t="s">
        <v>1575</v>
      </c>
      <c r="BF99" s="101" t="s">
        <v>1575</v>
      </c>
      <c r="BG99" s="99"/>
      <c r="BH99" s="99"/>
      <c r="BI99" s="99"/>
      <c r="BJ99" s="99"/>
      <c r="BK99" s="99"/>
      <c r="BL99" s="100"/>
      <c r="BM99" s="101"/>
      <c r="BN99" s="99"/>
      <c r="BO99" s="100"/>
      <c r="BP99" s="101"/>
      <c r="BQ99" s="99" t="s">
        <v>1575</v>
      </c>
      <c r="BR99" s="99"/>
      <c r="BS99" s="99" t="s">
        <v>1575</v>
      </c>
      <c r="BT99" s="100" t="s">
        <v>1575</v>
      </c>
      <c r="BU99" s="98"/>
      <c r="BV99" s="99"/>
      <c r="BW99" s="99"/>
      <c r="BX99" s="99" t="s">
        <v>1590</v>
      </c>
      <c r="BY99" s="99" t="s">
        <v>1590</v>
      </c>
      <c r="BZ99" s="99" t="s">
        <v>1590</v>
      </c>
      <c r="CA99" s="99"/>
      <c r="CB99" s="99"/>
      <c r="CC99" s="99"/>
      <c r="CD99" s="99"/>
      <c r="CE99" s="99"/>
      <c r="CF99" s="99"/>
      <c r="CG99" s="99" t="s">
        <v>1590</v>
      </c>
      <c r="CH99" s="99" t="s">
        <v>1590</v>
      </c>
      <c r="CI99" s="99"/>
      <c r="CJ99" s="100"/>
      <c r="CK99" s="101"/>
      <c r="CL99" s="99"/>
      <c r="CM99" s="99"/>
      <c r="CN99" s="99"/>
      <c r="CO99" s="99"/>
      <c r="CP99" s="99" t="s">
        <v>1590</v>
      </c>
      <c r="CQ99" s="100"/>
      <c r="CR99" s="101"/>
      <c r="CS99" s="99"/>
      <c r="CT99" s="100"/>
      <c r="CU99" s="101"/>
      <c r="CV99" s="99" t="s">
        <v>1590</v>
      </c>
      <c r="CW99" s="99"/>
      <c r="CX99" s="99" t="s">
        <v>1590</v>
      </c>
      <c r="CY99" s="99" t="s">
        <v>1590</v>
      </c>
    </row>
    <row r="100" spans="1:103" ht="25.5" hidden="1" outlineLevel="1" x14ac:dyDescent="0.2">
      <c r="A100" s="424" t="s">
        <v>821</v>
      </c>
      <c r="B100" s="401" t="str">
        <f>VLOOKUP(A100,[1]ACTIONS!$A$3:$B$238,2,0)</f>
        <v xml:space="preserve">Identifier et prioriser les travaux d’extension et de raccordement au réseau d’égouttage sur base de l’inventaire visé par la M  1.5 et de la cartographie des zones égouttables et des opportunités </v>
      </c>
      <c r="C100" s="96"/>
      <c r="D100" s="96"/>
      <c r="E100" s="96"/>
      <c r="F100" s="96">
        <v>0</v>
      </c>
      <c r="G100" s="96"/>
      <c r="H100" s="96">
        <v>0</v>
      </c>
      <c r="I100" s="97"/>
      <c r="J100" s="97"/>
      <c r="K100" s="98"/>
      <c r="L100" s="99"/>
      <c r="M100" s="99"/>
      <c r="N100" s="99"/>
      <c r="O100" s="99"/>
      <c r="P100" s="99"/>
      <c r="Q100" s="99"/>
      <c r="R100" s="99"/>
      <c r="S100" s="99"/>
      <c r="T100" s="99"/>
      <c r="U100" s="99"/>
      <c r="V100" s="99"/>
      <c r="W100" s="99"/>
      <c r="X100" s="99"/>
      <c r="Y100" s="99"/>
      <c r="Z100" s="100"/>
      <c r="AA100" s="101"/>
      <c r="AB100" s="99"/>
      <c r="AC100" s="99"/>
      <c r="AD100" s="99"/>
      <c r="AE100" s="99"/>
      <c r="AF100" s="99"/>
      <c r="AG100" s="100"/>
      <c r="AH100" s="101"/>
      <c r="AI100" s="99"/>
      <c r="AJ100" s="100"/>
      <c r="AK100" s="101"/>
      <c r="AL100" s="99"/>
      <c r="AM100" s="99"/>
      <c r="AN100" s="99"/>
      <c r="AO100" s="100"/>
      <c r="AP100" s="98"/>
      <c r="AQ100" s="99"/>
      <c r="AR100" s="99"/>
      <c r="AS100" s="99"/>
      <c r="AT100" s="99"/>
      <c r="AU100" s="99"/>
      <c r="AV100" s="99"/>
      <c r="AW100" s="99"/>
      <c r="AX100" s="99"/>
      <c r="AY100" s="99"/>
      <c r="AZ100" s="99"/>
      <c r="BA100" s="99"/>
      <c r="BB100" s="99"/>
      <c r="BC100" s="99"/>
      <c r="BD100" s="99"/>
      <c r="BE100" s="100"/>
      <c r="BF100" s="101"/>
      <c r="BG100" s="99"/>
      <c r="BH100" s="99"/>
      <c r="BI100" s="99"/>
      <c r="BJ100" s="99"/>
      <c r="BK100" s="99"/>
      <c r="BL100" s="100"/>
      <c r="BM100" s="101"/>
      <c r="BN100" s="99"/>
      <c r="BO100" s="100"/>
      <c r="BP100" s="101"/>
      <c r="BQ100" s="99"/>
      <c r="BR100" s="99"/>
      <c r="BS100" s="99"/>
      <c r="BT100" s="100"/>
      <c r="BU100" s="98"/>
      <c r="BV100" s="99"/>
      <c r="BW100" s="99"/>
      <c r="BX100" s="99"/>
      <c r="BY100" s="99"/>
      <c r="BZ100" s="99"/>
      <c r="CA100" s="99"/>
      <c r="CB100" s="99"/>
      <c r="CC100" s="99"/>
      <c r="CD100" s="99"/>
      <c r="CE100" s="99"/>
      <c r="CF100" s="99"/>
      <c r="CG100" s="99"/>
      <c r="CH100" s="99"/>
      <c r="CI100" s="99"/>
      <c r="CJ100" s="100"/>
      <c r="CK100" s="101"/>
      <c r="CL100" s="99"/>
      <c r="CM100" s="99"/>
      <c r="CN100" s="99"/>
      <c r="CO100" s="99"/>
      <c r="CP100" s="99"/>
      <c r="CQ100" s="100"/>
      <c r="CR100" s="101"/>
      <c r="CS100" s="99"/>
      <c r="CT100" s="100"/>
      <c r="CU100" s="101"/>
      <c r="CV100" s="99"/>
      <c r="CW100" s="99"/>
      <c r="CX100" s="99"/>
      <c r="CY100" s="99"/>
    </row>
    <row r="101" spans="1:103" ht="25.5" hidden="1" outlineLevel="1" x14ac:dyDescent="0.2">
      <c r="A101" s="424" t="s">
        <v>822</v>
      </c>
      <c r="B101" s="401" t="str">
        <f>VLOOKUP(A101,[1]ACTIONS!$A$3:$B$238,2,0)</f>
        <v>Identifier et prioriser les travaux d’extension et de raccordement au réseau d’égouttage  sur les parcelles privées du domaine portuaire sur base de l’inventaire visé par la M  1.5 pour les concessions du Port de Bruxelles</v>
      </c>
      <c r="C101" s="96"/>
      <c r="D101" s="96"/>
      <c r="E101" s="96"/>
      <c r="F101" s="96">
        <v>200000</v>
      </c>
      <c r="G101" s="96"/>
      <c r="H101" s="96">
        <v>200000</v>
      </c>
      <c r="I101" s="97"/>
      <c r="J101" s="97"/>
      <c r="K101" s="98"/>
      <c r="L101" s="99"/>
      <c r="M101" s="99"/>
      <c r="N101" s="99"/>
      <c r="O101" s="99"/>
      <c r="P101" s="99"/>
      <c r="Q101" s="99"/>
      <c r="R101" s="99"/>
      <c r="S101" s="99"/>
      <c r="T101" s="99"/>
      <c r="U101" s="99"/>
      <c r="V101" s="99"/>
      <c r="W101" s="99"/>
      <c r="X101" s="99"/>
      <c r="Y101" s="99"/>
      <c r="Z101" s="100"/>
      <c r="AA101" s="101"/>
      <c r="AB101" s="99"/>
      <c r="AC101" s="99"/>
      <c r="AD101" s="99"/>
      <c r="AE101" s="99"/>
      <c r="AF101" s="99"/>
      <c r="AG101" s="100"/>
      <c r="AH101" s="101"/>
      <c r="AI101" s="99"/>
      <c r="AJ101" s="100"/>
      <c r="AK101" s="101"/>
      <c r="AL101" s="99"/>
      <c r="AM101" s="99"/>
      <c r="AN101" s="99"/>
      <c r="AO101" s="100"/>
      <c r="AP101" s="98"/>
      <c r="AQ101" s="99"/>
      <c r="AR101" s="99"/>
      <c r="AS101" s="99"/>
      <c r="AT101" s="99"/>
      <c r="AU101" s="99"/>
      <c r="AV101" s="99"/>
      <c r="AW101" s="99"/>
      <c r="AX101" s="99"/>
      <c r="AY101" s="99"/>
      <c r="AZ101" s="99"/>
      <c r="BA101" s="99"/>
      <c r="BB101" s="99"/>
      <c r="BC101" s="99"/>
      <c r="BD101" s="99"/>
      <c r="BE101" s="100"/>
      <c r="BF101" s="101"/>
      <c r="BG101" s="99"/>
      <c r="BH101" s="99"/>
      <c r="BI101" s="99"/>
      <c r="BJ101" s="99"/>
      <c r="BK101" s="99"/>
      <c r="BL101" s="100"/>
      <c r="BM101" s="101"/>
      <c r="BN101" s="99"/>
      <c r="BO101" s="100"/>
      <c r="BP101" s="101"/>
      <c r="BQ101" s="99"/>
      <c r="BR101" s="99"/>
      <c r="BS101" s="99"/>
      <c r="BT101" s="100"/>
      <c r="BU101" s="98"/>
      <c r="BV101" s="99"/>
      <c r="BW101" s="99"/>
      <c r="BX101" s="99"/>
      <c r="BY101" s="99"/>
      <c r="BZ101" s="99"/>
      <c r="CA101" s="99"/>
      <c r="CB101" s="99"/>
      <c r="CC101" s="99"/>
      <c r="CD101" s="99"/>
      <c r="CE101" s="99"/>
      <c r="CF101" s="99"/>
      <c r="CG101" s="99"/>
      <c r="CH101" s="99"/>
      <c r="CI101" s="99"/>
      <c r="CJ101" s="100"/>
      <c r="CK101" s="101"/>
      <c r="CL101" s="99"/>
      <c r="CM101" s="99"/>
      <c r="CN101" s="99"/>
      <c r="CO101" s="99"/>
      <c r="CP101" s="99"/>
      <c r="CQ101" s="100"/>
      <c r="CR101" s="101"/>
      <c r="CS101" s="99"/>
      <c r="CT101" s="100"/>
      <c r="CU101" s="101"/>
      <c r="CV101" s="99"/>
      <c r="CW101" s="99"/>
      <c r="CX101" s="99"/>
      <c r="CY101" s="99"/>
    </row>
    <row r="102" spans="1:103" ht="25.5" hidden="1" outlineLevel="1" x14ac:dyDescent="0.2">
      <c r="A102" s="424" t="s">
        <v>823</v>
      </c>
      <c r="B102" s="401" t="str">
        <f>VLOOKUP(A102,[1]ACTIONS!$A$3:$B$238,2,0)</f>
        <v>Sur base de la DB reprenant les rejets directs d’eaux usées dans les cours d’eau (M1.5) procéder, lorsque c’est possible au niveau du cours d’eau, aux correctifs pour remédier à ces mauvaises connexions</v>
      </c>
      <c r="C102" s="96"/>
      <c r="D102" s="96"/>
      <c r="E102" s="96"/>
      <c r="F102" s="96">
        <v>0</v>
      </c>
      <c r="G102" s="96"/>
      <c r="H102" s="96">
        <v>0</v>
      </c>
      <c r="I102" s="97"/>
      <c r="J102" s="97"/>
      <c r="K102" s="98"/>
      <c r="L102" s="99"/>
      <c r="M102" s="99"/>
      <c r="N102" s="99"/>
      <c r="O102" s="99"/>
      <c r="P102" s="99"/>
      <c r="Q102" s="99"/>
      <c r="R102" s="99"/>
      <c r="S102" s="99"/>
      <c r="T102" s="99"/>
      <c r="U102" s="99"/>
      <c r="V102" s="99"/>
      <c r="W102" s="99"/>
      <c r="X102" s="99"/>
      <c r="Y102" s="99"/>
      <c r="Z102" s="100"/>
      <c r="AA102" s="101"/>
      <c r="AB102" s="99"/>
      <c r="AC102" s="99"/>
      <c r="AD102" s="99"/>
      <c r="AE102" s="99"/>
      <c r="AF102" s="99"/>
      <c r="AG102" s="100"/>
      <c r="AH102" s="101"/>
      <c r="AI102" s="99"/>
      <c r="AJ102" s="100"/>
      <c r="AK102" s="101"/>
      <c r="AL102" s="99"/>
      <c r="AM102" s="99"/>
      <c r="AN102" s="99"/>
      <c r="AO102" s="100"/>
      <c r="AP102" s="98"/>
      <c r="AQ102" s="99"/>
      <c r="AR102" s="99"/>
      <c r="AS102" s="99"/>
      <c r="AT102" s="99"/>
      <c r="AU102" s="99"/>
      <c r="AV102" s="99"/>
      <c r="AW102" s="99"/>
      <c r="AX102" s="99"/>
      <c r="AY102" s="99"/>
      <c r="AZ102" s="99"/>
      <c r="BA102" s="99"/>
      <c r="BB102" s="99"/>
      <c r="BC102" s="99"/>
      <c r="BD102" s="99"/>
      <c r="BE102" s="100"/>
      <c r="BF102" s="101"/>
      <c r="BG102" s="99"/>
      <c r="BH102" s="99"/>
      <c r="BI102" s="99"/>
      <c r="BJ102" s="99"/>
      <c r="BK102" s="99"/>
      <c r="BL102" s="100"/>
      <c r="BM102" s="101"/>
      <c r="BN102" s="99"/>
      <c r="BO102" s="100"/>
      <c r="BP102" s="101"/>
      <c r="BQ102" s="99"/>
      <c r="BR102" s="99"/>
      <c r="BS102" s="99"/>
      <c r="BT102" s="100"/>
      <c r="BU102" s="98"/>
      <c r="BV102" s="99"/>
      <c r="BW102" s="99"/>
      <c r="BX102" s="99"/>
      <c r="BY102" s="99"/>
      <c r="BZ102" s="99"/>
      <c r="CA102" s="99"/>
      <c r="CB102" s="99"/>
      <c r="CC102" s="99"/>
      <c r="CD102" s="99"/>
      <c r="CE102" s="99"/>
      <c r="CF102" s="99"/>
      <c r="CG102" s="99"/>
      <c r="CH102" s="99"/>
      <c r="CI102" s="99"/>
      <c r="CJ102" s="100"/>
      <c r="CK102" s="101"/>
      <c r="CL102" s="99"/>
      <c r="CM102" s="99"/>
      <c r="CN102" s="99"/>
      <c r="CO102" s="99"/>
      <c r="CP102" s="99"/>
      <c r="CQ102" s="100"/>
      <c r="CR102" s="101"/>
      <c r="CS102" s="99"/>
      <c r="CT102" s="100"/>
      <c r="CU102" s="101"/>
      <c r="CV102" s="99"/>
      <c r="CW102" s="99"/>
      <c r="CX102" s="99"/>
      <c r="CY102" s="99"/>
    </row>
    <row r="103" spans="1:103" ht="25.5" hidden="1" outlineLevel="1" x14ac:dyDescent="0.2">
      <c r="A103" s="424" t="s">
        <v>824</v>
      </c>
      <c r="B103" s="401" t="str">
        <f>VLOOKUP(A103,[1]ACTIONS!$A$3:$B$238,2,0)</f>
        <v>Définir et mettre en place une procédure de « raccordement »  permettant de coordonner les actions de chaque acteur et d’en clarifier les responsabilités</v>
      </c>
      <c r="C103" s="96"/>
      <c r="D103" s="96"/>
      <c r="E103" s="96"/>
      <c r="F103" s="96">
        <v>0</v>
      </c>
      <c r="G103" s="96"/>
      <c r="H103" s="96">
        <v>0</v>
      </c>
      <c r="I103" s="97"/>
      <c r="J103" s="97"/>
      <c r="K103" s="98"/>
      <c r="L103" s="99"/>
      <c r="M103" s="99"/>
      <c r="N103" s="99"/>
      <c r="O103" s="99"/>
      <c r="P103" s="99"/>
      <c r="Q103" s="99"/>
      <c r="R103" s="99"/>
      <c r="S103" s="99"/>
      <c r="T103" s="99"/>
      <c r="U103" s="99"/>
      <c r="V103" s="99"/>
      <c r="W103" s="99"/>
      <c r="X103" s="99"/>
      <c r="Y103" s="99"/>
      <c r="Z103" s="100"/>
      <c r="AA103" s="101"/>
      <c r="AB103" s="99"/>
      <c r="AC103" s="99"/>
      <c r="AD103" s="99"/>
      <c r="AE103" s="99"/>
      <c r="AF103" s="99"/>
      <c r="AG103" s="100"/>
      <c r="AH103" s="101"/>
      <c r="AI103" s="99"/>
      <c r="AJ103" s="100"/>
      <c r="AK103" s="101"/>
      <c r="AL103" s="99"/>
      <c r="AM103" s="99"/>
      <c r="AN103" s="99"/>
      <c r="AO103" s="100"/>
      <c r="AP103" s="98"/>
      <c r="AQ103" s="99"/>
      <c r="AR103" s="99"/>
      <c r="AS103" s="99"/>
      <c r="AT103" s="99"/>
      <c r="AU103" s="99"/>
      <c r="AV103" s="99"/>
      <c r="AW103" s="99"/>
      <c r="AX103" s="99"/>
      <c r="AY103" s="99"/>
      <c r="AZ103" s="99"/>
      <c r="BA103" s="99"/>
      <c r="BB103" s="99"/>
      <c r="BC103" s="99"/>
      <c r="BD103" s="99"/>
      <c r="BE103" s="100"/>
      <c r="BF103" s="101"/>
      <c r="BG103" s="99"/>
      <c r="BH103" s="99"/>
      <c r="BI103" s="99"/>
      <c r="BJ103" s="99"/>
      <c r="BK103" s="99"/>
      <c r="BL103" s="100"/>
      <c r="BM103" s="101"/>
      <c r="BN103" s="99"/>
      <c r="BO103" s="100"/>
      <c r="BP103" s="101"/>
      <c r="BQ103" s="99"/>
      <c r="BR103" s="99"/>
      <c r="BS103" s="99"/>
      <c r="BT103" s="100"/>
      <c r="BU103" s="98"/>
      <c r="BV103" s="99"/>
      <c r="BW103" s="99"/>
      <c r="BX103" s="99"/>
      <c r="BY103" s="99"/>
      <c r="BZ103" s="99"/>
      <c r="CA103" s="99"/>
      <c r="CB103" s="99"/>
      <c r="CC103" s="99"/>
      <c r="CD103" s="99"/>
      <c r="CE103" s="99"/>
      <c r="CF103" s="99"/>
      <c r="CG103" s="99"/>
      <c r="CH103" s="99"/>
      <c r="CI103" s="99"/>
      <c r="CJ103" s="100"/>
      <c r="CK103" s="101"/>
      <c r="CL103" s="99"/>
      <c r="CM103" s="99"/>
      <c r="CN103" s="99"/>
      <c r="CO103" s="99"/>
      <c r="CP103" s="99"/>
      <c r="CQ103" s="100"/>
      <c r="CR103" s="101"/>
      <c r="CS103" s="99"/>
      <c r="CT103" s="100"/>
      <c r="CU103" s="101"/>
      <c r="CV103" s="99"/>
      <c r="CW103" s="99"/>
      <c r="CX103" s="99"/>
      <c r="CY103" s="99"/>
    </row>
    <row r="104" spans="1:103" ht="38.25" hidden="1" outlineLevel="1" x14ac:dyDescent="0.2">
      <c r="A104" s="424" t="s">
        <v>825</v>
      </c>
      <c r="B104" s="401" t="str">
        <f>VLOOKUP(A104,[1]ACTIONS!$A$3:$B$238,2,0)</f>
        <v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v>
      </c>
      <c r="C104" s="96"/>
      <c r="D104" s="96"/>
      <c r="E104" s="96"/>
      <c r="F104" s="96">
        <v>0</v>
      </c>
      <c r="G104" s="96"/>
      <c r="H104" s="96">
        <v>0</v>
      </c>
      <c r="I104" s="97"/>
      <c r="J104" s="97"/>
      <c r="K104" s="98"/>
      <c r="L104" s="99"/>
      <c r="M104" s="99"/>
      <c r="N104" s="99"/>
      <c r="O104" s="99"/>
      <c r="P104" s="99"/>
      <c r="Q104" s="99"/>
      <c r="R104" s="99"/>
      <c r="S104" s="99"/>
      <c r="T104" s="99"/>
      <c r="U104" s="99"/>
      <c r="V104" s="99"/>
      <c r="W104" s="99"/>
      <c r="X104" s="99"/>
      <c r="Y104" s="99"/>
      <c r="Z104" s="100"/>
      <c r="AA104" s="101"/>
      <c r="AB104" s="99"/>
      <c r="AC104" s="99"/>
      <c r="AD104" s="99"/>
      <c r="AE104" s="99"/>
      <c r="AF104" s="99"/>
      <c r="AG104" s="100"/>
      <c r="AH104" s="101"/>
      <c r="AI104" s="99"/>
      <c r="AJ104" s="100"/>
      <c r="AK104" s="101"/>
      <c r="AL104" s="99"/>
      <c r="AM104" s="99"/>
      <c r="AN104" s="99"/>
      <c r="AO104" s="100"/>
      <c r="AP104" s="98"/>
      <c r="AQ104" s="99"/>
      <c r="AR104" s="99"/>
      <c r="AS104" s="99"/>
      <c r="AT104" s="99"/>
      <c r="AU104" s="99"/>
      <c r="AV104" s="99"/>
      <c r="AW104" s="99"/>
      <c r="AX104" s="99"/>
      <c r="AY104" s="99"/>
      <c r="AZ104" s="99"/>
      <c r="BA104" s="99"/>
      <c r="BB104" s="99"/>
      <c r="BC104" s="99"/>
      <c r="BD104" s="99"/>
      <c r="BE104" s="100"/>
      <c r="BF104" s="101"/>
      <c r="BG104" s="99"/>
      <c r="BH104" s="99"/>
      <c r="BI104" s="99"/>
      <c r="BJ104" s="99"/>
      <c r="BK104" s="99"/>
      <c r="BL104" s="100"/>
      <c r="BM104" s="101"/>
      <c r="BN104" s="99"/>
      <c r="BO104" s="100"/>
      <c r="BP104" s="101"/>
      <c r="BQ104" s="99"/>
      <c r="BR104" s="99"/>
      <c r="BS104" s="99"/>
      <c r="BT104" s="100"/>
      <c r="BU104" s="98"/>
      <c r="BV104" s="99"/>
      <c r="BW104" s="99"/>
      <c r="BX104" s="99"/>
      <c r="BY104" s="99"/>
      <c r="BZ104" s="99"/>
      <c r="CA104" s="99"/>
      <c r="CB104" s="99"/>
      <c r="CC104" s="99"/>
      <c r="CD104" s="99"/>
      <c r="CE104" s="99"/>
      <c r="CF104" s="99"/>
      <c r="CG104" s="99"/>
      <c r="CH104" s="99"/>
      <c r="CI104" s="99"/>
      <c r="CJ104" s="100"/>
      <c r="CK104" s="101"/>
      <c r="CL104" s="99"/>
      <c r="CM104" s="99"/>
      <c r="CN104" s="99"/>
      <c r="CO104" s="99"/>
      <c r="CP104" s="99"/>
      <c r="CQ104" s="100"/>
      <c r="CR104" s="101"/>
      <c r="CS104" s="99"/>
      <c r="CT104" s="100"/>
      <c r="CU104" s="101"/>
      <c r="CV104" s="99"/>
      <c r="CW104" s="99"/>
      <c r="CX104" s="99"/>
      <c r="CY104" s="99"/>
    </row>
    <row r="105" spans="1:103" ht="25.5" hidden="1" outlineLevel="1" x14ac:dyDescent="0.2">
      <c r="A105" s="424" t="s">
        <v>826</v>
      </c>
      <c r="B105" s="401" t="str">
        <f>VLOOKUP(A105,[1]ACTIONS!$A$3:$B$238,2,0)</f>
        <v>Actualiser la carte des zones égouttées raccordées aux stations d’épuration dans l’inventaire des émissions polluantes vers les eaux de surface (WEISS)</v>
      </c>
      <c r="C105" s="96"/>
      <c r="D105" s="96"/>
      <c r="E105" s="96"/>
      <c r="F105" s="96">
        <v>0</v>
      </c>
      <c r="G105" s="96"/>
      <c r="H105" s="96">
        <v>0</v>
      </c>
      <c r="I105" s="97"/>
      <c r="J105" s="97"/>
      <c r="K105" s="98"/>
      <c r="L105" s="99"/>
      <c r="M105" s="99"/>
      <c r="N105" s="99"/>
      <c r="O105" s="99"/>
      <c r="P105" s="99"/>
      <c r="Q105" s="99"/>
      <c r="R105" s="99"/>
      <c r="S105" s="99"/>
      <c r="T105" s="99"/>
      <c r="U105" s="99"/>
      <c r="V105" s="99"/>
      <c r="W105" s="99"/>
      <c r="X105" s="99"/>
      <c r="Y105" s="99"/>
      <c r="Z105" s="100"/>
      <c r="AA105" s="101"/>
      <c r="AB105" s="99"/>
      <c r="AC105" s="99"/>
      <c r="AD105" s="99"/>
      <c r="AE105" s="99"/>
      <c r="AF105" s="99"/>
      <c r="AG105" s="100"/>
      <c r="AH105" s="101"/>
      <c r="AI105" s="99"/>
      <c r="AJ105" s="100"/>
      <c r="AK105" s="101"/>
      <c r="AL105" s="99"/>
      <c r="AM105" s="99"/>
      <c r="AN105" s="99"/>
      <c r="AO105" s="100"/>
      <c r="AP105" s="98"/>
      <c r="AQ105" s="99"/>
      <c r="AR105" s="99"/>
      <c r="AS105" s="99"/>
      <c r="AT105" s="99"/>
      <c r="AU105" s="99"/>
      <c r="AV105" s="99"/>
      <c r="AW105" s="99"/>
      <c r="AX105" s="99"/>
      <c r="AY105" s="99"/>
      <c r="AZ105" s="99"/>
      <c r="BA105" s="99"/>
      <c r="BB105" s="99"/>
      <c r="BC105" s="99"/>
      <c r="BD105" s="99"/>
      <c r="BE105" s="100"/>
      <c r="BF105" s="101"/>
      <c r="BG105" s="99"/>
      <c r="BH105" s="99"/>
      <c r="BI105" s="99"/>
      <c r="BJ105" s="99"/>
      <c r="BK105" s="99"/>
      <c r="BL105" s="100"/>
      <c r="BM105" s="101"/>
      <c r="BN105" s="99"/>
      <c r="BO105" s="100"/>
      <c r="BP105" s="101"/>
      <c r="BQ105" s="99"/>
      <c r="BR105" s="99"/>
      <c r="BS105" s="99"/>
      <c r="BT105" s="100"/>
      <c r="BU105" s="98"/>
      <c r="BV105" s="99"/>
      <c r="BW105" s="99"/>
      <c r="BX105" s="99"/>
      <c r="BY105" s="99"/>
      <c r="BZ105" s="99"/>
      <c r="CA105" s="99"/>
      <c r="CB105" s="99"/>
      <c r="CC105" s="99"/>
      <c r="CD105" s="99"/>
      <c r="CE105" s="99"/>
      <c r="CF105" s="99"/>
      <c r="CG105" s="99"/>
      <c r="CH105" s="99"/>
      <c r="CI105" s="99"/>
      <c r="CJ105" s="100"/>
      <c r="CK105" s="101"/>
      <c r="CL105" s="99"/>
      <c r="CM105" s="99"/>
      <c r="CN105" s="99"/>
      <c r="CO105" s="99"/>
      <c r="CP105" s="99"/>
      <c r="CQ105" s="100"/>
      <c r="CR105" s="101"/>
      <c r="CS105" s="99"/>
      <c r="CT105" s="100"/>
      <c r="CU105" s="101"/>
      <c r="CV105" s="99"/>
      <c r="CW105" s="99"/>
      <c r="CX105" s="99"/>
      <c r="CY105" s="99"/>
    </row>
    <row r="106" spans="1:103" ht="25.5" hidden="1" outlineLevel="1" x14ac:dyDescent="0.2">
      <c r="A106" s="424" t="s">
        <v>827</v>
      </c>
      <c r="B106" s="401" t="str">
        <f>VLOOKUP(A106,[1]ACTIONS!$A$3:$B$238,2,0)</f>
        <v xml:space="preserve">Etudier l’opportunité de mettre en place un système de certification des installations privées à l’instar du système PEB existant pour l’énergie </v>
      </c>
      <c r="C106" s="96"/>
      <c r="D106" s="96"/>
      <c r="E106" s="96"/>
      <c r="F106" s="96">
        <v>0</v>
      </c>
      <c r="G106" s="96"/>
      <c r="H106" s="96">
        <v>0</v>
      </c>
      <c r="I106" s="97"/>
      <c r="J106" s="97"/>
      <c r="K106" s="98"/>
      <c r="L106" s="99"/>
      <c r="M106" s="99"/>
      <c r="N106" s="99"/>
      <c r="O106" s="99"/>
      <c r="P106" s="99"/>
      <c r="Q106" s="99"/>
      <c r="R106" s="99"/>
      <c r="S106" s="99"/>
      <c r="T106" s="99"/>
      <c r="U106" s="99"/>
      <c r="V106" s="99"/>
      <c r="W106" s="99"/>
      <c r="X106" s="99"/>
      <c r="Y106" s="99"/>
      <c r="Z106" s="100"/>
      <c r="AA106" s="101"/>
      <c r="AB106" s="99"/>
      <c r="AC106" s="99"/>
      <c r="AD106" s="99"/>
      <c r="AE106" s="99"/>
      <c r="AF106" s="99"/>
      <c r="AG106" s="100"/>
      <c r="AH106" s="101"/>
      <c r="AI106" s="99"/>
      <c r="AJ106" s="100"/>
      <c r="AK106" s="101"/>
      <c r="AL106" s="99"/>
      <c r="AM106" s="99"/>
      <c r="AN106" s="99"/>
      <c r="AO106" s="100"/>
      <c r="AP106" s="98"/>
      <c r="AQ106" s="99"/>
      <c r="AR106" s="99"/>
      <c r="AS106" s="99"/>
      <c r="AT106" s="99"/>
      <c r="AU106" s="99"/>
      <c r="AV106" s="99"/>
      <c r="AW106" s="99"/>
      <c r="AX106" s="99"/>
      <c r="AY106" s="99"/>
      <c r="AZ106" s="99"/>
      <c r="BA106" s="99"/>
      <c r="BB106" s="99"/>
      <c r="BC106" s="99"/>
      <c r="BD106" s="99"/>
      <c r="BE106" s="100"/>
      <c r="BF106" s="101"/>
      <c r="BG106" s="99"/>
      <c r="BH106" s="99"/>
      <c r="BI106" s="99"/>
      <c r="BJ106" s="99"/>
      <c r="BK106" s="99"/>
      <c r="BL106" s="100"/>
      <c r="BM106" s="101"/>
      <c r="BN106" s="99"/>
      <c r="BO106" s="100"/>
      <c r="BP106" s="101"/>
      <c r="BQ106" s="99"/>
      <c r="BR106" s="99"/>
      <c r="BS106" s="99"/>
      <c r="BT106" s="100"/>
      <c r="BU106" s="98"/>
      <c r="BV106" s="99"/>
      <c r="BW106" s="99"/>
      <c r="BX106" s="99"/>
      <c r="BY106" s="99"/>
      <c r="BZ106" s="99"/>
      <c r="CA106" s="99"/>
      <c r="CB106" s="99"/>
      <c r="CC106" s="99"/>
      <c r="CD106" s="99"/>
      <c r="CE106" s="99"/>
      <c r="CF106" s="99"/>
      <c r="CG106" s="99"/>
      <c r="CH106" s="99"/>
      <c r="CI106" s="99"/>
      <c r="CJ106" s="100"/>
      <c r="CK106" s="101"/>
      <c r="CL106" s="99"/>
      <c r="CM106" s="99"/>
      <c r="CN106" s="99"/>
      <c r="CO106" s="99"/>
      <c r="CP106" s="99"/>
      <c r="CQ106" s="100"/>
      <c r="CR106" s="101"/>
      <c r="CS106" s="99"/>
      <c r="CT106" s="100"/>
      <c r="CU106" s="101"/>
      <c r="CV106" s="99"/>
      <c r="CW106" s="99"/>
      <c r="CX106" s="99"/>
      <c r="CY106" s="99"/>
    </row>
    <row r="107" spans="1:103" collapsed="1" x14ac:dyDescent="0.2">
      <c r="A107" s="394" t="s">
        <v>6</v>
      </c>
      <c r="B107" s="395" t="str">
        <f>VLOOKUP(A107,'1. Mesures'!$A$2:$B$116,2,0)</f>
        <v>Gérer les rejets d'eaux usées non raccordables aux stations d'épuration collectives</v>
      </c>
      <c r="C107" s="96"/>
      <c r="D107" s="96"/>
      <c r="E107" s="96"/>
      <c r="F107" s="96">
        <v>75000</v>
      </c>
      <c r="G107" s="96"/>
      <c r="H107" s="96">
        <v>75000</v>
      </c>
      <c r="I107" s="97" t="s">
        <v>1589</v>
      </c>
      <c r="J107" s="97" t="s">
        <v>1592</v>
      </c>
      <c r="K107" s="98" t="s">
        <v>1590</v>
      </c>
      <c r="L107" s="99" t="s">
        <v>1590</v>
      </c>
      <c r="M107" s="99" t="s">
        <v>1590</v>
      </c>
      <c r="N107" s="99" t="s">
        <v>1590</v>
      </c>
      <c r="O107" s="99" t="s">
        <v>1590</v>
      </c>
      <c r="P107" s="99" t="s">
        <v>1590</v>
      </c>
      <c r="Q107" s="99" t="s">
        <v>1590</v>
      </c>
      <c r="R107" s="99" t="s">
        <v>1590</v>
      </c>
      <c r="S107" s="99" t="s">
        <v>1590</v>
      </c>
      <c r="T107" s="99" t="s">
        <v>1590</v>
      </c>
      <c r="U107" s="99" t="s">
        <v>1590</v>
      </c>
      <c r="V107" s="99"/>
      <c r="W107" s="99" t="s">
        <v>1590</v>
      </c>
      <c r="X107" s="99" t="s">
        <v>1590</v>
      </c>
      <c r="Y107" s="99" t="s">
        <v>1590</v>
      </c>
      <c r="Z107" s="100" t="s">
        <v>1590</v>
      </c>
      <c r="AA107" s="101" t="s">
        <v>1590</v>
      </c>
      <c r="AB107" s="99" t="s">
        <v>1590</v>
      </c>
      <c r="AC107" s="99" t="s">
        <v>1590</v>
      </c>
      <c r="AD107" s="99" t="s">
        <v>1590</v>
      </c>
      <c r="AE107" s="99" t="s">
        <v>1590</v>
      </c>
      <c r="AF107" s="99" t="s">
        <v>1590</v>
      </c>
      <c r="AG107" s="100" t="s">
        <v>1590</v>
      </c>
      <c r="AH107" s="101"/>
      <c r="AI107" s="99"/>
      <c r="AJ107" s="100"/>
      <c r="AK107" s="101"/>
      <c r="AL107" s="99" t="s">
        <v>1590</v>
      </c>
      <c r="AM107" s="99" t="s">
        <v>1590</v>
      </c>
      <c r="AN107" s="99" t="s">
        <v>1590</v>
      </c>
      <c r="AO107" s="100" t="s">
        <v>1590</v>
      </c>
      <c r="AP107" s="98"/>
      <c r="AQ107" s="99" t="s">
        <v>1590</v>
      </c>
      <c r="AR107" s="99" t="s">
        <v>1590</v>
      </c>
      <c r="AS107" s="99" t="s">
        <v>1590</v>
      </c>
      <c r="AT107" s="99" t="s">
        <v>1590</v>
      </c>
      <c r="AU107" s="99" t="s">
        <v>1590</v>
      </c>
      <c r="AV107" s="99"/>
      <c r="AW107" s="99" t="s">
        <v>1590</v>
      </c>
      <c r="AX107" s="99" t="s">
        <v>1590</v>
      </c>
      <c r="AY107" s="99"/>
      <c r="AZ107" s="99"/>
      <c r="BA107" s="99" t="s">
        <v>1590</v>
      </c>
      <c r="BB107" s="99" t="s">
        <v>1590</v>
      </c>
      <c r="BC107" s="99" t="s">
        <v>1590</v>
      </c>
      <c r="BD107" s="99"/>
      <c r="BE107" s="100" t="s">
        <v>1590</v>
      </c>
      <c r="BF107" s="101" t="s">
        <v>1590</v>
      </c>
      <c r="BG107" s="99"/>
      <c r="BH107" s="99"/>
      <c r="BI107" s="99"/>
      <c r="BJ107" s="99"/>
      <c r="BK107" s="99"/>
      <c r="BL107" s="100"/>
      <c r="BM107" s="101"/>
      <c r="BN107" s="99"/>
      <c r="BO107" s="100"/>
      <c r="BP107" s="101"/>
      <c r="BQ107" s="99" t="s">
        <v>1590</v>
      </c>
      <c r="BR107" s="99"/>
      <c r="BS107" s="99" t="s">
        <v>1590</v>
      </c>
      <c r="BT107" s="100" t="s">
        <v>1590</v>
      </c>
      <c r="BU107" s="98"/>
      <c r="BV107" s="99"/>
      <c r="BW107" s="99"/>
      <c r="BX107" s="99" t="s">
        <v>1590</v>
      </c>
      <c r="BY107" s="99" t="s">
        <v>1590</v>
      </c>
      <c r="BZ107" s="99" t="s">
        <v>1590</v>
      </c>
      <c r="CA107" s="99"/>
      <c r="CB107" s="99"/>
      <c r="CC107" s="99"/>
      <c r="CD107" s="99"/>
      <c r="CE107" s="99"/>
      <c r="CF107" s="99"/>
      <c r="CG107" s="99" t="s">
        <v>1590</v>
      </c>
      <c r="CH107" s="99" t="s">
        <v>1590</v>
      </c>
      <c r="CI107" s="99"/>
      <c r="CJ107" s="100"/>
      <c r="CK107" s="101"/>
      <c r="CL107" s="99"/>
      <c r="CM107" s="99"/>
      <c r="CN107" s="99"/>
      <c r="CO107" s="99"/>
      <c r="CP107" s="99" t="s">
        <v>1590</v>
      </c>
      <c r="CQ107" s="100"/>
      <c r="CR107" s="101"/>
      <c r="CS107" s="99"/>
      <c r="CT107" s="100"/>
      <c r="CU107" s="101"/>
      <c r="CV107" s="99" t="s">
        <v>1590</v>
      </c>
      <c r="CW107" s="99"/>
      <c r="CX107" s="99" t="s">
        <v>1590</v>
      </c>
      <c r="CY107" s="99" t="s">
        <v>1590</v>
      </c>
    </row>
    <row r="108" spans="1:103" ht="38.25" hidden="1" outlineLevel="1" x14ac:dyDescent="0.2">
      <c r="A108" s="424" t="s">
        <v>828</v>
      </c>
      <c r="B108" s="401" t="str">
        <f>VLOOKUP(A108,[1]ACTIONS!$A$3:$B$238,2,0)</f>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v>
      </c>
      <c r="C108" s="96"/>
      <c r="D108" s="96"/>
      <c r="E108" s="96"/>
      <c r="F108" s="96">
        <v>0</v>
      </c>
      <c r="G108" s="96"/>
      <c r="H108" s="96">
        <v>0</v>
      </c>
      <c r="I108" s="97"/>
      <c r="J108" s="97"/>
      <c r="K108" s="98"/>
      <c r="L108" s="99"/>
      <c r="M108" s="99"/>
      <c r="N108" s="99"/>
      <c r="O108" s="99"/>
      <c r="P108" s="99"/>
      <c r="Q108" s="99"/>
      <c r="R108" s="99"/>
      <c r="S108" s="99"/>
      <c r="T108" s="99"/>
      <c r="U108" s="99"/>
      <c r="V108" s="99"/>
      <c r="W108" s="99"/>
      <c r="X108" s="99"/>
      <c r="Y108" s="99"/>
      <c r="Z108" s="100"/>
      <c r="AA108" s="101"/>
      <c r="AB108" s="99"/>
      <c r="AC108" s="99"/>
      <c r="AD108" s="99"/>
      <c r="AE108" s="99"/>
      <c r="AF108" s="99"/>
      <c r="AG108" s="100"/>
      <c r="AH108" s="101"/>
      <c r="AI108" s="99"/>
      <c r="AJ108" s="100"/>
      <c r="AK108" s="101"/>
      <c r="AL108" s="99"/>
      <c r="AM108" s="99"/>
      <c r="AN108" s="99"/>
      <c r="AO108" s="100"/>
      <c r="AP108" s="98"/>
      <c r="AQ108" s="99"/>
      <c r="AR108" s="99"/>
      <c r="AS108" s="99"/>
      <c r="AT108" s="99"/>
      <c r="AU108" s="99"/>
      <c r="AV108" s="99"/>
      <c r="AW108" s="99"/>
      <c r="AX108" s="99"/>
      <c r="AY108" s="99"/>
      <c r="AZ108" s="99"/>
      <c r="BA108" s="99"/>
      <c r="BB108" s="99"/>
      <c r="BC108" s="99"/>
      <c r="BD108" s="99"/>
      <c r="BE108" s="100"/>
      <c r="BF108" s="101"/>
      <c r="BG108" s="99"/>
      <c r="BH108" s="99"/>
      <c r="BI108" s="99"/>
      <c r="BJ108" s="99"/>
      <c r="BK108" s="99"/>
      <c r="BL108" s="100"/>
      <c r="BM108" s="101"/>
      <c r="BN108" s="99"/>
      <c r="BO108" s="100"/>
      <c r="BP108" s="101"/>
      <c r="BQ108" s="99"/>
      <c r="BR108" s="99"/>
      <c r="BS108" s="99"/>
      <c r="BT108" s="100"/>
      <c r="BU108" s="98"/>
      <c r="BV108" s="99"/>
      <c r="BW108" s="99"/>
      <c r="BX108" s="99"/>
      <c r="BY108" s="99"/>
      <c r="BZ108" s="99"/>
      <c r="CA108" s="99"/>
      <c r="CB108" s="99"/>
      <c r="CC108" s="99"/>
      <c r="CD108" s="99"/>
      <c r="CE108" s="99"/>
      <c r="CF108" s="99"/>
      <c r="CG108" s="99"/>
      <c r="CH108" s="99"/>
      <c r="CI108" s="99"/>
      <c r="CJ108" s="100"/>
      <c r="CK108" s="101"/>
      <c r="CL108" s="99"/>
      <c r="CM108" s="99"/>
      <c r="CN108" s="99"/>
      <c r="CO108" s="99"/>
      <c r="CP108" s="99"/>
      <c r="CQ108" s="100"/>
      <c r="CR108" s="101"/>
      <c r="CS108" s="99"/>
      <c r="CT108" s="100"/>
      <c r="CU108" s="101"/>
      <c r="CV108" s="99"/>
      <c r="CW108" s="99"/>
      <c r="CX108" s="99"/>
      <c r="CY108" s="99"/>
    </row>
    <row r="109" spans="1:103" ht="63.75" hidden="1" outlineLevel="1" x14ac:dyDescent="0.2">
      <c r="A109" s="424" t="s">
        <v>829</v>
      </c>
      <c r="B109" s="401" t="str">
        <f>VLOOKUP(A109,[1]ACTIONS!$A$3:$B$238,2,0)</f>
        <v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v>
      </c>
      <c r="C109" s="96"/>
      <c r="D109" s="96"/>
      <c r="E109" s="96"/>
      <c r="F109" s="96">
        <v>0</v>
      </c>
      <c r="G109" s="96"/>
      <c r="H109" s="96">
        <v>0</v>
      </c>
      <c r="I109" s="97"/>
      <c r="J109" s="97"/>
      <c r="K109" s="98"/>
      <c r="L109" s="99"/>
      <c r="M109" s="99"/>
      <c r="N109" s="99"/>
      <c r="O109" s="99"/>
      <c r="P109" s="99"/>
      <c r="Q109" s="99"/>
      <c r="R109" s="99"/>
      <c r="S109" s="99"/>
      <c r="T109" s="99"/>
      <c r="U109" s="99"/>
      <c r="V109" s="99"/>
      <c r="W109" s="99"/>
      <c r="X109" s="99"/>
      <c r="Y109" s="99"/>
      <c r="Z109" s="100"/>
      <c r="AA109" s="101"/>
      <c r="AB109" s="99"/>
      <c r="AC109" s="99"/>
      <c r="AD109" s="99"/>
      <c r="AE109" s="99"/>
      <c r="AF109" s="99"/>
      <c r="AG109" s="100"/>
      <c r="AH109" s="101"/>
      <c r="AI109" s="99"/>
      <c r="AJ109" s="100"/>
      <c r="AK109" s="101"/>
      <c r="AL109" s="99"/>
      <c r="AM109" s="99"/>
      <c r="AN109" s="99"/>
      <c r="AO109" s="100"/>
      <c r="AP109" s="98"/>
      <c r="AQ109" s="99"/>
      <c r="AR109" s="99"/>
      <c r="AS109" s="99"/>
      <c r="AT109" s="99"/>
      <c r="AU109" s="99"/>
      <c r="AV109" s="99"/>
      <c r="AW109" s="99"/>
      <c r="AX109" s="99"/>
      <c r="AY109" s="99"/>
      <c r="AZ109" s="99"/>
      <c r="BA109" s="99"/>
      <c r="BB109" s="99"/>
      <c r="BC109" s="99"/>
      <c r="BD109" s="99"/>
      <c r="BE109" s="100"/>
      <c r="BF109" s="101"/>
      <c r="BG109" s="99"/>
      <c r="BH109" s="99"/>
      <c r="BI109" s="99"/>
      <c r="BJ109" s="99"/>
      <c r="BK109" s="99"/>
      <c r="BL109" s="100"/>
      <c r="BM109" s="101"/>
      <c r="BN109" s="99"/>
      <c r="BO109" s="100"/>
      <c r="BP109" s="101"/>
      <c r="BQ109" s="99"/>
      <c r="BR109" s="99"/>
      <c r="BS109" s="99"/>
      <c r="BT109" s="100"/>
      <c r="BU109" s="98"/>
      <c r="BV109" s="99"/>
      <c r="BW109" s="99"/>
      <c r="BX109" s="99"/>
      <c r="BY109" s="99"/>
      <c r="BZ109" s="99"/>
      <c r="CA109" s="99"/>
      <c r="CB109" s="99"/>
      <c r="CC109" s="99"/>
      <c r="CD109" s="99"/>
      <c r="CE109" s="99"/>
      <c r="CF109" s="99"/>
      <c r="CG109" s="99"/>
      <c r="CH109" s="99"/>
      <c r="CI109" s="99"/>
      <c r="CJ109" s="100"/>
      <c r="CK109" s="101"/>
      <c r="CL109" s="99"/>
      <c r="CM109" s="99"/>
      <c r="CN109" s="99"/>
      <c r="CO109" s="99"/>
      <c r="CP109" s="99"/>
      <c r="CQ109" s="100"/>
      <c r="CR109" s="101"/>
      <c r="CS109" s="99"/>
      <c r="CT109" s="100"/>
      <c r="CU109" s="101"/>
      <c r="CV109" s="99"/>
      <c r="CW109" s="99"/>
      <c r="CX109" s="99"/>
      <c r="CY109" s="99"/>
    </row>
    <row r="110" spans="1:103" hidden="1" outlineLevel="1" x14ac:dyDescent="0.2">
      <c r="A110" s="424" t="s">
        <v>830</v>
      </c>
      <c r="B110" s="401" t="str">
        <f>VLOOKUP(A110,[1]ACTIONS!$A$3:$B$238,2,0)</f>
        <v>Assurer le contrôle des systèmes d’épuration individuels</v>
      </c>
      <c r="C110" s="96"/>
      <c r="D110" s="96"/>
      <c r="E110" s="96"/>
      <c r="F110" s="96">
        <v>0</v>
      </c>
      <c r="G110" s="96"/>
      <c r="H110" s="96">
        <v>0</v>
      </c>
      <c r="I110" s="97"/>
      <c r="J110" s="97"/>
      <c r="K110" s="98"/>
      <c r="L110" s="99"/>
      <c r="M110" s="99"/>
      <c r="N110" s="99"/>
      <c r="O110" s="99"/>
      <c r="P110" s="99"/>
      <c r="Q110" s="99"/>
      <c r="R110" s="99"/>
      <c r="S110" s="99"/>
      <c r="T110" s="99"/>
      <c r="U110" s="99"/>
      <c r="V110" s="99"/>
      <c r="W110" s="99"/>
      <c r="X110" s="99"/>
      <c r="Y110" s="99"/>
      <c r="Z110" s="100"/>
      <c r="AA110" s="101"/>
      <c r="AB110" s="99"/>
      <c r="AC110" s="99"/>
      <c r="AD110" s="99"/>
      <c r="AE110" s="99"/>
      <c r="AF110" s="99"/>
      <c r="AG110" s="100"/>
      <c r="AH110" s="101"/>
      <c r="AI110" s="99"/>
      <c r="AJ110" s="100"/>
      <c r="AK110" s="101"/>
      <c r="AL110" s="99"/>
      <c r="AM110" s="99"/>
      <c r="AN110" s="99"/>
      <c r="AO110" s="100"/>
      <c r="AP110" s="98"/>
      <c r="AQ110" s="99"/>
      <c r="AR110" s="99"/>
      <c r="AS110" s="99"/>
      <c r="AT110" s="99"/>
      <c r="AU110" s="99"/>
      <c r="AV110" s="99"/>
      <c r="AW110" s="99"/>
      <c r="AX110" s="99"/>
      <c r="AY110" s="99"/>
      <c r="AZ110" s="99"/>
      <c r="BA110" s="99"/>
      <c r="BB110" s="99"/>
      <c r="BC110" s="99"/>
      <c r="BD110" s="99"/>
      <c r="BE110" s="100"/>
      <c r="BF110" s="101"/>
      <c r="BG110" s="99"/>
      <c r="BH110" s="99"/>
      <c r="BI110" s="99"/>
      <c r="BJ110" s="99"/>
      <c r="BK110" s="99"/>
      <c r="BL110" s="100"/>
      <c r="BM110" s="101"/>
      <c r="BN110" s="99"/>
      <c r="BO110" s="100"/>
      <c r="BP110" s="101"/>
      <c r="BQ110" s="99"/>
      <c r="BR110" s="99"/>
      <c r="BS110" s="99"/>
      <c r="BT110" s="100"/>
      <c r="BU110" s="98"/>
      <c r="BV110" s="99"/>
      <c r="BW110" s="99"/>
      <c r="BX110" s="99"/>
      <c r="BY110" s="99"/>
      <c r="BZ110" s="99"/>
      <c r="CA110" s="99"/>
      <c r="CB110" s="99"/>
      <c r="CC110" s="99"/>
      <c r="CD110" s="99"/>
      <c r="CE110" s="99"/>
      <c r="CF110" s="99"/>
      <c r="CG110" s="99"/>
      <c r="CH110" s="99"/>
      <c r="CI110" s="99"/>
      <c r="CJ110" s="100"/>
      <c r="CK110" s="101"/>
      <c r="CL110" s="99"/>
      <c r="CM110" s="99"/>
      <c r="CN110" s="99"/>
      <c r="CO110" s="99"/>
      <c r="CP110" s="99"/>
      <c r="CQ110" s="100"/>
      <c r="CR110" s="101"/>
      <c r="CS110" s="99"/>
      <c r="CT110" s="100"/>
      <c r="CU110" s="101"/>
      <c r="CV110" s="99"/>
      <c r="CW110" s="99"/>
      <c r="CX110" s="99"/>
      <c r="CY110" s="99"/>
    </row>
    <row r="111" spans="1:103" hidden="1" outlineLevel="1" x14ac:dyDescent="0.2">
      <c r="A111" s="424" t="s">
        <v>831</v>
      </c>
      <c r="B111" s="401" t="str">
        <f>VLOOKUP(A111,[1]ACTIONS!$A$3:$B$238,2,0)</f>
        <v>Offrir un soutien technique aux communes dans le cadre de la mise en œuvre de cette mesure M1.7</v>
      </c>
      <c r="C111" s="96"/>
      <c r="D111" s="96"/>
      <c r="E111" s="96"/>
      <c r="F111" s="96">
        <v>0</v>
      </c>
      <c r="G111" s="96"/>
      <c r="H111" s="96">
        <v>0</v>
      </c>
      <c r="I111" s="97"/>
      <c r="J111" s="97"/>
      <c r="K111" s="98"/>
      <c r="L111" s="99"/>
      <c r="M111" s="99"/>
      <c r="N111" s="99"/>
      <c r="O111" s="99"/>
      <c r="P111" s="99"/>
      <c r="Q111" s="99"/>
      <c r="R111" s="99"/>
      <c r="S111" s="99"/>
      <c r="T111" s="99"/>
      <c r="U111" s="99"/>
      <c r="V111" s="99"/>
      <c r="W111" s="99"/>
      <c r="X111" s="99"/>
      <c r="Y111" s="99"/>
      <c r="Z111" s="100"/>
      <c r="AA111" s="101"/>
      <c r="AB111" s="99"/>
      <c r="AC111" s="99"/>
      <c r="AD111" s="99"/>
      <c r="AE111" s="99"/>
      <c r="AF111" s="99"/>
      <c r="AG111" s="100"/>
      <c r="AH111" s="101"/>
      <c r="AI111" s="99"/>
      <c r="AJ111" s="100"/>
      <c r="AK111" s="101"/>
      <c r="AL111" s="99"/>
      <c r="AM111" s="99"/>
      <c r="AN111" s="99"/>
      <c r="AO111" s="100"/>
      <c r="AP111" s="98"/>
      <c r="AQ111" s="99"/>
      <c r="AR111" s="99"/>
      <c r="AS111" s="99"/>
      <c r="AT111" s="99"/>
      <c r="AU111" s="99"/>
      <c r="AV111" s="99"/>
      <c r="AW111" s="99"/>
      <c r="AX111" s="99"/>
      <c r="AY111" s="99"/>
      <c r="AZ111" s="99"/>
      <c r="BA111" s="99"/>
      <c r="BB111" s="99"/>
      <c r="BC111" s="99"/>
      <c r="BD111" s="99"/>
      <c r="BE111" s="100"/>
      <c r="BF111" s="101"/>
      <c r="BG111" s="99"/>
      <c r="BH111" s="99"/>
      <c r="BI111" s="99"/>
      <c r="BJ111" s="99"/>
      <c r="BK111" s="99"/>
      <c r="BL111" s="100"/>
      <c r="BM111" s="101"/>
      <c r="BN111" s="99"/>
      <c r="BO111" s="100"/>
      <c r="BP111" s="101"/>
      <c r="BQ111" s="99"/>
      <c r="BR111" s="99"/>
      <c r="BS111" s="99"/>
      <c r="BT111" s="100"/>
      <c r="BU111" s="98"/>
      <c r="BV111" s="99"/>
      <c r="BW111" s="99"/>
      <c r="BX111" s="99"/>
      <c r="BY111" s="99"/>
      <c r="BZ111" s="99"/>
      <c r="CA111" s="99"/>
      <c r="CB111" s="99"/>
      <c r="CC111" s="99"/>
      <c r="CD111" s="99"/>
      <c r="CE111" s="99"/>
      <c r="CF111" s="99"/>
      <c r="CG111" s="99"/>
      <c r="CH111" s="99"/>
      <c r="CI111" s="99"/>
      <c r="CJ111" s="100"/>
      <c r="CK111" s="101"/>
      <c r="CL111" s="99"/>
      <c r="CM111" s="99"/>
      <c r="CN111" s="99"/>
      <c r="CO111" s="99"/>
      <c r="CP111" s="99"/>
      <c r="CQ111" s="100"/>
      <c r="CR111" s="101"/>
      <c r="CS111" s="99"/>
      <c r="CT111" s="100"/>
      <c r="CU111" s="101"/>
      <c r="CV111" s="99"/>
      <c r="CW111" s="99"/>
      <c r="CX111" s="99"/>
      <c r="CY111" s="99"/>
    </row>
    <row r="112" spans="1:103" ht="51" hidden="1" outlineLevel="1" x14ac:dyDescent="0.2">
      <c r="A112" s="424" t="s">
        <v>832</v>
      </c>
      <c r="B112" s="401" t="str">
        <f>VLOOKUP(A112,[1]ACTIONS!$A$3:$B$238,2,0)</f>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v>
      </c>
      <c r="C112" s="96"/>
      <c r="D112" s="96"/>
      <c r="E112" s="96"/>
      <c r="F112" s="96">
        <v>75000</v>
      </c>
      <c r="G112" s="96"/>
      <c r="H112" s="96">
        <v>75000</v>
      </c>
      <c r="I112" s="97"/>
      <c r="J112" s="97"/>
      <c r="K112" s="98"/>
      <c r="L112" s="99"/>
      <c r="M112" s="99"/>
      <c r="N112" s="99"/>
      <c r="O112" s="99"/>
      <c r="P112" s="99"/>
      <c r="Q112" s="99"/>
      <c r="R112" s="99"/>
      <c r="S112" s="99"/>
      <c r="T112" s="99"/>
      <c r="U112" s="99"/>
      <c r="V112" s="99"/>
      <c r="W112" s="99"/>
      <c r="X112" s="99"/>
      <c r="Y112" s="99"/>
      <c r="Z112" s="100"/>
      <c r="AA112" s="101"/>
      <c r="AB112" s="99"/>
      <c r="AC112" s="99"/>
      <c r="AD112" s="99"/>
      <c r="AE112" s="99"/>
      <c r="AF112" s="99"/>
      <c r="AG112" s="100"/>
      <c r="AH112" s="101"/>
      <c r="AI112" s="99"/>
      <c r="AJ112" s="100"/>
      <c r="AK112" s="101"/>
      <c r="AL112" s="99"/>
      <c r="AM112" s="99"/>
      <c r="AN112" s="99"/>
      <c r="AO112" s="100"/>
      <c r="AP112" s="98"/>
      <c r="AQ112" s="99"/>
      <c r="AR112" s="99"/>
      <c r="AS112" s="99"/>
      <c r="AT112" s="99"/>
      <c r="AU112" s="99"/>
      <c r="AV112" s="99"/>
      <c r="AW112" s="99"/>
      <c r="AX112" s="99"/>
      <c r="AY112" s="99"/>
      <c r="AZ112" s="99"/>
      <c r="BA112" s="99"/>
      <c r="BB112" s="99"/>
      <c r="BC112" s="99"/>
      <c r="BD112" s="99"/>
      <c r="BE112" s="100"/>
      <c r="BF112" s="101"/>
      <c r="BG112" s="99"/>
      <c r="BH112" s="99"/>
      <c r="BI112" s="99"/>
      <c r="BJ112" s="99"/>
      <c r="BK112" s="99"/>
      <c r="BL112" s="100"/>
      <c r="BM112" s="101"/>
      <c r="BN112" s="99"/>
      <c r="BO112" s="100"/>
      <c r="BP112" s="101"/>
      <c r="BQ112" s="99"/>
      <c r="BR112" s="99"/>
      <c r="BS112" s="99"/>
      <c r="BT112" s="100"/>
      <c r="BU112" s="98"/>
      <c r="BV112" s="99"/>
      <c r="BW112" s="99"/>
      <c r="BX112" s="99"/>
      <c r="BY112" s="99"/>
      <c r="BZ112" s="99"/>
      <c r="CA112" s="99"/>
      <c r="CB112" s="99"/>
      <c r="CC112" s="99"/>
      <c r="CD112" s="99"/>
      <c r="CE112" s="99"/>
      <c r="CF112" s="99"/>
      <c r="CG112" s="99"/>
      <c r="CH112" s="99"/>
      <c r="CI112" s="99"/>
      <c r="CJ112" s="100"/>
      <c r="CK112" s="101"/>
      <c r="CL112" s="99"/>
      <c r="CM112" s="99"/>
      <c r="CN112" s="99"/>
      <c r="CO112" s="99"/>
      <c r="CP112" s="99"/>
      <c r="CQ112" s="100"/>
      <c r="CR112" s="101"/>
      <c r="CS112" s="99"/>
      <c r="CT112" s="100"/>
      <c r="CU112" s="101"/>
      <c r="CV112" s="99"/>
      <c r="CW112" s="99"/>
      <c r="CX112" s="99"/>
      <c r="CY112" s="99"/>
    </row>
    <row r="113" spans="1:103" ht="25.5" hidden="1" outlineLevel="1" x14ac:dyDescent="0.2">
      <c r="A113" s="424" t="s">
        <v>833</v>
      </c>
      <c r="B113" s="401" t="str">
        <f>VLOOKUP(A113,[1]ACTIONS!$A$3:$B$238,2,0)</f>
        <v>Actualiser la carte des zones non égouttées soumises à épuration autonome dans l’inventaire BE des émissions polluantes vers les eaux de surface (WEISS), y compris les rejets ponctuels des bateaux/navires</v>
      </c>
      <c r="C113" s="96"/>
      <c r="D113" s="96"/>
      <c r="E113" s="96"/>
      <c r="F113" s="96">
        <v>0</v>
      </c>
      <c r="G113" s="96"/>
      <c r="H113" s="96">
        <v>0</v>
      </c>
      <c r="I113" s="97"/>
      <c r="J113" s="97"/>
      <c r="K113" s="98"/>
      <c r="L113" s="99"/>
      <c r="M113" s="99"/>
      <c r="N113" s="99"/>
      <c r="O113" s="99"/>
      <c r="P113" s="99"/>
      <c r="Q113" s="99"/>
      <c r="R113" s="99"/>
      <c r="S113" s="99"/>
      <c r="T113" s="99"/>
      <c r="U113" s="99"/>
      <c r="V113" s="99"/>
      <c r="W113" s="99"/>
      <c r="X113" s="99"/>
      <c r="Y113" s="99"/>
      <c r="Z113" s="100"/>
      <c r="AA113" s="101"/>
      <c r="AB113" s="99"/>
      <c r="AC113" s="99"/>
      <c r="AD113" s="99"/>
      <c r="AE113" s="99"/>
      <c r="AF113" s="99"/>
      <c r="AG113" s="100"/>
      <c r="AH113" s="101"/>
      <c r="AI113" s="99"/>
      <c r="AJ113" s="100"/>
      <c r="AK113" s="101"/>
      <c r="AL113" s="99"/>
      <c r="AM113" s="99"/>
      <c r="AN113" s="99"/>
      <c r="AO113" s="100"/>
      <c r="AP113" s="98"/>
      <c r="AQ113" s="99"/>
      <c r="AR113" s="99"/>
      <c r="AS113" s="99"/>
      <c r="AT113" s="99"/>
      <c r="AU113" s="99"/>
      <c r="AV113" s="99"/>
      <c r="AW113" s="99"/>
      <c r="AX113" s="99"/>
      <c r="AY113" s="99"/>
      <c r="AZ113" s="99"/>
      <c r="BA113" s="99"/>
      <c r="BB113" s="99"/>
      <c r="BC113" s="99"/>
      <c r="BD113" s="99"/>
      <c r="BE113" s="100"/>
      <c r="BF113" s="101"/>
      <c r="BG113" s="99"/>
      <c r="BH113" s="99"/>
      <c r="BI113" s="99"/>
      <c r="BJ113" s="99"/>
      <c r="BK113" s="99"/>
      <c r="BL113" s="100"/>
      <c r="BM113" s="101"/>
      <c r="BN113" s="99"/>
      <c r="BO113" s="100"/>
      <c r="BP113" s="101"/>
      <c r="BQ113" s="99"/>
      <c r="BR113" s="99"/>
      <c r="BS113" s="99"/>
      <c r="BT113" s="100"/>
      <c r="BU113" s="98"/>
      <c r="BV113" s="99"/>
      <c r="BW113" s="99"/>
      <c r="BX113" s="99"/>
      <c r="BY113" s="99"/>
      <c r="BZ113" s="99"/>
      <c r="CA113" s="99"/>
      <c r="CB113" s="99"/>
      <c r="CC113" s="99"/>
      <c r="CD113" s="99"/>
      <c r="CE113" s="99"/>
      <c r="CF113" s="99"/>
      <c r="CG113" s="99"/>
      <c r="CH113" s="99"/>
      <c r="CI113" s="99"/>
      <c r="CJ113" s="100"/>
      <c r="CK113" s="101"/>
      <c r="CL113" s="99"/>
      <c r="CM113" s="99"/>
      <c r="CN113" s="99"/>
      <c r="CO113" s="99"/>
      <c r="CP113" s="99"/>
      <c r="CQ113" s="100"/>
      <c r="CR113" s="101"/>
      <c r="CS113" s="99"/>
      <c r="CT113" s="100"/>
      <c r="CU113" s="101"/>
      <c r="CV113" s="99"/>
      <c r="CW113" s="99"/>
      <c r="CX113" s="99"/>
      <c r="CY113" s="99"/>
    </row>
    <row r="114" spans="1:103" ht="25.5" collapsed="1" x14ac:dyDescent="0.2">
      <c r="A114" s="394" t="s">
        <v>7</v>
      </c>
      <c r="B114" s="395" t="str">
        <f>VLOOKUP(A114,'1. Mesures'!$A$2:$B$116,2,0)</f>
        <v>Réaliser l'état de l'art des déversoirs d'orages actuels et optimaliser leur conception pour réduire le transfert de polluants vers les masses d’eau de surface</v>
      </c>
      <c r="C114" s="96"/>
      <c r="D114" s="96"/>
      <c r="E114" s="96"/>
      <c r="F114" s="96" t="e">
        <v>#N/A</v>
      </c>
      <c r="G114" s="96"/>
      <c r="H114" s="96" t="e">
        <v>#N/A</v>
      </c>
      <c r="I114" s="97" t="s">
        <v>1589</v>
      </c>
      <c r="J114" s="97" t="s">
        <v>1593</v>
      </c>
      <c r="K114" s="98" t="s">
        <v>1575</v>
      </c>
      <c r="L114" s="99" t="s">
        <v>1575</v>
      </c>
      <c r="M114" s="99" t="s">
        <v>1575</v>
      </c>
      <c r="N114" s="99" t="s">
        <v>1575</v>
      </c>
      <c r="O114" s="99" t="s">
        <v>1575</v>
      </c>
      <c r="P114" s="99" t="s">
        <v>1575</v>
      </c>
      <c r="Q114" s="99" t="s">
        <v>1576</v>
      </c>
      <c r="R114" s="99" t="s">
        <v>1575</v>
      </c>
      <c r="S114" s="99" t="s">
        <v>1590</v>
      </c>
      <c r="T114" s="99" t="s">
        <v>1590</v>
      </c>
      <c r="U114" s="99" t="s">
        <v>1590</v>
      </c>
      <c r="V114" s="99"/>
      <c r="W114" s="99" t="s">
        <v>1590</v>
      </c>
      <c r="X114" s="99" t="s">
        <v>1575</v>
      </c>
      <c r="Y114" s="99" t="s">
        <v>1590</v>
      </c>
      <c r="Z114" s="100" t="s">
        <v>1575</v>
      </c>
      <c r="AA114" s="101" t="s">
        <v>1576</v>
      </c>
      <c r="AB114" s="99" t="s">
        <v>1576</v>
      </c>
      <c r="AC114" s="99" t="s">
        <v>1576</v>
      </c>
      <c r="AD114" s="99" t="s">
        <v>1576</v>
      </c>
      <c r="AE114" s="99" t="s">
        <v>1576</v>
      </c>
      <c r="AF114" s="99" t="s">
        <v>1576</v>
      </c>
      <c r="AG114" s="100" t="s">
        <v>1576</v>
      </c>
      <c r="AH114" s="101"/>
      <c r="AI114" s="99"/>
      <c r="AJ114" s="100"/>
      <c r="AK114" s="101"/>
      <c r="AL114" s="99" t="s">
        <v>1591</v>
      </c>
      <c r="AM114" s="99" t="s">
        <v>1591</v>
      </c>
      <c r="AN114" s="99" t="s">
        <v>1591</v>
      </c>
      <c r="AO114" s="100" t="s">
        <v>1591</v>
      </c>
      <c r="AP114" s="98"/>
      <c r="AQ114" s="99" t="s">
        <v>1575</v>
      </c>
      <c r="AR114" s="99" t="s">
        <v>1575</v>
      </c>
      <c r="AS114" s="99" t="s">
        <v>1575</v>
      </c>
      <c r="AT114" s="99" t="s">
        <v>1575</v>
      </c>
      <c r="AU114" s="99" t="s">
        <v>1575</v>
      </c>
      <c r="AV114" s="99"/>
      <c r="AW114" s="99" t="s">
        <v>1575</v>
      </c>
      <c r="AX114" s="99" t="s">
        <v>1590</v>
      </c>
      <c r="AY114" s="99"/>
      <c r="AZ114" s="99" t="s">
        <v>1590</v>
      </c>
      <c r="BA114" s="99" t="s">
        <v>1590</v>
      </c>
      <c r="BB114" s="99" t="s">
        <v>1590</v>
      </c>
      <c r="BC114" s="99" t="s">
        <v>1575</v>
      </c>
      <c r="BD114" s="99"/>
      <c r="BE114" s="100" t="s">
        <v>1575</v>
      </c>
      <c r="BF114" s="101" t="s">
        <v>1575</v>
      </c>
      <c r="BG114" s="99"/>
      <c r="BH114" s="99"/>
      <c r="BI114" s="99"/>
      <c r="BJ114" s="99"/>
      <c r="BK114" s="99"/>
      <c r="BL114" s="100"/>
      <c r="BM114" s="101"/>
      <c r="BN114" s="99"/>
      <c r="BO114" s="100"/>
      <c r="BP114" s="101"/>
      <c r="BQ114" s="99" t="s">
        <v>1575</v>
      </c>
      <c r="BR114" s="99"/>
      <c r="BS114" s="99" t="s">
        <v>1575</v>
      </c>
      <c r="BT114" s="100" t="s">
        <v>1575</v>
      </c>
      <c r="BU114" s="98"/>
      <c r="BV114" s="99"/>
      <c r="BW114" s="99"/>
      <c r="BX114" s="99"/>
      <c r="BY114" s="99"/>
      <c r="BZ114" s="99"/>
      <c r="CA114" s="99"/>
      <c r="CB114" s="99"/>
      <c r="CC114" s="99"/>
      <c r="CD114" s="99"/>
      <c r="CE114" s="99"/>
      <c r="CF114" s="99"/>
      <c r="CG114" s="99"/>
      <c r="CH114" s="99"/>
      <c r="CI114" s="99"/>
      <c r="CJ114" s="100"/>
      <c r="CK114" s="101"/>
      <c r="CL114" s="99"/>
      <c r="CM114" s="99"/>
      <c r="CN114" s="99"/>
      <c r="CO114" s="99"/>
      <c r="CP114" s="99"/>
      <c r="CQ114" s="100"/>
      <c r="CR114" s="101"/>
      <c r="CS114" s="99"/>
      <c r="CT114" s="100"/>
      <c r="CU114" s="101"/>
      <c r="CV114" s="99"/>
      <c r="CW114" s="99"/>
      <c r="CX114" s="99"/>
      <c r="CY114" s="99"/>
    </row>
    <row r="115" spans="1:103" hidden="1" outlineLevel="1" x14ac:dyDescent="0.2">
      <c r="A115" s="424" t="s">
        <v>834</v>
      </c>
      <c r="B115" s="401" t="str">
        <f>VLOOKUP(A115,[1]ACTIONS!$A$3:$B$238,2,0)</f>
        <v>Réaliser les plans des déversoirs d’orage principaux sous gestion de Vivaqua</v>
      </c>
      <c r="C115" s="96"/>
      <c r="D115" s="96"/>
      <c r="E115" s="96"/>
      <c r="F115" s="96">
        <v>15000</v>
      </c>
      <c r="G115" s="96"/>
      <c r="H115" s="96">
        <v>15000</v>
      </c>
      <c r="I115" s="97"/>
      <c r="J115" s="97"/>
      <c r="K115" s="98"/>
      <c r="L115" s="99"/>
      <c r="M115" s="99"/>
      <c r="N115" s="99"/>
      <c r="O115" s="99"/>
      <c r="P115" s="99"/>
      <c r="Q115" s="99"/>
      <c r="R115" s="99"/>
      <c r="S115" s="99"/>
      <c r="T115" s="99"/>
      <c r="U115" s="99"/>
      <c r="V115" s="99"/>
      <c r="W115" s="99"/>
      <c r="X115" s="99"/>
      <c r="Y115" s="99"/>
      <c r="Z115" s="100"/>
      <c r="AA115" s="101"/>
      <c r="AB115" s="99"/>
      <c r="AC115" s="99"/>
      <c r="AD115" s="99"/>
      <c r="AE115" s="99"/>
      <c r="AF115" s="99"/>
      <c r="AG115" s="100"/>
      <c r="AH115" s="101"/>
      <c r="AI115" s="99"/>
      <c r="AJ115" s="100"/>
      <c r="AK115" s="101"/>
      <c r="AL115" s="99"/>
      <c r="AM115" s="99"/>
      <c r="AN115" s="99"/>
      <c r="AO115" s="100"/>
      <c r="AP115" s="98"/>
      <c r="AQ115" s="99"/>
      <c r="AR115" s="99"/>
      <c r="AS115" s="99"/>
      <c r="AT115" s="99"/>
      <c r="AU115" s="99"/>
      <c r="AV115" s="99"/>
      <c r="AW115" s="99"/>
      <c r="AX115" s="99"/>
      <c r="AY115" s="99"/>
      <c r="AZ115" s="99"/>
      <c r="BA115" s="99"/>
      <c r="BB115" s="99"/>
      <c r="BC115" s="99"/>
      <c r="BD115" s="99"/>
      <c r="BE115" s="100"/>
      <c r="BF115" s="101"/>
      <c r="BG115" s="99"/>
      <c r="BH115" s="99"/>
      <c r="BI115" s="99"/>
      <c r="BJ115" s="99"/>
      <c r="BK115" s="99"/>
      <c r="BL115" s="100"/>
      <c r="BM115" s="101"/>
      <c r="BN115" s="99"/>
      <c r="BO115" s="100"/>
      <c r="BP115" s="101"/>
      <c r="BQ115" s="99"/>
      <c r="BR115" s="99"/>
      <c r="BS115" s="99"/>
      <c r="BT115" s="100"/>
      <c r="BU115" s="98"/>
      <c r="BV115" s="99"/>
      <c r="BW115" s="99"/>
      <c r="BX115" s="99"/>
      <c r="BY115" s="99"/>
      <c r="BZ115" s="99"/>
      <c r="CA115" s="99"/>
      <c r="CB115" s="99"/>
      <c r="CC115" s="99"/>
      <c r="CD115" s="99"/>
      <c r="CE115" s="99"/>
      <c r="CF115" s="99"/>
      <c r="CG115" s="99"/>
      <c r="CH115" s="99"/>
      <c r="CI115" s="99"/>
      <c r="CJ115" s="100"/>
      <c r="CK115" s="101"/>
      <c r="CL115" s="99"/>
      <c r="CM115" s="99"/>
      <c r="CN115" s="99"/>
      <c r="CO115" s="99"/>
      <c r="CP115" s="99"/>
      <c r="CQ115" s="100"/>
      <c r="CR115" s="101"/>
      <c r="CS115" s="99"/>
      <c r="CT115" s="100"/>
      <c r="CU115" s="101"/>
      <c r="CV115" s="99"/>
      <c r="CW115" s="99"/>
      <c r="CX115" s="99"/>
      <c r="CY115" s="99"/>
    </row>
    <row r="116" spans="1:103" hidden="1" outlineLevel="1" x14ac:dyDescent="0.2">
      <c r="A116" s="424" t="s">
        <v>835</v>
      </c>
      <c r="B116" s="401" t="str">
        <f>VLOOKUP(A116,[1]ACTIONS!$A$3:$B$238,2,0)</f>
        <v>Réaliser les plans des déversoirs d’orage principaux sous gestion de la SBGE</v>
      </c>
      <c r="C116" s="96"/>
      <c r="D116" s="96"/>
      <c r="E116" s="96"/>
      <c r="F116" s="96">
        <v>15000</v>
      </c>
      <c r="G116" s="96"/>
      <c r="H116" s="96">
        <v>15000</v>
      </c>
      <c r="I116" s="97"/>
      <c r="J116" s="97"/>
      <c r="K116" s="98"/>
      <c r="L116" s="99"/>
      <c r="M116" s="99"/>
      <c r="N116" s="99"/>
      <c r="O116" s="99"/>
      <c r="P116" s="99"/>
      <c r="Q116" s="99"/>
      <c r="R116" s="99"/>
      <c r="S116" s="99"/>
      <c r="T116" s="99"/>
      <c r="U116" s="99"/>
      <c r="V116" s="99"/>
      <c r="W116" s="99"/>
      <c r="X116" s="99"/>
      <c r="Y116" s="99"/>
      <c r="Z116" s="100"/>
      <c r="AA116" s="101"/>
      <c r="AB116" s="99"/>
      <c r="AC116" s="99"/>
      <c r="AD116" s="99"/>
      <c r="AE116" s="99"/>
      <c r="AF116" s="99"/>
      <c r="AG116" s="100"/>
      <c r="AH116" s="101"/>
      <c r="AI116" s="99"/>
      <c r="AJ116" s="100"/>
      <c r="AK116" s="101"/>
      <c r="AL116" s="99"/>
      <c r="AM116" s="99"/>
      <c r="AN116" s="99"/>
      <c r="AO116" s="100"/>
      <c r="AP116" s="98"/>
      <c r="AQ116" s="99"/>
      <c r="AR116" s="99"/>
      <c r="AS116" s="99"/>
      <c r="AT116" s="99"/>
      <c r="AU116" s="99"/>
      <c r="AV116" s="99"/>
      <c r="AW116" s="99"/>
      <c r="AX116" s="99"/>
      <c r="AY116" s="99"/>
      <c r="AZ116" s="99"/>
      <c r="BA116" s="99"/>
      <c r="BB116" s="99"/>
      <c r="BC116" s="99"/>
      <c r="BD116" s="99"/>
      <c r="BE116" s="100"/>
      <c r="BF116" s="101"/>
      <c r="BG116" s="99"/>
      <c r="BH116" s="99"/>
      <c r="BI116" s="99"/>
      <c r="BJ116" s="99"/>
      <c r="BK116" s="99"/>
      <c r="BL116" s="100"/>
      <c r="BM116" s="101"/>
      <c r="BN116" s="99"/>
      <c r="BO116" s="100"/>
      <c r="BP116" s="101"/>
      <c r="BQ116" s="99"/>
      <c r="BR116" s="99"/>
      <c r="BS116" s="99"/>
      <c r="BT116" s="100"/>
      <c r="BU116" s="98"/>
      <c r="BV116" s="99"/>
      <c r="BW116" s="99"/>
      <c r="BX116" s="99"/>
      <c r="BY116" s="99"/>
      <c r="BZ116" s="99"/>
      <c r="CA116" s="99"/>
      <c r="CB116" s="99"/>
      <c r="CC116" s="99"/>
      <c r="CD116" s="99"/>
      <c r="CE116" s="99"/>
      <c r="CF116" s="99"/>
      <c r="CG116" s="99"/>
      <c r="CH116" s="99"/>
      <c r="CI116" s="99"/>
      <c r="CJ116" s="100"/>
      <c r="CK116" s="101"/>
      <c r="CL116" s="99"/>
      <c r="CM116" s="99"/>
      <c r="CN116" s="99"/>
      <c r="CO116" s="99"/>
      <c r="CP116" s="99"/>
      <c r="CQ116" s="100"/>
      <c r="CR116" s="101"/>
      <c r="CS116" s="99"/>
      <c r="CT116" s="100"/>
      <c r="CU116" s="101"/>
      <c r="CV116" s="99"/>
      <c r="CW116" s="99"/>
      <c r="CX116" s="99"/>
      <c r="CY116" s="99"/>
    </row>
    <row r="117" spans="1:103" ht="25.5" hidden="1" outlineLevel="1" x14ac:dyDescent="0.2">
      <c r="A117" s="424" t="s">
        <v>836</v>
      </c>
      <c r="B117" s="401" t="str">
        <f>VLOOKUP(A117,[1]ACTIONS!$A$3:$B$238,2,0)</f>
        <v>Installer des capteurs de fréquence ou de débit sur les déversoirs principaux et les ajouter à Flowbru (voir la mesure M1.22)</v>
      </c>
      <c r="C117" s="96"/>
      <c r="D117" s="96"/>
      <c r="E117" s="96"/>
      <c r="F117" s="96">
        <v>0</v>
      </c>
      <c r="G117" s="96"/>
      <c r="H117" s="96">
        <v>0</v>
      </c>
      <c r="I117" s="97"/>
      <c r="J117" s="97"/>
      <c r="K117" s="98"/>
      <c r="L117" s="99"/>
      <c r="M117" s="99"/>
      <c r="N117" s="99"/>
      <c r="O117" s="99"/>
      <c r="P117" s="99"/>
      <c r="Q117" s="99"/>
      <c r="R117" s="99"/>
      <c r="S117" s="99"/>
      <c r="T117" s="99"/>
      <c r="U117" s="99"/>
      <c r="V117" s="99"/>
      <c r="W117" s="99"/>
      <c r="X117" s="99"/>
      <c r="Y117" s="99"/>
      <c r="Z117" s="100"/>
      <c r="AA117" s="101"/>
      <c r="AB117" s="99"/>
      <c r="AC117" s="99"/>
      <c r="AD117" s="99"/>
      <c r="AE117" s="99"/>
      <c r="AF117" s="99"/>
      <c r="AG117" s="100"/>
      <c r="AH117" s="101"/>
      <c r="AI117" s="99"/>
      <c r="AJ117" s="100"/>
      <c r="AK117" s="101"/>
      <c r="AL117" s="99"/>
      <c r="AM117" s="99"/>
      <c r="AN117" s="99"/>
      <c r="AO117" s="100"/>
      <c r="AP117" s="98"/>
      <c r="AQ117" s="99"/>
      <c r="AR117" s="99"/>
      <c r="AS117" s="99"/>
      <c r="AT117" s="99"/>
      <c r="AU117" s="99"/>
      <c r="AV117" s="99"/>
      <c r="AW117" s="99"/>
      <c r="AX117" s="99"/>
      <c r="AY117" s="99"/>
      <c r="AZ117" s="99"/>
      <c r="BA117" s="99"/>
      <c r="BB117" s="99"/>
      <c r="BC117" s="99"/>
      <c r="BD117" s="99"/>
      <c r="BE117" s="100"/>
      <c r="BF117" s="101"/>
      <c r="BG117" s="99"/>
      <c r="BH117" s="99"/>
      <c r="BI117" s="99"/>
      <c r="BJ117" s="99"/>
      <c r="BK117" s="99"/>
      <c r="BL117" s="100"/>
      <c r="BM117" s="101"/>
      <c r="BN117" s="99"/>
      <c r="BO117" s="100"/>
      <c r="BP117" s="101"/>
      <c r="BQ117" s="99"/>
      <c r="BR117" s="99"/>
      <c r="BS117" s="99"/>
      <c r="BT117" s="100"/>
      <c r="BU117" s="98"/>
      <c r="BV117" s="99"/>
      <c r="BW117" s="99"/>
      <c r="BX117" s="99"/>
      <c r="BY117" s="99"/>
      <c r="BZ117" s="99"/>
      <c r="CA117" s="99"/>
      <c r="CB117" s="99"/>
      <c r="CC117" s="99"/>
      <c r="CD117" s="99"/>
      <c r="CE117" s="99"/>
      <c r="CF117" s="99"/>
      <c r="CG117" s="99"/>
      <c r="CH117" s="99"/>
      <c r="CI117" s="99"/>
      <c r="CJ117" s="100"/>
      <c r="CK117" s="101"/>
      <c r="CL117" s="99"/>
      <c r="CM117" s="99"/>
      <c r="CN117" s="99"/>
      <c r="CO117" s="99"/>
      <c r="CP117" s="99"/>
      <c r="CQ117" s="100"/>
      <c r="CR117" s="101"/>
      <c r="CS117" s="99"/>
      <c r="CT117" s="100"/>
      <c r="CU117" s="101"/>
      <c r="CV117" s="99"/>
      <c r="CW117" s="99"/>
      <c r="CX117" s="99"/>
      <c r="CY117" s="99"/>
    </row>
    <row r="118" spans="1:103" hidden="1" outlineLevel="1" x14ac:dyDescent="0.2">
      <c r="A118" s="424" t="s">
        <v>837</v>
      </c>
      <c r="B118" s="401" t="str">
        <f>VLOOKUP(A118,[1]ACTIONS!$A$3:$B$238,2,0)</f>
        <v>Calculer les fréquences et débit de déversements</v>
      </c>
      <c r="C118" s="96"/>
      <c r="D118" s="96"/>
      <c r="E118" s="96"/>
      <c r="F118" s="96">
        <v>10000</v>
      </c>
      <c r="G118" s="96"/>
      <c r="H118" s="96">
        <v>10000</v>
      </c>
      <c r="I118" s="97"/>
      <c r="J118" s="97"/>
      <c r="K118" s="98"/>
      <c r="L118" s="99"/>
      <c r="M118" s="99"/>
      <c r="N118" s="99"/>
      <c r="O118" s="99"/>
      <c r="P118" s="99"/>
      <c r="Q118" s="99"/>
      <c r="R118" s="99"/>
      <c r="S118" s="99"/>
      <c r="T118" s="99"/>
      <c r="U118" s="99"/>
      <c r="V118" s="99"/>
      <c r="W118" s="99"/>
      <c r="X118" s="99"/>
      <c r="Y118" s="99"/>
      <c r="Z118" s="100"/>
      <c r="AA118" s="101"/>
      <c r="AB118" s="99"/>
      <c r="AC118" s="99"/>
      <c r="AD118" s="99"/>
      <c r="AE118" s="99"/>
      <c r="AF118" s="99"/>
      <c r="AG118" s="100"/>
      <c r="AH118" s="101"/>
      <c r="AI118" s="99"/>
      <c r="AJ118" s="100"/>
      <c r="AK118" s="101"/>
      <c r="AL118" s="99"/>
      <c r="AM118" s="99"/>
      <c r="AN118" s="99"/>
      <c r="AO118" s="100"/>
      <c r="AP118" s="98"/>
      <c r="AQ118" s="99"/>
      <c r="AR118" s="99"/>
      <c r="AS118" s="99"/>
      <c r="AT118" s="99"/>
      <c r="AU118" s="99"/>
      <c r="AV118" s="99"/>
      <c r="AW118" s="99"/>
      <c r="AX118" s="99"/>
      <c r="AY118" s="99"/>
      <c r="AZ118" s="99"/>
      <c r="BA118" s="99"/>
      <c r="BB118" s="99"/>
      <c r="BC118" s="99"/>
      <c r="BD118" s="99"/>
      <c r="BE118" s="100"/>
      <c r="BF118" s="101"/>
      <c r="BG118" s="99"/>
      <c r="BH118" s="99"/>
      <c r="BI118" s="99"/>
      <c r="BJ118" s="99"/>
      <c r="BK118" s="99"/>
      <c r="BL118" s="100"/>
      <c r="BM118" s="101"/>
      <c r="BN118" s="99"/>
      <c r="BO118" s="100"/>
      <c r="BP118" s="101"/>
      <c r="BQ118" s="99"/>
      <c r="BR118" s="99"/>
      <c r="BS118" s="99"/>
      <c r="BT118" s="100"/>
      <c r="BU118" s="98"/>
      <c r="BV118" s="99"/>
      <c r="BW118" s="99"/>
      <c r="BX118" s="99"/>
      <c r="BY118" s="99"/>
      <c r="BZ118" s="99"/>
      <c r="CA118" s="99"/>
      <c r="CB118" s="99"/>
      <c r="CC118" s="99"/>
      <c r="CD118" s="99"/>
      <c r="CE118" s="99"/>
      <c r="CF118" s="99"/>
      <c r="CG118" s="99"/>
      <c r="CH118" s="99"/>
      <c r="CI118" s="99"/>
      <c r="CJ118" s="100"/>
      <c r="CK118" s="101"/>
      <c r="CL118" s="99"/>
      <c r="CM118" s="99"/>
      <c r="CN118" s="99"/>
      <c r="CO118" s="99"/>
      <c r="CP118" s="99"/>
      <c r="CQ118" s="100"/>
      <c r="CR118" s="101"/>
      <c r="CS118" s="99"/>
      <c r="CT118" s="100"/>
      <c r="CU118" s="101"/>
      <c r="CV118" s="99"/>
      <c r="CW118" s="99"/>
      <c r="CX118" s="99"/>
      <c r="CY118" s="99"/>
    </row>
    <row r="119" spans="1:103" ht="25.5" hidden="1" outlineLevel="1" x14ac:dyDescent="0.2">
      <c r="A119" s="424" t="s">
        <v>838</v>
      </c>
      <c r="B119" s="401" t="str">
        <f>VLOOKUP(A119,[1]ACTIONS!$A$3:$B$238,2,0)</f>
        <v>Déterminer les niveaux idéaux des seuils de déversements des déversoirs sous gestion de Vivaqua et procéder à leur rehausse et/ou optimisation par la mise en place de vannes modulables et siphons/barrières aux flottants</v>
      </c>
      <c r="C119" s="96"/>
      <c r="D119" s="96"/>
      <c r="E119" s="96"/>
      <c r="F119" s="96">
        <v>1000000</v>
      </c>
      <c r="G119" s="96"/>
      <c r="H119" s="96">
        <v>1000000</v>
      </c>
      <c r="I119" s="97"/>
      <c r="J119" s="97"/>
      <c r="K119" s="98"/>
      <c r="L119" s="99"/>
      <c r="M119" s="99"/>
      <c r="N119" s="99"/>
      <c r="O119" s="99"/>
      <c r="P119" s="99"/>
      <c r="Q119" s="99"/>
      <c r="R119" s="99"/>
      <c r="S119" s="99"/>
      <c r="T119" s="99"/>
      <c r="U119" s="99"/>
      <c r="V119" s="99"/>
      <c r="W119" s="99"/>
      <c r="X119" s="99"/>
      <c r="Y119" s="99"/>
      <c r="Z119" s="100"/>
      <c r="AA119" s="101" t="s">
        <v>1575</v>
      </c>
      <c r="AB119" s="99" t="s">
        <v>1575</v>
      </c>
      <c r="AC119" s="99" t="s">
        <v>1575</v>
      </c>
      <c r="AD119" s="99" t="s">
        <v>1575</v>
      </c>
      <c r="AE119" s="99" t="s">
        <v>1575</v>
      </c>
      <c r="AF119" s="99" t="s">
        <v>1575</v>
      </c>
      <c r="AG119" s="100" t="s">
        <v>1575</v>
      </c>
      <c r="AH119" s="101"/>
      <c r="AI119" s="99"/>
      <c r="AJ119" s="100"/>
      <c r="AK119" s="101"/>
      <c r="AL119" s="99" t="s">
        <v>1576</v>
      </c>
      <c r="AM119" s="99" t="s">
        <v>1576</v>
      </c>
      <c r="AN119" s="99" t="s">
        <v>1576</v>
      </c>
      <c r="AO119" s="100" t="s">
        <v>1576</v>
      </c>
      <c r="AP119" s="98"/>
      <c r="AQ119" s="99"/>
      <c r="AR119" s="99"/>
      <c r="AS119" s="99"/>
      <c r="AT119" s="99"/>
      <c r="AU119" s="99"/>
      <c r="AV119" s="99"/>
      <c r="AW119" s="99"/>
      <c r="AX119" s="99"/>
      <c r="AY119" s="99"/>
      <c r="AZ119" s="99"/>
      <c r="BA119" s="99"/>
      <c r="BB119" s="99"/>
      <c r="BC119" s="99"/>
      <c r="BD119" s="99"/>
      <c r="BE119" s="100"/>
      <c r="BF119" s="101"/>
      <c r="BG119" s="99"/>
      <c r="BH119" s="99"/>
      <c r="BI119" s="99"/>
      <c r="BJ119" s="99"/>
      <c r="BK119" s="99"/>
      <c r="BL119" s="100"/>
      <c r="BM119" s="101"/>
      <c r="BN119" s="99"/>
      <c r="BO119" s="100"/>
      <c r="BP119" s="101"/>
      <c r="BQ119" s="99"/>
      <c r="BR119" s="99"/>
      <c r="BS119" s="99"/>
      <c r="BT119" s="100"/>
      <c r="BU119" s="98"/>
      <c r="BV119" s="99"/>
      <c r="BW119" s="99"/>
      <c r="BX119" s="99"/>
      <c r="BY119" s="99"/>
      <c r="BZ119" s="99"/>
      <c r="CA119" s="99"/>
      <c r="CB119" s="99"/>
      <c r="CC119" s="99"/>
      <c r="CD119" s="99"/>
      <c r="CE119" s="99"/>
      <c r="CF119" s="99"/>
      <c r="CG119" s="99"/>
      <c r="CH119" s="99"/>
      <c r="CI119" s="99"/>
      <c r="CJ119" s="100"/>
      <c r="CK119" s="101"/>
      <c r="CL119" s="99"/>
      <c r="CM119" s="99"/>
      <c r="CN119" s="99"/>
      <c r="CO119" s="99"/>
      <c r="CP119" s="99"/>
      <c r="CQ119" s="100"/>
      <c r="CR119" s="101"/>
      <c r="CS119" s="99"/>
      <c r="CT119" s="100"/>
      <c r="CU119" s="101"/>
      <c r="CV119" s="99"/>
      <c r="CW119" s="99"/>
      <c r="CX119" s="99"/>
      <c r="CY119" s="99"/>
    </row>
    <row r="120" spans="1:103" ht="25.5" hidden="1" outlineLevel="1" x14ac:dyDescent="0.2">
      <c r="A120" s="424" t="s">
        <v>839</v>
      </c>
      <c r="B120" s="401" t="str">
        <f>VLOOKUP(A120,[1]ACTIONS!$A$3:$B$238,2,0)</f>
        <v>Déterminer les niveaux idéaux des seuils de déversements des déversoirs sous gestion de SBGE  et procéder à leur rehausse  et/ou optimisation par la mise en place de vannes modulables et  siphons/barrières aux flottants</v>
      </c>
      <c r="C120" s="96"/>
      <c r="D120" s="96"/>
      <c r="E120" s="96"/>
      <c r="F120" s="96">
        <v>800000</v>
      </c>
      <c r="G120" s="96"/>
      <c r="H120" s="96">
        <v>800000</v>
      </c>
      <c r="I120" s="97"/>
      <c r="J120" s="97"/>
      <c r="K120" s="98"/>
      <c r="L120" s="99"/>
      <c r="M120" s="99"/>
      <c r="N120" s="99"/>
      <c r="O120" s="99"/>
      <c r="P120" s="99"/>
      <c r="Q120" s="99"/>
      <c r="R120" s="99"/>
      <c r="S120" s="99"/>
      <c r="T120" s="99"/>
      <c r="U120" s="99"/>
      <c r="V120" s="99"/>
      <c r="W120" s="99"/>
      <c r="X120" s="99"/>
      <c r="Y120" s="99"/>
      <c r="Z120" s="100"/>
      <c r="AA120" s="101" t="s">
        <v>1575</v>
      </c>
      <c r="AB120" s="99" t="s">
        <v>1575</v>
      </c>
      <c r="AC120" s="99" t="s">
        <v>1575</v>
      </c>
      <c r="AD120" s="99" t="s">
        <v>1575</v>
      </c>
      <c r="AE120" s="99" t="s">
        <v>1575</v>
      </c>
      <c r="AF120" s="99" t="s">
        <v>1575</v>
      </c>
      <c r="AG120" s="100" t="s">
        <v>1575</v>
      </c>
      <c r="AH120" s="101"/>
      <c r="AI120" s="99"/>
      <c r="AJ120" s="100"/>
      <c r="AK120" s="101"/>
      <c r="AL120" s="99" t="s">
        <v>1576</v>
      </c>
      <c r="AM120" s="99" t="s">
        <v>1576</v>
      </c>
      <c r="AN120" s="99" t="s">
        <v>1576</v>
      </c>
      <c r="AO120" s="100" t="s">
        <v>1576</v>
      </c>
      <c r="AP120" s="98"/>
      <c r="AQ120" s="99"/>
      <c r="AR120" s="99"/>
      <c r="AS120" s="99"/>
      <c r="AT120" s="99"/>
      <c r="AU120" s="99"/>
      <c r="AV120" s="99"/>
      <c r="AW120" s="99"/>
      <c r="AX120" s="99"/>
      <c r="AY120" s="99"/>
      <c r="AZ120" s="99"/>
      <c r="BA120" s="99"/>
      <c r="BB120" s="99"/>
      <c r="BC120" s="99"/>
      <c r="BD120" s="99"/>
      <c r="BE120" s="100"/>
      <c r="BF120" s="101"/>
      <c r="BG120" s="99"/>
      <c r="BH120" s="99"/>
      <c r="BI120" s="99"/>
      <c r="BJ120" s="99"/>
      <c r="BK120" s="99"/>
      <c r="BL120" s="100"/>
      <c r="BM120" s="101"/>
      <c r="BN120" s="99"/>
      <c r="BO120" s="100"/>
      <c r="BP120" s="101"/>
      <c r="BQ120" s="99"/>
      <c r="BR120" s="99"/>
      <c r="BS120" s="99"/>
      <c r="BT120" s="100"/>
      <c r="BU120" s="98"/>
      <c r="BV120" s="99"/>
      <c r="BW120" s="99"/>
      <c r="BX120" s="99"/>
      <c r="BY120" s="99"/>
      <c r="BZ120" s="99"/>
      <c r="CA120" s="99"/>
      <c r="CB120" s="99"/>
      <c r="CC120" s="99"/>
      <c r="CD120" s="99"/>
      <c r="CE120" s="99"/>
      <c r="CF120" s="99"/>
      <c r="CG120" s="99"/>
      <c r="CH120" s="99"/>
      <c r="CI120" s="99"/>
      <c r="CJ120" s="100"/>
      <c r="CK120" s="101"/>
      <c r="CL120" s="99"/>
      <c r="CM120" s="99"/>
      <c r="CN120" s="99"/>
      <c r="CO120" s="99"/>
      <c r="CP120" s="99"/>
      <c r="CQ120" s="100"/>
      <c r="CR120" s="101"/>
      <c r="CS120" s="99"/>
      <c r="CT120" s="100"/>
      <c r="CU120" s="101"/>
      <c r="CV120" s="99"/>
      <c r="CW120" s="99"/>
      <c r="CX120" s="99"/>
      <c r="CY120" s="99"/>
    </row>
    <row r="121" spans="1:103" ht="25.5" hidden="1" outlineLevel="1" x14ac:dyDescent="0.2">
      <c r="A121" s="424" t="s">
        <v>840</v>
      </c>
      <c r="B121" s="401" t="str">
        <f>VLOOKUP(A121,[1]ACTIONS!$A$3:$B$238,2,0)</f>
        <v>Adaptation des interceptions orifices limitant l’évacuation des flux vers les STEPS  dans le cadre de l’optimisation des déversoirs.</v>
      </c>
      <c r="C121" s="96"/>
      <c r="D121" s="96"/>
      <c r="E121" s="96"/>
      <c r="F121" s="96">
        <v>300000</v>
      </c>
      <c r="G121" s="96"/>
      <c r="H121" s="96">
        <v>300000</v>
      </c>
      <c r="I121" s="97"/>
      <c r="J121" s="97"/>
      <c r="K121" s="98"/>
      <c r="L121" s="99"/>
      <c r="M121" s="99"/>
      <c r="N121" s="99"/>
      <c r="O121" s="99"/>
      <c r="P121" s="99"/>
      <c r="Q121" s="99"/>
      <c r="R121" s="99"/>
      <c r="S121" s="99"/>
      <c r="T121" s="99"/>
      <c r="U121" s="99"/>
      <c r="V121" s="99"/>
      <c r="W121" s="99"/>
      <c r="X121" s="99"/>
      <c r="Y121" s="99"/>
      <c r="Z121" s="100"/>
      <c r="AA121" s="101" t="s">
        <v>1575</v>
      </c>
      <c r="AB121" s="99" t="s">
        <v>1575</v>
      </c>
      <c r="AC121" s="99" t="s">
        <v>1575</v>
      </c>
      <c r="AD121" s="99" t="s">
        <v>1575</v>
      </c>
      <c r="AE121" s="99" t="s">
        <v>1575</v>
      </c>
      <c r="AF121" s="99" t="s">
        <v>1575</v>
      </c>
      <c r="AG121" s="100" t="s">
        <v>1575</v>
      </c>
      <c r="AH121" s="101"/>
      <c r="AI121" s="99"/>
      <c r="AJ121" s="100"/>
      <c r="AK121" s="101"/>
      <c r="AL121" s="99" t="s">
        <v>1576</v>
      </c>
      <c r="AM121" s="99" t="s">
        <v>1576</v>
      </c>
      <c r="AN121" s="99" t="s">
        <v>1576</v>
      </c>
      <c r="AO121" s="100" t="s">
        <v>1576</v>
      </c>
      <c r="AP121" s="98"/>
      <c r="AQ121" s="99"/>
      <c r="AR121" s="99"/>
      <c r="AS121" s="99"/>
      <c r="AT121" s="99"/>
      <c r="AU121" s="99"/>
      <c r="AV121" s="99"/>
      <c r="AW121" s="99"/>
      <c r="AX121" s="99"/>
      <c r="AY121" s="99"/>
      <c r="AZ121" s="99"/>
      <c r="BA121" s="99"/>
      <c r="BB121" s="99"/>
      <c r="BC121" s="99"/>
      <c r="BD121" s="99"/>
      <c r="BE121" s="100"/>
      <c r="BF121" s="101"/>
      <c r="BG121" s="99"/>
      <c r="BH121" s="99"/>
      <c r="BI121" s="99"/>
      <c r="BJ121" s="99"/>
      <c r="BK121" s="99"/>
      <c r="BL121" s="100"/>
      <c r="BM121" s="101"/>
      <c r="BN121" s="99"/>
      <c r="BO121" s="100"/>
      <c r="BP121" s="101"/>
      <c r="BQ121" s="99"/>
      <c r="BR121" s="99"/>
      <c r="BS121" s="99"/>
      <c r="BT121" s="100"/>
      <c r="BU121" s="98"/>
      <c r="BV121" s="99"/>
      <c r="BW121" s="99"/>
      <c r="BX121" s="99"/>
      <c r="BY121" s="99"/>
      <c r="BZ121" s="99"/>
      <c r="CA121" s="99"/>
      <c r="CB121" s="99"/>
      <c r="CC121" s="99"/>
      <c r="CD121" s="99"/>
      <c r="CE121" s="99"/>
      <c r="CF121" s="99"/>
      <c r="CG121" s="99"/>
      <c r="CH121" s="99"/>
      <c r="CI121" s="99"/>
      <c r="CJ121" s="100"/>
      <c r="CK121" s="101"/>
      <c r="CL121" s="99"/>
      <c r="CM121" s="99"/>
      <c r="CN121" s="99"/>
      <c r="CO121" s="99"/>
      <c r="CP121" s="99"/>
      <c r="CQ121" s="100"/>
      <c r="CR121" s="101"/>
      <c r="CS121" s="99"/>
      <c r="CT121" s="100"/>
      <c r="CU121" s="101"/>
      <c r="CV121" s="99"/>
      <c r="CW121" s="99"/>
      <c r="CX121" s="99"/>
      <c r="CY121" s="99"/>
    </row>
    <row r="122" spans="1:103" ht="51" hidden="1" outlineLevel="1" x14ac:dyDescent="0.2">
      <c r="A122" s="424" t="s">
        <v>841</v>
      </c>
      <c r="B122" s="401" t="str">
        <f>VLOOKUP(A122,[1]ACTIONS!$A$3:$B$238,2,0)</f>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v>
      </c>
      <c r="C122" s="96"/>
      <c r="D122" s="96"/>
      <c r="E122" s="96"/>
      <c r="F122" s="96">
        <v>120000</v>
      </c>
      <c r="G122" s="96"/>
      <c r="H122" s="96">
        <v>120000</v>
      </c>
      <c r="I122" s="97"/>
      <c r="J122" s="97"/>
      <c r="K122" s="98"/>
      <c r="L122" s="99"/>
      <c r="M122" s="99"/>
      <c r="N122" s="99"/>
      <c r="O122" s="99"/>
      <c r="P122" s="99"/>
      <c r="Q122" s="99"/>
      <c r="R122" s="99"/>
      <c r="S122" s="99"/>
      <c r="T122" s="99"/>
      <c r="U122" s="99"/>
      <c r="V122" s="99"/>
      <c r="W122" s="99"/>
      <c r="X122" s="99"/>
      <c r="Y122" s="99"/>
      <c r="Z122" s="100"/>
      <c r="AA122" s="101"/>
      <c r="AB122" s="99"/>
      <c r="AC122" s="99"/>
      <c r="AD122" s="99"/>
      <c r="AE122" s="99"/>
      <c r="AF122" s="99"/>
      <c r="AG122" s="100"/>
      <c r="AH122" s="101"/>
      <c r="AI122" s="99"/>
      <c r="AJ122" s="100"/>
      <c r="AK122" s="101"/>
      <c r="AL122" s="99"/>
      <c r="AM122" s="99"/>
      <c r="AN122" s="99"/>
      <c r="AO122" s="100"/>
      <c r="AP122" s="98"/>
      <c r="AQ122" s="99"/>
      <c r="AR122" s="99"/>
      <c r="AS122" s="99"/>
      <c r="AT122" s="99"/>
      <c r="AU122" s="99"/>
      <c r="AV122" s="99"/>
      <c r="AW122" s="99"/>
      <c r="AX122" s="99"/>
      <c r="AY122" s="99"/>
      <c r="AZ122" s="99"/>
      <c r="BA122" s="99"/>
      <c r="BB122" s="99"/>
      <c r="BC122" s="99"/>
      <c r="BD122" s="99"/>
      <c r="BE122" s="100"/>
      <c r="BF122" s="101"/>
      <c r="BG122" s="99"/>
      <c r="BH122" s="99"/>
      <c r="BI122" s="99"/>
      <c r="BJ122" s="99"/>
      <c r="BK122" s="99"/>
      <c r="BL122" s="100"/>
      <c r="BM122" s="101"/>
      <c r="BN122" s="99"/>
      <c r="BO122" s="100"/>
      <c r="BP122" s="101"/>
      <c r="BQ122" s="99"/>
      <c r="BR122" s="99"/>
      <c r="BS122" s="99"/>
      <c r="BT122" s="100"/>
      <c r="BU122" s="98"/>
      <c r="BV122" s="99"/>
      <c r="BW122" s="99"/>
      <c r="BX122" s="99"/>
      <c r="BY122" s="99"/>
      <c r="BZ122" s="99"/>
      <c r="CA122" s="99"/>
      <c r="CB122" s="99"/>
      <c r="CC122" s="99"/>
      <c r="CD122" s="99"/>
      <c r="CE122" s="99"/>
      <c r="CF122" s="99"/>
      <c r="CG122" s="99"/>
      <c r="CH122" s="99"/>
      <c r="CI122" s="99"/>
      <c r="CJ122" s="100"/>
      <c r="CK122" s="101"/>
      <c r="CL122" s="99"/>
      <c r="CM122" s="99"/>
      <c r="CN122" s="99"/>
      <c r="CO122" s="99"/>
      <c r="CP122" s="99"/>
      <c r="CQ122" s="100"/>
      <c r="CR122" s="101"/>
      <c r="CS122" s="99"/>
      <c r="CT122" s="100"/>
      <c r="CU122" s="101"/>
      <c r="CV122" s="99"/>
      <c r="CW122" s="99"/>
      <c r="CX122" s="99"/>
      <c r="CY122" s="99"/>
    </row>
    <row r="123" spans="1:103" ht="25.5" hidden="1" outlineLevel="1" x14ac:dyDescent="0.2">
      <c r="A123" s="424" t="s">
        <v>842</v>
      </c>
      <c r="B123" s="426" t="str">
        <f>VLOOKUP(A123,[1]ACTIONS!$A$3:$B$238,2,0)</f>
        <v>Réaménager les déversoirs en "déversoirs améliorés" pour retenir le maximum de charge polluante à l’aval des  déversoirs (création de zone de rétention des sédiments et des flottants).   Scénario maximaliste</v>
      </c>
      <c r="C123" s="96"/>
      <c r="D123" s="96"/>
      <c r="E123" s="96"/>
      <c r="F123" s="96" t="e">
        <v>#N/A</v>
      </c>
      <c r="G123" s="96"/>
      <c r="H123" s="96" t="e">
        <v>#N/A</v>
      </c>
      <c r="I123" s="97"/>
      <c r="J123" s="97"/>
      <c r="K123" s="108" t="s">
        <v>1590</v>
      </c>
      <c r="L123" s="103" t="s">
        <v>1590</v>
      </c>
      <c r="M123" s="103" t="s">
        <v>1590</v>
      </c>
      <c r="N123" s="103" t="s">
        <v>1590</v>
      </c>
      <c r="O123" s="103" t="s">
        <v>1590</v>
      </c>
      <c r="P123" s="103" t="s">
        <v>1590</v>
      </c>
      <c r="Q123" s="103" t="s">
        <v>1590</v>
      </c>
      <c r="R123" s="103" t="s">
        <v>1590</v>
      </c>
      <c r="S123" s="103" t="s">
        <v>1590</v>
      </c>
      <c r="T123" s="103" t="s">
        <v>1590</v>
      </c>
      <c r="U123" s="103" t="s">
        <v>1590</v>
      </c>
      <c r="V123" s="99"/>
      <c r="W123" s="103" t="s">
        <v>1590</v>
      </c>
      <c r="X123" s="103" t="s">
        <v>1590</v>
      </c>
      <c r="Y123" s="103" t="s">
        <v>1590</v>
      </c>
      <c r="Z123" s="104" t="s">
        <v>1590</v>
      </c>
      <c r="AA123" s="102" t="s">
        <v>1575</v>
      </c>
      <c r="AB123" s="103" t="s">
        <v>1575</v>
      </c>
      <c r="AC123" s="103" t="s">
        <v>1575</v>
      </c>
      <c r="AD123" s="103" t="s">
        <v>1575</v>
      </c>
      <c r="AE123" s="103" t="s">
        <v>1575</v>
      </c>
      <c r="AF123" s="103" t="s">
        <v>1575</v>
      </c>
      <c r="AG123" s="104" t="s">
        <v>1575</v>
      </c>
      <c r="AH123" s="101"/>
      <c r="AI123" s="99"/>
      <c r="AJ123" s="100"/>
      <c r="AK123" s="101"/>
      <c r="AL123" s="103" t="s">
        <v>1575</v>
      </c>
      <c r="AM123" s="103" t="s">
        <v>1575</v>
      </c>
      <c r="AN123" s="103" t="s">
        <v>1575</v>
      </c>
      <c r="AO123" s="104" t="s">
        <v>1575</v>
      </c>
      <c r="AP123" s="98"/>
      <c r="AQ123" s="99"/>
      <c r="AR123" s="99"/>
      <c r="AS123" s="99"/>
      <c r="AT123" s="99"/>
      <c r="AU123" s="99"/>
      <c r="AV123" s="99"/>
      <c r="AW123" s="99"/>
      <c r="AX123" s="99"/>
      <c r="AY123" s="99"/>
      <c r="AZ123" s="99"/>
      <c r="BA123" s="99"/>
      <c r="BB123" s="99"/>
      <c r="BC123" s="99"/>
      <c r="BD123" s="99"/>
      <c r="BE123" s="100"/>
      <c r="BF123" s="101"/>
      <c r="BG123" s="99"/>
      <c r="BH123" s="99"/>
      <c r="BI123" s="99"/>
      <c r="BJ123" s="99"/>
      <c r="BK123" s="99"/>
      <c r="BL123" s="100"/>
      <c r="BM123" s="101"/>
      <c r="BN123" s="99"/>
      <c r="BO123" s="100"/>
      <c r="BP123" s="101"/>
      <c r="BQ123" s="99"/>
      <c r="BR123" s="99"/>
      <c r="BS123" s="99"/>
      <c r="BT123" s="100"/>
      <c r="BU123" s="98"/>
      <c r="BV123" s="99"/>
      <c r="BW123" s="99"/>
      <c r="BX123" s="99"/>
      <c r="BY123" s="99"/>
      <c r="BZ123" s="99"/>
      <c r="CA123" s="99"/>
      <c r="CB123" s="99"/>
      <c r="CC123" s="99"/>
      <c r="CD123" s="99"/>
      <c r="CE123" s="99"/>
      <c r="CF123" s="99"/>
      <c r="CG123" s="99"/>
      <c r="CH123" s="99"/>
      <c r="CI123" s="99"/>
      <c r="CJ123" s="100"/>
      <c r="CK123" s="101"/>
      <c r="CL123" s="99"/>
      <c r="CM123" s="99"/>
      <c r="CN123" s="99"/>
      <c r="CO123" s="99"/>
      <c r="CP123" s="99"/>
      <c r="CQ123" s="100"/>
      <c r="CR123" s="101"/>
      <c r="CS123" s="99"/>
      <c r="CT123" s="100"/>
      <c r="CU123" s="101"/>
      <c r="CV123" s="99"/>
      <c r="CW123" s="99"/>
      <c r="CX123" s="99"/>
      <c r="CY123" s="99"/>
    </row>
    <row r="124" spans="1:103" ht="25.5" collapsed="1" x14ac:dyDescent="0.2">
      <c r="A124" s="394" t="s">
        <v>8</v>
      </c>
      <c r="B124" s="395" t="str">
        <f>VLOOKUP(A124,'1. Mesures'!$A$2:$B$116,2,0)</f>
        <v>Mettre en place un système de régulation des débits circulant dans le réseau d’assainissement pour réduire la fréquence des déversements au niveau des déversoirs d’orage et assurer un meilleur traitement des eaux usées</v>
      </c>
      <c r="C124" s="96"/>
      <c r="D124" s="96"/>
      <c r="E124" s="96"/>
      <c r="F124" s="96">
        <v>4870000</v>
      </c>
      <c r="G124" s="96"/>
      <c r="H124" s="96">
        <v>4870000</v>
      </c>
      <c r="I124" s="97" t="s">
        <v>1589</v>
      </c>
      <c r="J124" s="97" t="s">
        <v>1594</v>
      </c>
      <c r="K124" s="98" t="s">
        <v>1575</v>
      </c>
      <c r="L124" s="99" t="s">
        <v>1575</v>
      </c>
      <c r="M124" s="99" t="s">
        <v>1575</v>
      </c>
      <c r="N124" s="99" t="s">
        <v>1575</v>
      </c>
      <c r="O124" s="99" t="s">
        <v>1575</v>
      </c>
      <c r="P124" s="99" t="s">
        <v>1575</v>
      </c>
      <c r="Q124" s="99" t="s">
        <v>1576</v>
      </c>
      <c r="R124" s="99" t="s">
        <v>1575</v>
      </c>
      <c r="S124" s="99" t="s">
        <v>1590</v>
      </c>
      <c r="T124" s="99" t="s">
        <v>1590</v>
      </c>
      <c r="U124" s="99" t="s">
        <v>1590</v>
      </c>
      <c r="V124" s="99"/>
      <c r="W124" s="99" t="s">
        <v>1590</v>
      </c>
      <c r="X124" s="99" t="s">
        <v>1575</v>
      </c>
      <c r="Y124" s="99" t="s">
        <v>1590</v>
      </c>
      <c r="Z124" s="100" t="s">
        <v>1575</v>
      </c>
      <c r="AA124" s="101" t="s">
        <v>1576</v>
      </c>
      <c r="AB124" s="99" t="s">
        <v>1576</v>
      </c>
      <c r="AC124" s="99" t="s">
        <v>1576</v>
      </c>
      <c r="AD124" s="99" t="s">
        <v>1576</v>
      </c>
      <c r="AE124" s="99" t="s">
        <v>1576</v>
      </c>
      <c r="AF124" s="99" t="s">
        <v>1576</v>
      </c>
      <c r="AG124" s="100" t="s">
        <v>1576</v>
      </c>
      <c r="AH124" s="101"/>
      <c r="AI124" s="99"/>
      <c r="AJ124" s="100"/>
      <c r="AK124" s="101"/>
      <c r="AL124" s="99" t="s">
        <v>1591</v>
      </c>
      <c r="AM124" s="99" t="s">
        <v>1591</v>
      </c>
      <c r="AN124" s="99" t="s">
        <v>1591</v>
      </c>
      <c r="AO124" s="100" t="s">
        <v>1591</v>
      </c>
      <c r="AP124" s="98"/>
      <c r="AQ124" s="99" t="s">
        <v>1575</v>
      </c>
      <c r="AR124" s="99" t="s">
        <v>1575</v>
      </c>
      <c r="AS124" s="99" t="s">
        <v>1575</v>
      </c>
      <c r="AT124" s="99" t="s">
        <v>1575</v>
      </c>
      <c r="AU124" s="99" t="s">
        <v>1575</v>
      </c>
      <c r="AV124" s="99"/>
      <c r="AW124" s="99" t="s">
        <v>1575</v>
      </c>
      <c r="AX124" s="99" t="s">
        <v>1590</v>
      </c>
      <c r="AY124" s="99"/>
      <c r="AZ124" s="99" t="s">
        <v>1590</v>
      </c>
      <c r="BA124" s="99" t="s">
        <v>1590</v>
      </c>
      <c r="BB124" s="99" t="s">
        <v>1590</v>
      </c>
      <c r="BC124" s="99" t="s">
        <v>1575</v>
      </c>
      <c r="BD124" s="99"/>
      <c r="BE124" s="100" t="s">
        <v>1575</v>
      </c>
      <c r="BF124" s="101" t="s">
        <v>1575</v>
      </c>
      <c r="BG124" s="99"/>
      <c r="BH124" s="99"/>
      <c r="BI124" s="99"/>
      <c r="BJ124" s="99"/>
      <c r="BK124" s="99"/>
      <c r="BL124" s="100"/>
      <c r="BM124" s="101"/>
      <c r="BN124" s="99"/>
      <c r="BO124" s="100"/>
      <c r="BP124" s="101"/>
      <c r="BQ124" s="99" t="s">
        <v>1575</v>
      </c>
      <c r="BR124" s="99"/>
      <c r="BS124" s="99" t="s">
        <v>1575</v>
      </c>
      <c r="BT124" s="100" t="s">
        <v>1575</v>
      </c>
      <c r="BU124" s="98"/>
      <c r="BV124" s="99"/>
      <c r="BW124" s="99"/>
      <c r="BX124" s="99"/>
      <c r="BY124" s="99"/>
      <c r="BZ124" s="99"/>
      <c r="CA124" s="99"/>
      <c r="CB124" s="99"/>
      <c r="CC124" s="99"/>
      <c r="CD124" s="99"/>
      <c r="CE124" s="99"/>
      <c r="CF124" s="99"/>
      <c r="CG124" s="99"/>
      <c r="CH124" s="99"/>
      <c r="CI124" s="99"/>
      <c r="CJ124" s="100"/>
      <c r="CK124" s="101"/>
      <c r="CL124" s="99"/>
      <c r="CM124" s="99"/>
      <c r="CN124" s="99"/>
      <c r="CO124" s="99"/>
      <c r="CP124" s="99"/>
      <c r="CQ124" s="100"/>
      <c r="CR124" s="101"/>
      <c r="CS124" s="99"/>
      <c r="CT124" s="100"/>
      <c r="CU124" s="101"/>
      <c r="CV124" s="99"/>
      <c r="CW124" s="99"/>
      <c r="CX124" s="99"/>
      <c r="CY124" s="99"/>
    </row>
    <row r="125" spans="1:103" hidden="1" outlineLevel="1" x14ac:dyDescent="0.2">
      <c r="A125" s="424" t="s">
        <v>843</v>
      </c>
      <c r="B125" s="401" t="str">
        <f>VLOOKUP(A125,[1]ACTIONS!$A$3:$B$238,2,0)</f>
        <v xml:space="preserve">Coordonner les acteurs de l'eau autour de cette thématique </v>
      </c>
      <c r="C125" s="96"/>
      <c r="D125" s="96"/>
      <c r="E125" s="96"/>
      <c r="F125" s="96">
        <v>0</v>
      </c>
      <c r="G125" s="96"/>
      <c r="H125" s="96">
        <v>0</v>
      </c>
      <c r="I125" s="97"/>
      <c r="J125" s="97"/>
      <c r="K125" s="98"/>
      <c r="L125" s="99"/>
      <c r="M125" s="99"/>
      <c r="N125" s="99"/>
      <c r="O125" s="99"/>
      <c r="P125" s="99"/>
      <c r="Q125" s="99"/>
      <c r="R125" s="99"/>
      <c r="S125" s="99"/>
      <c r="T125" s="99"/>
      <c r="U125" s="99"/>
      <c r="V125" s="99"/>
      <c r="W125" s="99"/>
      <c r="X125" s="99"/>
      <c r="Y125" s="99"/>
      <c r="Z125" s="100"/>
      <c r="AA125" s="101"/>
      <c r="AB125" s="99"/>
      <c r="AC125" s="99"/>
      <c r="AD125" s="99"/>
      <c r="AE125" s="99"/>
      <c r="AF125" s="99"/>
      <c r="AG125" s="100"/>
      <c r="AH125" s="101"/>
      <c r="AI125" s="99"/>
      <c r="AJ125" s="100"/>
      <c r="AK125" s="101"/>
      <c r="AL125" s="99"/>
      <c r="AM125" s="99"/>
      <c r="AN125" s="99"/>
      <c r="AO125" s="100"/>
      <c r="AP125" s="98"/>
      <c r="AQ125" s="99"/>
      <c r="AR125" s="99"/>
      <c r="AS125" s="99"/>
      <c r="AT125" s="99"/>
      <c r="AU125" s="99"/>
      <c r="AV125" s="99"/>
      <c r="AW125" s="99"/>
      <c r="AX125" s="99"/>
      <c r="AY125" s="99"/>
      <c r="AZ125" s="99"/>
      <c r="BA125" s="99"/>
      <c r="BB125" s="99"/>
      <c r="BC125" s="99"/>
      <c r="BD125" s="99"/>
      <c r="BE125" s="100"/>
      <c r="BF125" s="101"/>
      <c r="BG125" s="99"/>
      <c r="BH125" s="99"/>
      <c r="BI125" s="99"/>
      <c r="BJ125" s="99"/>
      <c r="BK125" s="99"/>
      <c r="BL125" s="100"/>
      <c r="BM125" s="101"/>
      <c r="BN125" s="99"/>
      <c r="BO125" s="100"/>
      <c r="BP125" s="101"/>
      <c r="BQ125" s="99"/>
      <c r="BR125" s="99"/>
      <c r="BS125" s="99"/>
      <c r="BT125" s="100"/>
      <c r="BU125" s="98"/>
      <c r="BV125" s="99"/>
      <c r="BW125" s="99"/>
      <c r="BX125" s="99"/>
      <c r="BY125" s="99"/>
      <c r="BZ125" s="99"/>
      <c r="CA125" s="99"/>
      <c r="CB125" s="99"/>
      <c r="CC125" s="99"/>
      <c r="CD125" s="99"/>
      <c r="CE125" s="99"/>
      <c r="CF125" s="99"/>
      <c r="CG125" s="99"/>
      <c r="CH125" s="99"/>
      <c r="CI125" s="99"/>
      <c r="CJ125" s="100"/>
      <c r="CK125" s="101"/>
      <c r="CL125" s="99"/>
      <c r="CM125" s="99"/>
      <c r="CN125" s="99"/>
      <c r="CO125" s="99"/>
      <c r="CP125" s="99"/>
      <c r="CQ125" s="100"/>
      <c r="CR125" s="101"/>
      <c r="CS125" s="99"/>
      <c r="CT125" s="100"/>
      <c r="CU125" s="101"/>
      <c r="CV125" s="99"/>
      <c r="CW125" s="99"/>
      <c r="CX125" s="99"/>
      <c r="CY125" s="99"/>
    </row>
    <row r="126" spans="1:103" hidden="1" outlineLevel="1" x14ac:dyDescent="0.2">
      <c r="A126" s="424" t="s">
        <v>844</v>
      </c>
      <c r="B126" s="401" t="str">
        <f>VLOOKUP(A126,[1]ACTIONS!$A$3:$B$238,2,0)</f>
        <v>Analyser les modifications des règles de fonctionnement des bassins d'orage</v>
      </c>
      <c r="C126" s="96"/>
      <c r="D126" s="96"/>
      <c r="E126" s="96"/>
      <c r="F126" s="96">
        <v>0</v>
      </c>
      <c r="G126" s="96"/>
      <c r="H126" s="96">
        <v>0</v>
      </c>
      <c r="I126" s="97"/>
      <c r="J126" s="97"/>
      <c r="K126" s="98"/>
      <c r="L126" s="99"/>
      <c r="M126" s="99"/>
      <c r="N126" s="99"/>
      <c r="O126" s="99"/>
      <c r="P126" s="99"/>
      <c r="Q126" s="99"/>
      <c r="R126" s="99"/>
      <c r="S126" s="99"/>
      <c r="T126" s="99"/>
      <c r="U126" s="99"/>
      <c r="V126" s="99"/>
      <c r="W126" s="99"/>
      <c r="X126" s="99"/>
      <c r="Y126" s="99"/>
      <c r="Z126" s="100"/>
      <c r="AA126" s="101"/>
      <c r="AB126" s="99"/>
      <c r="AC126" s="99"/>
      <c r="AD126" s="99"/>
      <c r="AE126" s="99"/>
      <c r="AF126" s="99"/>
      <c r="AG126" s="100"/>
      <c r="AH126" s="101"/>
      <c r="AI126" s="99"/>
      <c r="AJ126" s="100"/>
      <c r="AK126" s="101"/>
      <c r="AL126" s="99"/>
      <c r="AM126" s="99"/>
      <c r="AN126" s="99"/>
      <c r="AO126" s="100"/>
      <c r="AP126" s="98"/>
      <c r="AQ126" s="99"/>
      <c r="AR126" s="99"/>
      <c r="AS126" s="99"/>
      <c r="AT126" s="99"/>
      <c r="AU126" s="99"/>
      <c r="AV126" s="99"/>
      <c r="AW126" s="99"/>
      <c r="AX126" s="99"/>
      <c r="AY126" s="99"/>
      <c r="AZ126" s="99"/>
      <c r="BA126" s="99"/>
      <c r="BB126" s="99"/>
      <c r="BC126" s="99"/>
      <c r="BD126" s="99"/>
      <c r="BE126" s="100"/>
      <c r="BF126" s="101"/>
      <c r="BG126" s="99"/>
      <c r="BH126" s="99"/>
      <c r="BI126" s="99"/>
      <c r="BJ126" s="99"/>
      <c r="BK126" s="99"/>
      <c r="BL126" s="100"/>
      <c r="BM126" s="101"/>
      <c r="BN126" s="99"/>
      <c r="BO126" s="100"/>
      <c r="BP126" s="101"/>
      <c r="BQ126" s="99"/>
      <c r="BR126" s="99"/>
      <c r="BS126" s="99"/>
      <c r="BT126" s="100"/>
      <c r="BU126" s="98"/>
      <c r="BV126" s="99"/>
      <c r="BW126" s="99"/>
      <c r="BX126" s="99"/>
      <c r="BY126" s="99"/>
      <c r="BZ126" s="99"/>
      <c r="CA126" s="99"/>
      <c r="CB126" s="99"/>
      <c r="CC126" s="99"/>
      <c r="CD126" s="99"/>
      <c r="CE126" s="99"/>
      <c r="CF126" s="99"/>
      <c r="CG126" s="99"/>
      <c r="CH126" s="99"/>
      <c r="CI126" s="99"/>
      <c r="CJ126" s="100"/>
      <c r="CK126" s="101"/>
      <c r="CL126" s="99"/>
      <c r="CM126" s="99"/>
      <c r="CN126" s="99"/>
      <c r="CO126" s="99"/>
      <c r="CP126" s="99"/>
      <c r="CQ126" s="100"/>
      <c r="CR126" s="101"/>
      <c r="CS126" s="99"/>
      <c r="CT126" s="100"/>
      <c r="CU126" s="101"/>
      <c r="CV126" s="99"/>
      <c r="CW126" s="99"/>
      <c r="CX126" s="99"/>
      <c r="CY126" s="99"/>
    </row>
    <row r="127" spans="1:103" hidden="1" outlineLevel="1" x14ac:dyDescent="0.2">
      <c r="A127" s="424" t="s">
        <v>845</v>
      </c>
      <c r="B127" s="425" t="str">
        <f>VLOOKUP(A127,[1]ACTIONS!$A$3:$B$238,2,0)</f>
        <v xml:space="preserve">Procéder à la mise en œuvre d’un projet-pilote dans la vallée du Maelbeek </v>
      </c>
      <c r="C127" s="96"/>
      <c r="D127" s="96"/>
      <c r="E127" s="96"/>
      <c r="F127" s="96">
        <v>1400000</v>
      </c>
      <c r="G127" s="96"/>
      <c r="H127" s="96">
        <v>1400000</v>
      </c>
      <c r="I127" s="97"/>
      <c r="J127" s="97"/>
      <c r="K127" s="98"/>
      <c r="L127" s="99"/>
      <c r="M127" s="99"/>
      <c r="N127" s="99"/>
      <c r="O127" s="99"/>
      <c r="P127" s="99"/>
      <c r="Q127" s="99"/>
      <c r="R127" s="99"/>
      <c r="S127" s="99"/>
      <c r="T127" s="99"/>
      <c r="U127" s="99"/>
      <c r="V127" s="99"/>
      <c r="W127" s="99"/>
      <c r="X127" s="99"/>
      <c r="Y127" s="99"/>
      <c r="Z127" s="100"/>
      <c r="AA127" s="101"/>
      <c r="AB127" s="99"/>
      <c r="AC127" s="99"/>
      <c r="AD127" s="99"/>
      <c r="AE127" s="99"/>
      <c r="AF127" s="99"/>
      <c r="AG127" s="100"/>
      <c r="AH127" s="101"/>
      <c r="AI127" s="99"/>
      <c r="AJ127" s="100"/>
      <c r="AK127" s="101"/>
      <c r="AL127" s="99"/>
      <c r="AM127" s="99"/>
      <c r="AN127" s="99"/>
      <c r="AO127" s="100"/>
      <c r="AP127" s="98"/>
      <c r="AQ127" s="99"/>
      <c r="AR127" s="99"/>
      <c r="AS127" s="99"/>
      <c r="AT127" s="99"/>
      <c r="AU127" s="99"/>
      <c r="AV127" s="99"/>
      <c r="AW127" s="99"/>
      <c r="AX127" s="99"/>
      <c r="AY127" s="99"/>
      <c r="AZ127" s="99"/>
      <c r="BA127" s="99"/>
      <c r="BB127" s="99"/>
      <c r="BC127" s="99"/>
      <c r="BD127" s="99"/>
      <c r="BE127" s="100"/>
      <c r="BF127" s="101"/>
      <c r="BG127" s="99"/>
      <c r="BH127" s="99"/>
      <c r="BI127" s="99"/>
      <c r="BJ127" s="99"/>
      <c r="BK127" s="99"/>
      <c r="BL127" s="100"/>
      <c r="BM127" s="101"/>
      <c r="BN127" s="99"/>
      <c r="BO127" s="100"/>
      <c r="BP127" s="101"/>
      <c r="BQ127" s="99"/>
      <c r="BR127" s="99"/>
      <c r="BS127" s="99"/>
      <c r="BT127" s="100"/>
      <c r="BU127" s="98"/>
      <c r="BV127" s="99"/>
      <c r="BW127" s="99"/>
      <c r="BX127" s="99"/>
      <c r="BY127" s="99"/>
      <c r="BZ127" s="99"/>
      <c r="CA127" s="99"/>
      <c r="CB127" s="99"/>
      <c r="CC127" s="99"/>
      <c r="CD127" s="99"/>
      <c r="CE127" s="99"/>
      <c r="CF127" s="99"/>
      <c r="CG127" s="99"/>
      <c r="CH127" s="99"/>
      <c r="CI127" s="99"/>
      <c r="CJ127" s="100"/>
      <c r="CK127" s="101"/>
      <c r="CL127" s="99"/>
      <c r="CM127" s="99"/>
      <c r="CN127" s="99"/>
      <c r="CO127" s="99"/>
      <c r="CP127" s="99"/>
      <c r="CQ127" s="100"/>
      <c r="CR127" s="101"/>
      <c r="CS127" s="99"/>
      <c r="CT127" s="100"/>
      <c r="CU127" s="101"/>
      <c r="CV127" s="99"/>
      <c r="CW127" s="99"/>
      <c r="CX127" s="99"/>
      <c r="CY127" s="99"/>
    </row>
    <row r="128" spans="1:103" ht="25.5" hidden="1" outlineLevel="1" x14ac:dyDescent="0.2">
      <c r="A128" s="424" t="s">
        <v>846</v>
      </c>
      <c r="B128" s="401" t="str">
        <f>VLOOKUP(A128,[1]ACTIONS!$A$3:$B$238,2,0)</f>
        <v>Assurer la surveillance et le bon fonctionnement du système mis place (1.9.4), établir un retour d’expérience pour l’élargir à d’autres vallées</v>
      </c>
      <c r="C128" s="96"/>
      <c r="D128" s="96"/>
      <c r="E128" s="96"/>
      <c r="F128" s="96">
        <v>100000</v>
      </c>
      <c r="G128" s="96"/>
      <c r="H128" s="96">
        <v>100000</v>
      </c>
      <c r="I128" s="97"/>
      <c r="J128" s="97"/>
      <c r="K128" s="98"/>
      <c r="L128" s="99"/>
      <c r="M128" s="99"/>
      <c r="N128" s="99"/>
      <c r="O128" s="99"/>
      <c r="P128" s="99"/>
      <c r="Q128" s="99"/>
      <c r="R128" s="99"/>
      <c r="S128" s="99"/>
      <c r="T128" s="99"/>
      <c r="U128" s="99"/>
      <c r="V128" s="99"/>
      <c r="W128" s="99"/>
      <c r="X128" s="99"/>
      <c r="Y128" s="99"/>
      <c r="Z128" s="100"/>
      <c r="AA128" s="101"/>
      <c r="AB128" s="99"/>
      <c r="AC128" s="99"/>
      <c r="AD128" s="99"/>
      <c r="AE128" s="99"/>
      <c r="AF128" s="99"/>
      <c r="AG128" s="100"/>
      <c r="AH128" s="101"/>
      <c r="AI128" s="99"/>
      <c r="AJ128" s="100"/>
      <c r="AK128" s="101"/>
      <c r="AL128" s="99"/>
      <c r="AM128" s="99"/>
      <c r="AN128" s="99"/>
      <c r="AO128" s="100"/>
      <c r="AP128" s="98"/>
      <c r="AQ128" s="99"/>
      <c r="AR128" s="99"/>
      <c r="AS128" s="99"/>
      <c r="AT128" s="99"/>
      <c r="AU128" s="99"/>
      <c r="AV128" s="99"/>
      <c r="AW128" s="99"/>
      <c r="AX128" s="99"/>
      <c r="AY128" s="99"/>
      <c r="AZ128" s="99"/>
      <c r="BA128" s="99"/>
      <c r="BB128" s="99"/>
      <c r="BC128" s="99"/>
      <c r="BD128" s="99"/>
      <c r="BE128" s="100"/>
      <c r="BF128" s="101"/>
      <c r="BG128" s="99"/>
      <c r="BH128" s="99"/>
      <c r="BI128" s="99"/>
      <c r="BJ128" s="99"/>
      <c r="BK128" s="99"/>
      <c r="BL128" s="100"/>
      <c r="BM128" s="101"/>
      <c r="BN128" s="99"/>
      <c r="BO128" s="100"/>
      <c r="BP128" s="101"/>
      <c r="BQ128" s="99"/>
      <c r="BR128" s="99"/>
      <c r="BS128" s="99"/>
      <c r="BT128" s="100"/>
      <c r="BU128" s="98"/>
      <c r="BV128" s="99"/>
      <c r="BW128" s="99"/>
      <c r="BX128" s="99"/>
      <c r="BY128" s="99"/>
      <c r="BZ128" s="99"/>
      <c r="CA128" s="99"/>
      <c r="CB128" s="99"/>
      <c r="CC128" s="99"/>
      <c r="CD128" s="99"/>
      <c r="CE128" s="99"/>
      <c r="CF128" s="99"/>
      <c r="CG128" s="99"/>
      <c r="CH128" s="99"/>
      <c r="CI128" s="99"/>
      <c r="CJ128" s="100"/>
      <c r="CK128" s="101"/>
      <c r="CL128" s="99"/>
      <c r="CM128" s="99"/>
      <c r="CN128" s="99"/>
      <c r="CO128" s="99"/>
      <c r="CP128" s="99"/>
      <c r="CQ128" s="100"/>
      <c r="CR128" s="101"/>
      <c r="CS128" s="99"/>
      <c r="CT128" s="100"/>
      <c r="CU128" s="101"/>
      <c r="CV128" s="99"/>
      <c r="CW128" s="99"/>
      <c r="CX128" s="99"/>
      <c r="CY128" s="99"/>
    </row>
    <row r="129" spans="1:103" ht="25.5" hidden="1" outlineLevel="1" x14ac:dyDescent="0.2">
      <c r="A129" s="424" t="s">
        <v>847</v>
      </c>
      <c r="B129" s="401" t="str">
        <f>VLOOKUP(A129,[1]ACTIONS!$A$3:$B$238,2,0)</f>
        <v>Etudier et élaborer un système de prévisions du comportement du réseau et une stratégie de régulation des débits dans la vallée de la Senne (Bruxelles-centre)</v>
      </c>
      <c r="C129" s="96"/>
      <c r="D129" s="96"/>
      <c r="E129" s="96"/>
      <c r="F129" s="96">
        <v>100000</v>
      </c>
      <c r="G129" s="96"/>
      <c r="H129" s="96">
        <v>100000</v>
      </c>
      <c r="I129" s="97"/>
      <c r="J129" s="97"/>
      <c r="K129" s="98"/>
      <c r="L129" s="99"/>
      <c r="M129" s="99"/>
      <c r="N129" s="99"/>
      <c r="O129" s="99"/>
      <c r="P129" s="99"/>
      <c r="Q129" s="99"/>
      <c r="R129" s="99"/>
      <c r="S129" s="99"/>
      <c r="T129" s="99"/>
      <c r="U129" s="99"/>
      <c r="V129" s="99"/>
      <c r="W129" s="99"/>
      <c r="X129" s="99"/>
      <c r="Y129" s="99"/>
      <c r="Z129" s="100"/>
      <c r="AA129" s="101"/>
      <c r="AB129" s="99"/>
      <c r="AC129" s="99"/>
      <c r="AD129" s="99"/>
      <c r="AE129" s="99"/>
      <c r="AF129" s="99"/>
      <c r="AG129" s="100"/>
      <c r="AH129" s="101"/>
      <c r="AI129" s="99"/>
      <c r="AJ129" s="100"/>
      <c r="AK129" s="101"/>
      <c r="AL129" s="99"/>
      <c r="AM129" s="99"/>
      <c r="AN129" s="99"/>
      <c r="AO129" s="100"/>
      <c r="AP129" s="98"/>
      <c r="AQ129" s="99"/>
      <c r="AR129" s="99"/>
      <c r="AS129" s="99"/>
      <c r="AT129" s="99"/>
      <c r="AU129" s="99"/>
      <c r="AV129" s="99"/>
      <c r="AW129" s="99"/>
      <c r="AX129" s="99"/>
      <c r="AY129" s="99"/>
      <c r="AZ129" s="99"/>
      <c r="BA129" s="99"/>
      <c r="BB129" s="99"/>
      <c r="BC129" s="99"/>
      <c r="BD129" s="99"/>
      <c r="BE129" s="100"/>
      <c r="BF129" s="101"/>
      <c r="BG129" s="99"/>
      <c r="BH129" s="99"/>
      <c r="BI129" s="99"/>
      <c r="BJ129" s="99"/>
      <c r="BK129" s="99"/>
      <c r="BL129" s="100"/>
      <c r="BM129" s="101"/>
      <c r="BN129" s="99"/>
      <c r="BO129" s="100"/>
      <c r="BP129" s="101"/>
      <c r="BQ129" s="99"/>
      <c r="BR129" s="99"/>
      <c r="BS129" s="99"/>
      <c r="BT129" s="100"/>
      <c r="BU129" s="98"/>
      <c r="BV129" s="99"/>
      <c r="BW129" s="99"/>
      <c r="BX129" s="99"/>
      <c r="BY129" s="99"/>
      <c r="BZ129" s="99"/>
      <c r="CA129" s="99"/>
      <c r="CB129" s="99"/>
      <c r="CC129" s="99"/>
      <c r="CD129" s="99"/>
      <c r="CE129" s="99"/>
      <c r="CF129" s="99"/>
      <c r="CG129" s="99"/>
      <c r="CH129" s="99"/>
      <c r="CI129" s="99"/>
      <c r="CJ129" s="100"/>
      <c r="CK129" s="101"/>
      <c r="CL129" s="99"/>
      <c r="CM129" s="99"/>
      <c r="CN129" s="99"/>
      <c r="CO129" s="99"/>
      <c r="CP129" s="99"/>
      <c r="CQ129" s="100"/>
      <c r="CR129" s="101"/>
      <c r="CS129" s="99"/>
      <c r="CT129" s="100"/>
      <c r="CU129" s="101"/>
      <c r="CV129" s="99"/>
      <c r="CW129" s="99"/>
      <c r="CX129" s="99"/>
      <c r="CY129" s="99"/>
    </row>
    <row r="130" spans="1:103" hidden="1" outlineLevel="1" x14ac:dyDescent="0.2">
      <c r="A130" s="424" t="s">
        <v>848</v>
      </c>
      <c r="B130" s="401" t="str">
        <f>VLOOKUP(A130,[1]ACTIONS!$A$3:$B$238,2,0)</f>
        <v>Mettre en place des dispositifs de contrôle des débits  (Projet-pilote dans la vallée de la Senne (Bruxelles-centre)</v>
      </c>
      <c r="C130" s="96"/>
      <c r="D130" s="96"/>
      <c r="E130" s="96"/>
      <c r="F130" s="96">
        <v>300000</v>
      </c>
      <c r="G130" s="96"/>
      <c r="H130" s="96">
        <v>300000</v>
      </c>
      <c r="I130" s="97"/>
      <c r="J130" s="97"/>
      <c r="K130" s="98"/>
      <c r="L130" s="99"/>
      <c r="M130" s="99"/>
      <c r="N130" s="99"/>
      <c r="O130" s="99"/>
      <c r="P130" s="99"/>
      <c r="Q130" s="99"/>
      <c r="R130" s="99"/>
      <c r="S130" s="99"/>
      <c r="T130" s="99"/>
      <c r="U130" s="99"/>
      <c r="V130" s="99"/>
      <c r="W130" s="99"/>
      <c r="X130" s="99"/>
      <c r="Y130" s="99"/>
      <c r="Z130" s="100"/>
      <c r="AA130" s="101"/>
      <c r="AB130" s="99"/>
      <c r="AC130" s="99"/>
      <c r="AD130" s="99"/>
      <c r="AE130" s="99"/>
      <c r="AF130" s="99"/>
      <c r="AG130" s="100"/>
      <c r="AH130" s="101"/>
      <c r="AI130" s="99"/>
      <c r="AJ130" s="100"/>
      <c r="AK130" s="101"/>
      <c r="AL130" s="99"/>
      <c r="AM130" s="99"/>
      <c r="AN130" s="99"/>
      <c r="AO130" s="100"/>
      <c r="AP130" s="98"/>
      <c r="AQ130" s="99"/>
      <c r="AR130" s="99"/>
      <c r="AS130" s="99"/>
      <c r="AT130" s="99"/>
      <c r="AU130" s="99"/>
      <c r="AV130" s="99"/>
      <c r="AW130" s="99"/>
      <c r="AX130" s="99"/>
      <c r="AY130" s="99"/>
      <c r="AZ130" s="99"/>
      <c r="BA130" s="99"/>
      <c r="BB130" s="99"/>
      <c r="BC130" s="99"/>
      <c r="BD130" s="99"/>
      <c r="BE130" s="100"/>
      <c r="BF130" s="101"/>
      <c r="BG130" s="99"/>
      <c r="BH130" s="99"/>
      <c r="BI130" s="99"/>
      <c r="BJ130" s="99"/>
      <c r="BK130" s="99"/>
      <c r="BL130" s="100"/>
      <c r="BM130" s="101"/>
      <c r="BN130" s="99"/>
      <c r="BO130" s="100"/>
      <c r="BP130" s="101"/>
      <c r="BQ130" s="99"/>
      <c r="BR130" s="99"/>
      <c r="BS130" s="99"/>
      <c r="BT130" s="100"/>
      <c r="BU130" s="98"/>
      <c r="BV130" s="99"/>
      <c r="BW130" s="99"/>
      <c r="BX130" s="99"/>
      <c r="BY130" s="99"/>
      <c r="BZ130" s="99"/>
      <c r="CA130" s="99"/>
      <c r="CB130" s="99"/>
      <c r="CC130" s="99"/>
      <c r="CD130" s="99"/>
      <c r="CE130" s="99"/>
      <c r="CF130" s="99"/>
      <c r="CG130" s="99"/>
      <c r="CH130" s="99"/>
      <c r="CI130" s="99"/>
      <c r="CJ130" s="100"/>
      <c r="CK130" s="101"/>
      <c r="CL130" s="99"/>
      <c r="CM130" s="99"/>
      <c r="CN130" s="99"/>
      <c r="CO130" s="99"/>
      <c r="CP130" s="99"/>
      <c r="CQ130" s="100"/>
      <c r="CR130" s="101"/>
      <c r="CS130" s="99"/>
      <c r="CT130" s="100"/>
      <c r="CU130" s="101"/>
      <c r="CV130" s="99"/>
      <c r="CW130" s="99"/>
      <c r="CX130" s="99"/>
      <c r="CY130" s="99"/>
    </row>
    <row r="131" spans="1:103" ht="25.5" hidden="1" outlineLevel="1" x14ac:dyDescent="0.2">
      <c r="A131" s="424" t="s">
        <v>849</v>
      </c>
      <c r="B131" s="401" t="str">
        <f>VLOOKUP(A131,[1]ACTIONS!$A$3:$B$238,2,0)</f>
        <v>Assurer la surveillance et le bon fonctionnement du système mis en place (1.9.7), établir un retour d’expérience pour l’élargir à d’autres vallées</v>
      </c>
      <c r="C131" s="96"/>
      <c r="D131" s="96"/>
      <c r="E131" s="96"/>
      <c r="F131" s="96">
        <v>20000</v>
      </c>
      <c r="G131" s="96"/>
      <c r="H131" s="96">
        <v>20000</v>
      </c>
      <c r="I131" s="97"/>
      <c r="J131" s="97"/>
      <c r="K131" s="98"/>
      <c r="L131" s="99"/>
      <c r="M131" s="99"/>
      <c r="N131" s="99"/>
      <c r="O131" s="99"/>
      <c r="P131" s="99"/>
      <c r="Q131" s="99"/>
      <c r="R131" s="99"/>
      <c r="S131" s="99"/>
      <c r="T131" s="99"/>
      <c r="U131" s="99"/>
      <c r="V131" s="99"/>
      <c r="W131" s="99"/>
      <c r="X131" s="99"/>
      <c r="Y131" s="99"/>
      <c r="Z131" s="100"/>
      <c r="AA131" s="101"/>
      <c r="AB131" s="99"/>
      <c r="AC131" s="99"/>
      <c r="AD131" s="99"/>
      <c r="AE131" s="99"/>
      <c r="AF131" s="99"/>
      <c r="AG131" s="100"/>
      <c r="AH131" s="101"/>
      <c r="AI131" s="99"/>
      <c r="AJ131" s="100"/>
      <c r="AK131" s="101"/>
      <c r="AL131" s="99"/>
      <c r="AM131" s="99"/>
      <c r="AN131" s="99"/>
      <c r="AO131" s="100"/>
      <c r="AP131" s="98"/>
      <c r="AQ131" s="99"/>
      <c r="AR131" s="99"/>
      <c r="AS131" s="99"/>
      <c r="AT131" s="99"/>
      <c r="AU131" s="99"/>
      <c r="AV131" s="99"/>
      <c r="AW131" s="99"/>
      <c r="AX131" s="99"/>
      <c r="AY131" s="99"/>
      <c r="AZ131" s="99"/>
      <c r="BA131" s="99"/>
      <c r="BB131" s="99"/>
      <c r="BC131" s="99"/>
      <c r="BD131" s="99"/>
      <c r="BE131" s="100"/>
      <c r="BF131" s="101"/>
      <c r="BG131" s="99"/>
      <c r="BH131" s="99"/>
      <c r="BI131" s="99"/>
      <c r="BJ131" s="99"/>
      <c r="BK131" s="99"/>
      <c r="BL131" s="100"/>
      <c r="BM131" s="101"/>
      <c r="BN131" s="99"/>
      <c r="BO131" s="100"/>
      <c r="BP131" s="101"/>
      <c r="BQ131" s="99"/>
      <c r="BR131" s="99"/>
      <c r="BS131" s="99"/>
      <c r="BT131" s="100"/>
      <c r="BU131" s="98"/>
      <c r="BV131" s="99"/>
      <c r="BW131" s="99"/>
      <c r="BX131" s="99"/>
      <c r="BY131" s="99"/>
      <c r="BZ131" s="99"/>
      <c r="CA131" s="99"/>
      <c r="CB131" s="99"/>
      <c r="CC131" s="99"/>
      <c r="CD131" s="99"/>
      <c r="CE131" s="99"/>
      <c r="CF131" s="99"/>
      <c r="CG131" s="99"/>
      <c r="CH131" s="99"/>
      <c r="CI131" s="99"/>
      <c r="CJ131" s="100"/>
      <c r="CK131" s="101"/>
      <c r="CL131" s="99"/>
      <c r="CM131" s="99"/>
      <c r="CN131" s="99"/>
      <c r="CO131" s="99"/>
      <c r="CP131" s="99"/>
      <c r="CQ131" s="100"/>
      <c r="CR131" s="101"/>
      <c r="CS131" s="99"/>
      <c r="CT131" s="100"/>
      <c r="CU131" s="101"/>
      <c r="CV131" s="99"/>
      <c r="CW131" s="99"/>
      <c r="CX131" s="99"/>
      <c r="CY131" s="99"/>
    </row>
    <row r="132" spans="1:103" ht="25.5" hidden="1" outlineLevel="1" x14ac:dyDescent="0.2">
      <c r="A132" s="424" t="s">
        <v>850</v>
      </c>
      <c r="B132" s="425" t="str">
        <f>VLOOKUP(A132,[1]ACTIONS!$A$3:$B$238,2,0)</f>
        <v>Procéder à la mise en œuvre dans d’autres vallées sur base du retour d’expérience dans la vallée du Maelbeek (si pertinent)</v>
      </c>
      <c r="C132" s="96"/>
      <c r="D132" s="96"/>
      <c r="E132" s="96"/>
      <c r="F132" s="96">
        <v>2950000</v>
      </c>
      <c r="G132" s="96"/>
      <c r="H132" s="96">
        <v>2950000</v>
      </c>
      <c r="I132" s="97"/>
      <c r="J132" s="97"/>
      <c r="K132" s="98"/>
      <c r="L132" s="99"/>
      <c r="M132" s="99"/>
      <c r="N132" s="99"/>
      <c r="O132" s="99"/>
      <c r="P132" s="99"/>
      <c r="Q132" s="99"/>
      <c r="R132" s="99"/>
      <c r="S132" s="99"/>
      <c r="T132" s="99"/>
      <c r="U132" s="99"/>
      <c r="V132" s="99"/>
      <c r="W132" s="99"/>
      <c r="X132" s="99"/>
      <c r="Y132" s="99"/>
      <c r="Z132" s="100"/>
      <c r="AA132" s="101"/>
      <c r="AB132" s="99"/>
      <c r="AC132" s="99"/>
      <c r="AD132" s="99"/>
      <c r="AE132" s="99"/>
      <c r="AF132" s="99"/>
      <c r="AG132" s="100"/>
      <c r="AH132" s="101"/>
      <c r="AI132" s="99"/>
      <c r="AJ132" s="100"/>
      <c r="AK132" s="101"/>
      <c r="AL132" s="99"/>
      <c r="AM132" s="99"/>
      <c r="AN132" s="99"/>
      <c r="AO132" s="100"/>
      <c r="AP132" s="98"/>
      <c r="AQ132" s="99"/>
      <c r="AR132" s="99"/>
      <c r="AS132" s="99"/>
      <c r="AT132" s="99"/>
      <c r="AU132" s="99"/>
      <c r="AV132" s="99"/>
      <c r="AW132" s="99"/>
      <c r="AX132" s="99"/>
      <c r="AY132" s="99"/>
      <c r="AZ132" s="99"/>
      <c r="BA132" s="99"/>
      <c r="BB132" s="99"/>
      <c r="BC132" s="99"/>
      <c r="BD132" s="99"/>
      <c r="BE132" s="100"/>
      <c r="BF132" s="101"/>
      <c r="BG132" s="99"/>
      <c r="BH132" s="99"/>
      <c r="BI132" s="99"/>
      <c r="BJ132" s="99"/>
      <c r="BK132" s="99"/>
      <c r="BL132" s="100"/>
      <c r="BM132" s="101"/>
      <c r="BN132" s="99"/>
      <c r="BO132" s="100"/>
      <c r="BP132" s="101"/>
      <c r="BQ132" s="99"/>
      <c r="BR132" s="99"/>
      <c r="BS132" s="99"/>
      <c r="BT132" s="100"/>
      <c r="BU132" s="98"/>
      <c r="BV132" s="99"/>
      <c r="BW132" s="99"/>
      <c r="BX132" s="99"/>
      <c r="BY132" s="99"/>
      <c r="BZ132" s="99"/>
      <c r="CA132" s="99"/>
      <c r="CB132" s="99"/>
      <c r="CC132" s="99"/>
      <c r="CD132" s="99"/>
      <c r="CE132" s="99"/>
      <c r="CF132" s="99"/>
      <c r="CG132" s="99"/>
      <c r="CH132" s="99"/>
      <c r="CI132" s="99"/>
      <c r="CJ132" s="100"/>
      <c r="CK132" s="101"/>
      <c r="CL132" s="99"/>
      <c r="CM132" s="99"/>
      <c r="CN132" s="99"/>
      <c r="CO132" s="99"/>
      <c r="CP132" s="99"/>
      <c r="CQ132" s="100"/>
      <c r="CR132" s="101"/>
      <c r="CS132" s="99"/>
      <c r="CT132" s="100"/>
      <c r="CU132" s="101"/>
      <c r="CV132" s="99"/>
      <c r="CW132" s="99"/>
      <c r="CX132" s="99"/>
      <c r="CY132" s="99"/>
    </row>
    <row r="133" spans="1:103" hidden="1" outlineLevel="1" x14ac:dyDescent="0.2">
      <c r="A133" s="424" t="s">
        <v>851</v>
      </c>
      <c r="B133" s="401" t="str">
        <f>VLOOKUP(A133,[1]ACTIONS!$A$3:$B$238,2,0)</f>
        <v>Etudier le fonctionnement des réseaux et leurs interactions, par le biais d’actions de modélisation (cf. M 5.29)</v>
      </c>
      <c r="C133" s="96"/>
      <c r="D133" s="96"/>
      <c r="E133" s="96"/>
      <c r="F133" s="96">
        <v>0</v>
      </c>
      <c r="G133" s="96"/>
      <c r="H133" s="96">
        <v>0</v>
      </c>
      <c r="I133" s="97"/>
      <c r="J133" s="97"/>
      <c r="K133" s="98"/>
      <c r="L133" s="99"/>
      <c r="M133" s="99"/>
      <c r="N133" s="99"/>
      <c r="O133" s="99"/>
      <c r="P133" s="99"/>
      <c r="Q133" s="99"/>
      <c r="R133" s="99"/>
      <c r="S133" s="99"/>
      <c r="T133" s="99"/>
      <c r="U133" s="99"/>
      <c r="V133" s="99"/>
      <c r="W133" s="99"/>
      <c r="X133" s="99"/>
      <c r="Y133" s="99"/>
      <c r="Z133" s="100"/>
      <c r="AA133" s="101"/>
      <c r="AB133" s="99"/>
      <c r="AC133" s="99"/>
      <c r="AD133" s="99"/>
      <c r="AE133" s="99"/>
      <c r="AF133" s="99"/>
      <c r="AG133" s="100"/>
      <c r="AH133" s="101"/>
      <c r="AI133" s="99"/>
      <c r="AJ133" s="100"/>
      <c r="AK133" s="101"/>
      <c r="AL133" s="99"/>
      <c r="AM133" s="99"/>
      <c r="AN133" s="99"/>
      <c r="AO133" s="100"/>
      <c r="AP133" s="98"/>
      <c r="AQ133" s="99"/>
      <c r="AR133" s="99"/>
      <c r="AS133" s="99"/>
      <c r="AT133" s="99"/>
      <c r="AU133" s="99"/>
      <c r="AV133" s="99"/>
      <c r="AW133" s="99"/>
      <c r="AX133" s="99"/>
      <c r="AY133" s="99"/>
      <c r="AZ133" s="99"/>
      <c r="BA133" s="99"/>
      <c r="BB133" s="99"/>
      <c r="BC133" s="99"/>
      <c r="BD133" s="99"/>
      <c r="BE133" s="100"/>
      <c r="BF133" s="101"/>
      <c r="BG133" s="99"/>
      <c r="BH133" s="99"/>
      <c r="BI133" s="99"/>
      <c r="BJ133" s="99"/>
      <c r="BK133" s="99"/>
      <c r="BL133" s="100"/>
      <c r="BM133" s="101"/>
      <c r="BN133" s="99"/>
      <c r="BO133" s="100"/>
      <c r="BP133" s="101"/>
      <c r="BQ133" s="99"/>
      <c r="BR133" s="99"/>
      <c r="BS133" s="99"/>
      <c r="BT133" s="100"/>
      <c r="BU133" s="98"/>
      <c r="BV133" s="99"/>
      <c r="BW133" s="99"/>
      <c r="BX133" s="99"/>
      <c r="BY133" s="99"/>
      <c r="BZ133" s="99"/>
      <c r="CA133" s="99"/>
      <c r="CB133" s="99"/>
      <c r="CC133" s="99"/>
      <c r="CD133" s="99"/>
      <c r="CE133" s="99"/>
      <c r="CF133" s="99"/>
      <c r="CG133" s="99"/>
      <c r="CH133" s="99"/>
      <c r="CI133" s="99"/>
      <c r="CJ133" s="100"/>
      <c r="CK133" s="101"/>
      <c r="CL133" s="99"/>
      <c r="CM133" s="99"/>
      <c r="CN133" s="99"/>
      <c r="CO133" s="99"/>
      <c r="CP133" s="99"/>
      <c r="CQ133" s="100"/>
      <c r="CR133" s="101"/>
      <c r="CS133" s="99"/>
      <c r="CT133" s="100"/>
      <c r="CU133" s="101"/>
      <c r="CV133" s="99"/>
      <c r="CW133" s="99"/>
      <c r="CX133" s="99"/>
      <c r="CY133" s="99"/>
    </row>
    <row r="134" spans="1:103" collapsed="1" x14ac:dyDescent="0.2">
      <c r="A134" s="394" t="s">
        <v>9</v>
      </c>
      <c r="B134" s="395" t="str">
        <f>VLOOKUP(A134,'1. Mesures'!$A$2:$B$116,2,0)</f>
        <v>Réaliser les chainons manquants entre le réseau public d'égouttage et les collecteurs (égouts "orphelins")</v>
      </c>
      <c r="C134" s="96"/>
      <c r="D134" s="96"/>
      <c r="E134" s="96"/>
      <c r="F134" s="96">
        <v>2300000</v>
      </c>
      <c r="G134" s="96"/>
      <c r="H134" s="96">
        <v>2300000</v>
      </c>
      <c r="I134" s="97" t="s">
        <v>1589</v>
      </c>
      <c r="J134" s="97"/>
      <c r="K134" s="98" t="s">
        <v>1575</v>
      </c>
      <c r="L134" s="99" t="s">
        <v>1575</v>
      </c>
      <c r="M134" s="99" t="s">
        <v>1575</v>
      </c>
      <c r="N134" s="99" t="s">
        <v>1575</v>
      </c>
      <c r="O134" s="99" t="s">
        <v>1575</v>
      </c>
      <c r="P134" s="99" t="s">
        <v>1575</v>
      </c>
      <c r="Q134" s="99" t="s">
        <v>1575</v>
      </c>
      <c r="R134" s="99" t="s">
        <v>1575</v>
      </c>
      <c r="S134" s="99" t="s">
        <v>1590</v>
      </c>
      <c r="T134" s="99" t="s">
        <v>1590</v>
      </c>
      <c r="U134" s="99" t="s">
        <v>1590</v>
      </c>
      <c r="V134" s="99"/>
      <c r="W134" s="99" t="s">
        <v>1590</v>
      </c>
      <c r="X134" s="99" t="s">
        <v>1575</v>
      </c>
      <c r="Y134" s="99" t="s">
        <v>1590</v>
      </c>
      <c r="Z134" s="100" t="s">
        <v>1575</v>
      </c>
      <c r="AA134" s="101" t="s">
        <v>1575</v>
      </c>
      <c r="AB134" s="99" t="s">
        <v>1575</v>
      </c>
      <c r="AC134" s="99" t="s">
        <v>1575</v>
      </c>
      <c r="AD134" s="99" t="s">
        <v>1575</v>
      </c>
      <c r="AE134" s="99" t="s">
        <v>1575</v>
      </c>
      <c r="AF134" s="99" t="s">
        <v>1575</v>
      </c>
      <c r="AG134" s="100" t="s">
        <v>1575</v>
      </c>
      <c r="AH134" s="101"/>
      <c r="AI134" s="99"/>
      <c r="AJ134" s="100"/>
      <c r="AK134" s="101"/>
      <c r="AL134" s="99" t="s">
        <v>1575</v>
      </c>
      <c r="AM134" s="99" t="s">
        <v>1575</v>
      </c>
      <c r="AN134" s="99" t="s">
        <v>1575</v>
      </c>
      <c r="AO134" s="100" t="s">
        <v>1575</v>
      </c>
      <c r="AP134" s="98"/>
      <c r="AQ134" s="99"/>
      <c r="AR134" s="99"/>
      <c r="AS134" s="99"/>
      <c r="AT134" s="99"/>
      <c r="AU134" s="99"/>
      <c r="AV134" s="99"/>
      <c r="AW134" s="99"/>
      <c r="AX134" s="99"/>
      <c r="AY134" s="99"/>
      <c r="AZ134" s="99"/>
      <c r="BA134" s="99"/>
      <c r="BB134" s="99"/>
      <c r="BC134" s="99"/>
      <c r="BD134" s="99"/>
      <c r="BE134" s="100"/>
      <c r="BF134" s="101"/>
      <c r="BG134" s="99"/>
      <c r="BH134" s="99"/>
      <c r="BI134" s="99"/>
      <c r="BJ134" s="99"/>
      <c r="BK134" s="99"/>
      <c r="BL134" s="100"/>
      <c r="BM134" s="101"/>
      <c r="BN134" s="99"/>
      <c r="BO134" s="100"/>
      <c r="BP134" s="101"/>
      <c r="BQ134" s="99"/>
      <c r="BR134" s="99"/>
      <c r="BS134" s="99"/>
      <c r="BT134" s="100"/>
      <c r="BU134" s="98"/>
      <c r="BV134" s="99"/>
      <c r="BW134" s="99"/>
      <c r="BX134" s="99"/>
      <c r="BY134" s="99"/>
      <c r="BZ134" s="99"/>
      <c r="CA134" s="99"/>
      <c r="CB134" s="99"/>
      <c r="CC134" s="99"/>
      <c r="CD134" s="99"/>
      <c r="CE134" s="99"/>
      <c r="CF134" s="99"/>
      <c r="CG134" s="99"/>
      <c r="CH134" s="99"/>
      <c r="CI134" s="99"/>
      <c r="CJ134" s="100"/>
      <c r="CK134" s="101"/>
      <c r="CL134" s="99"/>
      <c r="CM134" s="99"/>
      <c r="CN134" s="99"/>
      <c r="CO134" s="99"/>
      <c r="CP134" s="99"/>
      <c r="CQ134" s="100"/>
      <c r="CR134" s="101"/>
      <c r="CS134" s="99"/>
      <c r="CT134" s="100"/>
      <c r="CU134" s="101"/>
      <c r="CV134" s="99"/>
      <c r="CW134" s="99"/>
      <c r="CX134" s="99"/>
      <c r="CY134" s="99"/>
    </row>
    <row r="135" spans="1:103" ht="25.5" hidden="1" outlineLevel="1" x14ac:dyDescent="0.2">
      <c r="A135" s="424" t="s">
        <v>650</v>
      </c>
      <c r="B135" s="401" t="str">
        <f>VLOOKUP(A135,[1]ACTIONS!$A$3:$B$238,2,0)</f>
        <v>Pour les 4 points de rejets identifiés, procéder à la finalisation des études, à l’obtention des autorisations et aux travaux de raccordement de ces égouts orphelins aux réseaux d’égouttage connectés aux STEPs</v>
      </c>
      <c r="C135" s="96"/>
      <c r="D135" s="96"/>
      <c r="E135" s="96"/>
      <c r="F135" s="96">
        <v>1400000</v>
      </c>
      <c r="G135" s="96"/>
      <c r="H135" s="96">
        <v>1400000</v>
      </c>
      <c r="I135" s="97"/>
      <c r="J135" s="97"/>
      <c r="K135" s="98"/>
      <c r="L135" s="99"/>
      <c r="M135" s="99"/>
      <c r="N135" s="99"/>
      <c r="O135" s="99"/>
      <c r="P135" s="99"/>
      <c r="Q135" s="99"/>
      <c r="R135" s="99"/>
      <c r="S135" s="99"/>
      <c r="T135" s="99"/>
      <c r="U135" s="99"/>
      <c r="V135" s="99"/>
      <c r="W135" s="99"/>
      <c r="X135" s="99"/>
      <c r="Y135" s="99"/>
      <c r="Z135" s="100"/>
      <c r="AA135" s="101"/>
      <c r="AB135" s="99"/>
      <c r="AC135" s="99"/>
      <c r="AD135" s="99"/>
      <c r="AE135" s="99"/>
      <c r="AF135" s="99"/>
      <c r="AG135" s="100"/>
      <c r="AH135" s="101"/>
      <c r="AI135" s="99"/>
      <c r="AJ135" s="100"/>
      <c r="AK135" s="101"/>
      <c r="AL135" s="99"/>
      <c r="AM135" s="99"/>
      <c r="AN135" s="99"/>
      <c r="AO135" s="100"/>
      <c r="AP135" s="98"/>
      <c r="AQ135" s="99"/>
      <c r="AR135" s="99"/>
      <c r="AS135" s="99"/>
      <c r="AT135" s="99"/>
      <c r="AU135" s="99"/>
      <c r="AV135" s="99"/>
      <c r="AW135" s="99"/>
      <c r="AX135" s="99"/>
      <c r="AY135" s="99"/>
      <c r="AZ135" s="99"/>
      <c r="BA135" s="99"/>
      <c r="BB135" s="99"/>
      <c r="BC135" s="99"/>
      <c r="BD135" s="99"/>
      <c r="BE135" s="100"/>
      <c r="BF135" s="101"/>
      <c r="BG135" s="99"/>
      <c r="BH135" s="99"/>
      <c r="BI135" s="99"/>
      <c r="BJ135" s="99"/>
      <c r="BK135" s="99"/>
      <c r="BL135" s="100"/>
      <c r="BM135" s="101"/>
      <c r="BN135" s="99"/>
      <c r="BO135" s="100"/>
      <c r="BP135" s="101"/>
      <c r="BQ135" s="99"/>
      <c r="BR135" s="99"/>
      <c r="BS135" s="99"/>
      <c r="BT135" s="100"/>
      <c r="BU135" s="98"/>
      <c r="BV135" s="99"/>
      <c r="BW135" s="99"/>
      <c r="BX135" s="99"/>
      <c r="BY135" s="99"/>
      <c r="BZ135" s="99"/>
      <c r="CA135" s="99"/>
      <c r="CB135" s="99"/>
      <c r="CC135" s="99"/>
      <c r="CD135" s="99"/>
      <c r="CE135" s="99"/>
      <c r="CF135" s="99"/>
      <c r="CG135" s="99"/>
      <c r="CH135" s="99"/>
      <c r="CI135" s="99"/>
      <c r="CJ135" s="100"/>
      <c r="CK135" s="101"/>
      <c r="CL135" s="99"/>
      <c r="CM135" s="99"/>
      <c r="CN135" s="99"/>
      <c r="CO135" s="99"/>
      <c r="CP135" s="99"/>
      <c r="CQ135" s="100"/>
      <c r="CR135" s="101"/>
      <c r="CS135" s="99"/>
      <c r="CT135" s="100"/>
      <c r="CU135" s="101"/>
      <c r="CV135" s="99"/>
      <c r="CW135" s="99"/>
      <c r="CX135" s="99"/>
      <c r="CY135" s="99"/>
    </row>
    <row r="136" spans="1:103" ht="25.5" hidden="1" outlineLevel="1" x14ac:dyDescent="0.2">
      <c r="A136" s="424" t="s">
        <v>651</v>
      </c>
      <c r="B136" s="401" t="str">
        <f>VLOOKUP(A136,[1]ACTIONS!$A$3:$B$238,2,0)</f>
        <v xml:space="preserve"> Identifier d’autres chainons manquants du réseau d’assainissement public (« égouts orphelins ») sur base de pollution éventuelle et de la mesure M1.5</v>
      </c>
      <c r="C136" s="96"/>
      <c r="D136" s="96"/>
      <c r="E136" s="96"/>
      <c r="F136" s="96">
        <v>0</v>
      </c>
      <c r="G136" s="96"/>
      <c r="H136" s="96">
        <v>0</v>
      </c>
      <c r="I136" s="97"/>
      <c r="J136" s="97"/>
      <c r="K136" s="98"/>
      <c r="L136" s="99"/>
      <c r="M136" s="99"/>
      <c r="N136" s="99"/>
      <c r="O136" s="99"/>
      <c r="P136" s="99"/>
      <c r="Q136" s="99"/>
      <c r="R136" s="99"/>
      <c r="S136" s="99"/>
      <c r="T136" s="99"/>
      <c r="U136" s="99"/>
      <c r="V136" s="99"/>
      <c r="W136" s="99"/>
      <c r="X136" s="99"/>
      <c r="Y136" s="99"/>
      <c r="Z136" s="100"/>
      <c r="AA136" s="101"/>
      <c r="AB136" s="99"/>
      <c r="AC136" s="99"/>
      <c r="AD136" s="99"/>
      <c r="AE136" s="99"/>
      <c r="AF136" s="99"/>
      <c r="AG136" s="100"/>
      <c r="AH136" s="101"/>
      <c r="AI136" s="99"/>
      <c r="AJ136" s="100"/>
      <c r="AK136" s="101"/>
      <c r="AL136" s="99"/>
      <c r="AM136" s="99"/>
      <c r="AN136" s="99"/>
      <c r="AO136" s="100"/>
      <c r="AP136" s="98"/>
      <c r="AQ136" s="99"/>
      <c r="AR136" s="99"/>
      <c r="AS136" s="99"/>
      <c r="AT136" s="99"/>
      <c r="AU136" s="99"/>
      <c r="AV136" s="99"/>
      <c r="AW136" s="99"/>
      <c r="AX136" s="99"/>
      <c r="AY136" s="99"/>
      <c r="AZ136" s="99"/>
      <c r="BA136" s="99"/>
      <c r="BB136" s="99"/>
      <c r="BC136" s="99"/>
      <c r="BD136" s="99"/>
      <c r="BE136" s="100"/>
      <c r="BF136" s="101"/>
      <c r="BG136" s="99"/>
      <c r="BH136" s="99"/>
      <c r="BI136" s="99"/>
      <c r="BJ136" s="99"/>
      <c r="BK136" s="99"/>
      <c r="BL136" s="100"/>
      <c r="BM136" s="101"/>
      <c r="BN136" s="99"/>
      <c r="BO136" s="100"/>
      <c r="BP136" s="101"/>
      <c r="BQ136" s="99"/>
      <c r="BR136" s="99"/>
      <c r="BS136" s="99"/>
      <c r="BT136" s="100"/>
      <c r="BU136" s="98"/>
      <c r="BV136" s="99"/>
      <c r="BW136" s="99"/>
      <c r="BX136" s="99"/>
      <c r="BY136" s="99"/>
      <c r="BZ136" s="99"/>
      <c r="CA136" s="99"/>
      <c r="CB136" s="99"/>
      <c r="CC136" s="99"/>
      <c r="CD136" s="99"/>
      <c r="CE136" s="99"/>
      <c r="CF136" s="99"/>
      <c r="CG136" s="99"/>
      <c r="CH136" s="99"/>
      <c r="CI136" s="99"/>
      <c r="CJ136" s="100"/>
      <c r="CK136" s="101"/>
      <c r="CL136" s="99"/>
      <c r="CM136" s="99"/>
      <c r="CN136" s="99"/>
      <c r="CO136" s="99"/>
      <c r="CP136" s="99"/>
      <c r="CQ136" s="100"/>
      <c r="CR136" s="101"/>
      <c r="CS136" s="99"/>
      <c r="CT136" s="100"/>
      <c r="CU136" s="101"/>
      <c r="CV136" s="99"/>
      <c r="CW136" s="99"/>
      <c r="CX136" s="99"/>
      <c r="CY136" s="99"/>
    </row>
    <row r="137" spans="1:103" ht="25.5" hidden="1" outlineLevel="1" x14ac:dyDescent="0.2">
      <c r="A137" s="424" t="s">
        <v>652</v>
      </c>
      <c r="B137" s="401" t="str">
        <f>VLOOKUP(A137,[1]ACTIONS!$A$3:$B$238,2,0)</f>
        <v>Procéder aux études et travaux de raccordement  aux réseaux d’égouttage connectés aux STEPs d’autres égouts orphelins qui auraient été identifiés</v>
      </c>
      <c r="C137" s="96"/>
      <c r="D137" s="96"/>
      <c r="E137" s="96"/>
      <c r="F137" s="96">
        <v>900000</v>
      </c>
      <c r="G137" s="96"/>
      <c r="H137" s="96">
        <v>900000</v>
      </c>
      <c r="I137" s="97"/>
      <c r="J137" s="97"/>
      <c r="K137" s="98"/>
      <c r="L137" s="99"/>
      <c r="M137" s="99"/>
      <c r="N137" s="99"/>
      <c r="O137" s="99"/>
      <c r="P137" s="99"/>
      <c r="Q137" s="99"/>
      <c r="R137" s="99"/>
      <c r="S137" s="99"/>
      <c r="T137" s="99"/>
      <c r="U137" s="99"/>
      <c r="V137" s="99"/>
      <c r="W137" s="99"/>
      <c r="X137" s="99"/>
      <c r="Y137" s="99"/>
      <c r="Z137" s="100"/>
      <c r="AA137" s="101"/>
      <c r="AB137" s="99"/>
      <c r="AC137" s="99"/>
      <c r="AD137" s="99"/>
      <c r="AE137" s="99"/>
      <c r="AF137" s="99"/>
      <c r="AG137" s="100"/>
      <c r="AH137" s="101"/>
      <c r="AI137" s="99"/>
      <c r="AJ137" s="100"/>
      <c r="AK137" s="101"/>
      <c r="AL137" s="99"/>
      <c r="AM137" s="99"/>
      <c r="AN137" s="99"/>
      <c r="AO137" s="100"/>
      <c r="AP137" s="98"/>
      <c r="AQ137" s="99"/>
      <c r="AR137" s="99"/>
      <c r="AS137" s="99"/>
      <c r="AT137" s="99"/>
      <c r="AU137" s="99"/>
      <c r="AV137" s="99"/>
      <c r="AW137" s="99"/>
      <c r="AX137" s="99"/>
      <c r="AY137" s="99"/>
      <c r="AZ137" s="99"/>
      <c r="BA137" s="99"/>
      <c r="BB137" s="99"/>
      <c r="BC137" s="99"/>
      <c r="BD137" s="99"/>
      <c r="BE137" s="100"/>
      <c r="BF137" s="101"/>
      <c r="BG137" s="99"/>
      <c r="BH137" s="99"/>
      <c r="BI137" s="99"/>
      <c r="BJ137" s="99"/>
      <c r="BK137" s="99"/>
      <c r="BL137" s="100"/>
      <c r="BM137" s="101"/>
      <c r="BN137" s="99"/>
      <c r="BO137" s="100"/>
      <c r="BP137" s="101"/>
      <c r="BQ137" s="99"/>
      <c r="BR137" s="99"/>
      <c r="BS137" s="99"/>
      <c r="BT137" s="100"/>
      <c r="BU137" s="98"/>
      <c r="BV137" s="99"/>
      <c r="BW137" s="99"/>
      <c r="BX137" s="99"/>
      <c r="BY137" s="99"/>
      <c r="BZ137" s="99"/>
      <c r="CA137" s="99"/>
      <c r="CB137" s="99"/>
      <c r="CC137" s="99"/>
      <c r="CD137" s="99"/>
      <c r="CE137" s="99"/>
      <c r="CF137" s="99"/>
      <c r="CG137" s="99"/>
      <c r="CH137" s="99"/>
      <c r="CI137" s="99"/>
      <c r="CJ137" s="100"/>
      <c r="CK137" s="101"/>
      <c r="CL137" s="99"/>
      <c r="CM137" s="99"/>
      <c r="CN137" s="99"/>
      <c r="CO137" s="99"/>
      <c r="CP137" s="99"/>
      <c r="CQ137" s="100"/>
      <c r="CR137" s="101"/>
      <c r="CS137" s="99"/>
      <c r="CT137" s="100"/>
      <c r="CU137" s="101"/>
      <c r="CV137" s="99"/>
      <c r="CW137" s="99"/>
      <c r="CX137" s="99"/>
      <c r="CY137" s="99"/>
    </row>
    <row r="138" spans="1:103" ht="25.5" hidden="1" outlineLevel="1" x14ac:dyDescent="0.2">
      <c r="A138" s="424" t="s">
        <v>653</v>
      </c>
      <c r="B138" s="401" t="str">
        <f>VLOOKUP(A138,[1]ACTIONS!$A$3:$B$238,2,0)</f>
        <v>Actualiser la carte des zones égouttées, mais non raccordées aux stations d’épuration dans l’inventaire BE des émissions polluantes vers les eaux de surface (WEISS)</v>
      </c>
      <c r="C138" s="96"/>
      <c r="D138" s="96"/>
      <c r="E138" s="96"/>
      <c r="F138" s="96">
        <v>0</v>
      </c>
      <c r="G138" s="96"/>
      <c r="H138" s="96">
        <v>0</v>
      </c>
      <c r="I138" s="97"/>
      <c r="J138" s="97"/>
      <c r="K138" s="98"/>
      <c r="L138" s="99"/>
      <c r="M138" s="99"/>
      <c r="N138" s="99"/>
      <c r="O138" s="99"/>
      <c r="P138" s="99"/>
      <c r="Q138" s="99"/>
      <c r="R138" s="99"/>
      <c r="S138" s="99"/>
      <c r="T138" s="99"/>
      <c r="U138" s="99"/>
      <c r="V138" s="99"/>
      <c r="W138" s="99"/>
      <c r="X138" s="99"/>
      <c r="Y138" s="99"/>
      <c r="Z138" s="100"/>
      <c r="AA138" s="101"/>
      <c r="AB138" s="99"/>
      <c r="AC138" s="99"/>
      <c r="AD138" s="99"/>
      <c r="AE138" s="99"/>
      <c r="AF138" s="99"/>
      <c r="AG138" s="100"/>
      <c r="AH138" s="101"/>
      <c r="AI138" s="99"/>
      <c r="AJ138" s="100"/>
      <c r="AK138" s="101"/>
      <c r="AL138" s="99"/>
      <c r="AM138" s="99"/>
      <c r="AN138" s="99"/>
      <c r="AO138" s="100"/>
      <c r="AP138" s="98"/>
      <c r="AQ138" s="99"/>
      <c r="AR138" s="99"/>
      <c r="AS138" s="99"/>
      <c r="AT138" s="99"/>
      <c r="AU138" s="99"/>
      <c r="AV138" s="99"/>
      <c r="AW138" s="99"/>
      <c r="AX138" s="99"/>
      <c r="AY138" s="99"/>
      <c r="AZ138" s="99"/>
      <c r="BA138" s="99"/>
      <c r="BB138" s="99"/>
      <c r="BC138" s="99"/>
      <c r="BD138" s="99"/>
      <c r="BE138" s="100"/>
      <c r="BF138" s="101"/>
      <c r="BG138" s="99"/>
      <c r="BH138" s="99"/>
      <c r="BI138" s="99"/>
      <c r="BJ138" s="99"/>
      <c r="BK138" s="99"/>
      <c r="BL138" s="100"/>
      <c r="BM138" s="101"/>
      <c r="BN138" s="99"/>
      <c r="BO138" s="100"/>
      <c r="BP138" s="101"/>
      <c r="BQ138" s="99"/>
      <c r="BR138" s="99"/>
      <c r="BS138" s="99"/>
      <c r="BT138" s="100"/>
      <c r="BU138" s="98"/>
      <c r="BV138" s="99"/>
      <c r="BW138" s="99"/>
      <c r="BX138" s="99"/>
      <c r="BY138" s="99"/>
      <c r="BZ138" s="99"/>
      <c r="CA138" s="99"/>
      <c r="CB138" s="99"/>
      <c r="CC138" s="99"/>
      <c r="CD138" s="99"/>
      <c r="CE138" s="99"/>
      <c r="CF138" s="99"/>
      <c r="CG138" s="99"/>
      <c r="CH138" s="99"/>
      <c r="CI138" s="99"/>
      <c r="CJ138" s="100"/>
      <c r="CK138" s="101"/>
      <c r="CL138" s="99"/>
      <c r="CM138" s="99"/>
      <c r="CN138" s="99"/>
      <c r="CO138" s="99"/>
      <c r="CP138" s="99"/>
      <c r="CQ138" s="100"/>
      <c r="CR138" s="101"/>
      <c r="CS138" s="99"/>
      <c r="CT138" s="100"/>
      <c r="CU138" s="101"/>
      <c r="CV138" s="99"/>
      <c r="CW138" s="99"/>
      <c r="CX138" s="99"/>
      <c r="CY138" s="99"/>
    </row>
    <row r="139" spans="1:103" ht="25.5" collapsed="1" x14ac:dyDescent="0.2">
      <c r="A139" s="394" t="s">
        <v>10</v>
      </c>
      <c r="B139" s="395" t="str">
        <f>VLOOKUP(A139,'1. Mesures'!$A$2:$B$116,2,0)</f>
        <v>Assurer la gestion des déchets macroscopiques dans les masses d'eau, en particulier après les épisodes de déversement</v>
      </c>
      <c r="C139" s="96"/>
      <c r="D139" s="96"/>
      <c r="E139" s="96"/>
      <c r="F139" s="96">
        <f>SUM(F140:F153)</f>
        <v>457000</v>
      </c>
      <c r="G139" s="96"/>
      <c r="H139" s="96">
        <f>SUM(H140:H153)</f>
        <v>457000</v>
      </c>
      <c r="I139" s="97" t="s">
        <v>1589</v>
      </c>
      <c r="J139" s="97"/>
      <c r="K139" s="98"/>
      <c r="L139" s="99"/>
      <c r="M139" s="99"/>
      <c r="N139" s="99"/>
      <c r="O139" s="99"/>
      <c r="P139" s="99"/>
      <c r="Q139" s="99" t="s">
        <v>1590</v>
      </c>
      <c r="R139" s="99"/>
      <c r="S139" s="99"/>
      <c r="T139" s="99"/>
      <c r="U139" s="99"/>
      <c r="V139" s="99"/>
      <c r="W139" s="99"/>
      <c r="X139" s="99"/>
      <c r="Y139" s="99"/>
      <c r="Z139" s="100" t="s">
        <v>1590</v>
      </c>
      <c r="AA139" s="101"/>
      <c r="AB139" s="99"/>
      <c r="AC139" s="99"/>
      <c r="AD139" s="99"/>
      <c r="AE139" s="99"/>
      <c r="AF139" s="99"/>
      <c r="AG139" s="100"/>
      <c r="AH139" s="101"/>
      <c r="AI139" s="99"/>
      <c r="AJ139" s="100"/>
      <c r="AK139" s="101"/>
      <c r="AL139" s="99"/>
      <c r="AM139" s="99"/>
      <c r="AN139" s="99" t="s">
        <v>1590</v>
      </c>
      <c r="AO139" s="100" t="s">
        <v>1590</v>
      </c>
      <c r="AP139" s="98"/>
      <c r="AQ139" s="99"/>
      <c r="AR139" s="99"/>
      <c r="AS139" s="99"/>
      <c r="AT139" s="99"/>
      <c r="AU139" s="99"/>
      <c r="AV139" s="99"/>
      <c r="AW139" s="99"/>
      <c r="AX139" s="99"/>
      <c r="AY139" s="99"/>
      <c r="AZ139" s="99"/>
      <c r="BA139" s="99"/>
      <c r="BB139" s="99"/>
      <c r="BC139" s="99"/>
      <c r="BD139" s="99"/>
      <c r="BE139" s="100" t="s">
        <v>1590</v>
      </c>
      <c r="BF139" s="101"/>
      <c r="BG139" s="99"/>
      <c r="BH139" s="99"/>
      <c r="BI139" s="99"/>
      <c r="BJ139" s="99"/>
      <c r="BK139" s="99"/>
      <c r="BL139" s="100"/>
      <c r="BM139" s="101"/>
      <c r="BN139" s="99"/>
      <c r="BO139" s="100"/>
      <c r="BP139" s="101"/>
      <c r="BQ139" s="99"/>
      <c r="BR139" s="99"/>
      <c r="BS139" s="99" t="s">
        <v>1590</v>
      </c>
      <c r="BT139" s="100" t="s">
        <v>1590</v>
      </c>
      <c r="BU139" s="98"/>
      <c r="BV139" s="99"/>
      <c r="BW139" s="99"/>
      <c r="BX139" s="99"/>
      <c r="BY139" s="99"/>
      <c r="BZ139" s="99"/>
      <c r="CA139" s="99"/>
      <c r="CB139" s="99"/>
      <c r="CC139" s="99"/>
      <c r="CD139" s="99"/>
      <c r="CE139" s="99"/>
      <c r="CF139" s="99"/>
      <c r="CG139" s="99"/>
      <c r="CH139" s="99"/>
      <c r="CI139" s="99"/>
      <c r="CJ139" s="100"/>
      <c r="CK139" s="101"/>
      <c r="CL139" s="99"/>
      <c r="CM139" s="99"/>
      <c r="CN139" s="99"/>
      <c r="CO139" s="99"/>
      <c r="CP139" s="99"/>
      <c r="CQ139" s="100"/>
      <c r="CR139" s="101"/>
      <c r="CS139" s="99"/>
      <c r="CT139" s="100"/>
      <c r="CU139" s="101"/>
      <c r="CV139" s="99"/>
      <c r="CW139" s="99"/>
      <c r="CX139" s="99"/>
      <c r="CY139" s="99"/>
    </row>
    <row r="140" spans="1:103" hidden="1" outlineLevel="1" x14ac:dyDescent="0.2">
      <c r="A140" s="424" t="s">
        <v>665</v>
      </c>
      <c r="B140" s="401" t="str">
        <f>VLOOKUP(A140,[1]ACTIONS!$A$3:$B$238,2,0)</f>
        <v>Etudier la possibilité de reconnecter le Neerpedebeek à la Senne via un siphon existant (cf. M 1.27).</v>
      </c>
      <c r="C140" s="96"/>
      <c r="D140" s="96"/>
      <c r="E140" s="96"/>
      <c r="F140" s="96">
        <v>0</v>
      </c>
      <c r="G140" s="96"/>
      <c r="H140" s="96">
        <v>0</v>
      </c>
      <c r="I140" s="97"/>
      <c r="J140" s="97"/>
      <c r="K140" s="98"/>
      <c r="L140" s="99"/>
      <c r="M140" s="99"/>
      <c r="N140" s="99"/>
      <c r="O140" s="99"/>
      <c r="P140" s="99"/>
      <c r="Q140" s="99"/>
      <c r="R140" s="99"/>
      <c r="S140" s="99"/>
      <c r="T140" s="99"/>
      <c r="U140" s="99"/>
      <c r="V140" s="99"/>
      <c r="W140" s="99"/>
      <c r="X140" s="99"/>
      <c r="Y140" s="99"/>
      <c r="Z140" s="100"/>
      <c r="AA140" s="101"/>
      <c r="AB140" s="99"/>
      <c r="AC140" s="99"/>
      <c r="AD140" s="99"/>
      <c r="AE140" s="99"/>
      <c r="AF140" s="99"/>
      <c r="AG140" s="100"/>
      <c r="AH140" s="101"/>
      <c r="AI140" s="99"/>
      <c r="AJ140" s="100"/>
      <c r="AK140" s="101"/>
      <c r="AL140" s="99"/>
      <c r="AM140" s="99"/>
      <c r="AN140" s="99"/>
      <c r="AO140" s="100"/>
      <c r="AP140" s="98"/>
      <c r="AQ140" s="99"/>
      <c r="AR140" s="99"/>
      <c r="AS140" s="99"/>
      <c r="AT140" s="99"/>
      <c r="AU140" s="99"/>
      <c r="AV140" s="99"/>
      <c r="AW140" s="99"/>
      <c r="AX140" s="99"/>
      <c r="AY140" s="99"/>
      <c r="AZ140" s="99"/>
      <c r="BA140" s="99"/>
      <c r="BB140" s="99"/>
      <c r="BC140" s="99"/>
      <c r="BD140" s="99"/>
      <c r="BE140" s="100"/>
      <c r="BF140" s="101"/>
      <c r="BG140" s="99"/>
      <c r="BH140" s="99"/>
      <c r="BI140" s="99"/>
      <c r="BJ140" s="99"/>
      <c r="BK140" s="99"/>
      <c r="BL140" s="100"/>
      <c r="BM140" s="101"/>
      <c r="BN140" s="99"/>
      <c r="BO140" s="100"/>
      <c r="BP140" s="101"/>
      <c r="BQ140" s="99"/>
      <c r="BR140" s="99"/>
      <c r="BS140" s="99"/>
      <c r="BT140" s="100"/>
      <c r="BU140" s="98"/>
      <c r="BV140" s="99"/>
      <c r="BW140" s="99"/>
      <c r="BX140" s="99"/>
      <c r="BY140" s="99"/>
      <c r="BZ140" s="99"/>
      <c r="CA140" s="99"/>
      <c r="CB140" s="99"/>
      <c r="CC140" s="99"/>
      <c r="CD140" s="99"/>
      <c r="CE140" s="99"/>
      <c r="CF140" s="99"/>
      <c r="CG140" s="99"/>
      <c r="CH140" s="99"/>
      <c r="CI140" s="99"/>
      <c r="CJ140" s="100"/>
      <c r="CK140" s="101"/>
      <c r="CL140" s="99"/>
      <c r="CM140" s="99"/>
      <c r="CN140" s="99"/>
      <c r="CO140" s="99"/>
      <c r="CP140" s="99"/>
      <c r="CQ140" s="100"/>
      <c r="CR140" s="101"/>
      <c r="CS140" s="99"/>
      <c r="CT140" s="100"/>
      <c r="CU140" s="101"/>
      <c r="CV140" s="99"/>
      <c r="CW140" s="99"/>
      <c r="CX140" s="99"/>
      <c r="CY140" s="99"/>
    </row>
    <row r="141" spans="1:103" ht="25.5" hidden="1" outlineLevel="1" x14ac:dyDescent="0.2">
      <c r="A141" s="424" t="s">
        <v>654</v>
      </c>
      <c r="B141" s="401" t="str">
        <f>VLOOKUP(A141,[1]ACTIONS!$A$3:$B$238,2,0)</f>
        <v>Poursuivre le nettoyage régulier des macro-déchets flottants du Canal au moyen des bateaux et des litter traps, et des éventuels nouveaux dispositifs installés au niveau du Canal</v>
      </c>
      <c r="C141" s="96"/>
      <c r="D141" s="96"/>
      <c r="E141" s="96"/>
      <c r="F141" s="96">
        <v>0</v>
      </c>
      <c r="G141" s="96"/>
      <c r="H141" s="96">
        <v>0</v>
      </c>
      <c r="I141" s="97"/>
      <c r="J141" s="97"/>
      <c r="K141" s="98"/>
      <c r="L141" s="99"/>
      <c r="M141" s="99"/>
      <c r="N141" s="99"/>
      <c r="O141" s="99"/>
      <c r="P141" s="99"/>
      <c r="Q141" s="99"/>
      <c r="R141" s="99"/>
      <c r="S141" s="99"/>
      <c r="T141" s="99"/>
      <c r="U141" s="99"/>
      <c r="V141" s="99"/>
      <c r="W141" s="99"/>
      <c r="X141" s="99"/>
      <c r="Y141" s="99"/>
      <c r="Z141" s="100"/>
      <c r="AA141" s="101"/>
      <c r="AB141" s="99"/>
      <c r="AC141" s="99"/>
      <c r="AD141" s="99"/>
      <c r="AE141" s="99"/>
      <c r="AF141" s="99"/>
      <c r="AG141" s="100"/>
      <c r="AH141" s="101"/>
      <c r="AI141" s="99"/>
      <c r="AJ141" s="100"/>
      <c r="AK141" s="101"/>
      <c r="AL141" s="99"/>
      <c r="AM141" s="99"/>
      <c r="AN141" s="99"/>
      <c r="AO141" s="100"/>
      <c r="AP141" s="98"/>
      <c r="AQ141" s="99"/>
      <c r="AR141" s="99"/>
      <c r="AS141" s="99"/>
      <c r="AT141" s="99"/>
      <c r="AU141" s="99"/>
      <c r="AV141" s="99"/>
      <c r="AW141" s="99"/>
      <c r="AX141" s="99"/>
      <c r="AY141" s="99"/>
      <c r="AZ141" s="99"/>
      <c r="BA141" s="99"/>
      <c r="BB141" s="99"/>
      <c r="BC141" s="99"/>
      <c r="BD141" s="99"/>
      <c r="BE141" s="100"/>
      <c r="BF141" s="101"/>
      <c r="BG141" s="99"/>
      <c r="BH141" s="99"/>
      <c r="BI141" s="99"/>
      <c r="BJ141" s="99"/>
      <c r="BK141" s="99"/>
      <c r="BL141" s="100"/>
      <c r="BM141" s="101"/>
      <c r="BN141" s="99"/>
      <c r="BO141" s="100"/>
      <c r="BP141" s="101"/>
      <c r="BQ141" s="99"/>
      <c r="BR141" s="99"/>
      <c r="BS141" s="99"/>
      <c r="BT141" s="100"/>
      <c r="BU141" s="98"/>
      <c r="BV141" s="99"/>
      <c r="BW141" s="99"/>
      <c r="BX141" s="99"/>
      <c r="BY141" s="99"/>
      <c r="BZ141" s="99"/>
      <c r="CA141" s="99"/>
      <c r="CB141" s="99"/>
      <c r="CC141" s="99"/>
      <c r="CD141" s="99"/>
      <c r="CE141" s="99"/>
      <c r="CF141" s="99"/>
      <c r="CG141" s="99"/>
      <c r="CH141" s="99"/>
      <c r="CI141" s="99"/>
      <c r="CJ141" s="100"/>
      <c r="CK141" s="101"/>
      <c r="CL141" s="99"/>
      <c r="CM141" s="99"/>
      <c r="CN141" s="99"/>
      <c r="CO141" s="99"/>
      <c r="CP141" s="99"/>
      <c r="CQ141" s="100"/>
      <c r="CR141" s="101"/>
      <c r="CS141" s="99"/>
      <c r="CT141" s="100"/>
      <c r="CU141" s="101"/>
      <c r="CV141" s="99"/>
      <c r="CW141" s="99"/>
      <c r="CX141" s="99"/>
      <c r="CY141" s="99"/>
    </row>
    <row r="142" spans="1:103" hidden="1" outlineLevel="1" x14ac:dyDescent="0.2">
      <c r="A142" s="424" t="s">
        <v>655</v>
      </c>
      <c r="B142" s="401" t="str">
        <f>VLOOKUP(A142,[1]ACTIONS!$A$3:$B$238,2,0)</f>
        <v>Entretenir le système de dégrillage de la Senne au niveau de la rue des Vétérinaires à Anderlecht</v>
      </c>
      <c r="C142" s="96"/>
      <c r="D142" s="96"/>
      <c r="E142" s="96"/>
      <c r="F142" s="96">
        <v>210000</v>
      </c>
      <c r="G142" s="96"/>
      <c r="H142" s="96">
        <v>210000</v>
      </c>
      <c r="I142" s="97"/>
      <c r="J142" s="97"/>
      <c r="K142" s="98"/>
      <c r="L142" s="99"/>
      <c r="M142" s="99"/>
      <c r="N142" s="99"/>
      <c r="O142" s="99"/>
      <c r="P142" s="99"/>
      <c r="Q142" s="99"/>
      <c r="R142" s="99"/>
      <c r="S142" s="99"/>
      <c r="T142" s="99"/>
      <c r="U142" s="99"/>
      <c r="V142" s="99"/>
      <c r="W142" s="99"/>
      <c r="X142" s="99"/>
      <c r="Y142" s="99"/>
      <c r="Z142" s="100"/>
      <c r="AA142" s="101"/>
      <c r="AB142" s="99"/>
      <c r="AC142" s="99"/>
      <c r="AD142" s="99"/>
      <c r="AE142" s="99"/>
      <c r="AF142" s="99"/>
      <c r="AG142" s="100"/>
      <c r="AH142" s="101"/>
      <c r="AI142" s="99"/>
      <c r="AJ142" s="100"/>
      <c r="AK142" s="101"/>
      <c r="AL142" s="99"/>
      <c r="AM142" s="99"/>
      <c r="AN142" s="99"/>
      <c r="AO142" s="100"/>
      <c r="AP142" s="98"/>
      <c r="AQ142" s="99"/>
      <c r="AR142" s="99"/>
      <c r="AS142" s="99"/>
      <c r="AT142" s="99"/>
      <c r="AU142" s="99"/>
      <c r="AV142" s="99"/>
      <c r="AW142" s="99"/>
      <c r="AX142" s="99"/>
      <c r="AY142" s="99"/>
      <c r="AZ142" s="99"/>
      <c r="BA142" s="99"/>
      <c r="BB142" s="99"/>
      <c r="BC142" s="99"/>
      <c r="BD142" s="99"/>
      <c r="BE142" s="100"/>
      <c r="BF142" s="101"/>
      <c r="BG142" s="99"/>
      <c r="BH142" s="99"/>
      <c r="BI142" s="99"/>
      <c r="BJ142" s="99"/>
      <c r="BK142" s="99"/>
      <c r="BL142" s="100"/>
      <c r="BM142" s="101"/>
      <c r="BN142" s="99"/>
      <c r="BO142" s="100"/>
      <c r="BP142" s="101"/>
      <c r="BQ142" s="99"/>
      <c r="BR142" s="99"/>
      <c r="BS142" s="99"/>
      <c r="BT142" s="100"/>
      <c r="BU142" s="98"/>
      <c r="BV142" s="99"/>
      <c r="BW142" s="99"/>
      <c r="BX142" s="99"/>
      <c r="BY142" s="99"/>
      <c r="BZ142" s="99"/>
      <c r="CA142" s="99"/>
      <c r="CB142" s="99"/>
      <c r="CC142" s="99"/>
      <c r="CD142" s="99"/>
      <c r="CE142" s="99"/>
      <c r="CF142" s="99"/>
      <c r="CG142" s="99"/>
      <c r="CH142" s="99"/>
      <c r="CI142" s="99"/>
      <c r="CJ142" s="100"/>
      <c r="CK142" s="101"/>
      <c r="CL142" s="99"/>
      <c r="CM142" s="99"/>
      <c r="CN142" s="99"/>
      <c r="CO142" s="99"/>
      <c r="CP142" s="99"/>
      <c r="CQ142" s="100"/>
      <c r="CR142" s="101"/>
      <c r="CS142" s="99"/>
      <c r="CT142" s="100"/>
      <c r="CU142" s="101"/>
      <c r="CV142" s="99"/>
      <c r="CW142" s="99"/>
      <c r="CX142" s="99"/>
      <c r="CY142" s="99"/>
    </row>
    <row r="143" spans="1:103" ht="25.5" hidden="1" outlineLevel="1" x14ac:dyDescent="0.2">
      <c r="A143" s="424" t="s">
        <v>656</v>
      </c>
      <c r="B143" s="401" t="str">
        <f>VLOOKUP(A143,[1]ACTIONS!$A$3:$B$238,2,0)</f>
        <v xml:space="preserve">Etudier et expérimenter la mise en place de systèmes de rétention des macro-déchets flottants sur les affluents de la Senne, en coordination avec les éco-cantonniers de BE </v>
      </c>
      <c r="C143" s="96"/>
      <c r="D143" s="96"/>
      <c r="E143" s="96"/>
      <c r="F143" s="96">
        <v>25000</v>
      </c>
      <c r="G143" s="96"/>
      <c r="H143" s="96">
        <v>25000</v>
      </c>
      <c r="I143" s="97"/>
      <c r="J143" s="97"/>
      <c r="K143" s="98"/>
      <c r="L143" s="99"/>
      <c r="M143" s="99"/>
      <c r="N143" s="99"/>
      <c r="O143" s="99"/>
      <c r="P143" s="99"/>
      <c r="Q143" s="99"/>
      <c r="R143" s="99"/>
      <c r="S143" s="99"/>
      <c r="T143" s="99"/>
      <c r="U143" s="99"/>
      <c r="V143" s="99"/>
      <c r="W143" s="99"/>
      <c r="X143" s="99"/>
      <c r="Y143" s="99"/>
      <c r="Z143" s="100"/>
      <c r="AA143" s="101"/>
      <c r="AB143" s="99"/>
      <c r="AC143" s="99"/>
      <c r="AD143" s="99"/>
      <c r="AE143" s="99"/>
      <c r="AF143" s="99"/>
      <c r="AG143" s="100"/>
      <c r="AH143" s="101"/>
      <c r="AI143" s="99"/>
      <c r="AJ143" s="100"/>
      <c r="AK143" s="101"/>
      <c r="AL143" s="99"/>
      <c r="AM143" s="99"/>
      <c r="AN143" s="99"/>
      <c r="AO143" s="100"/>
      <c r="AP143" s="98"/>
      <c r="AQ143" s="99"/>
      <c r="AR143" s="99"/>
      <c r="AS143" s="99"/>
      <c r="AT143" s="99"/>
      <c r="AU143" s="99"/>
      <c r="AV143" s="99"/>
      <c r="AW143" s="99"/>
      <c r="AX143" s="99"/>
      <c r="AY143" s="99"/>
      <c r="AZ143" s="99"/>
      <c r="BA143" s="99"/>
      <c r="BB143" s="99"/>
      <c r="BC143" s="99"/>
      <c r="BD143" s="99"/>
      <c r="BE143" s="100"/>
      <c r="BF143" s="101"/>
      <c r="BG143" s="99"/>
      <c r="BH143" s="99"/>
      <c r="BI143" s="99"/>
      <c r="BJ143" s="99"/>
      <c r="BK143" s="99"/>
      <c r="BL143" s="100"/>
      <c r="BM143" s="101"/>
      <c r="BN143" s="99"/>
      <c r="BO143" s="100"/>
      <c r="BP143" s="101"/>
      <c r="BQ143" s="99"/>
      <c r="BR143" s="99"/>
      <c r="BS143" s="99"/>
      <c r="BT143" s="100"/>
      <c r="BU143" s="98"/>
      <c r="BV143" s="99"/>
      <c r="BW143" s="99"/>
      <c r="BX143" s="99"/>
      <c r="BY143" s="99"/>
      <c r="BZ143" s="99"/>
      <c r="CA143" s="99"/>
      <c r="CB143" s="99"/>
      <c r="CC143" s="99"/>
      <c r="CD143" s="99"/>
      <c r="CE143" s="99"/>
      <c r="CF143" s="99"/>
      <c r="CG143" s="99"/>
      <c r="CH143" s="99"/>
      <c r="CI143" s="99"/>
      <c r="CJ143" s="100"/>
      <c r="CK143" s="101"/>
      <c r="CL143" s="99"/>
      <c r="CM143" s="99"/>
      <c r="CN143" s="99"/>
      <c r="CO143" s="99"/>
      <c r="CP143" s="99"/>
      <c r="CQ143" s="100"/>
      <c r="CR143" s="101"/>
      <c r="CS143" s="99"/>
      <c r="CT143" s="100"/>
      <c r="CU143" s="101"/>
      <c r="CV143" s="99"/>
      <c r="CW143" s="99"/>
      <c r="CX143" s="99"/>
      <c r="CY143" s="99"/>
    </row>
    <row r="144" spans="1:103" ht="25.5" hidden="1" outlineLevel="1" x14ac:dyDescent="0.2">
      <c r="A144" s="424" t="s">
        <v>657</v>
      </c>
      <c r="B144" s="401" t="str">
        <f>VLOOKUP(A144,[1]ACTIONS!$A$3:$B$238,2,0)</f>
        <v>Identifier les zones d’accumulation de macro-déchets flottants dans le Canal, et des conditions et voies d’entrée principales</v>
      </c>
      <c r="C144" s="96"/>
      <c r="D144" s="96"/>
      <c r="E144" s="96"/>
      <c r="F144" s="96">
        <v>0</v>
      </c>
      <c r="G144" s="96"/>
      <c r="H144" s="96">
        <v>0</v>
      </c>
      <c r="I144" s="97"/>
      <c r="J144" s="97"/>
      <c r="K144" s="98"/>
      <c r="L144" s="99"/>
      <c r="M144" s="99"/>
      <c r="N144" s="99"/>
      <c r="O144" s="99"/>
      <c r="P144" s="99"/>
      <c r="Q144" s="99"/>
      <c r="R144" s="99"/>
      <c r="S144" s="99"/>
      <c r="T144" s="99"/>
      <c r="U144" s="99"/>
      <c r="V144" s="99"/>
      <c r="W144" s="99"/>
      <c r="X144" s="99"/>
      <c r="Y144" s="99"/>
      <c r="Z144" s="100"/>
      <c r="AA144" s="101"/>
      <c r="AB144" s="99"/>
      <c r="AC144" s="99"/>
      <c r="AD144" s="99"/>
      <c r="AE144" s="99"/>
      <c r="AF144" s="99"/>
      <c r="AG144" s="100"/>
      <c r="AH144" s="101"/>
      <c r="AI144" s="99"/>
      <c r="AJ144" s="100"/>
      <c r="AK144" s="101"/>
      <c r="AL144" s="99"/>
      <c r="AM144" s="99"/>
      <c r="AN144" s="99"/>
      <c r="AO144" s="100"/>
      <c r="AP144" s="98"/>
      <c r="AQ144" s="99"/>
      <c r="AR144" s="99"/>
      <c r="AS144" s="99"/>
      <c r="AT144" s="99"/>
      <c r="AU144" s="99"/>
      <c r="AV144" s="99"/>
      <c r="AW144" s="99"/>
      <c r="AX144" s="99"/>
      <c r="AY144" s="99"/>
      <c r="AZ144" s="99"/>
      <c r="BA144" s="99"/>
      <c r="BB144" s="99"/>
      <c r="BC144" s="99"/>
      <c r="BD144" s="99"/>
      <c r="BE144" s="100"/>
      <c r="BF144" s="101"/>
      <c r="BG144" s="99"/>
      <c r="BH144" s="99"/>
      <c r="BI144" s="99"/>
      <c r="BJ144" s="99"/>
      <c r="BK144" s="99"/>
      <c r="BL144" s="100"/>
      <c r="BM144" s="101"/>
      <c r="BN144" s="99"/>
      <c r="BO144" s="100"/>
      <c r="BP144" s="101"/>
      <c r="BQ144" s="99"/>
      <c r="BR144" s="99"/>
      <c r="BS144" s="99"/>
      <c r="BT144" s="100"/>
      <c r="BU144" s="98"/>
      <c r="BV144" s="99"/>
      <c r="BW144" s="99"/>
      <c r="BX144" s="99"/>
      <c r="BY144" s="99"/>
      <c r="BZ144" s="99"/>
      <c r="CA144" s="99"/>
      <c r="CB144" s="99"/>
      <c r="CC144" s="99"/>
      <c r="CD144" s="99"/>
      <c r="CE144" s="99"/>
      <c r="CF144" s="99"/>
      <c r="CG144" s="99"/>
      <c r="CH144" s="99"/>
      <c r="CI144" s="99"/>
      <c r="CJ144" s="100"/>
      <c r="CK144" s="101"/>
      <c r="CL144" s="99"/>
      <c r="CM144" s="99"/>
      <c r="CN144" s="99"/>
      <c r="CO144" s="99"/>
      <c r="CP144" s="99"/>
      <c r="CQ144" s="100"/>
      <c r="CR144" s="101"/>
      <c r="CS144" s="99"/>
      <c r="CT144" s="100"/>
      <c r="CU144" s="101"/>
      <c r="CV144" s="99"/>
      <c r="CW144" s="99"/>
      <c r="CX144" s="99"/>
      <c r="CY144" s="99"/>
    </row>
    <row r="145" spans="1:103" ht="25.5" hidden="1" outlineLevel="1" x14ac:dyDescent="0.2">
      <c r="A145" s="424" t="s">
        <v>658</v>
      </c>
      <c r="B145" s="401" t="str">
        <f>VLOOKUP(A145,[1]ACTIONS!$A$3:$B$238,2,0)</f>
        <v>Réaliser une étude sur la gestion actuelle des macro-déchets flottants dans le Canal (évaluation sur une éventuelle optimisation de cette gestion par de nouveaux dispositifs et le choix de ceux-ci)</v>
      </c>
      <c r="C145" s="96"/>
      <c r="D145" s="96"/>
      <c r="E145" s="96"/>
      <c r="F145" s="96">
        <v>22000</v>
      </c>
      <c r="G145" s="96"/>
      <c r="H145" s="96">
        <v>22000</v>
      </c>
      <c r="I145" s="97"/>
      <c r="J145" s="97"/>
      <c r="K145" s="98"/>
      <c r="L145" s="99"/>
      <c r="M145" s="99"/>
      <c r="N145" s="99"/>
      <c r="O145" s="99"/>
      <c r="P145" s="99"/>
      <c r="Q145" s="99"/>
      <c r="R145" s="99"/>
      <c r="S145" s="99"/>
      <c r="T145" s="99"/>
      <c r="U145" s="99"/>
      <c r="V145" s="99"/>
      <c r="W145" s="99"/>
      <c r="X145" s="99"/>
      <c r="Y145" s="99"/>
      <c r="Z145" s="100"/>
      <c r="AA145" s="101"/>
      <c r="AB145" s="99"/>
      <c r="AC145" s="99"/>
      <c r="AD145" s="99"/>
      <c r="AE145" s="99"/>
      <c r="AF145" s="99"/>
      <c r="AG145" s="100"/>
      <c r="AH145" s="101"/>
      <c r="AI145" s="99"/>
      <c r="AJ145" s="100"/>
      <c r="AK145" s="101"/>
      <c r="AL145" s="99"/>
      <c r="AM145" s="99"/>
      <c r="AN145" s="99"/>
      <c r="AO145" s="100"/>
      <c r="AP145" s="98"/>
      <c r="AQ145" s="99"/>
      <c r="AR145" s="99"/>
      <c r="AS145" s="99"/>
      <c r="AT145" s="99"/>
      <c r="AU145" s="99"/>
      <c r="AV145" s="99"/>
      <c r="AW145" s="99"/>
      <c r="AX145" s="99"/>
      <c r="AY145" s="99"/>
      <c r="AZ145" s="99"/>
      <c r="BA145" s="99"/>
      <c r="BB145" s="99"/>
      <c r="BC145" s="99"/>
      <c r="BD145" s="99"/>
      <c r="BE145" s="100"/>
      <c r="BF145" s="101"/>
      <c r="BG145" s="99"/>
      <c r="BH145" s="99"/>
      <c r="BI145" s="99"/>
      <c r="BJ145" s="99"/>
      <c r="BK145" s="99"/>
      <c r="BL145" s="100"/>
      <c r="BM145" s="101"/>
      <c r="BN145" s="99"/>
      <c r="BO145" s="100"/>
      <c r="BP145" s="101"/>
      <c r="BQ145" s="99"/>
      <c r="BR145" s="99"/>
      <c r="BS145" s="99"/>
      <c r="BT145" s="100"/>
      <c r="BU145" s="98"/>
      <c r="BV145" s="99"/>
      <c r="BW145" s="99"/>
      <c r="BX145" s="99"/>
      <c r="BY145" s="99"/>
      <c r="BZ145" s="99"/>
      <c r="CA145" s="99"/>
      <c r="CB145" s="99"/>
      <c r="CC145" s="99"/>
      <c r="CD145" s="99"/>
      <c r="CE145" s="99"/>
      <c r="CF145" s="99"/>
      <c r="CG145" s="99"/>
      <c r="CH145" s="99"/>
      <c r="CI145" s="99"/>
      <c r="CJ145" s="100"/>
      <c r="CK145" s="101"/>
      <c r="CL145" s="99"/>
      <c r="CM145" s="99"/>
      <c r="CN145" s="99"/>
      <c r="CO145" s="99"/>
      <c r="CP145" s="99"/>
      <c r="CQ145" s="100"/>
      <c r="CR145" s="101"/>
      <c r="CS145" s="99"/>
      <c r="CT145" s="100"/>
      <c r="CU145" s="101"/>
      <c r="CV145" s="99"/>
      <c r="CW145" s="99"/>
      <c r="CX145" s="99"/>
      <c r="CY145" s="99"/>
    </row>
    <row r="146" spans="1:103" ht="25.5" hidden="1" outlineLevel="1" x14ac:dyDescent="0.2">
      <c r="A146" s="424" t="s">
        <v>659</v>
      </c>
      <c r="B146" s="401" t="str">
        <f>VLOOKUP(A146,[1]ACTIONS!$A$3:$B$238,2,0)</f>
        <v>Installer de nouveaux dispositifs de capture des macro-déchets flottants au niveau du Canal et mettre en œuvre de nouvelles mesures de gestion, suivant les recommandations de l’étude (1.11.3)</v>
      </c>
      <c r="C146" s="96"/>
      <c r="D146" s="96"/>
      <c r="E146" s="96"/>
      <c r="F146" s="96">
        <v>200000</v>
      </c>
      <c r="G146" s="96"/>
      <c r="H146" s="96">
        <v>200000</v>
      </c>
      <c r="I146" s="97"/>
      <c r="J146" s="97"/>
      <c r="K146" s="98"/>
      <c r="L146" s="99"/>
      <c r="M146" s="99"/>
      <c r="N146" s="99"/>
      <c r="O146" s="99"/>
      <c r="P146" s="99"/>
      <c r="Q146" s="99"/>
      <c r="R146" s="99"/>
      <c r="S146" s="99"/>
      <c r="T146" s="99"/>
      <c r="U146" s="99"/>
      <c r="V146" s="99"/>
      <c r="W146" s="99"/>
      <c r="X146" s="99"/>
      <c r="Y146" s="99"/>
      <c r="Z146" s="100"/>
      <c r="AA146" s="101"/>
      <c r="AB146" s="99"/>
      <c r="AC146" s="99"/>
      <c r="AD146" s="99"/>
      <c r="AE146" s="99"/>
      <c r="AF146" s="99"/>
      <c r="AG146" s="100"/>
      <c r="AH146" s="101"/>
      <c r="AI146" s="99"/>
      <c r="AJ146" s="100"/>
      <c r="AK146" s="101"/>
      <c r="AL146" s="99"/>
      <c r="AM146" s="99"/>
      <c r="AN146" s="99"/>
      <c r="AO146" s="100"/>
      <c r="AP146" s="98"/>
      <c r="AQ146" s="99"/>
      <c r="AR146" s="99"/>
      <c r="AS146" s="99"/>
      <c r="AT146" s="99"/>
      <c r="AU146" s="99"/>
      <c r="AV146" s="99"/>
      <c r="AW146" s="99"/>
      <c r="AX146" s="99"/>
      <c r="AY146" s="99"/>
      <c r="AZ146" s="99"/>
      <c r="BA146" s="99"/>
      <c r="BB146" s="99"/>
      <c r="BC146" s="99"/>
      <c r="BD146" s="99"/>
      <c r="BE146" s="100"/>
      <c r="BF146" s="101"/>
      <c r="BG146" s="99"/>
      <c r="BH146" s="99"/>
      <c r="BI146" s="99"/>
      <c r="BJ146" s="99"/>
      <c r="BK146" s="99"/>
      <c r="BL146" s="100"/>
      <c r="BM146" s="101"/>
      <c r="BN146" s="99"/>
      <c r="BO146" s="100"/>
      <c r="BP146" s="101"/>
      <c r="BQ146" s="99"/>
      <c r="BR146" s="99"/>
      <c r="BS146" s="99"/>
      <c r="BT146" s="100"/>
      <c r="BU146" s="98"/>
      <c r="BV146" s="99"/>
      <c r="BW146" s="99"/>
      <c r="BX146" s="99"/>
      <c r="BY146" s="99"/>
      <c r="BZ146" s="99"/>
      <c r="CA146" s="99"/>
      <c r="CB146" s="99"/>
      <c r="CC146" s="99"/>
      <c r="CD146" s="99"/>
      <c r="CE146" s="99"/>
      <c r="CF146" s="99"/>
      <c r="CG146" s="99"/>
      <c r="CH146" s="99"/>
      <c r="CI146" s="99"/>
      <c r="CJ146" s="100"/>
      <c r="CK146" s="101"/>
      <c r="CL146" s="99"/>
      <c r="CM146" s="99"/>
      <c r="CN146" s="99"/>
      <c r="CO146" s="99"/>
      <c r="CP146" s="99"/>
      <c r="CQ146" s="100"/>
      <c r="CR146" s="101"/>
      <c r="CS146" s="99"/>
      <c r="CT146" s="100"/>
      <c r="CU146" s="101"/>
      <c r="CV146" s="99"/>
      <c r="CW146" s="99"/>
      <c r="CX146" s="99"/>
      <c r="CY146" s="99"/>
    </row>
    <row r="147" spans="1:103" hidden="1" outlineLevel="1" x14ac:dyDescent="0.2">
      <c r="A147" s="424" t="s">
        <v>660</v>
      </c>
      <c r="B147" s="401" t="str">
        <f>VLOOKUP(A147,[1]ACTIONS!$A$3:$B$238,2,0)</f>
        <v>Faire l’acquisition d’un troisième bateau de ramassage de déchets</v>
      </c>
      <c r="C147" s="96"/>
      <c r="D147" s="96"/>
      <c r="E147" s="96"/>
      <c r="F147" s="96">
        <v>0</v>
      </c>
      <c r="G147" s="96"/>
      <c r="H147" s="96">
        <v>0</v>
      </c>
      <c r="I147" s="97"/>
      <c r="J147" s="97"/>
      <c r="K147" s="98"/>
      <c r="L147" s="99"/>
      <c r="M147" s="99"/>
      <c r="N147" s="99"/>
      <c r="O147" s="99"/>
      <c r="P147" s="99"/>
      <c r="Q147" s="99"/>
      <c r="R147" s="99"/>
      <c r="S147" s="99"/>
      <c r="T147" s="99"/>
      <c r="U147" s="99"/>
      <c r="V147" s="99"/>
      <c r="W147" s="99"/>
      <c r="X147" s="99"/>
      <c r="Y147" s="99"/>
      <c r="Z147" s="100"/>
      <c r="AA147" s="101"/>
      <c r="AB147" s="99"/>
      <c r="AC147" s="99"/>
      <c r="AD147" s="99"/>
      <c r="AE147" s="99"/>
      <c r="AF147" s="99"/>
      <c r="AG147" s="100"/>
      <c r="AH147" s="101"/>
      <c r="AI147" s="99"/>
      <c r="AJ147" s="100"/>
      <c r="AK147" s="101"/>
      <c r="AL147" s="99"/>
      <c r="AM147" s="99"/>
      <c r="AN147" s="99"/>
      <c r="AO147" s="100"/>
      <c r="AP147" s="98"/>
      <c r="AQ147" s="99"/>
      <c r="AR147" s="99"/>
      <c r="AS147" s="99"/>
      <c r="AT147" s="99"/>
      <c r="AU147" s="99"/>
      <c r="AV147" s="99"/>
      <c r="AW147" s="99"/>
      <c r="AX147" s="99"/>
      <c r="AY147" s="99"/>
      <c r="AZ147" s="99"/>
      <c r="BA147" s="99"/>
      <c r="BB147" s="99"/>
      <c r="BC147" s="99"/>
      <c r="BD147" s="99"/>
      <c r="BE147" s="100"/>
      <c r="BF147" s="101"/>
      <c r="BG147" s="99"/>
      <c r="BH147" s="99"/>
      <c r="BI147" s="99"/>
      <c r="BJ147" s="99"/>
      <c r="BK147" s="99"/>
      <c r="BL147" s="100"/>
      <c r="BM147" s="101"/>
      <c r="BN147" s="99"/>
      <c r="BO147" s="100"/>
      <c r="BP147" s="101"/>
      <c r="BQ147" s="99"/>
      <c r="BR147" s="99"/>
      <c r="BS147" s="99"/>
      <c r="BT147" s="100"/>
      <c r="BU147" s="98"/>
      <c r="BV147" s="99"/>
      <c r="BW147" s="99"/>
      <c r="BX147" s="99"/>
      <c r="BY147" s="99"/>
      <c r="BZ147" s="99"/>
      <c r="CA147" s="99"/>
      <c r="CB147" s="99"/>
      <c r="CC147" s="99"/>
      <c r="CD147" s="99"/>
      <c r="CE147" s="99"/>
      <c r="CF147" s="99"/>
      <c r="CG147" s="99"/>
      <c r="CH147" s="99"/>
      <c r="CI147" s="99"/>
      <c r="CJ147" s="100"/>
      <c r="CK147" s="101"/>
      <c r="CL147" s="99"/>
      <c r="CM147" s="99"/>
      <c r="CN147" s="99"/>
      <c r="CO147" s="99"/>
      <c r="CP147" s="99"/>
      <c r="CQ147" s="100"/>
      <c r="CR147" s="101"/>
      <c r="CS147" s="99"/>
      <c r="CT147" s="100"/>
      <c r="CU147" s="101"/>
      <c r="CV147" s="99"/>
      <c r="CW147" s="99"/>
      <c r="CX147" s="99"/>
      <c r="CY147" s="99"/>
    </row>
    <row r="148" spans="1:103" hidden="1" outlineLevel="1" x14ac:dyDescent="0.2">
      <c r="A148" s="424" t="s">
        <v>661</v>
      </c>
      <c r="B148" s="401" t="str">
        <f>VLOOKUP(A148,[1]ACTIONS!$A$3:$B$238,2,0)</f>
        <v>Créer un pool de nettoyage à l’écluse d’Anderlecht</v>
      </c>
      <c r="C148" s="96"/>
      <c r="D148" s="96"/>
      <c r="E148" s="96"/>
      <c r="F148" s="96">
        <v>0</v>
      </c>
      <c r="G148" s="96"/>
      <c r="H148" s="96">
        <v>0</v>
      </c>
      <c r="I148" s="97"/>
      <c r="J148" s="97"/>
      <c r="K148" s="98"/>
      <c r="L148" s="99"/>
      <c r="M148" s="99"/>
      <c r="N148" s="99"/>
      <c r="O148" s="99"/>
      <c r="P148" s="99"/>
      <c r="Q148" s="99"/>
      <c r="R148" s="99"/>
      <c r="S148" s="99"/>
      <c r="T148" s="99"/>
      <c r="U148" s="99"/>
      <c r="V148" s="99"/>
      <c r="W148" s="99"/>
      <c r="X148" s="99"/>
      <c r="Y148" s="99"/>
      <c r="Z148" s="100"/>
      <c r="AA148" s="101"/>
      <c r="AB148" s="99"/>
      <c r="AC148" s="99"/>
      <c r="AD148" s="99"/>
      <c r="AE148" s="99"/>
      <c r="AF148" s="99"/>
      <c r="AG148" s="100"/>
      <c r="AH148" s="101"/>
      <c r="AI148" s="99"/>
      <c r="AJ148" s="100"/>
      <c r="AK148" s="101"/>
      <c r="AL148" s="99"/>
      <c r="AM148" s="99"/>
      <c r="AN148" s="99"/>
      <c r="AO148" s="100"/>
      <c r="AP148" s="98"/>
      <c r="AQ148" s="99"/>
      <c r="AR148" s="99"/>
      <c r="AS148" s="99"/>
      <c r="AT148" s="99"/>
      <c r="AU148" s="99"/>
      <c r="AV148" s="99"/>
      <c r="AW148" s="99"/>
      <c r="AX148" s="99"/>
      <c r="AY148" s="99"/>
      <c r="AZ148" s="99"/>
      <c r="BA148" s="99"/>
      <c r="BB148" s="99"/>
      <c r="BC148" s="99"/>
      <c r="BD148" s="99"/>
      <c r="BE148" s="100"/>
      <c r="BF148" s="101"/>
      <c r="BG148" s="99"/>
      <c r="BH148" s="99"/>
      <c r="BI148" s="99"/>
      <c r="BJ148" s="99"/>
      <c r="BK148" s="99"/>
      <c r="BL148" s="100"/>
      <c r="BM148" s="101"/>
      <c r="BN148" s="99"/>
      <c r="BO148" s="100"/>
      <c r="BP148" s="101"/>
      <c r="BQ148" s="99"/>
      <c r="BR148" s="99"/>
      <c r="BS148" s="99"/>
      <c r="BT148" s="100"/>
      <c r="BU148" s="98"/>
      <c r="BV148" s="99"/>
      <c r="BW148" s="99"/>
      <c r="BX148" s="99"/>
      <c r="BY148" s="99"/>
      <c r="BZ148" s="99"/>
      <c r="CA148" s="99"/>
      <c r="CB148" s="99"/>
      <c r="CC148" s="99"/>
      <c r="CD148" s="99"/>
      <c r="CE148" s="99"/>
      <c r="CF148" s="99"/>
      <c r="CG148" s="99"/>
      <c r="CH148" s="99"/>
      <c r="CI148" s="99"/>
      <c r="CJ148" s="100"/>
      <c r="CK148" s="101"/>
      <c r="CL148" s="99"/>
      <c r="CM148" s="99"/>
      <c r="CN148" s="99"/>
      <c r="CO148" s="99"/>
      <c r="CP148" s="99"/>
      <c r="CQ148" s="100"/>
      <c r="CR148" s="101"/>
      <c r="CS148" s="99"/>
      <c r="CT148" s="100"/>
      <c r="CU148" s="101"/>
      <c r="CV148" s="99"/>
      <c r="CW148" s="99"/>
      <c r="CX148" s="99"/>
      <c r="CY148" s="99"/>
    </row>
    <row r="149" spans="1:103" hidden="1" outlineLevel="1" x14ac:dyDescent="0.2">
      <c r="A149" s="424" t="s">
        <v>662</v>
      </c>
      <c r="B149" s="401" t="str">
        <f>VLOOKUP(A149,[1]ACTIONS!$A$3:$B$238,2,0)</f>
        <v>Assurer le dégrillage des eaux du Neerpedebeek en amont de sa confluence avec le Canal</v>
      </c>
      <c r="C149" s="96"/>
      <c r="D149" s="96"/>
      <c r="E149" s="96"/>
      <c r="F149" s="96">
        <v>0</v>
      </c>
      <c r="G149" s="96"/>
      <c r="H149" s="96">
        <v>0</v>
      </c>
      <c r="I149" s="97"/>
      <c r="J149" s="97"/>
      <c r="K149" s="98"/>
      <c r="L149" s="99"/>
      <c r="M149" s="99"/>
      <c r="N149" s="99"/>
      <c r="O149" s="99"/>
      <c r="P149" s="99"/>
      <c r="Q149" s="99"/>
      <c r="R149" s="99"/>
      <c r="S149" s="99"/>
      <c r="T149" s="99"/>
      <c r="U149" s="99"/>
      <c r="V149" s="99"/>
      <c r="W149" s="99"/>
      <c r="X149" s="99"/>
      <c r="Y149" s="99"/>
      <c r="Z149" s="100"/>
      <c r="AA149" s="101"/>
      <c r="AB149" s="99"/>
      <c r="AC149" s="99"/>
      <c r="AD149" s="99"/>
      <c r="AE149" s="99"/>
      <c r="AF149" s="99"/>
      <c r="AG149" s="100"/>
      <c r="AH149" s="101"/>
      <c r="AI149" s="99"/>
      <c r="AJ149" s="100"/>
      <c r="AK149" s="101"/>
      <c r="AL149" s="99"/>
      <c r="AM149" s="99"/>
      <c r="AN149" s="99"/>
      <c r="AO149" s="100"/>
      <c r="AP149" s="98"/>
      <c r="AQ149" s="99"/>
      <c r="AR149" s="99"/>
      <c r="AS149" s="99"/>
      <c r="AT149" s="99"/>
      <c r="AU149" s="99"/>
      <c r="AV149" s="99"/>
      <c r="AW149" s="99"/>
      <c r="AX149" s="99"/>
      <c r="AY149" s="99"/>
      <c r="AZ149" s="99"/>
      <c r="BA149" s="99"/>
      <c r="BB149" s="99"/>
      <c r="BC149" s="99"/>
      <c r="BD149" s="99"/>
      <c r="BE149" s="100"/>
      <c r="BF149" s="101"/>
      <c r="BG149" s="99"/>
      <c r="BH149" s="99"/>
      <c r="BI149" s="99"/>
      <c r="BJ149" s="99"/>
      <c r="BK149" s="99"/>
      <c r="BL149" s="100"/>
      <c r="BM149" s="101"/>
      <c r="BN149" s="99"/>
      <c r="BO149" s="100"/>
      <c r="BP149" s="101"/>
      <c r="BQ149" s="99"/>
      <c r="BR149" s="99"/>
      <c r="BS149" s="99"/>
      <c r="BT149" s="100"/>
      <c r="BU149" s="98"/>
      <c r="BV149" s="99"/>
      <c r="BW149" s="99"/>
      <c r="BX149" s="99"/>
      <c r="BY149" s="99"/>
      <c r="BZ149" s="99"/>
      <c r="CA149" s="99"/>
      <c r="CB149" s="99"/>
      <c r="CC149" s="99"/>
      <c r="CD149" s="99"/>
      <c r="CE149" s="99"/>
      <c r="CF149" s="99"/>
      <c r="CG149" s="99"/>
      <c r="CH149" s="99"/>
      <c r="CI149" s="99"/>
      <c r="CJ149" s="100"/>
      <c r="CK149" s="101"/>
      <c r="CL149" s="99"/>
      <c r="CM149" s="99"/>
      <c r="CN149" s="99"/>
      <c r="CO149" s="99"/>
      <c r="CP149" s="99"/>
      <c r="CQ149" s="100"/>
      <c r="CR149" s="101"/>
      <c r="CS149" s="99"/>
      <c r="CT149" s="100"/>
      <c r="CU149" s="101"/>
      <c r="CV149" s="99"/>
      <c r="CW149" s="99"/>
      <c r="CX149" s="99"/>
      <c r="CY149" s="99"/>
    </row>
    <row r="150" spans="1:103" hidden="1" outlineLevel="1" x14ac:dyDescent="0.2">
      <c r="A150" s="424" t="s">
        <v>663</v>
      </c>
      <c r="B150" s="401" t="str">
        <f>VLOOKUP(A150,[1]ACTIONS!$A$3:$B$238,2,0)</f>
        <v>Etudier les meilleures solutions de rétention ou de collecte des macro-déchets flottants au niveau des déversoirs</v>
      </c>
      <c r="C150" s="96"/>
      <c r="D150" s="96"/>
      <c r="E150" s="96"/>
      <c r="F150" s="96">
        <v>0</v>
      </c>
      <c r="G150" s="96"/>
      <c r="H150" s="96">
        <v>0</v>
      </c>
      <c r="I150" s="97"/>
      <c r="J150" s="97"/>
      <c r="K150" s="98"/>
      <c r="L150" s="99"/>
      <c r="M150" s="99"/>
      <c r="N150" s="99"/>
      <c r="O150" s="99"/>
      <c r="P150" s="99"/>
      <c r="Q150" s="99"/>
      <c r="R150" s="99"/>
      <c r="S150" s="99"/>
      <c r="T150" s="99"/>
      <c r="U150" s="99"/>
      <c r="V150" s="99"/>
      <c r="W150" s="99"/>
      <c r="X150" s="99"/>
      <c r="Y150" s="99"/>
      <c r="Z150" s="100"/>
      <c r="AA150" s="101"/>
      <c r="AB150" s="99"/>
      <c r="AC150" s="99"/>
      <c r="AD150" s="99"/>
      <c r="AE150" s="99"/>
      <c r="AF150" s="99"/>
      <c r="AG150" s="100"/>
      <c r="AH150" s="101"/>
      <c r="AI150" s="99"/>
      <c r="AJ150" s="100"/>
      <c r="AK150" s="101"/>
      <c r="AL150" s="99"/>
      <c r="AM150" s="99"/>
      <c r="AN150" s="99"/>
      <c r="AO150" s="100"/>
      <c r="AP150" s="98"/>
      <c r="AQ150" s="99"/>
      <c r="AR150" s="99"/>
      <c r="AS150" s="99"/>
      <c r="AT150" s="99"/>
      <c r="AU150" s="99"/>
      <c r="AV150" s="99"/>
      <c r="AW150" s="99"/>
      <c r="AX150" s="99"/>
      <c r="AY150" s="99"/>
      <c r="AZ150" s="99"/>
      <c r="BA150" s="99"/>
      <c r="BB150" s="99"/>
      <c r="BC150" s="99"/>
      <c r="BD150" s="99"/>
      <c r="BE150" s="100"/>
      <c r="BF150" s="101"/>
      <c r="BG150" s="99"/>
      <c r="BH150" s="99"/>
      <c r="BI150" s="99"/>
      <c r="BJ150" s="99"/>
      <c r="BK150" s="99"/>
      <c r="BL150" s="100"/>
      <c r="BM150" s="101"/>
      <c r="BN150" s="99"/>
      <c r="BO150" s="100"/>
      <c r="BP150" s="101"/>
      <c r="BQ150" s="99"/>
      <c r="BR150" s="99"/>
      <c r="BS150" s="99"/>
      <c r="BT150" s="100"/>
      <c r="BU150" s="98"/>
      <c r="BV150" s="99"/>
      <c r="BW150" s="99"/>
      <c r="BX150" s="99"/>
      <c r="BY150" s="99"/>
      <c r="BZ150" s="99"/>
      <c r="CA150" s="99"/>
      <c r="CB150" s="99"/>
      <c r="CC150" s="99"/>
      <c r="CD150" s="99"/>
      <c r="CE150" s="99"/>
      <c r="CF150" s="99"/>
      <c r="CG150" s="99"/>
      <c r="CH150" s="99"/>
      <c r="CI150" s="99"/>
      <c r="CJ150" s="100"/>
      <c r="CK150" s="101"/>
      <c r="CL150" s="99"/>
      <c r="CM150" s="99"/>
      <c r="CN150" s="99"/>
      <c r="CO150" s="99"/>
      <c r="CP150" s="99"/>
      <c r="CQ150" s="100"/>
      <c r="CR150" s="101"/>
      <c r="CS150" s="99"/>
      <c r="CT150" s="100"/>
      <c r="CU150" s="101"/>
      <c r="CV150" s="99"/>
      <c r="CW150" s="99"/>
      <c r="CX150" s="99"/>
      <c r="CY150" s="99"/>
    </row>
    <row r="151" spans="1:103" hidden="1" outlineLevel="1" x14ac:dyDescent="0.2">
      <c r="A151" s="424" t="s">
        <v>664</v>
      </c>
      <c r="B151" s="401" t="str">
        <f>VLOOKUP(A151,[1]ACTIONS!$A$3:$B$238,2,0)</f>
        <v>Équiper les déversoirs des dispositifs retenus (lien vers la mesure M 1.8)</v>
      </c>
      <c r="C151" s="96"/>
      <c r="D151" s="96"/>
      <c r="E151" s="96"/>
      <c r="F151" s="96">
        <v>0</v>
      </c>
      <c r="G151" s="96"/>
      <c r="H151" s="96">
        <v>0</v>
      </c>
      <c r="I151" s="97"/>
      <c r="J151" s="97"/>
      <c r="K151" s="98"/>
      <c r="L151" s="99"/>
      <c r="M151" s="99"/>
      <c r="N151" s="99"/>
      <c r="O151" s="99"/>
      <c r="P151" s="99"/>
      <c r="Q151" s="99"/>
      <c r="R151" s="99"/>
      <c r="S151" s="99"/>
      <c r="T151" s="99"/>
      <c r="U151" s="99"/>
      <c r="V151" s="99"/>
      <c r="W151" s="99"/>
      <c r="X151" s="99"/>
      <c r="Y151" s="99"/>
      <c r="Z151" s="100"/>
      <c r="AA151" s="101"/>
      <c r="AB151" s="99"/>
      <c r="AC151" s="99"/>
      <c r="AD151" s="99"/>
      <c r="AE151" s="99"/>
      <c r="AF151" s="99"/>
      <c r="AG151" s="100"/>
      <c r="AH151" s="101"/>
      <c r="AI151" s="99"/>
      <c r="AJ151" s="100"/>
      <c r="AK151" s="101"/>
      <c r="AL151" s="99"/>
      <c r="AM151" s="99"/>
      <c r="AN151" s="99"/>
      <c r="AO151" s="100"/>
      <c r="AP151" s="98"/>
      <c r="AQ151" s="99"/>
      <c r="AR151" s="99"/>
      <c r="AS151" s="99"/>
      <c r="AT151" s="99"/>
      <c r="AU151" s="99"/>
      <c r="AV151" s="99"/>
      <c r="AW151" s="99"/>
      <c r="AX151" s="99"/>
      <c r="AY151" s="99"/>
      <c r="AZ151" s="99"/>
      <c r="BA151" s="99"/>
      <c r="BB151" s="99"/>
      <c r="BC151" s="99"/>
      <c r="BD151" s="99"/>
      <c r="BE151" s="100"/>
      <c r="BF151" s="101"/>
      <c r="BG151" s="99"/>
      <c r="BH151" s="99"/>
      <c r="BI151" s="99"/>
      <c r="BJ151" s="99"/>
      <c r="BK151" s="99"/>
      <c r="BL151" s="100"/>
      <c r="BM151" s="101"/>
      <c r="BN151" s="99"/>
      <c r="BO151" s="100"/>
      <c r="BP151" s="101"/>
      <c r="BQ151" s="99"/>
      <c r="BR151" s="99"/>
      <c r="BS151" s="99"/>
      <c r="BT151" s="100"/>
      <c r="BU151" s="98"/>
      <c r="BV151" s="99"/>
      <c r="BW151" s="99"/>
      <c r="BX151" s="99"/>
      <c r="BY151" s="99"/>
      <c r="BZ151" s="99"/>
      <c r="CA151" s="99"/>
      <c r="CB151" s="99"/>
      <c r="CC151" s="99"/>
      <c r="CD151" s="99"/>
      <c r="CE151" s="99"/>
      <c r="CF151" s="99"/>
      <c r="CG151" s="99"/>
      <c r="CH151" s="99"/>
      <c r="CI151" s="99"/>
      <c r="CJ151" s="100"/>
      <c r="CK151" s="101"/>
      <c r="CL151" s="99"/>
      <c r="CM151" s="99"/>
      <c r="CN151" s="99"/>
      <c r="CO151" s="99"/>
      <c r="CP151" s="99"/>
      <c r="CQ151" s="100"/>
      <c r="CR151" s="101"/>
      <c r="CS151" s="99"/>
      <c r="CT151" s="100"/>
      <c r="CU151" s="101"/>
      <c r="CV151" s="99"/>
      <c r="CW151" s="99"/>
      <c r="CX151" s="99"/>
      <c r="CY151" s="99"/>
    </row>
    <row r="152" spans="1:103" ht="25.5" hidden="1" outlineLevel="1" x14ac:dyDescent="0.2">
      <c r="A152" s="424" t="s">
        <v>666</v>
      </c>
      <c r="B152" s="401" t="str">
        <f>VLOOKUP(A152,[1]ACTIONS!$A$3:$B$238,2,0)</f>
        <v>Installer un système de dégrillage en aval de la Senne (au niveau de la STEP Nord) pour diminuer la quantité de macro-déchets flottants sur la Senne en aval des déversoirs principaux de la région</v>
      </c>
      <c r="C152" s="96"/>
      <c r="D152" s="96"/>
      <c r="E152" s="96"/>
      <c r="F152" s="96">
        <v>0</v>
      </c>
      <c r="G152" s="96"/>
      <c r="H152" s="96">
        <v>0</v>
      </c>
      <c r="I152" s="97"/>
      <c r="J152" s="97"/>
      <c r="K152" s="98"/>
      <c r="L152" s="99"/>
      <c r="M152" s="99"/>
      <c r="N152" s="99"/>
      <c r="O152" s="99"/>
      <c r="P152" s="99"/>
      <c r="Q152" s="103" t="s">
        <v>1590</v>
      </c>
      <c r="R152" s="99"/>
      <c r="S152" s="99"/>
      <c r="T152" s="99"/>
      <c r="U152" s="99"/>
      <c r="V152" s="99"/>
      <c r="W152" s="99"/>
      <c r="X152" s="99"/>
      <c r="Y152" s="99"/>
      <c r="Z152" s="104" t="s">
        <v>1590</v>
      </c>
      <c r="AA152" s="101"/>
      <c r="AB152" s="99"/>
      <c r="AC152" s="99"/>
      <c r="AD152" s="99"/>
      <c r="AE152" s="99"/>
      <c r="AF152" s="99"/>
      <c r="AG152" s="100"/>
      <c r="AH152" s="101"/>
      <c r="AI152" s="99"/>
      <c r="AJ152" s="100"/>
      <c r="AK152" s="101"/>
      <c r="AL152" s="99"/>
      <c r="AM152" s="99"/>
      <c r="AN152" s="103" t="s">
        <v>1590</v>
      </c>
      <c r="AO152" s="104" t="s">
        <v>1590</v>
      </c>
      <c r="AP152" s="98"/>
      <c r="AQ152" s="99"/>
      <c r="AR152" s="99"/>
      <c r="AS152" s="99"/>
      <c r="AT152" s="99"/>
      <c r="AU152" s="99"/>
      <c r="AV152" s="99"/>
      <c r="AW152" s="99"/>
      <c r="AX152" s="99"/>
      <c r="AY152" s="99"/>
      <c r="AZ152" s="99"/>
      <c r="BA152" s="99"/>
      <c r="BB152" s="99"/>
      <c r="BC152" s="99"/>
      <c r="BD152" s="99"/>
      <c r="BE152" s="100"/>
      <c r="BF152" s="101"/>
      <c r="BG152" s="99"/>
      <c r="BH152" s="99"/>
      <c r="BI152" s="99"/>
      <c r="BJ152" s="99"/>
      <c r="BK152" s="99"/>
      <c r="BL152" s="100"/>
      <c r="BM152" s="101"/>
      <c r="BN152" s="99"/>
      <c r="BO152" s="100"/>
      <c r="BP152" s="101"/>
      <c r="BQ152" s="99"/>
      <c r="BR152" s="99"/>
      <c r="BS152" s="99"/>
      <c r="BT152" s="100"/>
      <c r="BU152" s="98"/>
      <c r="BV152" s="99"/>
      <c r="BW152" s="99"/>
      <c r="BX152" s="99"/>
      <c r="BY152" s="99"/>
      <c r="BZ152" s="99"/>
      <c r="CA152" s="99"/>
      <c r="CB152" s="99"/>
      <c r="CC152" s="99"/>
      <c r="CD152" s="99"/>
      <c r="CE152" s="99"/>
      <c r="CF152" s="99"/>
      <c r="CG152" s="99"/>
      <c r="CH152" s="99"/>
      <c r="CI152" s="99"/>
      <c r="CJ152" s="100"/>
      <c r="CK152" s="101"/>
      <c r="CL152" s="99"/>
      <c r="CM152" s="99"/>
      <c r="CN152" s="99"/>
      <c r="CO152" s="99"/>
      <c r="CP152" s="99"/>
      <c r="CQ152" s="100"/>
      <c r="CR152" s="101"/>
      <c r="CS152" s="99"/>
      <c r="CT152" s="100"/>
      <c r="CU152" s="101"/>
      <c r="CV152" s="99"/>
      <c r="CW152" s="99"/>
      <c r="CX152" s="99"/>
      <c r="CY152" s="99"/>
    </row>
    <row r="153" spans="1:103" hidden="1" outlineLevel="1" x14ac:dyDescent="0.2">
      <c r="A153" s="424" t="s">
        <v>667</v>
      </c>
      <c r="B153" s="401" t="str">
        <f>VLOOKUP(A153,[1]ACTIONS!$A$3:$B$238,2,0)</f>
        <v>Continuer la sensibilisation des citoyens pour limiter l’abandon des déchets (cf. M 1.25)</v>
      </c>
      <c r="C153" s="96"/>
      <c r="D153" s="96"/>
      <c r="E153" s="96"/>
      <c r="F153" s="96">
        <v>0</v>
      </c>
      <c r="G153" s="96"/>
      <c r="H153" s="96">
        <v>0</v>
      </c>
      <c r="I153" s="97"/>
      <c r="J153" s="97"/>
      <c r="K153" s="98"/>
      <c r="L153" s="99"/>
      <c r="M153" s="99"/>
      <c r="N153" s="99"/>
      <c r="O153" s="99"/>
      <c r="P153" s="99"/>
      <c r="Q153" s="99"/>
      <c r="R153" s="99"/>
      <c r="S153" s="99"/>
      <c r="T153" s="99"/>
      <c r="U153" s="99"/>
      <c r="V153" s="99"/>
      <c r="W153" s="99"/>
      <c r="X153" s="99"/>
      <c r="Y153" s="99"/>
      <c r="Z153" s="100"/>
      <c r="AA153" s="101"/>
      <c r="AB153" s="99"/>
      <c r="AC153" s="99"/>
      <c r="AD153" s="99"/>
      <c r="AE153" s="99"/>
      <c r="AF153" s="99"/>
      <c r="AG153" s="100"/>
      <c r="AH153" s="101"/>
      <c r="AI153" s="99"/>
      <c r="AJ153" s="100"/>
      <c r="AK153" s="101"/>
      <c r="AL153" s="99"/>
      <c r="AM153" s="99"/>
      <c r="AN153" s="99"/>
      <c r="AO153" s="100"/>
      <c r="AP153" s="98"/>
      <c r="AQ153" s="99"/>
      <c r="AR153" s="99"/>
      <c r="AS153" s="99"/>
      <c r="AT153" s="99"/>
      <c r="AU153" s="99"/>
      <c r="AV153" s="99"/>
      <c r="AW153" s="99"/>
      <c r="AX153" s="99"/>
      <c r="AY153" s="99"/>
      <c r="AZ153" s="99"/>
      <c r="BA153" s="99"/>
      <c r="BB153" s="99"/>
      <c r="BC153" s="99"/>
      <c r="BD153" s="99"/>
      <c r="BE153" s="100"/>
      <c r="BF153" s="101"/>
      <c r="BG153" s="99"/>
      <c r="BH153" s="99"/>
      <c r="BI153" s="99"/>
      <c r="BJ153" s="99"/>
      <c r="BK153" s="99"/>
      <c r="BL153" s="100"/>
      <c r="BM153" s="101"/>
      <c r="BN153" s="99"/>
      <c r="BO153" s="100"/>
      <c r="BP153" s="101"/>
      <c r="BQ153" s="99"/>
      <c r="BR153" s="99"/>
      <c r="BS153" s="99"/>
      <c r="BT153" s="100"/>
      <c r="BU153" s="98"/>
      <c r="BV153" s="99"/>
      <c r="BW153" s="99"/>
      <c r="BX153" s="99"/>
      <c r="BY153" s="99"/>
      <c r="BZ153" s="99"/>
      <c r="CA153" s="99"/>
      <c r="CB153" s="99"/>
      <c r="CC153" s="99"/>
      <c r="CD153" s="99"/>
      <c r="CE153" s="99"/>
      <c r="CF153" s="99"/>
      <c r="CG153" s="99"/>
      <c r="CH153" s="99"/>
      <c r="CI153" s="99"/>
      <c r="CJ153" s="100"/>
      <c r="CK153" s="101"/>
      <c r="CL153" s="99"/>
      <c r="CM153" s="99"/>
      <c r="CN153" s="99"/>
      <c r="CO153" s="99"/>
      <c r="CP153" s="99"/>
      <c r="CQ153" s="100"/>
      <c r="CR153" s="101"/>
      <c r="CS153" s="99"/>
      <c r="CT153" s="100"/>
      <c r="CU153" s="101"/>
      <c r="CV153" s="99"/>
      <c r="CW153" s="99"/>
      <c r="CX153" s="99"/>
      <c r="CY153" s="99"/>
    </row>
    <row r="154" spans="1:103" collapsed="1" x14ac:dyDescent="0.2">
      <c r="A154" s="394" t="s">
        <v>11</v>
      </c>
      <c r="B154" s="395" t="str">
        <f>VLOOKUP(A154,'1. Mesures'!$A$2:$B$116,2,0)</f>
        <v>Améliorer le rendement épuratoire des stations d'épuration collectives</v>
      </c>
      <c r="C154" s="96"/>
      <c r="D154" s="96"/>
      <c r="E154" s="96"/>
      <c r="F154" s="96" t="e">
        <v>#N/A</v>
      </c>
      <c r="G154" s="96"/>
      <c r="H154" s="96" t="e">
        <v>#N/A</v>
      </c>
      <c r="I154" s="97" t="s">
        <v>1589</v>
      </c>
      <c r="J154" s="97" t="s">
        <v>1595</v>
      </c>
      <c r="K154" s="98" t="s">
        <v>1576</v>
      </c>
      <c r="L154" s="99" t="s">
        <v>1576</v>
      </c>
      <c r="M154" s="99" t="s">
        <v>1576</v>
      </c>
      <c r="N154" s="99" t="s">
        <v>1576</v>
      </c>
      <c r="O154" s="99" t="s">
        <v>1576</v>
      </c>
      <c r="P154" s="99" t="s">
        <v>1576</v>
      </c>
      <c r="Q154" s="99" t="s">
        <v>1575</v>
      </c>
      <c r="R154" s="99" t="s">
        <v>1576</v>
      </c>
      <c r="S154" s="99" t="s">
        <v>1575</v>
      </c>
      <c r="T154" s="99" t="s">
        <v>1575</v>
      </c>
      <c r="U154" s="99" t="s">
        <v>1575</v>
      </c>
      <c r="V154" s="99"/>
      <c r="W154" s="99" t="s">
        <v>1575</v>
      </c>
      <c r="X154" s="99" t="s">
        <v>1576</v>
      </c>
      <c r="Y154" s="99" t="s">
        <v>1590</v>
      </c>
      <c r="Z154" s="100" t="s">
        <v>1575</v>
      </c>
      <c r="AA154" s="101" t="s">
        <v>1576</v>
      </c>
      <c r="AB154" s="99" t="s">
        <v>1591</v>
      </c>
      <c r="AC154" s="99" t="s">
        <v>1576</v>
      </c>
      <c r="AD154" s="99" t="s">
        <v>1591</v>
      </c>
      <c r="AE154" s="99" t="s">
        <v>1591</v>
      </c>
      <c r="AF154" s="99" t="s">
        <v>1575</v>
      </c>
      <c r="AG154" s="100" t="s">
        <v>1590</v>
      </c>
      <c r="AH154" s="101"/>
      <c r="AI154" s="99"/>
      <c r="AJ154" s="100"/>
      <c r="AK154" s="101"/>
      <c r="AL154" s="99" t="s">
        <v>1576</v>
      </c>
      <c r="AM154" s="99" t="s">
        <v>1575</v>
      </c>
      <c r="AN154" s="99" t="s">
        <v>1575</v>
      </c>
      <c r="AO154" s="100" t="s">
        <v>1575</v>
      </c>
      <c r="AP154" s="98"/>
      <c r="AQ154" s="99"/>
      <c r="AR154" s="99"/>
      <c r="AS154" s="99"/>
      <c r="AT154" s="99"/>
      <c r="AU154" s="99"/>
      <c r="AV154" s="99"/>
      <c r="AW154" s="99"/>
      <c r="AX154" s="99"/>
      <c r="AY154" s="99"/>
      <c r="AZ154" s="99"/>
      <c r="BA154" s="99"/>
      <c r="BB154" s="99"/>
      <c r="BC154" s="99"/>
      <c r="BD154" s="99"/>
      <c r="BE154" s="100"/>
      <c r="BF154" s="101"/>
      <c r="BG154" s="99"/>
      <c r="BH154" s="99"/>
      <c r="BI154" s="99"/>
      <c r="BJ154" s="99"/>
      <c r="BK154" s="99"/>
      <c r="BL154" s="100"/>
      <c r="BM154" s="101"/>
      <c r="BN154" s="99"/>
      <c r="BO154" s="100"/>
      <c r="BP154" s="101"/>
      <c r="BQ154" s="99"/>
      <c r="BR154" s="99"/>
      <c r="BS154" s="99"/>
      <c r="BT154" s="100"/>
      <c r="BU154" s="98"/>
      <c r="BV154" s="99"/>
      <c r="BW154" s="99"/>
      <c r="BX154" s="99"/>
      <c r="BY154" s="99"/>
      <c r="BZ154" s="99"/>
      <c r="CA154" s="99"/>
      <c r="CB154" s="99"/>
      <c r="CC154" s="99"/>
      <c r="CD154" s="99"/>
      <c r="CE154" s="99"/>
      <c r="CF154" s="99"/>
      <c r="CG154" s="99"/>
      <c r="CH154" s="99"/>
      <c r="CI154" s="99"/>
      <c r="CJ154" s="100"/>
      <c r="CK154" s="101"/>
      <c r="CL154" s="99"/>
      <c r="CM154" s="99"/>
      <c r="CN154" s="99"/>
      <c r="CO154" s="99"/>
      <c r="CP154" s="99"/>
      <c r="CQ154" s="100"/>
      <c r="CR154" s="101"/>
      <c r="CS154" s="99"/>
      <c r="CT154" s="100"/>
      <c r="CU154" s="101"/>
      <c r="CV154" s="99"/>
      <c r="CW154" s="99"/>
      <c r="CX154" s="99"/>
      <c r="CY154" s="99"/>
    </row>
    <row r="155" spans="1:103" ht="38.25" hidden="1" outlineLevel="1" x14ac:dyDescent="0.2">
      <c r="A155" s="424" t="s">
        <v>668</v>
      </c>
      <c r="B155" s="401" t="str">
        <f>VLOOKUP(A155,[1]ACTIONS!$A$3:$B$238,2,0)</f>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
      <c r="C155" s="96"/>
      <c r="D155" s="96"/>
      <c r="E155" s="96"/>
      <c r="F155" s="96">
        <v>0</v>
      </c>
      <c r="G155" s="96"/>
      <c r="H155" s="96">
        <v>0</v>
      </c>
      <c r="I155" s="97"/>
      <c r="J155" s="97"/>
      <c r="K155" s="98"/>
      <c r="L155" s="99"/>
      <c r="M155" s="99"/>
      <c r="N155" s="99"/>
      <c r="O155" s="99"/>
      <c r="P155" s="99"/>
      <c r="Q155" s="99"/>
      <c r="R155" s="99"/>
      <c r="S155" s="99"/>
      <c r="T155" s="99"/>
      <c r="U155" s="99"/>
      <c r="V155" s="99"/>
      <c r="W155" s="99"/>
      <c r="X155" s="99"/>
      <c r="Y155" s="99"/>
      <c r="Z155" s="100"/>
      <c r="AA155" s="101"/>
      <c r="AB155" s="99"/>
      <c r="AC155" s="99"/>
      <c r="AD155" s="99"/>
      <c r="AE155" s="99"/>
      <c r="AF155" s="99"/>
      <c r="AG155" s="100"/>
      <c r="AH155" s="101"/>
      <c r="AI155" s="99"/>
      <c r="AJ155" s="100"/>
      <c r="AK155" s="101"/>
      <c r="AL155" s="99"/>
      <c r="AM155" s="99"/>
      <c r="AN155" s="99"/>
      <c r="AO155" s="100"/>
      <c r="AP155" s="98"/>
      <c r="AQ155" s="99"/>
      <c r="AR155" s="99"/>
      <c r="AS155" s="99"/>
      <c r="AT155" s="99"/>
      <c r="AU155" s="99"/>
      <c r="AV155" s="99"/>
      <c r="AW155" s="99"/>
      <c r="AX155" s="99"/>
      <c r="AY155" s="99"/>
      <c r="AZ155" s="99"/>
      <c r="BA155" s="99"/>
      <c r="BB155" s="99"/>
      <c r="BC155" s="99"/>
      <c r="BD155" s="99"/>
      <c r="BE155" s="100"/>
      <c r="BF155" s="101"/>
      <c r="BG155" s="99"/>
      <c r="BH155" s="99"/>
      <c r="BI155" s="99"/>
      <c r="BJ155" s="99"/>
      <c r="BK155" s="99"/>
      <c r="BL155" s="100"/>
      <c r="BM155" s="101"/>
      <c r="BN155" s="99"/>
      <c r="BO155" s="100"/>
      <c r="BP155" s="101"/>
      <c r="BQ155" s="99"/>
      <c r="BR155" s="99"/>
      <c r="BS155" s="99"/>
      <c r="BT155" s="100"/>
      <c r="BU155" s="98"/>
      <c r="BV155" s="99"/>
      <c r="BW155" s="99"/>
      <c r="BX155" s="99"/>
      <c r="BY155" s="99"/>
      <c r="BZ155" s="99"/>
      <c r="CA155" s="99"/>
      <c r="CB155" s="99"/>
      <c r="CC155" s="99"/>
      <c r="CD155" s="99"/>
      <c r="CE155" s="99"/>
      <c r="CF155" s="99"/>
      <c r="CG155" s="99"/>
      <c r="CH155" s="99"/>
      <c r="CI155" s="99"/>
      <c r="CJ155" s="100"/>
      <c r="CK155" s="101"/>
      <c r="CL155" s="99"/>
      <c r="CM155" s="99"/>
      <c r="CN155" s="99"/>
      <c r="CO155" s="99"/>
      <c r="CP155" s="99"/>
      <c r="CQ155" s="100"/>
      <c r="CR155" s="101"/>
      <c r="CS155" s="99"/>
      <c r="CT155" s="100"/>
      <c r="CU155" s="101"/>
      <c r="CV155" s="99"/>
      <c r="CW155" s="99"/>
      <c r="CX155" s="99"/>
      <c r="CY155" s="99"/>
    </row>
    <row r="156" spans="1:103" ht="89.25" hidden="1" outlineLevel="1" x14ac:dyDescent="0.2">
      <c r="A156" s="424" t="s">
        <v>669</v>
      </c>
      <c r="B156" s="401" t="str">
        <f>VLOOKUP(A156,[1]ACTIONS!$A$3:$B$238,2,0)</f>
        <v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v>
      </c>
      <c r="C156" s="96"/>
      <c r="D156" s="96"/>
      <c r="E156" s="96"/>
      <c r="F156" s="96">
        <v>0</v>
      </c>
      <c r="G156" s="96"/>
      <c r="H156" s="96">
        <v>0</v>
      </c>
      <c r="I156" s="97"/>
      <c r="J156" s="97"/>
      <c r="K156" s="98"/>
      <c r="L156" s="99"/>
      <c r="M156" s="99"/>
      <c r="N156" s="99"/>
      <c r="O156" s="99"/>
      <c r="P156" s="99"/>
      <c r="Q156" s="99"/>
      <c r="R156" s="99"/>
      <c r="S156" s="99"/>
      <c r="T156" s="99"/>
      <c r="U156" s="99"/>
      <c r="V156" s="99"/>
      <c r="W156" s="99"/>
      <c r="X156" s="99"/>
      <c r="Y156" s="99"/>
      <c r="Z156" s="100"/>
      <c r="AA156" s="101"/>
      <c r="AB156" s="99"/>
      <c r="AC156" s="99"/>
      <c r="AD156" s="99"/>
      <c r="AE156" s="99"/>
      <c r="AF156" s="99"/>
      <c r="AG156" s="100"/>
      <c r="AH156" s="101"/>
      <c r="AI156" s="99"/>
      <c r="AJ156" s="100"/>
      <c r="AK156" s="101"/>
      <c r="AL156" s="99"/>
      <c r="AM156" s="99"/>
      <c r="AN156" s="99"/>
      <c r="AO156" s="100"/>
      <c r="AP156" s="98"/>
      <c r="AQ156" s="99"/>
      <c r="AR156" s="99"/>
      <c r="AS156" s="99"/>
      <c r="AT156" s="99"/>
      <c r="AU156" s="99"/>
      <c r="AV156" s="99"/>
      <c r="AW156" s="99"/>
      <c r="AX156" s="99"/>
      <c r="AY156" s="99"/>
      <c r="AZ156" s="99"/>
      <c r="BA156" s="99"/>
      <c r="BB156" s="99"/>
      <c r="BC156" s="99"/>
      <c r="BD156" s="99"/>
      <c r="BE156" s="100"/>
      <c r="BF156" s="101"/>
      <c r="BG156" s="99"/>
      <c r="BH156" s="99"/>
      <c r="BI156" s="99"/>
      <c r="BJ156" s="99"/>
      <c r="BK156" s="99"/>
      <c r="BL156" s="100"/>
      <c r="BM156" s="101"/>
      <c r="BN156" s="99"/>
      <c r="BO156" s="100"/>
      <c r="BP156" s="101"/>
      <c r="BQ156" s="99"/>
      <c r="BR156" s="99"/>
      <c r="BS156" s="99"/>
      <c r="BT156" s="100"/>
      <c r="BU156" s="98"/>
      <c r="BV156" s="99"/>
      <c r="BW156" s="99"/>
      <c r="BX156" s="99"/>
      <c r="BY156" s="99"/>
      <c r="BZ156" s="99"/>
      <c r="CA156" s="99"/>
      <c r="CB156" s="99"/>
      <c r="CC156" s="99"/>
      <c r="CD156" s="99"/>
      <c r="CE156" s="99"/>
      <c r="CF156" s="99"/>
      <c r="CG156" s="99"/>
      <c r="CH156" s="99"/>
      <c r="CI156" s="99"/>
      <c r="CJ156" s="100"/>
      <c r="CK156" s="101"/>
      <c r="CL156" s="99"/>
      <c r="CM156" s="99"/>
      <c r="CN156" s="99"/>
      <c r="CO156" s="99"/>
      <c r="CP156" s="99"/>
      <c r="CQ156" s="100"/>
      <c r="CR156" s="101"/>
      <c r="CS156" s="99"/>
      <c r="CT156" s="100"/>
      <c r="CU156" s="101"/>
      <c r="CV156" s="99"/>
      <c r="CW156" s="99"/>
      <c r="CX156" s="99"/>
      <c r="CY156" s="99"/>
    </row>
    <row r="157" spans="1:103" hidden="1" outlineLevel="1" x14ac:dyDescent="0.2">
      <c r="A157" s="424" t="s">
        <v>670</v>
      </c>
      <c r="B157" s="401" t="str">
        <f>VLOOKUP(A157,[1]ACTIONS!$A$3:$B$238,2,0)</f>
        <v>Evaluer l’impact de la mise en œuvre des solutions proposées sur le prix de l’eau</v>
      </c>
      <c r="C157" s="96"/>
      <c r="D157" s="96"/>
      <c r="E157" s="96"/>
      <c r="F157" s="96">
        <v>0</v>
      </c>
      <c r="G157" s="96"/>
      <c r="H157" s="96">
        <v>0</v>
      </c>
      <c r="I157" s="97"/>
      <c r="J157" s="97"/>
      <c r="K157" s="98"/>
      <c r="L157" s="99"/>
      <c r="M157" s="99"/>
      <c r="N157" s="99"/>
      <c r="O157" s="99"/>
      <c r="P157" s="99"/>
      <c r="Q157" s="99"/>
      <c r="R157" s="99"/>
      <c r="S157" s="99"/>
      <c r="T157" s="99"/>
      <c r="U157" s="99"/>
      <c r="V157" s="99"/>
      <c r="W157" s="99"/>
      <c r="X157" s="99"/>
      <c r="Y157" s="99"/>
      <c r="Z157" s="100"/>
      <c r="AA157" s="101"/>
      <c r="AB157" s="99"/>
      <c r="AC157" s="99"/>
      <c r="AD157" s="99"/>
      <c r="AE157" s="99"/>
      <c r="AF157" s="99"/>
      <c r="AG157" s="100"/>
      <c r="AH157" s="101"/>
      <c r="AI157" s="99"/>
      <c r="AJ157" s="100"/>
      <c r="AK157" s="101"/>
      <c r="AL157" s="99"/>
      <c r="AM157" s="99"/>
      <c r="AN157" s="99"/>
      <c r="AO157" s="100"/>
      <c r="AP157" s="98"/>
      <c r="AQ157" s="99"/>
      <c r="AR157" s="99"/>
      <c r="AS157" s="99"/>
      <c r="AT157" s="99"/>
      <c r="AU157" s="99"/>
      <c r="AV157" s="99"/>
      <c r="AW157" s="99"/>
      <c r="AX157" s="99"/>
      <c r="AY157" s="99"/>
      <c r="AZ157" s="99"/>
      <c r="BA157" s="99"/>
      <c r="BB157" s="99"/>
      <c r="BC157" s="99"/>
      <c r="BD157" s="99"/>
      <c r="BE157" s="100"/>
      <c r="BF157" s="101"/>
      <c r="BG157" s="99"/>
      <c r="BH157" s="99"/>
      <c r="BI157" s="99"/>
      <c r="BJ157" s="99"/>
      <c r="BK157" s="99"/>
      <c r="BL157" s="100"/>
      <c r="BM157" s="101"/>
      <c r="BN157" s="99"/>
      <c r="BO157" s="100"/>
      <c r="BP157" s="101"/>
      <c r="BQ157" s="99"/>
      <c r="BR157" s="99"/>
      <c r="BS157" s="99"/>
      <c r="BT157" s="100"/>
      <c r="BU157" s="98"/>
      <c r="BV157" s="99"/>
      <c r="BW157" s="99"/>
      <c r="BX157" s="99"/>
      <c r="BY157" s="99"/>
      <c r="BZ157" s="99"/>
      <c r="CA157" s="99"/>
      <c r="CB157" s="99"/>
      <c r="CC157" s="99"/>
      <c r="CD157" s="99"/>
      <c r="CE157" s="99"/>
      <c r="CF157" s="99"/>
      <c r="CG157" s="99"/>
      <c r="CH157" s="99"/>
      <c r="CI157" s="99"/>
      <c r="CJ157" s="100"/>
      <c r="CK157" s="101"/>
      <c r="CL157" s="99"/>
      <c r="CM157" s="99"/>
      <c r="CN157" s="99"/>
      <c r="CO157" s="99"/>
      <c r="CP157" s="99"/>
      <c r="CQ157" s="100"/>
      <c r="CR157" s="101"/>
      <c r="CS157" s="99"/>
      <c r="CT157" s="100"/>
      <c r="CU157" s="101"/>
      <c r="CV157" s="99"/>
      <c r="CW157" s="99"/>
      <c r="CX157" s="99"/>
      <c r="CY157" s="99"/>
    </row>
    <row r="158" spans="1:103" hidden="1" outlineLevel="1" x14ac:dyDescent="0.2">
      <c r="A158" s="424" t="s">
        <v>671</v>
      </c>
      <c r="B158" s="401" t="str">
        <f>VLOOKUP(A158,[1]ACTIONS!$A$3:$B$238,2,0)</f>
        <v>Etude de définition de détails et rédaction du cahier des charges des travaux</v>
      </c>
      <c r="C158" s="96"/>
      <c r="D158" s="96"/>
      <c r="E158" s="96"/>
      <c r="F158" s="96" t="e">
        <v>#N/A</v>
      </c>
      <c r="G158" s="96"/>
      <c r="H158" s="96" t="e">
        <v>#N/A</v>
      </c>
      <c r="I158" s="97"/>
      <c r="J158" s="97"/>
      <c r="K158" s="98"/>
      <c r="L158" s="99"/>
      <c r="M158" s="99"/>
      <c r="N158" s="99"/>
      <c r="O158" s="99"/>
      <c r="P158" s="99"/>
      <c r="Q158" s="99"/>
      <c r="R158" s="99"/>
      <c r="S158" s="99"/>
      <c r="T158" s="99"/>
      <c r="U158" s="99"/>
      <c r="V158" s="99"/>
      <c r="W158" s="99"/>
      <c r="X158" s="99"/>
      <c r="Y158" s="99"/>
      <c r="Z158" s="100"/>
      <c r="AA158" s="101"/>
      <c r="AB158" s="99"/>
      <c r="AC158" s="99"/>
      <c r="AD158" s="99"/>
      <c r="AE158" s="99"/>
      <c r="AF158" s="99"/>
      <c r="AG158" s="100"/>
      <c r="AH158" s="101"/>
      <c r="AI158" s="99"/>
      <c r="AJ158" s="100"/>
      <c r="AK158" s="101"/>
      <c r="AL158" s="99"/>
      <c r="AM158" s="99"/>
      <c r="AN158" s="99"/>
      <c r="AO158" s="100"/>
      <c r="AP158" s="98"/>
      <c r="AQ158" s="99"/>
      <c r="AR158" s="99"/>
      <c r="AS158" s="99"/>
      <c r="AT158" s="99"/>
      <c r="AU158" s="99"/>
      <c r="AV158" s="99"/>
      <c r="AW158" s="99"/>
      <c r="AX158" s="99"/>
      <c r="AY158" s="99"/>
      <c r="AZ158" s="99"/>
      <c r="BA158" s="99"/>
      <c r="BB158" s="99"/>
      <c r="BC158" s="99"/>
      <c r="BD158" s="99"/>
      <c r="BE158" s="100"/>
      <c r="BF158" s="101"/>
      <c r="BG158" s="99"/>
      <c r="BH158" s="99"/>
      <c r="BI158" s="99"/>
      <c r="BJ158" s="99"/>
      <c r="BK158" s="99"/>
      <c r="BL158" s="100"/>
      <c r="BM158" s="101"/>
      <c r="BN158" s="99"/>
      <c r="BO158" s="100"/>
      <c r="BP158" s="101"/>
      <c r="BQ158" s="99"/>
      <c r="BR158" s="99"/>
      <c r="BS158" s="99"/>
      <c r="BT158" s="100"/>
      <c r="BU158" s="98"/>
      <c r="BV158" s="99"/>
      <c r="BW158" s="99"/>
      <c r="BX158" s="99"/>
      <c r="BY158" s="99"/>
      <c r="BZ158" s="99"/>
      <c r="CA158" s="99"/>
      <c r="CB158" s="99"/>
      <c r="CC158" s="99"/>
      <c r="CD158" s="99"/>
      <c r="CE158" s="99"/>
      <c r="CF158" s="99"/>
      <c r="CG158" s="99"/>
      <c r="CH158" s="99"/>
      <c r="CI158" s="99"/>
      <c r="CJ158" s="100"/>
      <c r="CK158" s="101"/>
      <c r="CL158" s="99"/>
      <c r="CM158" s="99"/>
      <c r="CN158" s="99"/>
      <c r="CO158" s="99"/>
      <c r="CP158" s="99"/>
      <c r="CQ158" s="100"/>
      <c r="CR158" s="101"/>
      <c r="CS158" s="99"/>
      <c r="CT158" s="100"/>
      <c r="CU158" s="101"/>
      <c r="CV158" s="99"/>
      <c r="CW158" s="99"/>
      <c r="CX158" s="99"/>
      <c r="CY158" s="99"/>
    </row>
    <row r="159" spans="1:103" hidden="1" outlineLevel="1" x14ac:dyDescent="0.2">
      <c r="A159" s="424" t="s">
        <v>672</v>
      </c>
      <c r="B159" s="401" t="str">
        <f>VLOOKUP(A159,[1]ACTIONS!$A$3:$B$238,2,0)</f>
        <v>Procédure d’obtention des permis d’environnement et d’urbanisme associés au projet</v>
      </c>
      <c r="C159" s="96"/>
      <c r="D159" s="96"/>
      <c r="E159" s="96"/>
      <c r="F159" s="96" t="e">
        <v>#N/A</v>
      </c>
      <c r="G159" s="96"/>
      <c r="H159" s="96" t="e">
        <v>#N/A</v>
      </c>
      <c r="I159" s="97"/>
      <c r="J159" s="97"/>
      <c r="K159" s="98"/>
      <c r="L159" s="99"/>
      <c r="M159" s="99"/>
      <c r="N159" s="99"/>
      <c r="O159" s="99"/>
      <c r="P159" s="99"/>
      <c r="Q159" s="99"/>
      <c r="R159" s="99"/>
      <c r="S159" s="99"/>
      <c r="T159" s="99"/>
      <c r="U159" s="99"/>
      <c r="V159" s="99"/>
      <c r="W159" s="99"/>
      <c r="X159" s="99"/>
      <c r="Y159" s="99"/>
      <c r="Z159" s="100"/>
      <c r="AA159" s="101"/>
      <c r="AB159" s="99"/>
      <c r="AC159" s="99"/>
      <c r="AD159" s="99"/>
      <c r="AE159" s="99"/>
      <c r="AF159" s="99"/>
      <c r="AG159" s="100"/>
      <c r="AH159" s="101"/>
      <c r="AI159" s="99"/>
      <c r="AJ159" s="100"/>
      <c r="AK159" s="101"/>
      <c r="AL159" s="99"/>
      <c r="AM159" s="99"/>
      <c r="AN159" s="99"/>
      <c r="AO159" s="100"/>
      <c r="AP159" s="98"/>
      <c r="AQ159" s="99"/>
      <c r="AR159" s="99"/>
      <c r="AS159" s="99"/>
      <c r="AT159" s="99"/>
      <c r="AU159" s="99"/>
      <c r="AV159" s="99"/>
      <c r="AW159" s="99"/>
      <c r="AX159" s="99"/>
      <c r="AY159" s="99"/>
      <c r="AZ159" s="99"/>
      <c r="BA159" s="99"/>
      <c r="BB159" s="99"/>
      <c r="BC159" s="99"/>
      <c r="BD159" s="99"/>
      <c r="BE159" s="100"/>
      <c r="BF159" s="101"/>
      <c r="BG159" s="99"/>
      <c r="BH159" s="99"/>
      <c r="BI159" s="99"/>
      <c r="BJ159" s="99"/>
      <c r="BK159" s="99"/>
      <c r="BL159" s="100"/>
      <c r="BM159" s="101"/>
      <c r="BN159" s="99"/>
      <c r="BO159" s="100"/>
      <c r="BP159" s="101"/>
      <c r="BQ159" s="99"/>
      <c r="BR159" s="99"/>
      <c r="BS159" s="99"/>
      <c r="BT159" s="100"/>
      <c r="BU159" s="98"/>
      <c r="BV159" s="99"/>
      <c r="BW159" s="99"/>
      <c r="BX159" s="99"/>
      <c r="BY159" s="99"/>
      <c r="BZ159" s="99"/>
      <c r="CA159" s="99"/>
      <c r="CB159" s="99"/>
      <c r="CC159" s="99"/>
      <c r="CD159" s="99"/>
      <c r="CE159" s="99"/>
      <c r="CF159" s="99"/>
      <c r="CG159" s="99"/>
      <c r="CH159" s="99"/>
      <c r="CI159" s="99"/>
      <c r="CJ159" s="100"/>
      <c r="CK159" s="101"/>
      <c r="CL159" s="99"/>
      <c r="CM159" s="99"/>
      <c r="CN159" s="99"/>
      <c r="CO159" s="99"/>
      <c r="CP159" s="99"/>
      <c r="CQ159" s="100"/>
      <c r="CR159" s="101"/>
      <c r="CS159" s="99"/>
      <c r="CT159" s="100"/>
      <c r="CU159" s="101"/>
      <c r="CV159" s="99"/>
      <c r="CW159" s="99"/>
      <c r="CX159" s="99"/>
      <c r="CY159" s="99"/>
    </row>
    <row r="160" spans="1:103" hidden="1" outlineLevel="1" x14ac:dyDescent="0.2">
      <c r="A160" s="424" t="s">
        <v>673</v>
      </c>
      <c r="B160" s="401" t="str">
        <f>VLOOKUP(A160,[1]ACTIONS!$A$3:$B$238,2,0)</f>
        <v>Attribution du marché de travaux</v>
      </c>
      <c r="C160" s="96"/>
      <c r="D160" s="96"/>
      <c r="E160" s="96"/>
      <c r="F160" s="96" t="e">
        <v>#N/A</v>
      </c>
      <c r="G160" s="96"/>
      <c r="H160" s="96" t="e">
        <v>#N/A</v>
      </c>
      <c r="I160" s="97"/>
      <c r="J160" s="97"/>
      <c r="K160" s="98"/>
      <c r="L160" s="99"/>
      <c r="M160" s="99"/>
      <c r="N160" s="99"/>
      <c r="O160" s="99"/>
      <c r="P160" s="99"/>
      <c r="Q160" s="99"/>
      <c r="R160" s="99"/>
      <c r="S160" s="99"/>
      <c r="T160" s="99"/>
      <c r="U160" s="99"/>
      <c r="V160" s="99"/>
      <c r="W160" s="99"/>
      <c r="X160" s="99"/>
      <c r="Y160" s="99"/>
      <c r="Z160" s="100"/>
      <c r="AA160" s="101"/>
      <c r="AB160" s="99"/>
      <c r="AC160" s="99"/>
      <c r="AD160" s="99"/>
      <c r="AE160" s="99"/>
      <c r="AF160" s="99"/>
      <c r="AG160" s="100"/>
      <c r="AH160" s="101"/>
      <c r="AI160" s="99"/>
      <c r="AJ160" s="100"/>
      <c r="AK160" s="101"/>
      <c r="AL160" s="99"/>
      <c r="AM160" s="99"/>
      <c r="AN160" s="99"/>
      <c r="AO160" s="100"/>
      <c r="AP160" s="98"/>
      <c r="AQ160" s="99"/>
      <c r="AR160" s="99"/>
      <c r="AS160" s="99"/>
      <c r="AT160" s="99"/>
      <c r="AU160" s="99"/>
      <c r="AV160" s="99"/>
      <c r="AW160" s="99"/>
      <c r="AX160" s="99"/>
      <c r="AY160" s="99"/>
      <c r="AZ160" s="99"/>
      <c r="BA160" s="99"/>
      <c r="BB160" s="99"/>
      <c r="BC160" s="99"/>
      <c r="BD160" s="99"/>
      <c r="BE160" s="100"/>
      <c r="BF160" s="101"/>
      <c r="BG160" s="99"/>
      <c r="BH160" s="99"/>
      <c r="BI160" s="99"/>
      <c r="BJ160" s="99"/>
      <c r="BK160" s="99"/>
      <c r="BL160" s="100"/>
      <c r="BM160" s="101"/>
      <c r="BN160" s="99"/>
      <c r="BO160" s="100"/>
      <c r="BP160" s="101"/>
      <c r="BQ160" s="99"/>
      <c r="BR160" s="99"/>
      <c r="BS160" s="99"/>
      <c r="BT160" s="100"/>
      <c r="BU160" s="98"/>
      <c r="BV160" s="99"/>
      <c r="BW160" s="99"/>
      <c r="BX160" s="99"/>
      <c r="BY160" s="99"/>
      <c r="BZ160" s="99"/>
      <c r="CA160" s="99"/>
      <c r="CB160" s="99"/>
      <c r="CC160" s="99"/>
      <c r="CD160" s="99"/>
      <c r="CE160" s="99"/>
      <c r="CF160" s="99"/>
      <c r="CG160" s="99"/>
      <c r="CH160" s="99"/>
      <c r="CI160" s="99"/>
      <c r="CJ160" s="100"/>
      <c r="CK160" s="101"/>
      <c r="CL160" s="99"/>
      <c r="CM160" s="99"/>
      <c r="CN160" s="99"/>
      <c r="CO160" s="99"/>
      <c r="CP160" s="99"/>
      <c r="CQ160" s="100"/>
      <c r="CR160" s="101"/>
      <c r="CS160" s="99"/>
      <c r="CT160" s="100"/>
      <c r="CU160" s="101"/>
      <c r="CV160" s="99"/>
      <c r="CW160" s="99"/>
      <c r="CX160" s="99"/>
      <c r="CY160" s="99"/>
    </row>
    <row r="161" spans="1:103" hidden="1" outlineLevel="1" x14ac:dyDescent="0.2">
      <c r="A161" s="424" t="s">
        <v>674</v>
      </c>
      <c r="B161" s="401" t="str">
        <f>VLOOKUP(A161,[1]ACTIONS!$A$3:$B$238,2,0)</f>
        <v>Réalisation des travaux sur l’usine en fonctionnement</v>
      </c>
      <c r="C161" s="96"/>
      <c r="D161" s="96"/>
      <c r="E161" s="96"/>
      <c r="F161" s="96" t="e">
        <v>#N/A</v>
      </c>
      <c r="G161" s="96"/>
      <c r="H161" s="96" t="e">
        <v>#N/A</v>
      </c>
      <c r="I161" s="97"/>
      <c r="J161" s="97"/>
      <c r="K161" s="98"/>
      <c r="L161" s="99"/>
      <c r="M161" s="99"/>
      <c r="N161" s="99"/>
      <c r="O161" s="99"/>
      <c r="P161" s="99"/>
      <c r="Q161" s="99"/>
      <c r="R161" s="99"/>
      <c r="S161" s="99"/>
      <c r="T161" s="99"/>
      <c r="U161" s="99"/>
      <c r="V161" s="99"/>
      <c r="W161" s="99"/>
      <c r="X161" s="99"/>
      <c r="Y161" s="99"/>
      <c r="Z161" s="100"/>
      <c r="AA161" s="101"/>
      <c r="AB161" s="99"/>
      <c r="AC161" s="99"/>
      <c r="AD161" s="99"/>
      <c r="AE161" s="99"/>
      <c r="AF161" s="99"/>
      <c r="AG161" s="100"/>
      <c r="AH161" s="101"/>
      <c r="AI161" s="99"/>
      <c r="AJ161" s="100"/>
      <c r="AK161" s="101"/>
      <c r="AL161" s="99"/>
      <c r="AM161" s="99"/>
      <c r="AN161" s="99"/>
      <c r="AO161" s="100"/>
      <c r="AP161" s="98"/>
      <c r="AQ161" s="99"/>
      <c r="AR161" s="99"/>
      <c r="AS161" s="99"/>
      <c r="AT161" s="99"/>
      <c r="AU161" s="99"/>
      <c r="AV161" s="99"/>
      <c r="AW161" s="99"/>
      <c r="AX161" s="99"/>
      <c r="AY161" s="99"/>
      <c r="AZ161" s="99"/>
      <c r="BA161" s="99"/>
      <c r="BB161" s="99"/>
      <c r="BC161" s="99"/>
      <c r="BD161" s="99"/>
      <c r="BE161" s="100"/>
      <c r="BF161" s="101"/>
      <c r="BG161" s="99"/>
      <c r="BH161" s="99"/>
      <c r="BI161" s="99"/>
      <c r="BJ161" s="99"/>
      <c r="BK161" s="99"/>
      <c r="BL161" s="100"/>
      <c r="BM161" s="101"/>
      <c r="BN161" s="99"/>
      <c r="BO161" s="100"/>
      <c r="BP161" s="101"/>
      <c r="BQ161" s="99"/>
      <c r="BR161" s="99"/>
      <c r="BS161" s="99"/>
      <c r="BT161" s="100"/>
      <c r="BU161" s="98"/>
      <c r="BV161" s="99"/>
      <c r="BW161" s="99"/>
      <c r="BX161" s="99"/>
      <c r="BY161" s="99"/>
      <c r="BZ161" s="99"/>
      <c r="CA161" s="99"/>
      <c r="CB161" s="99"/>
      <c r="CC161" s="99"/>
      <c r="CD161" s="99"/>
      <c r="CE161" s="99"/>
      <c r="CF161" s="99"/>
      <c r="CG161" s="99"/>
      <c r="CH161" s="99"/>
      <c r="CI161" s="99"/>
      <c r="CJ161" s="100"/>
      <c r="CK161" s="101"/>
      <c r="CL161" s="99"/>
      <c r="CM161" s="99"/>
      <c r="CN161" s="99"/>
      <c r="CO161" s="99"/>
      <c r="CP161" s="99"/>
      <c r="CQ161" s="100"/>
      <c r="CR161" s="101"/>
      <c r="CS161" s="99"/>
      <c r="CT161" s="100"/>
      <c r="CU161" s="101"/>
      <c r="CV161" s="99"/>
      <c r="CW161" s="99"/>
      <c r="CX161" s="99"/>
      <c r="CY161" s="99"/>
    </row>
    <row r="162" spans="1:103" x14ac:dyDescent="0.2">
      <c r="A162" s="396" t="s">
        <v>12</v>
      </c>
      <c r="B162" s="397" t="str">
        <f>VLOOKUP(A162,'1. Mesures'!$A$2:$B$116,2,0)</f>
        <v xml:space="preserve">Actualiser les normes de rejets des eaux usées </v>
      </c>
      <c r="C162" s="96"/>
      <c r="D162" s="96"/>
      <c r="E162" s="96"/>
      <c r="F162" s="96"/>
      <c r="G162" s="96"/>
      <c r="H162" s="96"/>
      <c r="I162" s="97" t="s">
        <v>1589</v>
      </c>
      <c r="J162" s="97"/>
      <c r="K162" s="109" t="s">
        <v>1575</v>
      </c>
      <c r="L162" s="106" t="s">
        <v>1575</v>
      </c>
      <c r="M162" s="106" t="s">
        <v>1575</v>
      </c>
      <c r="N162" s="106" t="s">
        <v>1575</v>
      </c>
      <c r="O162" s="106" t="s">
        <v>1575</v>
      </c>
      <c r="P162" s="106" t="s">
        <v>1590</v>
      </c>
      <c r="Q162" s="106" t="s">
        <v>1575</v>
      </c>
      <c r="R162" s="106" t="s">
        <v>1575</v>
      </c>
      <c r="S162" s="106" t="s">
        <v>1590</v>
      </c>
      <c r="T162" s="106" t="s">
        <v>1590</v>
      </c>
      <c r="U162" s="106" t="s">
        <v>1590</v>
      </c>
      <c r="V162" s="106"/>
      <c r="W162" s="106" t="s">
        <v>1575</v>
      </c>
      <c r="X162" s="106" t="s">
        <v>1575</v>
      </c>
      <c r="Y162" s="106" t="s">
        <v>1590</v>
      </c>
      <c r="Z162" s="107" t="s">
        <v>1575</v>
      </c>
      <c r="AA162" s="105" t="s">
        <v>1590</v>
      </c>
      <c r="AB162" s="99" t="s">
        <v>1590</v>
      </c>
      <c r="AC162" s="99" t="s">
        <v>1590</v>
      </c>
      <c r="AD162" s="99" t="s">
        <v>1590</v>
      </c>
      <c r="AE162" s="99" t="s">
        <v>1590</v>
      </c>
      <c r="AF162" s="99" t="s">
        <v>1590</v>
      </c>
      <c r="AG162" s="100" t="s">
        <v>1590</v>
      </c>
      <c r="AH162" s="101"/>
      <c r="AI162" s="99"/>
      <c r="AJ162" s="100"/>
      <c r="AK162" s="101"/>
      <c r="AL162" s="106" t="s">
        <v>1590</v>
      </c>
      <c r="AM162" s="106" t="s">
        <v>1590</v>
      </c>
      <c r="AN162" s="106" t="s">
        <v>1590</v>
      </c>
      <c r="AO162" s="107" t="s">
        <v>1590</v>
      </c>
      <c r="AP162" s="109"/>
      <c r="AQ162" s="106" t="s">
        <v>1575</v>
      </c>
      <c r="AR162" s="106" t="s">
        <v>1575</v>
      </c>
      <c r="AS162" s="106" t="s">
        <v>1575</v>
      </c>
      <c r="AT162" s="106" t="s">
        <v>1575</v>
      </c>
      <c r="AU162" s="106" t="s">
        <v>1590</v>
      </c>
      <c r="AV162" s="106"/>
      <c r="AW162" s="106" t="s">
        <v>1575</v>
      </c>
      <c r="AX162" s="106" t="s">
        <v>1590</v>
      </c>
      <c r="AY162" s="106"/>
      <c r="AZ162" s="106" t="s">
        <v>1590</v>
      </c>
      <c r="BA162" s="106" t="s">
        <v>1575</v>
      </c>
      <c r="BB162" s="106" t="s">
        <v>1575</v>
      </c>
      <c r="BC162" s="106" t="s">
        <v>1575</v>
      </c>
      <c r="BD162" s="106"/>
      <c r="BE162" s="107" t="s">
        <v>1575</v>
      </c>
      <c r="BF162" s="105" t="s">
        <v>1590</v>
      </c>
      <c r="BG162" s="106"/>
      <c r="BH162" s="106"/>
      <c r="BI162" s="106"/>
      <c r="BJ162" s="106"/>
      <c r="BK162" s="106"/>
      <c r="BL162" s="107"/>
      <c r="BM162" s="105"/>
      <c r="BN162" s="106"/>
      <c r="BO162" s="107"/>
      <c r="BP162" s="105"/>
      <c r="BQ162" s="106" t="s">
        <v>1590</v>
      </c>
      <c r="BR162" s="106"/>
      <c r="BS162" s="106" t="s">
        <v>1590</v>
      </c>
      <c r="BT162" s="107" t="s">
        <v>1590</v>
      </c>
      <c r="BU162" s="109"/>
      <c r="BV162" s="106"/>
      <c r="BW162" s="106"/>
      <c r="BX162" s="106" t="s">
        <v>1590</v>
      </c>
      <c r="BY162" s="106" t="s">
        <v>1590</v>
      </c>
      <c r="BZ162" s="106" t="s">
        <v>1590</v>
      </c>
      <c r="CA162" s="106"/>
      <c r="CB162" s="106"/>
      <c r="CC162" s="106"/>
      <c r="CD162" s="106"/>
      <c r="CE162" s="106"/>
      <c r="CF162" s="106"/>
      <c r="CG162" s="106" t="s">
        <v>1590</v>
      </c>
      <c r="CH162" s="106" t="s">
        <v>1590</v>
      </c>
      <c r="CI162" s="106"/>
      <c r="CJ162" s="107"/>
      <c r="CK162" s="105"/>
      <c r="CL162" s="106"/>
      <c r="CM162" s="106"/>
      <c r="CN162" s="106"/>
      <c r="CO162" s="106"/>
      <c r="CP162" s="106" t="s">
        <v>1590</v>
      </c>
      <c r="CQ162" s="107"/>
      <c r="CR162" s="105"/>
      <c r="CS162" s="106"/>
      <c r="CT162" s="107"/>
      <c r="CU162" s="105"/>
      <c r="CV162" s="106" t="s">
        <v>1590</v>
      </c>
      <c r="CW162" s="99"/>
      <c r="CX162" s="99" t="s">
        <v>1590</v>
      </c>
      <c r="CY162" s="99" t="s">
        <v>1590</v>
      </c>
    </row>
    <row r="163" spans="1:103" collapsed="1" x14ac:dyDescent="0.2">
      <c r="A163" s="394" t="s">
        <v>13</v>
      </c>
      <c r="B163" s="395" t="str">
        <f>VLOOKUP(A163,'1. Mesures'!$A$2:$B$116,2,0)</f>
        <v>Assurer un contrôle réglementaire sur le respect des normes de rejet en eaux de surface et en égout</v>
      </c>
      <c r="C163" s="96"/>
      <c r="D163" s="96"/>
      <c r="E163" s="96"/>
      <c r="F163" s="96">
        <v>90000</v>
      </c>
      <c r="G163" s="96"/>
      <c r="H163" s="96">
        <v>90000</v>
      </c>
      <c r="I163" s="97" t="s">
        <v>1589</v>
      </c>
      <c r="J163" s="97"/>
      <c r="K163" s="98" t="s">
        <v>1575</v>
      </c>
      <c r="L163" s="99" t="s">
        <v>1575</v>
      </c>
      <c r="M163" s="99" t="s">
        <v>1575</v>
      </c>
      <c r="N163" s="99" t="s">
        <v>1575</v>
      </c>
      <c r="O163" s="99" t="s">
        <v>1575</v>
      </c>
      <c r="P163" s="99" t="s">
        <v>1590</v>
      </c>
      <c r="Q163" s="99" t="s">
        <v>1590</v>
      </c>
      <c r="R163" s="99" t="s">
        <v>1575</v>
      </c>
      <c r="S163" s="99" t="s">
        <v>1590</v>
      </c>
      <c r="T163" s="99" t="s">
        <v>1590</v>
      </c>
      <c r="U163" s="99" t="s">
        <v>1590</v>
      </c>
      <c r="V163" s="99"/>
      <c r="W163" s="99" t="s">
        <v>1575</v>
      </c>
      <c r="X163" s="99" t="s">
        <v>1575</v>
      </c>
      <c r="Y163" s="99" t="s">
        <v>1590</v>
      </c>
      <c r="Z163" s="100" t="s">
        <v>1590</v>
      </c>
      <c r="AA163" s="101" t="s">
        <v>1575</v>
      </c>
      <c r="AB163" s="99" t="s">
        <v>1575</v>
      </c>
      <c r="AC163" s="99" t="s">
        <v>1575</v>
      </c>
      <c r="AD163" s="99" t="s">
        <v>1575</v>
      </c>
      <c r="AE163" s="99" t="s">
        <v>1575</v>
      </c>
      <c r="AF163" s="99" t="s">
        <v>1575</v>
      </c>
      <c r="AG163" s="100" t="s">
        <v>1590</v>
      </c>
      <c r="AH163" s="101"/>
      <c r="AI163" s="99"/>
      <c r="AJ163" s="100"/>
      <c r="AK163" s="101"/>
      <c r="AL163" s="99" t="s">
        <v>1590</v>
      </c>
      <c r="AM163" s="99" t="s">
        <v>1590</v>
      </c>
      <c r="AN163" s="99" t="s">
        <v>1590</v>
      </c>
      <c r="AO163" s="100" t="s">
        <v>1590</v>
      </c>
      <c r="AP163" s="98"/>
      <c r="AQ163" s="99" t="s">
        <v>1590</v>
      </c>
      <c r="AR163" s="99" t="s">
        <v>1590</v>
      </c>
      <c r="AS163" s="99" t="s">
        <v>1590</v>
      </c>
      <c r="AT163" s="99" t="s">
        <v>1590</v>
      </c>
      <c r="AU163" s="99" t="s">
        <v>1590</v>
      </c>
      <c r="AV163" s="99"/>
      <c r="AW163" s="99" t="s">
        <v>1575</v>
      </c>
      <c r="AX163" s="99" t="s">
        <v>1590</v>
      </c>
      <c r="AY163" s="99"/>
      <c r="AZ163" s="99" t="s">
        <v>1590</v>
      </c>
      <c r="BA163" s="99"/>
      <c r="BB163" s="99" t="s">
        <v>1590</v>
      </c>
      <c r="BC163" s="99" t="s">
        <v>1590</v>
      </c>
      <c r="BD163" s="99"/>
      <c r="BE163" s="100" t="s">
        <v>1590</v>
      </c>
      <c r="BF163" s="101" t="s">
        <v>1590</v>
      </c>
      <c r="BG163" s="99"/>
      <c r="BH163" s="99"/>
      <c r="BI163" s="99"/>
      <c r="BJ163" s="99"/>
      <c r="BK163" s="99"/>
      <c r="BL163" s="100"/>
      <c r="BM163" s="101"/>
      <c r="BN163" s="99"/>
      <c r="BO163" s="100"/>
      <c r="BP163" s="101"/>
      <c r="BQ163" s="99" t="s">
        <v>1590</v>
      </c>
      <c r="BR163" s="99"/>
      <c r="BS163" s="99" t="s">
        <v>1590</v>
      </c>
      <c r="BT163" s="100" t="s">
        <v>1590</v>
      </c>
      <c r="BU163" s="98"/>
      <c r="BV163" s="99"/>
      <c r="BW163" s="99"/>
      <c r="BX163" s="99"/>
      <c r="BY163" s="99"/>
      <c r="BZ163" s="99"/>
      <c r="CA163" s="99"/>
      <c r="CB163" s="99"/>
      <c r="CC163" s="99"/>
      <c r="CD163" s="99"/>
      <c r="CE163" s="99"/>
      <c r="CF163" s="99"/>
      <c r="CG163" s="99"/>
      <c r="CH163" s="99"/>
      <c r="CI163" s="99"/>
      <c r="CJ163" s="100"/>
      <c r="CK163" s="101"/>
      <c r="CL163" s="99"/>
      <c r="CM163" s="99"/>
      <c r="CN163" s="99"/>
      <c r="CO163" s="99"/>
      <c r="CP163" s="99"/>
      <c r="CQ163" s="100"/>
      <c r="CR163" s="101"/>
      <c r="CS163" s="99"/>
      <c r="CT163" s="100"/>
      <c r="CU163" s="101"/>
      <c r="CV163" s="99"/>
      <c r="CW163" s="99"/>
      <c r="CX163" s="99"/>
      <c r="CY163" s="99"/>
    </row>
    <row r="164" spans="1:103" ht="25.5" hidden="1" outlineLevel="1" x14ac:dyDescent="0.2">
      <c r="A164" s="424" t="s">
        <v>675</v>
      </c>
      <c r="B164" s="401" t="str">
        <f>VLOOKUP(A164,[1]ACTIONS!$A$3:$B$238,2,0)</f>
        <v>Identifier les entreprises qui rejettent directement des eaux non domestiques dans les eaux de surface et encoder l’information dans la base de données des permis d’environnement</v>
      </c>
      <c r="C164" s="96"/>
      <c r="D164" s="96"/>
      <c r="E164" s="96"/>
      <c r="F164" s="96">
        <v>0</v>
      </c>
      <c r="G164" s="96"/>
      <c r="H164" s="96">
        <v>0</v>
      </c>
      <c r="I164" s="97"/>
      <c r="J164" s="97"/>
      <c r="K164" s="98"/>
      <c r="L164" s="99"/>
      <c r="M164" s="99"/>
      <c r="N164" s="99"/>
      <c r="O164" s="99"/>
      <c r="P164" s="99"/>
      <c r="Q164" s="99"/>
      <c r="R164" s="99"/>
      <c r="S164" s="99"/>
      <c r="T164" s="99"/>
      <c r="U164" s="99"/>
      <c r="V164" s="99"/>
      <c r="W164" s="99"/>
      <c r="X164" s="99"/>
      <c r="Y164" s="99"/>
      <c r="Z164" s="100"/>
      <c r="AA164" s="101"/>
      <c r="AB164" s="99"/>
      <c r="AC164" s="99"/>
      <c r="AD164" s="99"/>
      <c r="AE164" s="99"/>
      <c r="AF164" s="99"/>
      <c r="AG164" s="100"/>
      <c r="AH164" s="101"/>
      <c r="AI164" s="99"/>
      <c r="AJ164" s="100"/>
      <c r="AK164" s="101"/>
      <c r="AL164" s="99"/>
      <c r="AM164" s="99"/>
      <c r="AN164" s="99"/>
      <c r="AO164" s="100"/>
      <c r="AP164" s="98"/>
      <c r="AQ164" s="99"/>
      <c r="AR164" s="99"/>
      <c r="AS164" s="99"/>
      <c r="AT164" s="99"/>
      <c r="AU164" s="99"/>
      <c r="AV164" s="99"/>
      <c r="AW164" s="99"/>
      <c r="AX164" s="99"/>
      <c r="AY164" s="99"/>
      <c r="AZ164" s="99"/>
      <c r="BA164" s="99"/>
      <c r="BB164" s="99"/>
      <c r="BC164" s="99"/>
      <c r="BD164" s="99"/>
      <c r="BE164" s="100"/>
      <c r="BF164" s="101"/>
      <c r="BG164" s="99"/>
      <c r="BH164" s="99"/>
      <c r="BI164" s="99"/>
      <c r="BJ164" s="99"/>
      <c r="BK164" s="99"/>
      <c r="BL164" s="100"/>
      <c r="BM164" s="101"/>
      <c r="BN164" s="99"/>
      <c r="BO164" s="100"/>
      <c r="BP164" s="101"/>
      <c r="BQ164" s="99"/>
      <c r="BR164" s="99"/>
      <c r="BS164" s="99"/>
      <c r="BT164" s="100"/>
      <c r="BU164" s="98"/>
      <c r="BV164" s="99"/>
      <c r="BW164" s="99"/>
      <c r="BX164" s="99"/>
      <c r="BY164" s="99"/>
      <c r="BZ164" s="99"/>
      <c r="CA164" s="99"/>
      <c r="CB164" s="99"/>
      <c r="CC164" s="99"/>
      <c r="CD164" s="99"/>
      <c r="CE164" s="99"/>
      <c r="CF164" s="99"/>
      <c r="CG164" s="99"/>
      <c r="CH164" s="99"/>
      <c r="CI164" s="99"/>
      <c r="CJ164" s="100"/>
      <c r="CK164" s="101"/>
      <c r="CL164" s="99"/>
      <c r="CM164" s="99"/>
      <c r="CN164" s="99"/>
      <c r="CO164" s="99"/>
      <c r="CP164" s="99"/>
      <c r="CQ164" s="100"/>
      <c r="CR164" s="101"/>
      <c r="CS164" s="99"/>
      <c r="CT164" s="100"/>
      <c r="CU164" s="101"/>
      <c r="CV164" s="99"/>
      <c r="CW164" s="99"/>
      <c r="CX164" s="99"/>
      <c r="CY164" s="99"/>
    </row>
    <row r="165" spans="1:103" ht="38.25" hidden="1" outlineLevel="1" x14ac:dyDescent="0.2">
      <c r="A165" s="424" t="s">
        <v>676</v>
      </c>
      <c r="B165" s="401" t="str">
        <f>VLOOKUP(A165,[1]ACTIONS!$A$3:$B$238,2,0)</f>
        <v xml:space="preserve">Recenser, dans la base de données des permis d’environnement, les installations classées dont les rejets sont potentiellement problématiques au regard des objectifs de qualité des eaux de surface afin de permettre un contrôle ciblé de celles-ci.  </v>
      </c>
      <c r="C165" s="96"/>
      <c r="D165" s="96"/>
      <c r="E165" s="96"/>
      <c r="F165" s="96">
        <v>0</v>
      </c>
      <c r="G165" s="96"/>
      <c r="H165" s="96">
        <v>0</v>
      </c>
      <c r="I165" s="97"/>
      <c r="J165" s="97"/>
      <c r="K165" s="98"/>
      <c r="L165" s="99"/>
      <c r="M165" s="99"/>
      <c r="N165" s="99"/>
      <c r="O165" s="99"/>
      <c r="P165" s="99"/>
      <c r="Q165" s="99"/>
      <c r="R165" s="99"/>
      <c r="S165" s="99"/>
      <c r="T165" s="99"/>
      <c r="U165" s="99"/>
      <c r="V165" s="99"/>
      <c r="W165" s="99"/>
      <c r="X165" s="99"/>
      <c r="Y165" s="99"/>
      <c r="Z165" s="100"/>
      <c r="AA165" s="101"/>
      <c r="AB165" s="99"/>
      <c r="AC165" s="99"/>
      <c r="AD165" s="99"/>
      <c r="AE165" s="99"/>
      <c r="AF165" s="99"/>
      <c r="AG165" s="100"/>
      <c r="AH165" s="101"/>
      <c r="AI165" s="99"/>
      <c r="AJ165" s="100"/>
      <c r="AK165" s="101"/>
      <c r="AL165" s="99"/>
      <c r="AM165" s="99"/>
      <c r="AN165" s="99"/>
      <c r="AO165" s="100"/>
      <c r="AP165" s="98"/>
      <c r="AQ165" s="99"/>
      <c r="AR165" s="99"/>
      <c r="AS165" s="99"/>
      <c r="AT165" s="99"/>
      <c r="AU165" s="99"/>
      <c r="AV165" s="99"/>
      <c r="AW165" s="99"/>
      <c r="AX165" s="99"/>
      <c r="AY165" s="99"/>
      <c r="AZ165" s="99"/>
      <c r="BA165" s="99"/>
      <c r="BB165" s="99"/>
      <c r="BC165" s="99"/>
      <c r="BD165" s="99"/>
      <c r="BE165" s="100"/>
      <c r="BF165" s="101"/>
      <c r="BG165" s="99"/>
      <c r="BH165" s="99"/>
      <c r="BI165" s="99"/>
      <c r="BJ165" s="99"/>
      <c r="BK165" s="99"/>
      <c r="BL165" s="100"/>
      <c r="BM165" s="101"/>
      <c r="BN165" s="99"/>
      <c r="BO165" s="100"/>
      <c r="BP165" s="101"/>
      <c r="BQ165" s="99"/>
      <c r="BR165" s="99"/>
      <c r="BS165" s="99"/>
      <c r="BT165" s="100"/>
      <c r="BU165" s="98"/>
      <c r="BV165" s="99"/>
      <c r="BW165" s="99"/>
      <c r="BX165" s="99"/>
      <c r="BY165" s="99"/>
      <c r="BZ165" s="99"/>
      <c r="CA165" s="99"/>
      <c r="CB165" s="99"/>
      <c r="CC165" s="99"/>
      <c r="CD165" s="99"/>
      <c r="CE165" s="99"/>
      <c r="CF165" s="99"/>
      <c r="CG165" s="99"/>
      <c r="CH165" s="99"/>
      <c r="CI165" s="99"/>
      <c r="CJ165" s="100"/>
      <c r="CK165" s="101"/>
      <c r="CL165" s="99"/>
      <c r="CM165" s="99"/>
      <c r="CN165" s="99"/>
      <c r="CO165" s="99"/>
      <c r="CP165" s="99"/>
      <c r="CQ165" s="100"/>
      <c r="CR165" s="101"/>
      <c r="CS165" s="99"/>
      <c r="CT165" s="100"/>
      <c r="CU165" s="101"/>
      <c r="CV165" s="99"/>
      <c r="CW165" s="99"/>
      <c r="CX165" s="99"/>
      <c r="CY165" s="99"/>
    </row>
    <row r="166" spans="1:103" ht="25.5" hidden="1" outlineLevel="1" x14ac:dyDescent="0.2">
      <c r="A166" s="424" t="s">
        <v>677</v>
      </c>
      <c r="B166" s="401" t="str">
        <f>VLOOKUP(A166,[1]ACTIONS!$A$3:$B$238,2,0)</f>
        <v>Etablissement d’un programme d’inspection spécifique pour ces installations classées en tenant compte des priorités proposées et réalise progressivement le contrôle les rejets.</v>
      </c>
      <c r="C166" s="96"/>
      <c r="D166" s="96"/>
      <c r="E166" s="96"/>
      <c r="F166" s="96">
        <v>90000</v>
      </c>
      <c r="G166" s="96"/>
      <c r="H166" s="96">
        <v>90000</v>
      </c>
      <c r="I166" s="97"/>
      <c r="J166" s="97"/>
      <c r="K166" s="98"/>
      <c r="L166" s="99"/>
      <c r="M166" s="99"/>
      <c r="N166" s="99"/>
      <c r="O166" s="99"/>
      <c r="P166" s="99"/>
      <c r="Q166" s="99"/>
      <c r="R166" s="99"/>
      <c r="S166" s="99"/>
      <c r="T166" s="99"/>
      <c r="U166" s="99"/>
      <c r="V166" s="99"/>
      <c r="W166" s="99"/>
      <c r="X166" s="99"/>
      <c r="Y166" s="99"/>
      <c r="Z166" s="100"/>
      <c r="AA166" s="101"/>
      <c r="AB166" s="99"/>
      <c r="AC166" s="99"/>
      <c r="AD166" s="99"/>
      <c r="AE166" s="99"/>
      <c r="AF166" s="99"/>
      <c r="AG166" s="100"/>
      <c r="AH166" s="101"/>
      <c r="AI166" s="99"/>
      <c r="AJ166" s="100"/>
      <c r="AK166" s="101"/>
      <c r="AL166" s="99"/>
      <c r="AM166" s="99"/>
      <c r="AN166" s="99"/>
      <c r="AO166" s="100"/>
      <c r="AP166" s="98"/>
      <c r="AQ166" s="99"/>
      <c r="AR166" s="99"/>
      <c r="AS166" s="99"/>
      <c r="AT166" s="99"/>
      <c r="AU166" s="99"/>
      <c r="AV166" s="99"/>
      <c r="AW166" s="99"/>
      <c r="AX166" s="99"/>
      <c r="AY166" s="99"/>
      <c r="AZ166" s="99"/>
      <c r="BA166" s="99"/>
      <c r="BB166" s="99"/>
      <c r="BC166" s="99"/>
      <c r="BD166" s="99"/>
      <c r="BE166" s="100"/>
      <c r="BF166" s="101"/>
      <c r="BG166" s="99"/>
      <c r="BH166" s="99"/>
      <c r="BI166" s="99"/>
      <c r="BJ166" s="99"/>
      <c r="BK166" s="99"/>
      <c r="BL166" s="100"/>
      <c r="BM166" s="101"/>
      <c r="BN166" s="99"/>
      <c r="BO166" s="100"/>
      <c r="BP166" s="101"/>
      <c r="BQ166" s="99"/>
      <c r="BR166" s="99"/>
      <c r="BS166" s="99"/>
      <c r="BT166" s="100"/>
      <c r="BU166" s="98"/>
      <c r="BV166" s="99"/>
      <c r="BW166" s="99"/>
      <c r="BX166" s="99"/>
      <c r="BY166" s="99"/>
      <c r="BZ166" s="99"/>
      <c r="CA166" s="99"/>
      <c r="CB166" s="99"/>
      <c r="CC166" s="99"/>
      <c r="CD166" s="99"/>
      <c r="CE166" s="99"/>
      <c r="CF166" s="99"/>
      <c r="CG166" s="99"/>
      <c r="CH166" s="99"/>
      <c r="CI166" s="99"/>
      <c r="CJ166" s="100"/>
      <c r="CK166" s="101"/>
      <c r="CL166" s="99"/>
      <c r="CM166" s="99"/>
      <c r="CN166" s="99"/>
      <c r="CO166" s="99"/>
      <c r="CP166" s="99"/>
      <c r="CQ166" s="100"/>
      <c r="CR166" s="101"/>
      <c r="CS166" s="99"/>
      <c r="CT166" s="100"/>
      <c r="CU166" s="101"/>
      <c r="CV166" s="99"/>
      <c r="CW166" s="99"/>
      <c r="CX166" s="99"/>
      <c r="CY166" s="99"/>
    </row>
    <row r="167" spans="1:103" ht="25.5" hidden="1" outlineLevel="1" x14ac:dyDescent="0.2">
      <c r="A167" s="424" t="s">
        <v>678</v>
      </c>
      <c r="B167" s="401" t="str">
        <f>VLOOKUP(A167,[1]ACTIONS!$A$3:$B$238,2,0)</f>
        <v>Sur base des résultats de l’analyse de secteurs (mesure 1.13.2), sélection des secteurs les plus problématiques et proposition de priorisation par secteur</v>
      </c>
      <c r="C167" s="96"/>
      <c r="D167" s="96"/>
      <c r="E167" s="96"/>
      <c r="F167" s="96">
        <v>0</v>
      </c>
      <c r="G167" s="96"/>
      <c r="H167" s="96">
        <v>0</v>
      </c>
      <c r="I167" s="97"/>
      <c r="J167" s="97"/>
      <c r="K167" s="98"/>
      <c r="L167" s="99"/>
      <c r="M167" s="99"/>
      <c r="N167" s="99"/>
      <c r="O167" s="99"/>
      <c r="P167" s="99"/>
      <c r="Q167" s="99"/>
      <c r="R167" s="99"/>
      <c r="S167" s="99"/>
      <c r="T167" s="99"/>
      <c r="U167" s="99"/>
      <c r="V167" s="99"/>
      <c r="W167" s="99"/>
      <c r="X167" s="99"/>
      <c r="Y167" s="99"/>
      <c r="Z167" s="100"/>
      <c r="AA167" s="101"/>
      <c r="AB167" s="99"/>
      <c r="AC167" s="99"/>
      <c r="AD167" s="99"/>
      <c r="AE167" s="99"/>
      <c r="AF167" s="99"/>
      <c r="AG167" s="100"/>
      <c r="AH167" s="101"/>
      <c r="AI167" s="99"/>
      <c r="AJ167" s="100"/>
      <c r="AK167" s="101"/>
      <c r="AL167" s="99"/>
      <c r="AM167" s="99"/>
      <c r="AN167" s="99"/>
      <c r="AO167" s="100"/>
      <c r="AP167" s="98"/>
      <c r="AQ167" s="99"/>
      <c r="AR167" s="99"/>
      <c r="AS167" s="99"/>
      <c r="AT167" s="99"/>
      <c r="AU167" s="99"/>
      <c r="AV167" s="99"/>
      <c r="AW167" s="99"/>
      <c r="AX167" s="99"/>
      <c r="AY167" s="99"/>
      <c r="AZ167" s="99"/>
      <c r="BA167" s="99"/>
      <c r="BB167" s="99"/>
      <c r="BC167" s="99"/>
      <c r="BD167" s="99"/>
      <c r="BE167" s="100"/>
      <c r="BF167" s="101"/>
      <c r="BG167" s="99"/>
      <c r="BH167" s="99"/>
      <c r="BI167" s="99"/>
      <c r="BJ167" s="99"/>
      <c r="BK167" s="99"/>
      <c r="BL167" s="100"/>
      <c r="BM167" s="101"/>
      <c r="BN167" s="99"/>
      <c r="BO167" s="100"/>
      <c r="BP167" s="101"/>
      <c r="BQ167" s="99"/>
      <c r="BR167" s="99"/>
      <c r="BS167" s="99"/>
      <c r="BT167" s="100"/>
      <c r="BU167" s="98"/>
      <c r="BV167" s="99"/>
      <c r="BW167" s="99"/>
      <c r="BX167" s="99"/>
      <c r="BY167" s="99"/>
      <c r="BZ167" s="99"/>
      <c r="CA167" s="99"/>
      <c r="CB167" s="99"/>
      <c r="CC167" s="99"/>
      <c r="CD167" s="99"/>
      <c r="CE167" s="99"/>
      <c r="CF167" s="99"/>
      <c r="CG167" s="99"/>
      <c r="CH167" s="99"/>
      <c r="CI167" s="99"/>
      <c r="CJ167" s="100"/>
      <c r="CK167" s="101"/>
      <c r="CL167" s="99"/>
      <c r="CM167" s="99"/>
      <c r="CN167" s="99"/>
      <c r="CO167" s="99"/>
      <c r="CP167" s="99"/>
      <c r="CQ167" s="100"/>
      <c r="CR167" s="101"/>
      <c r="CS167" s="99"/>
      <c r="CT167" s="100"/>
      <c r="CU167" s="101"/>
      <c r="CV167" s="99"/>
      <c r="CW167" s="99"/>
      <c r="CX167" s="99"/>
      <c r="CY167" s="99"/>
    </row>
    <row r="168" spans="1:103" ht="25.5" x14ac:dyDescent="0.2">
      <c r="A168" s="402" t="s">
        <v>14</v>
      </c>
      <c r="B168" s="403" t="str">
        <f>VLOOKUP(A168,'1. Mesures'!$A$2:$B$116,2,0)</f>
        <v xml:space="preserve">Mettre en œuvre à l’échelle régionale les règlements et plans d’actions visant des substances polluantes, émergentes ou non </v>
      </c>
      <c r="C168" s="96"/>
      <c r="D168" s="96"/>
      <c r="E168" s="96"/>
      <c r="F168" s="96"/>
      <c r="G168" s="96"/>
      <c r="H168" s="96"/>
      <c r="I168" s="110" t="s">
        <v>1589</v>
      </c>
      <c r="J168" s="79" t="s">
        <v>1600</v>
      </c>
      <c r="K168" s="109" t="s">
        <v>1590</v>
      </c>
      <c r="L168" s="106" t="s">
        <v>1590</v>
      </c>
      <c r="M168" s="106" t="s">
        <v>1590</v>
      </c>
      <c r="N168" s="106" t="s">
        <v>1575</v>
      </c>
      <c r="O168" s="106" t="s">
        <v>1590</v>
      </c>
      <c r="P168" s="106" t="s">
        <v>1575</v>
      </c>
      <c r="Q168" s="106" t="s">
        <v>1590</v>
      </c>
      <c r="R168" s="106" t="s">
        <v>1575</v>
      </c>
      <c r="S168" s="106" t="s">
        <v>1575</v>
      </c>
      <c r="T168" s="106" t="s">
        <v>1575</v>
      </c>
      <c r="U168" s="106" t="s">
        <v>1575</v>
      </c>
      <c r="V168" s="106"/>
      <c r="W168" s="106" t="s">
        <v>1575</v>
      </c>
      <c r="X168" s="106" t="s">
        <v>1575</v>
      </c>
      <c r="Y168" s="106" t="s">
        <v>1575</v>
      </c>
      <c r="Z168" s="106" t="s">
        <v>1575</v>
      </c>
      <c r="AA168" s="105"/>
      <c r="AB168" s="99"/>
      <c r="AC168" s="99"/>
      <c r="AD168" s="99"/>
      <c r="AE168" s="99"/>
      <c r="AF168" s="99"/>
      <c r="AG168" s="100"/>
      <c r="AH168" s="101"/>
      <c r="AI168" s="99"/>
      <c r="AJ168" s="100"/>
      <c r="AK168" s="101"/>
      <c r="AL168" s="106" t="s">
        <v>1590</v>
      </c>
      <c r="AM168" s="106" t="s">
        <v>1590</v>
      </c>
      <c r="AN168" s="106" t="s">
        <v>1590</v>
      </c>
      <c r="AO168" s="107" t="s">
        <v>1590</v>
      </c>
      <c r="AP168" s="109"/>
      <c r="AQ168" s="106" t="s">
        <v>1590</v>
      </c>
      <c r="AR168" s="106" t="s">
        <v>1590</v>
      </c>
      <c r="AS168" s="106" t="s">
        <v>1575</v>
      </c>
      <c r="AT168" s="106" t="s">
        <v>1590</v>
      </c>
      <c r="AU168" s="106" t="s">
        <v>1575</v>
      </c>
      <c r="AV168" s="111"/>
      <c r="AW168" s="106" t="s">
        <v>1575</v>
      </c>
      <c r="AX168" s="106" t="s">
        <v>1575</v>
      </c>
      <c r="AY168" s="106"/>
      <c r="AZ168" s="106" t="s">
        <v>1575</v>
      </c>
      <c r="BA168" s="106" t="s">
        <v>1575</v>
      </c>
      <c r="BB168" s="106" t="s">
        <v>1575</v>
      </c>
      <c r="BC168" s="106" t="s">
        <v>1575</v>
      </c>
      <c r="BD168" s="106"/>
      <c r="BE168" s="106" t="s">
        <v>1575</v>
      </c>
      <c r="BF168" s="105"/>
      <c r="BG168" s="106"/>
      <c r="BH168" s="106"/>
      <c r="BI168" s="106"/>
      <c r="BJ168" s="106"/>
      <c r="BK168" s="106"/>
      <c r="BL168" s="107"/>
      <c r="BM168" s="105"/>
      <c r="BN168" s="106"/>
      <c r="BO168" s="107"/>
      <c r="BP168" s="112"/>
      <c r="BQ168" s="106" t="s">
        <v>1590</v>
      </c>
      <c r="BR168" s="111"/>
      <c r="BS168" s="106" t="s">
        <v>1590</v>
      </c>
      <c r="BT168" s="106" t="s">
        <v>1590</v>
      </c>
      <c r="BU168" s="109"/>
      <c r="BV168" s="106"/>
      <c r="BW168" s="106"/>
      <c r="BX168" s="106" t="s">
        <v>1575</v>
      </c>
      <c r="BY168" s="106" t="s">
        <v>1590</v>
      </c>
      <c r="BZ168" s="106" t="s">
        <v>1575</v>
      </c>
      <c r="CA168" s="106"/>
      <c r="CB168" s="106"/>
      <c r="CC168" s="106"/>
      <c r="CD168" s="106"/>
      <c r="CE168" s="106"/>
      <c r="CF168" s="106"/>
      <c r="CG168" s="106" t="s">
        <v>1575</v>
      </c>
      <c r="CH168" s="106" t="s">
        <v>1575</v>
      </c>
      <c r="CI168" s="106"/>
      <c r="CJ168" s="107"/>
      <c r="CK168" s="105"/>
      <c r="CL168" s="106"/>
      <c r="CM168" s="106"/>
      <c r="CN168" s="106"/>
      <c r="CO168" s="106"/>
      <c r="CP168" s="106"/>
      <c r="CQ168" s="107"/>
      <c r="CR168" s="105"/>
      <c r="CS168" s="106"/>
      <c r="CT168" s="107"/>
      <c r="CU168" s="105"/>
      <c r="CV168" s="106" t="s">
        <v>1590</v>
      </c>
      <c r="CW168" s="99"/>
      <c r="CX168" s="99" t="s">
        <v>1590</v>
      </c>
      <c r="CY168" s="99" t="s">
        <v>1590</v>
      </c>
    </row>
    <row r="169" spans="1:103" collapsed="1" x14ac:dyDescent="0.2">
      <c r="A169" s="394" t="s">
        <v>15</v>
      </c>
      <c r="B169" s="395" t="str">
        <f>VLOOKUP(A169,'1. Mesures'!$A$2:$B$116,2,0)</f>
        <v>Réaliser le curage sur les derniers tronçons du réseau hydrographique pour enlever la pollution «historique »</v>
      </c>
      <c r="C169" s="96"/>
      <c r="D169" s="96"/>
      <c r="E169" s="96"/>
      <c r="F169" s="96">
        <v>1650000</v>
      </c>
      <c r="G169" s="96"/>
      <c r="H169" s="96">
        <v>1650000</v>
      </c>
      <c r="I169" s="97" t="s">
        <v>1589</v>
      </c>
      <c r="J169" s="97"/>
      <c r="K169" s="98" t="s">
        <v>1590</v>
      </c>
      <c r="L169" s="99" t="s">
        <v>1590</v>
      </c>
      <c r="M169" s="99" t="s">
        <v>1590</v>
      </c>
      <c r="N169" s="99" t="s">
        <v>1590</v>
      </c>
      <c r="O169" s="99" t="s">
        <v>1590</v>
      </c>
      <c r="P169" s="99" t="s">
        <v>1590</v>
      </c>
      <c r="Q169" s="99" t="s">
        <v>1590</v>
      </c>
      <c r="R169" s="99" t="s">
        <v>1590</v>
      </c>
      <c r="S169" s="99" t="s">
        <v>1590</v>
      </c>
      <c r="T169" s="99" t="s">
        <v>1590</v>
      </c>
      <c r="U169" s="99" t="s">
        <v>1590</v>
      </c>
      <c r="V169" s="99"/>
      <c r="W169" s="99" t="s">
        <v>1590</v>
      </c>
      <c r="X169" s="99" t="s">
        <v>1590</v>
      </c>
      <c r="Y169" s="99" t="s">
        <v>1590</v>
      </c>
      <c r="Z169" s="100" t="s">
        <v>1590</v>
      </c>
      <c r="AA169" s="101" t="s">
        <v>1590</v>
      </c>
      <c r="AB169" s="99" t="s">
        <v>1590</v>
      </c>
      <c r="AC169" s="99"/>
      <c r="AD169" s="99"/>
      <c r="AE169" s="99"/>
      <c r="AF169" s="99"/>
      <c r="AG169" s="100"/>
      <c r="AH169" s="101"/>
      <c r="AI169" s="99"/>
      <c r="AJ169" s="100"/>
      <c r="AK169" s="101"/>
      <c r="AL169" s="99" t="s">
        <v>1590</v>
      </c>
      <c r="AM169" s="99" t="s">
        <v>1590</v>
      </c>
      <c r="AN169" s="99" t="s">
        <v>1590</v>
      </c>
      <c r="AO169" s="100" t="s">
        <v>1590</v>
      </c>
      <c r="AP169" s="98"/>
      <c r="AQ169" s="99"/>
      <c r="AR169" s="99"/>
      <c r="AS169" s="99"/>
      <c r="AT169" s="99"/>
      <c r="AU169" s="99"/>
      <c r="AV169" s="99"/>
      <c r="AW169" s="99"/>
      <c r="AX169" s="99"/>
      <c r="AY169" s="99"/>
      <c r="AZ169" s="99"/>
      <c r="BA169" s="99"/>
      <c r="BB169" s="99"/>
      <c r="BC169" s="99"/>
      <c r="BD169" s="99"/>
      <c r="BE169" s="100"/>
      <c r="BF169" s="101"/>
      <c r="BG169" s="99"/>
      <c r="BH169" s="99"/>
      <c r="BI169" s="99"/>
      <c r="BJ169" s="99"/>
      <c r="BK169" s="99"/>
      <c r="BL169" s="100"/>
      <c r="BM169" s="101"/>
      <c r="BN169" s="99"/>
      <c r="BO169" s="100"/>
      <c r="BP169" s="101"/>
      <c r="BQ169" s="99"/>
      <c r="BR169" s="99"/>
      <c r="BS169" s="99"/>
      <c r="BT169" s="100"/>
      <c r="BU169" s="98"/>
      <c r="BV169" s="99"/>
      <c r="BW169" s="99"/>
      <c r="BX169" s="99"/>
      <c r="BY169" s="99"/>
      <c r="BZ169" s="99"/>
      <c r="CA169" s="99"/>
      <c r="CB169" s="99"/>
      <c r="CC169" s="99"/>
      <c r="CD169" s="99"/>
      <c r="CE169" s="99"/>
      <c r="CF169" s="99"/>
      <c r="CG169" s="99"/>
      <c r="CH169" s="99"/>
      <c r="CI169" s="99"/>
      <c r="CJ169" s="100"/>
      <c r="CK169" s="101"/>
      <c r="CL169" s="99"/>
      <c r="CM169" s="99"/>
      <c r="CN169" s="99"/>
      <c r="CO169" s="99"/>
      <c r="CP169" s="99"/>
      <c r="CQ169" s="100"/>
      <c r="CR169" s="101"/>
      <c r="CS169" s="99"/>
      <c r="CT169" s="100"/>
      <c r="CU169" s="101"/>
      <c r="CV169" s="99"/>
      <c r="CW169" s="99"/>
      <c r="CX169" s="99"/>
      <c r="CY169" s="99"/>
    </row>
    <row r="170" spans="1:103" ht="25.5" hidden="1" outlineLevel="1" x14ac:dyDescent="0.2">
      <c r="A170" s="424" t="s">
        <v>679</v>
      </c>
      <c r="B170" s="401" t="str">
        <f>VLOOKUP(A170,[1]ACTIONS!$A$3:$B$238,2,0)</f>
        <v>Mener une étude des sédiments présents sur les 2 tronçons de la Senne qui n’ont pas encore été curés : Aquiris et Buda (bathymétrie et qualité des sédiments)</v>
      </c>
      <c r="C170" s="96"/>
      <c r="D170" s="96"/>
      <c r="E170" s="96"/>
      <c r="F170" s="96">
        <v>50000</v>
      </c>
      <c r="G170" s="96"/>
      <c r="H170" s="96">
        <v>50000</v>
      </c>
      <c r="I170" s="97"/>
      <c r="J170" s="97"/>
      <c r="K170" s="98"/>
      <c r="L170" s="99"/>
      <c r="M170" s="99"/>
      <c r="N170" s="99"/>
      <c r="O170" s="99"/>
      <c r="P170" s="99"/>
      <c r="Q170" s="99"/>
      <c r="R170" s="99"/>
      <c r="S170" s="99"/>
      <c r="T170" s="99"/>
      <c r="U170" s="99"/>
      <c r="V170" s="99"/>
      <c r="W170" s="99"/>
      <c r="X170" s="99"/>
      <c r="Y170" s="99"/>
      <c r="Z170" s="100"/>
      <c r="AA170" s="101"/>
      <c r="AB170" s="99"/>
      <c r="AC170" s="99"/>
      <c r="AD170" s="99"/>
      <c r="AE170" s="99"/>
      <c r="AF170" s="99"/>
      <c r="AG170" s="100"/>
      <c r="AH170" s="101"/>
      <c r="AI170" s="99"/>
      <c r="AJ170" s="100"/>
      <c r="AK170" s="101"/>
      <c r="AL170" s="99"/>
      <c r="AM170" s="99"/>
      <c r="AN170" s="99"/>
      <c r="AO170" s="100"/>
      <c r="AP170" s="98"/>
      <c r="AQ170" s="99"/>
      <c r="AR170" s="99"/>
      <c r="AS170" s="99"/>
      <c r="AT170" s="99"/>
      <c r="AU170" s="99"/>
      <c r="AV170" s="99"/>
      <c r="AW170" s="99"/>
      <c r="AX170" s="99"/>
      <c r="AY170" s="99"/>
      <c r="AZ170" s="99"/>
      <c r="BA170" s="99"/>
      <c r="BB170" s="99"/>
      <c r="BC170" s="99"/>
      <c r="BD170" s="99"/>
      <c r="BE170" s="100"/>
      <c r="BF170" s="101"/>
      <c r="BG170" s="99"/>
      <c r="BH170" s="99"/>
      <c r="BI170" s="99"/>
      <c r="BJ170" s="99"/>
      <c r="BK170" s="99"/>
      <c r="BL170" s="100"/>
      <c r="BM170" s="101"/>
      <c r="BN170" s="99"/>
      <c r="BO170" s="100"/>
      <c r="BP170" s="101"/>
      <c r="BQ170" s="99"/>
      <c r="BR170" s="99"/>
      <c r="BS170" s="99"/>
      <c r="BT170" s="100"/>
      <c r="BU170" s="98"/>
      <c r="BV170" s="99"/>
      <c r="BW170" s="99"/>
      <c r="BX170" s="99"/>
      <c r="BY170" s="99"/>
      <c r="BZ170" s="99"/>
      <c r="CA170" s="99"/>
      <c r="CB170" s="99"/>
      <c r="CC170" s="99"/>
      <c r="CD170" s="99"/>
      <c r="CE170" s="99"/>
      <c r="CF170" s="99"/>
      <c r="CG170" s="99"/>
      <c r="CH170" s="99"/>
      <c r="CI170" s="99"/>
      <c r="CJ170" s="100"/>
      <c r="CK170" s="101"/>
      <c r="CL170" s="99"/>
      <c r="CM170" s="99"/>
      <c r="CN170" s="99"/>
      <c r="CO170" s="99"/>
      <c r="CP170" s="99"/>
      <c r="CQ170" s="100"/>
      <c r="CR170" s="101"/>
      <c r="CS170" s="99"/>
      <c r="CT170" s="100"/>
      <c r="CU170" s="101"/>
      <c r="CV170" s="99"/>
      <c r="CW170" s="99"/>
      <c r="CX170" s="99"/>
      <c r="CY170" s="99"/>
    </row>
    <row r="171" spans="1:103" hidden="1" outlineLevel="1" x14ac:dyDescent="0.2">
      <c r="A171" s="424" t="s">
        <v>680</v>
      </c>
      <c r="B171" s="401" t="str">
        <f>VLOOKUP(A171,[1]ACTIONS!$A$3:$B$238,2,0)</f>
        <v>Curer le tronçon ‘Aquiris’ et éliminer les boues polluées (Senne)</v>
      </c>
      <c r="C171" s="96"/>
      <c r="D171" s="96"/>
      <c r="E171" s="96"/>
      <c r="F171" s="96">
        <v>750000</v>
      </c>
      <c r="G171" s="96"/>
      <c r="H171" s="96">
        <v>750000</v>
      </c>
      <c r="I171" s="97"/>
      <c r="J171" s="97"/>
      <c r="K171" s="98"/>
      <c r="L171" s="99"/>
      <c r="M171" s="99"/>
      <c r="N171" s="99"/>
      <c r="O171" s="99"/>
      <c r="P171" s="99"/>
      <c r="Q171" s="99"/>
      <c r="R171" s="99"/>
      <c r="S171" s="99"/>
      <c r="T171" s="99"/>
      <c r="U171" s="99"/>
      <c r="V171" s="99"/>
      <c r="W171" s="99"/>
      <c r="X171" s="99"/>
      <c r="Y171" s="99"/>
      <c r="Z171" s="100"/>
      <c r="AA171" s="101"/>
      <c r="AB171" s="99"/>
      <c r="AC171" s="99"/>
      <c r="AD171" s="99"/>
      <c r="AE171" s="99"/>
      <c r="AF171" s="99"/>
      <c r="AG171" s="100"/>
      <c r="AH171" s="101"/>
      <c r="AI171" s="99"/>
      <c r="AJ171" s="100"/>
      <c r="AK171" s="101"/>
      <c r="AL171" s="99"/>
      <c r="AM171" s="99"/>
      <c r="AN171" s="99"/>
      <c r="AO171" s="100"/>
      <c r="AP171" s="98"/>
      <c r="AQ171" s="99"/>
      <c r="AR171" s="99"/>
      <c r="AS171" s="99"/>
      <c r="AT171" s="99"/>
      <c r="AU171" s="99"/>
      <c r="AV171" s="99"/>
      <c r="AW171" s="99"/>
      <c r="AX171" s="99"/>
      <c r="AY171" s="99"/>
      <c r="AZ171" s="99"/>
      <c r="BA171" s="99"/>
      <c r="BB171" s="99"/>
      <c r="BC171" s="99"/>
      <c r="BD171" s="99"/>
      <c r="BE171" s="100"/>
      <c r="BF171" s="101"/>
      <c r="BG171" s="99"/>
      <c r="BH171" s="99"/>
      <c r="BI171" s="99"/>
      <c r="BJ171" s="99"/>
      <c r="BK171" s="99"/>
      <c r="BL171" s="100"/>
      <c r="BM171" s="101"/>
      <c r="BN171" s="99"/>
      <c r="BO171" s="100"/>
      <c r="BP171" s="101"/>
      <c r="BQ171" s="99"/>
      <c r="BR171" s="99"/>
      <c r="BS171" s="99"/>
      <c r="BT171" s="100"/>
      <c r="BU171" s="98"/>
      <c r="BV171" s="99"/>
      <c r="BW171" s="99"/>
      <c r="BX171" s="99"/>
      <c r="BY171" s="99"/>
      <c r="BZ171" s="99"/>
      <c r="CA171" s="99"/>
      <c r="CB171" s="99"/>
      <c r="CC171" s="99"/>
      <c r="CD171" s="99"/>
      <c r="CE171" s="99"/>
      <c r="CF171" s="99"/>
      <c r="CG171" s="99"/>
      <c r="CH171" s="99"/>
      <c r="CI171" s="99"/>
      <c r="CJ171" s="100"/>
      <c r="CK171" s="101"/>
      <c r="CL171" s="99"/>
      <c r="CM171" s="99"/>
      <c r="CN171" s="99"/>
      <c r="CO171" s="99"/>
      <c r="CP171" s="99"/>
      <c r="CQ171" s="100"/>
      <c r="CR171" s="101"/>
      <c r="CS171" s="99"/>
      <c r="CT171" s="100"/>
      <c r="CU171" s="101"/>
      <c r="CV171" s="99"/>
      <c r="CW171" s="99"/>
      <c r="CX171" s="99"/>
      <c r="CY171" s="99"/>
    </row>
    <row r="172" spans="1:103" hidden="1" outlineLevel="1" x14ac:dyDescent="0.2">
      <c r="A172" s="424" t="s">
        <v>681</v>
      </c>
      <c r="B172" s="401" t="str">
        <f>VLOOKUP(A172,[1]ACTIONS!$A$3:$B$238,2,0)</f>
        <v>Curer le tronçon ‘Buda’ et éliminer les boues polluées (Senne)</v>
      </c>
      <c r="C172" s="96"/>
      <c r="D172" s="96"/>
      <c r="E172" s="96"/>
      <c r="F172" s="96">
        <v>850000</v>
      </c>
      <c r="G172" s="96"/>
      <c r="H172" s="96">
        <v>850000</v>
      </c>
      <c r="I172" s="97"/>
      <c r="J172" s="97"/>
      <c r="K172" s="98"/>
      <c r="L172" s="99"/>
      <c r="M172" s="99"/>
      <c r="N172" s="99"/>
      <c r="O172" s="99"/>
      <c r="P172" s="99"/>
      <c r="Q172" s="99"/>
      <c r="R172" s="99"/>
      <c r="S172" s="99"/>
      <c r="T172" s="99"/>
      <c r="U172" s="99"/>
      <c r="V172" s="99"/>
      <c r="W172" s="99"/>
      <c r="X172" s="99"/>
      <c r="Y172" s="99"/>
      <c r="Z172" s="100"/>
      <c r="AA172" s="101"/>
      <c r="AB172" s="99"/>
      <c r="AC172" s="99"/>
      <c r="AD172" s="99"/>
      <c r="AE172" s="99"/>
      <c r="AF172" s="99"/>
      <c r="AG172" s="100"/>
      <c r="AH172" s="101"/>
      <c r="AI172" s="99"/>
      <c r="AJ172" s="100"/>
      <c r="AK172" s="101"/>
      <c r="AL172" s="99"/>
      <c r="AM172" s="99"/>
      <c r="AN172" s="99"/>
      <c r="AO172" s="100"/>
      <c r="AP172" s="98"/>
      <c r="AQ172" s="99"/>
      <c r="AR172" s="99"/>
      <c r="AS172" s="99"/>
      <c r="AT172" s="99"/>
      <c r="AU172" s="99"/>
      <c r="AV172" s="99"/>
      <c r="AW172" s="99"/>
      <c r="AX172" s="99"/>
      <c r="AY172" s="99"/>
      <c r="AZ172" s="99"/>
      <c r="BA172" s="99"/>
      <c r="BB172" s="99"/>
      <c r="BC172" s="99"/>
      <c r="BD172" s="99"/>
      <c r="BE172" s="100"/>
      <c r="BF172" s="101"/>
      <c r="BG172" s="99"/>
      <c r="BH172" s="99"/>
      <c r="BI172" s="99"/>
      <c r="BJ172" s="99"/>
      <c r="BK172" s="99"/>
      <c r="BL172" s="100"/>
      <c r="BM172" s="101"/>
      <c r="BN172" s="99"/>
      <c r="BO172" s="100"/>
      <c r="BP172" s="101"/>
      <c r="BQ172" s="99"/>
      <c r="BR172" s="99"/>
      <c r="BS172" s="99"/>
      <c r="BT172" s="100"/>
      <c r="BU172" s="98"/>
      <c r="BV172" s="99"/>
      <c r="BW172" s="99"/>
      <c r="BX172" s="99"/>
      <c r="BY172" s="99"/>
      <c r="BZ172" s="99"/>
      <c r="CA172" s="99"/>
      <c r="CB172" s="99"/>
      <c r="CC172" s="99"/>
      <c r="CD172" s="99"/>
      <c r="CE172" s="99"/>
      <c r="CF172" s="99"/>
      <c r="CG172" s="99"/>
      <c r="CH172" s="99"/>
      <c r="CI172" s="99"/>
      <c r="CJ172" s="100"/>
      <c r="CK172" s="101"/>
      <c r="CL172" s="99"/>
      <c r="CM172" s="99"/>
      <c r="CN172" s="99"/>
      <c r="CO172" s="99"/>
      <c r="CP172" s="99"/>
      <c r="CQ172" s="100"/>
      <c r="CR172" s="101"/>
      <c r="CS172" s="99"/>
      <c r="CT172" s="100"/>
      <c r="CU172" s="101"/>
      <c r="CV172" s="99"/>
      <c r="CW172" s="99"/>
      <c r="CX172" s="99"/>
      <c r="CY172" s="99"/>
    </row>
    <row r="173" spans="1:103" hidden="1" outlineLevel="1" x14ac:dyDescent="0.2">
      <c r="A173" s="424" t="s">
        <v>682</v>
      </c>
      <c r="B173" s="401" t="str">
        <f>VLOOKUP(A173,[1]ACTIONS!$A$3:$B$238,2,0)</f>
        <v>Etablir une base de données des curages réalisés (en tant qu’outil de planification future)</v>
      </c>
      <c r="C173" s="96"/>
      <c r="D173" s="96"/>
      <c r="E173" s="96"/>
      <c r="F173" s="96">
        <v>0</v>
      </c>
      <c r="G173" s="96"/>
      <c r="H173" s="96">
        <v>0</v>
      </c>
      <c r="I173" s="97"/>
      <c r="J173" s="97"/>
      <c r="K173" s="98"/>
      <c r="L173" s="99"/>
      <c r="M173" s="99"/>
      <c r="N173" s="99"/>
      <c r="O173" s="99"/>
      <c r="P173" s="99"/>
      <c r="Q173" s="99"/>
      <c r="R173" s="99"/>
      <c r="S173" s="99"/>
      <c r="T173" s="99"/>
      <c r="U173" s="99"/>
      <c r="V173" s="99"/>
      <c r="W173" s="99"/>
      <c r="X173" s="99"/>
      <c r="Y173" s="99"/>
      <c r="Z173" s="100"/>
      <c r="AA173" s="101"/>
      <c r="AB173" s="99"/>
      <c r="AC173" s="99"/>
      <c r="AD173" s="99"/>
      <c r="AE173" s="99"/>
      <c r="AF173" s="99"/>
      <c r="AG173" s="100"/>
      <c r="AH173" s="101"/>
      <c r="AI173" s="99"/>
      <c r="AJ173" s="100"/>
      <c r="AK173" s="101"/>
      <c r="AL173" s="99"/>
      <c r="AM173" s="99"/>
      <c r="AN173" s="99"/>
      <c r="AO173" s="100"/>
      <c r="AP173" s="98"/>
      <c r="AQ173" s="99"/>
      <c r="AR173" s="99"/>
      <c r="AS173" s="99"/>
      <c r="AT173" s="99"/>
      <c r="AU173" s="99"/>
      <c r="AV173" s="99"/>
      <c r="AW173" s="99"/>
      <c r="AX173" s="99"/>
      <c r="AY173" s="99"/>
      <c r="AZ173" s="99"/>
      <c r="BA173" s="99"/>
      <c r="BB173" s="99"/>
      <c r="BC173" s="99"/>
      <c r="BD173" s="99"/>
      <c r="BE173" s="100"/>
      <c r="BF173" s="101"/>
      <c r="BG173" s="99"/>
      <c r="BH173" s="99"/>
      <c r="BI173" s="99"/>
      <c r="BJ173" s="99"/>
      <c r="BK173" s="99"/>
      <c r="BL173" s="100"/>
      <c r="BM173" s="101"/>
      <c r="BN173" s="99"/>
      <c r="BO173" s="100"/>
      <c r="BP173" s="101"/>
      <c r="BQ173" s="99"/>
      <c r="BR173" s="99"/>
      <c r="BS173" s="99"/>
      <c r="BT173" s="100"/>
      <c r="BU173" s="98"/>
      <c r="BV173" s="99"/>
      <c r="BW173" s="99"/>
      <c r="BX173" s="99"/>
      <c r="BY173" s="99"/>
      <c r="BZ173" s="99"/>
      <c r="CA173" s="99"/>
      <c r="CB173" s="99"/>
      <c r="CC173" s="99"/>
      <c r="CD173" s="99"/>
      <c r="CE173" s="99"/>
      <c r="CF173" s="99"/>
      <c r="CG173" s="99"/>
      <c r="CH173" s="99"/>
      <c r="CI173" s="99"/>
      <c r="CJ173" s="100"/>
      <c r="CK173" s="101"/>
      <c r="CL173" s="99"/>
      <c r="CM173" s="99"/>
      <c r="CN173" s="99"/>
      <c r="CO173" s="99"/>
      <c r="CP173" s="99"/>
      <c r="CQ173" s="100"/>
      <c r="CR173" s="101"/>
      <c r="CS173" s="99"/>
      <c r="CT173" s="100"/>
      <c r="CU173" s="101"/>
      <c r="CV173" s="99"/>
      <c r="CW173" s="99"/>
      <c r="CX173" s="99"/>
      <c r="CY173" s="99"/>
    </row>
    <row r="174" spans="1:103" collapsed="1" x14ac:dyDescent="0.2">
      <c r="A174" s="394" t="s">
        <v>16</v>
      </c>
      <c r="B174" s="395" t="str">
        <f>VLOOKUP(A174,'1. Mesures'!$A$2:$B$116,2,0)</f>
        <v>Diminuer les sources de matières en suspension vers le canal par l’optimisation de la dérivation d’Aa</v>
      </c>
      <c r="C174" s="96"/>
      <c r="D174" s="96"/>
      <c r="E174" s="96"/>
      <c r="F174" s="96">
        <v>228000</v>
      </c>
      <c r="G174" s="96"/>
      <c r="H174" s="96">
        <v>228000</v>
      </c>
      <c r="I174" s="97" t="s">
        <v>1589</v>
      </c>
      <c r="J174" s="97"/>
      <c r="K174" s="98"/>
      <c r="L174" s="99"/>
      <c r="M174" s="99"/>
      <c r="N174" s="99"/>
      <c r="O174" s="99"/>
      <c r="P174" s="99"/>
      <c r="Q174" s="99"/>
      <c r="R174" s="99"/>
      <c r="S174" s="99"/>
      <c r="T174" s="99"/>
      <c r="U174" s="99"/>
      <c r="V174" s="99"/>
      <c r="W174" s="99"/>
      <c r="X174" s="99"/>
      <c r="Y174" s="99"/>
      <c r="Z174" s="100"/>
      <c r="AA174" s="101"/>
      <c r="AB174" s="99"/>
      <c r="AC174" s="99"/>
      <c r="AD174" s="99"/>
      <c r="AE174" s="99"/>
      <c r="AF174" s="99"/>
      <c r="AG174" s="100"/>
      <c r="AH174" s="101"/>
      <c r="AI174" s="99"/>
      <c r="AJ174" s="100"/>
      <c r="AK174" s="101"/>
      <c r="AL174" s="99"/>
      <c r="AM174" s="99"/>
      <c r="AN174" s="99"/>
      <c r="AO174" s="100"/>
      <c r="AP174" s="98"/>
      <c r="AQ174" s="99" t="s">
        <v>1575</v>
      </c>
      <c r="AR174" s="99" t="s">
        <v>1575</v>
      </c>
      <c r="AS174" s="99" t="s">
        <v>1575</v>
      </c>
      <c r="AT174" s="99" t="s">
        <v>1575</v>
      </c>
      <c r="AU174" s="99" t="s">
        <v>1575</v>
      </c>
      <c r="AV174" s="99"/>
      <c r="AW174" s="99" t="s">
        <v>1575</v>
      </c>
      <c r="AX174" s="99" t="s">
        <v>1575</v>
      </c>
      <c r="AY174" s="99"/>
      <c r="AZ174" s="99" t="s">
        <v>1575</v>
      </c>
      <c r="BA174" s="99" t="s">
        <v>1590</v>
      </c>
      <c r="BB174" s="99" t="s">
        <v>1575</v>
      </c>
      <c r="BC174" s="99" t="s">
        <v>1575</v>
      </c>
      <c r="BD174" s="99"/>
      <c r="BE174" s="100" t="s">
        <v>1575</v>
      </c>
      <c r="BF174" s="101" t="s">
        <v>1590</v>
      </c>
      <c r="BG174" s="99"/>
      <c r="BH174" s="99"/>
      <c r="BI174" s="99"/>
      <c r="BJ174" s="99"/>
      <c r="BK174" s="99"/>
      <c r="BL174" s="100"/>
      <c r="BM174" s="101"/>
      <c r="BN174" s="99"/>
      <c r="BO174" s="100"/>
      <c r="BP174" s="101"/>
      <c r="BQ174" s="99" t="s">
        <v>1590</v>
      </c>
      <c r="BR174" s="99"/>
      <c r="BS174" s="99" t="s">
        <v>1590</v>
      </c>
      <c r="BT174" s="100" t="s">
        <v>1590</v>
      </c>
      <c r="BU174" s="98"/>
      <c r="BV174" s="99"/>
      <c r="BW174" s="99"/>
      <c r="BX174" s="99"/>
      <c r="BY174" s="99"/>
      <c r="BZ174" s="99"/>
      <c r="CA174" s="99"/>
      <c r="CB174" s="99"/>
      <c r="CC174" s="99"/>
      <c r="CD174" s="99"/>
      <c r="CE174" s="99"/>
      <c r="CF174" s="99"/>
      <c r="CG174" s="99"/>
      <c r="CH174" s="99"/>
      <c r="CI174" s="99"/>
      <c r="CJ174" s="100"/>
      <c r="CK174" s="101"/>
      <c r="CL174" s="99"/>
      <c r="CM174" s="99"/>
      <c r="CN174" s="99"/>
      <c r="CO174" s="99"/>
      <c r="CP174" s="99"/>
      <c r="CQ174" s="100"/>
      <c r="CR174" s="101"/>
      <c r="CS174" s="99"/>
      <c r="CT174" s="100"/>
      <c r="CU174" s="101"/>
      <c r="CV174" s="99"/>
      <c r="CW174" s="99"/>
      <c r="CX174" s="99"/>
      <c r="CY174" s="99"/>
    </row>
    <row r="175" spans="1:103" ht="25.5" hidden="1" outlineLevel="1" x14ac:dyDescent="0.2">
      <c r="A175" s="424" t="s">
        <v>683</v>
      </c>
      <c r="B175" s="401" t="str">
        <f>VLOOKUP(A175,[1]ACTIONS!$A$3:$B$238,2,0)</f>
        <v>Évaluer le besoin réel de déviation d’eau de la Senne vers le Canal, déterminer les règles d’activation des vannes en tenant compte des risques d’inondation (lien avec la M5.8) et de la surveillance des paramètres principaux (niveau d’eau)</v>
      </c>
      <c r="C175" s="96"/>
      <c r="D175" s="96"/>
      <c r="E175" s="96"/>
      <c r="F175" s="96">
        <v>20000</v>
      </c>
      <c r="G175" s="96"/>
      <c r="H175" s="96">
        <v>20000</v>
      </c>
      <c r="I175" s="97"/>
      <c r="J175" s="97"/>
      <c r="K175" s="98"/>
      <c r="L175" s="99"/>
      <c r="M175" s="99"/>
      <c r="N175" s="99"/>
      <c r="O175" s="99"/>
      <c r="P175" s="99"/>
      <c r="Q175" s="99"/>
      <c r="R175" s="99"/>
      <c r="S175" s="99"/>
      <c r="T175" s="99"/>
      <c r="U175" s="99"/>
      <c r="V175" s="99"/>
      <c r="W175" s="99"/>
      <c r="X175" s="99"/>
      <c r="Y175" s="99"/>
      <c r="Z175" s="100"/>
      <c r="AA175" s="101"/>
      <c r="AB175" s="99"/>
      <c r="AC175" s="99"/>
      <c r="AD175" s="99"/>
      <c r="AE175" s="99"/>
      <c r="AF175" s="99"/>
      <c r="AG175" s="100"/>
      <c r="AH175" s="101"/>
      <c r="AI175" s="99"/>
      <c r="AJ175" s="100"/>
      <c r="AK175" s="101"/>
      <c r="AL175" s="99"/>
      <c r="AM175" s="99"/>
      <c r="AN175" s="99"/>
      <c r="AO175" s="100"/>
      <c r="AP175" s="98"/>
      <c r="AQ175" s="99"/>
      <c r="AR175" s="99"/>
      <c r="AS175" s="99"/>
      <c r="AT175" s="99"/>
      <c r="AU175" s="99"/>
      <c r="AV175" s="99"/>
      <c r="AW175" s="99"/>
      <c r="AX175" s="99"/>
      <c r="AY175" s="99"/>
      <c r="AZ175" s="99"/>
      <c r="BA175" s="99"/>
      <c r="BB175" s="99"/>
      <c r="BC175" s="99"/>
      <c r="BD175" s="99"/>
      <c r="BE175" s="100"/>
      <c r="BF175" s="101"/>
      <c r="BG175" s="99"/>
      <c r="BH175" s="99"/>
      <c r="BI175" s="99"/>
      <c r="BJ175" s="99"/>
      <c r="BK175" s="99"/>
      <c r="BL175" s="100"/>
      <c r="BM175" s="101"/>
      <c r="BN175" s="99"/>
      <c r="BO175" s="100"/>
      <c r="BP175" s="101"/>
      <c r="BQ175" s="99"/>
      <c r="BR175" s="99"/>
      <c r="BS175" s="99"/>
      <c r="BT175" s="100"/>
      <c r="BU175" s="98"/>
      <c r="BV175" s="99"/>
      <c r="BW175" s="99"/>
      <c r="BX175" s="99"/>
      <c r="BY175" s="99"/>
      <c r="BZ175" s="99"/>
      <c r="CA175" s="99"/>
      <c r="CB175" s="99"/>
      <c r="CC175" s="99"/>
      <c r="CD175" s="99"/>
      <c r="CE175" s="99"/>
      <c r="CF175" s="99"/>
      <c r="CG175" s="99"/>
      <c r="CH175" s="99"/>
      <c r="CI175" s="99"/>
      <c r="CJ175" s="100"/>
      <c r="CK175" s="101"/>
      <c r="CL175" s="99"/>
      <c r="CM175" s="99"/>
      <c r="CN175" s="99"/>
      <c r="CO175" s="99"/>
      <c r="CP175" s="99"/>
      <c r="CQ175" s="100"/>
      <c r="CR175" s="101"/>
      <c r="CS175" s="99"/>
      <c r="CT175" s="100"/>
      <c r="CU175" s="101"/>
      <c r="CV175" s="99"/>
      <c r="CW175" s="99"/>
      <c r="CX175" s="99"/>
      <c r="CY175" s="99"/>
    </row>
    <row r="176" spans="1:103" hidden="1" outlineLevel="1" x14ac:dyDescent="0.2">
      <c r="A176" s="424" t="s">
        <v>684</v>
      </c>
      <c r="B176" s="401" t="str">
        <f>VLOOKUP(A176,[1]ACTIONS!$A$3:$B$238,2,0)</f>
        <v>Remplacer les vannes en bois par des vannes métalliques</v>
      </c>
      <c r="C176" s="96"/>
      <c r="D176" s="96"/>
      <c r="E176" s="96"/>
      <c r="F176" s="96">
        <v>40000</v>
      </c>
      <c r="G176" s="96"/>
      <c r="H176" s="96">
        <v>40000</v>
      </c>
      <c r="I176" s="97"/>
      <c r="J176" s="97"/>
      <c r="K176" s="98"/>
      <c r="L176" s="99"/>
      <c r="M176" s="99"/>
      <c r="N176" s="99"/>
      <c r="O176" s="99"/>
      <c r="P176" s="99"/>
      <c r="Q176" s="99"/>
      <c r="R176" s="99"/>
      <c r="S176" s="99"/>
      <c r="T176" s="99"/>
      <c r="U176" s="99"/>
      <c r="V176" s="99"/>
      <c r="W176" s="99"/>
      <c r="X176" s="99"/>
      <c r="Y176" s="99"/>
      <c r="Z176" s="100"/>
      <c r="AA176" s="101"/>
      <c r="AB176" s="99"/>
      <c r="AC176" s="99"/>
      <c r="AD176" s="99"/>
      <c r="AE176" s="99"/>
      <c r="AF176" s="99"/>
      <c r="AG176" s="100"/>
      <c r="AH176" s="101"/>
      <c r="AI176" s="99"/>
      <c r="AJ176" s="100"/>
      <c r="AK176" s="101"/>
      <c r="AL176" s="99"/>
      <c r="AM176" s="99"/>
      <c r="AN176" s="99"/>
      <c r="AO176" s="100"/>
      <c r="AP176" s="98"/>
      <c r="AQ176" s="99"/>
      <c r="AR176" s="99"/>
      <c r="AS176" s="99"/>
      <c r="AT176" s="99"/>
      <c r="AU176" s="99"/>
      <c r="AV176" s="99"/>
      <c r="AW176" s="99"/>
      <c r="AX176" s="99"/>
      <c r="AY176" s="99"/>
      <c r="AZ176" s="99"/>
      <c r="BA176" s="99"/>
      <c r="BB176" s="99"/>
      <c r="BC176" s="99"/>
      <c r="BD176" s="99"/>
      <c r="BE176" s="100"/>
      <c r="BF176" s="101"/>
      <c r="BG176" s="99"/>
      <c r="BH176" s="99"/>
      <c r="BI176" s="99"/>
      <c r="BJ176" s="99"/>
      <c r="BK176" s="99"/>
      <c r="BL176" s="100"/>
      <c r="BM176" s="101"/>
      <c r="BN176" s="99"/>
      <c r="BO176" s="100"/>
      <c r="BP176" s="101"/>
      <c r="BQ176" s="99"/>
      <c r="BR176" s="99"/>
      <c r="BS176" s="99"/>
      <c r="BT176" s="100"/>
      <c r="BU176" s="98"/>
      <c r="BV176" s="99"/>
      <c r="BW176" s="99"/>
      <c r="BX176" s="99"/>
      <c r="BY176" s="99"/>
      <c r="BZ176" s="99"/>
      <c r="CA176" s="99"/>
      <c r="CB176" s="99"/>
      <c r="CC176" s="99"/>
      <c r="CD176" s="99"/>
      <c r="CE176" s="99"/>
      <c r="CF176" s="99"/>
      <c r="CG176" s="99"/>
      <c r="CH176" s="99"/>
      <c r="CI176" s="99"/>
      <c r="CJ176" s="100"/>
      <c r="CK176" s="101"/>
      <c r="CL176" s="99"/>
      <c r="CM176" s="99"/>
      <c r="CN176" s="99"/>
      <c r="CO176" s="99"/>
      <c r="CP176" s="99"/>
      <c r="CQ176" s="100"/>
      <c r="CR176" s="101"/>
      <c r="CS176" s="99"/>
      <c r="CT176" s="100"/>
      <c r="CU176" s="101"/>
      <c r="CV176" s="99"/>
      <c r="CW176" s="99"/>
      <c r="CX176" s="99"/>
      <c r="CY176" s="99"/>
    </row>
    <row r="177" spans="1:103" ht="76.5" hidden="1" outlineLevel="1" x14ac:dyDescent="0.2">
      <c r="A177" s="424" t="s">
        <v>685</v>
      </c>
      <c r="B177" s="401" t="str">
        <f>VLOOKUP(A177,[1]ACTIONS!$A$3:$B$238,2,0)</f>
        <v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v>
      </c>
      <c r="C177" s="96"/>
      <c r="D177" s="96"/>
      <c r="E177" s="96"/>
      <c r="F177" s="96">
        <v>50000</v>
      </c>
      <c r="G177" s="96"/>
      <c r="H177" s="96">
        <v>50000</v>
      </c>
      <c r="I177" s="97"/>
      <c r="J177" s="97"/>
      <c r="K177" s="98"/>
      <c r="L177" s="99"/>
      <c r="M177" s="99"/>
      <c r="N177" s="99"/>
      <c r="O177" s="99"/>
      <c r="P177" s="99"/>
      <c r="Q177" s="99"/>
      <c r="R177" s="99"/>
      <c r="S177" s="99"/>
      <c r="T177" s="99"/>
      <c r="U177" s="99"/>
      <c r="V177" s="99"/>
      <c r="W177" s="99"/>
      <c r="X177" s="99"/>
      <c r="Y177" s="99"/>
      <c r="Z177" s="100"/>
      <c r="AA177" s="101"/>
      <c r="AB177" s="99"/>
      <c r="AC177" s="99"/>
      <c r="AD177" s="99"/>
      <c r="AE177" s="99"/>
      <c r="AF177" s="99"/>
      <c r="AG177" s="100"/>
      <c r="AH177" s="101"/>
      <c r="AI177" s="99"/>
      <c r="AJ177" s="100"/>
      <c r="AK177" s="101"/>
      <c r="AL177" s="99"/>
      <c r="AM177" s="99"/>
      <c r="AN177" s="99"/>
      <c r="AO177" s="100"/>
      <c r="AP177" s="98"/>
      <c r="AQ177" s="99"/>
      <c r="AR177" s="99"/>
      <c r="AS177" s="99"/>
      <c r="AT177" s="99"/>
      <c r="AU177" s="99"/>
      <c r="AV177" s="99"/>
      <c r="AW177" s="99"/>
      <c r="AX177" s="99"/>
      <c r="AY177" s="99"/>
      <c r="AZ177" s="99"/>
      <c r="BA177" s="99"/>
      <c r="BB177" s="99"/>
      <c r="BC177" s="99"/>
      <c r="BD177" s="99"/>
      <c r="BE177" s="100"/>
      <c r="BF177" s="101"/>
      <c r="BG177" s="99"/>
      <c r="BH177" s="99"/>
      <c r="BI177" s="99"/>
      <c r="BJ177" s="99"/>
      <c r="BK177" s="99"/>
      <c r="BL177" s="100"/>
      <c r="BM177" s="101"/>
      <c r="BN177" s="99"/>
      <c r="BO177" s="100"/>
      <c r="BP177" s="101"/>
      <c r="BQ177" s="99"/>
      <c r="BR177" s="99"/>
      <c r="BS177" s="99"/>
      <c r="BT177" s="100"/>
      <c r="BU177" s="98"/>
      <c r="BV177" s="99"/>
      <c r="BW177" s="99"/>
      <c r="BX177" s="99"/>
      <c r="BY177" s="99"/>
      <c r="BZ177" s="99"/>
      <c r="CA177" s="99"/>
      <c r="CB177" s="99"/>
      <c r="CC177" s="99"/>
      <c r="CD177" s="99"/>
      <c r="CE177" s="99"/>
      <c r="CF177" s="99"/>
      <c r="CG177" s="99"/>
      <c r="CH177" s="99"/>
      <c r="CI177" s="99"/>
      <c r="CJ177" s="100"/>
      <c r="CK177" s="101"/>
      <c r="CL177" s="99"/>
      <c r="CM177" s="99"/>
      <c r="CN177" s="99"/>
      <c r="CO177" s="99"/>
      <c r="CP177" s="99"/>
      <c r="CQ177" s="100"/>
      <c r="CR177" s="101"/>
      <c r="CS177" s="99"/>
      <c r="CT177" s="100"/>
      <c r="CU177" s="101"/>
      <c r="CV177" s="99"/>
      <c r="CW177" s="99"/>
      <c r="CX177" s="99"/>
      <c r="CY177" s="99"/>
    </row>
    <row r="178" spans="1:103" ht="25.5" hidden="1" outlineLevel="1" x14ac:dyDescent="0.2">
      <c r="A178" s="424" t="s">
        <v>686</v>
      </c>
      <c r="B178" s="401" t="str">
        <f>VLOOKUP(A178,[1]ACTIONS!$A$3:$B$238,2,0)</f>
        <v>Aménager les vannes et implémenter les nouvelles règles de déviation d’eaux en fonction des étapes M 1.17.1 à M1.17.3</v>
      </c>
      <c r="C178" s="96"/>
      <c r="D178" s="96"/>
      <c r="E178" s="96"/>
      <c r="F178" s="96">
        <v>100000</v>
      </c>
      <c r="G178" s="96"/>
      <c r="H178" s="96">
        <v>100000</v>
      </c>
      <c r="I178" s="97"/>
      <c r="J178" s="97"/>
      <c r="K178" s="98"/>
      <c r="L178" s="99"/>
      <c r="M178" s="99"/>
      <c r="N178" s="99"/>
      <c r="O178" s="99"/>
      <c r="P178" s="99"/>
      <c r="Q178" s="99"/>
      <c r="R178" s="99"/>
      <c r="S178" s="99"/>
      <c r="T178" s="99"/>
      <c r="U178" s="99"/>
      <c r="V178" s="99"/>
      <c r="W178" s="99"/>
      <c r="X178" s="99"/>
      <c r="Y178" s="99"/>
      <c r="Z178" s="100"/>
      <c r="AA178" s="101"/>
      <c r="AB178" s="99"/>
      <c r="AC178" s="99"/>
      <c r="AD178" s="99"/>
      <c r="AE178" s="99"/>
      <c r="AF178" s="99"/>
      <c r="AG178" s="100"/>
      <c r="AH178" s="101"/>
      <c r="AI178" s="99"/>
      <c r="AJ178" s="100"/>
      <c r="AK178" s="101"/>
      <c r="AL178" s="99"/>
      <c r="AM178" s="99"/>
      <c r="AN178" s="99"/>
      <c r="AO178" s="100"/>
      <c r="AP178" s="98"/>
      <c r="AQ178" s="99"/>
      <c r="AR178" s="99"/>
      <c r="AS178" s="99"/>
      <c r="AT178" s="99"/>
      <c r="AU178" s="99"/>
      <c r="AV178" s="99"/>
      <c r="AW178" s="99"/>
      <c r="AX178" s="99"/>
      <c r="AY178" s="99"/>
      <c r="AZ178" s="99"/>
      <c r="BA178" s="99"/>
      <c r="BB178" s="99"/>
      <c r="BC178" s="99"/>
      <c r="BD178" s="99"/>
      <c r="BE178" s="100"/>
      <c r="BF178" s="101"/>
      <c r="BG178" s="99"/>
      <c r="BH178" s="99"/>
      <c r="BI178" s="99"/>
      <c r="BJ178" s="99"/>
      <c r="BK178" s="99"/>
      <c r="BL178" s="100"/>
      <c r="BM178" s="101"/>
      <c r="BN178" s="99"/>
      <c r="BO178" s="100"/>
      <c r="BP178" s="101"/>
      <c r="BQ178" s="99"/>
      <c r="BR178" s="99"/>
      <c r="BS178" s="99"/>
      <c r="BT178" s="100"/>
      <c r="BU178" s="98"/>
      <c r="BV178" s="99"/>
      <c r="BW178" s="99"/>
      <c r="BX178" s="99"/>
      <c r="BY178" s="99"/>
      <c r="BZ178" s="99"/>
      <c r="CA178" s="99"/>
      <c r="CB178" s="99"/>
      <c r="CC178" s="99"/>
      <c r="CD178" s="99"/>
      <c r="CE178" s="99"/>
      <c r="CF178" s="99"/>
      <c r="CG178" s="99"/>
      <c r="CH178" s="99"/>
      <c r="CI178" s="99"/>
      <c r="CJ178" s="100"/>
      <c r="CK178" s="101"/>
      <c r="CL178" s="99"/>
      <c r="CM178" s="99"/>
      <c r="CN178" s="99"/>
      <c r="CO178" s="99"/>
      <c r="CP178" s="99"/>
      <c r="CQ178" s="100"/>
      <c r="CR178" s="101"/>
      <c r="CS178" s="99"/>
      <c r="CT178" s="100"/>
      <c r="CU178" s="101"/>
      <c r="CV178" s="99"/>
      <c r="CW178" s="99"/>
      <c r="CX178" s="99"/>
      <c r="CY178" s="99"/>
    </row>
    <row r="179" spans="1:103" ht="25.5" hidden="1" outlineLevel="1" x14ac:dyDescent="0.2">
      <c r="A179" s="424" t="s">
        <v>687</v>
      </c>
      <c r="B179" s="401" t="str">
        <f>VLOOKUP(A179,[1]ACTIONS!$A$3:$B$238,2,0)</f>
        <v>Assurer la veille des niveaux d’eau
Mesures de sécurité additionnelle à prendre en compte</v>
      </c>
      <c r="C179" s="96"/>
      <c r="D179" s="96"/>
      <c r="E179" s="96"/>
      <c r="F179" s="96">
        <v>18000</v>
      </c>
      <c r="G179" s="96"/>
      <c r="H179" s="96">
        <v>18000</v>
      </c>
      <c r="I179" s="97"/>
      <c r="J179" s="97"/>
      <c r="K179" s="98"/>
      <c r="L179" s="99"/>
      <c r="M179" s="99"/>
      <c r="N179" s="99"/>
      <c r="O179" s="99"/>
      <c r="P179" s="99"/>
      <c r="Q179" s="99"/>
      <c r="R179" s="99"/>
      <c r="S179" s="99"/>
      <c r="T179" s="99"/>
      <c r="U179" s="99"/>
      <c r="V179" s="99"/>
      <c r="W179" s="99"/>
      <c r="X179" s="99"/>
      <c r="Y179" s="99"/>
      <c r="Z179" s="100"/>
      <c r="AA179" s="101"/>
      <c r="AB179" s="99"/>
      <c r="AC179" s="99"/>
      <c r="AD179" s="99"/>
      <c r="AE179" s="99"/>
      <c r="AF179" s="99"/>
      <c r="AG179" s="100"/>
      <c r="AH179" s="101"/>
      <c r="AI179" s="99"/>
      <c r="AJ179" s="100"/>
      <c r="AK179" s="101"/>
      <c r="AL179" s="99"/>
      <c r="AM179" s="99"/>
      <c r="AN179" s="99"/>
      <c r="AO179" s="100"/>
      <c r="AP179" s="98"/>
      <c r="AQ179" s="99"/>
      <c r="AR179" s="99"/>
      <c r="AS179" s="99"/>
      <c r="AT179" s="99"/>
      <c r="AU179" s="99"/>
      <c r="AV179" s="99"/>
      <c r="AW179" s="99"/>
      <c r="AX179" s="99"/>
      <c r="AY179" s="99"/>
      <c r="AZ179" s="99"/>
      <c r="BA179" s="99"/>
      <c r="BB179" s="99"/>
      <c r="BC179" s="99"/>
      <c r="BD179" s="99"/>
      <c r="BE179" s="100"/>
      <c r="BF179" s="101"/>
      <c r="BG179" s="99"/>
      <c r="BH179" s="99"/>
      <c r="BI179" s="99"/>
      <c r="BJ179" s="99"/>
      <c r="BK179" s="99"/>
      <c r="BL179" s="100"/>
      <c r="BM179" s="101"/>
      <c r="BN179" s="99"/>
      <c r="BO179" s="100"/>
      <c r="BP179" s="101"/>
      <c r="BQ179" s="99"/>
      <c r="BR179" s="99"/>
      <c r="BS179" s="99"/>
      <c r="BT179" s="100"/>
      <c r="BU179" s="98"/>
      <c r="BV179" s="99"/>
      <c r="BW179" s="99"/>
      <c r="BX179" s="99"/>
      <c r="BY179" s="99"/>
      <c r="BZ179" s="99"/>
      <c r="CA179" s="99"/>
      <c r="CB179" s="99"/>
      <c r="CC179" s="99"/>
      <c r="CD179" s="99"/>
      <c r="CE179" s="99"/>
      <c r="CF179" s="99"/>
      <c r="CG179" s="99"/>
      <c r="CH179" s="99"/>
      <c r="CI179" s="99"/>
      <c r="CJ179" s="100"/>
      <c r="CK179" s="101"/>
      <c r="CL179" s="99"/>
      <c r="CM179" s="99"/>
      <c r="CN179" s="99"/>
      <c r="CO179" s="99"/>
      <c r="CP179" s="99"/>
      <c r="CQ179" s="100"/>
      <c r="CR179" s="101"/>
      <c r="CS179" s="99"/>
      <c r="CT179" s="100"/>
      <c r="CU179" s="101"/>
      <c r="CV179" s="99"/>
      <c r="CW179" s="99"/>
      <c r="CX179" s="99"/>
      <c r="CY179" s="99"/>
    </row>
    <row r="180" spans="1:103" hidden="1" outlineLevel="1" x14ac:dyDescent="0.2">
      <c r="A180" s="424" t="s">
        <v>688</v>
      </c>
      <c r="B180" s="401" t="str">
        <f>VLOOKUP(A180,[1]ACTIONS!$A$3:$B$238,2,0)</f>
        <v>Assurer le fonctionnement des vannes</v>
      </c>
      <c r="C180" s="96"/>
      <c r="D180" s="96"/>
      <c r="E180" s="96"/>
      <c r="F180" s="96">
        <v>0</v>
      </c>
      <c r="G180" s="96"/>
      <c r="H180" s="96">
        <v>0</v>
      </c>
      <c r="I180" s="97"/>
      <c r="J180" s="97"/>
      <c r="K180" s="98"/>
      <c r="L180" s="99"/>
      <c r="M180" s="99"/>
      <c r="N180" s="99"/>
      <c r="O180" s="99"/>
      <c r="P180" s="99"/>
      <c r="Q180" s="99"/>
      <c r="R180" s="99"/>
      <c r="S180" s="99"/>
      <c r="T180" s="99"/>
      <c r="U180" s="99"/>
      <c r="V180" s="99"/>
      <c r="W180" s="99"/>
      <c r="X180" s="99"/>
      <c r="Y180" s="99"/>
      <c r="Z180" s="100"/>
      <c r="AA180" s="101"/>
      <c r="AB180" s="99"/>
      <c r="AC180" s="99"/>
      <c r="AD180" s="99"/>
      <c r="AE180" s="99"/>
      <c r="AF180" s="99"/>
      <c r="AG180" s="100"/>
      <c r="AH180" s="101"/>
      <c r="AI180" s="99"/>
      <c r="AJ180" s="100"/>
      <c r="AK180" s="101"/>
      <c r="AL180" s="99"/>
      <c r="AM180" s="99"/>
      <c r="AN180" s="99"/>
      <c r="AO180" s="100"/>
      <c r="AP180" s="98"/>
      <c r="AQ180" s="99"/>
      <c r="AR180" s="99"/>
      <c r="AS180" s="99"/>
      <c r="AT180" s="99"/>
      <c r="AU180" s="99"/>
      <c r="AV180" s="99"/>
      <c r="AW180" s="99"/>
      <c r="AX180" s="99"/>
      <c r="AY180" s="99"/>
      <c r="AZ180" s="99"/>
      <c r="BA180" s="99"/>
      <c r="BB180" s="99"/>
      <c r="BC180" s="99"/>
      <c r="BD180" s="99"/>
      <c r="BE180" s="100"/>
      <c r="BF180" s="101"/>
      <c r="BG180" s="99"/>
      <c r="BH180" s="99"/>
      <c r="BI180" s="99"/>
      <c r="BJ180" s="99"/>
      <c r="BK180" s="99"/>
      <c r="BL180" s="100"/>
      <c r="BM180" s="101"/>
      <c r="BN180" s="99"/>
      <c r="BO180" s="100"/>
      <c r="BP180" s="101"/>
      <c r="BQ180" s="99"/>
      <c r="BR180" s="99"/>
      <c r="BS180" s="99"/>
      <c r="BT180" s="100"/>
      <c r="BU180" s="98"/>
      <c r="BV180" s="99"/>
      <c r="BW180" s="99"/>
      <c r="BX180" s="99"/>
      <c r="BY180" s="99"/>
      <c r="BZ180" s="99"/>
      <c r="CA180" s="99"/>
      <c r="CB180" s="99"/>
      <c r="CC180" s="99"/>
      <c r="CD180" s="99"/>
      <c r="CE180" s="99"/>
      <c r="CF180" s="99"/>
      <c r="CG180" s="99"/>
      <c r="CH180" s="99"/>
      <c r="CI180" s="99"/>
      <c r="CJ180" s="100"/>
      <c r="CK180" s="101"/>
      <c r="CL180" s="99"/>
      <c r="CM180" s="99"/>
      <c r="CN180" s="99"/>
      <c r="CO180" s="99"/>
      <c r="CP180" s="99"/>
      <c r="CQ180" s="100"/>
      <c r="CR180" s="101"/>
      <c r="CS180" s="99"/>
      <c r="CT180" s="100"/>
      <c r="CU180" s="101"/>
      <c r="CV180" s="99"/>
      <c r="CW180" s="99"/>
      <c r="CX180" s="99"/>
      <c r="CY180" s="99"/>
    </row>
    <row r="181" spans="1:103" ht="25.5" collapsed="1" x14ac:dyDescent="0.2">
      <c r="A181" s="394" t="s">
        <v>18</v>
      </c>
      <c r="B181" s="395" t="str">
        <f>VLOOKUP(A181,'1. Mesures'!$A$2:$B$116,2,0)</f>
        <v xml:space="preserve">Lutter contre les décharges de matériaux autour et dans le Canal et assurer le dragage et l'élimination des sédiments pollués </v>
      </c>
      <c r="C181" s="96"/>
      <c r="D181" s="96"/>
      <c r="E181" s="96"/>
      <c r="F181" s="96">
        <v>11109480</v>
      </c>
      <c r="G181" s="96"/>
      <c r="H181" s="96">
        <v>11109480</v>
      </c>
      <c r="I181" s="97" t="s">
        <v>1589</v>
      </c>
      <c r="J181" s="97"/>
      <c r="K181" s="98"/>
      <c r="L181" s="99"/>
      <c r="M181" s="99"/>
      <c r="N181" s="99"/>
      <c r="O181" s="99"/>
      <c r="P181" s="99"/>
      <c r="Q181" s="99"/>
      <c r="R181" s="99"/>
      <c r="S181" s="99"/>
      <c r="T181" s="99"/>
      <c r="U181" s="99"/>
      <c r="V181" s="99"/>
      <c r="W181" s="99"/>
      <c r="X181" s="99"/>
      <c r="Y181" s="99"/>
      <c r="Z181" s="100"/>
      <c r="AA181" s="101"/>
      <c r="AB181" s="99"/>
      <c r="AC181" s="99"/>
      <c r="AD181" s="99"/>
      <c r="AE181" s="99"/>
      <c r="AF181" s="99"/>
      <c r="AG181" s="100"/>
      <c r="AH181" s="101"/>
      <c r="AI181" s="99"/>
      <c r="AJ181" s="100"/>
      <c r="AK181" s="101"/>
      <c r="AL181" s="99"/>
      <c r="AM181" s="99"/>
      <c r="AN181" s="99"/>
      <c r="AO181" s="100"/>
      <c r="AP181" s="98"/>
      <c r="AQ181" s="99" t="s">
        <v>1575</v>
      </c>
      <c r="AR181" s="99" t="s">
        <v>1575</v>
      </c>
      <c r="AS181" s="99" t="s">
        <v>1575</v>
      </c>
      <c r="AT181" s="99" t="s">
        <v>1575</v>
      </c>
      <c r="AU181" s="99" t="s">
        <v>1575</v>
      </c>
      <c r="AV181" s="99"/>
      <c r="AW181" s="99" t="s">
        <v>1575</v>
      </c>
      <c r="AX181" s="99" t="s">
        <v>1575</v>
      </c>
      <c r="AY181" s="99"/>
      <c r="AZ181" s="99" t="s">
        <v>1575</v>
      </c>
      <c r="BA181" s="99" t="s">
        <v>1575</v>
      </c>
      <c r="BB181" s="99" t="s">
        <v>1575</v>
      </c>
      <c r="BC181" s="99" t="s">
        <v>1575</v>
      </c>
      <c r="BD181" s="99"/>
      <c r="BE181" s="100" t="s">
        <v>1575</v>
      </c>
      <c r="BF181" s="101" t="s">
        <v>1575</v>
      </c>
      <c r="BG181" s="99"/>
      <c r="BH181" s="99"/>
      <c r="BI181" s="99"/>
      <c r="BJ181" s="99"/>
      <c r="BK181" s="99"/>
      <c r="BL181" s="100"/>
      <c r="BM181" s="101"/>
      <c r="BN181" s="99"/>
      <c r="BO181" s="100"/>
      <c r="BP181" s="101"/>
      <c r="BQ181" s="99" t="s">
        <v>1590</v>
      </c>
      <c r="BR181" s="99"/>
      <c r="BS181" s="99" t="s">
        <v>1590</v>
      </c>
      <c r="BT181" s="100" t="s">
        <v>1590</v>
      </c>
      <c r="BU181" s="98"/>
      <c r="BV181" s="99"/>
      <c r="BW181" s="99"/>
      <c r="BX181" s="99"/>
      <c r="BY181" s="99"/>
      <c r="BZ181" s="99"/>
      <c r="CA181" s="99"/>
      <c r="CB181" s="99"/>
      <c r="CC181" s="99"/>
      <c r="CD181" s="99"/>
      <c r="CE181" s="99"/>
      <c r="CF181" s="99"/>
      <c r="CG181" s="99"/>
      <c r="CH181" s="99"/>
      <c r="CI181" s="99"/>
      <c r="CJ181" s="100"/>
      <c r="CK181" s="101"/>
      <c r="CL181" s="99"/>
      <c r="CM181" s="99"/>
      <c r="CN181" s="99"/>
      <c r="CO181" s="99"/>
      <c r="CP181" s="99"/>
      <c r="CQ181" s="100"/>
      <c r="CR181" s="101"/>
      <c r="CS181" s="99"/>
      <c r="CT181" s="100"/>
      <c r="CU181" s="101"/>
      <c r="CV181" s="99"/>
      <c r="CW181" s="99"/>
      <c r="CX181" s="99"/>
      <c r="CY181" s="99"/>
    </row>
    <row r="182" spans="1:103" hidden="1" outlineLevel="1" x14ac:dyDescent="0.2">
      <c r="A182" s="424" t="s">
        <v>689</v>
      </c>
      <c r="B182" s="401" t="str">
        <f>VLOOKUP(A182,[1]ACTIONS!$A$3:$B$238,2,0)</f>
        <v>Bathymétrie, localisation et mesure du volume de boue</v>
      </c>
      <c r="C182" s="96"/>
      <c r="D182" s="96"/>
      <c r="E182" s="96"/>
      <c r="F182" s="96">
        <v>153480</v>
      </c>
      <c r="G182" s="96"/>
      <c r="H182" s="96">
        <v>153480</v>
      </c>
      <c r="I182" s="97"/>
      <c r="J182" s="97"/>
      <c r="K182" s="98"/>
      <c r="L182" s="99"/>
      <c r="M182" s="99"/>
      <c r="N182" s="99"/>
      <c r="O182" s="99"/>
      <c r="P182" s="99"/>
      <c r="Q182" s="99"/>
      <c r="R182" s="99"/>
      <c r="S182" s="99"/>
      <c r="T182" s="99"/>
      <c r="U182" s="99"/>
      <c r="V182" s="99"/>
      <c r="W182" s="99"/>
      <c r="X182" s="99"/>
      <c r="Y182" s="99"/>
      <c r="Z182" s="100"/>
      <c r="AA182" s="101"/>
      <c r="AB182" s="99"/>
      <c r="AC182" s="99"/>
      <c r="AD182" s="99"/>
      <c r="AE182" s="99"/>
      <c r="AF182" s="99"/>
      <c r="AG182" s="100"/>
      <c r="AH182" s="101"/>
      <c r="AI182" s="99"/>
      <c r="AJ182" s="100"/>
      <c r="AK182" s="101"/>
      <c r="AL182" s="99"/>
      <c r="AM182" s="99"/>
      <c r="AN182" s="99"/>
      <c r="AO182" s="100"/>
      <c r="AP182" s="98"/>
      <c r="AQ182" s="99"/>
      <c r="AR182" s="99"/>
      <c r="AS182" s="99"/>
      <c r="AT182" s="99"/>
      <c r="AU182" s="99"/>
      <c r="AV182" s="99"/>
      <c r="AW182" s="99"/>
      <c r="AX182" s="99"/>
      <c r="AY182" s="99"/>
      <c r="AZ182" s="99"/>
      <c r="BA182" s="99"/>
      <c r="BB182" s="99"/>
      <c r="BC182" s="99"/>
      <c r="BD182" s="99"/>
      <c r="BE182" s="100"/>
      <c r="BF182" s="101"/>
      <c r="BG182" s="99"/>
      <c r="BH182" s="99"/>
      <c r="BI182" s="99"/>
      <c r="BJ182" s="99"/>
      <c r="BK182" s="99"/>
      <c r="BL182" s="100"/>
      <c r="BM182" s="101"/>
      <c r="BN182" s="99"/>
      <c r="BO182" s="100"/>
      <c r="BP182" s="101"/>
      <c r="BQ182" s="99"/>
      <c r="BR182" s="99"/>
      <c r="BS182" s="99"/>
      <c r="BT182" s="100"/>
      <c r="BU182" s="98"/>
      <c r="BV182" s="99"/>
      <c r="BW182" s="99"/>
      <c r="BX182" s="99"/>
      <c r="BY182" s="99"/>
      <c r="BZ182" s="99"/>
      <c r="CA182" s="99"/>
      <c r="CB182" s="99"/>
      <c r="CC182" s="99"/>
      <c r="CD182" s="99"/>
      <c r="CE182" s="99"/>
      <c r="CF182" s="99"/>
      <c r="CG182" s="99"/>
      <c r="CH182" s="99"/>
      <c r="CI182" s="99"/>
      <c r="CJ182" s="100"/>
      <c r="CK182" s="101"/>
      <c r="CL182" s="99"/>
      <c r="CM182" s="99"/>
      <c r="CN182" s="99"/>
      <c r="CO182" s="99"/>
      <c r="CP182" s="99"/>
      <c r="CQ182" s="100"/>
      <c r="CR182" s="101"/>
      <c r="CS182" s="99"/>
      <c r="CT182" s="100"/>
      <c r="CU182" s="101"/>
      <c r="CV182" s="99"/>
      <c r="CW182" s="99"/>
      <c r="CX182" s="99"/>
      <c r="CY182" s="99"/>
    </row>
    <row r="183" spans="1:103" ht="25.5" hidden="1" outlineLevel="1" x14ac:dyDescent="0.2">
      <c r="A183" s="424" t="s">
        <v>690</v>
      </c>
      <c r="B183" s="401" t="str">
        <f>VLOOKUP(A183,[1]ACTIONS!$A$3:$B$238,2,0)</f>
        <v>Identifier les décharges clandestines le long du canal, les éliminer et poursuivre les auteurs, et prévenir ces décharges (ex : surveillance des zones fortement sujettes, affichages)</v>
      </c>
      <c r="C183" s="96"/>
      <c r="D183" s="96"/>
      <c r="E183" s="96"/>
      <c r="F183" s="96">
        <v>0</v>
      </c>
      <c r="G183" s="96"/>
      <c r="H183" s="96">
        <v>0</v>
      </c>
      <c r="I183" s="97"/>
      <c r="J183" s="97"/>
      <c r="K183" s="98"/>
      <c r="L183" s="99"/>
      <c r="M183" s="99"/>
      <c r="N183" s="99"/>
      <c r="O183" s="99"/>
      <c r="P183" s="99"/>
      <c r="Q183" s="99"/>
      <c r="R183" s="99"/>
      <c r="S183" s="99"/>
      <c r="T183" s="99"/>
      <c r="U183" s="99"/>
      <c r="V183" s="99"/>
      <c r="W183" s="99"/>
      <c r="X183" s="99"/>
      <c r="Y183" s="99"/>
      <c r="Z183" s="100"/>
      <c r="AA183" s="101"/>
      <c r="AB183" s="99"/>
      <c r="AC183" s="99"/>
      <c r="AD183" s="99"/>
      <c r="AE183" s="99"/>
      <c r="AF183" s="99"/>
      <c r="AG183" s="100"/>
      <c r="AH183" s="101"/>
      <c r="AI183" s="99"/>
      <c r="AJ183" s="100"/>
      <c r="AK183" s="101"/>
      <c r="AL183" s="99"/>
      <c r="AM183" s="99"/>
      <c r="AN183" s="99"/>
      <c r="AO183" s="100"/>
      <c r="AP183" s="98"/>
      <c r="AQ183" s="99"/>
      <c r="AR183" s="99"/>
      <c r="AS183" s="99"/>
      <c r="AT183" s="99"/>
      <c r="AU183" s="99"/>
      <c r="AV183" s="99"/>
      <c r="AW183" s="99"/>
      <c r="AX183" s="99"/>
      <c r="AY183" s="99"/>
      <c r="AZ183" s="99"/>
      <c r="BA183" s="99"/>
      <c r="BB183" s="99"/>
      <c r="BC183" s="99"/>
      <c r="BD183" s="99"/>
      <c r="BE183" s="100"/>
      <c r="BF183" s="101"/>
      <c r="BG183" s="99"/>
      <c r="BH183" s="99"/>
      <c r="BI183" s="99"/>
      <c r="BJ183" s="99"/>
      <c r="BK183" s="99"/>
      <c r="BL183" s="100"/>
      <c r="BM183" s="101"/>
      <c r="BN183" s="99"/>
      <c r="BO183" s="100"/>
      <c r="BP183" s="101"/>
      <c r="BQ183" s="99"/>
      <c r="BR183" s="99"/>
      <c r="BS183" s="99"/>
      <c r="BT183" s="100"/>
      <c r="BU183" s="98"/>
      <c r="BV183" s="99"/>
      <c r="BW183" s="99"/>
      <c r="BX183" s="99"/>
      <c r="BY183" s="99"/>
      <c r="BZ183" s="99"/>
      <c r="CA183" s="99"/>
      <c r="CB183" s="99"/>
      <c r="CC183" s="99"/>
      <c r="CD183" s="99"/>
      <c r="CE183" s="99"/>
      <c r="CF183" s="99"/>
      <c r="CG183" s="99"/>
      <c r="CH183" s="99"/>
      <c r="CI183" s="99"/>
      <c r="CJ183" s="100"/>
      <c r="CK183" s="101"/>
      <c r="CL183" s="99"/>
      <c r="CM183" s="99"/>
      <c r="CN183" s="99"/>
      <c r="CO183" s="99"/>
      <c r="CP183" s="99"/>
      <c r="CQ183" s="100"/>
      <c r="CR183" s="101"/>
      <c r="CS183" s="99"/>
      <c r="CT183" s="100"/>
      <c r="CU183" s="101"/>
      <c r="CV183" s="99"/>
      <c r="CW183" s="99"/>
      <c r="CX183" s="99"/>
      <c r="CY183" s="99"/>
    </row>
    <row r="184" spans="1:103" hidden="1" outlineLevel="1" x14ac:dyDescent="0.2">
      <c r="A184" s="424" t="s">
        <v>691</v>
      </c>
      <c r="B184" s="401" t="str">
        <f>VLOOKUP(A184,[1]ACTIONS!$A$3:$B$238,2,0)</f>
        <v>Poursuivre le dragage mécanique et l'élimination des sédiments pollués du Canal</v>
      </c>
      <c r="C184" s="96"/>
      <c r="D184" s="96"/>
      <c r="E184" s="96"/>
      <c r="F184" s="96">
        <v>10896000</v>
      </c>
      <c r="G184" s="96"/>
      <c r="H184" s="96">
        <v>10896000</v>
      </c>
      <c r="I184" s="97"/>
      <c r="J184" s="97"/>
      <c r="K184" s="98"/>
      <c r="L184" s="99"/>
      <c r="M184" s="99"/>
      <c r="N184" s="99"/>
      <c r="O184" s="99"/>
      <c r="P184" s="99"/>
      <c r="Q184" s="99"/>
      <c r="R184" s="99"/>
      <c r="S184" s="99"/>
      <c r="T184" s="99"/>
      <c r="U184" s="99"/>
      <c r="V184" s="99"/>
      <c r="W184" s="99"/>
      <c r="X184" s="99"/>
      <c r="Y184" s="99"/>
      <c r="Z184" s="100"/>
      <c r="AA184" s="101"/>
      <c r="AB184" s="99"/>
      <c r="AC184" s="99"/>
      <c r="AD184" s="99"/>
      <c r="AE184" s="99"/>
      <c r="AF184" s="99"/>
      <c r="AG184" s="100"/>
      <c r="AH184" s="101"/>
      <c r="AI184" s="99"/>
      <c r="AJ184" s="100"/>
      <c r="AK184" s="101"/>
      <c r="AL184" s="99"/>
      <c r="AM184" s="99"/>
      <c r="AN184" s="99"/>
      <c r="AO184" s="100"/>
      <c r="AP184" s="98"/>
      <c r="AQ184" s="99"/>
      <c r="AR184" s="99"/>
      <c r="AS184" s="99"/>
      <c r="AT184" s="99"/>
      <c r="AU184" s="99"/>
      <c r="AV184" s="99"/>
      <c r="AW184" s="99"/>
      <c r="AX184" s="99"/>
      <c r="AY184" s="99"/>
      <c r="AZ184" s="99"/>
      <c r="BA184" s="99"/>
      <c r="BB184" s="99"/>
      <c r="BC184" s="99"/>
      <c r="BD184" s="99"/>
      <c r="BE184" s="100"/>
      <c r="BF184" s="101"/>
      <c r="BG184" s="99"/>
      <c r="BH184" s="99"/>
      <c r="BI184" s="99"/>
      <c r="BJ184" s="99"/>
      <c r="BK184" s="99"/>
      <c r="BL184" s="100"/>
      <c r="BM184" s="101"/>
      <c r="BN184" s="99"/>
      <c r="BO184" s="100"/>
      <c r="BP184" s="101"/>
      <c r="BQ184" s="99"/>
      <c r="BR184" s="99"/>
      <c r="BS184" s="99"/>
      <c r="BT184" s="100"/>
      <c r="BU184" s="98"/>
      <c r="BV184" s="99"/>
      <c r="BW184" s="99"/>
      <c r="BX184" s="99"/>
      <c r="BY184" s="99"/>
      <c r="BZ184" s="99"/>
      <c r="CA184" s="99"/>
      <c r="CB184" s="99"/>
      <c r="CC184" s="99"/>
      <c r="CD184" s="99"/>
      <c r="CE184" s="99"/>
      <c r="CF184" s="99"/>
      <c r="CG184" s="99"/>
      <c r="CH184" s="99"/>
      <c r="CI184" s="99"/>
      <c r="CJ184" s="100"/>
      <c r="CK184" s="101"/>
      <c r="CL184" s="99"/>
      <c r="CM184" s="99"/>
      <c r="CN184" s="99"/>
      <c r="CO184" s="99"/>
      <c r="CP184" s="99"/>
      <c r="CQ184" s="100"/>
      <c r="CR184" s="101"/>
      <c r="CS184" s="99"/>
      <c r="CT184" s="100"/>
      <c r="CU184" s="101"/>
      <c r="CV184" s="99"/>
      <c r="CW184" s="99"/>
      <c r="CX184" s="99"/>
      <c r="CY184" s="99"/>
    </row>
    <row r="185" spans="1:103" ht="38.25" hidden="1" outlineLevel="1" x14ac:dyDescent="0.2">
      <c r="A185" s="424" t="s">
        <v>692</v>
      </c>
      <c r="B185" s="401" t="str">
        <f>VLOOKUP(A185,[1]ACTIONS!$A$3:$B$238,2,0)</f>
        <v>Mettre en évidence des zones préférentielles d’accumulation des sédiments pour en faciliter le curage, et pour alimenter l’étude des zones privilégiées d’accumulation des pollutions afin d’aider à identifier les sources et voies d’entrée des polluants dans le Canal</v>
      </c>
      <c r="C185" s="96"/>
      <c r="D185" s="96"/>
      <c r="E185" s="96"/>
      <c r="F185" s="96">
        <v>0</v>
      </c>
      <c r="G185" s="96"/>
      <c r="H185" s="96">
        <v>0</v>
      </c>
      <c r="I185" s="97"/>
      <c r="J185" s="97"/>
      <c r="K185" s="98"/>
      <c r="L185" s="99"/>
      <c r="M185" s="99"/>
      <c r="N185" s="99"/>
      <c r="O185" s="99"/>
      <c r="P185" s="99"/>
      <c r="Q185" s="99"/>
      <c r="R185" s="99"/>
      <c r="S185" s="99"/>
      <c r="T185" s="99"/>
      <c r="U185" s="99"/>
      <c r="V185" s="99"/>
      <c r="W185" s="99"/>
      <c r="X185" s="99"/>
      <c r="Y185" s="99"/>
      <c r="Z185" s="100"/>
      <c r="AA185" s="101"/>
      <c r="AB185" s="99"/>
      <c r="AC185" s="99"/>
      <c r="AD185" s="99"/>
      <c r="AE185" s="99"/>
      <c r="AF185" s="99"/>
      <c r="AG185" s="100"/>
      <c r="AH185" s="101"/>
      <c r="AI185" s="99"/>
      <c r="AJ185" s="100"/>
      <c r="AK185" s="101"/>
      <c r="AL185" s="99"/>
      <c r="AM185" s="99"/>
      <c r="AN185" s="99"/>
      <c r="AO185" s="100"/>
      <c r="AP185" s="98"/>
      <c r="AQ185" s="99"/>
      <c r="AR185" s="99"/>
      <c r="AS185" s="99"/>
      <c r="AT185" s="99"/>
      <c r="AU185" s="99"/>
      <c r="AV185" s="99"/>
      <c r="AW185" s="99"/>
      <c r="AX185" s="99"/>
      <c r="AY185" s="99"/>
      <c r="AZ185" s="99"/>
      <c r="BA185" s="99"/>
      <c r="BB185" s="99"/>
      <c r="BC185" s="99"/>
      <c r="BD185" s="99"/>
      <c r="BE185" s="100"/>
      <c r="BF185" s="101"/>
      <c r="BG185" s="99"/>
      <c r="BH185" s="99"/>
      <c r="BI185" s="99"/>
      <c r="BJ185" s="99"/>
      <c r="BK185" s="99"/>
      <c r="BL185" s="100"/>
      <c r="BM185" s="101"/>
      <c r="BN185" s="99"/>
      <c r="BO185" s="100"/>
      <c r="BP185" s="101"/>
      <c r="BQ185" s="99"/>
      <c r="BR185" s="99"/>
      <c r="BS185" s="99"/>
      <c r="BT185" s="100"/>
      <c r="BU185" s="98"/>
      <c r="BV185" s="99"/>
      <c r="BW185" s="99"/>
      <c r="BX185" s="99"/>
      <c r="BY185" s="99"/>
      <c r="BZ185" s="99"/>
      <c r="CA185" s="99"/>
      <c r="CB185" s="99"/>
      <c r="CC185" s="99"/>
      <c r="CD185" s="99"/>
      <c r="CE185" s="99"/>
      <c r="CF185" s="99"/>
      <c r="CG185" s="99"/>
      <c r="CH185" s="99"/>
      <c r="CI185" s="99"/>
      <c r="CJ185" s="100"/>
      <c r="CK185" s="101"/>
      <c r="CL185" s="99"/>
      <c r="CM185" s="99"/>
      <c r="CN185" s="99"/>
      <c r="CO185" s="99"/>
      <c r="CP185" s="99"/>
      <c r="CQ185" s="100"/>
      <c r="CR185" s="101"/>
      <c r="CS185" s="99"/>
      <c r="CT185" s="100"/>
      <c r="CU185" s="101"/>
      <c r="CV185" s="99"/>
      <c r="CW185" s="99"/>
      <c r="CX185" s="99"/>
      <c r="CY185" s="99"/>
    </row>
    <row r="186" spans="1:103" ht="25.5" hidden="1" outlineLevel="1" x14ac:dyDescent="0.2">
      <c r="A186" s="424" t="s">
        <v>693</v>
      </c>
      <c r="B186" s="401" t="str">
        <f>VLOOKUP(A186,[1]ACTIONS!$A$3:$B$238,2,0)</f>
        <v>Suivre la problématique des sédiments et de leur curage dans la voie navigable du Canal Bruxelles-Escaut avec les régions flamande et wallonne pour une gestion cohérente de part et d’autre des frontières</v>
      </c>
      <c r="C186" s="96"/>
      <c r="D186" s="96"/>
      <c r="E186" s="96"/>
      <c r="F186" s="96">
        <v>0</v>
      </c>
      <c r="G186" s="96"/>
      <c r="H186" s="96">
        <v>0</v>
      </c>
      <c r="I186" s="97"/>
      <c r="J186" s="97"/>
      <c r="K186" s="98"/>
      <c r="L186" s="99"/>
      <c r="M186" s="99"/>
      <c r="N186" s="99"/>
      <c r="O186" s="99"/>
      <c r="P186" s="99"/>
      <c r="Q186" s="99"/>
      <c r="R186" s="99"/>
      <c r="S186" s="99"/>
      <c r="T186" s="99"/>
      <c r="U186" s="99"/>
      <c r="V186" s="99"/>
      <c r="W186" s="99"/>
      <c r="X186" s="99"/>
      <c r="Y186" s="99"/>
      <c r="Z186" s="100"/>
      <c r="AA186" s="101"/>
      <c r="AB186" s="99"/>
      <c r="AC186" s="99"/>
      <c r="AD186" s="99"/>
      <c r="AE186" s="99"/>
      <c r="AF186" s="99"/>
      <c r="AG186" s="100"/>
      <c r="AH186" s="101"/>
      <c r="AI186" s="99"/>
      <c r="AJ186" s="100"/>
      <c r="AK186" s="101"/>
      <c r="AL186" s="99"/>
      <c r="AM186" s="99"/>
      <c r="AN186" s="99"/>
      <c r="AO186" s="100"/>
      <c r="AP186" s="98"/>
      <c r="AQ186" s="99"/>
      <c r="AR186" s="99"/>
      <c r="AS186" s="99"/>
      <c r="AT186" s="99"/>
      <c r="AU186" s="99"/>
      <c r="AV186" s="99"/>
      <c r="AW186" s="99"/>
      <c r="AX186" s="99"/>
      <c r="AY186" s="99"/>
      <c r="AZ186" s="99"/>
      <c r="BA186" s="99"/>
      <c r="BB186" s="99"/>
      <c r="BC186" s="99"/>
      <c r="BD186" s="99"/>
      <c r="BE186" s="100"/>
      <c r="BF186" s="101"/>
      <c r="BG186" s="99"/>
      <c r="BH186" s="99"/>
      <c r="BI186" s="99"/>
      <c r="BJ186" s="99"/>
      <c r="BK186" s="99"/>
      <c r="BL186" s="100"/>
      <c r="BM186" s="101"/>
      <c r="BN186" s="99"/>
      <c r="BO186" s="100"/>
      <c r="BP186" s="101"/>
      <c r="BQ186" s="99"/>
      <c r="BR186" s="99"/>
      <c r="BS186" s="99"/>
      <c r="BT186" s="100"/>
      <c r="BU186" s="98"/>
      <c r="BV186" s="99"/>
      <c r="BW186" s="99"/>
      <c r="BX186" s="99"/>
      <c r="BY186" s="99"/>
      <c r="BZ186" s="99"/>
      <c r="CA186" s="99"/>
      <c r="CB186" s="99"/>
      <c r="CC186" s="99"/>
      <c r="CD186" s="99"/>
      <c r="CE186" s="99"/>
      <c r="CF186" s="99"/>
      <c r="CG186" s="99"/>
      <c r="CH186" s="99"/>
      <c r="CI186" s="99"/>
      <c r="CJ186" s="100"/>
      <c r="CK186" s="101"/>
      <c r="CL186" s="99"/>
      <c r="CM186" s="99"/>
      <c r="CN186" s="99"/>
      <c r="CO186" s="99"/>
      <c r="CP186" s="99"/>
      <c r="CQ186" s="100"/>
      <c r="CR186" s="101"/>
      <c r="CS186" s="99"/>
      <c r="CT186" s="100"/>
      <c r="CU186" s="101"/>
      <c r="CV186" s="99"/>
      <c r="CW186" s="99"/>
      <c r="CX186" s="99"/>
      <c r="CY186" s="99"/>
    </row>
    <row r="187" spans="1:103" ht="38.25" hidden="1" outlineLevel="1" x14ac:dyDescent="0.2">
      <c r="A187" s="424" t="s">
        <v>694</v>
      </c>
      <c r="B187" s="401" t="str">
        <f>VLOOKUP(A187,[1]ACTIONS!$A$3:$B$238,2,0)</f>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v>
      </c>
      <c r="C187" s="96"/>
      <c r="D187" s="96"/>
      <c r="E187" s="96"/>
      <c r="F187" s="96">
        <v>30000</v>
      </c>
      <c r="G187" s="96"/>
      <c r="H187" s="96">
        <v>30000</v>
      </c>
      <c r="I187" s="97"/>
      <c r="J187" s="97"/>
      <c r="K187" s="98"/>
      <c r="L187" s="99"/>
      <c r="M187" s="99"/>
      <c r="N187" s="99"/>
      <c r="O187" s="99"/>
      <c r="P187" s="99"/>
      <c r="Q187" s="99"/>
      <c r="R187" s="99"/>
      <c r="S187" s="99"/>
      <c r="T187" s="99"/>
      <c r="U187" s="99"/>
      <c r="V187" s="99"/>
      <c r="W187" s="99"/>
      <c r="X187" s="99"/>
      <c r="Y187" s="99"/>
      <c r="Z187" s="100"/>
      <c r="AA187" s="101"/>
      <c r="AB187" s="99"/>
      <c r="AC187" s="99"/>
      <c r="AD187" s="99"/>
      <c r="AE187" s="99"/>
      <c r="AF187" s="99"/>
      <c r="AG187" s="100"/>
      <c r="AH187" s="101"/>
      <c r="AI187" s="99"/>
      <c r="AJ187" s="100"/>
      <c r="AK187" s="101"/>
      <c r="AL187" s="99"/>
      <c r="AM187" s="99"/>
      <c r="AN187" s="99"/>
      <c r="AO187" s="100"/>
      <c r="AP187" s="98"/>
      <c r="AQ187" s="99"/>
      <c r="AR187" s="99"/>
      <c r="AS187" s="99"/>
      <c r="AT187" s="99"/>
      <c r="AU187" s="99"/>
      <c r="AV187" s="99"/>
      <c r="AW187" s="99"/>
      <c r="AX187" s="99"/>
      <c r="AY187" s="99"/>
      <c r="AZ187" s="99"/>
      <c r="BA187" s="99"/>
      <c r="BB187" s="99"/>
      <c r="BC187" s="99"/>
      <c r="BD187" s="99"/>
      <c r="BE187" s="100"/>
      <c r="BF187" s="101"/>
      <c r="BG187" s="99"/>
      <c r="BH187" s="99"/>
      <c r="BI187" s="99"/>
      <c r="BJ187" s="99"/>
      <c r="BK187" s="99"/>
      <c r="BL187" s="100"/>
      <c r="BM187" s="101"/>
      <c r="BN187" s="99"/>
      <c r="BO187" s="100"/>
      <c r="BP187" s="101"/>
      <c r="BQ187" s="99"/>
      <c r="BR187" s="99"/>
      <c r="BS187" s="99"/>
      <c r="BT187" s="100"/>
      <c r="BU187" s="98"/>
      <c r="BV187" s="99"/>
      <c r="BW187" s="99"/>
      <c r="BX187" s="99"/>
      <c r="BY187" s="99"/>
      <c r="BZ187" s="99"/>
      <c r="CA187" s="99"/>
      <c r="CB187" s="99"/>
      <c r="CC187" s="99"/>
      <c r="CD187" s="99"/>
      <c r="CE187" s="99"/>
      <c r="CF187" s="99"/>
      <c r="CG187" s="99"/>
      <c r="CH187" s="99"/>
      <c r="CI187" s="99"/>
      <c r="CJ187" s="100"/>
      <c r="CK187" s="101"/>
      <c r="CL187" s="99"/>
      <c r="CM187" s="99"/>
      <c r="CN187" s="99"/>
      <c r="CO187" s="99"/>
      <c r="CP187" s="99"/>
      <c r="CQ187" s="100"/>
      <c r="CR187" s="101"/>
      <c r="CS187" s="99"/>
      <c r="CT187" s="100"/>
      <c r="CU187" s="101"/>
      <c r="CV187" s="99"/>
      <c r="CW187" s="99"/>
      <c r="CX187" s="99"/>
      <c r="CY187" s="99"/>
    </row>
    <row r="188" spans="1:103" ht="63.75" hidden="1" outlineLevel="1" x14ac:dyDescent="0.2">
      <c r="A188" s="424" t="s">
        <v>695</v>
      </c>
      <c r="B188" s="401" t="str">
        <f>VLOOKUP(A188,[1]ACTIONS!$A$3:$B$238,2,0)</f>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v>
      </c>
      <c r="C188" s="96"/>
      <c r="D188" s="96"/>
      <c r="E188" s="96"/>
      <c r="F188" s="96">
        <v>30000</v>
      </c>
      <c r="G188" s="96"/>
      <c r="H188" s="96">
        <v>30000</v>
      </c>
      <c r="I188" s="97"/>
      <c r="J188" s="97"/>
      <c r="K188" s="98"/>
      <c r="L188" s="99"/>
      <c r="M188" s="99"/>
      <c r="N188" s="99"/>
      <c r="O188" s="99"/>
      <c r="P188" s="99"/>
      <c r="Q188" s="99"/>
      <c r="R188" s="99"/>
      <c r="S188" s="99"/>
      <c r="T188" s="99"/>
      <c r="U188" s="99"/>
      <c r="V188" s="99"/>
      <c r="W188" s="99"/>
      <c r="X188" s="99"/>
      <c r="Y188" s="99"/>
      <c r="Z188" s="100"/>
      <c r="AA188" s="101"/>
      <c r="AB188" s="99"/>
      <c r="AC188" s="99"/>
      <c r="AD188" s="99"/>
      <c r="AE188" s="99"/>
      <c r="AF188" s="99"/>
      <c r="AG188" s="100"/>
      <c r="AH188" s="101"/>
      <c r="AI188" s="99"/>
      <c r="AJ188" s="100"/>
      <c r="AK188" s="101"/>
      <c r="AL188" s="99"/>
      <c r="AM188" s="99"/>
      <c r="AN188" s="99"/>
      <c r="AO188" s="100"/>
      <c r="AP188" s="98"/>
      <c r="AQ188" s="99"/>
      <c r="AR188" s="99"/>
      <c r="AS188" s="99"/>
      <c r="AT188" s="99"/>
      <c r="AU188" s="99"/>
      <c r="AV188" s="99"/>
      <c r="AW188" s="99"/>
      <c r="AX188" s="99"/>
      <c r="AY188" s="99"/>
      <c r="AZ188" s="99"/>
      <c r="BA188" s="99"/>
      <c r="BB188" s="99"/>
      <c r="BC188" s="99"/>
      <c r="BD188" s="99"/>
      <c r="BE188" s="100"/>
      <c r="BF188" s="101"/>
      <c r="BG188" s="99"/>
      <c r="BH188" s="99"/>
      <c r="BI188" s="99"/>
      <c r="BJ188" s="99"/>
      <c r="BK188" s="99"/>
      <c r="BL188" s="100"/>
      <c r="BM188" s="101"/>
      <c r="BN188" s="99"/>
      <c r="BO188" s="100"/>
      <c r="BP188" s="101"/>
      <c r="BQ188" s="99"/>
      <c r="BR188" s="99"/>
      <c r="BS188" s="99"/>
      <c r="BT188" s="100"/>
      <c r="BU188" s="98"/>
      <c r="BV188" s="99"/>
      <c r="BW188" s="99"/>
      <c r="BX188" s="99"/>
      <c r="BY188" s="99"/>
      <c r="BZ188" s="99"/>
      <c r="CA188" s="99"/>
      <c r="CB188" s="99"/>
      <c r="CC188" s="99"/>
      <c r="CD188" s="99"/>
      <c r="CE188" s="99"/>
      <c r="CF188" s="99"/>
      <c r="CG188" s="99"/>
      <c r="CH188" s="99"/>
      <c r="CI188" s="99"/>
      <c r="CJ188" s="100"/>
      <c r="CK188" s="101"/>
      <c r="CL188" s="99"/>
      <c r="CM188" s="99"/>
      <c r="CN188" s="99"/>
      <c r="CO188" s="99"/>
      <c r="CP188" s="99"/>
      <c r="CQ188" s="100"/>
      <c r="CR188" s="101"/>
      <c r="CS188" s="99"/>
      <c r="CT188" s="100"/>
      <c r="CU188" s="101"/>
      <c r="CV188" s="99"/>
      <c r="CW188" s="99"/>
      <c r="CX188" s="99"/>
      <c r="CY188" s="99"/>
    </row>
    <row r="189" spans="1:103" hidden="1" outlineLevel="1" x14ac:dyDescent="0.2">
      <c r="A189" s="424" t="s">
        <v>696</v>
      </c>
      <c r="B189" s="401" t="str">
        <f>VLOOKUP(A189,[1]ACTIONS!$A$3:$B$238,2,0)</f>
        <v>Sensibiliser les usagers quant aux pollutions diffuses des navires et bateaux caractérisées dans la mesure M1.5</v>
      </c>
      <c r="C189" s="96"/>
      <c r="D189" s="96"/>
      <c r="E189" s="96"/>
      <c r="F189" s="96">
        <v>0</v>
      </c>
      <c r="G189" s="96"/>
      <c r="H189" s="96">
        <v>0</v>
      </c>
      <c r="I189" s="97"/>
      <c r="J189" s="97"/>
      <c r="K189" s="98"/>
      <c r="L189" s="99"/>
      <c r="M189" s="99"/>
      <c r="N189" s="99"/>
      <c r="O189" s="99"/>
      <c r="P189" s="99"/>
      <c r="Q189" s="99"/>
      <c r="R189" s="99"/>
      <c r="S189" s="99"/>
      <c r="T189" s="99"/>
      <c r="U189" s="99"/>
      <c r="V189" s="99"/>
      <c r="W189" s="99"/>
      <c r="X189" s="99"/>
      <c r="Y189" s="99"/>
      <c r="Z189" s="100"/>
      <c r="AA189" s="101"/>
      <c r="AB189" s="99"/>
      <c r="AC189" s="99"/>
      <c r="AD189" s="99"/>
      <c r="AE189" s="99"/>
      <c r="AF189" s="99"/>
      <c r="AG189" s="100"/>
      <c r="AH189" s="101"/>
      <c r="AI189" s="99"/>
      <c r="AJ189" s="100"/>
      <c r="AK189" s="101"/>
      <c r="AL189" s="99"/>
      <c r="AM189" s="99"/>
      <c r="AN189" s="99"/>
      <c r="AO189" s="100"/>
      <c r="AP189" s="98"/>
      <c r="AQ189" s="99"/>
      <c r="AR189" s="99"/>
      <c r="AS189" s="99"/>
      <c r="AT189" s="99"/>
      <c r="AU189" s="99"/>
      <c r="AV189" s="99"/>
      <c r="AW189" s="99"/>
      <c r="AX189" s="99"/>
      <c r="AY189" s="99"/>
      <c r="AZ189" s="99"/>
      <c r="BA189" s="99"/>
      <c r="BB189" s="99"/>
      <c r="BC189" s="99"/>
      <c r="BD189" s="99"/>
      <c r="BE189" s="100"/>
      <c r="BF189" s="101"/>
      <c r="BG189" s="99"/>
      <c r="BH189" s="99"/>
      <c r="BI189" s="99"/>
      <c r="BJ189" s="99"/>
      <c r="BK189" s="99"/>
      <c r="BL189" s="100"/>
      <c r="BM189" s="101"/>
      <c r="BN189" s="99"/>
      <c r="BO189" s="100"/>
      <c r="BP189" s="101"/>
      <c r="BQ189" s="99"/>
      <c r="BR189" s="99"/>
      <c r="BS189" s="99"/>
      <c r="BT189" s="100"/>
      <c r="BU189" s="98"/>
      <c r="BV189" s="99"/>
      <c r="BW189" s="99"/>
      <c r="BX189" s="99"/>
      <c r="BY189" s="99"/>
      <c r="BZ189" s="99"/>
      <c r="CA189" s="99"/>
      <c r="CB189" s="99"/>
      <c r="CC189" s="99"/>
      <c r="CD189" s="99"/>
      <c r="CE189" s="99"/>
      <c r="CF189" s="99"/>
      <c r="CG189" s="99"/>
      <c r="CH189" s="99"/>
      <c r="CI189" s="99"/>
      <c r="CJ189" s="100"/>
      <c r="CK189" s="101"/>
      <c r="CL189" s="99"/>
      <c r="CM189" s="99"/>
      <c r="CN189" s="99"/>
      <c r="CO189" s="99"/>
      <c r="CP189" s="99"/>
      <c r="CQ189" s="100"/>
      <c r="CR189" s="101"/>
      <c r="CS189" s="99"/>
      <c r="CT189" s="100"/>
      <c r="CU189" s="101"/>
      <c r="CV189" s="99"/>
      <c r="CW189" s="99"/>
      <c r="CX189" s="99"/>
      <c r="CY189" s="99"/>
    </row>
    <row r="190" spans="1:103" ht="25.5" hidden="1" outlineLevel="1" x14ac:dyDescent="0.2">
      <c r="A190" s="424" t="s">
        <v>697</v>
      </c>
      <c r="B190" s="401" t="str">
        <f>VLOOKUP(A190,[1]ACTIONS!$A$3:$B$238,2,0)</f>
        <v>Émettre des recommandations pour limiter les pollutions diffuses des navires et bateaux caractérisées dans la mesure M1.5</v>
      </c>
      <c r="C190" s="96"/>
      <c r="D190" s="96"/>
      <c r="E190" s="96"/>
      <c r="F190" s="96">
        <v>0</v>
      </c>
      <c r="G190" s="96"/>
      <c r="H190" s="96">
        <v>0</v>
      </c>
      <c r="I190" s="97"/>
      <c r="J190" s="97"/>
      <c r="K190" s="98"/>
      <c r="L190" s="99"/>
      <c r="M190" s="99"/>
      <c r="N190" s="99"/>
      <c r="O190" s="99"/>
      <c r="P190" s="99"/>
      <c r="Q190" s="99"/>
      <c r="R190" s="99"/>
      <c r="S190" s="99"/>
      <c r="T190" s="99"/>
      <c r="U190" s="99"/>
      <c r="V190" s="99"/>
      <c r="W190" s="99"/>
      <c r="X190" s="99"/>
      <c r="Y190" s="99"/>
      <c r="Z190" s="100"/>
      <c r="AA190" s="101"/>
      <c r="AB190" s="99"/>
      <c r="AC190" s="99"/>
      <c r="AD190" s="99"/>
      <c r="AE190" s="99"/>
      <c r="AF190" s="99"/>
      <c r="AG190" s="100"/>
      <c r="AH190" s="101"/>
      <c r="AI190" s="99"/>
      <c r="AJ190" s="100"/>
      <c r="AK190" s="101"/>
      <c r="AL190" s="99"/>
      <c r="AM190" s="99"/>
      <c r="AN190" s="99"/>
      <c r="AO190" s="100"/>
      <c r="AP190" s="98"/>
      <c r="AQ190" s="99"/>
      <c r="AR190" s="99"/>
      <c r="AS190" s="99"/>
      <c r="AT190" s="99"/>
      <c r="AU190" s="99"/>
      <c r="AV190" s="99"/>
      <c r="AW190" s="99"/>
      <c r="AX190" s="99"/>
      <c r="AY190" s="99"/>
      <c r="AZ190" s="99"/>
      <c r="BA190" s="99"/>
      <c r="BB190" s="99"/>
      <c r="BC190" s="99"/>
      <c r="BD190" s="99"/>
      <c r="BE190" s="100"/>
      <c r="BF190" s="101"/>
      <c r="BG190" s="99"/>
      <c r="BH190" s="99"/>
      <c r="BI190" s="99"/>
      <c r="BJ190" s="99"/>
      <c r="BK190" s="99"/>
      <c r="BL190" s="100"/>
      <c r="BM190" s="101"/>
      <c r="BN190" s="99"/>
      <c r="BO190" s="100"/>
      <c r="BP190" s="101"/>
      <c r="BQ190" s="99"/>
      <c r="BR190" s="99"/>
      <c r="BS190" s="99"/>
      <c r="BT190" s="100"/>
      <c r="BU190" s="98"/>
      <c r="BV190" s="99"/>
      <c r="BW190" s="99"/>
      <c r="BX190" s="99"/>
      <c r="BY190" s="99"/>
      <c r="BZ190" s="99"/>
      <c r="CA190" s="99"/>
      <c r="CB190" s="99"/>
      <c r="CC190" s="99"/>
      <c r="CD190" s="99"/>
      <c r="CE190" s="99"/>
      <c r="CF190" s="99"/>
      <c r="CG190" s="99"/>
      <c r="CH190" s="99"/>
      <c r="CI190" s="99"/>
      <c r="CJ190" s="100"/>
      <c r="CK190" s="101"/>
      <c r="CL190" s="99"/>
      <c r="CM190" s="99"/>
      <c r="CN190" s="99"/>
      <c r="CO190" s="99"/>
      <c r="CP190" s="99"/>
      <c r="CQ190" s="100"/>
      <c r="CR190" s="101"/>
      <c r="CS190" s="99"/>
      <c r="CT190" s="100"/>
      <c r="CU190" s="101"/>
      <c r="CV190" s="99"/>
      <c r="CW190" s="99"/>
      <c r="CX190" s="99"/>
      <c r="CY190" s="99"/>
    </row>
    <row r="191" spans="1:103" hidden="1" outlineLevel="1" x14ac:dyDescent="0.2">
      <c r="A191" s="424" t="s">
        <v>698</v>
      </c>
      <c r="B191" s="401" t="str">
        <f>VLOOKUP(A191,[1]ACTIONS!$A$3:$B$238,2,0)</f>
        <v>Contrôler le respect de l'arrêté pour le transport et la manutention des marchandises dangereuses ou non dans le Canal</v>
      </c>
      <c r="C191" s="96"/>
      <c r="D191" s="96"/>
      <c r="E191" s="96"/>
      <c r="F191" s="96">
        <v>0</v>
      </c>
      <c r="G191" s="96"/>
      <c r="H191" s="96">
        <v>0</v>
      </c>
      <c r="I191" s="97"/>
      <c r="J191" s="97"/>
      <c r="K191" s="98"/>
      <c r="L191" s="99"/>
      <c r="M191" s="99"/>
      <c r="N191" s="99"/>
      <c r="O191" s="99"/>
      <c r="P191" s="99"/>
      <c r="Q191" s="99"/>
      <c r="R191" s="99"/>
      <c r="S191" s="99"/>
      <c r="T191" s="99"/>
      <c r="U191" s="99"/>
      <c r="V191" s="99"/>
      <c r="W191" s="99"/>
      <c r="X191" s="99"/>
      <c r="Y191" s="99"/>
      <c r="Z191" s="100"/>
      <c r="AA191" s="101"/>
      <c r="AB191" s="99"/>
      <c r="AC191" s="99"/>
      <c r="AD191" s="99"/>
      <c r="AE191" s="99"/>
      <c r="AF191" s="99"/>
      <c r="AG191" s="100"/>
      <c r="AH191" s="101"/>
      <c r="AI191" s="99"/>
      <c r="AJ191" s="100"/>
      <c r="AK191" s="101"/>
      <c r="AL191" s="99"/>
      <c r="AM191" s="99"/>
      <c r="AN191" s="99"/>
      <c r="AO191" s="100"/>
      <c r="AP191" s="98"/>
      <c r="AQ191" s="99"/>
      <c r="AR191" s="99"/>
      <c r="AS191" s="99"/>
      <c r="AT191" s="99"/>
      <c r="AU191" s="99"/>
      <c r="AV191" s="99"/>
      <c r="AW191" s="99"/>
      <c r="AX191" s="99"/>
      <c r="AY191" s="99"/>
      <c r="AZ191" s="99"/>
      <c r="BA191" s="99"/>
      <c r="BB191" s="99"/>
      <c r="BC191" s="99"/>
      <c r="BD191" s="99"/>
      <c r="BE191" s="100"/>
      <c r="BF191" s="101"/>
      <c r="BG191" s="99"/>
      <c r="BH191" s="99"/>
      <c r="BI191" s="99"/>
      <c r="BJ191" s="99"/>
      <c r="BK191" s="99"/>
      <c r="BL191" s="100"/>
      <c r="BM191" s="101"/>
      <c r="BN191" s="99"/>
      <c r="BO191" s="100"/>
      <c r="BP191" s="101"/>
      <c r="BQ191" s="99"/>
      <c r="BR191" s="99"/>
      <c r="BS191" s="99"/>
      <c r="BT191" s="100"/>
      <c r="BU191" s="98"/>
      <c r="BV191" s="99"/>
      <c r="BW191" s="99"/>
      <c r="BX191" s="99"/>
      <c r="BY191" s="99"/>
      <c r="BZ191" s="99"/>
      <c r="CA191" s="99"/>
      <c r="CB191" s="99"/>
      <c r="CC191" s="99"/>
      <c r="CD191" s="99"/>
      <c r="CE191" s="99"/>
      <c r="CF191" s="99"/>
      <c r="CG191" s="99"/>
      <c r="CH191" s="99"/>
      <c r="CI191" s="99"/>
      <c r="CJ191" s="100"/>
      <c r="CK191" s="101"/>
      <c r="CL191" s="99"/>
      <c r="CM191" s="99"/>
      <c r="CN191" s="99"/>
      <c r="CO191" s="99"/>
      <c r="CP191" s="99"/>
      <c r="CQ191" s="100"/>
      <c r="CR191" s="101"/>
      <c r="CS191" s="99"/>
      <c r="CT191" s="100"/>
      <c r="CU191" s="101"/>
      <c r="CV191" s="99"/>
      <c r="CW191" s="99"/>
      <c r="CX191" s="99"/>
      <c r="CY191" s="99"/>
    </row>
    <row r="192" spans="1:103" hidden="1" outlineLevel="1" x14ac:dyDescent="0.2">
      <c r="A192" s="424" t="s">
        <v>699</v>
      </c>
      <c r="B192" s="401" t="str">
        <f>VLOOKUP(A192,[1]ACTIONS!$A$3:$B$238,2,0)</f>
        <v>Curer la totalité des sédiments du Canal pour retirer la pollution historique. Scénario Maximaliste</v>
      </c>
      <c r="C192" s="96"/>
      <c r="D192" s="96"/>
      <c r="E192" s="96"/>
      <c r="F192" s="96">
        <v>0</v>
      </c>
      <c r="G192" s="96"/>
      <c r="H192" s="96">
        <v>0</v>
      </c>
      <c r="I192" s="97"/>
      <c r="J192" s="97"/>
      <c r="K192" s="98"/>
      <c r="L192" s="99"/>
      <c r="M192" s="99"/>
      <c r="N192" s="99"/>
      <c r="O192" s="99"/>
      <c r="P192" s="99"/>
      <c r="Q192" s="99"/>
      <c r="R192" s="99"/>
      <c r="S192" s="99"/>
      <c r="T192" s="99"/>
      <c r="U192" s="99"/>
      <c r="V192" s="99"/>
      <c r="W192" s="99"/>
      <c r="X192" s="99"/>
      <c r="Y192" s="99"/>
      <c r="Z192" s="100"/>
      <c r="AA192" s="101"/>
      <c r="AB192" s="99"/>
      <c r="AC192" s="99"/>
      <c r="AD192" s="99"/>
      <c r="AE192" s="99"/>
      <c r="AF192" s="99"/>
      <c r="AG192" s="100"/>
      <c r="AH192" s="101"/>
      <c r="AI192" s="99"/>
      <c r="AJ192" s="100"/>
      <c r="AK192" s="101"/>
      <c r="AL192" s="99"/>
      <c r="AM192" s="99"/>
      <c r="AN192" s="99"/>
      <c r="AO192" s="100"/>
      <c r="AP192" s="98"/>
      <c r="AQ192" s="103" t="s">
        <v>1576</v>
      </c>
      <c r="AR192" s="103" t="s">
        <v>1576</v>
      </c>
      <c r="AS192" s="103" t="s">
        <v>1576</v>
      </c>
      <c r="AT192" s="103" t="s">
        <v>1576</v>
      </c>
      <c r="AU192" s="103" t="s">
        <v>1576</v>
      </c>
      <c r="AV192" s="99"/>
      <c r="AW192" s="103" t="s">
        <v>1576</v>
      </c>
      <c r="AX192" s="103" t="s">
        <v>1576</v>
      </c>
      <c r="AY192" s="99"/>
      <c r="AZ192" s="103" t="s">
        <v>1576</v>
      </c>
      <c r="BA192" s="103" t="s">
        <v>1576</v>
      </c>
      <c r="BB192" s="103" t="s">
        <v>1576</v>
      </c>
      <c r="BC192" s="103" t="s">
        <v>1576</v>
      </c>
      <c r="BD192" s="99"/>
      <c r="BE192" s="104" t="s">
        <v>1576</v>
      </c>
      <c r="BF192" s="102" t="s">
        <v>1576</v>
      </c>
      <c r="BG192" s="99"/>
      <c r="BH192" s="99"/>
      <c r="BI192" s="99"/>
      <c r="BJ192" s="99"/>
      <c r="BK192" s="99"/>
      <c r="BL192" s="100"/>
      <c r="BM192" s="101"/>
      <c r="BN192" s="99"/>
      <c r="BO192" s="100"/>
      <c r="BP192" s="101"/>
      <c r="BQ192" s="103" t="s">
        <v>1575</v>
      </c>
      <c r="BR192" s="99"/>
      <c r="BS192" s="103" t="s">
        <v>1575</v>
      </c>
      <c r="BT192" s="104" t="s">
        <v>1575</v>
      </c>
      <c r="BU192" s="98"/>
      <c r="BV192" s="99"/>
      <c r="BW192" s="99"/>
      <c r="BX192" s="99"/>
      <c r="BY192" s="99"/>
      <c r="BZ192" s="99"/>
      <c r="CA192" s="99"/>
      <c r="CB192" s="99"/>
      <c r="CC192" s="99"/>
      <c r="CD192" s="99"/>
      <c r="CE192" s="99"/>
      <c r="CF192" s="99"/>
      <c r="CG192" s="99"/>
      <c r="CH192" s="99"/>
      <c r="CI192" s="99"/>
      <c r="CJ192" s="100"/>
      <c r="CK192" s="101"/>
      <c r="CL192" s="99"/>
      <c r="CM192" s="99"/>
      <c r="CN192" s="99"/>
      <c r="CO192" s="99"/>
      <c r="CP192" s="99"/>
      <c r="CQ192" s="100"/>
      <c r="CR192" s="101"/>
      <c r="CS192" s="99"/>
      <c r="CT192" s="100"/>
      <c r="CU192" s="101"/>
      <c r="CV192" s="99"/>
      <c r="CW192" s="99"/>
      <c r="CX192" s="99"/>
      <c r="CY192" s="99"/>
    </row>
    <row r="193" spans="1:103" x14ac:dyDescent="0.2">
      <c r="A193" s="402" t="s">
        <v>19</v>
      </c>
      <c r="B193" s="404" t="str">
        <f>VLOOKUP(A193,'1. Mesures'!$A$2:$B$116,2,0)</f>
        <v>Actualiser les objectifs de qualité des eaux de surface dans l’arrêté "NQE"</v>
      </c>
      <c r="C193" s="96"/>
      <c r="D193" s="96"/>
      <c r="E193" s="96"/>
      <c r="F193" s="96"/>
      <c r="G193" s="96"/>
      <c r="H193" s="96"/>
      <c r="I193" s="97" t="s">
        <v>1596</v>
      </c>
      <c r="J193" s="97"/>
      <c r="K193" s="98"/>
      <c r="L193" s="99"/>
      <c r="M193" s="99"/>
      <c r="N193" s="99"/>
      <c r="O193" s="99"/>
      <c r="P193" s="99"/>
      <c r="Q193" s="99"/>
      <c r="R193" s="99"/>
      <c r="S193" s="99"/>
      <c r="T193" s="99"/>
      <c r="U193" s="99"/>
      <c r="V193" s="99"/>
      <c r="W193" s="99"/>
      <c r="X193" s="99"/>
      <c r="Y193" s="99"/>
      <c r="Z193" s="100"/>
      <c r="AA193" s="101"/>
      <c r="AB193" s="99"/>
      <c r="AC193" s="99"/>
      <c r="AD193" s="99"/>
      <c r="AE193" s="99"/>
      <c r="AF193" s="99"/>
      <c r="AG193" s="100"/>
      <c r="AH193" s="101"/>
      <c r="AI193" s="99"/>
      <c r="AJ193" s="100"/>
      <c r="AK193" s="101"/>
      <c r="AL193" s="99"/>
      <c r="AM193" s="99"/>
      <c r="AN193" s="99"/>
      <c r="AO193" s="100"/>
      <c r="AP193" s="98"/>
      <c r="AQ193" s="99"/>
      <c r="AR193" s="99"/>
      <c r="AS193" s="99"/>
      <c r="AT193" s="99"/>
      <c r="AU193" s="99"/>
      <c r="AV193" s="99"/>
      <c r="AW193" s="99"/>
      <c r="AX193" s="99"/>
      <c r="AY193" s="99"/>
      <c r="AZ193" s="99"/>
      <c r="BA193" s="99"/>
      <c r="BB193" s="99"/>
      <c r="BC193" s="99"/>
      <c r="BD193" s="99"/>
      <c r="BE193" s="100"/>
      <c r="BF193" s="101"/>
      <c r="BG193" s="99"/>
      <c r="BH193" s="99"/>
      <c r="BI193" s="99"/>
      <c r="BJ193" s="99"/>
      <c r="BK193" s="99"/>
      <c r="BL193" s="100"/>
      <c r="BM193" s="101"/>
      <c r="BN193" s="99"/>
      <c r="BO193" s="100"/>
      <c r="BP193" s="101"/>
      <c r="BQ193" s="99"/>
      <c r="BR193" s="99"/>
      <c r="BS193" s="99"/>
      <c r="BT193" s="100"/>
      <c r="BU193" s="98"/>
      <c r="BV193" s="99"/>
      <c r="BW193" s="99"/>
      <c r="BX193" s="99"/>
      <c r="BY193" s="99"/>
      <c r="BZ193" s="99"/>
      <c r="CA193" s="99"/>
      <c r="CB193" s="99"/>
      <c r="CC193" s="99"/>
      <c r="CD193" s="99"/>
      <c r="CE193" s="99"/>
      <c r="CF193" s="99"/>
      <c r="CG193" s="99"/>
      <c r="CH193" s="99"/>
      <c r="CI193" s="99"/>
      <c r="CJ193" s="100"/>
      <c r="CK193" s="101"/>
      <c r="CL193" s="99"/>
      <c r="CM193" s="99"/>
      <c r="CN193" s="99"/>
      <c r="CO193" s="99"/>
      <c r="CP193" s="99"/>
      <c r="CQ193" s="100"/>
      <c r="CR193" s="101"/>
      <c r="CS193" s="99"/>
      <c r="CT193" s="100"/>
      <c r="CU193" s="101"/>
      <c r="CV193" s="99"/>
      <c r="CW193" s="99"/>
      <c r="CX193" s="99"/>
      <c r="CY193" s="99"/>
    </row>
    <row r="194" spans="1:103" ht="25.5" x14ac:dyDescent="0.2">
      <c r="A194" s="402" t="s">
        <v>20</v>
      </c>
      <c r="B194" s="405" t="str">
        <f>VLOOKUP(A194,'1. Mesures'!$A$2:$B$116,2,0)</f>
        <v>Mener des investigations et des actions ciblées pour les paramètres chimiques et physico-chimiques qui peuvent s’avérer problématiques pour les eaux de surface</v>
      </c>
      <c r="C194" s="96"/>
      <c r="D194" s="96"/>
      <c r="E194" s="96"/>
      <c r="F194" s="96"/>
      <c r="G194" s="96"/>
      <c r="H194" s="96"/>
      <c r="I194" s="97" t="s">
        <v>1589</v>
      </c>
      <c r="J194" s="97" t="s">
        <v>1601</v>
      </c>
      <c r="K194" s="98" t="s">
        <v>1575</v>
      </c>
      <c r="L194" s="99" t="s">
        <v>1575</v>
      </c>
      <c r="M194" s="99" t="s">
        <v>1575</v>
      </c>
      <c r="N194" s="99" t="s">
        <v>1575</v>
      </c>
      <c r="O194" s="99" t="s">
        <v>1575</v>
      </c>
      <c r="P194" s="99"/>
      <c r="Q194" s="99"/>
      <c r="R194" s="99" t="s">
        <v>1575</v>
      </c>
      <c r="S194" s="99"/>
      <c r="T194" s="99"/>
      <c r="U194" s="99"/>
      <c r="V194" s="99"/>
      <c r="W194" s="99"/>
      <c r="X194" s="99" t="s">
        <v>1575</v>
      </c>
      <c r="Y194" s="99"/>
      <c r="Z194" s="100"/>
      <c r="AA194" s="101"/>
      <c r="AB194" s="99"/>
      <c r="AC194" s="99"/>
      <c r="AD194" s="99"/>
      <c r="AE194" s="99"/>
      <c r="AF194" s="99"/>
      <c r="AG194" s="100"/>
      <c r="AH194" s="101"/>
      <c r="AI194" s="99"/>
      <c r="AJ194" s="100"/>
      <c r="AK194" s="101"/>
      <c r="AL194" s="99" t="s">
        <v>1590</v>
      </c>
      <c r="AM194" s="99" t="s">
        <v>1590</v>
      </c>
      <c r="AN194" s="99" t="s">
        <v>1590</v>
      </c>
      <c r="AO194" s="100" t="s">
        <v>1590</v>
      </c>
      <c r="AP194" s="98"/>
      <c r="AQ194" s="99" t="s">
        <v>1575</v>
      </c>
      <c r="AR194" s="99" t="s">
        <v>1575</v>
      </c>
      <c r="AS194" s="99" t="s">
        <v>1575</v>
      </c>
      <c r="AT194" s="99" t="s">
        <v>1575</v>
      </c>
      <c r="AU194" s="99"/>
      <c r="AV194" s="99"/>
      <c r="AW194" s="99" t="s">
        <v>1575</v>
      </c>
      <c r="AX194" s="99"/>
      <c r="AY194" s="99"/>
      <c r="AZ194" s="99"/>
      <c r="BA194" s="99"/>
      <c r="BB194" s="99"/>
      <c r="BC194" s="99" t="s">
        <v>1575</v>
      </c>
      <c r="BD194" s="99"/>
      <c r="BE194" s="100"/>
      <c r="BF194" s="101"/>
      <c r="BG194" s="99"/>
      <c r="BH194" s="99"/>
      <c r="BI194" s="99"/>
      <c r="BJ194" s="99"/>
      <c r="BK194" s="99"/>
      <c r="BL194" s="100"/>
      <c r="BM194" s="101"/>
      <c r="BN194" s="99"/>
      <c r="BO194" s="100"/>
      <c r="BP194" s="101"/>
      <c r="BQ194" s="99" t="s">
        <v>1590</v>
      </c>
      <c r="BR194" s="99"/>
      <c r="BS194" s="99" t="s">
        <v>1590</v>
      </c>
      <c r="BT194" s="100" t="s">
        <v>1590</v>
      </c>
      <c r="BU194" s="98"/>
      <c r="BV194" s="99"/>
      <c r="BW194" s="99"/>
      <c r="BX194" s="99" t="s">
        <v>1575</v>
      </c>
      <c r="BY194" s="99" t="s">
        <v>1575</v>
      </c>
      <c r="BZ194" s="99"/>
      <c r="CA194" s="99"/>
      <c r="CB194" s="99"/>
      <c r="CC194" s="99"/>
      <c r="CD194" s="99"/>
      <c r="CE194" s="99"/>
      <c r="CF194" s="99"/>
      <c r="CG194" s="99"/>
      <c r="CH194" s="99" t="s">
        <v>1575</v>
      </c>
      <c r="CI194" s="99"/>
      <c r="CJ194" s="100"/>
      <c r="CK194" s="101"/>
      <c r="CL194" s="99"/>
      <c r="CM194" s="99"/>
      <c r="CN194" s="99"/>
      <c r="CO194" s="99"/>
      <c r="CP194" s="99"/>
      <c r="CQ194" s="100"/>
      <c r="CR194" s="101"/>
      <c r="CS194" s="99"/>
      <c r="CT194" s="100"/>
      <c r="CU194" s="101"/>
      <c r="CV194" s="99" t="s">
        <v>1590</v>
      </c>
      <c r="CW194" s="99"/>
      <c r="CX194" s="99" t="s">
        <v>1590</v>
      </c>
      <c r="CY194" s="99" t="s">
        <v>1590</v>
      </c>
    </row>
    <row r="195" spans="1:103" ht="25.5" collapsed="1" x14ac:dyDescent="0.2">
      <c r="A195" s="394" t="s">
        <v>21</v>
      </c>
      <c r="B195" s="398" t="str">
        <f>VLOOKUP(A195,'1. Mesures'!$A$2:$B$116,2,0)</f>
        <v>Assurer la surveillance de la qualité de la colonne d’eau, des sédiments, du biote, de la biologie et de l’hydromorphologie</v>
      </c>
      <c r="C195" s="96"/>
      <c r="D195" s="96"/>
      <c r="E195" s="96"/>
      <c r="F195" s="96">
        <v>1769500</v>
      </c>
      <c r="G195" s="96"/>
      <c r="H195" s="96">
        <v>1769500</v>
      </c>
      <c r="I195" s="97" t="s">
        <v>1596</v>
      </c>
      <c r="J195" s="97"/>
      <c r="K195" s="98"/>
      <c r="L195" s="99"/>
      <c r="M195" s="99"/>
      <c r="N195" s="99"/>
      <c r="O195" s="99"/>
      <c r="P195" s="99"/>
      <c r="Q195" s="99"/>
      <c r="R195" s="99"/>
      <c r="S195" s="99"/>
      <c r="T195" s="99"/>
      <c r="U195" s="99"/>
      <c r="V195" s="99"/>
      <c r="W195" s="99"/>
      <c r="X195" s="99"/>
      <c r="Y195" s="99"/>
      <c r="Z195" s="100"/>
      <c r="AA195" s="101"/>
      <c r="AB195" s="99"/>
      <c r="AC195" s="99"/>
      <c r="AD195" s="99"/>
      <c r="AE195" s="99"/>
      <c r="AF195" s="99"/>
      <c r="AG195" s="100"/>
      <c r="AH195" s="101"/>
      <c r="AI195" s="99"/>
      <c r="AJ195" s="100"/>
      <c r="AK195" s="101"/>
      <c r="AL195" s="99"/>
      <c r="AM195" s="99"/>
      <c r="AN195" s="99"/>
      <c r="AO195" s="100"/>
      <c r="AP195" s="98"/>
      <c r="AQ195" s="99"/>
      <c r="AR195" s="99"/>
      <c r="AS195" s="99"/>
      <c r="AT195" s="99"/>
      <c r="AU195" s="99"/>
      <c r="AV195" s="99"/>
      <c r="AW195" s="99"/>
      <c r="AX195" s="99"/>
      <c r="AY195" s="99"/>
      <c r="AZ195" s="99"/>
      <c r="BA195" s="99"/>
      <c r="BB195" s="99"/>
      <c r="BC195" s="99"/>
      <c r="BD195" s="99"/>
      <c r="BE195" s="100"/>
      <c r="BF195" s="101"/>
      <c r="BG195" s="99"/>
      <c r="BH195" s="99"/>
      <c r="BI195" s="99"/>
      <c r="BJ195" s="99"/>
      <c r="BK195" s="99"/>
      <c r="BL195" s="100"/>
      <c r="BM195" s="101"/>
      <c r="BN195" s="99"/>
      <c r="BO195" s="100"/>
      <c r="BP195" s="101"/>
      <c r="BQ195" s="99"/>
      <c r="BR195" s="99"/>
      <c r="BS195" s="99"/>
      <c r="BT195" s="100"/>
      <c r="BU195" s="98"/>
      <c r="BV195" s="99"/>
      <c r="BW195" s="99"/>
      <c r="BX195" s="99"/>
      <c r="BY195" s="99"/>
      <c r="BZ195" s="99"/>
      <c r="CA195" s="99"/>
      <c r="CB195" s="99"/>
      <c r="CC195" s="99"/>
      <c r="CD195" s="99"/>
      <c r="CE195" s="99"/>
      <c r="CF195" s="99"/>
      <c r="CG195" s="99"/>
      <c r="CH195" s="99"/>
      <c r="CI195" s="99"/>
      <c r="CJ195" s="100"/>
      <c r="CK195" s="101"/>
      <c r="CL195" s="99"/>
      <c r="CM195" s="99"/>
      <c r="CN195" s="99"/>
      <c r="CO195" s="99"/>
      <c r="CP195" s="99"/>
      <c r="CQ195" s="100"/>
      <c r="CR195" s="101"/>
      <c r="CS195" s="99"/>
      <c r="CT195" s="100"/>
      <c r="CU195" s="101"/>
      <c r="CV195" s="99"/>
      <c r="CW195" s="99"/>
      <c r="CX195" s="99"/>
      <c r="CY195" s="99"/>
    </row>
    <row r="196" spans="1:103" hidden="1" outlineLevel="1" x14ac:dyDescent="0.2">
      <c r="A196" s="424" t="s">
        <v>728</v>
      </c>
      <c r="B196" s="401" t="str">
        <f>VLOOKUP(A196,[1]ACTIONS!$A$3:$B$238,2,0)</f>
        <v>Monitoring biologique dans les cours d'eau et étangs</v>
      </c>
      <c r="C196" s="96"/>
      <c r="D196" s="96"/>
      <c r="E196" s="96"/>
      <c r="F196" s="96">
        <v>332500</v>
      </c>
      <c r="G196" s="96"/>
      <c r="H196" s="96">
        <v>332500</v>
      </c>
      <c r="I196" s="97"/>
      <c r="J196" s="97"/>
      <c r="K196" s="98"/>
      <c r="L196" s="99"/>
      <c r="M196" s="99"/>
      <c r="N196" s="99"/>
      <c r="O196" s="99"/>
      <c r="P196" s="99"/>
      <c r="Q196" s="99"/>
      <c r="R196" s="99"/>
      <c r="S196" s="99"/>
      <c r="T196" s="99"/>
      <c r="U196" s="99"/>
      <c r="V196" s="99"/>
      <c r="W196" s="99"/>
      <c r="X196" s="99"/>
      <c r="Y196" s="99"/>
      <c r="Z196" s="100"/>
      <c r="AA196" s="101"/>
      <c r="AB196" s="99"/>
      <c r="AC196" s="99"/>
      <c r="AD196" s="99"/>
      <c r="AE196" s="99"/>
      <c r="AF196" s="99"/>
      <c r="AG196" s="100"/>
      <c r="AH196" s="101"/>
      <c r="AI196" s="99"/>
      <c r="AJ196" s="100"/>
      <c r="AK196" s="101"/>
      <c r="AL196" s="99"/>
      <c r="AM196" s="99"/>
      <c r="AN196" s="99"/>
      <c r="AO196" s="100"/>
      <c r="AP196" s="98"/>
      <c r="AQ196" s="99"/>
      <c r="AR196" s="99"/>
      <c r="AS196" s="99"/>
      <c r="AT196" s="99"/>
      <c r="AU196" s="99"/>
      <c r="AV196" s="99"/>
      <c r="AW196" s="99"/>
      <c r="AX196" s="99"/>
      <c r="AY196" s="99"/>
      <c r="AZ196" s="99"/>
      <c r="BA196" s="99"/>
      <c r="BB196" s="99"/>
      <c r="BC196" s="99"/>
      <c r="BD196" s="99"/>
      <c r="BE196" s="100"/>
      <c r="BF196" s="101"/>
      <c r="BG196" s="99"/>
      <c r="BH196" s="99"/>
      <c r="BI196" s="99"/>
      <c r="BJ196" s="99"/>
      <c r="BK196" s="99"/>
      <c r="BL196" s="100"/>
      <c r="BM196" s="101"/>
      <c r="BN196" s="99"/>
      <c r="BO196" s="100"/>
      <c r="BP196" s="101"/>
      <c r="BQ196" s="99"/>
      <c r="BR196" s="99"/>
      <c r="BS196" s="99"/>
      <c r="BT196" s="100"/>
      <c r="BU196" s="98"/>
      <c r="BV196" s="99"/>
      <c r="BW196" s="99"/>
      <c r="BX196" s="99"/>
      <c r="BY196" s="99"/>
      <c r="BZ196" s="99"/>
      <c r="CA196" s="99"/>
      <c r="CB196" s="99"/>
      <c r="CC196" s="99"/>
      <c r="CD196" s="99"/>
      <c r="CE196" s="99"/>
      <c r="CF196" s="99"/>
      <c r="CG196" s="99"/>
      <c r="CH196" s="99"/>
      <c r="CI196" s="99"/>
      <c r="CJ196" s="100"/>
      <c r="CK196" s="101"/>
      <c r="CL196" s="99"/>
      <c r="CM196" s="99"/>
      <c r="CN196" s="99"/>
      <c r="CO196" s="99"/>
      <c r="CP196" s="99"/>
      <c r="CQ196" s="100"/>
      <c r="CR196" s="101"/>
      <c r="CS196" s="99"/>
      <c r="CT196" s="100"/>
      <c r="CU196" s="101"/>
      <c r="CV196" s="99"/>
      <c r="CW196" s="99"/>
      <c r="CX196" s="99"/>
      <c r="CY196" s="99"/>
    </row>
    <row r="197" spans="1:103" hidden="1" outlineLevel="1" x14ac:dyDescent="0.2">
      <c r="A197" s="424" t="s">
        <v>729</v>
      </c>
      <c r="B197" s="401" t="str">
        <f>VLOOKUP(A197,[1]ACTIONS!$A$3:$B$238,2,0)</f>
        <v>Actualisation du potentiel écologique et de l'état chimique des eaux de surface</v>
      </c>
      <c r="C197" s="96"/>
      <c r="D197" s="96"/>
      <c r="E197" s="96"/>
      <c r="F197" s="96">
        <v>0</v>
      </c>
      <c r="G197" s="96"/>
      <c r="H197" s="96">
        <v>0</v>
      </c>
      <c r="I197" s="97"/>
      <c r="J197" s="97"/>
      <c r="K197" s="98"/>
      <c r="L197" s="99"/>
      <c r="M197" s="99"/>
      <c r="N197" s="99"/>
      <c r="O197" s="99"/>
      <c r="P197" s="99"/>
      <c r="Q197" s="99"/>
      <c r="R197" s="99"/>
      <c r="S197" s="99"/>
      <c r="T197" s="99"/>
      <c r="U197" s="99"/>
      <c r="V197" s="99"/>
      <c r="W197" s="99"/>
      <c r="X197" s="99"/>
      <c r="Y197" s="99"/>
      <c r="Z197" s="100"/>
      <c r="AA197" s="101"/>
      <c r="AB197" s="99"/>
      <c r="AC197" s="99"/>
      <c r="AD197" s="99"/>
      <c r="AE197" s="99"/>
      <c r="AF197" s="99"/>
      <c r="AG197" s="100"/>
      <c r="AH197" s="101"/>
      <c r="AI197" s="99"/>
      <c r="AJ197" s="100"/>
      <c r="AK197" s="101"/>
      <c r="AL197" s="99"/>
      <c r="AM197" s="99"/>
      <c r="AN197" s="99"/>
      <c r="AO197" s="100"/>
      <c r="AP197" s="98"/>
      <c r="AQ197" s="99"/>
      <c r="AR197" s="99"/>
      <c r="AS197" s="99"/>
      <c r="AT197" s="99"/>
      <c r="AU197" s="99"/>
      <c r="AV197" s="99"/>
      <c r="AW197" s="99"/>
      <c r="AX197" s="99"/>
      <c r="AY197" s="99"/>
      <c r="AZ197" s="99"/>
      <c r="BA197" s="99"/>
      <c r="BB197" s="99"/>
      <c r="BC197" s="99"/>
      <c r="BD197" s="99"/>
      <c r="BE197" s="100"/>
      <c r="BF197" s="101"/>
      <c r="BG197" s="99"/>
      <c r="BH197" s="99"/>
      <c r="BI197" s="99"/>
      <c r="BJ197" s="99"/>
      <c r="BK197" s="99"/>
      <c r="BL197" s="100"/>
      <c r="BM197" s="101"/>
      <c r="BN197" s="99"/>
      <c r="BO197" s="100"/>
      <c r="BP197" s="101"/>
      <c r="BQ197" s="99"/>
      <c r="BR197" s="99"/>
      <c r="BS197" s="99"/>
      <c r="BT197" s="100"/>
      <c r="BU197" s="98"/>
      <c r="BV197" s="99"/>
      <c r="BW197" s="99"/>
      <c r="BX197" s="99"/>
      <c r="BY197" s="99"/>
      <c r="BZ197" s="99"/>
      <c r="CA197" s="99"/>
      <c r="CB197" s="99"/>
      <c r="CC197" s="99"/>
      <c r="CD197" s="99"/>
      <c r="CE197" s="99"/>
      <c r="CF197" s="99"/>
      <c r="CG197" s="99"/>
      <c r="CH197" s="99"/>
      <c r="CI197" s="99"/>
      <c r="CJ197" s="100"/>
      <c r="CK197" s="101"/>
      <c r="CL197" s="99"/>
      <c r="CM197" s="99"/>
      <c r="CN197" s="99"/>
      <c r="CO197" s="99"/>
      <c r="CP197" s="99"/>
      <c r="CQ197" s="100"/>
      <c r="CR197" s="101"/>
      <c r="CS197" s="99"/>
      <c r="CT197" s="100"/>
      <c r="CU197" s="101"/>
      <c r="CV197" s="99"/>
      <c r="CW197" s="99"/>
      <c r="CX197" s="99"/>
      <c r="CY197" s="99"/>
    </row>
    <row r="198" spans="1:103" hidden="1" outlineLevel="1" x14ac:dyDescent="0.2">
      <c r="A198" s="424" t="s">
        <v>730</v>
      </c>
      <c r="B198" s="401" t="str">
        <f>VLOOKUP(A198,[1]ACTIONS!$A$3:$B$238,2,0)</f>
        <v>Monitoring mensuel de la qualité de la colonne d'eau des eaux de surface</v>
      </c>
      <c r="C198" s="96"/>
      <c r="D198" s="96"/>
      <c r="E198" s="96"/>
      <c r="F198" s="96">
        <v>1292000</v>
      </c>
      <c r="G198" s="96"/>
      <c r="H198" s="96">
        <v>1292000</v>
      </c>
      <c r="I198" s="97"/>
      <c r="J198" s="97"/>
      <c r="K198" s="98"/>
      <c r="L198" s="99"/>
      <c r="M198" s="99"/>
      <c r="N198" s="99"/>
      <c r="O198" s="99"/>
      <c r="P198" s="99"/>
      <c r="Q198" s="99"/>
      <c r="R198" s="99"/>
      <c r="S198" s="99"/>
      <c r="T198" s="99"/>
      <c r="U198" s="99"/>
      <c r="V198" s="99"/>
      <c r="W198" s="99"/>
      <c r="X198" s="99"/>
      <c r="Y198" s="99"/>
      <c r="Z198" s="100"/>
      <c r="AA198" s="101"/>
      <c r="AB198" s="99"/>
      <c r="AC198" s="99"/>
      <c r="AD198" s="99"/>
      <c r="AE198" s="99"/>
      <c r="AF198" s="99"/>
      <c r="AG198" s="100"/>
      <c r="AH198" s="101"/>
      <c r="AI198" s="99"/>
      <c r="AJ198" s="100"/>
      <c r="AK198" s="101"/>
      <c r="AL198" s="99"/>
      <c r="AM198" s="99"/>
      <c r="AN198" s="99"/>
      <c r="AO198" s="100"/>
      <c r="AP198" s="98"/>
      <c r="AQ198" s="99"/>
      <c r="AR198" s="99"/>
      <c r="AS198" s="99"/>
      <c r="AT198" s="99"/>
      <c r="AU198" s="99"/>
      <c r="AV198" s="99"/>
      <c r="AW198" s="99"/>
      <c r="AX198" s="99"/>
      <c r="AY198" s="99"/>
      <c r="AZ198" s="99"/>
      <c r="BA198" s="99"/>
      <c r="BB198" s="99"/>
      <c r="BC198" s="99"/>
      <c r="BD198" s="99"/>
      <c r="BE198" s="100"/>
      <c r="BF198" s="101"/>
      <c r="BG198" s="99"/>
      <c r="BH198" s="99"/>
      <c r="BI198" s="99"/>
      <c r="BJ198" s="99"/>
      <c r="BK198" s="99"/>
      <c r="BL198" s="100"/>
      <c r="BM198" s="101"/>
      <c r="BN198" s="99"/>
      <c r="BO198" s="100"/>
      <c r="BP198" s="101"/>
      <c r="BQ198" s="99"/>
      <c r="BR198" s="99"/>
      <c r="BS198" s="99"/>
      <c r="BT198" s="100"/>
      <c r="BU198" s="98"/>
      <c r="BV198" s="99"/>
      <c r="BW198" s="99"/>
      <c r="BX198" s="99"/>
      <c r="BY198" s="99"/>
      <c r="BZ198" s="99"/>
      <c r="CA198" s="99"/>
      <c r="CB198" s="99"/>
      <c r="CC198" s="99"/>
      <c r="CD198" s="99"/>
      <c r="CE198" s="99"/>
      <c r="CF198" s="99"/>
      <c r="CG198" s="99"/>
      <c r="CH198" s="99"/>
      <c r="CI198" s="99"/>
      <c r="CJ198" s="100"/>
      <c r="CK198" s="101"/>
      <c r="CL198" s="99"/>
      <c r="CM198" s="99"/>
      <c r="CN198" s="99"/>
      <c r="CO198" s="99"/>
      <c r="CP198" s="99"/>
      <c r="CQ198" s="100"/>
      <c r="CR198" s="101"/>
      <c r="CS198" s="99"/>
      <c r="CT198" s="100"/>
      <c r="CU198" s="101"/>
      <c r="CV198" s="99"/>
      <c r="CW198" s="99"/>
      <c r="CX198" s="99"/>
      <c r="CY198" s="99"/>
    </row>
    <row r="199" spans="1:103" hidden="1" outlineLevel="1" x14ac:dyDescent="0.2">
      <c r="A199" s="424" t="s">
        <v>731</v>
      </c>
      <c r="B199" s="401" t="str">
        <f>VLOOKUP(A199,[1]ACTIONS!$A$3:$B$238,2,0)</f>
        <v xml:space="preserve">Monitoring de la qualité des sédiments des eaux de surface </v>
      </c>
      <c r="C199" s="96"/>
      <c r="D199" s="96"/>
      <c r="E199" s="96"/>
      <c r="F199" s="96">
        <v>95000</v>
      </c>
      <c r="G199" s="96"/>
      <c r="H199" s="96">
        <v>95000</v>
      </c>
      <c r="I199" s="97"/>
      <c r="J199" s="97"/>
      <c r="K199" s="98"/>
      <c r="L199" s="99"/>
      <c r="M199" s="99"/>
      <c r="N199" s="99"/>
      <c r="O199" s="99"/>
      <c r="P199" s="99"/>
      <c r="Q199" s="99"/>
      <c r="R199" s="99"/>
      <c r="S199" s="99"/>
      <c r="T199" s="99"/>
      <c r="U199" s="99"/>
      <c r="V199" s="99"/>
      <c r="W199" s="99"/>
      <c r="X199" s="99"/>
      <c r="Y199" s="99"/>
      <c r="Z199" s="100"/>
      <c r="AA199" s="101"/>
      <c r="AB199" s="99"/>
      <c r="AC199" s="99"/>
      <c r="AD199" s="99"/>
      <c r="AE199" s="99"/>
      <c r="AF199" s="99"/>
      <c r="AG199" s="100"/>
      <c r="AH199" s="101"/>
      <c r="AI199" s="99"/>
      <c r="AJ199" s="100"/>
      <c r="AK199" s="101"/>
      <c r="AL199" s="99"/>
      <c r="AM199" s="99"/>
      <c r="AN199" s="99"/>
      <c r="AO199" s="100"/>
      <c r="AP199" s="98"/>
      <c r="AQ199" s="99"/>
      <c r="AR199" s="99"/>
      <c r="AS199" s="99"/>
      <c r="AT199" s="99"/>
      <c r="AU199" s="99"/>
      <c r="AV199" s="99"/>
      <c r="AW199" s="99"/>
      <c r="AX199" s="99"/>
      <c r="AY199" s="99"/>
      <c r="AZ199" s="99"/>
      <c r="BA199" s="99"/>
      <c r="BB199" s="99"/>
      <c r="BC199" s="99"/>
      <c r="BD199" s="99"/>
      <c r="BE199" s="100"/>
      <c r="BF199" s="101"/>
      <c r="BG199" s="99"/>
      <c r="BH199" s="99"/>
      <c r="BI199" s="99"/>
      <c r="BJ199" s="99"/>
      <c r="BK199" s="99"/>
      <c r="BL199" s="100"/>
      <c r="BM199" s="101"/>
      <c r="BN199" s="99"/>
      <c r="BO199" s="100"/>
      <c r="BP199" s="101"/>
      <c r="BQ199" s="99"/>
      <c r="BR199" s="99"/>
      <c r="BS199" s="99"/>
      <c r="BT199" s="100"/>
      <c r="BU199" s="98"/>
      <c r="BV199" s="99"/>
      <c r="BW199" s="99"/>
      <c r="BX199" s="99"/>
      <c r="BY199" s="99"/>
      <c r="BZ199" s="99"/>
      <c r="CA199" s="99"/>
      <c r="CB199" s="99"/>
      <c r="CC199" s="99"/>
      <c r="CD199" s="99"/>
      <c r="CE199" s="99"/>
      <c r="CF199" s="99"/>
      <c r="CG199" s="99"/>
      <c r="CH199" s="99"/>
      <c r="CI199" s="99"/>
      <c r="CJ199" s="100"/>
      <c r="CK199" s="101"/>
      <c r="CL199" s="99"/>
      <c r="CM199" s="99"/>
      <c r="CN199" s="99"/>
      <c r="CO199" s="99"/>
      <c r="CP199" s="99"/>
      <c r="CQ199" s="100"/>
      <c r="CR199" s="101"/>
      <c r="CS199" s="99"/>
      <c r="CT199" s="100"/>
      <c r="CU199" s="101"/>
      <c r="CV199" s="99"/>
      <c r="CW199" s="99"/>
      <c r="CX199" s="99"/>
      <c r="CY199" s="99"/>
    </row>
    <row r="200" spans="1:103" hidden="1" outlineLevel="1" x14ac:dyDescent="0.2">
      <c r="A200" s="424" t="s">
        <v>732</v>
      </c>
      <c r="B200" s="401" t="str">
        <f>VLOOKUP(A200,[1]ACTIONS!$A$3:$B$238,2,0)</f>
        <v>Monitoring de la qualité du biote des eaux de surface</v>
      </c>
      <c r="C200" s="96"/>
      <c r="D200" s="96"/>
      <c r="E200" s="96"/>
      <c r="F200" s="96">
        <v>50000</v>
      </c>
      <c r="G200" s="96"/>
      <c r="H200" s="96">
        <v>50000</v>
      </c>
      <c r="I200" s="97"/>
      <c r="J200" s="97"/>
      <c r="K200" s="98"/>
      <c r="L200" s="99"/>
      <c r="M200" s="99"/>
      <c r="N200" s="99"/>
      <c r="O200" s="99"/>
      <c r="P200" s="99"/>
      <c r="Q200" s="99"/>
      <c r="R200" s="99"/>
      <c r="S200" s="99"/>
      <c r="T200" s="99"/>
      <c r="U200" s="99"/>
      <c r="V200" s="99"/>
      <c r="W200" s="99"/>
      <c r="X200" s="99"/>
      <c r="Y200" s="99"/>
      <c r="Z200" s="100"/>
      <c r="AA200" s="101"/>
      <c r="AB200" s="99"/>
      <c r="AC200" s="99"/>
      <c r="AD200" s="99"/>
      <c r="AE200" s="99"/>
      <c r="AF200" s="99"/>
      <c r="AG200" s="100"/>
      <c r="AH200" s="101"/>
      <c r="AI200" s="99"/>
      <c r="AJ200" s="100"/>
      <c r="AK200" s="101"/>
      <c r="AL200" s="99"/>
      <c r="AM200" s="99"/>
      <c r="AN200" s="99"/>
      <c r="AO200" s="100"/>
      <c r="AP200" s="98"/>
      <c r="AQ200" s="99"/>
      <c r="AR200" s="99"/>
      <c r="AS200" s="99"/>
      <c r="AT200" s="99"/>
      <c r="AU200" s="99"/>
      <c r="AV200" s="99"/>
      <c r="AW200" s="99"/>
      <c r="AX200" s="99"/>
      <c r="AY200" s="99"/>
      <c r="AZ200" s="99"/>
      <c r="BA200" s="99"/>
      <c r="BB200" s="99"/>
      <c r="BC200" s="99"/>
      <c r="BD200" s="99"/>
      <c r="BE200" s="100"/>
      <c r="BF200" s="101"/>
      <c r="BG200" s="99"/>
      <c r="BH200" s="99"/>
      <c r="BI200" s="99"/>
      <c r="BJ200" s="99"/>
      <c r="BK200" s="99"/>
      <c r="BL200" s="100"/>
      <c r="BM200" s="101"/>
      <c r="BN200" s="99"/>
      <c r="BO200" s="100"/>
      <c r="BP200" s="101"/>
      <c r="BQ200" s="99"/>
      <c r="BR200" s="99"/>
      <c r="BS200" s="99"/>
      <c r="BT200" s="100"/>
      <c r="BU200" s="98"/>
      <c r="BV200" s="99"/>
      <c r="BW200" s="99"/>
      <c r="BX200" s="99"/>
      <c r="BY200" s="99"/>
      <c r="BZ200" s="99"/>
      <c r="CA200" s="99"/>
      <c r="CB200" s="99"/>
      <c r="CC200" s="99"/>
      <c r="CD200" s="99"/>
      <c r="CE200" s="99"/>
      <c r="CF200" s="99"/>
      <c r="CG200" s="99"/>
      <c r="CH200" s="99"/>
      <c r="CI200" s="99"/>
      <c r="CJ200" s="100"/>
      <c r="CK200" s="101"/>
      <c r="CL200" s="99"/>
      <c r="CM200" s="99"/>
      <c r="CN200" s="99"/>
      <c r="CO200" s="99"/>
      <c r="CP200" s="99"/>
      <c r="CQ200" s="100"/>
      <c r="CR200" s="101"/>
      <c r="CS200" s="99"/>
      <c r="CT200" s="100"/>
      <c r="CU200" s="101"/>
      <c r="CV200" s="99"/>
      <c r="CW200" s="99"/>
      <c r="CX200" s="99"/>
      <c r="CY200" s="99"/>
    </row>
    <row r="201" spans="1:103" ht="25.5" hidden="1" outlineLevel="1" x14ac:dyDescent="0.2">
      <c r="A201" s="424" t="s">
        <v>733</v>
      </c>
      <c r="B201" s="401" t="str">
        <f>VLOOKUP(A201,[1]ACTIONS!$A$3:$B$238,2,0)</f>
        <v>Intégrer et valider les données de chaque nouvelle année de qualité de la colonne d'eau dans la base de données des eaux de surface</v>
      </c>
      <c r="C201" s="96"/>
      <c r="D201" s="96"/>
      <c r="E201" s="96"/>
      <c r="F201" s="96">
        <v>0</v>
      </c>
      <c r="G201" s="96"/>
      <c r="H201" s="96">
        <v>0</v>
      </c>
      <c r="I201" s="97"/>
      <c r="J201" s="97"/>
      <c r="K201" s="98"/>
      <c r="L201" s="99"/>
      <c r="M201" s="99"/>
      <c r="N201" s="99"/>
      <c r="O201" s="99"/>
      <c r="P201" s="99"/>
      <c r="Q201" s="99"/>
      <c r="R201" s="99"/>
      <c r="S201" s="99"/>
      <c r="T201" s="99"/>
      <c r="U201" s="99"/>
      <c r="V201" s="99"/>
      <c r="W201" s="99"/>
      <c r="X201" s="99"/>
      <c r="Y201" s="99"/>
      <c r="Z201" s="100"/>
      <c r="AA201" s="101"/>
      <c r="AB201" s="99"/>
      <c r="AC201" s="99"/>
      <c r="AD201" s="99"/>
      <c r="AE201" s="99"/>
      <c r="AF201" s="99"/>
      <c r="AG201" s="100"/>
      <c r="AH201" s="101"/>
      <c r="AI201" s="99"/>
      <c r="AJ201" s="100"/>
      <c r="AK201" s="101"/>
      <c r="AL201" s="99"/>
      <c r="AM201" s="99"/>
      <c r="AN201" s="99"/>
      <c r="AO201" s="100"/>
      <c r="AP201" s="98"/>
      <c r="AQ201" s="99"/>
      <c r="AR201" s="99"/>
      <c r="AS201" s="99"/>
      <c r="AT201" s="99"/>
      <c r="AU201" s="99"/>
      <c r="AV201" s="99"/>
      <c r="AW201" s="99"/>
      <c r="AX201" s="99"/>
      <c r="AY201" s="99"/>
      <c r="AZ201" s="99"/>
      <c r="BA201" s="99"/>
      <c r="BB201" s="99"/>
      <c r="BC201" s="99"/>
      <c r="BD201" s="99"/>
      <c r="BE201" s="100"/>
      <c r="BF201" s="101"/>
      <c r="BG201" s="99"/>
      <c r="BH201" s="99"/>
      <c r="BI201" s="99"/>
      <c r="BJ201" s="99"/>
      <c r="BK201" s="99"/>
      <c r="BL201" s="100"/>
      <c r="BM201" s="101"/>
      <c r="BN201" s="99"/>
      <c r="BO201" s="100"/>
      <c r="BP201" s="101"/>
      <c r="BQ201" s="99"/>
      <c r="BR201" s="99"/>
      <c r="BS201" s="99"/>
      <c r="BT201" s="100"/>
      <c r="BU201" s="98"/>
      <c r="BV201" s="99"/>
      <c r="BW201" s="99"/>
      <c r="BX201" s="99"/>
      <c r="BY201" s="99"/>
      <c r="BZ201" s="99"/>
      <c r="CA201" s="99"/>
      <c r="CB201" s="99"/>
      <c r="CC201" s="99"/>
      <c r="CD201" s="99"/>
      <c r="CE201" s="99"/>
      <c r="CF201" s="99"/>
      <c r="CG201" s="99"/>
      <c r="CH201" s="99"/>
      <c r="CI201" s="99"/>
      <c r="CJ201" s="100"/>
      <c r="CK201" s="101"/>
      <c r="CL201" s="99"/>
      <c r="CM201" s="99"/>
      <c r="CN201" s="99"/>
      <c r="CO201" s="99"/>
      <c r="CP201" s="99"/>
      <c r="CQ201" s="100"/>
      <c r="CR201" s="101"/>
      <c r="CS201" s="99"/>
      <c r="CT201" s="100"/>
      <c r="CU201" s="101"/>
      <c r="CV201" s="99"/>
      <c r="CW201" s="99"/>
      <c r="CX201" s="99"/>
      <c r="CY201" s="99"/>
    </row>
    <row r="202" spans="1:103" ht="25.5" hidden="1" outlineLevel="1" x14ac:dyDescent="0.2">
      <c r="A202" s="424" t="s">
        <v>734</v>
      </c>
      <c r="B202" s="401" t="str">
        <f>VLOOKUP(A202,[1]ACTIONS!$A$3:$B$238,2,0)</f>
        <v>Intégrer les données de qualité des sédiments et les données de qualité du biote dans la base de données des eaux de surface</v>
      </c>
      <c r="C202" s="96"/>
      <c r="D202" s="96"/>
      <c r="E202" s="96"/>
      <c r="F202" s="96">
        <v>0</v>
      </c>
      <c r="G202" s="96"/>
      <c r="H202" s="96">
        <v>0</v>
      </c>
      <c r="I202" s="97"/>
      <c r="J202" s="97"/>
      <c r="K202" s="98"/>
      <c r="L202" s="99"/>
      <c r="M202" s="99"/>
      <c r="N202" s="99"/>
      <c r="O202" s="99"/>
      <c r="P202" s="99"/>
      <c r="Q202" s="99"/>
      <c r="R202" s="99"/>
      <c r="S202" s="99"/>
      <c r="T202" s="99"/>
      <c r="U202" s="99"/>
      <c r="V202" s="99"/>
      <c r="W202" s="99"/>
      <c r="X202" s="99"/>
      <c r="Y202" s="99"/>
      <c r="Z202" s="100"/>
      <c r="AA202" s="101"/>
      <c r="AB202" s="99"/>
      <c r="AC202" s="99"/>
      <c r="AD202" s="99"/>
      <c r="AE202" s="99"/>
      <c r="AF202" s="99"/>
      <c r="AG202" s="100"/>
      <c r="AH202" s="101"/>
      <c r="AI202" s="99"/>
      <c r="AJ202" s="100"/>
      <c r="AK202" s="101"/>
      <c r="AL202" s="99"/>
      <c r="AM202" s="99"/>
      <c r="AN202" s="99"/>
      <c r="AO202" s="100"/>
      <c r="AP202" s="98"/>
      <c r="AQ202" s="99"/>
      <c r="AR202" s="99"/>
      <c r="AS202" s="99"/>
      <c r="AT202" s="99"/>
      <c r="AU202" s="99"/>
      <c r="AV202" s="99"/>
      <c r="AW202" s="99"/>
      <c r="AX202" s="99"/>
      <c r="AY202" s="99"/>
      <c r="AZ202" s="99"/>
      <c r="BA202" s="99"/>
      <c r="BB202" s="99"/>
      <c r="BC202" s="99"/>
      <c r="BD202" s="99"/>
      <c r="BE202" s="100"/>
      <c r="BF202" s="101"/>
      <c r="BG202" s="99"/>
      <c r="BH202" s="99"/>
      <c r="BI202" s="99"/>
      <c r="BJ202" s="99"/>
      <c r="BK202" s="99"/>
      <c r="BL202" s="100"/>
      <c r="BM202" s="101"/>
      <c r="BN202" s="99"/>
      <c r="BO202" s="100"/>
      <c r="BP202" s="101"/>
      <c r="BQ202" s="99"/>
      <c r="BR202" s="99"/>
      <c r="BS202" s="99"/>
      <c r="BT202" s="100"/>
      <c r="BU202" s="98"/>
      <c r="BV202" s="99"/>
      <c r="BW202" s="99"/>
      <c r="BX202" s="99"/>
      <c r="BY202" s="99"/>
      <c r="BZ202" s="99"/>
      <c r="CA202" s="99"/>
      <c r="CB202" s="99"/>
      <c r="CC202" s="99"/>
      <c r="CD202" s="99"/>
      <c r="CE202" s="99"/>
      <c r="CF202" s="99"/>
      <c r="CG202" s="99"/>
      <c r="CH202" s="99"/>
      <c r="CI202" s="99"/>
      <c r="CJ202" s="100"/>
      <c r="CK202" s="101"/>
      <c r="CL202" s="99"/>
      <c r="CM202" s="99"/>
      <c r="CN202" s="99"/>
      <c r="CO202" s="99"/>
      <c r="CP202" s="99"/>
      <c r="CQ202" s="100"/>
      <c r="CR202" s="101"/>
      <c r="CS202" s="99"/>
      <c r="CT202" s="100"/>
      <c r="CU202" s="101"/>
      <c r="CV202" s="99"/>
      <c r="CW202" s="99"/>
      <c r="CX202" s="99"/>
      <c r="CY202" s="99"/>
    </row>
    <row r="203" spans="1:103" hidden="1" outlineLevel="1" x14ac:dyDescent="0.2">
      <c r="A203" s="424" t="s">
        <v>735</v>
      </c>
      <c r="B203" s="401" t="str">
        <f>VLOOKUP(A203,[1]ACTIONS!$A$3:$B$238,2,0)</f>
        <v>Diffuser librement les données de surveillance de la qualité de l'eau</v>
      </c>
      <c r="C203" s="96"/>
      <c r="D203" s="96"/>
      <c r="E203" s="96"/>
      <c r="F203" s="96">
        <v>0</v>
      </c>
      <c r="G203" s="96"/>
      <c r="H203" s="96">
        <v>0</v>
      </c>
      <c r="I203" s="97"/>
      <c r="J203" s="97"/>
      <c r="K203" s="98"/>
      <c r="L203" s="99"/>
      <c r="M203" s="99"/>
      <c r="N203" s="99"/>
      <c r="O203" s="99"/>
      <c r="P203" s="99"/>
      <c r="Q203" s="99"/>
      <c r="R203" s="99"/>
      <c r="S203" s="99"/>
      <c r="T203" s="99"/>
      <c r="U203" s="99"/>
      <c r="V203" s="99"/>
      <c r="W203" s="99"/>
      <c r="X203" s="99"/>
      <c r="Y203" s="99"/>
      <c r="Z203" s="100"/>
      <c r="AA203" s="101"/>
      <c r="AB203" s="99"/>
      <c r="AC203" s="99"/>
      <c r="AD203" s="99"/>
      <c r="AE203" s="99"/>
      <c r="AF203" s="99"/>
      <c r="AG203" s="100"/>
      <c r="AH203" s="101"/>
      <c r="AI203" s="99"/>
      <c r="AJ203" s="100"/>
      <c r="AK203" s="101"/>
      <c r="AL203" s="99"/>
      <c r="AM203" s="99"/>
      <c r="AN203" s="99"/>
      <c r="AO203" s="100"/>
      <c r="AP203" s="98"/>
      <c r="AQ203" s="99"/>
      <c r="AR203" s="99"/>
      <c r="AS203" s="99"/>
      <c r="AT203" s="99"/>
      <c r="AU203" s="99"/>
      <c r="AV203" s="99"/>
      <c r="AW203" s="99"/>
      <c r="AX203" s="99"/>
      <c r="AY203" s="99"/>
      <c r="AZ203" s="99"/>
      <c r="BA203" s="99"/>
      <c r="BB203" s="99"/>
      <c r="BC203" s="99"/>
      <c r="BD203" s="99"/>
      <c r="BE203" s="100"/>
      <c r="BF203" s="101"/>
      <c r="BG203" s="99"/>
      <c r="BH203" s="99"/>
      <c r="BI203" s="99"/>
      <c r="BJ203" s="99"/>
      <c r="BK203" s="99"/>
      <c r="BL203" s="100"/>
      <c r="BM203" s="101"/>
      <c r="BN203" s="99"/>
      <c r="BO203" s="100"/>
      <c r="BP203" s="101"/>
      <c r="BQ203" s="99"/>
      <c r="BR203" s="99"/>
      <c r="BS203" s="99"/>
      <c r="BT203" s="100"/>
      <c r="BU203" s="98"/>
      <c r="BV203" s="99"/>
      <c r="BW203" s="99"/>
      <c r="BX203" s="99"/>
      <c r="BY203" s="99"/>
      <c r="BZ203" s="99"/>
      <c r="CA203" s="99"/>
      <c r="CB203" s="99"/>
      <c r="CC203" s="99"/>
      <c r="CD203" s="99"/>
      <c r="CE203" s="99"/>
      <c r="CF203" s="99"/>
      <c r="CG203" s="99"/>
      <c r="CH203" s="99"/>
      <c r="CI203" s="99"/>
      <c r="CJ203" s="100"/>
      <c r="CK203" s="101"/>
      <c r="CL203" s="99"/>
      <c r="CM203" s="99"/>
      <c r="CN203" s="99"/>
      <c r="CO203" s="99"/>
      <c r="CP203" s="99"/>
      <c r="CQ203" s="100"/>
      <c r="CR203" s="101"/>
      <c r="CS203" s="99"/>
      <c r="CT203" s="100"/>
      <c r="CU203" s="101"/>
      <c r="CV203" s="99"/>
      <c r="CW203" s="99"/>
      <c r="CX203" s="99"/>
      <c r="CY203" s="99"/>
    </row>
    <row r="204" spans="1:103" hidden="1" outlineLevel="1" x14ac:dyDescent="0.2">
      <c r="A204" s="424" t="s">
        <v>736</v>
      </c>
      <c r="B204" s="401" t="str">
        <f>VLOOKUP(A204,[1]ACTIONS!$A$3:$B$238,2,0)</f>
        <v>Inventorier les modifications hydromorphologiques des eaux de surface</v>
      </c>
      <c r="C204" s="96"/>
      <c r="D204" s="96"/>
      <c r="E204" s="96"/>
      <c r="F204" s="96">
        <v>0</v>
      </c>
      <c r="G204" s="96"/>
      <c r="H204" s="96">
        <v>0</v>
      </c>
      <c r="I204" s="97"/>
      <c r="J204" s="97"/>
      <c r="K204" s="98"/>
      <c r="L204" s="99"/>
      <c r="M204" s="99"/>
      <c r="N204" s="99"/>
      <c r="O204" s="99"/>
      <c r="P204" s="99"/>
      <c r="Q204" s="99"/>
      <c r="R204" s="99"/>
      <c r="S204" s="99"/>
      <c r="T204" s="99"/>
      <c r="U204" s="99"/>
      <c r="V204" s="99"/>
      <c r="W204" s="99"/>
      <c r="X204" s="99"/>
      <c r="Y204" s="99"/>
      <c r="Z204" s="100"/>
      <c r="AA204" s="101"/>
      <c r="AB204" s="99"/>
      <c r="AC204" s="99"/>
      <c r="AD204" s="99"/>
      <c r="AE204" s="99"/>
      <c r="AF204" s="99"/>
      <c r="AG204" s="100"/>
      <c r="AH204" s="101"/>
      <c r="AI204" s="99"/>
      <c r="AJ204" s="100"/>
      <c r="AK204" s="101"/>
      <c r="AL204" s="99"/>
      <c r="AM204" s="99"/>
      <c r="AN204" s="99"/>
      <c r="AO204" s="100"/>
      <c r="AP204" s="98"/>
      <c r="AQ204" s="99"/>
      <c r="AR204" s="99"/>
      <c r="AS204" s="99"/>
      <c r="AT204" s="99"/>
      <c r="AU204" s="99"/>
      <c r="AV204" s="99"/>
      <c r="AW204" s="99"/>
      <c r="AX204" s="99"/>
      <c r="AY204" s="99"/>
      <c r="AZ204" s="99"/>
      <c r="BA204" s="99"/>
      <c r="BB204" s="99"/>
      <c r="BC204" s="99"/>
      <c r="BD204" s="99"/>
      <c r="BE204" s="100"/>
      <c r="BF204" s="101"/>
      <c r="BG204" s="99"/>
      <c r="BH204" s="99"/>
      <c r="BI204" s="99"/>
      <c r="BJ204" s="99"/>
      <c r="BK204" s="99"/>
      <c r="BL204" s="100"/>
      <c r="BM204" s="101"/>
      <c r="BN204" s="99"/>
      <c r="BO204" s="100"/>
      <c r="BP204" s="101"/>
      <c r="BQ204" s="99"/>
      <c r="BR204" s="99"/>
      <c r="BS204" s="99"/>
      <c r="BT204" s="100"/>
      <c r="BU204" s="98"/>
      <c r="BV204" s="99"/>
      <c r="BW204" s="99"/>
      <c r="BX204" s="99"/>
      <c r="BY204" s="99"/>
      <c r="BZ204" s="99"/>
      <c r="CA204" s="99"/>
      <c r="CB204" s="99"/>
      <c r="CC204" s="99"/>
      <c r="CD204" s="99"/>
      <c r="CE204" s="99"/>
      <c r="CF204" s="99"/>
      <c r="CG204" s="99"/>
      <c r="CH204" s="99"/>
      <c r="CI204" s="99"/>
      <c r="CJ204" s="100"/>
      <c r="CK204" s="101"/>
      <c r="CL204" s="99"/>
      <c r="CM204" s="99"/>
      <c r="CN204" s="99"/>
      <c r="CO204" s="99"/>
      <c r="CP204" s="99"/>
      <c r="CQ204" s="100"/>
      <c r="CR204" s="101"/>
      <c r="CS204" s="99"/>
      <c r="CT204" s="100"/>
      <c r="CU204" s="101"/>
      <c r="CV204" s="99"/>
      <c r="CW204" s="99"/>
      <c r="CX204" s="99"/>
      <c r="CY204" s="99"/>
    </row>
    <row r="205" spans="1:103" hidden="1" outlineLevel="1" x14ac:dyDescent="0.2">
      <c r="A205" s="424" t="s">
        <v>737</v>
      </c>
      <c r="B205" s="401" t="str">
        <f>VLOOKUP(A205,[1]ACTIONS!$A$3:$B$238,2,0)</f>
        <v>Communiquer sur les états biologiques et hydromorphologiques via des publications de l'état de l'environnement</v>
      </c>
      <c r="C205" s="96"/>
      <c r="D205" s="96"/>
      <c r="E205" s="96"/>
      <c r="F205" s="96">
        <v>0</v>
      </c>
      <c r="G205" s="96"/>
      <c r="H205" s="96">
        <v>0</v>
      </c>
      <c r="I205" s="97"/>
      <c r="J205" s="97"/>
      <c r="K205" s="98"/>
      <c r="L205" s="99"/>
      <c r="M205" s="99"/>
      <c r="N205" s="99"/>
      <c r="O205" s="99"/>
      <c r="P205" s="99"/>
      <c r="Q205" s="99"/>
      <c r="R205" s="99"/>
      <c r="S205" s="99"/>
      <c r="T205" s="99"/>
      <c r="U205" s="99"/>
      <c r="V205" s="99"/>
      <c r="W205" s="99"/>
      <c r="X205" s="99"/>
      <c r="Y205" s="99"/>
      <c r="Z205" s="100"/>
      <c r="AA205" s="101"/>
      <c r="AB205" s="99"/>
      <c r="AC205" s="99"/>
      <c r="AD205" s="99"/>
      <c r="AE205" s="99"/>
      <c r="AF205" s="99"/>
      <c r="AG205" s="100"/>
      <c r="AH205" s="101"/>
      <c r="AI205" s="99"/>
      <c r="AJ205" s="100"/>
      <c r="AK205" s="101"/>
      <c r="AL205" s="99"/>
      <c r="AM205" s="99"/>
      <c r="AN205" s="99"/>
      <c r="AO205" s="100"/>
      <c r="AP205" s="98"/>
      <c r="AQ205" s="99"/>
      <c r="AR205" s="99"/>
      <c r="AS205" s="99"/>
      <c r="AT205" s="99"/>
      <c r="AU205" s="99"/>
      <c r="AV205" s="99"/>
      <c r="AW205" s="99"/>
      <c r="AX205" s="99"/>
      <c r="AY205" s="99"/>
      <c r="AZ205" s="99"/>
      <c r="BA205" s="99"/>
      <c r="BB205" s="99"/>
      <c r="BC205" s="99"/>
      <c r="BD205" s="99"/>
      <c r="BE205" s="100"/>
      <c r="BF205" s="101"/>
      <c r="BG205" s="99"/>
      <c r="BH205" s="99"/>
      <c r="BI205" s="99"/>
      <c r="BJ205" s="99"/>
      <c r="BK205" s="99"/>
      <c r="BL205" s="100"/>
      <c r="BM205" s="101"/>
      <c r="BN205" s="99"/>
      <c r="BO205" s="100"/>
      <c r="BP205" s="101"/>
      <c r="BQ205" s="99"/>
      <c r="BR205" s="99"/>
      <c r="BS205" s="99"/>
      <c r="BT205" s="100"/>
      <c r="BU205" s="98"/>
      <c r="BV205" s="99"/>
      <c r="BW205" s="99"/>
      <c r="BX205" s="99"/>
      <c r="BY205" s="99"/>
      <c r="BZ205" s="99"/>
      <c r="CA205" s="99"/>
      <c r="CB205" s="99"/>
      <c r="CC205" s="99"/>
      <c r="CD205" s="99"/>
      <c r="CE205" s="99"/>
      <c r="CF205" s="99"/>
      <c r="CG205" s="99"/>
      <c r="CH205" s="99"/>
      <c r="CI205" s="99"/>
      <c r="CJ205" s="100"/>
      <c r="CK205" s="101"/>
      <c r="CL205" s="99"/>
      <c r="CM205" s="99"/>
      <c r="CN205" s="99"/>
      <c r="CO205" s="99"/>
      <c r="CP205" s="99"/>
      <c r="CQ205" s="100"/>
      <c r="CR205" s="101"/>
      <c r="CS205" s="99"/>
      <c r="CT205" s="100"/>
      <c r="CU205" s="101"/>
      <c r="CV205" s="99"/>
      <c r="CW205" s="99"/>
      <c r="CX205" s="99"/>
      <c r="CY205" s="99"/>
    </row>
    <row r="206" spans="1:103" collapsed="1" x14ac:dyDescent="0.2">
      <c r="A206" s="394" t="s">
        <v>22</v>
      </c>
      <c r="B206" s="398" t="str">
        <f>VLOOKUP(A206,'1. Mesures'!$A$2:$B$116,2,0)</f>
        <v>Assurer et développer le réseau de monitoring qualitatif et quantitatif en continu FlowBru</v>
      </c>
      <c r="C206" s="96"/>
      <c r="D206" s="96"/>
      <c r="E206" s="96"/>
      <c r="F206" s="96">
        <f>SUM(F207:F218)</f>
        <v>3090000</v>
      </c>
      <c r="G206" s="96"/>
      <c r="H206" s="96">
        <f>SUM(H207:H218)</f>
        <v>3090000</v>
      </c>
      <c r="I206" s="97" t="s">
        <v>1596</v>
      </c>
      <c r="J206" s="97"/>
      <c r="K206" s="98"/>
      <c r="L206" s="99"/>
      <c r="M206" s="99"/>
      <c r="N206" s="99"/>
      <c r="O206" s="99"/>
      <c r="P206" s="99"/>
      <c r="Q206" s="99"/>
      <c r="R206" s="99"/>
      <c r="S206" s="99"/>
      <c r="T206" s="99"/>
      <c r="U206" s="99"/>
      <c r="V206" s="99"/>
      <c r="W206" s="99"/>
      <c r="X206" s="99"/>
      <c r="Y206" s="99"/>
      <c r="Z206" s="100"/>
      <c r="AA206" s="101"/>
      <c r="AB206" s="99"/>
      <c r="AC206" s="99"/>
      <c r="AD206" s="99"/>
      <c r="AE206" s="99"/>
      <c r="AF206" s="99"/>
      <c r="AG206" s="100"/>
      <c r="AH206" s="101"/>
      <c r="AI206" s="99"/>
      <c r="AJ206" s="100"/>
      <c r="AK206" s="101"/>
      <c r="AL206" s="99"/>
      <c r="AM206" s="99"/>
      <c r="AN206" s="99"/>
      <c r="AO206" s="100"/>
      <c r="AP206" s="98"/>
      <c r="AQ206" s="99"/>
      <c r="AR206" s="99"/>
      <c r="AS206" s="99"/>
      <c r="AT206" s="99"/>
      <c r="AU206" s="99"/>
      <c r="AV206" s="99"/>
      <c r="AW206" s="99"/>
      <c r="AX206" s="99"/>
      <c r="AY206" s="99"/>
      <c r="AZ206" s="99"/>
      <c r="BA206" s="99"/>
      <c r="BB206" s="99"/>
      <c r="BC206" s="99"/>
      <c r="BD206" s="99"/>
      <c r="BE206" s="100"/>
      <c r="BF206" s="101"/>
      <c r="BG206" s="99"/>
      <c r="BH206" s="99"/>
      <c r="BI206" s="99"/>
      <c r="BJ206" s="99"/>
      <c r="BK206" s="99"/>
      <c r="BL206" s="100"/>
      <c r="BM206" s="101"/>
      <c r="BN206" s="99"/>
      <c r="BO206" s="100"/>
      <c r="BP206" s="101"/>
      <c r="BQ206" s="99"/>
      <c r="BR206" s="99"/>
      <c r="BS206" s="99"/>
      <c r="BT206" s="100"/>
      <c r="BU206" s="98"/>
      <c r="BV206" s="99"/>
      <c r="BW206" s="99"/>
      <c r="BX206" s="99"/>
      <c r="BY206" s="99"/>
      <c r="BZ206" s="99"/>
      <c r="CA206" s="99"/>
      <c r="CB206" s="99"/>
      <c r="CC206" s="99"/>
      <c r="CD206" s="99"/>
      <c r="CE206" s="99"/>
      <c r="CF206" s="99"/>
      <c r="CG206" s="99"/>
      <c r="CH206" s="99"/>
      <c r="CI206" s="99"/>
      <c r="CJ206" s="100"/>
      <c r="CK206" s="101"/>
      <c r="CL206" s="99"/>
      <c r="CM206" s="99"/>
      <c r="CN206" s="99"/>
      <c r="CO206" s="99"/>
      <c r="CP206" s="99"/>
      <c r="CQ206" s="100"/>
      <c r="CR206" s="101"/>
      <c r="CS206" s="99"/>
      <c r="CT206" s="100"/>
      <c r="CU206" s="101"/>
      <c r="CV206" s="99"/>
      <c r="CW206" s="99"/>
      <c r="CX206" s="99"/>
      <c r="CY206" s="99"/>
    </row>
    <row r="207" spans="1:103" hidden="1" outlineLevel="1" x14ac:dyDescent="0.2">
      <c r="A207" s="424" t="s">
        <v>738</v>
      </c>
      <c r="B207" s="401" t="str">
        <f>VLOOKUP(A207,[1]ACTIONS!$A$3:$B$238,2,0)</f>
        <v>Entretien et réparation/remplacement des sondes du réseau Flowbru existantes et nouvellement installées</v>
      </c>
      <c r="C207" s="96"/>
      <c r="D207" s="96"/>
      <c r="E207" s="96"/>
      <c r="F207" s="96">
        <v>2000000</v>
      </c>
      <c r="G207" s="96"/>
      <c r="H207" s="96">
        <v>2000000</v>
      </c>
      <c r="I207" s="97"/>
      <c r="J207" s="97"/>
      <c r="K207" s="98"/>
      <c r="L207" s="99"/>
      <c r="M207" s="99"/>
      <c r="N207" s="99"/>
      <c r="O207" s="99"/>
      <c r="P207" s="99"/>
      <c r="Q207" s="99"/>
      <c r="R207" s="99"/>
      <c r="S207" s="99"/>
      <c r="T207" s="99"/>
      <c r="U207" s="99"/>
      <c r="V207" s="99"/>
      <c r="W207" s="99"/>
      <c r="X207" s="99"/>
      <c r="Y207" s="99"/>
      <c r="Z207" s="100"/>
      <c r="AA207" s="101"/>
      <c r="AB207" s="99"/>
      <c r="AC207" s="99"/>
      <c r="AD207" s="99"/>
      <c r="AE207" s="99"/>
      <c r="AF207" s="99"/>
      <c r="AG207" s="100"/>
      <c r="AH207" s="101"/>
      <c r="AI207" s="99"/>
      <c r="AJ207" s="100"/>
      <c r="AK207" s="101"/>
      <c r="AL207" s="99"/>
      <c r="AM207" s="99"/>
      <c r="AN207" s="99"/>
      <c r="AO207" s="100"/>
      <c r="AP207" s="98"/>
      <c r="AQ207" s="99"/>
      <c r="AR207" s="99"/>
      <c r="AS207" s="99"/>
      <c r="AT207" s="99"/>
      <c r="AU207" s="99"/>
      <c r="AV207" s="99"/>
      <c r="AW207" s="99"/>
      <c r="AX207" s="99"/>
      <c r="AY207" s="99"/>
      <c r="AZ207" s="99"/>
      <c r="BA207" s="99"/>
      <c r="BB207" s="99"/>
      <c r="BC207" s="99"/>
      <c r="BD207" s="99"/>
      <c r="BE207" s="100"/>
      <c r="BF207" s="101"/>
      <c r="BG207" s="99"/>
      <c r="BH207" s="99"/>
      <c r="BI207" s="99"/>
      <c r="BJ207" s="99"/>
      <c r="BK207" s="99"/>
      <c r="BL207" s="100"/>
      <c r="BM207" s="101"/>
      <c r="BN207" s="99"/>
      <c r="BO207" s="100"/>
      <c r="BP207" s="101"/>
      <c r="BQ207" s="99"/>
      <c r="BR207" s="99"/>
      <c r="BS207" s="99"/>
      <c r="BT207" s="100"/>
      <c r="BU207" s="98"/>
      <c r="BV207" s="99"/>
      <c r="BW207" s="99"/>
      <c r="BX207" s="99"/>
      <c r="BY207" s="99"/>
      <c r="BZ207" s="99"/>
      <c r="CA207" s="99"/>
      <c r="CB207" s="99"/>
      <c r="CC207" s="99"/>
      <c r="CD207" s="99"/>
      <c r="CE207" s="99"/>
      <c r="CF207" s="99"/>
      <c r="CG207" s="99"/>
      <c r="CH207" s="99"/>
      <c r="CI207" s="99"/>
      <c r="CJ207" s="100"/>
      <c r="CK207" s="101"/>
      <c r="CL207" s="99"/>
      <c r="CM207" s="99"/>
      <c r="CN207" s="99"/>
      <c r="CO207" s="99"/>
      <c r="CP207" s="99"/>
      <c r="CQ207" s="100"/>
      <c r="CR207" s="101"/>
      <c r="CS207" s="99"/>
      <c r="CT207" s="100"/>
      <c r="CU207" s="101"/>
      <c r="CV207" s="99"/>
      <c r="CW207" s="99"/>
      <c r="CX207" s="99"/>
      <c r="CY207" s="99"/>
    </row>
    <row r="208" spans="1:103" ht="38.25" hidden="1" outlineLevel="1" x14ac:dyDescent="0.2">
      <c r="A208" s="424" t="s">
        <v>739</v>
      </c>
      <c r="B208" s="401" t="str">
        <f>VLOOKUP(A208,[1]ACTIONS!$A$3:$B$238,2,0)</f>
        <v>Développer des alertes automatiques pour une liste de contacts (dont SBGE, Port, BE) en cas de modification alarmante de paramètres mesurés par les sondes Flowbru, en particulier concernant des chutes d'oxygène, ou hausses de conductivité ou de pigments de cyanobactéries</v>
      </c>
      <c r="C208" s="96"/>
      <c r="D208" s="96"/>
      <c r="E208" s="96"/>
      <c r="F208" s="96">
        <v>0</v>
      </c>
      <c r="G208" s="96"/>
      <c r="H208" s="96">
        <v>0</v>
      </c>
      <c r="I208" s="97"/>
      <c r="J208" s="97"/>
      <c r="K208" s="98"/>
      <c r="L208" s="99"/>
      <c r="M208" s="99"/>
      <c r="N208" s="99"/>
      <c r="O208" s="99"/>
      <c r="P208" s="99"/>
      <c r="Q208" s="99"/>
      <c r="R208" s="99"/>
      <c r="S208" s="99"/>
      <c r="T208" s="99"/>
      <c r="U208" s="99"/>
      <c r="V208" s="99"/>
      <c r="W208" s="99"/>
      <c r="X208" s="99"/>
      <c r="Y208" s="99"/>
      <c r="Z208" s="100"/>
      <c r="AA208" s="101"/>
      <c r="AB208" s="99"/>
      <c r="AC208" s="99"/>
      <c r="AD208" s="99"/>
      <c r="AE208" s="99"/>
      <c r="AF208" s="99"/>
      <c r="AG208" s="100"/>
      <c r="AH208" s="101"/>
      <c r="AI208" s="99"/>
      <c r="AJ208" s="100"/>
      <c r="AK208" s="101"/>
      <c r="AL208" s="99"/>
      <c r="AM208" s="99"/>
      <c r="AN208" s="99"/>
      <c r="AO208" s="100"/>
      <c r="AP208" s="98"/>
      <c r="AQ208" s="99"/>
      <c r="AR208" s="99"/>
      <c r="AS208" s="99"/>
      <c r="AT208" s="99"/>
      <c r="AU208" s="99"/>
      <c r="AV208" s="99"/>
      <c r="AW208" s="99"/>
      <c r="AX208" s="99"/>
      <c r="AY208" s="99"/>
      <c r="AZ208" s="99"/>
      <c r="BA208" s="99"/>
      <c r="BB208" s="99"/>
      <c r="BC208" s="99"/>
      <c r="BD208" s="99"/>
      <c r="BE208" s="100"/>
      <c r="BF208" s="101"/>
      <c r="BG208" s="99"/>
      <c r="BH208" s="99"/>
      <c r="BI208" s="99"/>
      <c r="BJ208" s="99"/>
      <c r="BK208" s="99"/>
      <c r="BL208" s="100"/>
      <c r="BM208" s="101"/>
      <c r="BN208" s="99"/>
      <c r="BO208" s="100"/>
      <c r="BP208" s="101"/>
      <c r="BQ208" s="99"/>
      <c r="BR208" s="99"/>
      <c r="BS208" s="99"/>
      <c r="BT208" s="100"/>
      <c r="BU208" s="98"/>
      <c r="BV208" s="99"/>
      <c r="BW208" s="99"/>
      <c r="BX208" s="99"/>
      <c r="BY208" s="99"/>
      <c r="BZ208" s="99"/>
      <c r="CA208" s="99"/>
      <c r="CB208" s="99"/>
      <c r="CC208" s="99"/>
      <c r="CD208" s="99"/>
      <c r="CE208" s="99"/>
      <c r="CF208" s="99"/>
      <c r="CG208" s="99"/>
      <c r="CH208" s="99"/>
      <c r="CI208" s="99"/>
      <c r="CJ208" s="100"/>
      <c r="CK208" s="101"/>
      <c r="CL208" s="99"/>
      <c r="CM208" s="99"/>
      <c r="CN208" s="99"/>
      <c r="CO208" s="99"/>
      <c r="CP208" s="99"/>
      <c r="CQ208" s="100"/>
      <c r="CR208" s="101"/>
      <c r="CS208" s="99"/>
      <c r="CT208" s="100"/>
      <c r="CU208" s="101"/>
      <c r="CV208" s="99"/>
      <c r="CW208" s="99"/>
      <c r="CX208" s="99"/>
      <c r="CY208" s="99"/>
    </row>
    <row r="209" spans="1:103" ht="25.5" hidden="1" outlineLevel="1" x14ac:dyDescent="0.2">
      <c r="A209" s="424" t="s">
        <v>740</v>
      </c>
      <c r="B209" s="401" t="str">
        <f>VLOOKUP(A209,[1]ACTIONS!$A$3:$B$238,2,0)</f>
        <v>Déployer 1-2 sondes supplémentaires, en amont/aval de la première sonde (prévue au niveau du bassin Béco), si celle-ci démontre que cela s'avère utile (dans la M 1.22.3)</v>
      </c>
      <c r="C209" s="96"/>
      <c r="D209" s="96"/>
      <c r="E209" s="96"/>
      <c r="F209" s="96">
        <v>20000</v>
      </c>
      <c r="G209" s="96"/>
      <c r="H209" s="96">
        <v>20000</v>
      </c>
      <c r="I209" s="97"/>
      <c r="J209" s="97"/>
      <c r="K209" s="98"/>
      <c r="L209" s="99"/>
      <c r="M209" s="99"/>
      <c r="N209" s="99"/>
      <c r="O209" s="99"/>
      <c r="P209" s="99"/>
      <c r="Q209" s="99"/>
      <c r="R209" s="99"/>
      <c r="S209" s="99"/>
      <c r="T209" s="99"/>
      <c r="U209" s="99"/>
      <c r="V209" s="99"/>
      <c r="W209" s="99"/>
      <c r="X209" s="99"/>
      <c r="Y209" s="99"/>
      <c r="Z209" s="100"/>
      <c r="AA209" s="101"/>
      <c r="AB209" s="99"/>
      <c r="AC209" s="99"/>
      <c r="AD209" s="99"/>
      <c r="AE209" s="99"/>
      <c r="AF209" s="99"/>
      <c r="AG209" s="100"/>
      <c r="AH209" s="101"/>
      <c r="AI209" s="99"/>
      <c r="AJ209" s="100"/>
      <c r="AK209" s="101"/>
      <c r="AL209" s="99"/>
      <c r="AM209" s="99"/>
      <c r="AN209" s="99"/>
      <c r="AO209" s="100"/>
      <c r="AP209" s="98"/>
      <c r="AQ209" s="99"/>
      <c r="AR209" s="99"/>
      <c r="AS209" s="99"/>
      <c r="AT209" s="99"/>
      <c r="AU209" s="99"/>
      <c r="AV209" s="99"/>
      <c r="AW209" s="99"/>
      <c r="AX209" s="99"/>
      <c r="AY209" s="99"/>
      <c r="AZ209" s="99"/>
      <c r="BA209" s="99"/>
      <c r="BB209" s="99"/>
      <c r="BC209" s="99"/>
      <c r="BD209" s="99"/>
      <c r="BE209" s="100"/>
      <c r="BF209" s="101"/>
      <c r="BG209" s="99"/>
      <c r="BH209" s="99"/>
      <c r="BI209" s="99"/>
      <c r="BJ209" s="99"/>
      <c r="BK209" s="99"/>
      <c r="BL209" s="100"/>
      <c r="BM209" s="101"/>
      <c r="BN209" s="99"/>
      <c r="BO209" s="100"/>
      <c r="BP209" s="101"/>
      <c r="BQ209" s="99"/>
      <c r="BR209" s="99"/>
      <c r="BS209" s="99"/>
      <c r="BT209" s="100"/>
      <c r="BU209" s="98"/>
      <c r="BV209" s="99"/>
      <c r="BW209" s="99"/>
      <c r="BX209" s="99"/>
      <c r="BY209" s="99"/>
      <c r="BZ209" s="99"/>
      <c r="CA209" s="99"/>
      <c r="CB209" s="99"/>
      <c r="CC209" s="99"/>
      <c r="CD209" s="99"/>
      <c r="CE209" s="99"/>
      <c r="CF209" s="99"/>
      <c r="CG209" s="99"/>
      <c r="CH209" s="99"/>
      <c r="CI209" s="99"/>
      <c r="CJ209" s="100"/>
      <c r="CK209" s="101"/>
      <c r="CL209" s="99"/>
      <c r="CM209" s="99"/>
      <c r="CN209" s="99"/>
      <c r="CO209" s="99"/>
      <c r="CP209" s="99"/>
      <c r="CQ209" s="100"/>
      <c r="CR209" s="101"/>
      <c r="CS209" s="99"/>
      <c r="CT209" s="100"/>
      <c r="CU209" s="101"/>
      <c r="CV209" s="99"/>
      <c r="CW209" s="99"/>
      <c r="CX209" s="99"/>
      <c r="CY209" s="99"/>
    </row>
    <row r="210" spans="1:103" hidden="1" outlineLevel="1" x14ac:dyDescent="0.2">
      <c r="A210" s="424" t="s">
        <v>1597</v>
      </c>
      <c r="B210" s="401" t="str">
        <f>VLOOKUP(A210,[1]ACTIONS!$A$3:$B$238,2,0)</f>
        <v>Analyser les données recueillies et les mettre à disposition du Port pour communiquer vers les usagers du Canal.</v>
      </c>
      <c r="C210" s="96"/>
      <c r="D210" s="96"/>
      <c r="E210" s="96"/>
      <c r="F210" s="96">
        <v>0</v>
      </c>
      <c r="G210" s="96"/>
      <c r="H210" s="96">
        <v>0</v>
      </c>
      <c r="I210" s="97"/>
      <c r="J210" s="97"/>
      <c r="K210" s="98"/>
      <c r="L210" s="99"/>
      <c r="M210" s="99"/>
      <c r="N210" s="99"/>
      <c r="O210" s="99"/>
      <c r="P210" s="99"/>
      <c r="Q210" s="99"/>
      <c r="R210" s="99"/>
      <c r="S210" s="99"/>
      <c r="T210" s="99"/>
      <c r="U210" s="99"/>
      <c r="V210" s="99"/>
      <c r="W210" s="99"/>
      <c r="X210" s="99"/>
      <c r="Y210" s="99"/>
      <c r="Z210" s="100"/>
      <c r="AA210" s="101"/>
      <c r="AB210" s="99"/>
      <c r="AC210" s="99"/>
      <c r="AD210" s="99"/>
      <c r="AE210" s="99"/>
      <c r="AF210" s="99"/>
      <c r="AG210" s="100"/>
      <c r="AH210" s="101"/>
      <c r="AI210" s="99"/>
      <c r="AJ210" s="100"/>
      <c r="AK210" s="101"/>
      <c r="AL210" s="99"/>
      <c r="AM210" s="99"/>
      <c r="AN210" s="99"/>
      <c r="AO210" s="100"/>
      <c r="AP210" s="98"/>
      <c r="AQ210" s="99"/>
      <c r="AR210" s="99"/>
      <c r="AS210" s="99"/>
      <c r="AT210" s="99"/>
      <c r="AU210" s="99"/>
      <c r="AV210" s="99"/>
      <c r="AW210" s="99"/>
      <c r="AX210" s="99"/>
      <c r="AY210" s="99"/>
      <c r="AZ210" s="99"/>
      <c r="BA210" s="99"/>
      <c r="BB210" s="99"/>
      <c r="BC210" s="99"/>
      <c r="BD210" s="99"/>
      <c r="BE210" s="100"/>
      <c r="BF210" s="101"/>
      <c r="BG210" s="99"/>
      <c r="BH210" s="99"/>
      <c r="BI210" s="99"/>
      <c r="BJ210" s="99"/>
      <c r="BK210" s="99"/>
      <c r="BL210" s="100"/>
      <c r="BM210" s="101"/>
      <c r="BN210" s="99"/>
      <c r="BO210" s="100"/>
      <c r="BP210" s="101"/>
      <c r="BQ210" s="99"/>
      <c r="BR210" s="99"/>
      <c r="BS210" s="99"/>
      <c r="BT210" s="100"/>
      <c r="BU210" s="98"/>
      <c r="BV210" s="99"/>
      <c r="BW210" s="99"/>
      <c r="BX210" s="99"/>
      <c r="BY210" s="99"/>
      <c r="BZ210" s="99"/>
      <c r="CA210" s="99"/>
      <c r="CB210" s="99"/>
      <c r="CC210" s="99"/>
      <c r="CD210" s="99"/>
      <c r="CE210" s="99"/>
      <c r="CF210" s="99"/>
      <c r="CG210" s="99"/>
      <c r="CH210" s="99"/>
      <c r="CI210" s="99"/>
      <c r="CJ210" s="100"/>
      <c r="CK210" s="101"/>
      <c r="CL210" s="99"/>
      <c r="CM210" s="99"/>
      <c r="CN210" s="99"/>
      <c r="CO210" s="99"/>
      <c r="CP210" s="99"/>
      <c r="CQ210" s="100"/>
      <c r="CR210" s="101"/>
      <c r="CS210" s="99"/>
      <c r="CT210" s="100"/>
      <c r="CU210" s="101"/>
      <c r="CV210" s="99"/>
      <c r="CW210" s="99"/>
      <c r="CX210" s="99"/>
      <c r="CY210" s="99"/>
    </row>
    <row r="211" spans="1:103" ht="51" hidden="1" outlineLevel="1" x14ac:dyDescent="0.2">
      <c r="A211" s="424" t="s">
        <v>742</v>
      </c>
      <c r="B211" s="401" t="str">
        <f>VLOOKUP(A211,[1]ACTIONS!$A$3:$B$238,2,0)</f>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v>
      </c>
      <c r="C211" s="96"/>
      <c r="D211" s="96"/>
      <c r="E211" s="96"/>
      <c r="F211" s="96">
        <v>335000</v>
      </c>
      <c r="G211" s="96"/>
      <c r="H211" s="96">
        <v>335000</v>
      </c>
      <c r="I211" s="97"/>
      <c r="J211" s="97"/>
      <c r="K211" s="98"/>
      <c r="L211" s="99"/>
      <c r="M211" s="99"/>
      <c r="N211" s="99"/>
      <c r="O211" s="99"/>
      <c r="P211" s="99"/>
      <c r="Q211" s="99"/>
      <c r="R211" s="99"/>
      <c r="S211" s="99"/>
      <c r="T211" s="99"/>
      <c r="U211" s="99"/>
      <c r="V211" s="99"/>
      <c r="W211" s="99"/>
      <c r="X211" s="99"/>
      <c r="Y211" s="99"/>
      <c r="Z211" s="100"/>
      <c r="AA211" s="101"/>
      <c r="AB211" s="99"/>
      <c r="AC211" s="99"/>
      <c r="AD211" s="99"/>
      <c r="AE211" s="99"/>
      <c r="AF211" s="99"/>
      <c r="AG211" s="100"/>
      <c r="AH211" s="101"/>
      <c r="AI211" s="99"/>
      <c r="AJ211" s="100"/>
      <c r="AK211" s="101"/>
      <c r="AL211" s="99"/>
      <c r="AM211" s="99"/>
      <c r="AN211" s="99"/>
      <c r="AO211" s="100"/>
      <c r="AP211" s="98"/>
      <c r="AQ211" s="99"/>
      <c r="AR211" s="99"/>
      <c r="AS211" s="99"/>
      <c r="AT211" s="99"/>
      <c r="AU211" s="99"/>
      <c r="AV211" s="99"/>
      <c r="AW211" s="99"/>
      <c r="AX211" s="99"/>
      <c r="AY211" s="99"/>
      <c r="AZ211" s="99"/>
      <c r="BA211" s="99"/>
      <c r="BB211" s="99"/>
      <c r="BC211" s="99"/>
      <c r="BD211" s="99"/>
      <c r="BE211" s="100"/>
      <c r="BF211" s="101"/>
      <c r="BG211" s="99"/>
      <c r="BH211" s="99"/>
      <c r="BI211" s="99"/>
      <c r="BJ211" s="99"/>
      <c r="BK211" s="99"/>
      <c r="BL211" s="100"/>
      <c r="BM211" s="101"/>
      <c r="BN211" s="99"/>
      <c r="BO211" s="100"/>
      <c r="BP211" s="101"/>
      <c r="BQ211" s="99"/>
      <c r="BR211" s="99"/>
      <c r="BS211" s="99"/>
      <c r="BT211" s="100"/>
      <c r="BU211" s="98"/>
      <c r="BV211" s="99"/>
      <c r="BW211" s="99"/>
      <c r="BX211" s="99"/>
      <c r="BY211" s="99"/>
      <c r="BZ211" s="99"/>
      <c r="CA211" s="99"/>
      <c r="CB211" s="99"/>
      <c r="CC211" s="99"/>
      <c r="CD211" s="99"/>
      <c r="CE211" s="99"/>
      <c r="CF211" s="99"/>
      <c r="CG211" s="99"/>
      <c r="CH211" s="99"/>
      <c r="CI211" s="99"/>
      <c r="CJ211" s="100"/>
      <c r="CK211" s="101"/>
      <c r="CL211" s="99"/>
      <c r="CM211" s="99"/>
      <c r="CN211" s="99"/>
      <c r="CO211" s="99"/>
      <c r="CP211" s="99"/>
      <c r="CQ211" s="100"/>
      <c r="CR211" s="101"/>
      <c r="CS211" s="99"/>
      <c r="CT211" s="100"/>
      <c r="CU211" s="101"/>
      <c r="CV211" s="99"/>
      <c r="CW211" s="99"/>
      <c r="CX211" s="99"/>
      <c r="CY211" s="99"/>
    </row>
    <row r="212" spans="1:103" ht="38.25" hidden="1" outlineLevel="1" x14ac:dyDescent="0.2">
      <c r="A212" s="424" t="s">
        <v>743</v>
      </c>
      <c r="B212" s="401" t="str">
        <f>VLOOKUP(A212,[1]ACTIONS!$A$3:$B$238,2,0)</f>
        <v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v>
      </c>
      <c r="C212" s="96"/>
      <c r="D212" s="96"/>
      <c r="E212" s="96"/>
      <c r="F212" s="96">
        <v>280000</v>
      </c>
      <c r="G212" s="96"/>
      <c r="H212" s="96">
        <v>280000</v>
      </c>
      <c r="I212" s="97"/>
      <c r="J212" s="97"/>
      <c r="K212" s="98"/>
      <c r="L212" s="99"/>
      <c r="M212" s="99"/>
      <c r="N212" s="99"/>
      <c r="O212" s="99"/>
      <c r="P212" s="99"/>
      <c r="Q212" s="99"/>
      <c r="R212" s="99"/>
      <c r="S212" s="99"/>
      <c r="T212" s="99"/>
      <c r="U212" s="99"/>
      <c r="V212" s="99"/>
      <c r="W212" s="99"/>
      <c r="X212" s="99"/>
      <c r="Y212" s="99"/>
      <c r="Z212" s="100"/>
      <c r="AA212" s="101"/>
      <c r="AB212" s="99"/>
      <c r="AC212" s="99"/>
      <c r="AD212" s="99"/>
      <c r="AE212" s="99"/>
      <c r="AF212" s="99"/>
      <c r="AG212" s="100"/>
      <c r="AH212" s="101"/>
      <c r="AI212" s="99"/>
      <c r="AJ212" s="100"/>
      <c r="AK212" s="101"/>
      <c r="AL212" s="99"/>
      <c r="AM212" s="99"/>
      <c r="AN212" s="99"/>
      <c r="AO212" s="100"/>
      <c r="AP212" s="98"/>
      <c r="AQ212" s="99"/>
      <c r="AR212" s="99"/>
      <c r="AS212" s="99"/>
      <c r="AT212" s="99"/>
      <c r="AU212" s="99"/>
      <c r="AV212" s="99"/>
      <c r="AW212" s="99"/>
      <c r="AX212" s="99"/>
      <c r="AY212" s="99"/>
      <c r="AZ212" s="99"/>
      <c r="BA212" s="99"/>
      <c r="BB212" s="99"/>
      <c r="BC212" s="99"/>
      <c r="BD212" s="99"/>
      <c r="BE212" s="100"/>
      <c r="BF212" s="101"/>
      <c r="BG212" s="99"/>
      <c r="BH212" s="99"/>
      <c r="BI212" s="99"/>
      <c r="BJ212" s="99"/>
      <c r="BK212" s="99"/>
      <c r="BL212" s="100"/>
      <c r="BM212" s="101"/>
      <c r="BN212" s="99"/>
      <c r="BO212" s="100"/>
      <c r="BP212" s="101"/>
      <c r="BQ212" s="99"/>
      <c r="BR212" s="99"/>
      <c r="BS212" s="99"/>
      <c r="BT212" s="100"/>
      <c r="BU212" s="98"/>
      <c r="BV212" s="99"/>
      <c r="BW212" s="99"/>
      <c r="BX212" s="99"/>
      <c r="BY212" s="99"/>
      <c r="BZ212" s="99"/>
      <c r="CA212" s="99"/>
      <c r="CB212" s="99"/>
      <c r="CC212" s="99"/>
      <c r="CD212" s="99"/>
      <c r="CE212" s="99"/>
      <c r="CF212" s="99"/>
      <c r="CG212" s="99"/>
      <c r="CH212" s="99"/>
      <c r="CI212" s="99"/>
      <c r="CJ212" s="100"/>
      <c r="CK212" s="101"/>
      <c r="CL212" s="99"/>
      <c r="CM212" s="99"/>
      <c r="CN212" s="99"/>
      <c r="CO212" s="99"/>
      <c r="CP212" s="99"/>
      <c r="CQ212" s="100"/>
      <c r="CR212" s="101"/>
      <c r="CS212" s="99"/>
      <c r="CT212" s="100"/>
      <c r="CU212" s="101"/>
      <c r="CV212" s="99"/>
      <c r="CW212" s="99"/>
      <c r="CX212" s="99"/>
      <c r="CY212" s="99"/>
    </row>
    <row r="213" spans="1:103" ht="25.5" hidden="1" outlineLevel="1" x14ac:dyDescent="0.2">
      <c r="A213" s="424" t="s">
        <v>744</v>
      </c>
      <c r="B213" s="401" t="str">
        <f>VLOOKUP(A213,[1]ACTIONS!$A$3:$B$238,2,0)</f>
        <v>Intégration des sondes déployées dans le site web de diffusion des données Flowbru et diffusion des données de toutes les sondes</v>
      </c>
      <c r="C213" s="96"/>
      <c r="D213" s="96"/>
      <c r="E213" s="96"/>
      <c r="F213" s="96">
        <v>30000</v>
      </c>
      <c r="G213" s="96"/>
      <c r="H213" s="96">
        <v>30000</v>
      </c>
      <c r="I213" s="97"/>
      <c r="J213" s="97"/>
      <c r="K213" s="98"/>
      <c r="L213" s="99"/>
      <c r="M213" s="99"/>
      <c r="N213" s="99"/>
      <c r="O213" s="99"/>
      <c r="P213" s="99"/>
      <c r="Q213" s="99"/>
      <c r="R213" s="99"/>
      <c r="S213" s="99"/>
      <c r="T213" s="99"/>
      <c r="U213" s="99"/>
      <c r="V213" s="99"/>
      <c r="W213" s="99"/>
      <c r="X213" s="99"/>
      <c r="Y213" s="99"/>
      <c r="Z213" s="100"/>
      <c r="AA213" s="101"/>
      <c r="AB213" s="99"/>
      <c r="AC213" s="99"/>
      <c r="AD213" s="99"/>
      <c r="AE213" s="99"/>
      <c r="AF213" s="99"/>
      <c r="AG213" s="100"/>
      <c r="AH213" s="101"/>
      <c r="AI213" s="99"/>
      <c r="AJ213" s="100"/>
      <c r="AK213" s="101"/>
      <c r="AL213" s="99"/>
      <c r="AM213" s="99"/>
      <c r="AN213" s="99"/>
      <c r="AO213" s="100"/>
      <c r="AP213" s="98"/>
      <c r="AQ213" s="99"/>
      <c r="AR213" s="99"/>
      <c r="AS213" s="99"/>
      <c r="AT213" s="99"/>
      <c r="AU213" s="99"/>
      <c r="AV213" s="99"/>
      <c r="AW213" s="99"/>
      <c r="AX213" s="99"/>
      <c r="AY213" s="99"/>
      <c r="AZ213" s="99"/>
      <c r="BA213" s="99"/>
      <c r="BB213" s="99"/>
      <c r="BC213" s="99"/>
      <c r="BD213" s="99"/>
      <c r="BE213" s="100"/>
      <c r="BF213" s="101"/>
      <c r="BG213" s="99"/>
      <c r="BH213" s="99"/>
      <c r="BI213" s="99"/>
      <c r="BJ213" s="99"/>
      <c r="BK213" s="99"/>
      <c r="BL213" s="100"/>
      <c r="BM213" s="101"/>
      <c r="BN213" s="99"/>
      <c r="BO213" s="100"/>
      <c r="BP213" s="101"/>
      <c r="BQ213" s="99"/>
      <c r="BR213" s="99"/>
      <c r="BS213" s="99"/>
      <c r="BT213" s="100"/>
      <c r="BU213" s="98"/>
      <c r="BV213" s="99"/>
      <c r="BW213" s="99"/>
      <c r="BX213" s="99"/>
      <c r="BY213" s="99"/>
      <c r="BZ213" s="99"/>
      <c r="CA213" s="99"/>
      <c r="CB213" s="99"/>
      <c r="CC213" s="99"/>
      <c r="CD213" s="99"/>
      <c r="CE213" s="99"/>
      <c r="CF213" s="99"/>
      <c r="CG213" s="99"/>
      <c r="CH213" s="99"/>
      <c r="CI213" s="99"/>
      <c r="CJ213" s="100"/>
      <c r="CK213" s="101"/>
      <c r="CL213" s="99"/>
      <c r="CM213" s="99"/>
      <c r="CN213" s="99"/>
      <c r="CO213" s="99"/>
      <c r="CP213" s="99"/>
      <c r="CQ213" s="100"/>
      <c r="CR213" s="101"/>
      <c r="CS213" s="99"/>
      <c r="CT213" s="100"/>
      <c r="CU213" s="101"/>
      <c r="CV213" s="99"/>
      <c r="CW213" s="99"/>
      <c r="CX213" s="99"/>
      <c r="CY213" s="99"/>
    </row>
    <row r="214" spans="1:103" hidden="1" outlineLevel="1" x14ac:dyDescent="0.2">
      <c r="A214" s="424" t="s">
        <v>745</v>
      </c>
      <c r="B214" s="401" t="str">
        <f>VLOOKUP(A214,[1]ACTIONS!$A$3:$B$238,2,0)</f>
        <v>Poursuivre la validation des nouvelles données pluviométriques, poursuivre la validation des données</v>
      </c>
      <c r="C214" s="96"/>
      <c r="D214" s="96"/>
      <c r="E214" s="96"/>
      <c r="F214" s="96">
        <v>30000</v>
      </c>
      <c r="G214" s="96"/>
      <c r="H214" s="96">
        <v>30000</v>
      </c>
      <c r="I214" s="97"/>
      <c r="J214" s="97"/>
      <c r="K214" s="98"/>
      <c r="L214" s="99"/>
      <c r="M214" s="99"/>
      <c r="N214" s="99"/>
      <c r="O214" s="99"/>
      <c r="P214" s="99"/>
      <c r="Q214" s="99"/>
      <c r="R214" s="99"/>
      <c r="S214" s="99"/>
      <c r="T214" s="99"/>
      <c r="U214" s="99"/>
      <c r="V214" s="99"/>
      <c r="W214" s="99"/>
      <c r="X214" s="99"/>
      <c r="Y214" s="99"/>
      <c r="Z214" s="100"/>
      <c r="AA214" s="101"/>
      <c r="AB214" s="99"/>
      <c r="AC214" s="99"/>
      <c r="AD214" s="99"/>
      <c r="AE214" s="99"/>
      <c r="AF214" s="99"/>
      <c r="AG214" s="100"/>
      <c r="AH214" s="101"/>
      <c r="AI214" s="99"/>
      <c r="AJ214" s="100"/>
      <c r="AK214" s="101"/>
      <c r="AL214" s="99"/>
      <c r="AM214" s="99"/>
      <c r="AN214" s="99"/>
      <c r="AO214" s="100"/>
      <c r="AP214" s="98"/>
      <c r="AQ214" s="99"/>
      <c r="AR214" s="99"/>
      <c r="AS214" s="99"/>
      <c r="AT214" s="99"/>
      <c r="AU214" s="99"/>
      <c r="AV214" s="99"/>
      <c r="AW214" s="99"/>
      <c r="AX214" s="99"/>
      <c r="AY214" s="99"/>
      <c r="AZ214" s="99"/>
      <c r="BA214" s="99"/>
      <c r="BB214" s="99"/>
      <c r="BC214" s="99"/>
      <c r="BD214" s="99"/>
      <c r="BE214" s="100"/>
      <c r="BF214" s="101"/>
      <c r="BG214" s="99"/>
      <c r="BH214" s="99"/>
      <c r="BI214" s="99"/>
      <c r="BJ214" s="99"/>
      <c r="BK214" s="99"/>
      <c r="BL214" s="100"/>
      <c r="BM214" s="101"/>
      <c r="BN214" s="99"/>
      <c r="BO214" s="100"/>
      <c r="BP214" s="101"/>
      <c r="BQ214" s="99"/>
      <c r="BR214" s="99"/>
      <c r="BS214" s="99"/>
      <c r="BT214" s="100"/>
      <c r="BU214" s="98"/>
      <c r="BV214" s="99"/>
      <c r="BW214" s="99"/>
      <c r="BX214" s="99"/>
      <c r="BY214" s="99"/>
      <c r="BZ214" s="99"/>
      <c r="CA214" s="99"/>
      <c r="CB214" s="99"/>
      <c r="CC214" s="99"/>
      <c r="CD214" s="99"/>
      <c r="CE214" s="99"/>
      <c r="CF214" s="99"/>
      <c r="CG214" s="99"/>
      <c r="CH214" s="99"/>
      <c r="CI214" s="99"/>
      <c r="CJ214" s="100"/>
      <c r="CK214" s="101"/>
      <c r="CL214" s="99"/>
      <c r="CM214" s="99"/>
      <c r="CN214" s="99"/>
      <c r="CO214" s="99"/>
      <c r="CP214" s="99"/>
      <c r="CQ214" s="100"/>
      <c r="CR214" s="101"/>
      <c r="CS214" s="99"/>
      <c r="CT214" s="100"/>
      <c r="CU214" s="101"/>
      <c r="CV214" s="99"/>
      <c r="CW214" s="99"/>
      <c r="CX214" s="99"/>
      <c r="CY214" s="99"/>
    </row>
    <row r="215" spans="1:103" ht="51" hidden="1" outlineLevel="1" x14ac:dyDescent="0.2">
      <c r="A215" s="424" t="s">
        <v>746</v>
      </c>
      <c r="B215" s="401" t="str">
        <f>VLOOKUP(A215,[1]ACTIONS!$A$3:$B$238,2,0)</f>
        <v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v>
      </c>
      <c r="C215" s="96"/>
      <c r="D215" s="96"/>
      <c r="E215" s="96"/>
      <c r="F215" s="96">
        <v>0</v>
      </c>
      <c r="G215" s="96"/>
      <c r="H215" s="96">
        <v>0</v>
      </c>
      <c r="I215" s="97"/>
      <c r="J215" s="97"/>
      <c r="K215" s="98"/>
      <c r="L215" s="99"/>
      <c r="M215" s="99"/>
      <c r="N215" s="99"/>
      <c r="O215" s="99"/>
      <c r="P215" s="99"/>
      <c r="Q215" s="99"/>
      <c r="R215" s="99"/>
      <c r="S215" s="99"/>
      <c r="T215" s="99"/>
      <c r="U215" s="99"/>
      <c r="V215" s="99"/>
      <c r="W215" s="99"/>
      <c r="X215" s="99"/>
      <c r="Y215" s="99"/>
      <c r="Z215" s="100"/>
      <c r="AA215" s="101"/>
      <c r="AB215" s="99"/>
      <c r="AC215" s="99"/>
      <c r="AD215" s="99"/>
      <c r="AE215" s="99"/>
      <c r="AF215" s="99"/>
      <c r="AG215" s="100"/>
      <c r="AH215" s="101"/>
      <c r="AI215" s="99"/>
      <c r="AJ215" s="100"/>
      <c r="AK215" s="101"/>
      <c r="AL215" s="99"/>
      <c r="AM215" s="99"/>
      <c r="AN215" s="99"/>
      <c r="AO215" s="100"/>
      <c r="AP215" s="98"/>
      <c r="AQ215" s="99"/>
      <c r="AR215" s="99"/>
      <c r="AS215" s="99"/>
      <c r="AT215" s="99"/>
      <c r="AU215" s="99"/>
      <c r="AV215" s="99"/>
      <c r="AW215" s="99"/>
      <c r="AX215" s="99"/>
      <c r="AY215" s="99"/>
      <c r="AZ215" s="99"/>
      <c r="BA215" s="99"/>
      <c r="BB215" s="99"/>
      <c r="BC215" s="99"/>
      <c r="BD215" s="99"/>
      <c r="BE215" s="100"/>
      <c r="BF215" s="101"/>
      <c r="BG215" s="99"/>
      <c r="BH215" s="99"/>
      <c r="BI215" s="99"/>
      <c r="BJ215" s="99"/>
      <c r="BK215" s="99"/>
      <c r="BL215" s="100"/>
      <c r="BM215" s="101"/>
      <c r="BN215" s="99"/>
      <c r="BO215" s="100"/>
      <c r="BP215" s="101"/>
      <c r="BQ215" s="99"/>
      <c r="BR215" s="99"/>
      <c r="BS215" s="99"/>
      <c r="BT215" s="100"/>
      <c r="BU215" s="98"/>
      <c r="BV215" s="99"/>
      <c r="BW215" s="99"/>
      <c r="BX215" s="99"/>
      <c r="BY215" s="99"/>
      <c r="BZ215" s="99"/>
      <c r="CA215" s="99"/>
      <c r="CB215" s="99"/>
      <c r="CC215" s="99"/>
      <c r="CD215" s="99"/>
      <c r="CE215" s="99"/>
      <c r="CF215" s="99"/>
      <c r="CG215" s="99"/>
      <c r="CH215" s="99"/>
      <c r="CI215" s="99"/>
      <c r="CJ215" s="100"/>
      <c r="CK215" s="101"/>
      <c r="CL215" s="99"/>
      <c r="CM215" s="99"/>
      <c r="CN215" s="99"/>
      <c r="CO215" s="99"/>
      <c r="CP215" s="99"/>
      <c r="CQ215" s="100"/>
      <c r="CR215" s="101"/>
      <c r="CS215" s="99"/>
      <c r="CT215" s="100"/>
      <c r="CU215" s="101"/>
      <c r="CV215" s="99"/>
      <c r="CW215" s="99"/>
      <c r="CX215" s="99"/>
      <c r="CY215" s="99"/>
    </row>
    <row r="216" spans="1:103" ht="25.5" hidden="1" outlineLevel="1" x14ac:dyDescent="0.2">
      <c r="A216" s="424" t="s">
        <v>747</v>
      </c>
      <c r="B216" s="401" t="str">
        <f>VLOOKUP(A216,[1]ACTIONS!$A$3:$B$238,2,0)</f>
        <v>Etude d'utilisation des données du réseau Flowbru afin d'améliorer la prédiction de la maintenance des sondes et la gestion dynamique.</v>
      </c>
      <c r="C216" s="96"/>
      <c r="D216" s="96"/>
      <c r="E216" s="96"/>
      <c r="F216" s="96">
        <v>315000</v>
      </c>
      <c r="G216" s="96"/>
      <c r="H216" s="96">
        <v>315000</v>
      </c>
      <c r="I216" s="97"/>
      <c r="J216" s="97"/>
      <c r="K216" s="98"/>
      <c r="L216" s="99"/>
      <c r="M216" s="99"/>
      <c r="N216" s="99"/>
      <c r="O216" s="99"/>
      <c r="P216" s="99"/>
      <c r="Q216" s="99"/>
      <c r="R216" s="99"/>
      <c r="S216" s="99"/>
      <c r="T216" s="99"/>
      <c r="U216" s="99"/>
      <c r="V216" s="99"/>
      <c r="W216" s="99"/>
      <c r="X216" s="99"/>
      <c r="Y216" s="99"/>
      <c r="Z216" s="100"/>
      <c r="AA216" s="101"/>
      <c r="AB216" s="99"/>
      <c r="AC216" s="99"/>
      <c r="AD216" s="99"/>
      <c r="AE216" s="99"/>
      <c r="AF216" s="99"/>
      <c r="AG216" s="100"/>
      <c r="AH216" s="101"/>
      <c r="AI216" s="99"/>
      <c r="AJ216" s="100"/>
      <c r="AK216" s="101"/>
      <c r="AL216" s="99"/>
      <c r="AM216" s="99"/>
      <c r="AN216" s="99"/>
      <c r="AO216" s="100"/>
      <c r="AP216" s="98"/>
      <c r="AQ216" s="99"/>
      <c r="AR216" s="99"/>
      <c r="AS216" s="99"/>
      <c r="AT216" s="99"/>
      <c r="AU216" s="99"/>
      <c r="AV216" s="99"/>
      <c r="AW216" s="99"/>
      <c r="AX216" s="99"/>
      <c r="AY216" s="99"/>
      <c r="AZ216" s="99"/>
      <c r="BA216" s="99"/>
      <c r="BB216" s="99"/>
      <c r="BC216" s="99"/>
      <c r="BD216" s="99"/>
      <c r="BE216" s="100"/>
      <c r="BF216" s="101"/>
      <c r="BG216" s="99"/>
      <c r="BH216" s="99"/>
      <c r="BI216" s="99"/>
      <c r="BJ216" s="99"/>
      <c r="BK216" s="99"/>
      <c r="BL216" s="100"/>
      <c r="BM216" s="101"/>
      <c r="BN216" s="99"/>
      <c r="BO216" s="100"/>
      <c r="BP216" s="101"/>
      <c r="BQ216" s="99"/>
      <c r="BR216" s="99"/>
      <c r="BS216" s="99"/>
      <c r="BT216" s="100"/>
      <c r="BU216" s="98"/>
      <c r="BV216" s="99"/>
      <c r="BW216" s="99"/>
      <c r="BX216" s="99"/>
      <c r="BY216" s="99"/>
      <c r="BZ216" s="99"/>
      <c r="CA216" s="99"/>
      <c r="CB216" s="99"/>
      <c r="CC216" s="99"/>
      <c r="CD216" s="99"/>
      <c r="CE216" s="99"/>
      <c r="CF216" s="99"/>
      <c r="CG216" s="99"/>
      <c r="CH216" s="99"/>
      <c r="CI216" s="99"/>
      <c r="CJ216" s="100"/>
      <c r="CK216" s="101"/>
      <c r="CL216" s="99"/>
      <c r="CM216" s="99"/>
      <c r="CN216" s="99"/>
      <c r="CO216" s="99"/>
      <c r="CP216" s="99"/>
      <c r="CQ216" s="100"/>
      <c r="CR216" s="101"/>
      <c r="CS216" s="99"/>
      <c r="CT216" s="100"/>
      <c r="CU216" s="101"/>
      <c r="CV216" s="99"/>
      <c r="CW216" s="99"/>
      <c r="CX216" s="99"/>
      <c r="CY216" s="99"/>
    </row>
    <row r="217" spans="1:103" ht="25.5" hidden="1" outlineLevel="1" x14ac:dyDescent="0.2">
      <c r="A217" s="424" t="s">
        <v>748</v>
      </c>
      <c r="B217" s="401" t="str">
        <f>VLOOKUP(A217,[1]ACTIONS!$A$3:$B$238,2,0)</f>
        <v>Amélioration du site web de diffusion des données mesurées Flowbru (https://www.Flowbru.be/fr) et développement d'une application mobile.</v>
      </c>
      <c r="C217" s="96"/>
      <c r="D217" s="96"/>
      <c r="E217" s="96"/>
      <c r="F217" s="96">
        <v>60000</v>
      </c>
      <c r="G217" s="96"/>
      <c r="H217" s="96">
        <v>60000</v>
      </c>
      <c r="I217" s="97"/>
      <c r="J217" s="97"/>
      <c r="K217" s="98"/>
      <c r="L217" s="99"/>
      <c r="M217" s="99"/>
      <c r="N217" s="99"/>
      <c r="O217" s="99"/>
      <c r="P217" s="99"/>
      <c r="Q217" s="99"/>
      <c r="R217" s="99"/>
      <c r="S217" s="99"/>
      <c r="T217" s="99"/>
      <c r="U217" s="99"/>
      <c r="V217" s="99"/>
      <c r="W217" s="99"/>
      <c r="X217" s="99"/>
      <c r="Y217" s="99"/>
      <c r="Z217" s="100"/>
      <c r="AA217" s="101"/>
      <c r="AB217" s="99"/>
      <c r="AC217" s="99"/>
      <c r="AD217" s="99"/>
      <c r="AE217" s="99"/>
      <c r="AF217" s="99"/>
      <c r="AG217" s="100"/>
      <c r="AH217" s="101"/>
      <c r="AI217" s="99"/>
      <c r="AJ217" s="100"/>
      <c r="AK217" s="101"/>
      <c r="AL217" s="99"/>
      <c r="AM217" s="99"/>
      <c r="AN217" s="99"/>
      <c r="AO217" s="100"/>
      <c r="AP217" s="98"/>
      <c r="AQ217" s="99"/>
      <c r="AR217" s="99"/>
      <c r="AS217" s="99"/>
      <c r="AT217" s="99"/>
      <c r="AU217" s="99"/>
      <c r="AV217" s="99"/>
      <c r="AW217" s="99"/>
      <c r="AX217" s="99"/>
      <c r="AY217" s="99"/>
      <c r="AZ217" s="99"/>
      <c r="BA217" s="99"/>
      <c r="BB217" s="99"/>
      <c r="BC217" s="99"/>
      <c r="BD217" s="99"/>
      <c r="BE217" s="100"/>
      <c r="BF217" s="101"/>
      <c r="BG217" s="99"/>
      <c r="BH217" s="99"/>
      <c r="BI217" s="99"/>
      <c r="BJ217" s="99"/>
      <c r="BK217" s="99"/>
      <c r="BL217" s="100"/>
      <c r="BM217" s="101"/>
      <c r="BN217" s="99"/>
      <c r="BO217" s="100"/>
      <c r="BP217" s="101"/>
      <c r="BQ217" s="99"/>
      <c r="BR217" s="99"/>
      <c r="BS217" s="99"/>
      <c r="BT217" s="100"/>
      <c r="BU217" s="98"/>
      <c r="BV217" s="99"/>
      <c r="BW217" s="99"/>
      <c r="BX217" s="99"/>
      <c r="BY217" s="99"/>
      <c r="BZ217" s="99"/>
      <c r="CA217" s="99"/>
      <c r="CB217" s="99"/>
      <c r="CC217" s="99"/>
      <c r="CD217" s="99"/>
      <c r="CE217" s="99"/>
      <c r="CF217" s="99"/>
      <c r="CG217" s="99"/>
      <c r="CH217" s="99"/>
      <c r="CI217" s="99"/>
      <c r="CJ217" s="100"/>
      <c r="CK217" s="101"/>
      <c r="CL217" s="99"/>
      <c r="CM217" s="99"/>
      <c r="CN217" s="99"/>
      <c r="CO217" s="99"/>
      <c r="CP217" s="99"/>
      <c r="CQ217" s="100"/>
      <c r="CR217" s="101"/>
      <c r="CS217" s="99"/>
      <c r="CT217" s="100"/>
      <c r="CU217" s="101"/>
      <c r="CV217" s="99"/>
      <c r="CW217" s="99"/>
      <c r="CX217" s="99"/>
      <c r="CY217" s="99"/>
    </row>
    <row r="218" spans="1:103" hidden="1" outlineLevel="1" x14ac:dyDescent="0.2">
      <c r="A218" s="424" t="s">
        <v>749</v>
      </c>
      <c r="B218" s="401" t="str">
        <f>VLOOKUP(A218,[1]ACTIONS!$A$3:$B$238,2,0)</f>
        <v>Développement d'une API du site Flowbru pour faciliter la diffusion des données</v>
      </c>
      <c r="C218" s="96"/>
      <c r="D218" s="96"/>
      <c r="E218" s="96"/>
      <c r="F218" s="96">
        <v>20000</v>
      </c>
      <c r="G218" s="96"/>
      <c r="H218" s="96">
        <v>20000</v>
      </c>
      <c r="I218" s="97"/>
      <c r="J218" s="97"/>
      <c r="K218" s="98"/>
      <c r="L218" s="99"/>
      <c r="M218" s="99"/>
      <c r="N218" s="99"/>
      <c r="O218" s="99"/>
      <c r="P218" s="99"/>
      <c r="Q218" s="99"/>
      <c r="R218" s="99"/>
      <c r="S218" s="99"/>
      <c r="T218" s="99"/>
      <c r="U218" s="99"/>
      <c r="V218" s="99"/>
      <c r="W218" s="99"/>
      <c r="X218" s="99"/>
      <c r="Y218" s="99"/>
      <c r="Z218" s="100"/>
      <c r="AA218" s="101"/>
      <c r="AB218" s="99"/>
      <c r="AC218" s="99"/>
      <c r="AD218" s="99"/>
      <c r="AE218" s="99"/>
      <c r="AF218" s="99"/>
      <c r="AG218" s="100"/>
      <c r="AH218" s="101"/>
      <c r="AI218" s="99"/>
      <c r="AJ218" s="100"/>
      <c r="AK218" s="101"/>
      <c r="AL218" s="99"/>
      <c r="AM218" s="99"/>
      <c r="AN218" s="99"/>
      <c r="AO218" s="100"/>
      <c r="AP218" s="98"/>
      <c r="AQ218" s="99"/>
      <c r="AR218" s="99"/>
      <c r="AS218" s="99"/>
      <c r="AT218" s="99"/>
      <c r="AU218" s="99"/>
      <c r="AV218" s="99"/>
      <c r="AW218" s="99"/>
      <c r="AX218" s="99"/>
      <c r="AY218" s="99"/>
      <c r="AZ218" s="99"/>
      <c r="BA218" s="99"/>
      <c r="BB218" s="99"/>
      <c r="BC218" s="99"/>
      <c r="BD218" s="99"/>
      <c r="BE218" s="100"/>
      <c r="BF218" s="101"/>
      <c r="BG218" s="99"/>
      <c r="BH218" s="99"/>
      <c r="BI218" s="99"/>
      <c r="BJ218" s="99"/>
      <c r="BK218" s="99"/>
      <c r="BL218" s="100"/>
      <c r="BM218" s="101"/>
      <c r="BN218" s="99"/>
      <c r="BO218" s="100"/>
      <c r="BP218" s="101"/>
      <c r="BQ218" s="99"/>
      <c r="BR218" s="99"/>
      <c r="BS218" s="99"/>
      <c r="BT218" s="100"/>
      <c r="BU218" s="98"/>
      <c r="BV218" s="99"/>
      <c r="BW218" s="99"/>
      <c r="BX218" s="99"/>
      <c r="BY218" s="99"/>
      <c r="BZ218" s="99"/>
      <c r="CA218" s="99"/>
      <c r="CB218" s="99"/>
      <c r="CC218" s="99"/>
      <c r="CD218" s="99"/>
      <c r="CE218" s="99"/>
      <c r="CF218" s="99"/>
      <c r="CG218" s="99"/>
      <c r="CH218" s="99"/>
      <c r="CI218" s="99"/>
      <c r="CJ218" s="100"/>
      <c r="CK218" s="101"/>
      <c r="CL218" s="99"/>
      <c r="CM218" s="99"/>
      <c r="CN218" s="99"/>
      <c r="CO218" s="99"/>
      <c r="CP218" s="99"/>
      <c r="CQ218" s="100"/>
      <c r="CR218" s="101"/>
      <c r="CS218" s="99"/>
      <c r="CT218" s="100"/>
      <c r="CU218" s="101"/>
      <c r="CV218" s="99"/>
      <c r="CW218" s="99"/>
      <c r="CX218" s="99"/>
      <c r="CY218" s="99"/>
    </row>
    <row r="219" spans="1:103" ht="25.5" x14ac:dyDescent="0.2">
      <c r="A219" s="402" t="s">
        <v>24</v>
      </c>
      <c r="B219" s="404" t="str">
        <f>VLOOKUP(A219,'1. Mesures'!$A$2:$B$116,2,0)</f>
        <v>Développer un modèle de qualité physico-chimique de la Senne pour déterminer les objectifs réalisables à long terme pour cette masse d’eau</v>
      </c>
      <c r="C219" s="96"/>
      <c r="D219" s="96"/>
      <c r="E219" s="96"/>
      <c r="F219" s="96"/>
      <c r="G219" s="96"/>
      <c r="H219" s="96"/>
      <c r="I219" s="97" t="s">
        <v>1596</v>
      </c>
      <c r="J219" s="97"/>
      <c r="K219" s="98"/>
      <c r="L219" s="99"/>
      <c r="M219" s="99"/>
      <c r="N219" s="99"/>
      <c r="O219" s="99"/>
      <c r="P219" s="99"/>
      <c r="Q219" s="99"/>
      <c r="R219" s="99"/>
      <c r="S219" s="99"/>
      <c r="T219" s="99"/>
      <c r="U219" s="99"/>
      <c r="V219" s="99"/>
      <c r="W219" s="99"/>
      <c r="X219" s="99"/>
      <c r="Y219" s="99"/>
      <c r="Z219" s="100"/>
      <c r="AA219" s="101"/>
      <c r="AB219" s="99"/>
      <c r="AC219" s="99"/>
      <c r="AD219" s="99"/>
      <c r="AE219" s="99"/>
      <c r="AF219" s="99"/>
      <c r="AG219" s="100"/>
      <c r="AH219" s="101"/>
      <c r="AI219" s="99"/>
      <c r="AJ219" s="100"/>
      <c r="AK219" s="101"/>
      <c r="AL219" s="99"/>
      <c r="AM219" s="99"/>
      <c r="AN219" s="99"/>
      <c r="AO219" s="100"/>
      <c r="AP219" s="98"/>
      <c r="AQ219" s="99"/>
      <c r="AR219" s="99"/>
      <c r="AS219" s="99"/>
      <c r="AT219" s="99"/>
      <c r="AU219" s="99"/>
      <c r="AV219" s="99"/>
      <c r="AW219" s="99"/>
      <c r="AX219" s="99"/>
      <c r="AY219" s="99"/>
      <c r="AZ219" s="99"/>
      <c r="BA219" s="99"/>
      <c r="BB219" s="99"/>
      <c r="BC219" s="99"/>
      <c r="BD219" s="99"/>
      <c r="BE219" s="100"/>
      <c r="BF219" s="101"/>
      <c r="BG219" s="99"/>
      <c r="BH219" s="99"/>
      <c r="BI219" s="99"/>
      <c r="BJ219" s="99"/>
      <c r="BK219" s="99"/>
      <c r="BL219" s="100"/>
      <c r="BM219" s="101"/>
      <c r="BN219" s="99"/>
      <c r="BO219" s="100"/>
      <c r="BP219" s="101"/>
      <c r="BQ219" s="99"/>
      <c r="BR219" s="99"/>
      <c r="BS219" s="99"/>
      <c r="BT219" s="100"/>
      <c r="BU219" s="98"/>
      <c r="BV219" s="99"/>
      <c r="BW219" s="99"/>
      <c r="BX219" s="99"/>
      <c r="BY219" s="99"/>
      <c r="BZ219" s="99"/>
      <c r="CA219" s="99"/>
      <c r="CB219" s="99"/>
      <c r="CC219" s="99"/>
      <c r="CD219" s="99"/>
      <c r="CE219" s="99"/>
      <c r="CF219" s="99"/>
      <c r="CG219" s="99"/>
      <c r="CH219" s="99"/>
      <c r="CI219" s="99"/>
      <c r="CJ219" s="100"/>
      <c r="CK219" s="101"/>
      <c r="CL219" s="99"/>
      <c r="CM219" s="99"/>
      <c r="CN219" s="99"/>
      <c r="CO219" s="99"/>
      <c r="CP219" s="99"/>
      <c r="CQ219" s="100"/>
      <c r="CR219" s="101"/>
      <c r="CS219" s="99"/>
      <c r="CT219" s="100"/>
      <c r="CU219" s="101"/>
      <c r="CV219" s="99"/>
      <c r="CW219" s="99"/>
      <c r="CX219" s="99"/>
      <c r="CY219" s="99"/>
    </row>
    <row r="220" spans="1:103" collapsed="1" x14ac:dyDescent="0.2">
      <c r="A220" s="394" t="s">
        <v>25</v>
      </c>
      <c r="B220" s="398" t="str">
        <f>VLOOKUP(A220,'1. Mesures'!$A$2:$B$116,2,0)</f>
        <v>Sensibiliser les Bruxellois.e.s à l'impact des certaines pratiques sur les eaux de surface</v>
      </c>
      <c r="C220" s="96"/>
      <c r="D220" s="96"/>
      <c r="E220" s="96"/>
      <c r="F220" s="96">
        <v>109333</v>
      </c>
      <c r="G220" s="96"/>
      <c r="H220" s="96">
        <v>109333</v>
      </c>
      <c r="I220" s="97" t="s">
        <v>1596</v>
      </c>
      <c r="J220" s="97"/>
      <c r="K220" s="98"/>
      <c r="L220" s="99"/>
      <c r="M220" s="99"/>
      <c r="N220" s="99"/>
      <c r="O220" s="99"/>
      <c r="P220" s="99"/>
      <c r="Q220" s="99"/>
      <c r="R220" s="99"/>
      <c r="S220" s="99"/>
      <c r="T220" s="99"/>
      <c r="U220" s="99"/>
      <c r="V220" s="99"/>
      <c r="W220" s="99"/>
      <c r="X220" s="99"/>
      <c r="Y220" s="99"/>
      <c r="Z220" s="100"/>
      <c r="AA220" s="101"/>
      <c r="AB220" s="99"/>
      <c r="AC220" s="99"/>
      <c r="AD220" s="99"/>
      <c r="AE220" s="99"/>
      <c r="AF220" s="99"/>
      <c r="AG220" s="100"/>
      <c r="AH220" s="101"/>
      <c r="AI220" s="99"/>
      <c r="AJ220" s="100"/>
      <c r="AK220" s="101"/>
      <c r="AL220" s="99"/>
      <c r="AM220" s="99"/>
      <c r="AN220" s="99"/>
      <c r="AO220" s="100"/>
      <c r="AP220" s="98"/>
      <c r="AQ220" s="99"/>
      <c r="AR220" s="99"/>
      <c r="AS220" s="99"/>
      <c r="AT220" s="99"/>
      <c r="AU220" s="99"/>
      <c r="AV220" s="99"/>
      <c r="AW220" s="99"/>
      <c r="AX220" s="99"/>
      <c r="AY220" s="99"/>
      <c r="AZ220" s="99"/>
      <c r="BA220" s="99"/>
      <c r="BB220" s="99"/>
      <c r="BC220" s="99"/>
      <c r="BD220" s="99"/>
      <c r="BE220" s="100"/>
      <c r="BF220" s="101"/>
      <c r="BG220" s="99"/>
      <c r="BH220" s="99"/>
      <c r="BI220" s="99"/>
      <c r="BJ220" s="99"/>
      <c r="BK220" s="99"/>
      <c r="BL220" s="100"/>
      <c r="BM220" s="101"/>
      <c r="BN220" s="99"/>
      <c r="BO220" s="100"/>
      <c r="BP220" s="101"/>
      <c r="BQ220" s="99"/>
      <c r="BR220" s="99"/>
      <c r="BS220" s="99"/>
      <c r="BT220" s="100"/>
      <c r="BU220" s="98"/>
      <c r="BV220" s="99"/>
      <c r="BW220" s="99"/>
      <c r="BX220" s="99"/>
      <c r="BY220" s="99"/>
      <c r="BZ220" s="99"/>
      <c r="CA220" s="99"/>
      <c r="CB220" s="99"/>
      <c r="CC220" s="99"/>
      <c r="CD220" s="99"/>
      <c r="CE220" s="99"/>
      <c r="CF220" s="99"/>
      <c r="CG220" s="99"/>
      <c r="CH220" s="99"/>
      <c r="CI220" s="99"/>
      <c r="CJ220" s="100"/>
      <c r="CK220" s="101"/>
      <c r="CL220" s="99"/>
      <c r="CM220" s="99"/>
      <c r="CN220" s="99"/>
      <c r="CO220" s="99"/>
      <c r="CP220" s="99"/>
      <c r="CQ220" s="100"/>
      <c r="CR220" s="101"/>
      <c r="CS220" s="99"/>
      <c r="CT220" s="100"/>
      <c r="CU220" s="101"/>
      <c r="CV220" s="99"/>
      <c r="CW220" s="99"/>
      <c r="CX220" s="99"/>
      <c r="CY220" s="99"/>
    </row>
    <row r="221" spans="1:103" ht="75" hidden="1" customHeight="1" outlineLevel="1" x14ac:dyDescent="0.2">
      <c r="A221" s="424" t="s">
        <v>750</v>
      </c>
      <c r="B221" s="401" t="str">
        <f>VLOOKUP(A221,'5.2 Actions'!$A$2:$B$720,2,0)</f>
        <v>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v>
      </c>
      <c r="C221" s="96"/>
      <c r="D221" s="96"/>
      <c r="E221" s="96"/>
      <c r="F221" s="96">
        <v>0</v>
      </c>
      <c r="G221" s="96"/>
      <c r="H221" s="96">
        <v>0</v>
      </c>
      <c r="I221" s="97"/>
      <c r="J221" s="97"/>
      <c r="K221" s="98"/>
      <c r="L221" s="99"/>
      <c r="M221" s="99"/>
      <c r="N221" s="99"/>
      <c r="O221" s="99"/>
      <c r="P221" s="99"/>
      <c r="Q221" s="99"/>
      <c r="R221" s="99"/>
      <c r="S221" s="99"/>
      <c r="T221" s="99"/>
      <c r="U221" s="99"/>
      <c r="V221" s="99"/>
      <c r="W221" s="99"/>
      <c r="X221" s="99"/>
      <c r="Y221" s="99"/>
      <c r="Z221" s="100"/>
      <c r="AA221" s="101"/>
      <c r="AB221" s="99"/>
      <c r="AC221" s="99"/>
      <c r="AD221" s="99"/>
      <c r="AE221" s="99"/>
      <c r="AF221" s="99"/>
      <c r="AG221" s="100"/>
      <c r="AH221" s="101"/>
      <c r="AI221" s="99"/>
      <c r="AJ221" s="100"/>
      <c r="AK221" s="101"/>
      <c r="AL221" s="99"/>
      <c r="AM221" s="99"/>
      <c r="AN221" s="99"/>
      <c r="AO221" s="100"/>
      <c r="AP221" s="98"/>
      <c r="AQ221" s="99"/>
      <c r="AR221" s="99"/>
      <c r="AS221" s="99"/>
      <c r="AT221" s="99"/>
      <c r="AU221" s="99"/>
      <c r="AV221" s="99"/>
      <c r="AW221" s="99"/>
      <c r="AX221" s="99"/>
      <c r="AY221" s="99"/>
      <c r="AZ221" s="99"/>
      <c r="BA221" s="99"/>
      <c r="BB221" s="99"/>
      <c r="BC221" s="99"/>
      <c r="BD221" s="99"/>
      <c r="BE221" s="100"/>
      <c r="BF221" s="101"/>
      <c r="BG221" s="99"/>
      <c r="BH221" s="99"/>
      <c r="BI221" s="99"/>
      <c r="BJ221" s="99"/>
      <c r="BK221" s="99"/>
      <c r="BL221" s="100"/>
      <c r="BM221" s="101"/>
      <c r="BN221" s="99"/>
      <c r="BO221" s="100"/>
      <c r="BP221" s="101"/>
      <c r="BQ221" s="99"/>
      <c r="BR221" s="99"/>
      <c r="BS221" s="99"/>
      <c r="BT221" s="100"/>
      <c r="BU221" s="98"/>
      <c r="BV221" s="99"/>
      <c r="BW221" s="99"/>
      <c r="BX221" s="99"/>
      <c r="BY221" s="99"/>
      <c r="BZ221" s="99"/>
      <c r="CA221" s="99"/>
      <c r="CB221" s="99"/>
      <c r="CC221" s="99"/>
      <c r="CD221" s="99"/>
      <c r="CE221" s="99"/>
      <c r="CF221" s="99"/>
      <c r="CG221" s="99"/>
      <c r="CH221" s="99"/>
      <c r="CI221" s="99"/>
      <c r="CJ221" s="100"/>
      <c r="CK221" s="101"/>
      <c r="CL221" s="99"/>
      <c r="CM221" s="99"/>
      <c r="CN221" s="99"/>
      <c r="CO221" s="99"/>
      <c r="CP221" s="99"/>
      <c r="CQ221" s="100"/>
      <c r="CR221" s="101"/>
      <c r="CS221" s="99"/>
      <c r="CT221" s="100"/>
      <c r="CU221" s="101"/>
      <c r="CV221" s="99"/>
      <c r="CW221" s="99"/>
      <c r="CX221" s="99"/>
      <c r="CY221" s="99"/>
    </row>
    <row r="222" spans="1:103" ht="38.25" hidden="1" outlineLevel="1" x14ac:dyDescent="0.2">
      <c r="A222" s="424" t="s">
        <v>751</v>
      </c>
      <c r="B222" s="401" t="str">
        <f>VLOOKUP(A222,'5.2 Actions'!$A$2:$B$720,2,0)</f>
        <v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v>
      </c>
      <c r="C222" s="96"/>
      <c r="D222" s="96"/>
      <c r="E222" s="96"/>
      <c r="F222" s="96">
        <v>0</v>
      </c>
      <c r="G222" s="96"/>
      <c r="H222" s="96">
        <v>0</v>
      </c>
      <c r="I222" s="97"/>
      <c r="J222" s="97"/>
      <c r="K222" s="98"/>
      <c r="L222" s="99"/>
      <c r="M222" s="99"/>
      <c r="N222" s="99"/>
      <c r="O222" s="99"/>
      <c r="P222" s="99"/>
      <c r="Q222" s="99"/>
      <c r="R222" s="99"/>
      <c r="S222" s="99"/>
      <c r="T222" s="99"/>
      <c r="U222" s="99"/>
      <c r="V222" s="99"/>
      <c r="W222" s="99"/>
      <c r="X222" s="99"/>
      <c r="Y222" s="99"/>
      <c r="Z222" s="100"/>
      <c r="AA222" s="101"/>
      <c r="AB222" s="99"/>
      <c r="AC222" s="99"/>
      <c r="AD222" s="99"/>
      <c r="AE222" s="99"/>
      <c r="AF222" s="99"/>
      <c r="AG222" s="100"/>
      <c r="AH222" s="101"/>
      <c r="AI222" s="99"/>
      <c r="AJ222" s="100"/>
      <c r="AK222" s="101"/>
      <c r="AL222" s="99"/>
      <c r="AM222" s="99"/>
      <c r="AN222" s="99"/>
      <c r="AO222" s="100"/>
      <c r="AP222" s="98"/>
      <c r="AQ222" s="99"/>
      <c r="AR222" s="99"/>
      <c r="AS222" s="99"/>
      <c r="AT222" s="99"/>
      <c r="AU222" s="99"/>
      <c r="AV222" s="99"/>
      <c r="AW222" s="99"/>
      <c r="AX222" s="99"/>
      <c r="AY222" s="99"/>
      <c r="AZ222" s="99"/>
      <c r="BA222" s="99"/>
      <c r="BB222" s="99"/>
      <c r="BC222" s="99"/>
      <c r="BD222" s="99"/>
      <c r="BE222" s="100"/>
      <c r="BF222" s="101"/>
      <c r="BG222" s="99"/>
      <c r="BH222" s="99"/>
      <c r="BI222" s="99"/>
      <c r="BJ222" s="99"/>
      <c r="BK222" s="99"/>
      <c r="BL222" s="100"/>
      <c r="BM222" s="101"/>
      <c r="BN222" s="99"/>
      <c r="BO222" s="100"/>
      <c r="BP222" s="101"/>
      <c r="BQ222" s="99"/>
      <c r="BR222" s="99"/>
      <c r="BS222" s="99"/>
      <c r="BT222" s="100"/>
      <c r="BU222" s="98"/>
      <c r="BV222" s="99"/>
      <c r="BW222" s="99"/>
      <c r="BX222" s="99"/>
      <c r="BY222" s="99"/>
      <c r="BZ222" s="99"/>
      <c r="CA222" s="99"/>
      <c r="CB222" s="99"/>
      <c r="CC222" s="99"/>
      <c r="CD222" s="99"/>
      <c r="CE222" s="99"/>
      <c r="CF222" s="99"/>
      <c r="CG222" s="99"/>
      <c r="CH222" s="99"/>
      <c r="CI222" s="99"/>
      <c r="CJ222" s="100"/>
      <c r="CK222" s="101"/>
      <c r="CL222" s="99"/>
      <c r="CM222" s="99"/>
      <c r="CN222" s="99"/>
      <c r="CO222" s="99"/>
      <c r="CP222" s="99"/>
      <c r="CQ222" s="100"/>
      <c r="CR222" s="101"/>
      <c r="CS222" s="99"/>
      <c r="CT222" s="100"/>
      <c r="CU222" s="101"/>
      <c r="CV222" s="99"/>
      <c r="CW222" s="99"/>
      <c r="CX222" s="99"/>
      <c r="CY222" s="99"/>
    </row>
    <row r="223" spans="1:103" ht="25.5" hidden="1" outlineLevel="1" x14ac:dyDescent="0.2">
      <c r="A223" s="424" t="s">
        <v>752</v>
      </c>
      <c r="B223" s="401" t="str">
        <f>VLOOKUP(A223,'5.2 Actions'!$A$2:$B$720,2,0)</f>
        <v>Fournir des informations au Musée des égouts (et autres lieux culturels relayant la préservation de l’environnement) en tant que lieu de sensibilisation</v>
      </c>
      <c r="C223" s="96"/>
      <c r="D223" s="96"/>
      <c r="E223" s="96"/>
      <c r="F223" s="96">
        <v>0</v>
      </c>
      <c r="G223" s="96"/>
      <c r="H223" s="96">
        <v>0</v>
      </c>
      <c r="I223" s="97"/>
      <c r="J223" s="97"/>
      <c r="K223" s="98"/>
      <c r="L223" s="99"/>
      <c r="M223" s="99"/>
      <c r="N223" s="99"/>
      <c r="O223" s="99"/>
      <c r="P223" s="99"/>
      <c r="Q223" s="99"/>
      <c r="R223" s="99"/>
      <c r="S223" s="99"/>
      <c r="T223" s="99"/>
      <c r="U223" s="99"/>
      <c r="V223" s="99"/>
      <c r="W223" s="99"/>
      <c r="X223" s="99"/>
      <c r="Y223" s="99"/>
      <c r="Z223" s="100"/>
      <c r="AA223" s="101"/>
      <c r="AB223" s="99"/>
      <c r="AC223" s="99"/>
      <c r="AD223" s="99"/>
      <c r="AE223" s="99"/>
      <c r="AF223" s="99"/>
      <c r="AG223" s="100"/>
      <c r="AH223" s="101"/>
      <c r="AI223" s="99"/>
      <c r="AJ223" s="100"/>
      <c r="AK223" s="101"/>
      <c r="AL223" s="99"/>
      <c r="AM223" s="99"/>
      <c r="AN223" s="99"/>
      <c r="AO223" s="100"/>
      <c r="AP223" s="98"/>
      <c r="AQ223" s="99"/>
      <c r="AR223" s="99"/>
      <c r="AS223" s="99"/>
      <c r="AT223" s="99"/>
      <c r="AU223" s="99"/>
      <c r="AV223" s="99"/>
      <c r="AW223" s="99"/>
      <c r="AX223" s="99"/>
      <c r="AY223" s="99"/>
      <c r="AZ223" s="99"/>
      <c r="BA223" s="99"/>
      <c r="BB223" s="99"/>
      <c r="BC223" s="99"/>
      <c r="BD223" s="99"/>
      <c r="BE223" s="100"/>
      <c r="BF223" s="101"/>
      <c r="BG223" s="99"/>
      <c r="BH223" s="99"/>
      <c r="BI223" s="99"/>
      <c r="BJ223" s="99"/>
      <c r="BK223" s="99"/>
      <c r="BL223" s="100"/>
      <c r="BM223" s="101"/>
      <c r="BN223" s="99"/>
      <c r="BO223" s="100"/>
      <c r="BP223" s="101"/>
      <c r="BQ223" s="99"/>
      <c r="BR223" s="99"/>
      <c r="BS223" s="99"/>
      <c r="BT223" s="100"/>
      <c r="BU223" s="98"/>
      <c r="BV223" s="99"/>
      <c r="BW223" s="99"/>
      <c r="BX223" s="99"/>
      <c r="BY223" s="99"/>
      <c r="BZ223" s="99"/>
      <c r="CA223" s="99"/>
      <c r="CB223" s="99"/>
      <c r="CC223" s="99"/>
      <c r="CD223" s="99"/>
      <c r="CE223" s="99"/>
      <c r="CF223" s="99"/>
      <c r="CG223" s="99"/>
      <c r="CH223" s="99"/>
      <c r="CI223" s="99"/>
      <c r="CJ223" s="100"/>
      <c r="CK223" s="101"/>
      <c r="CL223" s="99"/>
      <c r="CM223" s="99"/>
      <c r="CN223" s="99"/>
      <c r="CO223" s="99"/>
      <c r="CP223" s="99"/>
      <c r="CQ223" s="100"/>
      <c r="CR223" s="101"/>
      <c r="CS223" s="99"/>
      <c r="CT223" s="100"/>
      <c r="CU223" s="101"/>
      <c r="CV223" s="99"/>
      <c r="CW223" s="99"/>
      <c r="CX223" s="99"/>
      <c r="CY223" s="99"/>
    </row>
    <row r="224" spans="1:103" ht="51" hidden="1" outlineLevel="1" x14ac:dyDescent="0.2">
      <c r="A224" s="424" t="s">
        <v>753</v>
      </c>
      <c r="B224" s="401" t="str">
        <f>VLOOKUP(A224,'5.2 Actions'!$A$2:$B$720,2,0)</f>
        <v>Promouvoir l’interdiction d’utilisation des objets en plastique à usage unique et favoriser les alternatives réutilisables/durables.
Cette mesure s’établira en synergie également avec la M.7.2 sur la promotion de l’eau de distribution pour les besoins potables.</v>
      </c>
      <c r="C224" s="96"/>
      <c r="D224" s="96"/>
      <c r="E224" s="96"/>
      <c r="F224" s="96">
        <v>20000</v>
      </c>
      <c r="G224" s="96"/>
      <c r="H224" s="96">
        <v>20000</v>
      </c>
      <c r="I224" s="97"/>
      <c r="J224" s="97"/>
      <c r="K224" s="98"/>
      <c r="L224" s="99"/>
      <c r="M224" s="99"/>
      <c r="N224" s="99"/>
      <c r="O224" s="99"/>
      <c r="P224" s="99"/>
      <c r="Q224" s="99"/>
      <c r="R224" s="99"/>
      <c r="S224" s="99"/>
      <c r="T224" s="99"/>
      <c r="U224" s="99"/>
      <c r="V224" s="99"/>
      <c r="W224" s="99"/>
      <c r="X224" s="99"/>
      <c r="Y224" s="99"/>
      <c r="Z224" s="100"/>
      <c r="AA224" s="101"/>
      <c r="AB224" s="99"/>
      <c r="AC224" s="99"/>
      <c r="AD224" s="99"/>
      <c r="AE224" s="99"/>
      <c r="AF224" s="99"/>
      <c r="AG224" s="100"/>
      <c r="AH224" s="101"/>
      <c r="AI224" s="99"/>
      <c r="AJ224" s="100"/>
      <c r="AK224" s="101"/>
      <c r="AL224" s="99"/>
      <c r="AM224" s="99"/>
      <c r="AN224" s="99"/>
      <c r="AO224" s="100"/>
      <c r="AP224" s="98"/>
      <c r="AQ224" s="99"/>
      <c r="AR224" s="99"/>
      <c r="AS224" s="99"/>
      <c r="AT224" s="99"/>
      <c r="AU224" s="99"/>
      <c r="AV224" s="99"/>
      <c r="AW224" s="99"/>
      <c r="AX224" s="99"/>
      <c r="AY224" s="99"/>
      <c r="AZ224" s="99"/>
      <c r="BA224" s="99"/>
      <c r="BB224" s="99"/>
      <c r="BC224" s="99"/>
      <c r="BD224" s="99"/>
      <c r="BE224" s="100"/>
      <c r="BF224" s="101"/>
      <c r="BG224" s="99"/>
      <c r="BH224" s="99"/>
      <c r="BI224" s="99"/>
      <c r="BJ224" s="99"/>
      <c r="BK224" s="99"/>
      <c r="BL224" s="100"/>
      <c r="BM224" s="101"/>
      <c r="BN224" s="99"/>
      <c r="BO224" s="100"/>
      <c r="BP224" s="101"/>
      <c r="BQ224" s="99"/>
      <c r="BR224" s="99"/>
      <c r="BS224" s="99"/>
      <c r="BT224" s="100"/>
      <c r="BU224" s="98"/>
      <c r="BV224" s="99"/>
      <c r="BW224" s="99"/>
      <c r="BX224" s="99"/>
      <c r="BY224" s="99"/>
      <c r="BZ224" s="99"/>
      <c r="CA224" s="99"/>
      <c r="CB224" s="99"/>
      <c r="CC224" s="99"/>
      <c r="CD224" s="99"/>
      <c r="CE224" s="99"/>
      <c r="CF224" s="99"/>
      <c r="CG224" s="99"/>
      <c r="CH224" s="99"/>
      <c r="CI224" s="99"/>
      <c r="CJ224" s="100"/>
      <c r="CK224" s="101"/>
      <c r="CL224" s="99"/>
      <c r="CM224" s="99"/>
      <c r="CN224" s="99"/>
      <c r="CO224" s="99"/>
      <c r="CP224" s="99"/>
      <c r="CQ224" s="100"/>
      <c r="CR224" s="101"/>
      <c r="CS224" s="99"/>
      <c r="CT224" s="100"/>
      <c r="CU224" s="101"/>
      <c r="CV224" s="99"/>
      <c r="CW224" s="99"/>
      <c r="CX224" s="99"/>
      <c r="CY224" s="99"/>
    </row>
    <row r="225" spans="1:103" ht="25.5" hidden="1" outlineLevel="1" x14ac:dyDescent="0.2">
      <c r="A225" s="424" t="s">
        <v>754</v>
      </c>
      <c r="B225" s="401" t="str">
        <f>VLOOKUP(A225,'5.2 Actions'!$A$2:$B$720,2,0)</f>
        <v xml:space="preserve">Renforcer les campagnes existantes sur la promotion de la propreté urbaine via différents outils et canaux de communication </v>
      </c>
      <c r="C225" s="96"/>
      <c r="D225" s="96"/>
      <c r="E225" s="96"/>
      <c r="F225" s="96"/>
      <c r="G225" s="96"/>
      <c r="H225" s="96"/>
      <c r="I225" s="97"/>
      <c r="J225" s="97"/>
      <c r="K225" s="98"/>
      <c r="L225" s="99"/>
      <c r="M225" s="99"/>
      <c r="N225" s="99"/>
      <c r="O225" s="99"/>
      <c r="P225" s="99"/>
      <c r="Q225" s="99"/>
      <c r="R225" s="99"/>
      <c r="S225" s="99"/>
      <c r="T225" s="99"/>
      <c r="U225" s="99"/>
      <c r="V225" s="99"/>
      <c r="W225" s="99"/>
      <c r="X225" s="99"/>
      <c r="Y225" s="99"/>
      <c r="Z225" s="100"/>
      <c r="AA225" s="101"/>
      <c r="AB225" s="99"/>
      <c r="AC225" s="99"/>
      <c r="AD225" s="99"/>
      <c r="AE225" s="99"/>
      <c r="AF225" s="99"/>
      <c r="AG225" s="100"/>
      <c r="AH225" s="101"/>
      <c r="AI225" s="99"/>
      <c r="AJ225" s="100"/>
      <c r="AK225" s="101"/>
      <c r="AL225" s="99"/>
      <c r="AM225" s="99"/>
      <c r="AN225" s="99"/>
      <c r="AO225" s="100"/>
      <c r="AP225" s="98"/>
      <c r="AQ225" s="99"/>
      <c r="AR225" s="99"/>
      <c r="AS225" s="99"/>
      <c r="AT225" s="99"/>
      <c r="AU225" s="99"/>
      <c r="AV225" s="99"/>
      <c r="AW225" s="99"/>
      <c r="AX225" s="99"/>
      <c r="AY225" s="99"/>
      <c r="AZ225" s="99"/>
      <c r="BA225" s="99"/>
      <c r="BB225" s="99"/>
      <c r="BC225" s="99"/>
      <c r="BD225" s="99"/>
      <c r="BE225" s="100"/>
      <c r="BF225" s="101"/>
      <c r="BG225" s="99"/>
      <c r="BH225" s="99"/>
      <c r="BI225" s="99"/>
      <c r="BJ225" s="99"/>
      <c r="BK225" s="99"/>
      <c r="BL225" s="100"/>
      <c r="BM225" s="101"/>
      <c r="BN225" s="99"/>
      <c r="BO225" s="100"/>
      <c r="BP225" s="101"/>
      <c r="BQ225" s="99"/>
      <c r="BR225" s="99"/>
      <c r="BS225" s="99"/>
      <c r="BT225" s="100"/>
      <c r="BU225" s="98"/>
      <c r="BV225" s="99"/>
      <c r="BW225" s="99"/>
      <c r="BX225" s="99"/>
      <c r="BY225" s="99"/>
      <c r="BZ225" s="99"/>
      <c r="CA225" s="99"/>
      <c r="CB225" s="99"/>
      <c r="CC225" s="99"/>
      <c r="CD225" s="99"/>
      <c r="CE225" s="99"/>
      <c r="CF225" s="99"/>
      <c r="CG225" s="99"/>
      <c r="CH225" s="99"/>
      <c r="CI225" s="99"/>
      <c r="CJ225" s="100"/>
      <c r="CK225" s="101"/>
      <c r="CL225" s="99"/>
      <c r="CM225" s="99"/>
      <c r="CN225" s="99"/>
      <c r="CO225" s="99"/>
      <c r="CP225" s="99"/>
      <c r="CQ225" s="100"/>
      <c r="CR225" s="101"/>
      <c r="CS225" s="99"/>
      <c r="CT225" s="100"/>
      <c r="CU225" s="101"/>
      <c r="CV225" s="99"/>
      <c r="CW225" s="99"/>
      <c r="CX225" s="99"/>
      <c r="CY225" s="99"/>
    </row>
    <row r="226" spans="1:103" hidden="1" outlineLevel="1" x14ac:dyDescent="0.2">
      <c r="A226" s="424" t="s">
        <v>2602</v>
      </c>
      <c r="B226" s="401" t="str">
        <f>VLOOKUP(A226,'5.2 Actions'!$A$2:$B$720,2,0)</f>
        <v xml:space="preserve">Poursuivre et renforcer la campagne « Ici commence la mer » tout en considérant l’opportunité d’en étendre le périmètre. </v>
      </c>
      <c r="C226" s="96"/>
      <c r="D226" s="96"/>
      <c r="E226" s="96"/>
      <c r="F226" s="96"/>
      <c r="G226" s="96"/>
      <c r="H226" s="96"/>
      <c r="I226" s="97"/>
      <c r="J226" s="97"/>
      <c r="K226" s="98"/>
      <c r="L226" s="99"/>
      <c r="M226" s="99"/>
      <c r="N226" s="99"/>
      <c r="O226" s="99"/>
      <c r="P226" s="99"/>
      <c r="Q226" s="99"/>
      <c r="R226" s="99"/>
      <c r="S226" s="99"/>
      <c r="T226" s="99"/>
      <c r="U226" s="99"/>
      <c r="V226" s="99"/>
      <c r="W226" s="99"/>
      <c r="X226" s="99"/>
      <c r="Y226" s="99"/>
      <c r="Z226" s="100"/>
      <c r="AA226" s="101"/>
      <c r="AB226" s="99"/>
      <c r="AC226" s="99"/>
      <c r="AD226" s="99"/>
      <c r="AE226" s="99"/>
      <c r="AF226" s="99"/>
      <c r="AG226" s="100"/>
      <c r="AH226" s="101"/>
      <c r="AI226" s="99"/>
      <c r="AJ226" s="100"/>
      <c r="AK226" s="101"/>
      <c r="AL226" s="99"/>
      <c r="AM226" s="99"/>
      <c r="AN226" s="99"/>
      <c r="AO226" s="100"/>
      <c r="AP226" s="98"/>
      <c r="AQ226" s="99"/>
      <c r="AR226" s="99"/>
      <c r="AS226" s="99"/>
      <c r="AT226" s="99"/>
      <c r="AU226" s="99"/>
      <c r="AV226" s="99"/>
      <c r="AW226" s="99"/>
      <c r="AX226" s="99"/>
      <c r="AY226" s="99"/>
      <c r="AZ226" s="99"/>
      <c r="BA226" s="99"/>
      <c r="BB226" s="99"/>
      <c r="BC226" s="99"/>
      <c r="BD226" s="99"/>
      <c r="BE226" s="100"/>
      <c r="BF226" s="101"/>
      <c r="BG226" s="99"/>
      <c r="BH226" s="99"/>
      <c r="BI226" s="99"/>
      <c r="BJ226" s="99"/>
      <c r="BK226" s="99"/>
      <c r="BL226" s="100"/>
      <c r="BM226" s="101"/>
      <c r="BN226" s="99"/>
      <c r="BO226" s="100"/>
      <c r="BP226" s="101"/>
      <c r="BQ226" s="99"/>
      <c r="BR226" s="99"/>
      <c r="BS226" s="99"/>
      <c r="BT226" s="100"/>
      <c r="BU226" s="98"/>
      <c r="BV226" s="99"/>
      <c r="BW226" s="99"/>
      <c r="BX226" s="99"/>
      <c r="BY226" s="99"/>
      <c r="BZ226" s="99"/>
      <c r="CA226" s="99"/>
      <c r="CB226" s="99"/>
      <c r="CC226" s="99"/>
      <c r="CD226" s="99"/>
      <c r="CE226" s="99"/>
      <c r="CF226" s="99"/>
      <c r="CG226" s="99"/>
      <c r="CH226" s="99"/>
      <c r="CI226" s="99"/>
      <c r="CJ226" s="100"/>
      <c r="CK226" s="101"/>
      <c r="CL226" s="99"/>
      <c r="CM226" s="99"/>
      <c r="CN226" s="99"/>
      <c r="CO226" s="99"/>
      <c r="CP226" s="99"/>
      <c r="CQ226" s="100"/>
      <c r="CR226" s="101"/>
      <c r="CS226" s="99"/>
      <c r="CT226" s="100"/>
      <c r="CU226" s="101"/>
      <c r="CV226" s="99"/>
      <c r="CW226" s="99"/>
      <c r="CX226" s="99"/>
      <c r="CY226" s="99"/>
    </row>
    <row r="227" spans="1:103" ht="25.5" hidden="1" outlineLevel="1" x14ac:dyDescent="0.2">
      <c r="A227" s="424" t="s">
        <v>2603</v>
      </c>
      <c r="B227" s="401" t="str">
        <f>VLOOKUP(A227,'5.2 Actions'!$A$2:$B$720,2,0)</f>
        <v>Développement d’une application de sensibilisation et de participation citoyenne à l’observation de pollution des eaux de surface</v>
      </c>
      <c r="C227" s="96"/>
      <c r="D227" s="96"/>
      <c r="E227" s="96"/>
      <c r="F227" s="96"/>
      <c r="G227" s="96"/>
      <c r="H227" s="96"/>
      <c r="I227" s="97"/>
      <c r="J227" s="97"/>
      <c r="K227" s="98"/>
      <c r="L227" s="99"/>
      <c r="M227" s="99"/>
      <c r="N227" s="99"/>
      <c r="O227" s="99"/>
      <c r="P227" s="99"/>
      <c r="Q227" s="99"/>
      <c r="R227" s="99"/>
      <c r="S227" s="99"/>
      <c r="T227" s="99"/>
      <c r="U227" s="99"/>
      <c r="V227" s="99"/>
      <c r="W227" s="99"/>
      <c r="X227" s="99"/>
      <c r="Y227" s="99"/>
      <c r="Z227" s="100"/>
      <c r="AA227" s="101"/>
      <c r="AB227" s="99"/>
      <c r="AC227" s="99"/>
      <c r="AD227" s="99"/>
      <c r="AE227" s="99"/>
      <c r="AF227" s="99"/>
      <c r="AG227" s="100"/>
      <c r="AH227" s="101"/>
      <c r="AI227" s="99"/>
      <c r="AJ227" s="100"/>
      <c r="AK227" s="101"/>
      <c r="AL227" s="99"/>
      <c r="AM227" s="99"/>
      <c r="AN227" s="99"/>
      <c r="AO227" s="100"/>
      <c r="AP227" s="98"/>
      <c r="AQ227" s="99"/>
      <c r="AR227" s="99"/>
      <c r="AS227" s="99"/>
      <c r="AT227" s="99"/>
      <c r="AU227" s="99"/>
      <c r="AV227" s="99"/>
      <c r="AW227" s="99"/>
      <c r="AX227" s="99"/>
      <c r="AY227" s="99"/>
      <c r="AZ227" s="99"/>
      <c r="BA227" s="99"/>
      <c r="BB227" s="99"/>
      <c r="BC227" s="99"/>
      <c r="BD227" s="99"/>
      <c r="BE227" s="100"/>
      <c r="BF227" s="101"/>
      <c r="BG227" s="99"/>
      <c r="BH227" s="99"/>
      <c r="BI227" s="99"/>
      <c r="BJ227" s="99"/>
      <c r="BK227" s="99"/>
      <c r="BL227" s="100"/>
      <c r="BM227" s="101"/>
      <c r="BN227" s="99"/>
      <c r="BO227" s="100"/>
      <c r="BP227" s="101"/>
      <c r="BQ227" s="99"/>
      <c r="BR227" s="99"/>
      <c r="BS227" s="99"/>
      <c r="BT227" s="100"/>
      <c r="BU227" s="98"/>
      <c r="BV227" s="99"/>
      <c r="BW227" s="99"/>
      <c r="BX227" s="99"/>
      <c r="BY227" s="99"/>
      <c r="BZ227" s="99"/>
      <c r="CA227" s="99"/>
      <c r="CB227" s="99"/>
      <c r="CC227" s="99"/>
      <c r="CD227" s="99"/>
      <c r="CE227" s="99"/>
      <c r="CF227" s="99"/>
      <c r="CG227" s="99"/>
      <c r="CH227" s="99"/>
      <c r="CI227" s="99"/>
      <c r="CJ227" s="100"/>
      <c r="CK227" s="101"/>
      <c r="CL227" s="99"/>
      <c r="CM227" s="99"/>
      <c r="CN227" s="99"/>
      <c r="CO227" s="99"/>
      <c r="CP227" s="99"/>
      <c r="CQ227" s="100"/>
      <c r="CR227" s="101"/>
      <c r="CS227" s="99"/>
      <c r="CT227" s="100"/>
      <c r="CU227" s="101"/>
      <c r="CV227" s="99"/>
      <c r="CW227" s="99"/>
      <c r="CX227" s="99"/>
      <c r="CY227" s="99"/>
    </row>
    <row r="228" spans="1:103" ht="25.5" hidden="1" outlineLevel="1" x14ac:dyDescent="0.2">
      <c r="A228" s="424" t="s">
        <v>2604</v>
      </c>
      <c r="B228" s="401" t="str">
        <f>VLOOKUP(A228,'5.2 Actions'!$A$2:$B$720,2,0)</f>
        <v>Sensibiliser les acteurs de l’aménagement et de l’entretien des voiries à tenir compte des problématiques posées par le sel de déneigement (surconsommation, …)</v>
      </c>
      <c r="C228" s="96"/>
      <c r="D228" s="96"/>
      <c r="E228" s="96"/>
      <c r="F228" s="96"/>
      <c r="G228" s="96"/>
      <c r="H228" s="96"/>
      <c r="I228" s="97"/>
      <c r="J228" s="97"/>
      <c r="K228" s="98"/>
      <c r="L228" s="99"/>
      <c r="M228" s="99"/>
      <c r="N228" s="99"/>
      <c r="O228" s="99"/>
      <c r="P228" s="99"/>
      <c r="Q228" s="99"/>
      <c r="R228" s="99"/>
      <c r="S228" s="99"/>
      <c r="T228" s="99"/>
      <c r="U228" s="99"/>
      <c r="V228" s="99"/>
      <c r="W228" s="99"/>
      <c r="X228" s="99"/>
      <c r="Y228" s="99"/>
      <c r="Z228" s="100"/>
      <c r="AA228" s="101"/>
      <c r="AB228" s="99"/>
      <c r="AC228" s="99"/>
      <c r="AD228" s="99"/>
      <c r="AE228" s="99"/>
      <c r="AF228" s="99"/>
      <c r="AG228" s="100"/>
      <c r="AH228" s="101"/>
      <c r="AI228" s="99"/>
      <c r="AJ228" s="100"/>
      <c r="AK228" s="101"/>
      <c r="AL228" s="99"/>
      <c r="AM228" s="99"/>
      <c r="AN228" s="99"/>
      <c r="AO228" s="100"/>
      <c r="AP228" s="98"/>
      <c r="AQ228" s="99"/>
      <c r="AR228" s="99"/>
      <c r="AS228" s="99"/>
      <c r="AT228" s="99"/>
      <c r="AU228" s="99"/>
      <c r="AV228" s="99"/>
      <c r="AW228" s="99"/>
      <c r="AX228" s="99"/>
      <c r="AY228" s="99"/>
      <c r="AZ228" s="99"/>
      <c r="BA228" s="99"/>
      <c r="BB228" s="99"/>
      <c r="BC228" s="99"/>
      <c r="BD228" s="99"/>
      <c r="BE228" s="100"/>
      <c r="BF228" s="101"/>
      <c r="BG228" s="99"/>
      <c r="BH228" s="99"/>
      <c r="BI228" s="99"/>
      <c r="BJ228" s="99"/>
      <c r="BK228" s="99"/>
      <c r="BL228" s="100"/>
      <c r="BM228" s="101"/>
      <c r="BN228" s="99"/>
      <c r="BO228" s="100"/>
      <c r="BP228" s="101"/>
      <c r="BQ228" s="99"/>
      <c r="BR228" s="99"/>
      <c r="BS228" s="99"/>
      <c r="BT228" s="100"/>
      <c r="BU228" s="98"/>
      <c r="BV228" s="99"/>
      <c r="BW228" s="99"/>
      <c r="BX228" s="99"/>
      <c r="BY228" s="99"/>
      <c r="BZ228" s="99"/>
      <c r="CA228" s="99"/>
      <c r="CB228" s="99"/>
      <c r="CC228" s="99"/>
      <c r="CD228" s="99"/>
      <c r="CE228" s="99"/>
      <c r="CF228" s="99"/>
      <c r="CG228" s="99"/>
      <c r="CH228" s="99"/>
      <c r="CI228" s="99"/>
      <c r="CJ228" s="100"/>
      <c r="CK228" s="101"/>
      <c r="CL228" s="99"/>
      <c r="CM228" s="99"/>
      <c r="CN228" s="99"/>
      <c r="CO228" s="99"/>
      <c r="CP228" s="99"/>
      <c r="CQ228" s="100"/>
      <c r="CR228" s="101"/>
      <c r="CS228" s="99"/>
      <c r="CT228" s="100"/>
      <c r="CU228" s="101"/>
      <c r="CV228" s="99"/>
      <c r="CW228" s="99"/>
      <c r="CX228" s="99"/>
      <c r="CY228" s="99"/>
    </row>
    <row r="229" spans="1:103" x14ac:dyDescent="0.2">
      <c r="A229" s="394" t="s">
        <v>26</v>
      </c>
      <c r="B229" s="395" t="str">
        <f>VLOOKUP(A229,'1. Mesures'!$A$2:$B$116,2,0)</f>
        <v>Assurer la gestion des pollutions intra régionales et transfrontalières</v>
      </c>
      <c r="C229" s="96"/>
      <c r="D229" s="96"/>
      <c r="E229" s="96"/>
      <c r="F229" s="96" t="e">
        <v>#N/A</v>
      </c>
      <c r="G229" s="96"/>
      <c r="H229" s="96" t="e">
        <v>#N/A</v>
      </c>
      <c r="I229" s="97" t="s">
        <v>1589</v>
      </c>
      <c r="J229" s="97" t="s">
        <v>1598</v>
      </c>
      <c r="K229" s="98" t="s">
        <v>1590</v>
      </c>
      <c r="L229" s="99" t="s">
        <v>1590</v>
      </c>
      <c r="M229" s="99" t="s">
        <v>1590</v>
      </c>
      <c r="N229" s="99" t="s">
        <v>1590</v>
      </c>
      <c r="O229" s="99" t="s">
        <v>1590</v>
      </c>
      <c r="P229" s="99" t="s">
        <v>1590</v>
      </c>
      <c r="Q229" s="99" t="s">
        <v>1590</v>
      </c>
      <c r="R229" s="99" t="s">
        <v>1590</v>
      </c>
      <c r="S229" s="99" t="s">
        <v>1590</v>
      </c>
      <c r="T229" s="99" t="s">
        <v>1590</v>
      </c>
      <c r="U229" s="99" t="s">
        <v>1590</v>
      </c>
      <c r="V229" s="99"/>
      <c r="W229" s="99" t="s">
        <v>1590</v>
      </c>
      <c r="X229" s="99" t="s">
        <v>1590</v>
      </c>
      <c r="Y229" s="99" t="s">
        <v>1590</v>
      </c>
      <c r="Z229" s="100" t="s">
        <v>1590</v>
      </c>
      <c r="AA229" s="101" t="s">
        <v>1590</v>
      </c>
      <c r="AB229" s="99" t="s">
        <v>1590</v>
      </c>
      <c r="AC229" s="99" t="s">
        <v>1590</v>
      </c>
      <c r="AD229" s="99" t="s">
        <v>1590</v>
      </c>
      <c r="AE229" s="99" t="s">
        <v>1590</v>
      </c>
      <c r="AF229" s="99" t="s">
        <v>1590</v>
      </c>
      <c r="AG229" s="100" t="s">
        <v>1590</v>
      </c>
      <c r="AH229" s="101"/>
      <c r="AI229" s="99"/>
      <c r="AJ229" s="100"/>
      <c r="AK229" s="101"/>
      <c r="AL229" s="99" t="s">
        <v>1590</v>
      </c>
      <c r="AM229" s="99" t="s">
        <v>1590</v>
      </c>
      <c r="AN229" s="99" t="s">
        <v>1590</v>
      </c>
      <c r="AO229" s="100" t="s">
        <v>1590</v>
      </c>
      <c r="AP229" s="98"/>
      <c r="AQ229" s="99" t="s">
        <v>1590</v>
      </c>
      <c r="AR229" s="99" t="s">
        <v>1590</v>
      </c>
      <c r="AS229" s="99" t="s">
        <v>1590</v>
      </c>
      <c r="AT229" s="99" t="s">
        <v>1590</v>
      </c>
      <c r="AU229" s="99" t="s">
        <v>1590</v>
      </c>
      <c r="AV229" s="99"/>
      <c r="AW229" s="99" t="s">
        <v>1590</v>
      </c>
      <c r="AX229" s="99" t="s">
        <v>1590</v>
      </c>
      <c r="AY229" s="99"/>
      <c r="AZ229" s="99" t="s">
        <v>1590</v>
      </c>
      <c r="BA229" s="99" t="s">
        <v>1590</v>
      </c>
      <c r="BB229" s="99" t="s">
        <v>1590</v>
      </c>
      <c r="BC229" s="99" t="s">
        <v>1590</v>
      </c>
      <c r="BD229" s="99"/>
      <c r="BE229" s="100" t="s">
        <v>1590</v>
      </c>
      <c r="BF229" s="101" t="s">
        <v>1590</v>
      </c>
      <c r="BG229" s="99"/>
      <c r="BH229" s="99"/>
      <c r="BI229" s="99"/>
      <c r="BJ229" s="99"/>
      <c r="BK229" s="99"/>
      <c r="BL229" s="100"/>
      <c r="BM229" s="101"/>
      <c r="BN229" s="99"/>
      <c r="BO229" s="100"/>
      <c r="BP229" s="101"/>
      <c r="BQ229" s="99" t="s">
        <v>1590</v>
      </c>
      <c r="BR229" s="99"/>
      <c r="BS229" s="99" t="s">
        <v>1590</v>
      </c>
      <c r="BT229" s="100" t="s">
        <v>1590</v>
      </c>
      <c r="BU229" s="98"/>
      <c r="BV229" s="99"/>
      <c r="BW229" s="99"/>
      <c r="BX229" s="99" t="s">
        <v>1590</v>
      </c>
      <c r="BY229" s="99" t="s">
        <v>1590</v>
      </c>
      <c r="BZ229" s="99" t="s">
        <v>1590</v>
      </c>
      <c r="CA229" s="99"/>
      <c r="CB229" s="99"/>
      <c r="CC229" s="99"/>
      <c r="CD229" s="99"/>
      <c r="CE229" s="99"/>
      <c r="CF229" s="99"/>
      <c r="CG229" s="99" t="s">
        <v>1590</v>
      </c>
      <c r="CH229" s="99" t="s">
        <v>1590</v>
      </c>
      <c r="CI229" s="99"/>
      <c r="CJ229" s="100"/>
      <c r="CK229" s="101"/>
      <c r="CL229" s="99"/>
      <c r="CM229" s="99"/>
      <c r="CN229" s="99"/>
      <c r="CO229" s="99"/>
      <c r="CP229" s="99" t="s">
        <v>1590</v>
      </c>
      <c r="CQ229" s="100"/>
      <c r="CR229" s="101"/>
      <c r="CS229" s="99"/>
      <c r="CT229" s="100"/>
      <c r="CU229" s="101"/>
      <c r="CV229" s="99" t="s">
        <v>1590</v>
      </c>
      <c r="CW229" s="99"/>
      <c r="CX229" s="99" t="s">
        <v>1590</v>
      </c>
      <c r="CY229" s="99" t="s">
        <v>1590</v>
      </c>
    </row>
    <row r="230" spans="1:103" ht="25.5" outlineLevel="1" x14ac:dyDescent="0.2">
      <c r="A230" s="424" t="s">
        <v>755</v>
      </c>
      <c r="B230" s="401" t="str">
        <f>VLOOKUP(A230,'5.2 Actions'!$A$2:$B$720,2,0)</f>
        <v>Intégrer les principes de gestion développés au niveau de la CIE dans les procédures de gestion de pollution au niveau bruxellois (Voir plan faitier CIE)</v>
      </c>
      <c r="C230" s="96"/>
      <c r="D230" s="96"/>
      <c r="E230" s="96"/>
      <c r="F230" s="96">
        <v>0</v>
      </c>
      <c r="G230" s="96"/>
      <c r="H230" s="96">
        <v>0</v>
      </c>
      <c r="I230" s="97"/>
      <c r="J230" s="97"/>
      <c r="K230" s="98"/>
      <c r="L230" s="99"/>
      <c r="M230" s="99"/>
      <c r="N230" s="99"/>
      <c r="O230" s="99"/>
      <c r="P230" s="99"/>
      <c r="Q230" s="99"/>
      <c r="R230" s="99"/>
      <c r="S230" s="99"/>
      <c r="T230" s="99"/>
      <c r="U230" s="99"/>
      <c r="V230" s="99"/>
      <c r="W230" s="99"/>
      <c r="X230" s="99"/>
      <c r="Y230" s="99"/>
      <c r="Z230" s="100"/>
      <c r="AA230" s="101"/>
      <c r="AB230" s="99"/>
      <c r="AC230" s="99"/>
      <c r="AD230" s="99"/>
      <c r="AE230" s="99"/>
      <c r="AF230" s="99"/>
      <c r="AG230" s="100"/>
      <c r="AH230" s="101"/>
      <c r="AI230" s="99"/>
      <c r="AJ230" s="100"/>
      <c r="AK230" s="101"/>
      <c r="AL230" s="99"/>
      <c r="AM230" s="99"/>
      <c r="AN230" s="99"/>
      <c r="AO230" s="100"/>
      <c r="AP230" s="98"/>
      <c r="AQ230" s="99"/>
      <c r="AR230" s="99"/>
      <c r="AS230" s="99"/>
      <c r="AT230" s="99"/>
      <c r="AU230" s="99"/>
      <c r="AV230" s="99"/>
      <c r="AW230" s="99"/>
      <c r="AX230" s="99"/>
      <c r="AY230" s="99"/>
      <c r="AZ230" s="99"/>
      <c r="BA230" s="99"/>
      <c r="BB230" s="99"/>
      <c r="BC230" s="99"/>
      <c r="BD230" s="99"/>
      <c r="BE230" s="100"/>
      <c r="BF230" s="101"/>
      <c r="BG230" s="99"/>
      <c r="BH230" s="99"/>
      <c r="BI230" s="99"/>
      <c r="BJ230" s="99"/>
      <c r="BK230" s="99"/>
      <c r="BL230" s="100"/>
      <c r="BM230" s="101"/>
      <c r="BN230" s="99"/>
      <c r="BO230" s="100"/>
      <c r="BP230" s="101"/>
      <c r="BQ230" s="99"/>
      <c r="BR230" s="99"/>
      <c r="BS230" s="99"/>
      <c r="BT230" s="100"/>
      <c r="BU230" s="98"/>
      <c r="BV230" s="99"/>
      <c r="BW230" s="99"/>
      <c r="BX230" s="99"/>
      <c r="BY230" s="99"/>
      <c r="BZ230" s="99"/>
      <c r="CA230" s="99"/>
      <c r="CB230" s="99"/>
      <c r="CC230" s="99"/>
      <c r="CD230" s="99"/>
      <c r="CE230" s="99"/>
      <c r="CF230" s="99"/>
      <c r="CG230" s="99"/>
      <c r="CH230" s="99"/>
      <c r="CI230" s="99"/>
      <c r="CJ230" s="100"/>
      <c r="CK230" s="101"/>
      <c r="CL230" s="99"/>
      <c r="CM230" s="99"/>
      <c r="CN230" s="99"/>
      <c r="CO230" s="99"/>
      <c r="CP230" s="99"/>
      <c r="CQ230" s="100"/>
      <c r="CR230" s="101"/>
      <c r="CS230" s="99"/>
      <c r="CT230" s="100"/>
      <c r="CU230" s="101"/>
      <c r="CV230" s="99"/>
      <c r="CW230" s="99"/>
      <c r="CX230" s="99"/>
      <c r="CY230" s="99"/>
    </row>
    <row r="231" spans="1:103" ht="25.5" outlineLevel="1" x14ac:dyDescent="0.2">
      <c r="A231" s="424" t="s">
        <v>756</v>
      </c>
      <c r="B231" s="401" t="str">
        <f>VLOOKUP(A231,'5.2 Actions'!$A$2:$B$720,2,0)</f>
        <v>Appliquer les recommandations délivrées par la CIE en vue d’améliorer le fonctionnement et la communication au sein du SAAE (Voir plan faitier CIE)</v>
      </c>
      <c r="C231" s="96"/>
      <c r="D231" s="96"/>
      <c r="E231" s="96"/>
      <c r="F231" s="96">
        <v>0</v>
      </c>
      <c r="G231" s="96"/>
      <c r="H231" s="96">
        <v>0</v>
      </c>
      <c r="I231" s="97"/>
      <c r="J231" s="97"/>
      <c r="K231" s="98"/>
      <c r="L231" s="99"/>
      <c r="M231" s="99"/>
      <c r="N231" s="99"/>
      <c r="O231" s="99"/>
      <c r="P231" s="99"/>
      <c r="Q231" s="99"/>
      <c r="R231" s="99"/>
      <c r="S231" s="99"/>
      <c r="T231" s="99"/>
      <c r="U231" s="99"/>
      <c r="V231" s="99"/>
      <c r="W231" s="99"/>
      <c r="X231" s="99"/>
      <c r="Y231" s="99"/>
      <c r="Z231" s="100"/>
      <c r="AA231" s="101"/>
      <c r="AB231" s="99"/>
      <c r="AC231" s="99"/>
      <c r="AD231" s="99"/>
      <c r="AE231" s="99"/>
      <c r="AF231" s="99"/>
      <c r="AG231" s="100"/>
      <c r="AH231" s="101"/>
      <c r="AI231" s="99"/>
      <c r="AJ231" s="100"/>
      <c r="AK231" s="101"/>
      <c r="AL231" s="99"/>
      <c r="AM231" s="99"/>
      <c r="AN231" s="99"/>
      <c r="AO231" s="100"/>
      <c r="AP231" s="98"/>
      <c r="AQ231" s="99"/>
      <c r="AR231" s="99"/>
      <c r="AS231" s="99"/>
      <c r="AT231" s="99"/>
      <c r="AU231" s="99"/>
      <c r="AV231" s="99"/>
      <c r="AW231" s="99"/>
      <c r="AX231" s="99"/>
      <c r="AY231" s="99"/>
      <c r="AZ231" s="99"/>
      <c r="BA231" s="99"/>
      <c r="BB231" s="99"/>
      <c r="BC231" s="99"/>
      <c r="BD231" s="99"/>
      <c r="BE231" s="100"/>
      <c r="BF231" s="101"/>
      <c r="BG231" s="99"/>
      <c r="BH231" s="99"/>
      <c r="BI231" s="99"/>
      <c r="BJ231" s="99"/>
      <c r="BK231" s="99"/>
      <c r="BL231" s="100"/>
      <c r="BM231" s="101"/>
      <c r="BN231" s="99"/>
      <c r="BO231" s="100"/>
      <c r="BP231" s="101"/>
      <c r="BQ231" s="99"/>
      <c r="BR231" s="99"/>
      <c r="BS231" s="99"/>
      <c r="BT231" s="100"/>
      <c r="BU231" s="98"/>
      <c r="BV231" s="99"/>
      <c r="BW231" s="99"/>
      <c r="BX231" s="99"/>
      <c r="BY231" s="99"/>
      <c r="BZ231" s="99"/>
      <c r="CA231" s="99"/>
      <c r="CB231" s="99"/>
      <c r="CC231" s="99"/>
      <c r="CD231" s="99"/>
      <c r="CE231" s="99"/>
      <c r="CF231" s="99"/>
      <c r="CG231" s="99"/>
      <c r="CH231" s="99"/>
      <c r="CI231" s="99"/>
      <c r="CJ231" s="100"/>
      <c r="CK231" s="101"/>
      <c r="CL231" s="99"/>
      <c r="CM231" s="99"/>
      <c r="CN231" s="99"/>
      <c r="CO231" s="99"/>
      <c r="CP231" s="99"/>
      <c r="CQ231" s="100"/>
      <c r="CR231" s="101"/>
      <c r="CS231" s="99"/>
      <c r="CT231" s="100"/>
      <c r="CU231" s="101"/>
      <c r="CV231" s="99"/>
      <c r="CW231" s="99"/>
      <c r="CX231" s="99"/>
      <c r="CY231" s="99"/>
    </row>
    <row r="232" spans="1:103" ht="25.5" outlineLevel="1" x14ac:dyDescent="0.2">
      <c r="A232" s="424" t="s">
        <v>757</v>
      </c>
      <c r="B232" s="401" t="str">
        <f>VLOOKUP(A232,'5.2 Actions'!$A$2:$B$720,2,0)</f>
        <v>Intégrer le Port de Bruxelles dans le marché de Bruxelles Environnement pour le CPA du Système d’alarme et d’alerte pour le district hydrographique de l’Escaut (Voir plan faitier CIE)</v>
      </c>
      <c r="C232" s="96"/>
      <c r="D232" s="96"/>
      <c r="E232" s="96"/>
      <c r="F232" s="96">
        <v>0</v>
      </c>
      <c r="G232" s="96"/>
      <c r="H232" s="96">
        <v>0</v>
      </c>
      <c r="I232" s="97"/>
      <c r="J232" s="97"/>
      <c r="K232" s="98"/>
      <c r="L232" s="99"/>
      <c r="M232" s="99"/>
      <c r="N232" s="99"/>
      <c r="O232" s="99"/>
      <c r="P232" s="99"/>
      <c r="Q232" s="99"/>
      <c r="R232" s="99"/>
      <c r="S232" s="99"/>
      <c r="T232" s="99"/>
      <c r="U232" s="99"/>
      <c r="V232" s="99"/>
      <c r="W232" s="99"/>
      <c r="X232" s="99"/>
      <c r="Y232" s="99"/>
      <c r="Z232" s="100"/>
      <c r="AA232" s="101"/>
      <c r="AB232" s="99"/>
      <c r="AC232" s="99"/>
      <c r="AD232" s="99"/>
      <c r="AE232" s="99"/>
      <c r="AF232" s="99"/>
      <c r="AG232" s="100"/>
      <c r="AH232" s="101"/>
      <c r="AI232" s="99"/>
      <c r="AJ232" s="100"/>
      <c r="AK232" s="101"/>
      <c r="AL232" s="99"/>
      <c r="AM232" s="99"/>
      <c r="AN232" s="99"/>
      <c r="AO232" s="100"/>
      <c r="AP232" s="98"/>
      <c r="AQ232" s="99"/>
      <c r="AR232" s="99"/>
      <c r="AS232" s="99"/>
      <c r="AT232" s="99"/>
      <c r="AU232" s="99"/>
      <c r="AV232" s="99"/>
      <c r="AW232" s="99"/>
      <c r="AX232" s="99"/>
      <c r="AY232" s="99"/>
      <c r="AZ232" s="99"/>
      <c r="BA232" s="99"/>
      <c r="BB232" s="99"/>
      <c r="BC232" s="99"/>
      <c r="BD232" s="99"/>
      <c r="BE232" s="100"/>
      <c r="BF232" s="101"/>
      <c r="BG232" s="99"/>
      <c r="BH232" s="99"/>
      <c r="BI232" s="99"/>
      <c r="BJ232" s="99"/>
      <c r="BK232" s="99"/>
      <c r="BL232" s="100"/>
      <c r="BM232" s="101"/>
      <c r="BN232" s="99"/>
      <c r="BO232" s="100"/>
      <c r="BP232" s="101"/>
      <c r="BQ232" s="99"/>
      <c r="BR232" s="99"/>
      <c r="BS232" s="99"/>
      <c r="BT232" s="100"/>
      <c r="BU232" s="98"/>
      <c r="BV232" s="99"/>
      <c r="BW232" s="99"/>
      <c r="BX232" s="99"/>
      <c r="BY232" s="99"/>
      <c r="BZ232" s="99"/>
      <c r="CA232" s="99"/>
      <c r="CB232" s="99"/>
      <c r="CC232" s="99"/>
      <c r="CD232" s="99"/>
      <c r="CE232" s="99"/>
      <c r="CF232" s="99"/>
      <c r="CG232" s="99"/>
      <c r="CH232" s="99"/>
      <c r="CI232" s="99"/>
      <c r="CJ232" s="100"/>
      <c r="CK232" s="101"/>
      <c r="CL232" s="99"/>
      <c r="CM232" s="99"/>
      <c r="CN232" s="99"/>
      <c r="CO232" s="99"/>
      <c r="CP232" s="99"/>
      <c r="CQ232" s="100"/>
      <c r="CR232" s="101"/>
      <c r="CS232" s="99"/>
      <c r="CT232" s="100"/>
      <c r="CU232" s="101"/>
      <c r="CV232" s="99"/>
      <c r="CW232" s="99"/>
      <c r="CX232" s="99"/>
      <c r="CY232" s="99"/>
    </row>
    <row r="233" spans="1:103" ht="25.5" outlineLevel="1" x14ac:dyDescent="0.2">
      <c r="A233" s="424" t="s">
        <v>758</v>
      </c>
      <c r="B233" s="401" t="str">
        <f>VLOOKUP(A233,'5.2 Actions'!$A$2:$B$720,2,0)</f>
        <v>Clarifier la procédure de gestion de crise pour prendre les mesures rapides et efficaces en cas de pollution, notamment via la Protection civile</v>
      </c>
      <c r="C233" s="96"/>
      <c r="D233" s="96"/>
      <c r="E233" s="96"/>
      <c r="F233" s="96">
        <v>0</v>
      </c>
      <c r="G233" s="96"/>
      <c r="H233" s="96">
        <v>0</v>
      </c>
      <c r="I233" s="97"/>
      <c r="J233" s="97"/>
      <c r="K233" s="98"/>
      <c r="L233" s="99"/>
      <c r="M233" s="99"/>
      <c r="N233" s="99"/>
      <c r="O233" s="99"/>
      <c r="P233" s="99"/>
      <c r="Q233" s="99"/>
      <c r="R233" s="99"/>
      <c r="S233" s="99"/>
      <c r="T233" s="99"/>
      <c r="U233" s="99"/>
      <c r="V233" s="99"/>
      <c r="W233" s="99"/>
      <c r="X233" s="99"/>
      <c r="Y233" s="99"/>
      <c r="Z233" s="100"/>
      <c r="AA233" s="101"/>
      <c r="AB233" s="99"/>
      <c r="AC233" s="99"/>
      <c r="AD233" s="99"/>
      <c r="AE233" s="99"/>
      <c r="AF233" s="99"/>
      <c r="AG233" s="100"/>
      <c r="AH233" s="101"/>
      <c r="AI233" s="99"/>
      <c r="AJ233" s="100"/>
      <c r="AK233" s="101"/>
      <c r="AL233" s="99"/>
      <c r="AM233" s="99"/>
      <c r="AN233" s="99"/>
      <c r="AO233" s="100"/>
      <c r="AP233" s="98"/>
      <c r="AQ233" s="99"/>
      <c r="AR233" s="99"/>
      <c r="AS233" s="99"/>
      <c r="AT233" s="99"/>
      <c r="AU233" s="99"/>
      <c r="AV233" s="99"/>
      <c r="AW233" s="99"/>
      <c r="AX233" s="99"/>
      <c r="AY233" s="99"/>
      <c r="AZ233" s="99"/>
      <c r="BA233" s="99"/>
      <c r="BB233" s="99"/>
      <c r="BC233" s="99"/>
      <c r="BD233" s="99"/>
      <c r="BE233" s="100"/>
      <c r="BF233" s="101"/>
      <c r="BG233" s="99"/>
      <c r="BH233" s="99"/>
      <c r="BI233" s="99"/>
      <c r="BJ233" s="99"/>
      <c r="BK233" s="99"/>
      <c r="BL233" s="100"/>
      <c r="BM233" s="101"/>
      <c r="BN233" s="99"/>
      <c r="BO233" s="100"/>
      <c r="BP233" s="101"/>
      <c r="BQ233" s="99"/>
      <c r="BR233" s="99"/>
      <c r="BS233" s="99"/>
      <c r="BT233" s="100"/>
      <c r="BU233" s="98"/>
      <c r="BV233" s="99"/>
      <c r="BW233" s="99"/>
      <c r="BX233" s="99"/>
      <c r="BY233" s="99"/>
      <c r="BZ233" s="99"/>
      <c r="CA233" s="99"/>
      <c r="CB233" s="99"/>
      <c r="CC233" s="99"/>
      <c r="CD233" s="99"/>
      <c r="CE233" s="99"/>
      <c r="CF233" s="99"/>
      <c r="CG233" s="99"/>
      <c r="CH233" s="99"/>
      <c r="CI233" s="99"/>
      <c r="CJ233" s="100"/>
      <c r="CK233" s="101"/>
      <c r="CL233" s="99"/>
      <c r="CM233" s="99"/>
      <c r="CN233" s="99"/>
      <c r="CO233" s="99"/>
      <c r="CP233" s="99"/>
      <c r="CQ233" s="100"/>
      <c r="CR233" s="101"/>
      <c r="CS233" s="99"/>
      <c r="CT233" s="100"/>
      <c r="CU233" s="101"/>
      <c r="CV233" s="99"/>
      <c r="CW233" s="99"/>
      <c r="CX233" s="99"/>
      <c r="CY233" s="99"/>
    </row>
    <row r="234" spans="1:103" ht="25.5" outlineLevel="1" x14ac:dyDescent="0.2">
      <c r="A234" s="424" t="s">
        <v>759</v>
      </c>
      <c r="B234" s="401" t="str">
        <f>VLOOKUP(A234,'5.2 Actions'!$A$2:$B$720,2,0)</f>
        <v>Etudier la faisabilité et définir les besoins de Bruxelles Environnement en vue de basculer vers un système de garde 24h/24 et 7j/7 commun aux thématiques de l’Eau et Seveso</v>
      </c>
      <c r="C234" s="96"/>
      <c r="D234" s="96"/>
      <c r="E234" s="96"/>
      <c r="F234" s="96" t="e">
        <v>#N/A</v>
      </c>
      <c r="G234" s="96"/>
      <c r="H234" s="96" t="e">
        <v>#N/A</v>
      </c>
      <c r="I234" s="97"/>
      <c r="J234" s="97"/>
      <c r="K234" s="98"/>
      <c r="L234" s="99"/>
      <c r="M234" s="99"/>
      <c r="N234" s="99"/>
      <c r="O234" s="99"/>
      <c r="P234" s="99"/>
      <c r="Q234" s="99"/>
      <c r="R234" s="99"/>
      <c r="S234" s="99"/>
      <c r="T234" s="99"/>
      <c r="U234" s="99"/>
      <c r="V234" s="99"/>
      <c r="W234" s="99"/>
      <c r="X234" s="99"/>
      <c r="Y234" s="99"/>
      <c r="Z234" s="100"/>
      <c r="AA234" s="101"/>
      <c r="AB234" s="99"/>
      <c r="AC234" s="99"/>
      <c r="AD234" s="99"/>
      <c r="AE234" s="99"/>
      <c r="AF234" s="99"/>
      <c r="AG234" s="100"/>
      <c r="AH234" s="101"/>
      <c r="AI234" s="99"/>
      <c r="AJ234" s="100"/>
      <c r="AK234" s="101"/>
      <c r="AL234" s="99"/>
      <c r="AM234" s="99"/>
      <c r="AN234" s="99"/>
      <c r="AO234" s="100"/>
      <c r="AP234" s="98"/>
      <c r="AQ234" s="99"/>
      <c r="AR234" s="99"/>
      <c r="AS234" s="99"/>
      <c r="AT234" s="99"/>
      <c r="AU234" s="99"/>
      <c r="AV234" s="99"/>
      <c r="AW234" s="99"/>
      <c r="AX234" s="99"/>
      <c r="AY234" s="99"/>
      <c r="AZ234" s="99"/>
      <c r="BA234" s="99"/>
      <c r="BB234" s="99"/>
      <c r="BC234" s="99"/>
      <c r="BD234" s="99"/>
      <c r="BE234" s="100"/>
      <c r="BF234" s="101"/>
      <c r="BG234" s="99"/>
      <c r="BH234" s="99"/>
      <c r="BI234" s="99"/>
      <c r="BJ234" s="99"/>
      <c r="BK234" s="99"/>
      <c r="BL234" s="100"/>
      <c r="BM234" s="101"/>
      <c r="BN234" s="99"/>
      <c r="BO234" s="100"/>
      <c r="BP234" s="101"/>
      <c r="BQ234" s="99"/>
      <c r="BR234" s="99"/>
      <c r="BS234" s="99"/>
      <c r="BT234" s="100"/>
      <c r="BU234" s="98"/>
      <c r="BV234" s="99"/>
      <c r="BW234" s="99"/>
      <c r="BX234" s="99"/>
      <c r="BY234" s="99"/>
      <c r="BZ234" s="99"/>
      <c r="CA234" s="99"/>
      <c r="CB234" s="99"/>
      <c r="CC234" s="99"/>
      <c r="CD234" s="99"/>
      <c r="CE234" s="99"/>
      <c r="CF234" s="99"/>
      <c r="CG234" s="99"/>
      <c r="CH234" s="99"/>
      <c r="CI234" s="99"/>
      <c r="CJ234" s="100"/>
      <c r="CK234" s="101"/>
      <c r="CL234" s="99"/>
      <c r="CM234" s="99"/>
      <c r="CN234" s="99"/>
      <c r="CO234" s="99"/>
      <c r="CP234" s="99"/>
      <c r="CQ234" s="100"/>
      <c r="CR234" s="101"/>
      <c r="CS234" s="99"/>
      <c r="CT234" s="100"/>
      <c r="CU234" s="101"/>
      <c r="CV234" s="99"/>
      <c r="CW234" s="99"/>
      <c r="CX234" s="99"/>
      <c r="CY234" s="99"/>
    </row>
    <row r="235" spans="1:103" outlineLevel="1" x14ac:dyDescent="0.2">
      <c r="A235" s="424" t="s">
        <v>760</v>
      </c>
      <c r="B235" s="401" t="str">
        <f>VLOOKUP(A235,'5.2 Actions'!$A$2:$B$720,2,0)</f>
        <v>Définir le cadre du service de garde en lien avec la thématique de l'eau et en coordination avec les opérateurs de l'eau</v>
      </c>
      <c r="C235" s="96"/>
      <c r="D235" s="96"/>
      <c r="E235" s="96"/>
      <c r="F235" s="96">
        <v>0</v>
      </c>
      <c r="G235" s="96"/>
      <c r="H235" s="96">
        <v>0</v>
      </c>
      <c r="I235" s="97"/>
      <c r="J235" s="97"/>
      <c r="K235" s="98"/>
      <c r="L235" s="99"/>
      <c r="M235" s="99"/>
      <c r="N235" s="99"/>
      <c r="O235" s="99"/>
      <c r="P235" s="99"/>
      <c r="Q235" s="99"/>
      <c r="R235" s="99"/>
      <c r="S235" s="99"/>
      <c r="T235" s="99"/>
      <c r="U235" s="99"/>
      <c r="V235" s="99"/>
      <c r="W235" s="99"/>
      <c r="X235" s="99"/>
      <c r="Y235" s="99"/>
      <c r="Z235" s="100"/>
      <c r="AA235" s="101"/>
      <c r="AB235" s="99"/>
      <c r="AC235" s="99"/>
      <c r="AD235" s="99"/>
      <c r="AE235" s="99"/>
      <c r="AF235" s="99"/>
      <c r="AG235" s="100"/>
      <c r="AH235" s="101"/>
      <c r="AI235" s="99"/>
      <c r="AJ235" s="100"/>
      <c r="AK235" s="101"/>
      <c r="AL235" s="99"/>
      <c r="AM235" s="99"/>
      <c r="AN235" s="99"/>
      <c r="AO235" s="100"/>
      <c r="AP235" s="98"/>
      <c r="AQ235" s="99"/>
      <c r="AR235" s="99"/>
      <c r="AS235" s="99"/>
      <c r="AT235" s="99"/>
      <c r="AU235" s="99"/>
      <c r="AV235" s="99"/>
      <c r="AW235" s="99"/>
      <c r="AX235" s="99"/>
      <c r="AY235" s="99"/>
      <c r="AZ235" s="99"/>
      <c r="BA235" s="99"/>
      <c r="BB235" s="99"/>
      <c r="BC235" s="99"/>
      <c r="BD235" s="99"/>
      <c r="BE235" s="100"/>
      <c r="BF235" s="101"/>
      <c r="BG235" s="99"/>
      <c r="BH235" s="99"/>
      <c r="BI235" s="99"/>
      <c r="BJ235" s="99"/>
      <c r="BK235" s="99"/>
      <c r="BL235" s="100"/>
      <c r="BM235" s="101"/>
      <c r="BN235" s="99"/>
      <c r="BO235" s="100"/>
      <c r="BP235" s="101"/>
      <c r="BQ235" s="99"/>
      <c r="BR235" s="99"/>
      <c r="BS235" s="99"/>
      <c r="BT235" s="100"/>
      <c r="BU235" s="98"/>
      <c r="BV235" s="99"/>
      <c r="BW235" s="99"/>
      <c r="BX235" s="99"/>
      <c r="BY235" s="99"/>
      <c r="BZ235" s="99"/>
      <c r="CA235" s="99"/>
      <c r="CB235" s="99"/>
      <c r="CC235" s="99"/>
      <c r="CD235" s="99"/>
      <c r="CE235" s="99"/>
      <c r="CF235" s="99"/>
      <c r="CG235" s="99"/>
      <c r="CH235" s="99"/>
      <c r="CI235" s="99"/>
      <c r="CJ235" s="100"/>
      <c r="CK235" s="101"/>
      <c r="CL235" s="99"/>
      <c r="CM235" s="99"/>
      <c r="CN235" s="99"/>
      <c r="CO235" s="99"/>
      <c r="CP235" s="99"/>
      <c r="CQ235" s="100"/>
      <c r="CR235" s="101"/>
      <c r="CS235" s="99"/>
      <c r="CT235" s="100"/>
      <c r="CU235" s="101"/>
      <c r="CV235" s="99"/>
      <c r="CW235" s="99"/>
      <c r="CX235" s="99"/>
      <c r="CY235" s="99"/>
    </row>
    <row r="236" spans="1:103" outlineLevel="1" x14ac:dyDescent="0.2">
      <c r="A236" s="424" t="s">
        <v>761</v>
      </c>
      <c r="B236" s="401" t="str">
        <f>VLOOKUP(A236,'5.2 Actions'!$A$2:$B$720,2,0)</f>
        <v>Organiser les procédures et contacts avec les services d’urgence en collaboration avec Bruxelles Prévention et Sécurité</v>
      </c>
      <c r="C236" s="96"/>
      <c r="D236" s="96"/>
      <c r="E236" s="96"/>
      <c r="F236" s="96">
        <v>20000</v>
      </c>
      <c r="G236" s="96"/>
      <c r="H236" s="96">
        <v>20000</v>
      </c>
      <c r="I236" s="97"/>
      <c r="J236" s="97"/>
      <c r="K236" s="98"/>
      <c r="L236" s="99"/>
      <c r="M236" s="99"/>
      <c r="N236" s="99"/>
      <c r="O236" s="99"/>
      <c r="P236" s="99"/>
      <c r="Q236" s="99"/>
      <c r="R236" s="99"/>
      <c r="S236" s="99"/>
      <c r="T236" s="99"/>
      <c r="U236" s="99"/>
      <c r="V236" s="99"/>
      <c r="W236" s="99"/>
      <c r="X236" s="99"/>
      <c r="Y236" s="99"/>
      <c r="Z236" s="100"/>
      <c r="AA236" s="101"/>
      <c r="AB236" s="99"/>
      <c r="AC236" s="99"/>
      <c r="AD236" s="99"/>
      <c r="AE236" s="99"/>
      <c r="AF236" s="99"/>
      <c r="AG236" s="100"/>
      <c r="AH236" s="101"/>
      <c r="AI236" s="99"/>
      <c r="AJ236" s="100"/>
      <c r="AK236" s="101"/>
      <c r="AL236" s="99"/>
      <c r="AM236" s="99"/>
      <c r="AN236" s="99"/>
      <c r="AO236" s="100"/>
      <c r="AP236" s="98"/>
      <c r="AQ236" s="99"/>
      <c r="AR236" s="99"/>
      <c r="AS236" s="99"/>
      <c r="AT236" s="99"/>
      <c r="AU236" s="99"/>
      <c r="AV236" s="99"/>
      <c r="AW236" s="99"/>
      <c r="AX236" s="99"/>
      <c r="AY236" s="99"/>
      <c r="AZ236" s="99"/>
      <c r="BA236" s="99"/>
      <c r="BB236" s="99"/>
      <c r="BC236" s="99"/>
      <c r="BD236" s="99"/>
      <c r="BE236" s="100"/>
      <c r="BF236" s="101"/>
      <c r="BG236" s="99"/>
      <c r="BH236" s="99"/>
      <c r="BI236" s="99"/>
      <c r="BJ236" s="99"/>
      <c r="BK236" s="99"/>
      <c r="BL236" s="100"/>
      <c r="BM236" s="101"/>
      <c r="BN236" s="99"/>
      <c r="BO236" s="100"/>
      <c r="BP236" s="101"/>
      <c r="BQ236" s="99"/>
      <c r="BR236" s="99"/>
      <c r="BS236" s="99"/>
      <c r="BT236" s="100"/>
      <c r="BU236" s="98"/>
      <c r="BV236" s="99"/>
      <c r="BW236" s="99"/>
      <c r="BX236" s="99"/>
      <c r="BY236" s="99"/>
      <c r="BZ236" s="99"/>
      <c r="CA236" s="99"/>
      <c r="CB236" s="99"/>
      <c r="CC236" s="99"/>
      <c r="CD236" s="99"/>
      <c r="CE236" s="99"/>
      <c r="CF236" s="99"/>
      <c r="CG236" s="99"/>
      <c r="CH236" s="99"/>
      <c r="CI236" s="99"/>
      <c r="CJ236" s="100"/>
      <c r="CK236" s="101"/>
      <c r="CL236" s="99"/>
      <c r="CM236" s="99"/>
      <c r="CN236" s="99"/>
      <c r="CO236" s="99"/>
      <c r="CP236" s="99"/>
      <c r="CQ236" s="100"/>
      <c r="CR236" s="101"/>
      <c r="CS236" s="99"/>
      <c r="CT236" s="100"/>
      <c r="CU236" s="101"/>
      <c r="CV236" s="99"/>
      <c r="CW236" s="99"/>
      <c r="CX236" s="99"/>
      <c r="CY236" s="99"/>
    </row>
    <row r="237" spans="1:103" ht="89.25" outlineLevel="1" x14ac:dyDescent="0.2">
      <c r="A237" s="424" t="s">
        <v>762</v>
      </c>
      <c r="B237" s="401" t="str">
        <f>VLOOKUP(A237,'5.2 Actions'!$A$2:$B$720,2,0)</f>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
      <c r="C237" s="96"/>
      <c r="D237" s="96"/>
      <c r="E237" s="96"/>
      <c r="F237" s="96"/>
      <c r="G237" s="96"/>
      <c r="H237" s="96"/>
      <c r="I237" s="97"/>
      <c r="J237" s="97"/>
      <c r="K237" s="98"/>
      <c r="L237" s="99"/>
      <c r="M237" s="99"/>
      <c r="N237" s="99"/>
      <c r="O237" s="99"/>
      <c r="P237" s="99"/>
      <c r="Q237" s="99"/>
      <c r="R237" s="99"/>
      <c r="S237" s="99"/>
      <c r="T237" s="99"/>
      <c r="U237" s="99"/>
      <c r="V237" s="99"/>
      <c r="W237" s="99"/>
      <c r="X237" s="99"/>
      <c r="Y237" s="99"/>
      <c r="Z237" s="100"/>
      <c r="AA237" s="101"/>
      <c r="AB237" s="99"/>
      <c r="AC237" s="99"/>
      <c r="AD237" s="99"/>
      <c r="AE237" s="99"/>
      <c r="AF237" s="99"/>
      <c r="AG237" s="100"/>
      <c r="AH237" s="101"/>
      <c r="AI237" s="99"/>
      <c r="AJ237" s="100"/>
      <c r="AK237" s="101"/>
      <c r="AL237" s="99"/>
      <c r="AM237" s="99"/>
      <c r="AN237" s="99"/>
      <c r="AO237" s="100"/>
      <c r="AP237" s="98"/>
      <c r="AQ237" s="99"/>
      <c r="AR237" s="99"/>
      <c r="AS237" s="99"/>
      <c r="AT237" s="99"/>
      <c r="AU237" s="99"/>
      <c r="AV237" s="99"/>
      <c r="AW237" s="99"/>
      <c r="AX237" s="99"/>
      <c r="AY237" s="99"/>
      <c r="AZ237" s="99"/>
      <c r="BA237" s="99"/>
      <c r="BB237" s="99"/>
      <c r="BC237" s="99"/>
      <c r="BD237" s="99"/>
      <c r="BE237" s="100"/>
      <c r="BF237" s="101"/>
      <c r="BG237" s="99"/>
      <c r="BH237" s="99"/>
      <c r="BI237" s="99"/>
      <c r="BJ237" s="99"/>
      <c r="BK237" s="99"/>
      <c r="BL237" s="100"/>
      <c r="BM237" s="101"/>
      <c r="BN237" s="99"/>
      <c r="BO237" s="100"/>
      <c r="BP237" s="101"/>
      <c r="BQ237" s="99"/>
      <c r="BR237" s="99"/>
      <c r="BS237" s="99"/>
      <c r="BT237" s="100"/>
      <c r="BU237" s="98"/>
      <c r="BV237" s="99"/>
      <c r="BW237" s="99"/>
      <c r="BX237" s="99"/>
      <c r="BY237" s="99"/>
      <c r="BZ237" s="99"/>
      <c r="CA237" s="99"/>
      <c r="CB237" s="99"/>
      <c r="CC237" s="99"/>
      <c r="CD237" s="99"/>
      <c r="CE237" s="99"/>
      <c r="CF237" s="99"/>
      <c r="CG237" s="99"/>
      <c r="CH237" s="99"/>
      <c r="CI237" s="99"/>
      <c r="CJ237" s="100"/>
      <c r="CK237" s="101"/>
      <c r="CL237" s="99"/>
      <c r="CM237" s="99"/>
      <c r="CN237" s="99"/>
      <c r="CO237" s="99"/>
      <c r="CP237" s="99"/>
      <c r="CQ237" s="100"/>
      <c r="CR237" s="101"/>
      <c r="CS237" s="99"/>
      <c r="CT237" s="100"/>
      <c r="CU237" s="101"/>
      <c r="CV237" s="99"/>
      <c r="CW237" s="99"/>
      <c r="CX237" s="99"/>
      <c r="CY237" s="99"/>
    </row>
    <row r="238" spans="1:103" outlineLevel="1" x14ac:dyDescent="0.2">
      <c r="A238" s="424" t="s">
        <v>2605</v>
      </c>
      <c r="B238" s="401" t="str">
        <f>VLOOKUP(A238,'5.2 Actions'!$A$2:$B$720,2,0)</f>
        <v xml:space="preserve">Mener des actions contre la récurrence des pollutions aux hydrocarbures dans les égouts. </v>
      </c>
      <c r="C238" s="96"/>
      <c r="D238" s="96"/>
      <c r="E238" s="96"/>
      <c r="F238" s="96"/>
      <c r="G238" s="96"/>
      <c r="H238" s="96"/>
      <c r="I238" s="97"/>
      <c r="J238" s="97"/>
      <c r="K238" s="98"/>
      <c r="L238" s="99"/>
      <c r="M238" s="99"/>
      <c r="N238" s="99"/>
      <c r="O238" s="99"/>
      <c r="P238" s="99"/>
      <c r="Q238" s="99"/>
      <c r="R238" s="99"/>
      <c r="S238" s="99"/>
      <c r="T238" s="99"/>
      <c r="U238" s="99"/>
      <c r="V238" s="99"/>
      <c r="W238" s="99"/>
      <c r="X238" s="99"/>
      <c r="Y238" s="99"/>
      <c r="Z238" s="100"/>
      <c r="AA238" s="101"/>
      <c r="AB238" s="99"/>
      <c r="AC238" s="99"/>
      <c r="AD238" s="99"/>
      <c r="AE238" s="99"/>
      <c r="AF238" s="99"/>
      <c r="AG238" s="100"/>
      <c r="AH238" s="101"/>
      <c r="AI238" s="99"/>
      <c r="AJ238" s="100"/>
      <c r="AK238" s="101"/>
      <c r="AL238" s="99"/>
      <c r="AM238" s="99"/>
      <c r="AN238" s="99"/>
      <c r="AO238" s="100"/>
      <c r="AP238" s="98"/>
      <c r="AQ238" s="99"/>
      <c r="AR238" s="99"/>
      <c r="AS238" s="99"/>
      <c r="AT238" s="99"/>
      <c r="AU238" s="99"/>
      <c r="AV238" s="99"/>
      <c r="AW238" s="99"/>
      <c r="AX238" s="99"/>
      <c r="AY238" s="99"/>
      <c r="AZ238" s="99"/>
      <c r="BA238" s="99"/>
      <c r="BB238" s="99"/>
      <c r="BC238" s="99"/>
      <c r="BD238" s="99"/>
      <c r="BE238" s="100"/>
      <c r="BF238" s="101"/>
      <c r="BG238" s="99"/>
      <c r="BH238" s="99"/>
      <c r="BI238" s="99"/>
      <c r="BJ238" s="99"/>
      <c r="BK238" s="99"/>
      <c r="BL238" s="100"/>
      <c r="BM238" s="101"/>
      <c r="BN238" s="99"/>
      <c r="BO238" s="100"/>
      <c r="BP238" s="101"/>
      <c r="BQ238" s="99"/>
      <c r="BR238" s="99"/>
      <c r="BS238" s="99"/>
      <c r="BT238" s="100"/>
      <c r="BU238" s="98"/>
      <c r="BV238" s="99"/>
      <c r="BW238" s="99"/>
      <c r="BX238" s="99"/>
      <c r="BY238" s="99"/>
      <c r="BZ238" s="99"/>
      <c r="CA238" s="99"/>
      <c r="CB238" s="99"/>
      <c r="CC238" s="99"/>
      <c r="CD238" s="99"/>
      <c r="CE238" s="99"/>
      <c r="CF238" s="99"/>
      <c r="CG238" s="99"/>
      <c r="CH238" s="99"/>
      <c r="CI238" s="99"/>
      <c r="CJ238" s="100"/>
      <c r="CK238" s="101"/>
      <c r="CL238" s="99"/>
      <c r="CM238" s="99"/>
      <c r="CN238" s="99"/>
      <c r="CO238" s="99"/>
      <c r="CP238" s="99"/>
      <c r="CQ238" s="100"/>
      <c r="CR238" s="101"/>
      <c r="CS238" s="99"/>
      <c r="CT238" s="100"/>
      <c r="CU238" s="101"/>
      <c r="CV238" s="99"/>
      <c r="CW238" s="99"/>
      <c r="CX238" s="99"/>
      <c r="CY238" s="99"/>
    </row>
    <row r="239" spans="1:103" ht="25.5" outlineLevel="1" x14ac:dyDescent="0.2">
      <c r="A239" s="424" t="s">
        <v>2862</v>
      </c>
      <c r="B239" s="296" t="s">
        <v>1652</v>
      </c>
      <c r="C239" s="96"/>
      <c r="D239" s="96"/>
      <c r="E239" s="96"/>
      <c r="F239" s="96"/>
      <c r="G239" s="96"/>
      <c r="H239" s="96"/>
      <c r="I239" s="97"/>
      <c r="J239" s="97"/>
      <c r="K239" s="98"/>
      <c r="L239" s="99"/>
      <c r="M239" s="99"/>
      <c r="N239" s="99"/>
      <c r="O239" s="99"/>
      <c r="P239" s="99"/>
      <c r="Q239" s="99"/>
      <c r="R239" s="99"/>
      <c r="S239" s="99"/>
      <c r="T239" s="99"/>
      <c r="U239" s="99"/>
      <c r="V239" s="99"/>
      <c r="W239" s="99"/>
      <c r="X239" s="99"/>
      <c r="Y239" s="99"/>
      <c r="Z239" s="100"/>
      <c r="AA239" s="101"/>
      <c r="AB239" s="99"/>
      <c r="AC239" s="99"/>
      <c r="AD239" s="99"/>
      <c r="AE239" s="99"/>
      <c r="AF239" s="99"/>
      <c r="AG239" s="100"/>
      <c r="AH239" s="101"/>
      <c r="AI239" s="99"/>
      <c r="AJ239" s="100"/>
      <c r="AK239" s="101"/>
      <c r="AL239" s="99"/>
      <c r="AM239" s="99"/>
      <c r="AN239" s="99"/>
      <c r="AO239" s="100"/>
      <c r="AP239" s="98"/>
      <c r="AQ239" s="99"/>
      <c r="AR239" s="99"/>
      <c r="AS239" s="99"/>
      <c r="AT239" s="99"/>
      <c r="AU239" s="99"/>
      <c r="AV239" s="99"/>
      <c r="AW239" s="99"/>
      <c r="AX239" s="99"/>
      <c r="AY239" s="99"/>
      <c r="AZ239" s="99"/>
      <c r="BA239" s="99"/>
      <c r="BB239" s="99"/>
      <c r="BC239" s="99"/>
      <c r="BD239" s="99"/>
      <c r="BE239" s="100"/>
      <c r="BF239" s="101"/>
      <c r="BG239" s="99"/>
      <c r="BH239" s="99"/>
      <c r="BI239" s="99"/>
      <c r="BJ239" s="99"/>
      <c r="BK239" s="99"/>
      <c r="BL239" s="100"/>
      <c r="BM239" s="101"/>
      <c r="BN239" s="99"/>
      <c r="BO239" s="100"/>
      <c r="BP239" s="101"/>
      <c r="BQ239" s="99"/>
      <c r="BR239" s="99"/>
      <c r="BS239" s="99"/>
      <c r="BT239" s="100"/>
      <c r="BU239" s="98"/>
      <c r="BV239" s="99"/>
      <c r="BW239" s="99"/>
      <c r="BX239" s="99"/>
      <c r="BY239" s="99"/>
      <c r="BZ239" s="99"/>
      <c r="CA239" s="99"/>
      <c r="CB239" s="99"/>
      <c r="CC239" s="99"/>
      <c r="CD239" s="99"/>
      <c r="CE239" s="99"/>
      <c r="CF239" s="99"/>
      <c r="CG239" s="99"/>
      <c r="CH239" s="99"/>
      <c r="CI239" s="99"/>
      <c r="CJ239" s="100"/>
      <c r="CK239" s="101"/>
      <c r="CL239" s="99"/>
      <c r="CM239" s="99"/>
      <c r="CN239" s="99"/>
      <c r="CO239" s="99"/>
      <c r="CP239" s="99"/>
      <c r="CQ239" s="100"/>
      <c r="CR239" s="101"/>
      <c r="CS239" s="99"/>
      <c r="CT239" s="100"/>
      <c r="CU239" s="101"/>
      <c r="CV239" s="99"/>
      <c r="CW239" s="99"/>
      <c r="CX239" s="99"/>
      <c r="CY239" s="99"/>
    </row>
    <row r="240" spans="1:103" ht="140.25" outlineLevel="1" x14ac:dyDescent="0.2">
      <c r="A240" s="424" t="s">
        <v>2861</v>
      </c>
      <c r="B240" s="401" t="str">
        <f>VLOOKUP(A240,'5.2 Actions'!$A$2:$B$720,2,0)</f>
        <v>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v>
      </c>
      <c r="C240" s="96"/>
      <c r="D240" s="96"/>
      <c r="E240" s="96"/>
      <c r="F240" s="96"/>
      <c r="G240" s="96"/>
      <c r="H240" s="96"/>
      <c r="I240" s="97"/>
      <c r="J240" s="97"/>
      <c r="K240" s="98"/>
      <c r="L240" s="99"/>
      <c r="M240" s="99"/>
      <c r="N240" s="99"/>
      <c r="O240" s="99"/>
      <c r="P240" s="99"/>
      <c r="Q240" s="99"/>
      <c r="R240" s="99"/>
      <c r="S240" s="99"/>
      <c r="T240" s="99"/>
      <c r="U240" s="99"/>
      <c r="V240" s="99"/>
      <c r="W240" s="99"/>
      <c r="X240" s="99"/>
      <c r="Y240" s="99"/>
      <c r="Z240" s="100"/>
      <c r="AA240" s="101"/>
      <c r="AB240" s="99"/>
      <c r="AC240" s="99"/>
      <c r="AD240" s="99"/>
      <c r="AE240" s="99"/>
      <c r="AF240" s="99"/>
      <c r="AG240" s="100"/>
      <c r="AH240" s="101"/>
      <c r="AI240" s="99"/>
      <c r="AJ240" s="100"/>
      <c r="AK240" s="101"/>
      <c r="AL240" s="99"/>
      <c r="AM240" s="99"/>
      <c r="AN240" s="99"/>
      <c r="AO240" s="100"/>
      <c r="AP240" s="98"/>
      <c r="AQ240" s="99"/>
      <c r="AR240" s="99"/>
      <c r="AS240" s="99"/>
      <c r="AT240" s="99"/>
      <c r="AU240" s="99"/>
      <c r="AV240" s="99"/>
      <c r="AW240" s="99"/>
      <c r="AX240" s="99"/>
      <c r="AY240" s="99"/>
      <c r="AZ240" s="99"/>
      <c r="BA240" s="99"/>
      <c r="BB240" s="99"/>
      <c r="BC240" s="99"/>
      <c r="BD240" s="99"/>
      <c r="BE240" s="100"/>
      <c r="BF240" s="101"/>
      <c r="BG240" s="99"/>
      <c r="BH240" s="99"/>
      <c r="BI240" s="99"/>
      <c r="BJ240" s="99"/>
      <c r="BK240" s="99"/>
      <c r="BL240" s="100"/>
      <c r="BM240" s="101"/>
      <c r="BN240" s="99"/>
      <c r="BO240" s="100"/>
      <c r="BP240" s="101"/>
      <c r="BQ240" s="99"/>
      <c r="BR240" s="99"/>
      <c r="BS240" s="99"/>
      <c r="BT240" s="100"/>
      <c r="BU240" s="98"/>
      <c r="BV240" s="99"/>
      <c r="BW240" s="99"/>
      <c r="BX240" s="99"/>
      <c r="BY240" s="99"/>
      <c r="BZ240" s="99"/>
      <c r="CA240" s="99"/>
      <c r="CB240" s="99"/>
      <c r="CC240" s="99"/>
      <c r="CD240" s="99"/>
      <c r="CE240" s="99"/>
      <c r="CF240" s="99"/>
      <c r="CG240" s="99"/>
      <c r="CH240" s="99"/>
      <c r="CI240" s="99"/>
      <c r="CJ240" s="100"/>
      <c r="CK240" s="101"/>
      <c r="CL240" s="99"/>
      <c r="CM240" s="99"/>
      <c r="CN240" s="99"/>
      <c r="CO240" s="99"/>
      <c r="CP240" s="99"/>
      <c r="CQ240" s="100"/>
      <c r="CR240" s="101"/>
      <c r="CS240" s="99"/>
      <c r="CT240" s="100"/>
      <c r="CU240" s="101"/>
      <c r="CV240" s="99"/>
      <c r="CW240" s="99"/>
      <c r="CX240" s="99"/>
      <c r="CY240" s="99"/>
    </row>
    <row r="241" spans="1:103" ht="38.25" outlineLevel="1" x14ac:dyDescent="0.2">
      <c r="A241" s="424" t="s">
        <v>2607</v>
      </c>
      <c r="B241" s="401" t="str">
        <f>VLOOKUP(A241,'5.2 Actions'!$A$2:$B$720,2,0)</f>
        <v>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v>
      </c>
      <c r="C241" s="96"/>
      <c r="D241" s="96"/>
      <c r="E241" s="96"/>
      <c r="F241" s="96"/>
      <c r="G241" s="96"/>
      <c r="H241" s="96"/>
      <c r="I241" s="97"/>
      <c r="J241" s="97"/>
      <c r="K241" s="98"/>
      <c r="L241" s="99"/>
      <c r="M241" s="99"/>
      <c r="N241" s="99"/>
      <c r="O241" s="99"/>
      <c r="P241" s="99"/>
      <c r="Q241" s="99"/>
      <c r="R241" s="99"/>
      <c r="S241" s="99"/>
      <c r="T241" s="99"/>
      <c r="U241" s="99"/>
      <c r="V241" s="99"/>
      <c r="W241" s="99"/>
      <c r="X241" s="99"/>
      <c r="Y241" s="99"/>
      <c r="Z241" s="100"/>
      <c r="AA241" s="101"/>
      <c r="AB241" s="99"/>
      <c r="AC241" s="99"/>
      <c r="AD241" s="99"/>
      <c r="AE241" s="99"/>
      <c r="AF241" s="99"/>
      <c r="AG241" s="100"/>
      <c r="AH241" s="101"/>
      <c r="AI241" s="99"/>
      <c r="AJ241" s="100"/>
      <c r="AK241" s="101"/>
      <c r="AL241" s="99"/>
      <c r="AM241" s="99"/>
      <c r="AN241" s="99"/>
      <c r="AO241" s="100"/>
      <c r="AP241" s="98"/>
      <c r="AQ241" s="99"/>
      <c r="AR241" s="99"/>
      <c r="AS241" s="99"/>
      <c r="AT241" s="99"/>
      <c r="AU241" s="99"/>
      <c r="AV241" s="99"/>
      <c r="AW241" s="99"/>
      <c r="AX241" s="99"/>
      <c r="AY241" s="99"/>
      <c r="AZ241" s="99"/>
      <c r="BA241" s="99"/>
      <c r="BB241" s="99"/>
      <c r="BC241" s="99"/>
      <c r="BD241" s="99"/>
      <c r="BE241" s="100"/>
      <c r="BF241" s="101"/>
      <c r="BG241" s="99"/>
      <c r="BH241" s="99"/>
      <c r="BI241" s="99"/>
      <c r="BJ241" s="99"/>
      <c r="BK241" s="99"/>
      <c r="BL241" s="100"/>
      <c r="BM241" s="101"/>
      <c r="BN241" s="99"/>
      <c r="BO241" s="100"/>
      <c r="BP241" s="101"/>
      <c r="BQ241" s="99"/>
      <c r="BR241" s="99"/>
      <c r="BS241" s="99"/>
      <c r="BT241" s="100"/>
      <c r="BU241" s="98"/>
      <c r="BV241" s="99"/>
      <c r="BW241" s="99"/>
      <c r="BX241" s="99"/>
      <c r="BY241" s="99"/>
      <c r="BZ241" s="99"/>
      <c r="CA241" s="99"/>
      <c r="CB241" s="99"/>
      <c r="CC241" s="99"/>
      <c r="CD241" s="99"/>
      <c r="CE241" s="99"/>
      <c r="CF241" s="99"/>
      <c r="CG241" s="99"/>
      <c r="CH241" s="99"/>
      <c r="CI241" s="99"/>
      <c r="CJ241" s="100"/>
      <c r="CK241" s="101"/>
      <c r="CL241" s="99"/>
      <c r="CM241" s="99"/>
      <c r="CN241" s="99"/>
      <c r="CO241" s="99"/>
      <c r="CP241" s="99"/>
      <c r="CQ241" s="100"/>
      <c r="CR241" s="101"/>
      <c r="CS241" s="99"/>
      <c r="CT241" s="100"/>
      <c r="CU241" s="101"/>
      <c r="CV241" s="99"/>
      <c r="CW241" s="99"/>
      <c r="CX241" s="99"/>
      <c r="CY241" s="99"/>
    </row>
    <row r="242" spans="1:103" ht="25.5" outlineLevel="1" x14ac:dyDescent="0.2">
      <c r="A242" s="424" t="s">
        <v>2608</v>
      </c>
      <c r="B242" s="401" t="str">
        <f>VLOOKUP(A242,'5.2 Actions'!$A$2:$B$720,2,0)</f>
        <v xml:space="preserve">Mise en œuvre des mesures définies (voir 1.25.11)
</v>
      </c>
      <c r="C242" s="96"/>
      <c r="D242" s="96"/>
      <c r="E242" s="96"/>
      <c r="F242" s="96"/>
      <c r="G242" s="96"/>
      <c r="H242" s="96"/>
      <c r="I242" s="97"/>
      <c r="J242" s="97"/>
      <c r="K242" s="98"/>
      <c r="L242" s="99"/>
      <c r="M242" s="99"/>
      <c r="N242" s="99"/>
      <c r="O242" s="99"/>
      <c r="P242" s="99"/>
      <c r="Q242" s="99"/>
      <c r="R242" s="99"/>
      <c r="S242" s="99"/>
      <c r="T242" s="99"/>
      <c r="U242" s="99"/>
      <c r="V242" s="99"/>
      <c r="W242" s="99"/>
      <c r="X242" s="99"/>
      <c r="Y242" s="99"/>
      <c r="Z242" s="100"/>
      <c r="AA242" s="101"/>
      <c r="AB242" s="99"/>
      <c r="AC242" s="99"/>
      <c r="AD242" s="99"/>
      <c r="AE242" s="99"/>
      <c r="AF242" s="99"/>
      <c r="AG242" s="100"/>
      <c r="AH242" s="101"/>
      <c r="AI242" s="99"/>
      <c r="AJ242" s="100"/>
      <c r="AK242" s="101"/>
      <c r="AL242" s="99"/>
      <c r="AM242" s="99"/>
      <c r="AN242" s="99"/>
      <c r="AO242" s="100"/>
      <c r="AP242" s="98"/>
      <c r="AQ242" s="99"/>
      <c r="AR242" s="99"/>
      <c r="AS242" s="99"/>
      <c r="AT242" s="99"/>
      <c r="AU242" s="99"/>
      <c r="AV242" s="99"/>
      <c r="AW242" s="99"/>
      <c r="AX242" s="99"/>
      <c r="AY242" s="99"/>
      <c r="AZ242" s="99"/>
      <c r="BA242" s="99"/>
      <c r="BB242" s="99"/>
      <c r="BC242" s="99"/>
      <c r="BD242" s="99"/>
      <c r="BE242" s="100"/>
      <c r="BF242" s="101"/>
      <c r="BG242" s="99"/>
      <c r="BH242" s="99"/>
      <c r="BI242" s="99"/>
      <c r="BJ242" s="99"/>
      <c r="BK242" s="99"/>
      <c r="BL242" s="100"/>
      <c r="BM242" s="101"/>
      <c r="BN242" s="99"/>
      <c r="BO242" s="100"/>
      <c r="BP242" s="101"/>
      <c r="BQ242" s="99"/>
      <c r="BR242" s="99"/>
      <c r="BS242" s="99"/>
      <c r="BT242" s="100"/>
      <c r="BU242" s="98"/>
      <c r="BV242" s="99"/>
      <c r="BW242" s="99"/>
      <c r="BX242" s="99"/>
      <c r="BY242" s="99"/>
      <c r="BZ242" s="99"/>
      <c r="CA242" s="99"/>
      <c r="CB242" s="99"/>
      <c r="CC242" s="99"/>
      <c r="CD242" s="99"/>
      <c r="CE242" s="99"/>
      <c r="CF242" s="99"/>
      <c r="CG242" s="99"/>
      <c r="CH242" s="99"/>
      <c r="CI242" s="99"/>
      <c r="CJ242" s="100"/>
      <c r="CK242" s="101"/>
      <c r="CL242" s="99"/>
      <c r="CM242" s="99"/>
      <c r="CN242" s="99"/>
      <c r="CO242" s="99"/>
      <c r="CP242" s="99"/>
      <c r="CQ242" s="100"/>
      <c r="CR242" s="101"/>
      <c r="CS242" s="99"/>
      <c r="CT242" s="100"/>
      <c r="CU242" s="101"/>
      <c r="CV242" s="99"/>
      <c r="CW242" s="99"/>
      <c r="CX242" s="99"/>
      <c r="CY242" s="99"/>
    </row>
    <row r="243" spans="1:103" ht="25.5" collapsed="1" x14ac:dyDescent="0.2">
      <c r="A243" s="394" t="s">
        <v>27</v>
      </c>
      <c r="B243" s="395" t="str">
        <f>VLOOKUP(A243,'1. Mesures'!$A$2:$B$116,2,0)</f>
        <v>Identifier les opportunités de connexion au réseau hydrographique des eaux claires actuellement perdues par temps sec dans le réseau d’égouttage et définir un débit minimum écologique et une hauteur d'eau minimale pour les masses d'eau</v>
      </c>
      <c r="C243" s="96"/>
      <c r="D243" s="96"/>
      <c r="E243" s="96"/>
      <c r="F243" s="96" t="e">
        <v>#N/A</v>
      </c>
      <c r="G243" s="96"/>
      <c r="H243" s="96" t="e">
        <v>#N/A</v>
      </c>
      <c r="I243" s="97" t="s">
        <v>1589</v>
      </c>
      <c r="J243" s="97"/>
      <c r="K243" s="98" t="s">
        <v>1590</v>
      </c>
      <c r="L243" s="99" t="s">
        <v>1590</v>
      </c>
      <c r="M243" s="99" t="s">
        <v>1590</v>
      </c>
      <c r="N243" s="99" t="s">
        <v>1590</v>
      </c>
      <c r="O243" s="99" t="s">
        <v>1590</v>
      </c>
      <c r="P243" s="99" t="s">
        <v>1590</v>
      </c>
      <c r="Q243" s="99" t="s">
        <v>1590</v>
      </c>
      <c r="R243" s="99" t="s">
        <v>1590</v>
      </c>
      <c r="S243" s="99" t="s">
        <v>1590</v>
      </c>
      <c r="T243" s="99" t="s">
        <v>1590</v>
      </c>
      <c r="U243" s="99" t="s">
        <v>1590</v>
      </c>
      <c r="V243" s="99"/>
      <c r="W243" s="99" t="s">
        <v>1590</v>
      </c>
      <c r="X243" s="99" t="s">
        <v>1590</v>
      </c>
      <c r="Y243" s="99" t="s">
        <v>1590</v>
      </c>
      <c r="Z243" s="100" t="s">
        <v>1590</v>
      </c>
      <c r="AA243" s="101" t="s">
        <v>1590</v>
      </c>
      <c r="AB243" s="99" t="s">
        <v>1590</v>
      </c>
      <c r="AC243" s="99" t="s">
        <v>1590</v>
      </c>
      <c r="AD243" s="99" t="s">
        <v>1590</v>
      </c>
      <c r="AE243" s="99" t="s">
        <v>1590</v>
      </c>
      <c r="AF243" s="99" t="s">
        <v>1590</v>
      </c>
      <c r="AG243" s="100" t="s">
        <v>1590</v>
      </c>
      <c r="AH243" s="101"/>
      <c r="AI243" s="99"/>
      <c r="AJ243" s="100"/>
      <c r="AK243" s="101"/>
      <c r="AL243" s="99" t="s">
        <v>1590</v>
      </c>
      <c r="AM243" s="99" t="s">
        <v>1590</v>
      </c>
      <c r="AN243" s="99" t="s">
        <v>1590</v>
      </c>
      <c r="AO243" s="100" t="s">
        <v>1590</v>
      </c>
      <c r="AP243" s="98"/>
      <c r="AQ243" s="99" t="s">
        <v>1590</v>
      </c>
      <c r="AR243" s="99" t="s">
        <v>1590</v>
      </c>
      <c r="AS243" s="99" t="s">
        <v>1590</v>
      </c>
      <c r="AT243" s="99" t="s">
        <v>1590</v>
      </c>
      <c r="AU243" s="99" t="s">
        <v>1590</v>
      </c>
      <c r="AV243" s="99"/>
      <c r="AW243" s="99" t="s">
        <v>1590</v>
      </c>
      <c r="AX243" s="99" t="s">
        <v>1590</v>
      </c>
      <c r="AY243" s="99"/>
      <c r="AZ243" s="99" t="s">
        <v>1590</v>
      </c>
      <c r="BA243" s="99" t="s">
        <v>1590</v>
      </c>
      <c r="BB243" s="99" t="s">
        <v>1590</v>
      </c>
      <c r="BC243" s="99" t="s">
        <v>1590</v>
      </c>
      <c r="BD243" s="99"/>
      <c r="BE243" s="100" t="s">
        <v>1590</v>
      </c>
      <c r="BF243" s="101" t="s">
        <v>1590</v>
      </c>
      <c r="BG243" s="99"/>
      <c r="BH243" s="99"/>
      <c r="BI243" s="99"/>
      <c r="BJ243" s="99"/>
      <c r="BK243" s="99"/>
      <c r="BL243" s="100"/>
      <c r="BM243" s="101"/>
      <c r="BN243" s="99"/>
      <c r="BO243" s="100"/>
      <c r="BP243" s="101"/>
      <c r="BQ243" s="99" t="s">
        <v>1590</v>
      </c>
      <c r="BR243" s="99"/>
      <c r="BS243" s="99" t="s">
        <v>1590</v>
      </c>
      <c r="BT243" s="100" t="s">
        <v>1590</v>
      </c>
      <c r="BU243" s="98"/>
      <c r="BV243" s="99"/>
      <c r="BW243" s="99"/>
      <c r="BX243" s="99" t="s">
        <v>1590</v>
      </c>
      <c r="BY243" s="99" t="s">
        <v>1590</v>
      </c>
      <c r="BZ243" s="99" t="s">
        <v>1590</v>
      </c>
      <c r="CA243" s="99"/>
      <c r="CB243" s="99"/>
      <c r="CC243" s="99"/>
      <c r="CD243" s="99"/>
      <c r="CE243" s="99"/>
      <c r="CF243" s="99"/>
      <c r="CG243" s="99" t="s">
        <v>1590</v>
      </c>
      <c r="CH243" s="99" t="s">
        <v>1590</v>
      </c>
      <c r="CI243" s="99"/>
      <c r="CJ243" s="100"/>
      <c r="CK243" s="101"/>
      <c r="CL243" s="99"/>
      <c r="CM243" s="99"/>
      <c r="CN243" s="99"/>
      <c r="CO243" s="99"/>
      <c r="CP243" s="99" t="s">
        <v>1590</v>
      </c>
      <c r="CQ243" s="100"/>
      <c r="CR243" s="101"/>
      <c r="CS243" s="99"/>
      <c r="CT243" s="100"/>
      <c r="CU243" s="101"/>
      <c r="CV243" s="99" t="s">
        <v>1590</v>
      </c>
      <c r="CW243" s="99"/>
      <c r="CX243" s="99" t="s">
        <v>1590</v>
      </c>
      <c r="CY243" s="99" t="s">
        <v>1590</v>
      </c>
    </row>
    <row r="244" spans="1:103" ht="25.5" hidden="1" outlineLevel="1" x14ac:dyDescent="0.2">
      <c r="A244" s="427" t="s">
        <v>763</v>
      </c>
      <c r="B244" s="428" t="str">
        <f>VLOOKUP(A244,'5.2 Actions'!$A$2:$B$720,2,0)</f>
        <v>Développer par vallée une vision des offres potentielles d'eau supplémentaire actuellement perdues à l'égout et des besoins des milieux récepteurs en aval qui pourraient bénéficier de ces eaux supplémentaires</v>
      </c>
      <c r="C244" s="96"/>
      <c r="D244" s="96"/>
      <c r="E244" s="96"/>
      <c r="F244" s="96">
        <v>0</v>
      </c>
      <c r="G244" s="96"/>
      <c r="H244" s="96">
        <v>0</v>
      </c>
      <c r="I244" s="97"/>
      <c r="J244" s="97"/>
      <c r="K244" s="98"/>
      <c r="L244" s="99"/>
      <c r="M244" s="99"/>
      <c r="N244" s="99"/>
      <c r="O244" s="99"/>
      <c r="P244" s="99"/>
      <c r="Q244" s="99"/>
      <c r="R244" s="99"/>
      <c r="S244" s="99"/>
      <c r="T244" s="99"/>
      <c r="U244" s="99"/>
      <c r="V244" s="99"/>
      <c r="W244" s="99"/>
      <c r="X244" s="99"/>
      <c r="Y244" s="99"/>
      <c r="Z244" s="100"/>
      <c r="AA244" s="101"/>
      <c r="AB244" s="99"/>
      <c r="AC244" s="99"/>
      <c r="AD244" s="99"/>
      <c r="AE244" s="99"/>
      <c r="AF244" s="99"/>
      <c r="AG244" s="100"/>
      <c r="AH244" s="101"/>
      <c r="AI244" s="99"/>
      <c r="AJ244" s="100"/>
      <c r="AK244" s="101"/>
      <c r="AL244" s="99"/>
      <c r="AM244" s="99"/>
      <c r="AN244" s="99"/>
      <c r="AO244" s="100"/>
      <c r="AP244" s="98"/>
      <c r="AQ244" s="99"/>
      <c r="AR244" s="99"/>
      <c r="AS244" s="99"/>
      <c r="AT244" s="99"/>
      <c r="AU244" s="99"/>
      <c r="AV244" s="99"/>
      <c r="AW244" s="99"/>
      <c r="AX244" s="99"/>
      <c r="AY244" s="99"/>
      <c r="AZ244" s="99"/>
      <c r="BA244" s="99"/>
      <c r="BB244" s="99"/>
      <c r="BC244" s="99"/>
      <c r="BD244" s="99"/>
      <c r="BE244" s="100"/>
      <c r="BF244" s="101"/>
      <c r="BG244" s="99"/>
      <c r="BH244" s="99"/>
      <c r="BI244" s="99"/>
      <c r="BJ244" s="99"/>
      <c r="BK244" s="99"/>
      <c r="BL244" s="100"/>
      <c r="BM244" s="101"/>
      <c r="BN244" s="99"/>
      <c r="BO244" s="100"/>
      <c r="BP244" s="101"/>
      <c r="BQ244" s="99"/>
      <c r="BR244" s="99"/>
      <c r="BS244" s="99"/>
      <c r="BT244" s="100"/>
      <c r="BU244" s="98"/>
      <c r="BV244" s="99"/>
      <c r="BW244" s="99"/>
      <c r="BX244" s="99"/>
      <c r="BY244" s="99"/>
      <c r="BZ244" s="99"/>
      <c r="CA244" s="99"/>
      <c r="CB244" s="99"/>
      <c r="CC244" s="99"/>
      <c r="CD244" s="99"/>
      <c r="CE244" s="99"/>
      <c r="CF244" s="99"/>
      <c r="CG244" s="99"/>
      <c r="CH244" s="99"/>
      <c r="CI244" s="99"/>
      <c r="CJ244" s="100"/>
      <c r="CK244" s="101"/>
      <c r="CL244" s="99"/>
      <c r="CM244" s="99"/>
      <c r="CN244" s="99"/>
      <c r="CO244" s="99"/>
      <c r="CP244" s="99"/>
      <c r="CQ244" s="100"/>
      <c r="CR244" s="101"/>
      <c r="CS244" s="99"/>
      <c r="CT244" s="100"/>
      <c r="CU244" s="101"/>
      <c r="CV244" s="99"/>
      <c r="CW244" s="99"/>
      <c r="CX244" s="99"/>
      <c r="CY244" s="99"/>
    </row>
    <row r="245" spans="1:103" hidden="1" outlineLevel="1" x14ac:dyDescent="0.2">
      <c r="A245" s="427" t="s">
        <v>765</v>
      </c>
      <c r="B245" s="428" t="str">
        <f>VLOOKUP(A245,'5.2 Actions'!$A$2:$B$720,2,0)</f>
        <v>Programme Brusseau-Bis dans la vallée du Molenbeek</v>
      </c>
      <c r="C245" s="96"/>
      <c r="D245" s="96"/>
      <c r="E245" s="96"/>
      <c r="F245" s="96">
        <v>0</v>
      </c>
      <c r="G245" s="96"/>
      <c r="H245" s="96">
        <v>0</v>
      </c>
      <c r="I245" s="97"/>
      <c r="J245" s="97"/>
      <c r="K245" s="98"/>
      <c r="L245" s="99"/>
      <c r="M245" s="99"/>
      <c r="N245" s="99"/>
      <c r="O245" s="99"/>
      <c r="P245" s="99"/>
      <c r="Q245" s="99"/>
      <c r="R245" s="99"/>
      <c r="S245" s="99"/>
      <c r="T245" s="99"/>
      <c r="U245" s="99"/>
      <c r="V245" s="99"/>
      <c r="W245" s="99"/>
      <c r="X245" s="99"/>
      <c r="Y245" s="99"/>
      <c r="Z245" s="100"/>
      <c r="AA245" s="101"/>
      <c r="AB245" s="99"/>
      <c r="AC245" s="99"/>
      <c r="AD245" s="99"/>
      <c r="AE245" s="99"/>
      <c r="AF245" s="99"/>
      <c r="AG245" s="100"/>
      <c r="AH245" s="101"/>
      <c r="AI245" s="99"/>
      <c r="AJ245" s="100"/>
      <c r="AK245" s="101"/>
      <c r="AL245" s="99"/>
      <c r="AM245" s="99"/>
      <c r="AN245" s="99"/>
      <c r="AO245" s="100"/>
      <c r="AP245" s="98"/>
      <c r="AQ245" s="99"/>
      <c r="AR245" s="99"/>
      <c r="AS245" s="99"/>
      <c r="AT245" s="99"/>
      <c r="AU245" s="99"/>
      <c r="AV245" s="99"/>
      <c r="AW245" s="99"/>
      <c r="AX245" s="99"/>
      <c r="AY245" s="99"/>
      <c r="AZ245" s="99"/>
      <c r="BA245" s="99"/>
      <c r="BB245" s="99"/>
      <c r="BC245" s="99"/>
      <c r="BD245" s="99"/>
      <c r="BE245" s="100"/>
      <c r="BF245" s="101"/>
      <c r="BG245" s="99"/>
      <c r="BH245" s="99"/>
      <c r="BI245" s="99"/>
      <c r="BJ245" s="99"/>
      <c r="BK245" s="99"/>
      <c r="BL245" s="100"/>
      <c r="BM245" s="101"/>
      <c r="BN245" s="99"/>
      <c r="BO245" s="100"/>
      <c r="BP245" s="101"/>
      <c r="BQ245" s="99"/>
      <c r="BR245" s="99"/>
      <c r="BS245" s="99"/>
      <c r="BT245" s="100"/>
      <c r="BU245" s="98"/>
      <c r="BV245" s="99"/>
      <c r="BW245" s="99"/>
      <c r="BX245" s="99"/>
      <c r="BY245" s="99"/>
      <c r="BZ245" s="99"/>
      <c r="CA245" s="99"/>
      <c r="CB245" s="99"/>
      <c r="CC245" s="99"/>
      <c r="CD245" s="99"/>
      <c r="CE245" s="99"/>
      <c r="CF245" s="99"/>
      <c r="CG245" s="99"/>
      <c r="CH245" s="99"/>
      <c r="CI245" s="99"/>
      <c r="CJ245" s="100"/>
      <c r="CK245" s="101"/>
      <c r="CL245" s="99"/>
      <c r="CM245" s="99"/>
      <c r="CN245" s="99"/>
      <c r="CO245" s="99"/>
      <c r="CP245" s="99"/>
      <c r="CQ245" s="100"/>
      <c r="CR245" s="101"/>
      <c r="CS245" s="99"/>
      <c r="CT245" s="100"/>
      <c r="CU245" s="101"/>
      <c r="CV245" s="99"/>
      <c r="CW245" s="99"/>
      <c r="CX245" s="99"/>
      <c r="CY245" s="99"/>
    </row>
    <row r="246" spans="1:103" hidden="1" outlineLevel="1" x14ac:dyDescent="0.2">
      <c r="A246" s="427" t="s">
        <v>766</v>
      </c>
      <c r="B246" s="428" t="str">
        <f>VLOOKUP(A246,'5.2 Actions'!$A$2:$B$720,2,0)</f>
        <v>Vérifier l'étanchéité des moines vers les collecteurs présents sur certains étangs spécifiques</v>
      </c>
      <c r="C246" s="96"/>
      <c r="D246" s="96"/>
      <c r="E246" s="96"/>
      <c r="F246" s="96">
        <v>0</v>
      </c>
      <c r="G246" s="96"/>
      <c r="H246" s="96">
        <v>0</v>
      </c>
      <c r="I246" s="97"/>
      <c r="J246" s="97"/>
      <c r="K246" s="98"/>
      <c r="L246" s="99"/>
      <c r="M246" s="99"/>
      <c r="N246" s="99"/>
      <c r="O246" s="99"/>
      <c r="P246" s="99"/>
      <c r="Q246" s="99"/>
      <c r="R246" s="99"/>
      <c r="S246" s="99"/>
      <c r="T246" s="99"/>
      <c r="U246" s="99"/>
      <c r="V246" s="99"/>
      <c r="W246" s="99"/>
      <c r="X246" s="99"/>
      <c r="Y246" s="99"/>
      <c r="Z246" s="100"/>
      <c r="AA246" s="101"/>
      <c r="AB246" s="99"/>
      <c r="AC246" s="99"/>
      <c r="AD246" s="99"/>
      <c r="AE246" s="99"/>
      <c r="AF246" s="99"/>
      <c r="AG246" s="100"/>
      <c r="AH246" s="101"/>
      <c r="AI246" s="99"/>
      <c r="AJ246" s="100"/>
      <c r="AK246" s="101"/>
      <c r="AL246" s="99"/>
      <c r="AM246" s="99"/>
      <c r="AN246" s="99"/>
      <c r="AO246" s="100"/>
      <c r="AP246" s="98"/>
      <c r="AQ246" s="99"/>
      <c r="AR246" s="99"/>
      <c r="AS246" s="99"/>
      <c r="AT246" s="99"/>
      <c r="AU246" s="99"/>
      <c r="AV246" s="99"/>
      <c r="AW246" s="99"/>
      <c r="AX246" s="99"/>
      <c r="AY246" s="99"/>
      <c r="AZ246" s="99"/>
      <c r="BA246" s="99"/>
      <c r="BB246" s="99"/>
      <c r="BC246" s="99"/>
      <c r="BD246" s="99"/>
      <c r="BE246" s="100"/>
      <c r="BF246" s="101"/>
      <c r="BG246" s="99"/>
      <c r="BH246" s="99"/>
      <c r="BI246" s="99"/>
      <c r="BJ246" s="99"/>
      <c r="BK246" s="99"/>
      <c r="BL246" s="100"/>
      <c r="BM246" s="101"/>
      <c r="BN246" s="99"/>
      <c r="BO246" s="100"/>
      <c r="BP246" s="101"/>
      <c r="BQ246" s="99"/>
      <c r="BR246" s="99"/>
      <c r="BS246" s="99"/>
      <c r="BT246" s="100"/>
      <c r="BU246" s="98"/>
      <c r="BV246" s="99"/>
      <c r="BW246" s="99"/>
      <c r="BX246" s="99"/>
      <c r="BY246" s="99"/>
      <c r="BZ246" s="99"/>
      <c r="CA246" s="99"/>
      <c r="CB246" s="99"/>
      <c r="CC246" s="99"/>
      <c r="CD246" s="99"/>
      <c r="CE246" s="99"/>
      <c r="CF246" s="99"/>
      <c r="CG246" s="99"/>
      <c r="CH246" s="99"/>
      <c r="CI246" s="99"/>
      <c r="CJ246" s="100"/>
      <c r="CK246" s="101"/>
      <c r="CL246" s="99"/>
      <c r="CM246" s="99"/>
      <c r="CN246" s="99"/>
      <c r="CO246" s="99"/>
      <c r="CP246" s="99"/>
      <c r="CQ246" s="100"/>
      <c r="CR246" s="101"/>
      <c r="CS246" s="99"/>
      <c r="CT246" s="100"/>
      <c r="CU246" s="101"/>
      <c r="CV246" s="99"/>
      <c r="CW246" s="99"/>
      <c r="CX246" s="99"/>
      <c r="CY246" s="99"/>
    </row>
    <row r="247" spans="1:103" ht="25.5" hidden="1" outlineLevel="1" x14ac:dyDescent="0.2">
      <c r="A247" s="427" t="s">
        <v>1599</v>
      </c>
      <c r="B247" s="428" t="str">
        <f>VLOOKUP(A247,'5.2 Actions'!$A$2:$B$720,2,0)</f>
        <v>Établir une méthodologie de calcul des débits minimums écologiques (ecological flows), l'appliquer aux différents tronçons du réseau hydrographique</v>
      </c>
      <c r="C247" s="96"/>
      <c r="D247" s="96"/>
      <c r="E247" s="96"/>
      <c r="F247" s="96">
        <v>0</v>
      </c>
      <c r="G247" s="96"/>
      <c r="H247" s="96">
        <v>0</v>
      </c>
      <c r="I247" s="97"/>
      <c r="J247" s="97"/>
      <c r="K247" s="98"/>
      <c r="L247" s="99"/>
      <c r="M247" s="99"/>
      <c r="N247" s="99"/>
      <c r="O247" s="99"/>
      <c r="P247" s="99"/>
      <c r="Q247" s="99"/>
      <c r="R247" s="99"/>
      <c r="S247" s="99"/>
      <c r="T247" s="99"/>
      <c r="U247" s="99"/>
      <c r="V247" s="99"/>
      <c r="W247" s="99"/>
      <c r="X247" s="99"/>
      <c r="Y247" s="99"/>
      <c r="Z247" s="100"/>
      <c r="AA247" s="101"/>
      <c r="AB247" s="99"/>
      <c r="AC247" s="99"/>
      <c r="AD247" s="99"/>
      <c r="AE247" s="99"/>
      <c r="AF247" s="99"/>
      <c r="AG247" s="100"/>
      <c r="AH247" s="101"/>
      <c r="AI247" s="99"/>
      <c r="AJ247" s="100"/>
      <c r="AK247" s="101"/>
      <c r="AL247" s="99"/>
      <c r="AM247" s="99"/>
      <c r="AN247" s="99"/>
      <c r="AO247" s="100"/>
      <c r="AP247" s="98"/>
      <c r="AQ247" s="99"/>
      <c r="AR247" s="99"/>
      <c r="AS247" s="99"/>
      <c r="AT247" s="99"/>
      <c r="AU247" s="99"/>
      <c r="AV247" s="99"/>
      <c r="AW247" s="99"/>
      <c r="AX247" s="99"/>
      <c r="AY247" s="99"/>
      <c r="AZ247" s="99"/>
      <c r="BA247" s="99"/>
      <c r="BB247" s="99"/>
      <c r="BC247" s="99"/>
      <c r="BD247" s="99"/>
      <c r="BE247" s="100"/>
      <c r="BF247" s="101"/>
      <c r="BG247" s="99"/>
      <c r="BH247" s="99"/>
      <c r="BI247" s="99"/>
      <c r="BJ247" s="99"/>
      <c r="BK247" s="99"/>
      <c r="BL247" s="100"/>
      <c r="BM247" s="101"/>
      <c r="BN247" s="99"/>
      <c r="BO247" s="100"/>
      <c r="BP247" s="101"/>
      <c r="BQ247" s="99"/>
      <c r="BR247" s="99"/>
      <c r="BS247" s="99"/>
      <c r="BT247" s="100"/>
      <c r="BU247" s="98"/>
      <c r="BV247" s="99"/>
      <c r="BW247" s="99"/>
      <c r="BX247" s="99"/>
      <c r="BY247" s="99"/>
      <c r="BZ247" s="99"/>
      <c r="CA247" s="99"/>
      <c r="CB247" s="99"/>
      <c r="CC247" s="99"/>
      <c r="CD247" s="99"/>
      <c r="CE247" s="99"/>
      <c r="CF247" s="99"/>
      <c r="CG247" s="99"/>
      <c r="CH247" s="99"/>
      <c r="CI247" s="99"/>
      <c r="CJ247" s="100"/>
      <c r="CK247" s="101"/>
      <c r="CL247" s="99"/>
      <c r="CM247" s="99"/>
      <c r="CN247" s="99"/>
      <c r="CO247" s="99"/>
      <c r="CP247" s="99"/>
      <c r="CQ247" s="100"/>
      <c r="CR247" s="101"/>
      <c r="CS247" s="99"/>
      <c r="CT247" s="100"/>
      <c r="CU247" s="101"/>
      <c r="CV247" s="99"/>
      <c r="CW247" s="99"/>
      <c r="CX247" s="99"/>
      <c r="CY247" s="99"/>
    </row>
    <row r="248" spans="1:103" hidden="1" outlineLevel="1" x14ac:dyDescent="0.2">
      <c r="A248" s="427" t="s">
        <v>767</v>
      </c>
      <c r="B248" s="428" t="str">
        <f>VLOOKUP(A248,'5.2 Actions'!$A$2:$B$720,2,0)</f>
        <v>Etude de faisabilité de reconnexion du Molenbeek à la Senne (action C13_1 Belini) + analyse du coûts-bénéfices</v>
      </c>
      <c r="C248" s="96"/>
      <c r="D248" s="96"/>
      <c r="E248" s="96"/>
      <c r="F248" s="96">
        <v>0</v>
      </c>
      <c r="G248" s="96"/>
      <c r="H248" s="96">
        <v>0</v>
      </c>
      <c r="I248" s="97"/>
      <c r="J248" s="97"/>
      <c r="K248" s="98"/>
      <c r="L248" s="99"/>
      <c r="M248" s="99"/>
      <c r="N248" s="99"/>
      <c r="O248" s="99"/>
      <c r="P248" s="99"/>
      <c r="Q248" s="99"/>
      <c r="R248" s="99"/>
      <c r="S248" s="99"/>
      <c r="T248" s="99"/>
      <c r="U248" s="99"/>
      <c r="V248" s="99"/>
      <c r="W248" s="99"/>
      <c r="X248" s="99"/>
      <c r="Y248" s="99"/>
      <c r="Z248" s="100"/>
      <c r="AA248" s="101"/>
      <c r="AB248" s="99"/>
      <c r="AC248" s="99"/>
      <c r="AD248" s="99"/>
      <c r="AE248" s="99"/>
      <c r="AF248" s="99"/>
      <c r="AG248" s="100"/>
      <c r="AH248" s="101"/>
      <c r="AI248" s="99"/>
      <c r="AJ248" s="100"/>
      <c r="AK248" s="101"/>
      <c r="AL248" s="99"/>
      <c r="AM248" s="99"/>
      <c r="AN248" s="99"/>
      <c r="AO248" s="100"/>
      <c r="AP248" s="98"/>
      <c r="AQ248" s="99"/>
      <c r="AR248" s="99"/>
      <c r="AS248" s="99"/>
      <c r="AT248" s="99"/>
      <c r="AU248" s="99"/>
      <c r="AV248" s="99"/>
      <c r="AW248" s="99"/>
      <c r="AX248" s="99"/>
      <c r="AY248" s="99"/>
      <c r="AZ248" s="99"/>
      <c r="BA248" s="99"/>
      <c r="BB248" s="99"/>
      <c r="BC248" s="99"/>
      <c r="BD248" s="99"/>
      <c r="BE248" s="100"/>
      <c r="BF248" s="101"/>
      <c r="BG248" s="99"/>
      <c r="BH248" s="99"/>
      <c r="BI248" s="99"/>
      <c r="BJ248" s="99"/>
      <c r="BK248" s="99"/>
      <c r="BL248" s="100"/>
      <c r="BM248" s="101"/>
      <c r="BN248" s="99"/>
      <c r="BO248" s="100"/>
      <c r="BP248" s="101"/>
      <c r="BQ248" s="99"/>
      <c r="BR248" s="99"/>
      <c r="BS248" s="99"/>
      <c r="BT248" s="100"/>
      <c r="BU248" s="98"/>
      <c r="BV248" s="99"/>
      <c r="BW248" s="99"/>
      <c r="BX248" s="99"/>
      <c r="BY248" s="99"/>
      <c r="BZ248" s="99"/>
      <c r="CA248" s="99"/>
      <c r="CB248" s="99"/>
      <c r="CC248" s="99"/>
      <c r="CD248" s="99"/>
      <c r="CE248" s="99"/>
      <c r="CF248" s="99"/>
      <c r="CG248" s="99"/>
      <c r="CH248" s="99"/>
      <c r="CI248" s="99"/>
      <c r="CJ248" s="100"/>
      <c r="CK248" s="101"/>
      <c r="CL248" s="99"/>
      <c r="CM248" s="99"/>
      <c r="CN248" s="99"/>
      <c r="CO248" s="99"/>
      <c r="CP248" s="99"/>
      <c r="CQ248" s="100"/>
      <c r="CR248" s="101"/>
      <c r="CS248" s="99"/>
      <c r="CT248" s="100"/>
      <c r="CU248" s="101"/>
      <c r="CV248" s="99"/>
      <c r="CW248" s="99"/>
      <c r="CX248" s="99"/>
      <c r="CY248" s="99"/>
    </row>
    <row r="249" spans="1:103" hidden="1" outlineLevel="1" x14ac:dyDescent="0.2">
      <c r="A249" s="427" t="s">
        <v>768</v>
      </c>
      <c r="B249" s="428" t="str">
        <f>VLOOKUP(A249,'5.2 Actions'!$A$2:$B$720,2,0)</f>
        <v>Etude de faisabilité de reconnexion du Neerpedebeek à la Senne + analyse du coûts-bénéfices</v>
      </c>
      <c r="C249" s="96"/>
      <c r="D249" s="96"/>
      <c r="E249" s="96"/>
      <c r="F249" s="96">
        <v>22800</v>
      </c>
      <c r="G249" s="96"/>
      <c r="H249" s="96">
        <v>22800</v>
      </c>
      <c r="I249" s="97"/>
      <c r="J249" s="97"/>
      <c r="K249" s="98"/>
      <c r="L249" s="99"/>
      <c r="M249" s="99"/>
      <c r="N249" s="99"/>
      <c r="O249" s="99"/>
      <c r="P249" s="99"/>
      <c r="Q249" s="99"/>
      <c r="R249" s="99"/>
      <c r="S249" s="99"/>
      <c r="T249" s="99"/>
      <c r="U249" s="99"/>
      <c r="V249" s="99"/>
      <c r="W249" s="99"/>
      <c r="X249" s="99"/>
      <c r="Y249" s="99"/>
      <c r="Z249" s="100"/>
      <c r="AA249" s="101"/>
      <c r="AB249" s="99"/>
      <c r="AC249" s="99"/>
      <c r="AD249" s="99"/>
      <c r="AE249" s="99"/>
      <c r="AF249" s="99"/>
      <c r="AG249" s="100"/>
      <c r="AH249" s="101"/>
      <c r="AI249" s="99"/>
      <c r="AJ249" s="100"/>
      <c r="AK249" s="101"/>
      <c r="AL249" s="99"/>
      <c r="AM249" s="99"/>
      <c r="AN249" s="99"/>
      <c r="AO249" s="100"/>
      <c r="AP249" s="98"/>
      <c r="AQ249" s="99"/>
      <c r="AR249" s="99"/>
      <c r="AS249" s="99"/>
      <c r="AT249" s="99"/>
      <c r="AU249" s="99"/>
      <c r="AV249" s="99"/>
      <c r="AW249" s="99"/>
      <c r="AX249" s="99"/>
      <c r="AY249" s="99"/>
      <c r="AZ249" s="99"/>
      <c r="BA249" s="99"/>
      <c r="BB249" s="99"/>
      <c r="BC249" s="99"/>
      <c r="BD249" s="99"/>
      <c r="BE249" s="100"/>
      <c r="BF249" s="101"/>
      <c r="BG249" s="99"/>
      <c r="BH249" s="99"/>
      <c r="BI249" s="99"/>
      <c r="BJ249" s="99"/>
      <c r="BK249" s="99"/>
      <c r="BL249" s="100"/>
      <c r="BM249" s="101"/>
      <c r="BN249" s="99"/>
      <c r="BO249" s="100"/>
      <c r="BP249" s="101"/>
      <c r="BQ249" s="99"/>
      <c r="BR249" s="99"/>
      <c r="BS249" s="99"/>
      <c r="BT249" s="100"/>
      <c r="BU249" s="98"/>
      <c r="BV249" s="99"/>
      <c r="BW249" s="99"/>
      <c r="BX249" s="99"/>
      <c r="BY249" s="99"/>
      <c r="BZ249" s="99"/>
      <c r="CA249" s="99"/>
      <c r="CB249" s="99"/>
      <c r="CC249" s="99"/>
      <c r="CD249" s="99"/>
      <c r="CE249" s="99"/>
      <c r="CF249" s="99"/>
      <c r="CG249" s="99"/>
      <c r="CH249" s="99"/>
      <c r="CI249" s="99"/>
      <c r="CJ249" s="100"/>
      <c r="CK249" s="101"/>
      <c r="CL249" s="99"/>
      <c r="CM249" s="99"/>
      <c r="CN249" s="99"/>
      <c r="CO249" s="99"/>
      <c r="CP249" s="99"/>
      <c r="CQ249" s="100"/>
      <c r="CR249" s="101"/>
      <c r="CS249" s="99"/>
      <c r="CT249" s="100"/>
      <c r="CU249" s="101"/>
      <c r="CV249" s="99"/>
      <c r="CW249" s="99"/>
      <c r="CX249" s="99"/>
      <c r="CY249" s="99"/>
    </row>
    <row r="250" spans="1:103" hidden="1" outlineLevel="1" x14ac:dyDescent="0.2">
      <c r="A250" s="427" t="s">
        <v>769</v>
      </c>
      <c r="B250" s="428" t="str">
        <f>VLOOKUP(A250,'5.2 Actions'!$A$2:$B$720,2,0)</f>
        <v>Réflexions sur la reconnexion du Watermaelbeek à la Woluwe + analyse du coûts-bénéfices</v>
      </c>
      <c r="C250" s="96"/>
      <c r="D250" s="96"/>
      <c r="E250" s="96"/>
      <c r="F250" s="96">
        <v>0</v>
      </c>
      <c r="G250" s="96"/>
      <c r="H250" s="96">
        <v>0</v>
      </c>
      <c r="I250" s="97"/>
      <c r="J250" s="97"/>
      <c r="K250" s="98"/>
      <c r="L250" s="99"/>
      <c r="M250" s="99"/>
      <c r="N250" s="99"/>
      <c r="O250" s="99"/>
      <c r="P250" s="99"/>
      <c r="Q250" s="99"/>
      <c r="R250" s="99"/>
      <c r="S250" s="99"/>
      <c r="T250" s="99"/>
      <c r="U250" s="99"/>
      <c r="V250" s="99"/>
      <c r="W250" s="99"/>
      <c r="X250" s="99"/>
      <c r="Y250" s="99"/>
      <c r="Z250" s="100"/>
      <c r="AA250" s="101"/>
      <c r="AB250" s="99"/>
      <c r="AC250" s="99"/>
      <c r="AD250" s="99"/>
      <c r="AE250" s="99"/>
      <c r="AF250" s="99"/>
      <c r="AG250" s="100"/>
      <c r="AH250" s="101"/>
      <c r="AI250" s="99"/>
      <c r="AJ250" s="100"/>
      <c r="AK250" s="101"/>
      <c r="AL250" s="99"/>
      <c r="AM250" s="99"/>
      <c r="AN250" s="99"/>
      <c r="AO250" s="100"/>
      <c r="AP250" s="98"/>
      <c r="AQ250" s="99"/>
      <c r="AR250" s="99"/>
      <c r="AS250" s="99"/>
      <c r="AT250" s="99"/>
      <c r="AU250" s="99"/>
      <c r="AV250" s="99"/>
      <c r="AW250" s="99"/>
      <c r="AX250" s="99"/>
      <c r="AY250" s="99"/>
      <c r="AZ250" s="99"/>
      <c r="BA250" s="99"/>
      <c r="BB250" s="99"/>
      <c r="BC250" s="99"/>
      <c r="BD250" s="99"/>
      <c r="BE250" s="100"/>
      <c r="BF250" s="101"/>
      <c r="BG250" s="99"/>
      <c r="BH250" s="99"/>
      <c r="BI250" s="99"/>
      <c r="BJ250" s="99"/>
      <c r="BK250" s="99"/>
      <c r="BL250" s="100"/>
      <c r="BM250" s="101"/>
      <c r="BN250" s="99"/>
      <c r="BO250" s="100"/>
      <c r="BP250" s="101"/>
      <c r="BQ250" s="99"/>
      <c r="BR250" s="99"/>
      <c r="BS250" s="99"/>
      <c r="BT250" s="100"/>
      <c r="BU250" s="98"/>
      <c r="BV250" s="99"/>
      <c r="BW250" s="99"/>
      <c r="BX250" s="99"/>
      <c r="BY250" s="99"/>
      <c r="BZ250" s="99"/>
      <c r="CA250" s="99"/>
      <c r="CB250" s="99"/>
      <c r="CC250" s="99"/>
      <c r="CD250" s="99"/>
      <c r="CE250" s="99"/>
      <c r="CF250" s="99"/>
      <c r="CG250" s="99"/>
      <c r="CH250" s="99"/>
      <c r="CI250" s="99"/>
      <c r="CJ250" s="100"/>
      <c r="CK250" s="101"/>
      <c r="CL250" s="99"/>
      <c r="CM250" s="99"/>
      <c r="CN250" s="99"/>
      <c r="CO250" s="99"/>
      <c r="CP250" s="99"/>
      <c r="CQ250" s="100"/>
      <c r="CR250" s="101"/>
      <c r="CS250" s="99"/>
      <c r="CT250" s="100"/>
      <c r="CU250" s="101"/>
      <c r="CV250" s="99"/>
      <c r="CW250" s="99"/>
      <c r="CX250" s="99"/>
      <c r="CY250" s="99"/>
    </row>
    <row r="251" spans="1:103" ht="25.5" hidden="1" outlineLevel="1" x14ac:dyDescent="0.2">
      <c r="A251" s="427" t="s">
        <v>770</v>
      </c>
      <c r="B251" s="428" t="str">
        <f>VLOOKUP(A251,'5.2 Actions'!$A$2:$B$720,2,0)</f>
        <v>Etude de faisabilité de reconnexion du Ru du Zeyp à Ganshoren (étang Rivieren et Clos des tarins) au Marais de Jette et au Molenbeek + analyse du coûts-bénéfices</v>
      </c>
      <c r="C251" s="96"/>
      <c r="D251" s="96"/>
      <c r="E251" s="96"/>
      <c r="F251" s="96">
        <v>0</v>
      </c>
      <c r="G251" s="96"/>
      <c r="H251" s="96">
        <v>0</v>
      </c>
      <c r="I251" s="97"/>
      <c r="J251" s="97"/>
      <c r="K251" s="98"/>
      <c r="L251" s="99"/>
      <c r="M251" s="99"/>
      <c r="N251" s="99"/>
      <c r="O251" s="99"/>
      <c r="P251" s="99"/>
      <c r="Q251" s="99"/>
      <c r="R251" s="99"/>
      <c r="S251" s="99"/>
      <c r="T251" s="99"/>
      <c r="U251" s="99"/>
      <c r="V251" s="99"/>
      <c r="W251" s="99"/>
      <c r="X251" s="99"/>
      <c r="Y251" s="99"/>
      <c r="Z251" s="100"/>
      <c r="AA251" s="101"/>
      <c r="AB251" s="99"/>
      <c r="AC251" s="99"/>
      <c r="AD251" s="99"/>
      <c r="AE251" s="99"/>
      <c r="AF251" s="99"/>
      <c r="AG251" s="100"/>
      <c r="AH251" s="101"/>
      <c r="AI251" s="99"/>
      <c r="AJ251" s="100"/>
      <c r="AK251" s="101"/>
      <c r="AL251" s="99"/>
      <c r="AM251" s="99"/>
      <c r="AN251" s="99"/>
      <c r="AO251" s="100"/>
      <c r="AP251" s="98"/>
      <c r="AQ251" s="99"/>
      <c r="AR251" s="99"/>
      <c r="AS251" s="99"/>
      <c r="AT251" s="99"/>
      <c r="AU251" s="99"/>
      <c r="AV251" s="99"/>
      <c r="AW251" s="99"/>
      <c r="AX251" s="99"/>
      <c r="AY251" s="99"/>
      <c r="AZ251" s="99"/>
      <c r="BA251" s="99"/>
      <c r="BB251" s="99"/>
      <c r="BC251" s="99"/>
      <c r="BD251" s="99"/>
      <c r="BE251" s="100"/>
      <c r="BF251" s="101"/>
      <c r="BG251" s="99"/>
      <c r="BH251" s="99"/>
      <c r="BI251" s="99"/>
      <c r="BJ251" s="99"/>
      <c r="BK251" s="99"/>
      <c r="BL251" s="100"/>
      <c r="BM251" s="101"/>
      <c r="BN251" s="99"/>
      <c r="BO251" s="100"/>
      <c r="BP251" s="101"/>
      <c r="BQ251" s="99"/>
      <c r="BR251" s="99"/>
      <c r="BS251" s="99"/>
      <c r="BT251" s="100"/>
      <c r="BU251" s="98"/>
      <c r="BV251" s="99"/>
      <c r="BW251" s="99"/>
      <c r="BX251" s="99"/>
      <c r="BY251" s="99"/>
      <c r="BZ251" s="99"/>
      <c r="CA251" s="99"/>
      <c r="CB251" s="99"/>
      <c r="CC251" s="99"/>
      <c r="CD251" s="99"/>
      <c r="CE251" s="99"/>
      <c r="CF251" s="99"/>
      <c r="CG251" s="99"/>
      <c r="CH251" s="99"/>
      <c r="CI251" s="99"/>
      <c r="CJ251" s="100"/>
      <c r="CK251" s="101"/>
      <c r="CL251" s="99"/>
      <c r="CM251" s="99"/>
      <c r="CN251" s="99"/>
      <c r="CO251" s="99"/>
      <c r="CP251" s="99"/>
      <c r="CQ251" s="100"/>
      <c r="CR251" s="101"/>
      <c r="CS251" s="99"/>
      <c r="CT251" s="100"/>
      <c r="CU251" s="101"/>
      <c r="CV251" s="99"/>
      <c r="CW251" s="99"/>
      <c r="CX251" s="99"/>
      <c r="CY251" s="99"/>
    </row>
    <row r="252" spans="1:103" hidden="1" outlineLevel="1" x14ac:dyDescent="0.2">
      <c r="A252" s="427" t="s">
        <v>771</v>
      </c>
      <c r="B252" s="428" t="str">
        <f>VLOOKUP(A252,'5.2 Actions'!$A$2:$B$720,2,0)</f>
        <v>Investigation et Etude de faisabilité de reconnexion de l'Ukkelbeek à la Senne + analyse du coûts-bénéfices</v>
      </c>
      <c r="C252" s="96"/>
      <c r="D252" s="96"/>
      <c r="E252" s="96"/>
      <c r="F252" s="96">
        <v>0</v>
      </c>
      <c r="G252" s="96"/>
      <c r="H252" s="96">
        <v>0</v>
      </c>
      <c r="I252" s="97"/>
      <c r="J252" s="97"/>
      <c r="K252" s="98"/>
      <c r="L252" s="99"/>
      <c r="M252" s="99"/>
      <c r="N252" s="99"/>
      <c r="O252" s="99"/>
      <c r="P252" s="99"/>
      <c r="Q252" s="99"/>
      <c r="R252" s="99"/>
      <c r="S252" s="99"/>
      <c r="T252" s="99"/>
      <c r="U252" s="99"/>
      <c r="V252" s="99"/>
      <c r="W252" s="99"/>
      <c r="X252" s="99"/>
      <c r="Y252" s="99"/>
      <c r="Z252" s="100"/>
      <c r="AA252" s="101"/>
      <c r="AB252" s="99"/>
      <c r="AC252" s="99"/>
      <c r="AD252" s="99"/>
      <c r="AE252" s="99"/>
      <c r="AF252" s="99"/>
      <c r="AG252" s="100"/>
      <c r="AH252" s="101"/>
      <c r="AI252" s="99"/>
      <c r="AJ252" s="100"/>
      <c r="AK252" s="101"/>
      <c r="AL252" s="99"/>
      <c r="AM252" s="99"/>
      <c r="AN252" s="99"/>
      <c r="AO252" s="100"/>
      <c r="AP252" s="98"/>
      <c r="AQ252" s="99"/>
      <c r="AR252" s="99"/>
      <c r="AS252" s="99"/>
      <c r="AT252" s="99"/>
      <c r="AU252" s="99"/>
      <c r="AV252" s="99"/>
      <c r="AW252" s="99"/>
      <c r="AX252" s="99"/>
      <c r="AY252" s="99"/>
      <c r="AZ252" s="99"/>
      <c r="BA252" s="99"/>
      <c r="BB252" s="99"/>
      <c r="BC252" s="99"/>
      <c r="BD252" s="99"/>
      <c r="BE252" s="100"/>
      <c r="BF252" s="101"/>
      <c r="BG252" s="99"/>
      <c r="BH252" s="99"/>
      <c r="BI252" s="99"/>
      <c r="BJ252" s="99"/>
      <c r="BK252" s="99"/>
      <c r="BL252" s="100"/>
      <c r="BM252" s="101"/>
      <c r="BN252" s="99"/>
      <c r="BO252" s="100"/>
      <c r="BP252" s="101"/>
      <c r="BQ252" s="99"/>
      <c r="BR252" s="99"/>
      <c r="BS252" s="99"/>
      <c r="BT252" s="100"/>
      <c r="BU252" s="98"/>
      <c r="BV252" s="99"/>
      <c r="BW252" s="99"/>
      <c r="BX252" s="99"/>
      <c r="BY252" s="99"/>
      <c r="BZ252" s="99"/>
      <c r="CA252" s="99"/>
      <c r="CB252" s="99"/>
      <c r="CC252" s="99"/>
      <c r="CD252" s="99"/>
      <c r="CE252" s="99"/>
      <c r="CF252" s="99"/>
      <c r="CG252" s="99"/>
      <c r="CH252" s="99"/>
      <c r="CI252" s="99"/>
      <c r="CJ252" s="100"/>
      <c r="CK252" s="101"/>
      <c r="CL252" s="99"/>
      <c r="CM252" s="99"/>
      <c r="CN252" s="99"/>
      <c r="CO252" s="99"/>
      <c r="CP252" s="99"/>
      <c r="CQ252" s="100"/>
      <c r="CR252" s="101"/>
      <c r="CS252" s="99"/>
      <c r="CT252" s="100"/>
      <c r="CU252" s="101"/>
      <c r="CV252" s="99"/>
      <c r="CW252" s="99"/>
      <c r="CX252" s="99"/>
      <c r="CY252" s="99"/>
    </row>
    <row r="253" spans="1:103" ht="25.5" hidden="1" outlineLevel="1" x14ac:dyDescent="0.2">
      <c r="A253" s="427" t="s">
        <v>772</v>
      </c>
      <c r="B253" s="428" t="str">
        <f>VLOOKUP(A253,'5.2 Actions'!$A$2:$B$720,2,0)</f>
        <v>Réflexions sur la récupération vers le réseau hydrographique des eaux claires de drainage s'infiltrant dans les collecteurs + analyse du coûts-bénéfices. (dont le collecteur passant dans le marais de Jette et Ganshoren)</v>
      </c>
      <c r="C253" s="96"/>
      <c r="D253" s="96"/>
      <c r="E253" s="96"/>
      <c r="F253" s="96">
        <v>0</v>
      </c>
      <c r="G253" s="96"/>
      <c r="H253" s="96">
        <v>0</v>
      </c>
      <c r="I253" s="97"/>
      <c r="J253" s="97"/>
      <c r="K253" s="98"/>
      <c r="L253" s="99"/>
      <c r="M253" s="99"/>
      <c r="N253" s="99"/>
      <c r="O253" s="99"/>
      <c r="P253" s="99"/>
      <c r="Q253" s="99"/>
      <c r="R253" s="99"/>
      <c r="S253" s="99"/>
      <c r="T253" s="99"/>
      <c r="U253" s="99"/>
      <c r="V253" s="99"/>
      <c r="W253" s="99"/>
      <c r="X253" s="99"/>
      <c r="Y253" s="99"/>
      <c r="Z253" s="100"/>
      <c r="AA253" s="101"/>
      <c r="AB253" s="99"/>
      <c r="AC253" s="99"/>
      <c r="AD253" s="99"/>
      <c r="AE253" s="99"/>
      <c r="AF253" s="99"/>
      <c r="AG253" s="100"/>
      <c r="AH253" s="101"/>
      <c r="AI253" s="99"/>
      <c r="AJ253" s="100"/>
      <c r="AK253" s="101"/>
      <c r="AL253" s="99"/>
      <c r="AM253" s="99"/>
      <c r="AN253" s="99"/>
      <c r="AO253" s="100"/>
      <c r="AP253" s="98"/>
      <c r="AQ253" s="99"/>
      <c r="AR253" s="99"/>
      <c r="AS253" s="99"/>
      <c r="AT253" s="99"/>
      <c r="AU253" s="99"/>
      <c r="AV253" s="99"/>
      <c r="AW253" s="99"/>
      <c r="AX253" s="99"/>
      <c r="AY253" s="99"/>
      <c r="AZ253" s="99"/>
      <c r="BA253" s="99"/>
      <c r="BB253" s="99"/>
      <c r="BC253" s="99"/>
      <c r="BD253" s="99"/>
      <c r="BE253" s="100"/>
      <c r="BF253" s="101"/>
      <c r="BG253" s="99"/>
      <c r="BH253" s="99"/>
      <c r="BI253" s="99"/>
      <c r="BJ253" s="99"/>
      <c r="BK253" s="99"/>
      <c r="BL253" s="100"/>
      <c r="BM253" s="101"/>
      <c r="BN253" s="99"/>
      <c r="BO253" s="100"/>
      <c r="BP253" s="101"/>
      <c r="BQ253" s="99"/>
      <c r="BR253" s="99"/>
      <c r="BS253" s="99"/>
      <c r="BT253" s="100"/>
      <c r="BU253" s="98"/>
      <c r="BV253" s="99"/>
      <c r="BW253" s="99"/>
      <c r="BX253" s="99"/>
      <c r="BY253" s="99"/>
      <c r="BZ253" s="99"/>
      <c r="CA253" s="99"/>
      <c r="CB253" s="99"/>
      <c r="CC253" s="99"/>
      <c r="CD253" s="99"/>
      <c r="CE253" s="99"/>
      <c r="CF253" s="99"/>
      <c r="CG253" s="99"/>
      <c r="CH253" s="99"/>
      <c r="CI253" s="99"/>
      <c r="CJ253" s="100"/>
      <c r="CK253" s="101"/>
      <c r="CL253" s="99"/>
      <c r="CM253" s="99"/>
      <c r="CN253" s="99"/>
      <c r="CO253" s="99"/>
      <c r="CP253" s="99"/>
      <c r="CQ253" s="100"/>
      <c r="CR253" s="101"/>
      <c r="CS253" s="99"/>
      <c r="CT253" s="100"/>
      <c r="CU253" s="101"/>
      <c r="CV253" s="99"/>
      <c r="CW253" s="99"/>
      <c r="CX253" s="99"/>
      <c r="CY253" s="99"/>
    </row>
    <row r="254" spans="1:103" ht="25.5" hidden="1" outlineLevel="1" x14ac:dyDescent="0.2">
      <c r="A254" s="427" t="s">
        <v>773</v>
      </c>
      <c r="B254" s="428" t="str">
        <f>VLOOKUP(A254,'5.2 Actions'!$A$2:$B$720,2,0)</f>
        <v>Travaux de reconnexion du Molenbeek à la Senne : 
Ces travaux ne pourront être envisagés qu'après les résultats de l'étude de faisabilité (1.26.2)</v>
      </c>
      <c r="C254" s="96"/>
      <c r="D254" s="96"/>
      <c r="E254" s="96"/>
      <c r="F254" s="96">
        <v>0</v>
      </c>
      <c r="G254" s="96"/>
      <c r="H254" s="96">
        <v>0</v>
      </c>
      <c r="I254" s="97"/>
      <c r="J254" s="97"/>
      <c r="K254" s="98"/>
      <c r="L254" s="99"/>
      <c r="M254" s="99"/>
      <c r="N254" s="99"/>
      <c r="O254" s="99"/>
      <c r="P254" s="99"/>
      <c r="Q254" s="99"/>
      <c r="R254" s="99"/>
      <c r="S254" s="99"/>
      <c r="T254" s="99"/>
      <c r="U254" s="99"/>
      <c r="V254" s="99"/>
      <c r="W254" s="99"/>
      <c r="X254" s="99"/>
      <c r="Y254" s="99"/>
      <c r="Z254" s="100"/>
      <c r="AA254" s="101"/>
      <c r="AB254" s="99"/>
      <c r="AC254" s="99"/>
      <c r="AD254" s="99"/>
      <c r="AE254" s="99"/>
      <c r="AF254" s="99"/>
      <c r="AG254" s="100"/>
      <c r="AH254" s="101"/>
      <c r="AI254" s="99"/>
      <c r="AJ254" s="100"/>
      <c r="AK254" s="101"/>
      <c r="AL254" s="99"/>
      <c r="AM254" s="99"/>
      <c r="AN254" s="99"/>
      <c r="AO254" s="100"/>
      <c r="AP254" s="98"/>
      <c r="AQ254" s="99"/>
      <c r="AR254" s="99"/>
      <c r="AS254" s="99"/>
      <c r="AT254" s="99"/>
      <c r="AU254" s="99"/>
      <c r="AV254" s="99"/>
      <c r="AW254" s="99"/>
      <c r="AX254" s="99"/>
      <c r="AY254" s="99"/>
      <c r="AZ254" s="99"/>
      <c r="BA254" s="99"/>
      <c r="BB254" s="99"/>
      <c r="BC254" s="99"/>
      <c r="BD254" s="99"/>
      <c r="BE254" s="100"/>
      <c r="BF254" s="101"/>
      <c r="BG254" s="99"/>
      <c r="BH254" s="99"/>
      <c r="BI254" s="99"/>
      <c r="BJ254" s="99"/>
      <c r="BK254" s="99"/>
      <c r="BL254" s="100"/>
      <c r="BM254" s="101"/>
      <c r="BN254" s="99"/>
      <c r="BO254" s="100"/>
      <c r="BP254" s="101"/>
      <c r="BQ254" s="99"/>
      <c r="BR254" s="99"/>
      <c r="BS254" s="99"/>
      <c r="BT254" s="100"/>
      <c r="BU254" s="98"/>
      <c r="BV254" s="99"/>
      <c r="BW254" s="99"/>
      <c r="BX254" s="99"/>
      <c r="BY254" s="99"/>
      <c r="BZ254" s="99"/>
      <c r="CA254" s="99"/>
      <c r="CB254" s="99"/>
      <c r="CC254" s="99"/>
      <c r="CD254" s="99"/>
      <c r="CE254" s="99"/>
      <c r="CF254" s="99"/>
      <c r="CG254" s="99"/>
      <c r="CH254" s="99"/>
      <c r="CI254" s="99"/>
      <c r="CJ254" s="100"/>
      <c r="CK254" s="101"/>
      <c r="CL254" s="99"/>
      <c r="CM254" s="99"/>
      <c r="CN254" s="99"/>
      <c r="CO254" s="99"/>
      <c r="CP254" s="99"/>
      <c r="CQ254" s="100"/>
      <c r="CR254" s="101"/>
      <c r="CS254" s="99"/>
      <c r="CT254" s="100"/>
      <c r="CU254" s="101"/>
      <c r="CV254" s="99"/>
      <c r="CW254" s="99"/>
      <c r="CX254" s="99"/>
      <c r="CY254" s="99"/>
    </row>
    <row r="255" spans="1:103" ht="25.5" hidden="1" outlineLevel="1" x14ac:dyDescent="0.2">
      <c r="A255" s="427" t="s">
        <v>774</v>
      </c>
      <c r="B255" s="428" t="str">
        <f>VLOOKUP(A255,'5.2 Actions'!$A$2:$B$720,2,0)</f>
        <v>Travaux de reconnexion du Neerpedebeek à la Senne :
Ces travaux ne pourront être envisagés qu'après les résultats de l'étude de faisabilité (1.26.3)</v>
      </c>
      <c r="C255" s="96"/>
      <c r="D255" s="96"/>
      <c r="E255" s="96"/>
      <c r="F255" s="96">
        <v>0</v>
      </c>
      <c r="G255" s="96"/>
      <c r="H255" s="96">
        <v>0</v>
      </c>
      <c r="I255" s="97"/>
      <c r="J255" s="97"/>
      <c r="K255" s="98"/>
      <c r="L255" s="99"/>
      <c r="M255" s="99"/>
      <c r="N255" s="99"/>
      <c r="O255" s="99"/>
      <c r="P255" s="99"/>
      <c r="Q255" s="99"/>
      <c r="R255" s="99"/>
      <c r="S255" s="99"/>
      <c r="T255" s="99"/>
      <c r="U255" s="99"/>
      <c r="V255" s="99"/>
      <c r="W255" s="99"/>
      <c r="X255" s="99"/>
      <c r="Y255" s="99"/>
      <c r="Z255" s="100"/>
      <c r="AA255" s="101"/>
      <c r="AB255" s="99"/>
      <c r="AC255" s="99"/>
      <c r="AD255" s="99"/>
      <c r="AE255" s="99"/>
      <c r="AF255" s="99"/>
      <c r="AG255" s="100"/>
      <c r="AH255" s="101"/>
      <c r="AI255" s="99"/>
      <c r="AJ255" s="100"/>
      <c r="AK255" s="101"/>
      <c r="AL255" s="99"/>
      <c r="AM255" s="99"/>
      <c r="AN255" s="99"/>
      <c r="AO255" s="100"/>
      <c r="AP255" s="98"/>
      <c r="AQ255" s="99"/>
      <c r="AR255" s="99"/>
      <c r="AS255" s="99"/>
      <c r="AT255" s="99"/>
      <c r="AU255" s="99"/>
      <c r="AV255" s="99"/>
      <c r="AW255" s="99"/>
      <c r="AX255" s="99"/>
      <c r="AY255" s="99"/>
      <c r="AZ255" s="99"/>
      <c r="BA255" s="99"/>
      <c r="BB255" s="99"/>
      <c r="BC255" s="99"/>
      <c r="BD255" s="99"/>
      <c r="BE255" s="100"/>
      <c r="BF255" s="101"/>
      <c r="BG255" s="99"/>
      <c r="BH255" s="99"/>
      <c r="BI255" s="99"/>
      <c r="BJ255" s="99"/>
      <c r="BK255" s="99"/>
      <c r="BL255" s="100"/>
      <c r="BM255" s="101"/>
      <c r="BN255" s="99"/>
      <c r="BO255" s="100"/>
      <c r="BP255" s="101"/>
      <c r="BQ255" s="99"/>
      <c r="BR255" s="99"/>
      <c r="BS255" s="99"/>
      <c r="BT255" s="100"/>
      <c r="BU255" s="98"/>
      <c r="BV255" s="99"/>
      <c r="BW255" s="99"/>
      <c r="BX255" s="99"/>
      <c r="BY255" s="99"/>
      <c r="BZ255" s="99"/>
      <c r="CA255" s="99"/>
      <c r="CB255" s="99"/>
      <c r="CC255" s="99"/>
      <c r="CD255" s="99"/>
      <c r="CE255" s="99"/>
      <c r="CF255" s="99"/>
      <c r="CG255" s="99"/>
      <c r="CH255" s="99"/>
      <c r="CI255" s="99"/>
      <c r="CJ255" s="100"/>
      <c r="CK255" s="101"/>
      <c r="CL255" s="99"/>
      <c r="CM255" s="99"/>
      <c r="CN255" s="99"/>
      <c r="CO255" s="99"/>
      <c r="CP255" s="99"/>
      <c r="CQ255" s="100"/>
      <c r="CR255" s="101"/>
      <c r="CS255" s="99"/>
      <c r="CT255" s="100"/>
      <c r="CU255" s="101"/>
      <c r="CV255" s="99"/>
      <c r="CW255" s="99"/>
      <c r="CX255" s="99"/>
      <c r="CY255" s="99"/>
    </row>
    <row r="256" spans="1:103" ht="25.5" hidden="1" outlineLevel="1" x14ac:dyDescent="0.2">
      <c r="A256" s="427" t="s">
        <v>764</v>
      </c>
      <c r="B256" s="428" t="str">
        <f>VLOOKUP(A256,'5.2 Actions'!$A$2:$B$720,2,0)</f>
        <v>Travaux de reconnexion de l'Ukkelbeek à la Senne :
Ces travaux ne pourront être envisagés qu'après les résultats de l'étude de faisabilité (1.26.6)</v>
      </c>
      <c r="C256" s="96"/>
      <c r="D256" s="96"/>
      <c r="E256" s="96"/>
      <c r="F256" s="96"/>
      <c r="G256" s="96"/>
      <c r="H256" s="96"/>
      <c r="I256" s="97"/>
      <c r="J256" s="97"/>
      <c r="K256" s="98"/>
      <c r="L256" s="99"/>
      <c r="M256" s="99"/>
      <c r="N256" s="99"/>
      <c r="O256" s="99"/>
      <c r="P256" s="99"/>
      <c r="Q256" s="99"/>
      <c r="R256" s="99"/>
      <c r="S256" s="99"/>
      <c r="T256" s="99"/>
      <c r="U256" s="99"/>
      <c r="V256" s="99"/>
      <c r="W256" s="99"/>
      <c r="X256" s="99"/>
      <c r="Y256" s="99"/>
      <c r="Z256" s="100"/>
      <c r="AA256" s="101"/>
      <c r="AB256" s="99"/>
      <c r="AC256" s="99"/>
      <c r="AD256" s="99"/>
      <c r="AE256" s="99"/>
      <c r="AF256" s="99"/>
      <c r="AG256" s="100"/>
      <c r="AH256" s="101"/>
      <c r="AI256" s="99"/>
      <c r="AJ256" s="100"/>
      <c r="AK256" s="101"/>
      <c r="AL256" s="99"/>
      <c r="AM256" s="99"/>
      <c r="AN256" s="99"/>
      <c r="AO256" s="100"/>
      <c r="AP256" s="98"/>
      <c r="AQ256" s="99"/>
      <c r="AR256" s="99"/>
      <c r="AS256" s="99"/>
      <c r="AT256" s="99"/>
      <c r="AU256" s="99"/>
      <c r="AV256" s="99"/>
      <c r="AW256" s="99"/>
      <c r="AX256" s="99"/>
      <c r="AY256" s="99"/>
      <c r="AZ256" s="99"/>
      <c r="BA256" s="99"/>
      <c r="BB256" s="99"/>
      <c r="BC256" s="99"/>
      <c r="BD256" s="99"/>
      <c r="BE256" s="100"/>
      <c r="BF256" s="101"/>
      <c r="BG256" s="99"/>
      <c r="BH256" s="99"/>
      <c r="BI256" s="99"/>
      <c r="BJ256" s="99"/>
      <c r="BK256" s="99"/>
      <c r="BL256" s="100"/>
      <c r="BM256" s="101"/>
      <c r="BN256" s="99"/>
      <c r="BO256" s="100"/>
      <c r="BP256" s="101"/>
      <c r="BQ256" s="99"/>
      <c r="BR256" s="99"/>
      <c r="BS256" s="99"/>
      <c r="BT256" s="100"/>
      <c r="BU256" s="98"/>
      <c r="BV256" s="99"/>
      <c r="BW256" s="99"/>
      <c r="BX256" s="99"/>
      <c r="BY256" s="99"/>
      <c r="BZ256" s="99"/>
      <c r="CA256" s="99"/>
      <c r="CB256" s="99"/>
      <c r="CC256" s="99"/>
      <c r="CD256" s="99"/>
      <c r="CE256" s="99"/>
      <c r="CF256" s="99"/>
      <c r="CG256" s="99"/>
      <c r="CH256" s="99"/>
      <c r="CI256" s="99"/>
      <c r="CJ256" s="100"/>
      <c r="CK256" s="101"/>
      <c r="CL256" s="99"/>
      <c r="CM256" s="99"/>
      <c r="CN256" s="99"/>
      <c r="CO256" s="99"/>
      <c r="CP256" s="99"/>
      <c r="CQ256" s="100"/>
      <c r="CR256" s="101"/>
      <c r="CS256" s="99"/>
      <c r="CT256" s="100"/>
      <c r="CU256" s="101"/>
      <c r="CV256" s="99"/>
      <c r="CW256" s="99"/>
      <c r="CX256" s="99"/>
      <c r="CY256" s="99"/>
    </row>
    <row r="257" spans="1:103" hidden="1" outlineLevel="1" x14ac:dyDescent="0.2">
      <c r="A257" s="427" t="s">
        <v>765</v>
      </c>
      <c r="B257" s="428" t="str">
        <f>VLOOKUP(A257,'5.2 Actions'!$A$2:$B$720,2,0)</f>
        <v>Programme Brusseau-Bis dans la vallée du Molenbeek</v>
      </c>
      <c r="C257" s="96"/>
      <c r="D257" s="96"/>
      <c r="E257" s="96"/>
      <c r="F257" s="96"/>
      <c r="G257" s="96"/>
      <c r="H257" s="96"/>
      <c r="I257" s="97"/>
      <c r="J257" s="97"/>
      <c r="K257" s="98"/>
      <c r="L257" s="99"/>
      <c r="M257" s="99"/>
      <c r="N257" s="99"/>
      <c r="O257" s="99"/>
      <c r="P257" s="99"/>
      <c r="Q257" s="99"/>
      <c r="R257" s="99"/>
      <c r="S257" s="99"/>
      <c r="T257" s="99"/>
      <c r="U257" s="99"/>
      <c r="V257" s="99"/>
      <c r="W257" s="99"/>
      <c r="X257" s="99"/>
      <c r="Y257" s="99"/>
      <c r="Z257" s="100"/>
      <c r="AA257" s="101"/>
      <c r="AB257" s="99"/>
      <c r="AC257" s="99"/>
      <c r="AD257" s="99"/>
      <c r="AE257" s="99"/>
      <c r="AF257" s="99"/>
      <c r="AG257" s="100"/>
      <c r="AH257" s="101"/>
      <c r="AI257" s="99"/>
      <c r="AJ257" s="100"/>
      <c r="AK257" s="101"/>
      <c r="AL257" s="99"/>
      <c r="AM257" s="99"/>
      <c r="AN257" s="99"/>
      <c r="AO257" s="100"/>
      <c r="AP257" s="98"/>
      <c r="AQ257" s="99"/>
      <c r="AR257" s="99"/>
      <c r="AS257" s="99"/>
      <c r="AT257" s="99"/>
      <c r="AU257" s="99"/>
      <c r="AV257" s="99"/>
      <c r="AW257" s="99"/>
      <c r="AX257" s="99"/>
      <c r="AY257" s="99"/>
      <c r="AZ257" s="99"/>
      <c r="BA257" s="99"/>
      <c r="BB257" s="99"/>
      <c r="BC257" s="99"/>
      <c r="BD257" s="99"/>
      <c r="BE257" s="100"/>
      <c r="BF257" s="101"/>
      <c r="BG257" s="99"/>
      <c r="BH257" s="99"/>
      <c r="BI257" s="99"/>
      <c r="BJ257" s="99"/>
      <c r="BK257" s="99"/>
      <c r="BL257" s="100"/>
      <c r="BM257" s="101"/>
      <c r="BN257" s="99"/>
      <c r="BO257" s="100"/>
      <c r="BP257" s="101"/>
      <c r="BQ257" s="99"/>
      <c r="BR257" s="99"/>
      <c r="BS257" s="99"/>
      <c r="BT257" s="100"/>
      <c r="BU257" s="98"/>
      <c r="BV257" s="99"/>
      <c r="BW257" s="99"/>
      <c r="BX257" s="99"/>
      <c r="BY257" s="99"/>
      <c r="BZ257" s="99"/>
      <c r="CA257" s="99"/>
      <c r="CB257" s="99"/>
      <c r="CC257" s="99"/>
      <c r="CD257" s="99"/>
      <c r="CE257" s="99"/>
      <c r="CF257" s="99"/>
      <c r="CG257" s="99"/>
      <c r="CH257" s="99"/>
      <c r="CI257" s="99"/>
      <c r="CJ257" s="100"/>
      <c r="CK257" s="101"/>
      <c r="CL257" s="99"/>
      <c r="CM257" s="99"/>
      <c r="CN257" s="99"/>
      <c r="CO257" s="99"/>
      <c r="CP257" s="99"/>
      <c r="CQ257" s="100"/>
      <c r="CR257" s="101"/>
      <c r="CS257" s="99"/>
      <c r="CT257" s="100"/>
      <c r="CU257" s="101"/>
      <c r="CV257" s="99"/>
      <c r="CW257" s="99"/>
      <c r="CX257" s="99"/>
      <c r="CY257" s="99"/>
    </row>
    <row r="258" spans="1:103" hidden="1" outlineLevel="1" x14ac:dyDescent="0.2">
      <c r="A258" s="427" t="s">
        <v>766</v>
      </c>
      <c r="B258" s="428" t="str">
        <f>VLOOKUP(A258,'5.2 Actions'!$A$2:$B$720,2,0)</f>
        <v>Vérifier l'étanchéité des moines vers les collecteurs présents sur certains étangs spécifiques</v>
      </c>
      <c r="C258" s="96"/>
      <c r="D258" s="96"/>
      <c r="E258" s="96"/>
      <c r="F258" s="96"/>
      <c r="G258" s="96"/>
      <c r="H258" s="96"/>
      <c r="I258" s="97"/>
      <c r="J258" s="97"/>
      <c r="K258" s="98"/>
      <c r="L258" s="99"/>
      <c r="M258" s="99"/>
      <c r="N258" s="99"/>
      <c r="O258" s="99"/>
      <c r="P258" s="99"/>
      <c r="Q258" s="99"/>
      <c r="R258" s="99"/>
      <c r="S258" s="99"/>
      <c r="T258" s="99"/>
      <c r="U258" s="99"/>
      <c r="V258" s="99"/>
      <c r="W258" s="99"/>
      <c r="X258" s="99"/>
      <c r="Y258" s="99"/>
      <c r="Z258" s="100"/>
      <c r="AA258" s="101"/>
      <c r="AB258" s="99"/>
      <c r="AC258" s="99"/>
      <c r="AD258" s="99"/>
      <c r="AE258" s="99"/>
      <c r="AF258" s="99"/>
      <c r="AG258" s="100"/>
      <c r="AH258" s="101"/>
      <c r="AI258" s="99"/>
      <c r="AJ258" s="100"/>
      <c r="AK258" s="101"/>
      <c r="AL258" s="99"/>
      <c r="AM258" s="99"/>
      <c r="AN258" s="99"/>
      <c r="AO258" s="100"/>
      <c r="AP258" s="98"/>
      <c r="AQ258" s="99"/>
      <c r="AR258" s="99"/>
      <c r="AS258" s="99"/>
      <c r="AT258" s="99"/>
      <c r="AU258" s="99"/>
      <c r="AV258" s="99"/>
      <c r="AW258" s="99"/>
      <c r="AX258" s="99"/>
      <c r="AY258" s="99"/>
      <c r="AZ258" s="99"/>
      <c r="BA258" s="99"/>
      <c r="BB258" s="99"/>
      <c r="BC258" s="99"/>
      <c r="BD258" s="99"/>
      <c r="BE258" s="100"/>
      <c r="BF258" s="101"/>
      <c r="BG258" s="99"/>
      <c r="BH258" s="99"/>
      <c r="BI258" s="99"/>
      <c r="BJ258" s="99"/>
      <c r="BK258" s="99"/>
      <c r="BL258" s="100"/>
      <c r="BM258" s="101"/>
      <c r="BN258" s="99"/>
      <c r="BO258" s="100"/>
      <c r="BP258" s="101"/>
      <c r="BQ258" s="99"/>
      <c r="BR258" s="99"/>
      <c r="BS258" s="99"/>
      <c r="BT258" s="100"/>
      <c r="BU258" s="98"/>
      <c r="BV258" s="99"/>
      <c r="BW258" s="99"/>
      <c r="BX258" s="99"/>
      <c r="BY258" s="99"/>
      <c r="BZ258" s="99"/>
      <c r="CA258" s="99"/>
      <c r="CB258" s="99"/>
      <c r="CC258" s="99"/>
      <c r="CD258" s="99"/>
      <c r="CE258" s="99"/>
      <c r="CF258" s="99"/>
      <c r="CG258" s="99"/>
      <c r="CH258" s="99"/>
      <c r="CI258" s="99"/>
      <c r="CJ258" s="100"/>
      <c r="CK258" s="101"/>
      <c r="CL258" s="99"/>
      <c r="CM258" s="99"/>
      <c r="CN258" s="99"/>
      <c r="CO258" s="99"/>
      <c r="CP258" s="99"/>
      <c r="CQ258" s="100"/>
      <c r="CR258" s="101"/>
      <c r="CS258" s="99"/>
      <c r="CT258" s="100"/>
      <c r="CU258" s="101"/>
      <c r="CV258" s="99"/>
      <c r="CW258" s="99"/>
      <c r="CX258" s="99"/>
      <c r="CY258" s="99"/>
    </row>
    <row r="259" spans="1:103" ht="25.5" hidden="1" outlineLevel="1" x14ac:dyDescent="0.2">
      <c r="A259" s="427" t="s">
        <v>1599</v>
      </c>
      <c r="B259" s="428" t="str">
        <f>VLOOKUP(A259,'5.2 Actions'!$A$2:$B$720,2,0)</f>
        <v>Établir une méthodologie de calcul des débits minimums écologiques (ecological flows), l'appliquer aux différents tronçons du réseau hydrographique</v>
      </c>
      <c r="C259" s="96"/>
      <c r="D259" s="96"/>
      <c r="E259" s="96"/>
      <c r="F259" s="96"/>
      <c r="G259" s="96"/>
      <c r="H259" s="96"/>
      <c r="I259" s="97"/>
      <c r="J259" s="97"/>
      <c r="K259" s="98"/>
      <c r="L259" s="99"/>
      <c r="M259" s="99"/>
      <c r="N259" s="99"/>
      <c r="O259" s="99"/>
      <c r="P259" s="99"/>
      <c r="Q259" s="99"/>
      <c r="R259" s="99"/>
      <c r="S259" s="99"/>
      <c r="T259" s="99"/>
      <c r="U259" s="99"/>
      <c r="V259" s="99"/>
      <c r="W259" s="99"/>
      <c r="X259" s="99"/>
      <c r="Y259" s="99"/>
      <c r="Z259" s="100"/>
      <c r="AA259" s="101"/>
      <c r="AB259" s="99"/>
      <c r="AC259" s="99"/>
      <c r="AD259" s="99"/>
      <c r="AE259" s="99"/>
      <c r="AF259" s="99"/>
      <c r="AG259" s="100"/>
      <c r="AH259" s="101"/>
      <c r="AI259" s="99"/>
      <c r="AJ259" s="100"/>
      <c r="AK259" s="101"/>
      <c r="AL259" s="99"/>
      <c r="AM259" s="99"/>
      <c r="AN259" s="99"/>
      <c r="AO259" s="100"/>
      <c r="AP259" s="98"/>
      <c r="AQ259" s="99"/>
      <c r="AR259" s="99"/>
      <c r="AS259" s="99"/>
      <c r="AT259" s="99"/>
      <c r="AU259" s="99"/>
      <c r="AV259" s="99"/>
      <c r="AW259" s="99"/>
      <c r="AX259" s="99"/>
      <c r="AY259" s="99"/>
      <c r="AZ259" s="99"/>
      <c r="BA259" s="99"/>
      <c r="BB259" s="99"/>
      <c r="BC259" s="99"/>
      <c r="BD259" s="99"/>
      <c r="BE259" s="100"/>
      <c r="BF259" s="101"/>
      <c r="BG259" s="99"/>
      <c r="BH259" s="99"/>
      <c r="BI259" s="99"/>
      <c r="BJ259" s="99"/>
      <c r="BK259" s="99"/>
      <c r="BL259" s="100"/>
      <c r="BM259" s="101"/>
      <c r="BN259" s="99"/>
      <c r="BO259" s="100"/>
      <c r="BP259" s="101"/>
      <c r="BQ259" s="99"/>
      <c r="BR259" s="99"/>
      <c r="BS259" s="99"/>
      <c r="BT259" s="100"/>
      <c r="BU259" s="98"/>
      <c r="BV259" s="99"/>
      <c r="BW259" s="99"/>
      <c r="BX259" s="99"/>
      <c r="BY259" s="99"/>
      <c r="BZ259" s="99"/>
      <c r="CA259" s="99"/>
      <c r="CB259" s="99"/>
      <c r="CC259" s="99"/>
      <c r="CD259" s="99"/>
      <c r="CE259" s="99"/>
      <c r="CF259" s="99"/>
      <c r="CG259" s="99"/>
      <c r="CH259" s="99"/>
      <c r="CI259" s="99"/>
      <c r="CJ259" s="100"/>
      <c r="CK259" s="101"/>
      <c r="CL259" s="99"/>
      <c r="CM259" s="99"/>
      <c r="CN259" s="99"/>
      <c r="CO259" s="99"/>
      <c r="CP259" s="99"/>
      <c r="CQ259" s="100"/>
      <c r="CR259" s="101"/>
      <c r="CS259" s="99"/>
      <c r="CT259" s="100"/>
      <c r="CU259" s="101"/>
      <c r="CV259" s="99"/>
      <c r="CW259" s="99"/>
      <c r="CX259" s="99"/>
      <c r="CY259" s="99"/>
    </row>
    <row r="260" spans="1:103" s="114" customFormat="1" ht="15" x14ac:dyDescent="0.25">
      <c r="A260" s="115" t="s">
        <v>38</v>
      </c>
      <c r="B260" s="116" t="s">
        <v>596</v>
      </c>
      <c r="C260" s="96"/>
      <c r="D260" s="96"/>
      <c r="E260" s="96"/>
      <c r="F260" s="96"/>
      <c r="G260" s="96"/>
      <c r="H260" s="96"/>
      <c r="I260" s="97" t="s">
        <v>1589</v>
      </c>
      <c r="J260" s="97"/>
      <c r="K260" s="98" t="s">
        <v>1590</v>
      </c>
      <c r="L260" s="99" t="s">
        <v>1590</v>
      </c>
      <c r="M260" s="99" t="s">
        <v>1590</v>
      </c>
      <c r="N260" s="99" t="s">
        <v>1590</v>
      </c>
      <c r="O260" s="99" t="s">
        <v>1590</v>
      </c>
      <c r="P260" s="99" t="s">
        <v>1590</v>
      </c>
      <c r="Q260" s="99" t="s">
        <v>1590</v>
      </c>
      <c r="R260" s="99" t="s">
        <v>1590</v>
      </c>
      <c r="S260" s="99" t="s">
        <v>1590</v>
      </c>
      <c r="T260" s="99" t="s">
        <v>1590</v>
      </c>
      <c r="U260" s="99" t="s">
        <v>1590</v>
      </c>
      <c r="V260" s="99"/>
      <c r="W260" s="99" t="s">
        <v>1590</v>
      </c>
      <c r="X260" s="99" t="s">
        <v>1590</v>
      </c>
      <c r="Y260" s="99" t="s">
        <v>1590</v>
      </c>
      <c r="Z260" s="100" t="s">
        <v>1590</v>
      </c>
      <c r="AA260" s="101" t="s">
        <v>1590</v>
      </c>
      <c r="AB260" s="99" t="s">
        <v>1590</v>
      </c>
      <c r="AC260" s="99" t="s">
        <v>1590</v>
      </c>
      <c r="AD260" s="99" t="s">
        <v>1590</v>
      </c>
      <c r="AE260" s="99" t="s">
        <v>1590</v>
      </c>
      <c r="AF260" s="99" t="s">
        <v>1590</v>
      </c>
      <c r="AG260" s="100" t="s">
        <v>1590</v>
      </c>
      <c r="AH260" s="101"/>
      <c r="AI260" s="99"/>
      <c r="AJ260" s="100"/>
      <c r="AK260" s="101"/>
      <c r="AL260" s="99" t="s">
        <v>1590</v>
      </c>
      <c r="AM260" s="99" t="s">
        <v>1590</v>
      </c>
      <c r="AN260" s="99" t="s">
        <v>1590</v>
      </c>
      <c r="AO260" s="100" t="s">
        <v>1590</v>
      </c>
      <c r="AP260" s="98"/>
      <c r="AQ260" s="99" t="s">
        <v>1590</v>
      </c>
      <c r="AR260" s="99" t="s">
        <v>1590</v>
      </c>
      <c r="AS260" s="99" t="s">
        <v>1590</v>
      </c>
      <c r="AT260" s="99" t="s">
        <v>1590</v>
      </c>
      <c r="AU260" s="99" t="s">
        <v>1590</v>
      </c>
      <c r="AV260" s="99"/>
      <c r="AW260" s="99" t="s">
        <v>1590</v>
      </c>
      <c r="AX260" s="99" t="s">
        <v>1590</v>
      </c>
      <c r="AY260" s="99"/>
      <c r="AZ260" s="99"/>
      <c r="BA260" s="99" t="s">
        <v>1590</v>
      </c>
      <c r="BB260" s="99" t="s">
        <v>1590</v>
      </c>
      <c r="BC260" s="99" t="s">
        <v>1590</v>
      </c>
      <c r="BD260" s="99"/>
      <c r="BE260" s="100" t="s">
        <v>1590</v>
      </c>
      <c r="BF260" s="101" t="s">
        <v>1590</v>
      </c>
      <c r="BG260" s="99"/>
      <c r="BH260" s="99"/>
      <c r="BI260" s="99"/>
      <c r="BJ260" s="99"/>
      <c r="BK260" s="99"/>
      <c r="BL260" s="100"/>
      <c r="BM260" s="101"/>
      <c r="BN260" s="99"/>
      <c r="BO260" s="100"/>
      <c r="BP260" s="101"/>
      <c r="BQ260" s="99" t="s">
        <v>1590</v>
      </c>
      <c r="BR260" s="99"/>
      <c r="BS260" s="99" t="s">
        <v>1590</v>
      </c>
      <c r="BT260" s="100" t="s">
        <v>1590</v>
      </c>
      <c r="BU260" s="98"/>
      <c r="BV260" s="99"/>
      <c r="BW260" s="99"/>
      <c r="BX260" s="99" t="s">
        <v>1590</v>
      </c>
      <c r="BY260" s="99" t="s">
        <v>1590</v>
      </c>
      <c r="BZ260" s="99" t="s">
        <v>1590</v>
      </c>
      <c r="CA260" s="99"/>
      <c r="CB260" s="99"/>
      <c r="CC260" s="99"/>
      <c r="CD260" s="99"/>
      <c r="CE260" s="99"/>
      <c r="CF260" s="99"/>
      <c r="CG260" s="99" t="s">
        <v>1590</v>
      </c>
      <c r="CH260" s="99" t="s">
        <v>1590</v>
      </c>
      <c r="CI260" s="99"/>
      <c r="CJ260" s="100"/>
      <c r="CK260" s="101"/>
      <c r="CL260" s="99"/>
      <c r="CM260" s="99"/>
      <c r="CN260" s="99"/>
      <c r="CO260" s="99"/>
      <c r="CP260" s="99" t="s">
        <v>1590</v>
      </c>
      <c r="CQ260" s="100"/>
      <c r="CR260" s="101"/>
      <c r="CS260" s="99"/>
      <c r="CT260" s="100"/>
      <c r="CU260" s="101"/>
      <c r="CV260" s="99" t="s">
        <v>1590</v>
      </c>
      <c r="CW260" s="99"/>
      <c r="CX260" s="99" t="s">
        <v>1590</v>
      </c>
      <c r="CY260" s="99" t="s">
        <v>1590</v>
      </c>
    </row>
    <row r="261" spans="1:103" s="114" customFormat="1" ht="25.5" x14ac:dyDescent="0.25">
      <c r="A261" s="115" t="s">
        <v>892</v>
      </c>
      <c r="B261" s="116" t="s">
        <v>1603</v>
      </c>
      <c r="C261" s="96"/>
      <c r="D261" s="96"/>
      <c r="E261" s="96"/>
      <c r="F261" s="96"/>
      <c r="G261" s="96"/>
      <c r="H261" s="96"/>
      <c r="I261" s="97"/>
      <c r="J261" s="97"/>
      <c r="K261" s="98"/>
      <c r="L261" s="99"/>
      <c r="M261" s="99"/>
      <c r="N261" s="99"/>
      <c r="O261" s="99"/>
      <c r="P261" s="99"/>
      <c r="Q261" s="99"/>
      <c r="R261" s="99"/>
      <c r="S261" s="99"/>
      <c r="T261" s="99"/>
      <c r="U261" s="99"/>
      <c r="V261" s="99"/>
      <c r="W261" s="99"/>
      <c r="X261" s="99"/>
      <c r="Y261" s="99"/>
      <c r="Z261" s="100"/>
      <c r="AA261" s="101"/>
      <c r="AB261" s="99"/>
      <c r="AC261" s="99"/>
      <c r="AD261" s="99"/>
      <c r="AE261" s="99"/>
      <c r="AF261" s="99"/>
      <c r="AG261" s="100"/>
      <c r="AH261" s="101"/>
      <c r="AI261" s="99"/>
      <c r="AJ261" s="100"/>
      <c r="AK261" s="101"/>
      <c r="AL261" s="99"/>
      <c r="AM261" s="99"/>
      <c r="AN261" s="99"/>
      <c r="AO261" s="100"/>
      <c r="AP261" s="98"/>
      <c r="AQ261" s="99"/>
      <c r="AR261" s="99"/>
      <c r="AS261" s="99"/>
      <c r="AT261" s="99"/>
      <c r="AU261" s="99"/>
      <c r="AV261" s="99"/>
      <c r="AW261" s="99"/>
      <c r="AX261" s="99"/>
      <c r="AY261" s="99"/>
      <c r="AZ261" s="99"/>
      <c r="BA261" s="99"/>
      <c r="BB261" s="99"/>
      <c r="BC261" s="99"/>
      <c r="BD261" s="99"/>
      <c r="BE261" s="100"/>
      <c r="BF261" s="101"/>
      <c r="BG261" s="99"/>
      <c r="BH261" s="99"/>
      <c r="BI261" s="99"/>
      <c r="BJ261" s="99"/>
      <c r="BK261" s="99"/>
      <c r="BL261" s="100"/>
      <c r="BM261" s="101"/>
      <c r="BN261" s="99"/>
      <c r="BO261" s="100"/>
      <c r="BP261" s="101"/>
      <c r="BQ261" s="99"/>
      <c r="BR261" s="99"/>
      <c r="BS261" s="99"/>
      <c r="BT261" s="100"/>
      <c r="BU261" s="98"/>
      <c r="BV261" s="99"/>
      <c r="BW261" s="99"/>
      <c r="BX261" s="99"/>
      <c r="BY261" s="99"/>
      <c r="BZ261" s="99"/>
      <c r="CA261" s="99"/>
      <c r="CB261" s="99"/>
      <c r="CC261" s="99"/>
      <c r="CD261" s="99"/>
      <c r="CE261" s="99"/>
      <c r="CF261" s="99"/>
      <c r="CG261" s="99"/>
      <c r="CH261" s="99"/>
      <c r="CI261" s="99"/>
      <c r="CJ261" s="100"/>
      <c r="CK261" s="101"/>
      <c r="CL261" s="99"/>
      <c r="CM261" s="99"/>
      <c r="CN261" s="99"/>
      <c r="CO261" s="99"/>
      <c r="CP261" s="99"/>
      <c r="CQ261" s="100"/>
      <c r="CR261" s="101"/>
      <c r="CS261" s="99"/>
      <c r="CT261" s="100"/>
      <c r="CU261" s="101"/>
      <c r="CV261" s="99"/>
      <c r="CW261" s="99"/>
      <c r="CX261" s="99"/>
      <c r="CY261" s="99"/>
    </row>
    <row r="262" spans="1:103" s="114" customFormat="1" ht="15" x14ac:dyDescent="0.25">
      <c r="A262" s="115" t="s">
        <v>893</v>
      </c>
      <c r="B262" s="117" t="s">
        <v>1604</v>
      </c>
      <c r="C262" s="96"/>
      <c r="D262" s="96"/>
      <c r="E262" s="96"/>
      <c r="F262" s="96"/>
      <c r="G262" s="96"/>
      <c r="H262" s="96"/>
      <c r="I262" s="97"/>
      <c r="J262" s="97"/>
      <c r="K262" s="98"/>
      <c r="L262" s="99"/>
      <c r="M262" s="99"/>
      <c r="N262" s="99"/>
      <c r="O262" s="99"/>
      <c r="P262" s="99"/>
      <c r="Q262" s="99"/>
      <c r="R262" s="99"/>
      <c r="S262" s="99"/>
      <c r="T262" s="99"/>
      <c r="U262" s="99"/>
      <c r="V262" s="99"/>
      <c r="W262" s="99"/>
      <c r="X262" s="99"/>
      <c r="Y262" s="99"/>
      <c r="Z262" s="100"/>
      <c r="AA262" s="101"/>
      <c r="AB262" s="99"/>
      <c r="AC262" s="99"/>
      <c r="AD262" s="99"/>
      <c r="AE262" s="99"/>
      <c r="AF262" s="99"/>
      <c r="AG262" s="100"/>
      <c r="AH262" s="101"/>
      <c r="AI262" s="99"/>
      <c r="AJ262" s="100"/>
      <c r="AK262" s="101"/>
      <c r="AL262" s="99"/>
      <c r="AM262" s="99"/>
      <c r="AN262" s="99"/>
      <c r="AO262" s="100"/>
      <c r="AP262" s="98"/>
      <c r="AQ262" s="99"/>
      <c r="AR262" s="99"/>
      <c r="AS262" s="99"/>
      <c r="AT262" s="99"/>
      <c r="AU262" s="99"/>
      <c r="AV262" s="99"/>
      <c r="AW262" s="99"/>
      <c r="AX262" s="99"/>
      <c r="AY262" s="99"/>
      <c r="AZ262" s="99"/>
      <c r="BA262" s="99"/>
      <c r="BB262" s="99"/>
      <c r="BC262" s="99"/>
      <c r="BD262" s="99"/>
      <c r="BE262" s="100"/>
      <c r="BF262" s="101"/>
      <c r="BG262" s="99"/>
      <c r="BH262" s="99"/>
      <c r="BI262" s="99"/>
      <c r="BJ262" s="99"/>
      <c r="BK262" s="99"/>
      <c r="BL262" s="100"/>
      <c r="BM262" s="101"/>
      <c r="BN262" s="99"/>
      <c r="BO262" s="100"/>
      <c r="BP262" s="101"/>
      <c r="BQ262" s="99"/>
      <c r="BR262" s="99"/>
      <c r="BS262" s="99"/>
      <c r="BT262" s="100"/>
      <c r="BU262" s="98"/>
      <c r="BV262" s="99"/>
      <c r="BW262" s="99"/>
      <c r="BX262" s="99"/>
      <c r="BY262" s="99"/>
      <c r="BZ262" s="99"/>
      <c r="CA262" s="99"/>
      <c r="CB262" s="99"/>
      <c r="CC262" s="99"/>
      <c r="CD262" s="99"/>
      <c r="CE262" s="99"/>
      <c r="CF262" s="99"/>
      <c r="CG262" s="99"/>
      <c r="CH262" s="99"/>
      <c r="CI262" s="99"/>
      <c r="CJ262" s="100"/>
      <c r="CK262" s="101"/>
      <c r="CL262" s="99"/>
      <c r="CM262" s="99"/>
      <c r="CN262" s="99"/>
      <c r="CO262" s="99"/>
      <c r="CP262" s="99"/>
      <c r="CQ262" s="100"/>
      <c r="CR262" s="101"/>
      <c r="CS262" s="99"/>
      <c r="CT262" s="100"/>
      <c r="CU262" s="101"/>
      <c r="CV262" s="99"/>
      <c r="CW262" s="99"/>
      <c r="CX262" s="99"/>
      <c r="CY262" s="99"/>
    </row>
    <row r="263" spans="1:103" s="114" customFormat="1" ht="51" x14ac:dyDescent="0.25">
      <c r="A263" s="115" t="s">
        <v>894</v>
      </c>
      <c r="B263" s="117" t="s">
        <v>1605</v>
      </c>
      <c r="C263" s="96"/>
      <c r="D263" s="96"/>
      <c r="E263" s="96"/>
      <c r="F263" s="96"/>
      <c r="G263" s="96"/>
      <c r="H263" s="96"/>
      <c r="I263" s="97"/>
      <c r="J263" s="97"/>
      <c r="K263" s="98"/>
      <c r="L263" s="99"/>
      <c r="M263" s="99"/>
      <c r="N263" s="99"/>
      <c r="O263" s="99"/>
      <c r="P263" s="99"/>
      <c r="Q263" s="99"/>
      <c r="R263" s="99"/>
      <c r="S263" s="99"/>
      <c r="T263" s="99"/>
      <c r="U263" s="99"/>
      <c r="V263" s="99"/>
      <c r="W263" s="99"/>
      <c r="X263" s="99"/>
      <c r="Y263" s="99"/>
      <c r="Z263" s="100"/>
      <c r="AA263" s="101"/>
      <c r="AB263" s="99"/>
      <c r="AC263" s="99"/>
      <c r="AD263" s="99"/>
      <c r="AE263" s="99"/>
      <c r="AF263" s="99"/>
      <c r="AG263" s="100"/>
      <c r="AH263" s="101"/>
      <c r="AI263" s="99"/>
      <c r="AJ263" s="100"/>
      <c r="AK263" s="101"/>
      <c r="AL263" s="99"/>
      <c r="AM263" s="99"/>
      <c r="AN263" s="99"/>
      <c r="AO263" s="100"/>
      <c r="AP263" s="98"/>
      <c r="AQ263" s="99"/>
      <c r="AR263" s="99"/>
      <c r="AS263" s="99"/>
      <c r="AT263" s="99"/>
      <c r="AU263" s="99"/>
      <c r="AV263" s="99"/>
      <c r="AW263" s="99"/>
      <c r="AX263" s="99"/>
      <c r="AY263" s="99"/>
      <c r="AZ263" s="99"/>
      <c r="BA263" s="99"/>
      <c r="BB263" s="99"/>
      <c r="BC263" s="99"/>
      <c r="BD263" s="99"/>
      <c r="BE263" s="100"/>
      <c r="BF263" s="101"/>
      <c r="BG263" s="99"/>
      <c r="BH263" s="99"/>
      <c r="BI263" s="99"/>
      <c r="BJ263" s="99"/>
      <c r="BK263" s="99"/>
      <c r="BL263" s="100"/>
      <c r="BM263" s="101"/>
      <c r="BN263" s="99"/>
      <c r="BO263" s="100"/>
      <c r="BP263" s="101"/>
      <c r="BQ263" s="99"/>
      <c r="BR263" s="99"/>
      <c r="BS263" s="99"/>
      <c r="BT263" s="100"/>
      <c r="BU263" s="98"/>
      <c r="BV263" s="99"/>
      <c r="BW263" s="99"/>
      <c r="BX263" s="99"/>
      <c r="BY263" s="99"/>
      <c r="BZ263" s="99"/>
      <c r="CA263" s="99"/>
      <c r="CB263" s="99"/>
      <c r="CC263" s="99"/>
      <c r="CD263" s="99"/>
      <c r="CE263" s="99"/>
      <c r="CF263" s="99"/>
      <c r="CG263" s="99"/>
      <c r="CH263" s="99"/>
      <c r="CI263" s="99"/>
      <c r="CJ263" s="100"/>
      <c r="CK263" s="101"/>
      <c r="CL263" s="99"/>
      <c r="CM263" s="99"/>
      <c r="CN263" s="99"/>
      <c r="CO263" s="99"/>
      <c r="CP263" s="99"/>
      <c r="CQ263" s="100"/>
      <c r="CR263" s="101"/>
      <c r="CS263" s="99"/>
      <c r="CT263" s="100"/>
      <c r="CU263" s="101"/>
      <c r="CV263" s="99"/>
      <c r="CW263" s="99"/>
      <c r="CX263" s="99"/>
      <c r="CY263" s="99"/>
    </row>
    <row r="264" spans="1:103" x14ac:dyDescent="0.2">
      <c r="A264" s="118" t="s">
        <v>895</v>
      </c>
      <c r="B264" s="119" t="s">
        <v>1606</v>
      </c>
      <c r="C264" s="96"/>
      <c r="D264" s="96"/>
      <c r="E264" s="96"/>
      <c r="F264" s="96"/>
      <c r="G264" s="96"/>
      <c r="H264" s="96"/>
      <c r="I264" s="97"/>
      <c r="J264" s="97"/>
      <c r="K264" s="98" t="s">
        <v>1590</v>
      </c>
      <c r="L264" s="99" t="s">
        <v>1590</v>
      </c>
      <c r="M264" s="99" t="s">
        <v>1590</v>
      </c>
      <c r="N264" s="99" t="s">
        <v>1590</v>
      </c>
      <c r="O264" s="99" t="s">
        <v>1590</v>
      </c>
      <c r="P264" s="99" t="s">
        <v>1590</v>
      </c>
      <c r="Q264" s="99" t="s">
        <v>1590</v>
      </c>
      <c r="R264" s="99" t="s">
        <v>1590</v>
      </c>
      <c r="S264" s="99" t="s">
        <v>1590</v>
      </c>
      <c r="T264" s="99" t="s">
        <v>1590</v>
      </c>
      <c r="U264" s="99" t="s">
        <v>1590</v>
      </c>
      <c r="V264" s="99"/>
      <c r="W264" s="99" t="s">
        <v>1590</v>
      </c>
      <c r="X264" s="99" t="s">
        <v>1590</v>
      </c>
      <c r="Y264" s="99" t="s">
        <v>1590</v>
      </c>
      <c r="Z264" s="100" t="s">
        <v>1590</v>
      </c>
      <c r="AA264" s="101" t="s">
        <v>1590</v>
      </c>
      <c r="AB264" s="99" t="s">
        <v>1590</v>
      </c>
      <c r="AC264" s="99" t="s">
        <v>1590</v>
      </c>
      <c r="AD264" s="99" t="s">
        <v>1590</v>
      </c>
      <c r="AE264" s="99" t="s">
        <v>1590</v>
      </c>
      <c r="AF264" s="99" t="s">
        <v>1590</v>
      </c>
      <c r="AG264" s="100" t="s">
        <v>1590</v>
      </c>
      <c r="AH264" s="101"/>
      <c r="AI264" s="99"/>
      <c r="AJ264" s="100"/>
      <c r="AK264" s="101"/>
      <c r="AL264" s="99" t="s">
        <v>1590</v>
      </c>
      <c r="AM264" s="99" t="s">
        <v>1590</v>
      </c>
      <c r="AN264" s="99" t="s">
        <v>1590</v>
      </c>
      <c r="AO264" s="100" t="s">
        <v>1590</v>
      </c>
      <c r="AP264" s="98"/>
      <c r="AQ264" s="99" t="s">
        <v>1590</v>
      </c>
      <c r="AR264" s="99" t="s">
        <v>1590</v>
      </c>
      <c r="AS264" s="99" t="s">
        <v>1590</v>
      </c>
      <c r="AT264" s="99" t="s">
        <v>1590</v>
      </c>
      <c r="AU264" s="99" t="s">
        <v>1590</v>
      </c>
      <c r="AV264" s="99"/>
      <c r="AW264" s="99" t="s">
        <v>1590</v>
      </c>
      <c r="AX264" s="99" t="s">
        <v>1590</v>
      </c>
      <c r="AY264" s="99"/>
      <c r="AZ264" s="99"/>
      <c r="BA264" s="99" t="s">
        <v>1590</v>
      </c>
      <c r="BB264" s="99" t="s">
        <v>1590</v>
      </c>
      <c r="BC264" s="99" t="s">
        <v>1590</v>
      </c>
      <c r="BD264" s="99"/>
      <c r="BE264" s="100" t="s">
        <v>1590</v>
      </c>
      <c r="BF264" s="101" t="s">
        <v>1590</v>
      </c>
      <c r="BG264" s="99"/>
      <c r="BH264" s="99"/>
      <c r="BI264" s="99"/>
      <c r="BJ264" s="99"/>
      <c r="BK264" s="99"/>
      <c r="BL264" s="100"/>
      <c r="BM264" s="101"/>
      <c r="BN264" s="99"/>
      <c r="BO264" s="100"/>
      <c r="BP264" s="101"/>
      <c r="BQ264" s="99" t="s">
        <v>1590</v>
      </c>
      <c r="BR264" s="99"/>
      <c r="BS264" s="99" t="s">
        <v>1590</v>
      </c>
      <c r="BT264" s="100" t="s">
        <v>1590</v>
      </c>
      <c r="BU264" s="98"/>
      <c r="BV264" s="99"/>
      <c r="BW264" s="99"/>
      <c r="BX264" s="99" t="s">
        <v>1590</v>
      </c>
      <c r="BY264" s="99" t="s">
        <v>1590</v>
      </c>
      <c r="BZ264" s="99" t="s">
        <v>1590</v>
      </c>
      <c r="CA264" s="99"/>
      <c r="CB264" s="99"/>
      <c r="CC264" s="99"/>
      <c r="CD264" s="99"/>
      <c r="CE264" s="99"/>
      <c r="CF264" s="99"/>
      <c r="CG264" s="99" t="s">
        <v>1590</v>
      </c>
      <c r="CH264" s="99" t="s">
        <v>1590</v>
      </c>
      <c r="CI264" s="99"/>
      <c r="CJ264" s="100"/>
      <c r="CK264" s="101"/>
      <c r="CL264" s="99"/>
      <c r="CM264" s="99"/>
      <c r="CN264" s="99"/>
      <c r="CO264" s="99"/>
      <c r="CP264" s="99" t="s">
        <v>1590</v>
      </c>
      <c r="CQ264" s="100"/>
      <c r="CR264" s="101"/>
      <c r="CS264" s="99"/>
      <c r="CT264" s="100"/>
      <c r="CU264" s="101"/>
      <c r="CV264" s="99" t="s">
        <v>1590</v>
      </c>
      <c r="CW264" s="99"/>
      <c r="CX264" s="99" t="s">
        <v>1590</v>
      </c>
      <c r="CY264" s="99" t="s">
        <v>1590</v>
      </c>
    </row>
    <row r="265" spans="1:103" x14ac:dyDescent="0.2">
      <c r="A265" s="118" t="s">
        <v>896</v>
      </c>
      <c r="B265" s="119" t="s">
        <v>1607</v>
      </c>
      <c r="C265" s="96"/>
      <c r="D265" s="96"/>
      <c r="E265" s="96"/>
      <c r="F265" s="96"/>
      <c r="G265" s="96"/>
      <c r="H265" s="96"/>
      <c r="I265" s="97"/>
      <c r="J265" s="97"/>
      <c r="K265" s="98"/>
      <c r="L265" s="99"/>
      <c r="M265" s="99"/>
      <c r="N265" s="99"/>
      <c r="O265" s="99"/>
      <c r="P265" s="99"/>
      <c r="Q265" s="99"/>
      <c r="R265" s="99"/>
      <c r="S265" s="99"/>
      <c r="T265" s="99"/>
      <c r="U265" s="99"/>
      <c r="V265" s="99"/>
      <c r="W265" s="99"/>
      <c r="X265" s="99"/>
      <c r="Y265" s="99"/>
      <c r="Z265" s="100"/>
      <c r="AA265" s="101"/>
      <c r="AB265" s="99"/>
      <c r="AC265" s="99"/>
      <c r="AD265" s="99"/>
      <c r="AE265" s="99"/>
      <c r="AF265" s="99"/>
      <c r="AG265" s="100"/>
      <c r="AH265" s="101"/>
      <c r="AI265" s="99"/>
      <c r="AJ265" s="100"/>
      <c r="AK265" s="101"/>
      <c r="AL265" s="99"/>
      <c r="AM265" s="99"/>
      <c r="AN265" s="99"/>
      <c r="AO265" s="100"/>
      <c r="AP265" s="98"/>
      <c r="AQ265" s="99"/>
      <c r="AR265" s="99"/>
      <c r="AS265" s="99"/>
      <c r="AT265" s="99"/>
      <c r="AU265" s="99"/>
      <c r="AV265" s="99"/>
      <c r="AW265" s="99"/>
      <c r="AX265" s="99"/>
      <c r="AY265" s="99"/>
      <c r="AZ265" s="99"/>
      <c r="BA265" s="99"/>
      <c r="BB265" s="99"/>
      <c r="BC265" s="99"/>
      <c r="BD265" s="99"/>
      <c r="BE265" s="100"/>
      <c r="BF265" s="101"/>
      <c r="BG265" s="99"/>
      <c r="BH265" s="99"/>
      <c r="BI265" s="99"/>
      <c r="BJ265" s="99"/>
      <c r="BK265" s="99"/>
      <c r="BL265" s="100"/>
      <c r="BM265" s="101"/>
      <c r="BN265" s="99"/>
      <c r="BO265" s="100"/>
      <c r="BP265" s="101"/>
      <c r="BQ265" s="99"/>
      <c r="BR265" s="99"/>
      <c r="BS265" s="99"/>
      <c r="BT265" s="100"/>
      <c r="BU265" s="98"/>
      <c r="BV265" s="99"/>
      <c r="BW265" s="99"/>
      <c r="BX265" s="99"/>
      <c r="BY265" s="99"/>
      <c r="BZ265" s="99"/>
      <c r="CA265" s="99"/>
      <c r="CB265" s="99"/>
      <c r="CC265" s="99"/>
      <c r="CD265" s="99"/>
      <c r="CE265" s="99"/>
      <c r="CF265" s="99"/>
      <c r="CG265" s="99"/>
      <c r="CH265" s="99"/>
      <c r="CI265" s="99"/>
      <c r="CJ265" s="100"/>
      <c r="CK265" s="101"/>
      <c r="CL265" s="99"/>
      <c r="CM265" s="99"/>
      <c r="CN265" s="99"/>
      <c r="CO265" s="99"/>
      <c r="CP265" s="99"/>
      <c r="CQ265" s="100"/>
      <c r="CR265" s="101"/>
      <c r="CS265" s="99"/>
      <c r="CT265" s="100"/>
      <c r="CU265" s="101"/>
      <c r="CV265" s="99"/>
      <c r="CW265" s="99"/>
      <c r="CX265" s="99"/>
      <c r="CY265" s="99"/>
    </row>
    <row r="266" spans="1:103" ht="25.5" x14ac:dyDescent="0.2">
      <c r="A266" s="118" t="s">
        <v>897</v>
      </c>
      <c r="B266" s="119" t="s">
        <v>1608</v>
      </c>
      <c r="C266" s="96"/>
      <c r="D266" s="96"/>
      <c r="E266" s="96"/>
      <c r="F266" s="96"/>
      <c r="G266" s="96"/>
      <c r="H266" s="96"/>
      <c r="I266" s="97"/>
      <c r="J266" s="97"/>
      <c r="K266" s="98"/>
      <c r="L266" s="99"/>
      <c r="M266" s="99"/>
      <c r="N266" s="99"/>
      <c r="O266" s="99"/>
      <c r="P266" s="99"/>
      <c r="Q266" s="99"/>
      <c r="R266" s="99"/>
      <c r="S266" s="99"/>
      <c r="T266" s="99"/>
      <c r="U266" s="99"/>
      <c r="V266" s="99"/>
      <c r="W266" s="99"/>
      <c r="X266" s="99"/>
      <c r="Y266" s="99"/>
      <c r="Z266" s="100"/>
      <c r="AA266" s="101"/>
      <c r="AB266" s="99"/>
      <c r="AC266" s="99"/>
      <c r="AD266" s="99"/>
      <c r="AE266" s="99"/>
      <c r="AF266" s="99"/>
      <c r="AG266" s="100"/>
      <c r="AH266" s="101"/>
      <c r="AI266" s="99"/>
      <c r="AJ266" s="100"/>
      <c r="AK266" s="101"/>
      <c r="AL266" s="99"/>
      <c r="AM266" s="99"/>
      <c r="AN266" s="99"/>
      <c r="AO266" s="100"/>
      <c r="AP266" s="98"/>
      <c r="AQ266" s="99"/>
      <c r="AR266" s="99"/>
      <c r="AS266" s="99"/>
      <c r="AT266" s="99"/>
      <c r="AU266" s="99"/>
      <c r="AV266" s="99"/>
      <c r="AW266" s="99"/>
      <c r="AX266" s="99"/>
      <c r="AY266" s="99"/>
      <c r="AZ266" s="99"/>
      <c r="BA266" s="99"/>
      <c r="BB266" s="99"/>
      <c r="BC266" s="99"/>
      <c r="BD266" s="99"/>
      <c r="BE266" s="100"/>
      <c r="BF266" s="101"/>
      <c r="BG266" s="99"/>
      <c r="BH266" s="99"/>
      <c r="BI266" s="99"/>
      <c r="BJ266" s="99"/>
      <c r="BK266" s="99"/>
      <c r="BL266" s="100"/>
      <c r="BM266" s="101"/>
      <c r="BN266" s="99"/>
      <c r="BO266" s="100"/>
      <c r="BP266" s="101"/>
      <c r="BQ266" s="99"/>
      <c r="BR266" s="99"/>
      <c r="BS266" s="99"/>
      <c r="BT266" s="100"/>
      <c r="BU266" s="98"/>
      <c r="BV266" s="99"/>
      <c r="BW266" s="99"/>
      <c r="BX266" s="99"/>
      <c r="BY266" s="99"/>
      <c r="BZ266" s="99"/>
      <c r="CA266" s="99"/>
      <c r="CB266" s="99"/>
      <c r="CC266" s="99"/>
      <c r="CD266" s="99"/>
      <c r="CE266" s="99"/>
      <c r="CF266" s="99"/>
      <c r="CG266" s="99"/>
      <c r="CH266" s="99"/>
      <c r="CI266" s="99"/>
      <c r="CJ266" s="100"/>
      <c r="CK266" s="101"/>
      <c r="CL266" s="99"/>
      <c r="CM266" s="99"/>
      <c r="CN266" s="99"/>
      <c r="CO266" s="99"/>
      <c r="CP266" s="99"/>
      <c r="CQ266" s="100"/>
      <c r="CR266" s="101"/>
      <c r="CS266" s="99"/>
      <c r="CT266" s="100"/>
      <c r="CU266" s="101"/>
      <c r="CV266" s="99"/>
      <c r="CW266" s="99"/>
      <c r="CX266" s="99"/>
      <c r="CY266" s="99"/>
    </row>
    <row r="267" spans="1:103" ht="25.5" x14ac:dyDescent="0.2">
      <c r="A267" s="429" t="s">
        <v>79</v>
      </c>
      <c r="B267" s="401" t="str">
        <f>VLOOKUP(A267,'1. Mesures'!$A$2:$B$116,2,0)</f>
        <v>Mettre en œuvre la GiEP dans l'espace public et privé, ainsi que les autres mesures de résilience climatique liées à la gestion de l’eau</v>
      </c>
      <c r="C267" s="96"/>
      <c r="D267" s="96"/>
      <c r="E267" s="96"/>
      <c r="F267" s="96"/>
      <c r="G267" s="96"/>
      <c r="H267" s="96"/>
      <c r="I267" s="97" t="s">
        <v>1589</v>
      </c>
      <c r="J267" s="97"/>
      <c r="K267" s="98" t="s">
        <v>1590</v>
      </c>
      <c r="L267" s="99" t="s">
        <v>1575</v>
      </c>
      <c r="M267" s="99" t="s">
        <v>1590</v>
      </c>
      <c r="N267" s="99" t="s">
        <v>1575</v>
      </c>
      <c r="O267" s="99" t="s">
        <v>1575</v>
      </c>
      <c r="P267" s="99" t="s">
        <v>1575</v>
      </c>
      <c r="Q267" s="99" t="s">
        <v>1575</v>
      </c>
      <c r="R267" s="99" t="s">
        <v>1590</v>
      </c>
      <c r="S267" s="99" t="s">
        <v>1590</v>
      </c>
      <c r="T267" s="99" t="s">
        <v>1590</v>
      </c>
      <c r="U267" s="99" t="s">
        <v>1590</v>
      </c>
      <c r="V267" s="99"/>
      <c r="W267" s="99" t="s">
        <v>1590</v>
      </c>
      <c r="X267" s="99" t="s">
        <v>1590</v>
      </c>
      <c r="Y267" s="99" t="s">
        <v>1590</v>
      </c>
      <c r="Z267" s="100" t="s">
        <v>1590</v>
      </c>
      <c r="AA267" s="101" t="s">
        <v>1590</v>
      </c>
      <c r="AB267" s="99" t="s">
        <v>1590</v>
      </c>
      <c r="AC267" s="99" t="s">
        <v>1590</v>
      </c>
      <c r="AD267" s="99" t="s">
        <v>1590</v>
      </c>
      <c r="AE267" s="99" t="s">
        <v>1590</v>
      </c>
      <c r="AF267" s="99" t="s">
        <v>1590</v>
      </c>
      <c r="AG267" s="100" t="s">
        <v>1590</v>
      </c>
      <c r="AH267" s="101" t="s">
        <v>1575</v>
      </c>
      <c r="AI267" s="99" t="s">
        <v>1575</v>
      </c>
      <c r="AJ267" s="100"/>
      <c r="AK267" s="101"/>
      <c r="AL267" s="99" t="s">
        <v>1590</v>
      </c>
      <c r="AM267" s="99" t="s">
        <v>1590</v>
      </c>
      <c r="AN267" s="99" t="s">
        <v>1590</v>
      </c>
      <c r="AO267" s="100" t="s">
        <v>1590</v>
      </c>
      <c r="AP267" s="98"/>
      <c r="AQ267" s="99" t="s">
        <v>1575</v>
      </c>
      <c r="AR267" s="99" t="s">
        <v>1590</v>
      </c>
      <c r="AS267" s="99" t="s">
        <v>1575</v>
      </c>
      <c r="AT267" s="99" t="s">
        <v>1575</v>
      </c>
      <c r="AU267" s="99" t="s">
        <v>1575</v>
      </c>
      <c r="AV267" s="99"/>
      <c r="AW267" s="99" t="s">
        <v>1590</v>
      </c>
      <c r="AX267" s="99" t="s">
        <v>1590</v>
      </c>
      <c r="AY267" s="99"/>
      <c r="AZ267" s="99" t="s">
        <v>1590</v>
      </c>
      <c r="BA267" s="99" t="s">
        <v>1590</v>
      </c>
      <c r="BB267" s="99" t="s">
        <v>1590</v>
      </c>
      <c r="BC267" s="99" t="s">
        <v>1590</v>
      </c>
      <c r="BD267" s="99"/>
      <c r="BE267" s="100" t="s">
        <v>1590</v>
      </c>
      <c r="BF267" s="101" t="s">
        <v>1590</v>
      </c>
      <c r="BG267" s="99"/>
      <c r="BH267" s="99"/>
      <c r="BI267" s="99"/>
      <c r="BJ267" s="99"/>
      <c r="BK267" s="99"/>
      <c r="BL267" s="100"/>
      <c r="BM267" s="101" t="s">
        <v>1590</v>
      </c>
      <c r="BN267" s="99" t="s">
        <v>1590</v>
      </c>
      <c r="BO267" s="100"/>
      <c r="BP267" s="101"/>
      <c r="BQ267" s="99" t="s">
        <v>1590</v>
      </c>
      <c r="BR267" s="99"/>
      <c r="BS267" s="99" t="s">
        <v>1590</v>
      </c>
      <c r="BT267" s="100" t="s">
        <v>1590</v>
      </c>
      <c r="BU267" s="98"/>
      <c r="BV267" s="99"/>
      <c r="BW267" s="99"/>
      <c r="BX267" s="99" t="s">
        <v>1590</v>
      </c>
      <c r="BY267" s="99" t="s">
        <v>1590</v>
      </c>
      <c r="BZ267" s="99" t="s">
        <v>1590</v>
      </c>
      <c r="CA267" s="99"/>
      <c r="CB267" s="99"/>
      <c r="CC267" s="99"/>
      <c r="CD267" s="99"/>
      <c r="CE267" s="99"/>
      <c r="CF267" s="99"/>
      <c r="CG267" s="99" t="s">
        <v>1590</v>
      </c>
      <c r="CH267" s="99" t="s">
        <v>1590</v>
      </c>
      <c r="CI267" s="99"/>
      <c r="CJ267" s="100"/>
      <c r="CK267" s="101"/>
      <c r="CL267" s="99"/>
      <c r="CM267" s="99"/>
      <c r="CN267" s="99"/>
      <c r="CO267" s="99"/>
      <c r="CP267" s="99" t="s">
        <v>1590</v>
      </c>
      <c r="CQ267" s="100"/>
      <c r="CR267" s="101" t="s">
        <v>1575</v>
      </c>
      <c r="CS267" s="99" t="s">
        <v>1575</v>
      </c>
      <c r="CT267" s="100"/>
      <c r="CU267" s="101"/>
      <c r="CV267" s="99" t="s">
        <v>1590</v>
      </c>
      <c r="CW267" s="99"/>
      <c r="CX267" s="99" t="s">
        <v>1590</v>
      </c>
      <c r="CY267" s="99" t="s">
        <v>1590</v>
      </c>
    </row>
    <row r="268" spans="1:103" ht="25.5" x14ac:dyDescent="0.2">
      <c r="A268" s="113" t="s">
        <v>422</v>
      </c>
      <c r="B268" s="401" t="s">
        <v>1602</v>
      </c>
      <c r="C268" s="96">
        <v>200000</v>
      </c>
      <c r="D268" s="96">
        <v>200000</v>
      </c>
      <c r="E268" s="96">
        <v>200000</v>
      </c>
      <c r="F268" s="96">
        <v>200000</v>
      </c>
      <c r="G268" s="96"/>
      <c r="H268" s="96"/>
      <c r="I268" s="97"/>
      <c r="J268" s="97"/>
      <c r="K268" s="98"/>
      <c r="L268" s="99"/>
      <c r="M268" s="99"/>
      <c r="N268" s="99"/>
      <c r="O268" s="99"/>
      <c r="P268" s="99"/>
      <c r="Q268" s="99"/>
      <c r="R268" s="99"/>
      <c r="S268" s="99"/>
      <c r="T268" s="99"/>
      <c r="U268" s="99"/>
      <c r="V268" s="99"/>
      <c r="W268" s="99"/>
      <c r="X268" s="99"/>
      <c r="Y268" s="99"/>
      <c r="Z268" s="100"/>
      <c r="AA268" s="101"/>
      <c r="AB268" s="99"/>
      <c r="AC268" s="99"/>
      <c r="AD268" s="99"/>
      <c r="AE268" s="99"/>
      <c r="AF268" s="99"/>
      <c r="AG268" s="100"/>
      <c r="AH268" s="101"/>
      <c r="AI268" s="99"/>
      <c r="AJ268" s="100"/>
      <c r="AK268" s="101"/>
      <c r="AL268" s="99"/>
      <c r="AM268" s="99"/>
      <c r="AN268" s="99"/>
      <c r="AO268" s="100"/>
      <c r="AP268" s="98"/>
      <c r="AQ268" s="99"/>
      <c r="AR268" s="99"/>
      <c r="AS268" s="99"/>
      <c r="AT268" s="99"/>
      <c r="AU268" s="99"/>
      <c r="AV268" s="99"/>
      <c r="AW268" s="99"/>
      <c r="AX268" s="99"/>
      <c r="AY268" s="99"/>
      <c r="AZ268" s="99"/>
      <c r="BA268" s="99"/>
      <c r="BB268" s="99"/>
      <c r="BC268" s="99"/>
      <c r="BD268" s="99"/>
      <c r="BE268" s="100"/>
      <c r="BF268" s="101"/>
      <c r="BG268" s="99"/>
      <c r="BH268" s="99"/>
      <c r="BI268" s="99"/>
      <c r="BJ268" s="99"/>
      <c r="BK268" s="99"/>
      <c r="BL268" s="100"/>
      <c r="BM268" s="101"/>
      <c r="BN268" s="99"/>
      <c r="BO268" s="100"/>
      <c r="BP268" s="101"/>
      <c r="BQ268" s="99"/>
      <c r="BR268" s="99"/>
      <c r="BS268" s="99"/>
      <c r="BT268" s="100"/>
      <c r="BU268" s="98"/>
      <c r="BV268" s="99"/>
      <c r="BW268" s="99"/>
      <c r="BX268" s="99"/>
      <c r="BY268" s="99"/>
      <c r="BZ268" s="99"/>
      <c r="CA268" s="99"/>
      <c r="CB268" s="99"/>
      <c r="CC268" s="99"/>
      <c r="CD268" s="99"/>
      <c r="CE268" s="99"/>
      <c r="CF268" s="99"/>
      <c r="CG268" s="99"/>
      <c r="CH268" s="99"/>
      <c r="CI268" s="99"/>
      <c r="CJ268" s="100"/>
      <c r="CK268" s="101"/>
      <c r="CL268" s="99"/>
      <c r="CM268" s="99"/>
      <c r="CN268" s="99"/>
      <c r="CO268" s="99"/>
      <c r="CP268" s="99"/>
      <c r="CQ268" s="100"/>
      <c r="CR268" s="101"/>
      <c r="CS268" s="99"/>
      <c r="CT268" s="100"/>
      <c r="CU268" s="101"/>
      <c r="CV268" s="99"/>
      <c r="CW268" s="99"/>
      <c r="CX268" s="99"/>
      <c r="CY268" s="99"/>
    </row>
    <row r="274" spans="12:43" x14ac:dyDescent="0.2">
      <c r="L274" s="79" t="s">
        <v>3036</v>
      </c>
      <c r="AQ274" s="79" t="s">
        <v>3037</v>
      </c>
    </row>
  </sheetData>
  <autoFilter ref="A1:CY266" xr:uid="{00000000-0009-0000-0000-000010000000}"/>
  <mergeCells count="6">
    <mergeCell ref="AK3:AO3"/>
    <mergeCell ref="K3:O3"/>
    <mergeCell ref="Q3:R3"/>
    <mergeCell ref="V3:Z3"/>
    <mergeCell ref="AA3:AG3"/>
    <mergeCell ref="AH3:AJ3"/>
  </mergeCells>
  <phoneticPr fontId="8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dimension ref="A1:B57"/>
  <sheetViews>
    <sheetView showGridLines="0" topLeftCell="A18" workbookViewId="0">
      <selection activeCell="A27" sqref="A27:B29"/>
    </sheetView>
  </sheetViews>
  <sheetFormatPr baseColWidth="10" defaultColWidth="10.85546875" defaultRowHeight="15" x14ac:dyDescent="0.25"/>
  <cols>
    <col min="2" max="2" width="216.42578125" bestFit="1" customWidth="1"/>
  </cols>
  <sheetData>
    <row r="1" spans="1:2" x14ac:dyDescent="0.25">
      <c r="A1" s="9" t="s">
        <v>428</v>
      </c>
      <c r="B1" s="9" t="s">
        <v>429</v>
      </c>
    </row>
    <row r="2" spans="1:2" x14ac:dyDescent="0.25">
      <c r="A2" s="10" t="s">
        <v>52</v>
      </c>
      <c r="B2" s="11" t="s">
        <v>430</v>
      </c>
    </row>
    <row r="3" spans="1:2" x14ac:dyDescent="0.25">
      <c r="A3" s="10" t="s">
        <v>431</v>
      </c>
      <c r="B3" s="11" t="s">
        <v>432</v>
      </c>
    </row>
    <row r="4" spans="1:2" x14ac:dyDescent="0.25">
      <c r="A4" s="10" t="s">
        <v>55</v>
      </c>
      <c r="B4" s="11" t="s">
        <v>433</v>
      </c>
    </row>
    <row r="5" spans="1:2" x14ac:dyDescent="0.25">
      <c r="A5" s="10" t="s">
        <v>56</v>
      </c>
      <c r="B5" s="11" t="s">
        <v>434</v>
      </c>
    </row>
    <row r="6" spans="1:2" x14ac:dyDescent="0.25">
      <c r="A6" s="10" t="s">
        <v>57</v>
      </c>
      <c r="B6" s="11" t="s">
        <v>435</v>
      </c>
    </row>
    <row r="7" spans="1:2" x14ac:dyDescent="0.25">
      <c r="A7" s="10" t="s">
        <v>58</v>
      </c>
      <c r="B7" s="11" t="s">
        <v>436</v>
      </c>
    </row>
    <row r="8" spans="1:2" x14ac:dyDescent="0.25">
      <c r="A8" s="10" t="s">
        <v>437</v>
      </c>
      <c r="B8" s="11" t="s">
        <v>438</v>
      </c>
    </row>
    <row r="9" spans="1:2" x14ac:dyDescent="0.25">
      <c r="A9" s="10" t="s">
        <v>60</v>
      </c>
      <c r="B9" s="11" t="s">
        <v>439</v>
      </c>
    </row>
    <row r="10" spans="1:2" x14ac:dyDescent="0.25">
      <c r="A10" s="13" t="s">
        <v>140</v>
      </c>
      <c r="B10" s="13" t="s">
        <v>440</v>
      </c>
    </row>
    <row r="11" spans="1:2" x14ac:dyDescent="0.25">
      <c r="A11" s="13" t="s">
        <v>141</v>
      </c>
      <c r="B11" s="13" t="s">
        <v>441</v>
      </c>
    </row>
    <row r="12" spans="1:2" x14ac:dyDescent="0.25">
      <c r="A12" s="13" t="s">
        <v>142</v>
      </c>
      <c r="B12" s="13" t="s">
        <v>442</v>
      </c>
    </row>
    <row r="13" spans="1:2" x14ac:dyDescent="0.25">
      <c r="A13" s="13" t="s">
        <v>143</v>
      </c>
      <c r="B13" s="13" t="s">
        <v>443</v>
      </c>
    </row>
    <row r="14" spans="1:2" x14ac:dyDescent="0.25">
      <c r="A14" s="13" t="s">
        <v>144</v>
      </c>
      <c r="B14" s="13" t="s">
        <v>444</v>
      </c>
    </row>
    <row r="15" spans="1:2" x14ac:dyDescent="0.25">
      <c r="A15" s="13" t="s">
        <v>145</v>
      </c>
      <c r="B15" s="13" t="s">
        <v>445</v>
      </c>
    </row>
    <row r="16" spans="1:2" x14ac:dyDescent="0.25">
      <c r="A16" s="13" t="s">
        <v>146</v>
      </c>
      <c r="B16" s="13" t="s">
        <v>446</v>
      </c>
    </row>
    <row r="17" spans="1:2" x14ac:dyDescent="0.25">
      <c r="A17" s="13" t="s">
        <v>147</v>
      </c>
      <c r="B17" s="13" t="s">
        <v>447</v>
      </c>
    </row>
    <row r="18" spans="1:2" x14ac:dyDescent="0.25">
      <c r="A18" s="10" t="s">
        <v>148</v>
      </c>
      <c r="B18" s="11" t="s">
        <v>448</v>
      </c>
    </row>
    <row r="19" spans="1:2" x14ac:dyDescent="0.25">
      <c r="A19" s="10" t="s">
        <v>149</v>
      </c>
      <c r="B19" s="11" t="s">
        <v>449</v>
      </c>
    </row>
    <row r="20" spans="1:2" x14ac:dyDescent="0.25">
      <c r="A20" s="10" t="s">
        <v>150</v>
      </c>
      <c r="B20" s="11" t="s">
        <v>450</v>
      </c>
    </row>
    <row r="21" spans="1:2" ht="25.5" x14ac:dyDescent="0.25">
      <c r="A21" s="10" t="s">
        <v>151</v>
      </c>
      <c r="B21" s="11" t="s">
        <v>451</v>
      </c>
    </row>
    <row r="22" spans="1:2" x14ac:dyDescent="0.25">
      <c r="A22" s="10" t="s">
        <v>152</v>
      </c>
      <c r="B22" s="11" t="s">
        <v>452</v>
      </c>
    </row>
    <row r="23" spans="1:2" x14ac:dyDescent="0.25">
      <c r="A23" s="10" t="s">
        <v>153</v>
      </c>
      <c r="B23" s="11" t="s">
        <v>453</v>
      </c>
    </row>
    <row r="24" spans="1:2" x14ac:dyDescent="0.25">
      <c r="A24" s="10" t="s">
        <v>154</v>
      </c>
      <c r="B24" s="11" t="s">
        <v>454</v>
      </c>
    </row>
    <row r="25" spans="1:2" x14ac:dyDescent="0.25">
      <c r="A25" s="14" t="s">
        <v>156</v>
      </c>
      <c r="B25" s="14" t="s">
        <v>455</v>
      </c>
    </row>
    <row r="26" spans="1:2" x14ac:dyDescent="0.25">
      <c r="A26" s="14" t="s">
        <v>157</v>
      </c>
      <c r="B26" s="14" t="s">
        <v>456</v>
      </c>
    </row>
    <row r="27" spans="1:2" x14ac:dyDescent="0.25">
      <c r="A27" s="13" t="s">
        <v>108</v>
      </c>
      <c r="B27" s="13" t="s">
        <v>457</v>
      </c>
    </row>
    <row r="28" spans="1:2" x14ac:dyDescent="0.25">
      <c r="A28" s="13" t="s">
        <v>158</v>
      </c>
      <c r="B28" s="13" t="s">
        <v>458</v>
      </c>
    </row>
    <row r="29" spans="1:2" x14ac:dyDescent="0.25">
      <c r="A29" s="13" t="s">
        <v>109</v>
      </c>
      <c r="B29" s="13" t="s">
        <v>459</v>
      </c>
    </row>
    <row r="30" spans="1:2" x14ac:dyDescent="0.25">
      <c r="A30" s="13" t="s">
        <v>159</v>
      </c>
      <c r="B30" s="13" t="s">
        <v>460</v>
      </c>
    </row>
    <row r="31" spans="1:2" x14ac:dyDescent="0.25">
      <c r="A31" s="13" t="s">
        <v>160</v>
      </c>
      <c r="B31" s="13" t="s">
        <v>461</v>
      </c>
    </row>
    <row r="32" spans="1:2" x14ac:dyDescent="0.25">
      <c r="A32" s="13" t="s">
        <v>161</v>
      </c>
      <c r="B32" s="13" t="s">
        <v>462</v>
      </c>
    </row>
    <row r="33" spans="1:2" x14ac:dyDescent="0.25">
      <c r="A33" s="13" t="s">
        <v>162</v>
      </c>
      <c r="B33" s="13" t="s">
        <v>463</v>
      </c>
    </row>
    <row r="34" spans="1:2" x14ac:dyDescent="0.25">
      <c r="A34" s="13" t="s">
        <v>163</v>
      </c>
      <c r="B34" s="13" t="s">
        <v>464</v>
      </c>
    </row>
    <row r="35" spans="1:2" x14ac:dyDescent="0.25">
      <c r="A35" s="13" t="s">
        <v>164</v>
      </c>
      <c r="B35" s="13" t="s">
        <v>465</v>
      </c>
    </row>
    <row r="36" spans="1:2" x14ac:dyDescent="0.25">
      <c r="A36" s="13" t="s">
        <v>165</v>
      </c>
      <c r="B36" s="13" t="s">
        <v>466</v>
      </c>
    </row>
    <row r="37" spans="1:2" x14ac:dyDescent="0.25">
      <c r="A37" s="13" t="s">
        <v>166</v>
      </c>
      <c r="B37" s="13" t="s">
        <v>467</v>
      </c>
    </row>
    <row r="38" spans="1:2" x14ac:dyDescent="0.25">
      <c r="A38" s="13" t="s">
        <v>167</v>
      </c>
      <c r="B38" s="13" t="s">
        <v>468</v>
      </c>
    </row>
    <row r="39" spans="1:2" x14ac:dyDescent="0.25">
      <c r="A39" s="13" t="s">
        <v>168</v>
      </c>
      <c r="B39" s="13" t="s">
        <v>469</v>
      </c>
    </row>
    <row r="40" spans="1:2" x14ac:dyDescent="0.25">
      <c r="A40" s="13" t="s">
        <v>169</v>
      </c>
      <c r="B40" s="13" t="s">
        <v>470</v>
      </c>
    </row>
    <row r="41" spans="1:2" x14ac:dyDescent="0.25">
      <c r="A41" s="13" t="s">
        <v>171</v>
      </c>
      <c r="B41" s="13" t="s">
        <v>471</v>
      </c>
    </row>
    <row r="42" spans="1:2" x14ac:dyDescent="0.25">
      <c r="A42" s="13" t="s">
        <v>170</v>
      </c>
      <c r="B42" s="13" t="s">
        <v>472</v>
      </c>
    </row>
    <row r="43" spans="1:2" x14ac:dyDescent="0.25">
      <c r="A43" s="13" t="s">
        <v>473</v>
      </c>
      <c r="B43" s="13" t="s">
        <v>474</v>
      </c>
    </row>
    <row r="44" spans="1:2" x14ac:dyDescent="0.25">
      <c r="A44" s="13" t="s">
        <v>173</v>
      </c>
      <c r="B44" s="13" t="s">
        <v>475</v>
      </c>
    </row>
    <row r="45" spans="1:2" x14ac:dyDescent="0.25">
      <c r="A45" s="13" t="s">
        <v>174</v>
      </c>
      <c r="B45" s="13" t="s">
        <v>476</v>
      </c>
    </row>
    <row r="46" spans="1:2" x14ac:dyDescent="0.25">
      <c r="A46" s="13" t="s">
        <v>175</v>
      </c>
      <c r="B46" s="13" t="s">
        <v>477</v>
      </c>
    </row>
    <row r="47" spans="1:2" x14ac:dyDescent="0.25">
      <c r="A47" s="13" t="s">
        <v>176</v>
      </c>
      <c r="B47" s="13" t="s">
        <v>478</v>
      </c>
    </row>
    <row r="48" spans="1:2" x14ac:dyDescent="0.25">
      <c r="A48" s="13" t="s">
        <v>177</v>
      </c>
      <c r="B48" s="13" t="s">
        <v>479</v>
      </c>
    </row>
    <row r="49" spans="1:2" x14ac:dyDescent="0.25">
      <c r="A49" s="13" t="s">
        <v>480</v>
      </c>
      <c r="B49" s="13" t="s">
        <v>481</v>
      </c>
    </row>
    <row r="50" spans="1:2" x14ac:dyDescent="0.25">
      <c r="A50" s="13" t="s">
        <v>482</v>
      </c>
      <c r="B50" s="13" t="s">
        <v>483</v>
      </c>
    </row>
    <row r="51" spans="1:2" x14ac:dyDescent="0.25">
      <c r="A51" s="13" t="s">
        <v>180</v>
      </c>
      <c r="B51" s="13" t="s">
        <v>484</v>
      </c>
    </row>
    <row r="52" spans="1:2" x14ac:dyDescent="0.25">
      <c r="A52" s="13" t="s">
        <v>181</v>
      </c>
      <c r="B52" s="13" t="s">
        <v>485</v>
      </c>
    </row>
    <row r="53" spans="1:2" x14ac:dyDescent="0.25">
      <c r="A53" s="13" t="s">
        <v>182</v>
      </c>
      <c r="B53" s="13" t="s">
        <v>486</v>
      </c>
    </row>
    <row r="54" spans="1:2" x14ac:dyDescent="0.25">
      <c r="A54" s="13" t="s">
        <v>183</v>
      </c>
      <c r="B54" s="13" t="s">
        <v>487</v>
      </c>
    </row>
    <row r="55" spans="1:2" x14ac:dyDescent="0.25">
      <c r="A55" s="15" t="s">
        <v>184</v>
      </c>
      <c r="B55" s="15" t="s">
        <v>488</v>
      </c>
    </row>
    <row r="56" spans="1:2" x14ac:dyDescent="0.25">
      <c r="A56" s="15" t="s">
        <v>185</v>
      </c>
      <c r="B56" s="15" t="s">
        <v>489</v>
      </c>
    </row>
    <row r="57" spans="1:2" x14ac:dyDescent="0.25">
      <c r="A57" s="15" t="s">
        <v>490</v>
      </c>
      <c r="B57" s="15" t="s">
        <v>491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5"/>
  <dimension ref="A1:E81"/>
  <sheetViews>
    <sheetView showGridLines="0" topLeftCell="A55" workbookViewId="0">
      <selection activeCell="E60" sqref="E60"/>
    </sheetView>
  </sheetViews>
  <sheetFormatPr baseColWidth="10" defaultColWidth="11.42578125" defaultRowHeight="15" x14ac:dyDescent="0.25"/>
  <cols>
    <col min="1" max="1" width="27.140625" style="435" customWidth="1"/>
    <col min="2" max="2" width="15.28515625" style="435" customWidth="1"/>
    <col min="3" max="3" width="20.5703125" style="435" customWidth="1"/>
    <col min="4" max="4" width="32.140625" style="435" customWidth="1"/>
    <col min="5" max="5" width="38.42578125" style="435" customWidth="1"/>
    <col min="6" max="6" width="37.42578125" style="435" customWidth="1"/>
    <col min="7" max="7" width="33.42578125" style="435" customWidth="1"/>
    <col min="8" max="16384" width="11.42578125" style="435"/>
  </cols>
  <sheetData>
    <row r="1" spans="1:5" s="431" customFormat="1" ht="15.75" x14ac:dyDescent="0.25">
      <c r="A1" s="430" t="s">
        <v>2621</v>
      </c>
    </row>
    <row r="2" spans="1:5" s="431" customFormat="1" x14ac:dyDescent="0.25"/>
    <row r="3" spans="1:5" s="431" customFormat="1" x14ac:dyDescent="0.25">
      <c r="A3" s="432" t="s">
        <v>2620</v>
      </c>
    </row>
    <row r="4" spans="1:5" s="431" customFormat="1" x14ac:dyDescent="0.25">
      <c r="A4" s="15" t="s">
        <v>2622</v>
      </c>
    </row>
    <row r="5" spans="1:5" s="431" customFormat="1" x14ac:dyDescent="0.25">
      <c r="A5" s="15" t="s">
        <v>41</v>
      </c>
    </row>
    <row r="6" spans="1:5" s="431" customFormat="1" x14ac:dyDescent="0.25">
      <c r="A6" s="15" t="s">
        <v>1888</v>
      </c>
    </row>
    <row r="7" spans="1:5" s="431" customFormat="1" x14ac:dyDescent="0.25">
      <c r="A7" s="15" t="s">
        <v>2902</v>
      </c>
    </row>
    <row r="8" spans="1:5" s="431" customFormat="1" x14ac:dyDescent="0.25">
      <c r="A8" s="15" t="s">
        <v>2172</v>
      </c>
    </row>
    <row r="9" spans="1:5" s="431" customFormat="1" x14ac:dyDescent="0.25">
      <c r="A9" s="15" t="s">
        <v>2623</v>
      </c>
    </row>
    <row r="10" spans="1:5" s="431" customFormat="1" x14ac:dyDescent="0.25">
      <c r="A10" s="15" t="s">
        <v>1824</v>
      </c>
    </row>
    <row r="11" spans="1:5" s="431" customFormat="1" x14ac:dyDescent="0.25">
      <c r="A11" s="15" t="s">
        <v>104</v>
      </c>
    </row>
    <row r="12" spans="1:5" s="431" customFormat="1" x14ac:dyDescent="0.25">
      <c r="A12" s="15" t="s">
        <v>2624</v>
      </c>
    </row>
    <row r="13" spans="1:5" s="431" customFormat="1" x14ac:dyDescent="0.25"/>
    <row r="14" spans="1:5" s="431" customFormat="1" x14ac:dyDescent="0.25"/>
    <row r="15" spans="1:5" s="431" customFormat="1" x14ac:dyDescent="0.25">
      <c r="A15" s="433" t="s">
        <v>2625</v>
      </c>
    </row>
    <row r="16" spans="1:5" s="431" customFormat="1" x14ac:dyDescent="0.25">
      <c r="A16" s="456" t="s">
        <v>2626</v>
      </c>
      <c r="B16" s="456" t="s">
        <v>2627</v>
      </c>
      <c r="C16" s="456" t="s">
        <v>2628</v>
      </c>
      <c r="D16" s="456" t="s">
        <v>2620</v>
      </c>
      <c r="E16" s="456" t="s">
        <v>2629</v>
      </c>
    </row>
    <row r="17" spans="1:5" s="431" customFormat="1" x14ac:dyDescent="0.25">
      <c r="A17" s="15" t="s">
        <v>2690</v>
      </c>
      <c r="B17" s="15" t="s">
        <v>2681</v>
      </c>
      <c r="C17" s="15" t="str">
        <f>A17&amp;". "&amp;LEFT(B17,1)</f>
        <v>LAGNEAU. O</v>
      </c>
      <c r="D17" s="15" t="s">
        <v>138</v>
      </c>
      <c r="E17" s="15" t="str">
        <f>LOWER(LEFT(B17,1)&amp;(A17))&amp;"@vivaqua.be"</f>
        <v>olagneau@vivaqua.be</v>
      </c>
    </row>
    <row r="18" spans="1:5" s="431" customFormat="1" x14ac:dyDescent="0.25">
      <c r="A18" s="15" t="s">
        <v>2630</v>
      </c>
      <c r="B18" s="15" t="s">
        <v>2631</v>
      </c>
      <c r="C18" s="15" t="str">
        <f t="shared" ref="C18:C45" si="0">A18&amp;"."&amp;LEFT(B18,1)</f>
        <v>AGNIEL.M</v>
      </c>
      <c r="D18" s="15" t="s">
        <v>2622</v>
      </c>
      <c r="E18" s="15" t="str">
        <f>LOWER(LEFT(B18,1)&amp;LOWER(A18)&amp;"@environnement.brussels")</f>
        <v>magniel@environnement.brussels</v>
      </c>
    </row>
    <row r="19" spans="1:5" s="431" customFormat="1" x14ac:dyDescent="0.25">
      <c r="A19" s="15" t="s">
        <v>2632</v>
      </c>
      <c r="B19" s="15" t="s">
        <v>2633</v>
      </c>
      <c r="C19" s="15" t="str">
        <f t="shared" si="0"/>
        <v>ANTOINE.M</v>
      </c>
      <c r="D19" s="15" t="s">
        <v>2622</v>
      </c>
      <c r="E19" s="15" t="str">
        <f>LOWER(LEFT(B19,1)&amp;LOWER(A19)&amp;"@environnement.brussels")</f>
        <v>mantoine@environnement.brussels</v>
      </c>
    </row>
    <row r="20" spans="1:5" s="431" customFormat="1" x14ac:dyDescent="0.25">
      <c r="A20" s="15" t="s">
        <v>2632</v>
      </c>
      <c r="B20" s="15" t="s">
        <v>2633</v>
      </c>
      <c r="C20" s="15" t="str">
        <f t="shared" ref="C20" si="1">A20&amp;"."&amp;LEFT(B20,1)</f>
        <v>ANTOINE.M</v>
      </c>
      <c r="D20" s="478" t="s">
        <v>2967</v>
      </c>
      <c r="E20" s="15" t="str">
        <f>LOWER(LEFT(B20,1)&amp;LOWER(A20)&amp;"@environnement.brussels")</f>
        <v>mantoine@environnement.brussels</v>
      </c>
    </row>
    <row r="21" spans="1:5" s="431" customFormat="1" x14ac:dyDescent="0.25">
      <c r="A21" s="15" t="s">
        <v>2969</v>
      </c>
      <c r="B21" s="15" t="s">
        <v>2970</v>
      </c>
      <c r="C21" s="15" t="str">
        <f t="shared" si="0"/>
        <v>VERMEERSCH.X</v>
      </c>
      <c r="D21" s="15" t="s">
        <v>2622</v>
      </c>
      <c r="E21" s="15" t="str">
        <f>LOWER(LEFT(B21,1)&amp;LOWER(A21)&amp;"@environnement.brussels")</f>
        <v>xvermeersch@environnement.brussels</v>
      </c>
    </row>
    <row r="22" spans="1:5" s="431" customFormat="1" x14ac:dyDescent="0.25">
      <c r="A22" s="15" t="s">
        <v>2972</v>
      </c>
      <c r="B22" s="15" t="s">
        <v>2973</v>
      </c>
      <c r="C22" s="15" t="str">
        <f>A22&amp;". "&amp;LEFT(B22,1)</f>
        <v>BEAUREPAIRE. F</v>
      </c>
      <c r="D22" s="15" t="s">
        <v>2622</v>
      </c>
      <c r="E22" s="15" t="str">
        <f>LOWER(LEFT(B22,1)&amp;LOWER(A22)&amp;"@environnement.brussels")</f>
        <v>fbeaurepaire@environnement.brussels</v>
      </c>
    </row>
    <row r="23" spans="1:5" s="431" customFormat="1" x14ac:dyDescent="0.25">
      <c r="A23" s="15" t="s">
        <v>2634</v>
      </c>
      <c r="B23" s="15" t="s">
        <v>2635</v>
      </c>
      <c r="C23" s="15" t="str">
        <f t="shared" si="0"/>
        <v>BEKE.E</v>
      </c>
      <c r="D23" s="15" t="s">
        <v>2622</v>
      </c>
      <c r="E23" s="15" t="str">
        <f t="shared" ref="E23:E32" si="2">LOWER(LEFT(B23,1)&amp;LOWER(A23)&amp;"@environnement.brussels")</f>
        <v>ebeke@environnement.brussels</v>
      </c>
    </row>
    <row r="24" spans="1:5" s="431" customFormat="1" x14ac:dyDescent="0.25">
      <c r="A24" s="15" t="s">
        <v>2636</v>
      </c>
      <c r="B24" s="15" t="s">
        <v>2637</v>
      </c>
      <c r="C24" s="15" t="str">
        <f t="shared" si="0"/>
        <v>BINON.M</v>
      </c>
      <c r="D24" s="15" t="s">
        <v>2622</v>
      </c>
      <c r="E24" s="15" t="str">
        <f t="shared" si="2"/>
        <v>mbinon@environnement.brussels</v>
      </c>
    </row>
    <row r="25" spans="1:5" s="431" customFormat="1" x14ac:dyDescent="0.25">
      <c r="A25" s="15" t="s">
        <v>2638</v>
      </c>
      <c r="B25" s="15" t="s">
        <v>2639</v>
      </c>
      <c r="C25" s="15" t="str">
        <f t="shared" si="0"/>
        <v>BOCQUET .R</v>
      </c>
      <c r="D25" s="15" t="s">
        <v>2622</v>
      </c>
      <c r="E25" s="15" t="str">
        <f t="shared" si="2"/>
        <v>rbocquet @environnement.brussels</v>
      </c>
    </row>
    <row r="26" spans="1:5" s="431" customFormat="1" x14ac:dyDescent="0.25">
      <c r="A26" s="15" t="s">
        <v>2657</v>
      </c>
      <c r="B26" s="15" t="s">
        <v>2658</v>
      </c>
      <c r="C26" s="15" t="str">
        <f t="shared" si="0"/>
        <v>CAULIER.H</v>
      </c>
      <c r="D26" s="15" t="s">
        <v>2622</v>
      </c>
      <c r="E26" s="15" t="str">
        <f t="shared" si="2"/>
        <v>hcaulier@environnement.brussels</v>
      </c>
    </row>
    <row r="27" spans="1:5" s="431" customFormat="1" x14ac:dyDescent="0.25">
      <c r="A27" s="15" t="s">
        <v>2640</v>
      </c>
      <c r="B27" s="15" t="s">
        <v>2641</v>
      </c>
      <c r="C27" s="15" t="str">
        <f t="shared" si="0"/>
        <v>DAUPHIN.C</v>
      </c>
      <c r="D27" s="15" t="s">
        <v>2622</v>
      </c>
      <c r="E27" s="15" t="str">
        <f t="shared" si="2"/>
        <v>cdauphin@environnement.brussels</v>
      </c>
    </row>
    <row r="28" spans="1:5" s="431" customFormat="1" x14ac:dyDescent="0.25">
      <c r="A28" s="15" t="s">
        <v>2675</v>
      </c>
      <c r="B28" s="15" t="s">
        <v>2676</v>
      </c>
      <c r="C28" s="15" t="str">
        <f t="shared" si="0"/>
        <v>DAVESNE.S</v>
      </c>
      <c r="D28" s="15" t="s">
        <v>2622</v>
      </c>
      <c r="E28" s="15" t="str">
        <f t="shared" si="2"/>
        <v>sdavesne@environnement.brussels</v>
      </c>
    </row>
    <row r="29" spans="1:5" s="431" customFormat="1" x14ac:dyDescent="0.25">
      <c r="A29" s="15" t="s">
        <v>2642</v>
      </c>
      <c r="B29" s="15" t="s">
        <v>2643</v>
      </c>
      <c r="C29" s="15" t="str">
        <f t="shared" si="0"/>
        <v>DEWAELE.S</v>
      </c>
      <c r="D29" s="15" t="s">
        <v>2622</v>
      </c>
      <c r="E29" s="15" t="str">
        <f t="shared" si="2"/>
        <v>sdewaele@environnement.brussels</v>
      </c>
    </row>
    <row r="30" spans="1:5" s="431" customFormat="1" x14ac:dyDescent="0.25">
      <c r="A30" s="15" t="s">
        <v>2644</v>
      </c>
      <c r="B30" s="15" t="s">
        <v>2645</v>
      </c>
      <c r="C30" s="15" t="str">
        <f t="shared" si="0"/>
        <v>DEWEZ.A</v>
      </c>
      <c r="D30" s="15" t="s">
        <v>2622</v>
      </c>
      <c r="E30" s="15" t="str">
        <f t="shared" si="2"/>
        <v>adewez@environnement.brussels</v>
      </c>
    </row>
    <row r="31" spans="1:5" s="431" customFormat="1" x14ac:dyDescent="0.25">
      <c r="A31" s="15" t="s">
        <v>2663</v>
      </c>
      <c r="B31" s="15" t="s">
        <v>2664</v>
      </c>
      <c r="C31" s="15" t="str">
        <f t="shared" si="0"/>
        <v>DOHET.L</v>
      </c>
      <c r="D31" s="15" t="s">
        <v>2622</v>
      </c>
      <c r="E31" s="15" t="str">
        <f t="shared" si="2"/>
        <v>ldohet@environnement.brussels</v>
      </c>
    </row>
    <row r="32" spans="1:5" s="431" customFormat="1" x14ac:dyDescent="0.25">
      <c r="A32" s="15" t="s">
        <v>2971</v>
      </c>
      <c r="B32" s="15" t="s">
        <v>2671</v>
      </c>
      <c r="C32" s="15" t="str">
        <f>A32&amp;". "&amp;LEFT(B32,1)</f>
        <v>DOMANGE. N</v>
      </c>
      <c r="D32" s="15" t="s">
        <v>2622</v>
      </c>
      <c r="E32" s="15" t="str">
        <f t="shared" si="2"/>
        <v>ndomange@environnement.brussels</v>
      </c>
    </row>
    <row r="33" spans="1:5" s="431" customFormat="1" x14ac:dyDescent="0.25">
      <c r="A33" s="15" t="s">
        <v>2783</v>
      </c>
      <c r="B33" s="15" t="s">
        <v>2646</v>
      </c>
      <c r="C33" s="15" t="str">
        <f t="shared" si="0"/>
        <v>EL FADILI.S</v>
      </c>
      <c r="D33" s="15" t="s">
        <v>2622</v>
      </c>
      <c r="E33" s="15" t="str">
        <f>LOWER("selfadili@environnement.brussels")</f>
        <v>selfadili@environnement.brussels</v>
      </c>
    </row>
    <row r="34" spans="1:5" s="431" customFormat="1" x14ac:dyDescent="0.25">
      <c r="A34" s="15" t="s">
        <v>2965</v>
      </c>
      <c r="B34" s="15" t="s">
        <v>2966</v>
      </c>
      <c r="C34" s="15" t="str">
        <f>A34&amp;". "&amp;LEFT(B34,1)</f>
        <v>ENGELBEEN. M</v>
      </c>
      <c r="D34" s="15" t="s">
        <v>2622</v>
      </c>
      <c r="E34" s="15" t="str">
        <f>LOWER(LEFT(B34,1)&amp;LOWER(A34)&amp;"@leefmilieu.brussels")</f>
        <v>mengelbeen@leefmilieu.brussels</v>
      </c>
    </row>
    <row r="35" spans="1:5" s="431" customFormat="1" x14ac:dyDescent="0.25">
      <c r="A35" s="15" t="s">
        <v>2648</v>
      </c>
      <c r="B35" s="15" t="s">
        <v>2649</v>
      </c>
      <c r="C35" s="15" t="str">
        <f t="shared" si="0"/>
        <v>FRANCOIS.A</v>
      </c>
      <c r="D35" s="15" t="s">
        <v>2622</v>
      </c>
      <c r="E35" s="15" t="str">
        <f>LOWER(LEFT(B35,1)&amp;LOWER(A35)&amp;"@leefmilieu.brussels")</f>
        <v>afrancois@leefmilieu.brussels</v>
      </c>
    </row>
    <row r="36" spans="1:5" s="431" customFormat="1" x14ac:dyDescent="0.25">
      <c r="A36" s="15" t="s">
        <v>2667</v>
      </c>
      <c r="B36" s="15" t="s">
        <v>2668</v>
      </c>
      <c r="C36" s="15" t="str">
        <f t="shared" si="0"/>
        <v>GAULIER.C</v>
      </c>
      <c r="D36" s="15" t="s">
        <v>2622</v>
      </c>
      <c r="E36" s="15" t="s">
        <v>2669</v>
      </c>
    </row>
    <row r="37" spans="1:5" s="431" customFormat="1" x14ac:dyDescent="0.25">
      <c r="A37" s="15" t="s">
        <v>2792</v>
      </c>
      <c r="B37" s="15" t="s">
        <v>2793</v>
      </c>
      <c r="C37" s="15" t="str">
        <f t="shared" si="0"/>
        <v>CUSTERS.K</v>
      </c>
      <c r="D37" s="15" t="s">
        <v>2622</v>
      </c>
      <c r="E37" s="15" t="str">
        <f t="shared" ref="E37:E48" si="3">LOWER(LEFT(B37,1)&amp;LOWER(A37)&amp;"@environnement.brussels")</f>
        <v>kcusters@environnement.brussels</v>
      </c>
    </row>
    <row r="38" spans="1:5" s="431" customFormat="1" x14ac:dyDescent="0.25">
      <c r="A38" s="15" t="s">
        <v>2661</v>
      </c>
      <c r="B38" s="15" t="s">
        <v>2662</v>
      </c>
      <c r="C38" s="15" t="str">
        <f t="shared" si="0"/>
        <v>HEUZE.B</v>
      </c>
      <c r="D38" s="15" t="s">
        <v>2622</v>
      </c>
      <c r="E38" s="15" t="str">
        <f t="shared" si="3"/>
        <v>bheuze@environnement.brussels</v>
      </c>
    </row>
    <row r="39" spans="1:5" s="431" customFormat="1" x14ac:dyDescent="0.25">
      <c r="A39" s="15" t="s">
        <v>2650</v>
      </c>
      <c r="B39" s="15" t="s">
        <v>2651</v>
      </c>
      <c r="C39" s="15" t="str">
        <f t="shared" si="0"/>
        <v>LAVENDER.E</v>
      </c>
      <c r="D39" s="15" t="s">
        <v>2622</v>
      </c>
      <c r="E39" s="15" t="str">
        <f t="shared" si="3"/>
        <v>elavender@environnement.brussels</v>
      </c>
    </row>
    <row r="40" spans="1:5" s="431" customFormat="1" x14ac:dyDescent="0.25">
      <c r="A40" s="15" t="s">
        <v>2652</v>
      </c>
      <c r="B40" s="15" t="s">
        <v>2653</v>
      </c>
      <c r="C40" s="15" t="str">
        <f t="shared" si="0"/>
        <v>LIETAR.A</v>
      </c>
      <c r="D40" s="15" t="s">
        <v>2622</v>
      </c>
      <c r="E40" s="15" t="str">
        <f t="shared" si="3"/>
        <v>alietar@environnement.brussels</v>
      </c>
    </row>
    <row r="41" spans="1:5" s="431" customFormat="1" x14ac:dyDescent="0.25">
      <c r="A41" s="15" t="s">
        <v>2659</v>
      </c>
      <c r="B41" s="15" t="s">
        <v>2660</v>
      </c>
      <c r="C41" s="15" t="str">
        <f t="shared" si="0"/>
        <v>MARESCAUX.A</v>
      </c>
      <c r="D41" s="15" t="s">
        <v>2622</v>
      </c>
      <c r="E41" s="15" t="str">
        <f t="shared" si="3"/>
        <v>amarescaux@environnement.brussels</v>
      </c>
    </row>
    <row r="42" spans="1:5" s="431" customFormat="1" x14ac:dyDescent="0.25">
      <c r="A42" s="15" t="s">
        <v>2670</v>
      </c>
      <c r="B42" s="15" t="s">
        <v>2671</v>
      </c>
      <c r="C42" s="15" t="str">
        <f t="shared" si="0"/>
        <v>MARTINEZ.N</v>
      </c>
      <c r="D42" s="15" t="s">
        <v>2622</v>
      </c>
      <c r="E42" s="15" t="str">
        <f t="shared" si="3"/>
        <v>nmartinez@environnement.brussels</v>
      </c>
    </row>
    <row r="43" spans="1:5" s="431" customFormat="1" x14ac:dyDescent="0.25">
      <c r="A43" s="15" t="s">
        <v>2654</v>
      </c>
      <c r="B43" s="15" t="s">
        <v>2655</v>
      </c>
      <c r="C43" s="15" t="str">
        <f t="shared" si="0"/>
        <v>MAYER.F</v>
      </c>
      <c r="D43" s="15" t="s">
        <v>2622</v>
      </c>
      <c r="E43" s="15" t="str">
        <f t="shared" si="3"/>
        <v>fmayer@environnement.brussels</v>
      </c>
    </row>
    <row r="44" spans="1:5" s="431" customFormat="1" x14ac:dyDescent="0.25">
      <c r="A44" s="15" t="s">
        <v>2656</v>
      </c>
      <c r="B44" s="15" t="s">
        <v>2637</v>
      </c>
      <c r="C44" s="15" t="str">
        <f t="shared" si="0"/>
        <v>OHSE.M</v>
      </c>
      <c r="D44" s="15" t="s">
        <v>2622</v>
      </c>
      <c r="E44" s="15" t="str">
        <f t="shared" si="3"/>
        <v>mohse@environnement.brussels</v>
      </c>
    </row>
    <row r="45" spans="1:5" s="431" customFormat="1" x14ac:dyDescent="0.25">
      <c r="A45" s="15" t="s">
        <v>2673</v>
      </c>
      <c r="B45" s="15" t="s">
        <v>2674</v>
      </c>
      <c r="C45" s="15" t="str">
        <f t="shared" si="0"/>
        <v>PLACE.P</v>
      </c>
      <c r="D45" s="15" t="s">
        <v>2622</v>
      </c>
      <c r="E45" s="15" t="str">
        <f t="shared" si="3"/>
        <v>pplace@environnement.brussels</v>
      </c>
    </row>
    <row r="46" spans="1:5" s="431" customFormat="1" x14ac:dyDescent="0.25">
      <c r="A46" s="436" t="s">
        <v>2781</v>
      </c>
      <c r="B46" s="436" t="s">
        <v>2782</v>
      </c>
      <c r="C46" s="436" t="str">
        <f>A46&amp;". "&amp;LEFT(B46,1)</f>
        <v>SCHMIT. F</v>
      </c>
      <c r="D46" s="15" t="s">
        <v>2622</v>
      </c>
      <c r="E46" s="15" t="str">
        <f t="shared" si="3"/>
        <v>fschmit@environnement.brussels</v>
      </c>
    </row>
    <row r="47" spans="1:5" s="431" customFormat="1" x14ac:dyDescent="0.25">
      <c r="A47" s="15" t="s">
        <v>2785</v>
      </c>
      <c r="B47" s="15" t="s">
        <v>2647</v>
      </c>
      <c r="C47" s="15" t="str">
        <f>A47&amp;"."&amp;LEFT(B47,1)</f>
        <v>SHIFTEconomy.P</v>
      </c>
      <c r="D47" s="15" t="s">
        <v>2622</v>
      </c>
      <c r="E47" s="15" t="str">
        <f t="shared" si="3"/>
        <v>pshifteconomy@environnement.brussels</v>
      </c>
    </row>
    <row r="48" spans="1:5" s="431" customFormat="1" x14ac:dyDescent="0.25">
      <c r="A48" s="15" t="s">
        <v>2944</v>
      </c>
      <c r="B48" s="15" t="s">
        <v>2945</v>
      </c>
      <c r="C48" s="478" t="str">
        <f>A48&amp;". "&amp;LEFT(B48,1)</f>
        <v>STOOP. V</v>
      </c>
      <c r="D48" s="478" t="s">
        <v>2622</v>
      </c>
      <c r="E48" s="15" t="str">
        <f t="shared" si="3"/>
        <v>vstoop@environnement.brussels</v>
      </c>
    </row>
    <row r="49" spans="1:5" s="431" customFormat="1" x14ac:dyDescent="0.25">
      <c r="A49" s="15" t="s">
        <v>2946</v>
      </c>
      <c r="B49" s="15" t="s">
        <v>2672</v>
      </c>
      <c r="C49" s="15" t="str">
        <f>A49&amp;"."&amp;LEFT(B49,1)</f>
        <v>THIENPONT.A</v>
      </c>
      <c r="D49" s="15" t="s">
        <v>2622</v>
      </c>
      <c r="E49" s="15" t="str">
        <f>LOWER(LEFT(B49,1)&amp;LOWER(A49)&amp;"@environnement.brussels")</f>
        <v>athienpont@environnement.brussels</v>
      </c>
    </row>
    <row r="50" spans="1:5" s="431" customFormat="1" x14ac:dyDescent="0.25">
      <c r="A50" s="434" t="s">
        <v>2665</v>
      </c>
      <c r="B50" s="434" t="s">
        <v>2666</v>
      </c>
      <c r="C50" s="434" t="str">
        <f>A50&amp;"."&amp;LEFT(B50,1)</f>
        <v>THIEBAUX.B</v>
      </c>
      <c r="D50" s="15" t="s">
        <v>2622</v>
      </c>
      <c r="E50" s="15" t="str">
        <f>LOWER(LEFT(B50,1)&amp;LOWER(A50)&amp;"@environnement.brussels")</f>
        <v>bthiebaux@environnement.brussels</v>
      </c>
    </row>
    <row r="51" spans="1:5" s="431" customFormat="1" x14ac:dyDescent="0.25">
      <c r="A51" s="15" t="s">
        <v>2784</v>
      </c>
      <c r="B51" s="15" t="s">
        <v>2947</v>
      </c>
      <c r="C51" s="15" t="str">
        <f>A51&amp;"."&amp;LEFT(B51,1)</f>
        <v>THOMAS.V</v>
      </c>
      <c r="D51" s="15" t="s">
        <v>2622</v>
      </c>
      <c r="E51" s="15" t="str">
        <f>LOWER(LEFT(B51,1)&amp;LOWER(A51)&amp;"@environnement.brussels")</f>
        <v>vthomas@environnement.brussels</v>
      </c>
    </row>
    <row r="52" spans="1:5" s="431" customFormat="1" x14ac:dyDescent="0.25">
      <c r="A52" s="15" t="s">
        <v>2975</v>
      </c>
      <c r="B52" s="15" t="s">
        <v>2976</v>
      </c>
      <c r="C52" s="482" t="str">
        <f t="shared" ref="C52:C59" si="4">A52&amp;". "&amp;LEFT(B52,1)</f>
        <v>VERBIST. A</v>
      </c>
      <c r="D52" s="15" t="s">
        <v>2622</v>
      </c>
      <c r="E52" s="15" t="str">
        <f>LOWER(LEFT(B52,1)&amp;LOWER(A52)&amp;"@leefmilieu.brussels")</f>
        <v>averbist@leefmilieu.brussels</v>
      </c>
    </row>
    <row r="53" spans="1:5" s="431" customFormat="1" x14ac:dyDescent="0.25">
      <c r="A53" s="15" t="s">
        <v>2983</v>
      </c>
      <c r="B53" s="15" t="s">
        <v>2984</v>
      </c>
      <c r="C53" s="482" t="str">
        <f t="shared" si="4"/>
        <v>TRAN. T</v>
      </c>
      <c r="D53" s="482" t="s">
        <v>2985</v>
      </c>
      <c r="E53" s="15" t="str">
        <f>LOWER(LEFT(B53,1)&amp;LOWER(A53)&amp;"@leefmilieu.brussels")</f>
        <v>ttran@leefmilieu.brussels</v>
      </c>
    </row>
    <row r="54" spans="1:5" s="431" customFormat="1" x14ac:dyDescent="0.25">
      <c r="A54" s="15" t="s">
        <v>2986</v>
      </c>
      <c r="B54" s="15" t="s">
        <v>2987</v>
      </c>
      <c r="C54" s="482" t="str">
        <f t="shared" si="4"/>
        <v>DENECKER. C</v>
      </c>
      <c r="D54" s="482" t="s">
        <v>2988</v>
      </c>
      <c r="E54" s="483" t="s">
        <v>2989</v>
      </c>
    </row>
    <row r="55" spans="1:5" s="431" customFormat="1" x14ac:dyDescent="0.25">
      <c r="A55" s="15" t="s">
        <v>2992</v>
      </c>
      <c r="B55" s="15" t="s">
        <v>2993</v>
      </c>
      <c r="C55" s="482" t="str">
        <f t="shared" si="4"/>
        <v>SOMME. L</v>
      </c>
      <c r="D55" s="482" t="s">
        <v>2988</v>
      </c>
      <c r="E55" s="483" t="s">
        <v>2994</v>
      </c>
    </row>
    <row r="56" spans="1:5" s="431" customFormat="1" x14ac:dyDescent="0.25">
      <c r="A56" s="15" t="s">
        <v>2693</v>
      </c>
      <c r="B56" s="15" t="s">
        <v>2694</v>
      </c>
      <c r="C56" s="15" t="str">
        <f t="shared" si="4"/>
        <v>AERTS. M</v>
      </c>
      <c r="D56" s="15" t="s">
        <v>2612</v>
      </c>
      <c r="E56" s="15" t="str">
        <f>LOWER(B56)&amp;"."&amp;LOWER(A56)&amp;"@hydria.be"</f>
        <v>marc.aerts@hydria.be</v>
      </c>
    </row>
    <row r="57" spans="1:5" s="431" customFormat="1" x14ac:dyDescent="0.25">
      <c r="A57" s="15" t="s">
        <v>2695</v>
      </c>
      <c r="B57" s="15" t="s">
        <v>2696</v>
      </c>
      <c r="C57" s="15" t="str">
        <f t="shared" si="4"/>
        <v>GEESSELS. G</v>
      </c>
      <c r="D57" s="15" t="s">
        <v>2612</v>
      </c>
      <c r="E57" s="15" t="str">
        <f>LOWER(B57)&amp;"."&amp;LOWER(A57)&amp;"@hydria.be"</f>
        <v>geert.geessels@hydria.be</v>
      </c>
    </row>
    <row r="58" spans="1:5" s="431" customFormat="1" x14ac:dyDescent="0.25">
      <c r="A58" s="15" t="s">
        <v>2691</v>
      </c>
      <c r="B58" s="15" t="s">
        <v>2692</v>
      </c>
      <c r="C58" s="15" t="str">
        <f t="shared" si="4"/>
        <v>PIREAUX. D</v>
      </c>
      <c r="D58" s="15" t="s">
        <v>2612</v>
      </c>
      <c r="E58" s="15" t="str">
        <f>LOWER(B58)&amp;"."&amp;LOWER(A58)&amp;"@hydria.be"</f>
        <v>david.pireaux@hydria.be</v>
      </c>
    </row>
    <row r="59" spans="1:5" s="431" customFormat="1" x14ac:dyDescent="0.25">
      <c r="A59" s="15" t="s">
        <v>2697</v>
      </c>
      <c r="B59" s="15" t="s">
        <v>2786</v>
      </c>
      <c r="C59" s="15" t="str">
        <f t="shared" si="4"/>
        <v>VERBEIREN. B</v>
      </c>
      <c r="D59" s="15" t="s">
        <v>2612</v>
      </c>
      <c r="E59" s="15" t="str">
        <f>LOWER(B59)&amp;"."&amp;LOWER(A59)&amp;"@hydria.be"</f>
        <v>boud.verbeiren@hydria.be</v>
      </c>
    </row>
    <row r="60" spans="1:5" s="431" customFormat="1" x14ac:dyDescent="0.25">
      <c r="A60" s="15" t="s">
        <v>2677</v>
      </c>
      <c r="B60" s="15" t="s">
        <v>2678</v>
      </c>
      <c r="C60" s="15" t="str">
        <f t="shared" ref="C60:C63" si="5">A60&amp;"."&amp;LEFT(B60,1)</f>
        <v>AUGEM.A</v>
      </c>
      <c r="D60" s="15" t="s">
        <v>1888</v>
      </c>
      <c r="E60" s="15" t="str">
        <f t="shared" ref="E60:E63" si="6">LOWER(LEFT(B60,1)&amp;LOWER(A60)&amp;"@port.brussels")</f>
        <v>aaugem@port.brussels</v>
      </c>
    </row>
    <row r="61" spans="1:5" s="431" customFormat="1" x14ac:dyDescent="0.25">
      <c r="A61" s="15" t="s">
        <v>2977</v>
      </c>
      <c r="B61" s="15" t="s">
        <v>2978</v>
      </c>
      <c r="C61" s="15" t="str">
        <f>A61&amp;". "&amp;LEFT(B61,1)</f>
        <v>DELEUZE. N</v>
      </c>
      <c r="D61" s="15" t="s">
        <v>1888</v>
      </c>
      <c r="E61" s="15" t="str">
        <f t="shared" si="6"/>
        <v>ndeleuze@port.brussels</v>
      </c>
    </row>
    <row r="62" spans="1:5" s="431" customFormat="1" x14ac:dyDescent="0.25">
      <c r="A62" s="15" t="s">
        <v>2979</v>
      </c>
      <c r="B62" s="15" t="s">
        <v>1535</v>
      </c>
      <c r="C62" s="15" t="str">
        <f t="shared" si="5"/>
        <v>MERTENS.D</v>
      </c>
      <c r="D62" s="15" t="s">
        <v>1888</v>
      </c>
      <c r="E62" s="15" t="str">
        <f t="shared" si="6"/>
        <v>dmertens@port.brussels</v>
      </c>
    </row>
    <row r="63" spans="1:5" s="431" customFormat="1" x14ac:dyDescent="0.25">
      <c r="A63" s="15" t="s">
        <v>2679</v>
      </c>
      <c r="B63" s="15" t="s">
        <v>2787</v>
      </c>
      <c r="C63" s="15" t="str">
        <f t="shared" si="5"/>
        <v>OPSOMER.J</v>
      </c>
      <c r="D63" s="15" t="s">
        <v>1888</v>
      </c>
      <c r="E63" s="15" t="str">
        <f t="shared" si="6"/>
        <v>jopsomer@port.brussels</v>
      </c>
    </row>
    <row r="64" spans="1:5" s="431" customFormat="1" x14ac:dyDescent="0.25">
      <c r="A64" s="15" t="s">
        <v>2688</v>
      </c>
      <c r="B64" s="15" t="s">
        <v>2689</v>
      </c>
      <c r="C64" s="15" t="str">
        <f t="shared" ref="C64:C70" si="7">A64&amp;". "&amp;LEFT(B64,1)</f>
        <v>BEN KHALIFA. E</v>
      </c>
      <c r="D64" s="15" t="s">
        <v>41</v>
      </c>
      <c r="E64" s="15" t="str">
        <f>LOWER("ELMOEZ.BENKHALIFA@VIVAQUA.BE")</f>
        <v>elmoez.benkhalifa@vivaqua.be</v>
      </c>
    </row>
    <row r="65" spans="1:5" s="431" customFormat="1" x14ac:dyDescent="0.25">
      <c r="A65" s="15" t="s">
        <v>2686</v>
      </c>
      <c r="B65" s="15" t="s">
        <v>2687</v>
      </c>
      <c r="C65" s="15" t="str">
        <f t="shared" si="7"/>
        <v>CULLUS. C</v>
      </c>
      <c r="D65" s="15" t="s">
        <v>41</v>
      </c>
      <c r="E65" s="15" t="str">
        <f>LOWER(LEFT(B65,1)&amp;(A65))&amp;"@vivaqua.be"</f>
        <v>ccullus@vivaqua.be</v>
      </c>
    </row>
    <row r="66" spans="1:5" s="431" customFormat="1" x14ac:dyDescent="0.25">
      <c r="A66" s="15" t="s">
        <v>2684</v>
      </c>
      <c r="B66" s="15" t="s">
        <v>2685</v>
      </c>
      <c r="C66" s="15" t="str">
        <f t="shared" si="7"/>
        <v>DERICK. M</v>
      </c>
      <c r="D66" s="15" t="s">
        <v>41</v>
      </c>
      <c r="E66" s="15" t="str">
        <f>LOWER(LEFT(B66,1)&amp;(A66))&amp;"@vivaqua.be"</f>
        <v>mderick@vivaqua.be</v>
      </c>
    </row>
    <row r="67" spans="1:5" s="431" customFormat="1" x14ac:dyDescent="0.25">
      <c r="A67" s="15" t="s">
        <v>2680</v>
      </c>
      <c r="B67" s="15" t="s">
        <v>2681</v>
      </c>
      <c r="C67" s="15" t="str">
        <f t="shared" si="7"/>
        <v>PIREYN. O</v>
      </c>
      <c r="D67" s="15" t="s">
        <v>41</v>
      </c>
      <c r="E67" s="15" t="str">
        <f>LOWER(LEFT(B67,1)&amp;(A67))&amp;"@vivaqua.be"</f>
        <v>opireyn@vivaqua.be</v>
      </c>
    </row>
    <row r="68" spans="1:5" s="431" customFormat="1" x14ac:dyDescent="0.25">
      <c r="A68" s="15" t="s">
        <v>2682</v>
      </c>
      <c r="B68" s="15" t="s">
        <v>2683</v>
      </c>
      <c r="C68" s="15" t="str">
        <f t="shared" si="7"/>
        <v>ROBERT. T</v>
      </c>
      <c r="D68" s="15" t="s">
        <v>41</v>
      </c>
      <c r="E68" s="15" t="str">
        <f>LOWER(LEFT(B68,1)&amp;(A68))&amp;"@vivaqua.be"</f>
        <v>trobert@vivaqua.be</v>
      </c>
    </row>
    <row r="69" spans="1:5" s="431" customFormat="1" x14ac:dyDescent="0.25">
      <c r="A69" s="15" t="s">
        <v>2790</v>
      </c>
      <c r="B69" s="15" t="s">
        <v>2791</v>
      </c>
      <c r="C69" s="15" t="str">
        <f t="shared" si="7"/>
        <v>SANTAMARIA. M</v>
      </c>
      <c r="D69" s="15" t="s">
        <v>41</v>
      </c>
      <c r="E69" s="15" t="str">
        <f>LOWER(LEFT(B69,1)&amp;(A69))&amp;"@vivaqua.be"</f>
        <v>msantamaria@vivaqua.be</v>
      </c>
    </row>
    <row r="70" spans="1:5" s="431" customFormat="1" x14ac:dyDescent="0.25">
      <c r="A70" s="15" t="s">
        <v>2789</v>
      </c>
      <c r="B70" s="15" t="s">
        <v>2788</v>
      </c>
      <c r="C70" s="15" t="str">
        <f t="shared" si="7"/>
        <v>ToBeDefined. T</v>
      </c>
      <c r="D70" s="15"/>
      <c r="E70" s="15"/>
    </row>
    <row r="71" spans="1:5" s="431" customFormat="1" x14ac:dyDescent="0.25">
      <c r="A71" s="15" t="s">
        <v>2990</v>
      </c>
      <c r="B71" s="434" t="s">
        <v>2991</v>
      </c>
      <c r="C71" s="484" t="str">
        <f>A71&amp;". "&amp;LEFT(B71,1)</f>
        <v>Van Roosbroeck. N</v>
      </c>
      <c r="D71" s="482" t="s">
        <v>2968</v>
      </c>
      <c r="E71" s="15"/>
    </row>
    <row r="72" spans="1:5" s="431" customFormat="1" ht="16.5" x14ac:dyDescent="0.3">
      <c r="A72" s="15" t="s">
        <v>2980</v>
      </c>
      <c r="B72" s="480" t="s">
        <v>2981</v>
      </c>
      <c r="C72" s="481" t="str">
        <f>A72&amp;". "&amp;LEFT(B72,1)</f>
        <v>VAN BELLE. M</v>
      </c>
      <c r="D72" s="481" t="s">
        <v>2968</v>
      </c>
      <c r="E72" s="483" t="s">
        <v>2982</v>
      </c>
    </row>
    <row r="73" spans="1:5" s="431" customFormat="1" x14ac:dyDescent="0.25">
      <c r="C73" s="434" t="str">
        <f>A73&amp;". "&amp;LEFT(B73,1)</f>
        <v xml:space="preserve">. </v>
      </c>
      <c r="D73" s="481"/>
    </row>
    <row r="74" spans="1:5" s="431" customFormat="1" x14ac:dyDescent="0.25"/>
    <row r="75" spans="1:5" s="431" customFormat="1" x14ac:dyDescent="0.25"/>
    <row r="76" spans="1:5" s="431" customFormat="1" x14ac:dyDescent="0.25"/>
    <row r="77" spans="1:5" s="431" customFormat="1" x14ac:dyDescent="0.25"/>
    <row r="78" spans="1:5" s="431" customFormat="1" x14ac:dyDescent="0.25"/>
    <row r="79" spans="1:5" s="431" customFormat="1" x14ac:dyDescent="0.25"/>
    <row r="80" spans="1:5" s="431" customFormat="1" x14ac:dyDescent="0.25"/>
    <row r="81" s="431" customFormat="1" x14ac:dyDescent="0.25"/>
  </sheetData>
  <sortState xmlns:xlrd2="http://schemas.microsoft.com/office/spreadsheetml/2017/richdata2" ref="A17:E63">
    <sortCondition ref="D17:D63"/>
    <sortCondition ref="C17:C63"/>
  </sortState>
  <hyperlinks>
    <hyperlink ref="E72" r:id="rId1" xr:uid="{D57E5652-688F-431A-9593-52D011056FA1}"/>
    <hyperlink ref="E54" r:id="rId2" xr:uid="{38F18217-25D7-4212-9358-10F2EEF609E7}"/>
    <hyperlink ref="E55" r:id="rId3" xr:uid="{92CBD8D1-A9D0-4619-8F92-A00F526FAD8D}"/>
  </hyperlinks>
  <pageMargins left="0.7" right="0.7" top="0.75" bottom="0.75" header="0.3" footer="0.3"/>
  <pageSetup paperSize="9" orientation="portrait" r:id="rId4"/>
  <tableParts count="1">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6">
    <tabColor theme="3"/>
  </sheetPr>
  <dimension ref="A1:W191"/>
  <sheetViews>
    <sheetView showGridLines="0" showZeros="0" zoomScale="80" zoomScaleNormal="80" workbookViewId="0">
      <pane ySplit="1" topLeftCell="A2" activePane="bottomLeft" state="frozen"/>
      <selection pane="bottomLeft" activeCell="E138" sqref="E138"/>
    </sheetView>
  </sheetViews>
  <sheetFormatPr baseColWidth="10" defaultColWidth="11.5703125" defaultRowHeight="15" x14ac:dyDescent="0.25"/>
  <cols>
    <col min="1" max="1" width="4.5703125" bestFit="1" customWidth="1"/>
    <col min="2" max="3" width="18.42578125" customWidth="1"/>
    <col min="4" max="4" width="13" customWidth="1"/>
    <col min="5" max="5" width="85" bestFit="1" customWidth="1"/>
    <col min="6" max="6" width="104" customWidth="1"/>
    <col min="7" max="8" width="85" customWidth="1"/>
    <col min="10" max="10" width="27.85546875" customWidth="1"/>
    <col min="11" max="11" width="12.5703125" customWidth="1"/>
    <col min="12" max="12" width="15.140625" customWidth="1"/>
    <col min="13" max="13" width="14.42578125" customWidth="1"/>
    <col min="16" max="16" width="20.42578125" customWidth="1"/>
    <col min="17" max="17" width="19.85546875" customWidth="1"/>
  </cols>
  <sheetData>
    <row r="1" spans="1:23" ht="38.25" x14ac:dyDescent="0.25">
      <c r="A1" s="470" t="s">
        <v>2698</v>
      </c>
      <c r="B1" s="470" t="s">
        <v>31</v>
      </c>
      <c r="C1" s="470" t="s">
        <v>32</v>
      </c>
      <c r="D1" s="470" t="s">
        <v>2699</v>
      </c>
      <c r="E1" s="470" t="s">
        <v>2700</v>
      </c>
      <c r="F1" s="470" t="s">
        <v>2701</v>
      </c>
      <c r="G1" s="470" t="s">
        <v>2702</v>
      </c>
      <c r="H1" s="470" t="s">
        <v>2703</v>
      </c>
      <c r="I1" s="471" t="s">
        <v>2704</v>
      </c>
      <c r="J1" s="471" t="s">
        <v>2620</v>
      </c>
      <c r="K1" s="470" t="s">
        <v>2863</v>
      </c>
      <c r="L1" s="470" t="s">
        <v>33</v>
      </c>
      <c r="M1" s="470" t="s">
        <v>34</v>
      </c>
      <c r="N1" s="470" t="s">
        <v>2705</v>
      </c>
      <c r="O1" s="470" t="s">
        <v>2858</v>
      </c>
      <c r="P1" s="470" t="s">
        <v>2713</v>
      </c>
      <c r="Q1" s="470" t="s">
        <v>2714</v>
      </c>
      <c r="R1" s="470" t="s">
        <v>2864</v>
      </c>
      <c r="S1" s="470" t="s">
        <v>2865</v>
      </c>
      <c r="T1" s="470" t="s">
        <v>2739</v>
      </c>
      <c r="U1" s="470" t="s">
        <v>2738</v>
      </c>
      <c r="V1" s="470" t="s">
        <v>2779</v>
      </c>
      <c r="W1" s="470" t="s">
        <v>2778</v>
      </c>
    </row>
    <row r="2" spans="1:23" ht="409.5" x14ac:dyDescent="0.25">
      <c r="A2" s="449" t="str">
        <f>VLOOKUP($D2,'1. Mesures'!$A$2:$P$116,5,0)</f>
        <v>OO 1.1.1</v>
      </c>
      <c r="B2" s="449">
        <f>VLOOKUP($D2,'1. Mesures'!$A$2:$P$116,6,0)</f>
        <v>0</v>
      </c>
      <c r="C2" s="449">
        <f>VLOOKUP($D2,'1. Mesures'!$A$2:$P$116,7,0)</f>
        <v>0</v>
      </c>
      <c r="D2" s="450" t="s">
        <v>0</v>
      </c>
      <c r="E2" s="451" t="str">
        <f>VLOOKUP(D2,'1. Mesures'!$A$2:$P$116,2,0)</f>
        <v xml:space="preserve">Remettre à ciel ouvert le réseau hydrographique  </v>
      </c>
      <c r="F2" s="451" t="s">
        <v>2885</v>
      </c>
      <c r="G2" s="451" t="s">
        <v>2884</v>
      </c>
      <c r="H2" s="451" t="s">
        <v>2886</v>
      </c>
      <c r="I2" s="12">
        <f>VLOOKUP($D2,'1. Mesures'!$A$2:$P$116,3,0)</f>
        <v>1</v>
      </c>
      <c r="J2" s="457" t="str">
        <f>IFERROR(VLOOKUP($D2,'1. Mesures'!$A$2:$P$116,4,0),"")</f>
        <v>OS 1.1</v>
      </c>
      <c r="K2" s="12">
        <f>VLOOKUP($D2,'1. Mesures'!$A$2:$P$116,8,0)</f>
        <v>0</v>
      </c>
      <c r="L2" s="12">
        <f>VLOOKUP($D2,'1. Mesures'!$A$2:$P$116,9,0)</f>
        <v>0</v>
      </c>
      <c r="M2" s="12">
        <f>VLOOKUP($D2,'1. Mesures'!$A$2:$P$116,10,0)</f>
        <v>0</v>
      </c>
      <c r="N2" s="12" t="str">
        <f>VLOOKUP($D2,'1. Mesures'!$A$2:$P$116,13,0)</f>
        <v>BM</v>
      </c>
      <c r="O2" s="12" t="str">
        <f>VLOOKUP($D2,'1. Mesures'!$A$2:$P$116,11,0)</f>
        <v>X</v>
      </c>
      <c r="P2" s="12" t="s">
        <v>2715</v>
      </c>
      <c r="Q2" s="452" t="s">
        <v>155</v>
      </c>
      <c r="R2" s="12" t="str">
        <f>VLOOKUP($D2,'1. Mesures'!$A$2:$P$116,12,0)</f>
        <v>A</v>
      </c>
      <c r="S2" s="12" t="str">
        <f>VLOOKUP($D2,'1. Mesures'!$A$2:$P$116,14,0)</f>
        <v>6-Improving hydromorphological conditions of water bodies other than longitudinal continuity.</v>
      </c>
      <c r="T2" s="12" t="str">
        <f>VLOOKUP($D2,'1. Mesures'!$A$2:$P$116,15,0)</f>
        <v>Hydromorphology</v>
      </c>
      <c r="U2" s="12" t="str">
        <f>VLOOKUP($D2,'1. Mesures'!$A$2:$P$116,16,0)</f>
        <v>SW</v>
      </c>
      <c r="V2" s="12" t="e">
        <f>VLOOKUP($D2,'1. Mesures'!$A$2:$P$116,17,0)</f>
        <v>#REF!</v>
      </c>
      <c r="W2" s="12" t="e">
        <f>VLOOKUP($D2,'1. Mesures'!$A$2:$P$116,18,0)</f>
        <v>#REF!</v>
      </c>
    </row>
    <row r="3" spans="1:23" ht="409.5" x14ac:dyDescent="0.25">
      <c r="A3" s="449" t="str">
        <f>VLOOKUP($D3,'1. Mesures'!$A$2:$P$116,5,0)</f>
        <v>OO 1.1.1</v>
      </c>
      <c r="B3" s="449">
        <f>VLOOKUP($D3,'1. Mesures'!$A$2:$P$116,6,0)</f>
        <v>0</v>
      </c>
      <c r="C3" s="449">
        <f>VLOOKUP($D3,'1. Mesures'!$A$2:$P$116,7,0)</f>
        <v>0</v>
      </c>
      <c r="D3" s="450" t="s">
        <v>1</v>
      </c>
      <c r="E3" s="451" t="str">
        <f>VLOOKUP(D3,'1. Mesures'!$A$2:$P$116,2,0)</f>
        <v>Améliorer la qualité des berges et des lits du réseau hydrographique, créer des méandres et aménager des zones propices au développement de la faune et de la flore aquatiques</v>
      </c>
      <c r="F3" s="453" t="s">
        <v>2887</v>
      </c>
      <c r="G3" s="453" t="s">
        <v>2888</v>
      </c>
      <c r="H3" s="436" t="s">
        <v>2890</v>
      </c>
      <c r="I3" s="12">
        <f>VLOOKUP($D3,'1. Mesures'!$A$2:$P$116,3,0)</f>
        <v>1</v>
      </c>
      <c r="J3" s="457" t="str">
        <f>IFERROR(VLOOKUP($D3,'1. Mesures'!$A$2:$P$116,4,0),"")</f>
        <v>OS 1.1</v>
      </c>
      <c r="K3" s="12">
        <f>VLOOKUP($D3,'1. Mesures'!$A$2:$P$116,8,0)</f>
        <v>0</v>
      </c>
      <c r="L3" s="12" t="str">
        <f>VLOOKUP($D3,'1. Mesures'!$A$2:$P$116,9,0)</f>
        <v>Axe 5, Axe 6</v>
      </c>
      <c r="M3" s="12">
        <f>VLOOKUP($D3,'1. Mesures'!$A$2:$P$116,10,0)</f>
        <v>0</v>
      </c>
      <c r="N3" s="12" t="str">
        <f>VLOOKUP($D3,'1. Mesures'!$A$2:$P$116,13,0)</f>
        <v>BM</v>
      </c>
      <c r="O3" s="12" t="str">
        <f>VLOOKUP($D3,'1. Mesures'!$A$2:$P$116,11,0)</f>
        <v>X</v>
      </c>
      <c r="P3" s="12" t="s">
        <v>2715</v>
      </c>
      <c r="Q3" s="452" t="s">
        <v>155</v>
      </c>
      <c r="R3" s="12" t="str">
        <f>VLOOKUP($D3,'1. Mesures'!$A$2:$P$116,12,0)</f>
        <v>A</v>
      </c>
      <c r="S3" s="12" t="str">
        <f>VLOOKUP($D3,'1. Mesures'!$A$2:$P$116,14,0)</f>
        <v>6-Improving hydromorphological conditions of water bodies other than longitudinal continuity.</v>
      </c>
      <c r="T3" s="12" t="str">
        <f>VLOOKUP($D3,'1. Mesures'!$A$2:$P$116,15,0)</f>
        <v>Hydromorphology</v>
      </c>
      <c r="U3" s="12" t="str">
        <f>VLOOKUP($D3,'1. Mesures'!$A$2:$P$116,16,0)</f>
        <v>SW</v>
      </c>
      <c r="V3" s="12" t="e">
        <f>VLOOKUP($D3,'1. Mesures'!$A$2:$P$116,17,0)</f>
        <v>#REF!</v>
      </c>
      <c r="W3" s="12" t="e">
        <f>VLOOKUP($D3,'1. Mesures'!$A$2:$P$116,18,0)</f>
        <v>#REF!</v>
      </c>
    </row>
    <row r="4" spans="1:23" ht="238.5" customHeight="1" x14ac:dyDescent="0.25">
      <c r="A4" s="449" t="str">
        <f>VLOOKUP($D4,'1. Mesures'!$A$2:$P$116,5,0)</f>
        <v>OO 1.1.1</v>
      </c>
      <c r="B4" s="449">
        <f>VLOOKUP($D4,'1. Mesures'!$A$2:$P$116,6,0)</f>
        <v>0</v>
      </c>
      <c r="C4" s="449">
        <f>VLOOKUP($D4,'1. Mesures'!$A$2:$P$116,7,0)</f>
        <v>0</v>
      </c>
      <c r="D4" s="450" t="s">
        <v>2</v>
      </c>
      <c r="E4" s="451" t="str">
        <f>VLOOKUP(D4,'1. Mesures'!$A$2:$P$116,2,0)</f>
        <v>Supprimer les obstacles à la libre circulation des poissons</v>
      </c>
      <c r="F4" s="451" t="s">
        <v>2891</v>
      </c>
      <c r="G4" s="454" t="s">
        <v>2892</v>
      </c>
      <c r="H4" s="454" t="s">
        <v>2893</v>
      </c>
      <c r="I4" s="12">
        <f>VLOOKUP($D4,'1. Mesures'!$A$2:$P$116,3,0)</f>
        <v>1</v>
      </c>
      <c r="J4" s="457" t="str">
        <f>IFERROR(VLOOKUP($D4,'1. Mesures'!$A$2:$P$116,4,0),"")</f>
        <v>OS 1.1</v>
      </c>
      <c r="K4" s="12">
        <f>VLOOKUP($D4,'1. Mesures'!$A$2:$P$116,8,0)</f>
        <v>0</v>
      </c>
      <c r="L4" s="12">
        <f>VLOOKUP($D4,'1. Mesures'!$A$2:$P$116,9,0)</f>
        <v>0</v>
      </c>
      <c r="M4" s="12">
        <f>VLOOKUP($D4,'1. Mesures'!$A$2:$P$116,10,0)</f>
        <v>0</v>
      </c>
      <c r="N4" s="12" t="str">
        <f>VLOOKUP($D4,'1. Mesures'!$A$2:$P$116,13,0)</f>
        <v>BM</v>
      </c>
      <c r="O4" s="12">
        <f>VLOOKUP($D4,'1. Mesures'!$A$2:$P$116,11,0)</f>
        <v>0</v>
      </c>
      <c r="P4" s="12" t="s">
        <v>2715</v>
      </c>
      <c r="Q4" s="452" t="s">
        <v>155</v>
      </c>
      <c r="R4" s="12" t="str">
        <f>VLOOKUP($D4,'1. Mesures'!$A$2:$P$116,12,0)</f>
        <v>A</v>
      </c>
      <c r="S4" s="12" t="str">
        <f>VLOOKUP($D4,'1. Mesures'!$A$2:$P$116,14,0)</f>
        <v>5-Improving longitudinal continuity (e.g. establishing fish passes, demolishing old dams).</v>
      </c>
      <c r="T4" s="12" t="str">
        <f>VLOOKUP($D4,'1. Mesures'!$A$2:$P$116,15,0)</f>
        <v>Hydromorphology</v>
      </c>
      <c r="U4" s="12" t="str">
        <f>VLOOKUP($D4,'1. Mesures'!$A$2:$P$116,16,0)</f>
        <v>SW</v>
      </c>
      <c r="V4" s="12" t="e">
        <f>VLOOKUP($D4,'1. Mesures'!$A$2:$P$116,17,0)</f>
        <v>#REF!</v>
      </c>
      <c r="W4" s="12" t="e">
        <f>VLOOKUP($D4,'1. Mesures'!$A$2:$P$116,18,0)</f>
        <v>#REF!</v>
      </c>
    </row>
    <row r="5" spans="1:23" ht="300" x14ac:dyDescent="0.25">
      <c r="A5" s="449" t="str">
        <f>VLOOKUP($D5,'1. Mesures'!$A$2:$P$116,5,0)</f>
        <v>OO 1.1.1</v>
      </c>
      <c r="B5" s="449">
        <f>VLOOKUP($D5,'1. Mesures'!$A$2:$P$116,6,0)</f>
        <v>0</v>
      </c>
      <c r="C5" s="449">
        <f>VLOOKUP($D5,'1. Mesures'!$A$2:$P$116,7,0)</f>
        <v>0</v>
      </c>
      <c r="D5" s="455" t="s">
        <v>3</v>
      </c>
      <c r="E5" s="451" t="str">
        <f>VLOOKUP(D5,'1. Mesures'!$A$2:$P$116,2,0)</f>
        <v>Lutter contre les espèces exotiques envahissantes qui portent atteinte ou présentent un risque pour le bon potentiel écologique des masses d'eau de surface</v>
      </c>
      <c r="F5" s="451" t="s">
        <v>2894</v>
      </c>
      <c r="G5" s="451" t="s">
        <v>2895</v>
      </c>
      <c r="H5" s="451" t="s">
        <v>2896</v>
      </c>
      <c r="I5" s="12">
        <f>VLOOKUP($D5,'1. Mesures'!$A$2:$P$116,3,0)</f>
        <v>1</v>
      </c>
      <c r="J5" s="457" t="str">
        <f>IFERROR(VLOOKUP($D5,'1. Mesures'!$A$2:$P$116,4,0),"")</f>
        <v>OS 1.1</v>
      </c>
      <c r="K5" s="12">
        <f>VLOOKUP($D5,'1. Mesures'!$A$2:$P$116,8,0)</f>
        <v>0</v>
      </c>
      <c r="L5" s="12">
        <f>VLOOKUP($D5,'1. Mesures'!$A$2:$P$116,9,0)</f>
        <v>0</v>
      </c>
      <c r="M5" s="12">
        <f>VLOOKUP($D5,'1. Mesures'!$A$2:$P$116,10,0)</f>
        <v>0</v>
      </c>
      <c r="N5" s="12" t="str">
        <f>VLOOKUP($D5,'1. Mesures'!$A$2:$P$116,13,0)</f>
        <v>BM</v>
      </c>
      <c r="O5" s="12">
        <f>VLOOKUP($D5,'1. Mesures'!$A$2:$P$116,11,0)</f>
        <v>0</v>
      </c>
      <c r="P5" s="12" t="s">
        <v>2715</v>
      </c>
      <c r="Q5" s="452" t="s">
        <v>155</v>
      </c>
      <c r="R5" s="12" t="str">
        <f>VLOOKUP($D5,'1. Mesures'!$A$2:$P$116,12,0)</f>
        <v>P</v>
      </c>
      <c r="S5" s="12" t="str">
        <f>VLOOKUP($D5,'1. Mesures'!$A$2:$P$116,14,0)</f>
        <v>18-Measures to prevent or control the adverse impacts of invasive alien species and introduced diseases.</v>
      </c>
      <c r="T5" s="12" t="str">
        <f>VLOOKUP($D5,'1. Mesures'!$A$2:$P$116,15,0)</f>
        <v>Hydromorphology</v>
      </c>
      <c r="U5" s="12" t="str">
        <f>VLOOKUP($D5,'1. Mesures'!$A$2:$P$116,16,0)</f>
        <v>SW</v>
      </c>
      <c r="V5" s="12" t="e">
        <f>VLOOKUP($D5,'1. Mesures'!$A$2:$P$116,17,0)</f>
        <v>#REF!</v>
      </c>
      <c r="W5" s="12" t="e">
        <f>VLOOKUP($D5,'1. Mesures'!$A$2:$P$116,18,0)</f>
        <v>#REF!</v>
      </c>
    </row>
    <row r="6" spans="1:23" ht="409.5" x14ac:dyDescent="0.25">
      <c r="A6" s="449" t="str">
        <f>VLOOKUP($D6,'1. Mesures'!$A$2:$P$116,5,0)</f>
        <v>OO 1.1.2</v>
      </c>
      <c r="B6" s="449">
        <f>VLOOKUP($D6,'1. Mesures'!$A$2:$P$116,6,0)</f>
        <v>0</v>
      </c>
      <c r="C6" s="449">
        <f>VLOOKUP($D6,'1. Mesures'!$A$2:$P$116,7,0)</f>
        <v>0</v>
      </c>
      <c r="D6" s="450" t="s">
        <v>4</v>
      </c>
      <c r="E6" s="451" t="str">
        <f>VLOOKUP(D6,'1. Mesures'!$A$2:$P$116,2,0)</f>
        <v xml:space="preserve">Inventorier les rejets directs dans une base de données dynamique </v>
      </c>
      <c r="F6" s="453" t="s">
        <v>2897</v>
      </c>
      <c r="G6" s="453" t="s">
        <v>2898</v>
      </c>
      <c r="H6" s="436" t="s">
        <v>2899</v>
      </c>
      <c r="I6" s="12">
        <f>VLOOKUP($D6,'1. Mesures'!$A$2:$P$116,3,0)</f>
        <v>1</v>
      </c>
      <c r="J6" s="457" t="str">
        <f>IFERROR(VLOOKUP($D6,'1. Mesures'!$A$2:$P$116,4,0),"")</f>
        <v>OS 1.1</v>
      </c>
      <c r="K6" s="12">
        <f>VLOOKUP($D6,'1. Mesures'!$A$2:$P$116,8,0)</f>
        <v>0</v>
      </c>
      <c r="L6" s="12">
        <f>VLOOKUP($D6,'1. Mesures'!$A$2:$P$116,9,0)</f>
        <v>0</v>
      </c>
      <c r="M6" s="12">
        <f>VLOOKUP($D6,'1. Mesures'!$A$2:$P$116,10,0)</f>
        <v>0</v>
      </c>
      <c r="N6" s="12" t="str">
        <f>VLOOKUP($D6,'1. Mesures'!$A$2:$P$116,13,0)</f>
        <v>BM</v>
      </c>
      <c r="O6" s="12">
        <f>VLOOKUP($D6,'1. Mesures'!$A$2:$P$116,11,0)</f>
        <v>0</v>
      </c>
      <c r="P6" s="12" t="s">
        <v>2715</v>
      </c>
      <c r="Q6" s="452" t="s">
        <v>155</v>
      </c>
      <c r="R6" s="12" t="str">
        <f>VLOOKUP($D6,'1. Mesures'!$A$2:$P$116,12,0)</f>
        <v>A</v>
      </c>
      <c r="S6" s="12" t="str">
        <f>VLOOKUP($D6,'1. Mesures'!$A$2:$P$116,14,0)</f>
        <v>14-Research, improvement of knowledge base reducing uncertainty.</v>
      </c>
      <c r="T6" s="12" t="str">
        <f>VLOOKUP($D6,'1. Mesures'!$A$2:$P$116,15,0)</f>
        <v>Point source discharges</v>
      </c>
      <c r="U6" s="12" t="str">
        <f>VLOOKUP($D6,'1. Mesures'!$A$2:$P$116,16,0)</f>
        <v>SW</v>
      </c>
      <c r="V6" s="12" t="e">
        <f>VLOOKUP($D6,'1. Mesures'!$A$2:$P$116,17,0)</f>
        <v>#REF!</v>
      </c>
      <c r="W6" s="12" t="e">
        <f>VLOOKUP($D6,'1. Mesures'!$A$2:$P$116,18,0)</f>
        <v>#REF!</v>
      </c>
    </row>
    <row r="7" spans="1:23" ht="409.5" x14ac:dyDescent="0.25">
      <c r="A7" s="449" t="str">
        <f>VLOOKUP($D7,'1. Mesures'!$A$2:$P$116,5,0)</f>
        <v>OO 1.1.2</v>
      </c>
      <c r="B7" s="449">
        <f>VLOOKUP($D7,'1. Mesures'!$A$2:$P$116,6,0)</f>
        <v>0</v>
      </c>
      <c r="C7" s="449">
        <f>VLOOKUP($D7,'1. Mesures'!$A$2:$P$116,7,0)</f>
        <v>0</v>
      </c>
      <c r="D7" s="450" t="s">
        <v>5</v>
      </c>
      <c r="E7" s="451" t="str">
        <f>VLOOKUP(D7,'1. Mesures'!$A$2:$P$116,2,0)</f>
        <v xml:space="preserve">Assurer le raccordement effectif des points de rejet d’eaux usées domestiques et non domestiques vers le réseau d’égouttage </v>
      </c>
      <c r="F7" s="453" t="s">
        <v>2900</v>
      </c>
      <c r="G7" s="453" t="s">
        <v>2716</v>
      </c>
      <c r="H7" s="436" t="s">
        <v>2717</v>
      </c>
      <c r="I7" s="12">
        <f>VLOOKUP($D7,'1. Mesures'!$A$2:$P$116,3,0)</f>
        <v>1</v>
      </c>
      <c r="J7" s="457" t="str">
        <f>IFERROR(VLOOKUP($D7,'1. Mesures'!$A$2:$P$116,4,0),"")</f>
        <v>OS 1.1</v>
      </c>
      <c r="K7" s="12">
        <f>VLOOKUP($D7,'1. Mesures'!$A$2:$P$116,8,0)</f>
        <v>0</v>
      </c>
      <c r="L7" s="12">
        <f>VLOOKUP($D7,'1. Mesures'!$A$2:$P$116,9,0)</f>
        <v>0</v>
      </c>
      <c r="M7" s="12">
        <f>VLOOKUP($D7,'1. Mesures'!$A$2:$P$116,10,0)</f>
        <v>0</v>
      </c>
      <c r="N7" s="12" t="str">
        <f>VLOOKUP($D7,'1. Mesures'!$A$2:$P$116,13,0)</f>
        <v>BM</v>
      </c>
      <c r="O7" s="12">
        <f>VLOOKUP($D7,'1. Mesures'!$A$2:$P$116,11,0)</f>
        <v>0</v>
      </c>
      <c r="P7" s="12" t="s">
        <v>2715</v>
      </c>
      <c r="Q7" s="452" t="s">
        <v>155</v>
      </c>
      <c r="R7" s="12" t="str">
        <f>VLOOKUP($D7,'1. Mesures'!$A$2:$P$116,12,0)</f>
        <v>A</v>
      </c>
      <c r="S7" s="12" t="str">
        <f>VLOOKUP($D7,'1. Mesures'!$A$2:$P$116,14,0)</f>
        <v>15-Measures for the phasing-out of emissions, discharges and losses of Priority Hazardous Substances or for the reduction of emissions, discharges and losses of Priority Substances.</v>
      </c>
      <c r="T7" s="12" t="str">
        <f>VLOOKUP($D7,'1. Mesures'!$A$2:$P$116,15,0)</f>
        <v>Point source discharges</v>
      </c>
      <c r="U7" s="12" t="str">
        <f>VLOOKUP($D7,'1. Mesures'!$A$2:$P$116,16,0)</f>
        <v>SW</v>
      </c>
      <c r="V7" s="12" t="e">
        <f>VLOOKUP($D7,'1. Mesures'!$A$2:$P$116,17,0)</f>
        <v>#REF!</v>
      </c>
      <c r="W7" s="12" t="e">
        <f>VLOOKUP($D7,'1. Mesures'!$A$2:$P$116,18,0)</f>
        <v>#REF!</v>
      </c>
    </row>
    <row r="8" spans="1:23" ht="409.5" x14ac:dyDescent="0.25">
      <c r="A8" s="449" t="str">
        <f>VLOOKUP($D8,'1. Mesures'!$A$2:$P$116,5,0)</f>
        <v>OO 1.1.2</v>
      </c>
      <c r="B8" s="449">
        <f>VLOOKUP($D8,'1. Mesures'!$A$2:$P$116,6,0)</f>
        <v>0</v>
      </c>
      <c r="C8" s="449">
        <f>VLOOKUP($D8,'1. Mesures'!$A$2:$P$116,7,0)</f>
        <v>0</v>
      </c>
      <c r="D8" s="450" t="s">
        <v>6</v>
      </c>
      <c r="E8" s="451" t="str">
        <f>VLOOKUP(D8,'1. Mesures'!$A$2:$P$116,2,0)</f>
        <v>Gérer les rejets d'eaux usées non raccordables aux stations d'épuration collectives</v>
      </c>
      <c r="F8" s="453" t="s">
        <v>2718</v>
      </c>
      <c r="G8" s="453" t="s">
        <v>2719</v>
      </c>
      <c r="H8" s="436" t="s">
        <v>2720</v>
      </c>
      <c r="I8" s="12">
        <f>VLOOKUP($D8,'1. Mesures'!$A$2:$P$116,3,0)</f>
        <v>1</v>
      </c>
      <c r="J8" s="457" t="str">
        <f>IFERROR(VLOOKUP($D8,'1. Mesures'!$A$2:$P$116,4,0),"")</f>
        <v>OS 1.1</v>
      </c>
      <c r="K8" s="12">
        <f>VLOOKUP($D8,'1. Mesures'!$A$2:$P$116,8,0)</f>
        <v>0</v>
      </c>
      <c r="L8" s="12">
        <f>VLOOKUP($D8,'1. Mesures'!$A$2:$P$116,9,0)</f>
        <v>0</v>
      </c>
      <c r="M8" s="12">
        <f>VLOOKUP($D8,'1. Mesures'!$A$2:$P$116,10,0)</f>
        <v>0</v>
      </c>
      <c r="N8" s="12" t="str">
        <f>VLOOKUP($D8,'1. Mesures'!$A$2:$P$116,13,0)</f>
        <v>BM</v>
      </c>
      <c r="O8" s="12">
        <f>VLOOKUP($D8,'1. Mesures'!$A$2:$P$116,11,0)</f>
        <v>0</v>
      </c>
      <c r="P8" s="12" t="s">
        <v>2715</v>
      </c>
      <c r="Q8" s="452" t="s">
        <v>155</v>
      </c>
      <c r="R8" s="12" t="str">
        <f>VLOOKUP($D8,'1. Mesures'!$A$2:$P$116,12,0)</f>
        <v>A</v>
      </c>
      <c r="S8" s="12" t="str">
        <f>VLOOKUP($D8,'1. Mesures'!$A$2:$P$116,14,0)</f>
        <v>15-Measures for the phasing-out of emissions, discharges and losses of Priority Hazardous Substances or for the reduction of emissions, discharges and losses of Priority Substances.</v>
      </c>
      <c r="T8" s="12" t="str">
        <f>VLOOKUP($D8,'1. Mesures'!$A$2:$P$116,15,0)</f>
        <v>Diffuse pollutants</v>
      </c>
      <c r="U8" s="12" t="str">
        <f>VLOOKUP($D8,'1. Mesures'!$A$2:$P$116,16,0)</f>
        <v>SW</v>
      </c>
      <c r="V8" s="12" t="e">
        <f>VLOOKUP($D8,'1. Mesures'!$A$2:$P$116,17,0)</f>
        <v>#REF!</v>
      </c>
      <c r="W8" s="12" t="e">
        <f>VLOOKUP($D8,'1. Mesures'!$A$2:$P$116,18,0)</f>
        <v>#REF!</v>
      </c>
    </row>
    <row r="9" spans="1:23" ht="330" x14ac:dyDescent="0.25">
      <c r="A9" s="449" t="str">
        <f>VLOOKUP($D9,'1. Mesures'!$A$2:$P$116,5,0)</f>
        <v>OO 1.1.3</v>
      </c>
      <c r="B9" s="449">
        <f>VLOOKUP($D9,'1. Mesures'!$A$2:$P$116,6,0)</f>
        <v>0</v>
      </c>
      <c r="C9" s="449">
        <f>VLOOKUP($D9,'1. Mesures'!$A$2:$P$116,7,0)</f>
        <v>0</v>
      </c>
      <c r="D9" s="450" t="s">
        <v>7</v>
      </c>
      <c r="E9" s="451" t="str">
        <f>VLOOKUP(D9,'1. Mesures'!$A$2:$P$116,2,0)</f>
        <v>Réaliser l'état de l'art des déversoirs d'orages actuels et optimaliser leur conception pour réduire le transfert de polluants vers les masses d’eau de surface</v>
      </c>
      <c r="F9" s="453" t="s">
        <v>2901</v>
      </c>
      <c r="G9" s="453" t="s">
        <v>2721</v>
      </c>
      <c r="H9" s="436" t="s">
        <v>2722</v>
      </c>
      <c r="I9" s="12">
        <f>VLOOKUP($D9,'1. Mesures'!$A$2:$P$116,3,0)</f>
        <v>1</v>
      </c>
      <c r="J9" s="457" t="str">
        <f>IFERROR(VLOOKUP($D9,'1. Mesures'!$A$2:$P$116,4,0),"")</f>
        <v>OS 1.1</v>
      </c>
      <c r="K9" s="12">
        <f>VLOOKUP($D9,'1. Mesures'!$A$2:$P$116,8,0)</f>
        <v>0</v>
      </c>
      <c r="L9" s="12">
        <f>VLOOKUP($D9,'1. Mesures'!$A$2:$P$116,9,0)</f>
        <v>0</v>
      </c>
      <c r="M9" s="12">
        <f>VLOOKUP($D9,'1. Mesures'!$A$2:$P$116,10,0)</f>
        <v>0</v>
      </c>
      <c r="N9" s="12" t="str">
        <f>VLOOKUP($D9,'1. Mesures'!$A$2:$P$116,13,0)</f>
        <v>BM</v>
      </c>
      <c r="O9" s="12" t="str">
        <f>VLOOKUP($D9,'1. Mesures'!$A$2:$P$116,11,0)</f>
        <v>X</v>
      </c>
      <c r="P9" s="12" t="s">
        <v>2715</v>
      </c>
      <c r="Q9" s="452" t="s">
        <v>155</v>
      </c>
      <c r="R9" s="12">
        <f>VLOOKUP($D9,'1. Mesures'!$A$2:$P$116,12,0)</f>
        <v>0</v>
      </c>
      <c r="S9" s="12" t="str">
        <f>VLOOKUP($D9,'1. Mesures'!$A$2:$P$116,14,0)</f>
        <v>21-Measures to prevent or control the input of pollution from urban areas, transport and built infrastructure.</v>
      </c>
      <c r="T9" s="12" t="str">
        <f>VLOOKUP($D9,'1. Mesures'!$A$2:$P$116,15,0)</f>
        <v>Point source discharges</v>
      </c>
      <c r="U9" s="12" t="str">
        <f>VLOOKUP($D9,'1. Mesures'!$A$2:$P$116,16,0)</f>
        <v>SW</v>
      </c>
      <c r="V9" s="12" t="e">
        <f>VLOOKUP($D9,'1. Mesures'!$A$2:$P$116,17,0)</f>
        <v>#REF!</v>
      </c>
      <c r="W9" s="12" t="e">
        <f>VLOOKUP($D9,'1. Mesures'!$A$2:$P$116,18,0)</f>
        <v>#REF!</v>
      </c>
    </row>
    <row r="10" spans="1:23" ht="409.5" x14ac:dyDescent="0.25">
      <c r="A10" s="449" t="str">
        <f>VLOOKUP($D10,'1. Mesures'!$A$2:$P$116,5,0)</f>
        <v>OO 1.1.3</v>
      </c>
      <c r="B10" s="449">
        <f>VLOOKUP($D10,'1. Mesures'!$A$2:$P$116,6,0)</f>
        <v>0</v>
      </c>
      <c r="C10" s="449">
        <f>VLOOKUP($D10,'1. Mesures'!$A$2:$P$116,7,0)</f>
        <v>0</v>
      </c>
      <c r="D10" s="450" t="s">
        <v>8</v>
      </c>
      <c r="E10" s="451" t="str">
        <f>VLOOKUP(D10,'1. Mesures'!$A$2:$P$116,2,0)</f>
        <v>Mettre en place un système de régulation des débits circulant dans le réseau d’assainissement pour réduire la fréquence des déversements au niveau des déversoirs d’orage et assurer un meilleur traitement des eaux usées</v>
      </c>
      <c r="F10" s="453" t="s">
        <v>2723</v>
      </c>
      <c r="G10" s="453" t="s">
        <v>2724</v>
      </c>
      <c r="H10" s="436" t="s">
        <v>2725</v>
      </c>
      <c r="I10" s="12">
        <f>VLOOKUP($D10,'1. Mesures'!$A$2:$P$116,3,0)</f>
        <v>1</v>
      </c>
      <c r="J10" s="457" t="str">
        <f>IFERROR(VLOOKUP($D10,'1. Mesures'!$A$2:$P$116,4,0),"")</f>
        <v>OS 1.1</v>
      </c>
      <c r="K10" s="12">
        <f>VLOOKUP($D10,'1. Mesures'!$A$2:$P$116,8,0)</f>
        <v>0</v>
      </c>
      <c r="L10" s="12">
        <f>VLOOKUP($D10,'1. Mesures'!$A$2:$P$116,9,0)</f>
        <v>0</v>
      </c>
      <c r="M10" s="12">
        <f>VLOOKUP($D10,'1. Mesures'!$A$2:$P$116,10,0)</f>
        <v>0</v>
      </c>
      <c r="N10" s="12" t="str">
        <f>VLOOKUP($D10,'1. Mesures'!$A$2:$P$116,13,0)</f>
        <v>BM</v>
      </c>
      <c r="O10" s="12" t="str">
        <f>VLOOKUP($D10,'1. Mesures'!$A$2:$P$116,11,0)</f>
        <v>X</v>
      </c>
      <c r="P10" s="12" t="s">
        <v>2715</v>
      </c>
      <c r="Q10" s="452" t="s">
        <v>155</v>
      </c>
      <c r="R10" s="12" t="str">
        <f>VLOOKUP($D10,'1. Mesures'!$A$2:$P$116,12,0)</f>
        <v>P</v>
      </c>
      <c r="S10" s="12" t="str">
        <f>VLOOKUP($D10,'1. Mesures'!$A$2:$P$116,14,0)</f>
        <v>21-Measures to prevent or control the input of pollution from urban areas, transport and built infrastructure.</v>
      </c>
      <c r="T10" s="12" t="str">
        <f>VLOOKUP($D10,'1. Mesures'!$A$2:$P$116,15,0)</f>
        <v>Point source discharges</v>
      </c>
      <c r="U10" s="12" t="str">
        <f>VLOOKUP($D10,'1. Mesures'!$A$2:$P$116,16,0)</f>
        <v>SW</v>
      </c>
      <c r="V10" s="12" t="e">
        <f>VLOOKUP($D10,'1. Mesures'!$A$2:$P$116,17,0)</f>
        <v>#REF!</v>
      </c>
      <c r="W10" s="12" t="e">
        <f>VLOOKUP($D10,'1. Mesures'!$A$2:$P$116,18,0)</f>
        <v>#REF!</v>
      </c>
    </row>
    <row r="11" spans="1:23" ht="390" x14ac:dyDescent="0.25">
      <c r="A11" s="449" t="str">
        <f>VLOOKUP($D11,'1. Mesures'!$A$2:$P$116,5,0)</f>
        <v>OO 1.1.3</v>
      </c>
      <c r="B11" s="449">
        <f>VLOOKUP($D11,'1. Mesures'!$A$2:$P$116,6,0)</f>
        <v>0</v>
      </c>
      <c r="C11" s="449">
        <f>VLOOKUP($D11,'1. Mesures'!$A$2:$P$116,7,0)</f>
        <v>0</v>
      </c>
      <c r="D11" s="450" t="s">
        <v>9</v>
      </c>
      <c r="E11" s="451" t="str">
        <f>VLOOKUP(D11,'1. Mesures'!$A$2:$P$116,2,0)</f>
        <v>Réaliser les chainons manquants entre le réseau public d'égouttage et les collecteurs (égouts "orphelins")</v>
      </c>
      <c r="F11" s="453" t="s">
        <v>2726</v>
      </c>
      <c r="G11" s="453" t="s">
        <v>2727</v>
      </c>
      <c r="H11" s="436" t="s">
        <v>2728</v>
      </c>
      <c r="I11" s="12">
        <f>VLOOKUP($D11,'1. Mesures'!$A$2:$P$116,3,0)</f>
        <v>1</v>
      </c>
      <c r="J11" s="457" t="str">
        <f>IFERROR(VLOOKUP($D11,'1. Mesures'!$A$2:$P$116,4,0),"")</f>
        <v>OS 1.1</v>
      </c>
      <c r="K11" s="12">
        <f>VLOOKUP($D11,'1. Mesures'!$A$2:$P$116,8,0)</f>
        <v>0</v>
      </c>
      <c r="L11" s="12">
        <f>VLOOKUP($D11,'1. Mesures'!$A$2:$P$116,9,0)</f>
        <v>0</v>
      </c>
      <c r="M11" s="12">
        <f>VLOOKUP($D11,'1. Mesures'!$A$2:$P$116,10,0)</f>
        <v>0</v>
      </c>
      <c r="N11" s="12" t="str">
        <f>VLOOKUP($D11,'1. Mesures'!$A$2:$P$116,13,0)</f>
        <v>BM</v>
      </c>
      <c r="O11" s="12">
        <f>VLOOKUP($D11,'1. Mesures'!$A$2:$P$116,11,0)</f>
        <v>0</v>
      </c>
      <c r="P11" s="12" t="s">
        <v>2715</v>
      </c>
      <c r="Q11" s="452" t="s">
        <v>155</v>
      </c>
      <c r="R11" s="12" t="str">
        <f>VLOOKUP($D11,'1. Mesures'!$A$2:$P$116,12,0)</f>
        <v>P</v>
      </c>
      <c r="S11" s="12" t="str">
        <f>VLOOKUP($D11,'1. Mesures'!$A$2:$P$116,14,0)</f>
        <v>21-Measures to prevent or control the input of pollution from urban areas, transport and built infrastructure.</v>
      </c>
      <c r="T11" s="12" t="str">
        <f>VLOOKUP($D11,'1. Mesures'!$A$2:$P$116,15,0)</f>
        <v>Point source discharges</v>
      </c>
      <c r="U11" s="12" t="str">
        <f>VLOOKUP($D11,'1. Mesures'!$A$2:$P$116,16,0)</f>
        <v>SW</v>
      </c>
      <c r="V11" s="12" t="e">
        <f>VLOOKUP($D11,'1. Mesures'!$A$2:$P$116,17,0)</f>
        <v>#REF!</v>
      </c>
      <c r="W11" s="12" t="e">
        <f>VLOOKUP($D11,'1. Mesures'!$A$2:$P$116,18,0)</f>
        <v>#REF!</v>
      </c>
    </row>
    <row r="12" spans="1:23" ht="409.5" x14ac:dyDescent="0.25">
      <c r="A12" s="449" t="str">
        <f>VLOOKUP($D12,'1. Mesures'!$A$2:$P$116,5,0)</f>
        <v>OO 1.1.3</v>
      </c>
      <c r="B12" s="449">
        <f>VLOOKUP($D12,'1. Mesures'!$A$2:$P$116,6,0)</f>
        <v>0</v>
      </c>
      <c r="C12" s="449">
        <f>VLOOKUP($D12,'1. Mesures'!$A$2:$P$116,7,0)</f>
        <v>0</v>
      </c>
      <c r="D12" s="450" t="s">
        <v>10</v>
      </c>
      <c r="E12" s="451" t="str">
        <f>VLOOKUP(D12,'1. Mesures'!$A$2:$P$116,2,0)</f>
        <v>Assurer la gestion des déchets macroscopiques dans les masses d'eau, en particulier après les épisodes de déversement</v>
      </c>
      <c r="F12" s="453" t="s">
        <v>2903</v>
      </c>
      <c r="G12" s="453" t="s">
        <v>2904</v>
      </c>
      <c r="H12" s="436" t="s">
        <v>2905</v>
      </c>
      <c r="I12" s="12">
        <f>VLOOKUP($D12,'1. Mesures'!$A$2:$P$116,3,0)</f>
        <v>1</v>
      </c>
      <c r="J12" s="457" t="str">
        <f>IFERROR(VLOOKUP($D12,'1. Mesures'!$A$2:$P$116,4,0),"")</f>
        <v>OS 1.1</v>
      </c>
      <c r="K12" s="12">
        <f>VLOOKUP($D12,'1. Mesures'!$A$2:$P$116,8,0)</f>
        <v>0</v>
      </c>
      <c r="L12" s="12" t="str">
        <f>VLOOKUP($D12,'1. Mesures'!$A$2:$P$116,9,0)</f>
        <v>Axe 6</v>
      </c>
      <c r="M12" s="12">
        <f>VLOOKUP($D12,'1. Mesures'!$A$2:$P$116,10,0)</f>
        <v>0</v>
      </c>
      <c r="N12" s="12" t="str">
        <f>VLOOKUP($D12,'1. Mesures'!$A$2:$P$116,13,0)</f>
        <v>BM</v>
      </c>
      <c r="O12" s="12">
        <f>VLOOKUP($D12,'1. Mesures'!$A$2:$P$116,11,0)</f>
        <v>0</v>
      </c>
      <c r="P12" s="12" t="s">
        <v>2715</v>
      </c>
      <c r="Q12" s="452" t="s">
        <v>155</v>
      </c>
      <c r="R12" s="12" t="str">
        <f>VLOOKUP($D12,'1. Mesures'!$A$2:$P$116,12,0)</f>
        <v>A</v>
      </c>
      <c r="S12" s="12" t="str">
        <f>VLOOKUP($D12,'1. Mesures'!$A$2:$P$116,14,0)</f>
        <v>21-Measures to prevent or control the input of pollution from urban areas, transport and built infrastructure.</v>
      </c>
      <c r="T12" s="12" t="str">
        <f>VLOOKUP($D12,'1. Mesures'!$A$2:$P$116,15,0)</f>
        <v>Point source discharges</v>
      </c>
      <c r="U12" s="12" t="str">
        <f>VLOOKUP($D12,'1. Mesures'!$A$2:$P$116,16,0)</f>
        <v>SW</v>
      </c>
      <c r="V12" s="12" t="e">
        <f>VLOOKUP($D12,'1. Mesures'!$A$2:$P$116,17,0)</f>
        <v>#REF!</v>
      </c>
      <c r="W12" s="12" t="e">
        <f>VLOOKUP($D12,'1. Mesures'!$A$2:$P$116,18,0)</f>
        <v>#REF!</v>
      </c>
    </row>
    <row r="13" spans="1:23" ht="409.5" x14ac:dyDescent="0.25">
      <c r="A13" s="449" t="str">
        <f>VLOOKUP($D13,'1. Mesures'!$A$2:$P$116,5,0)</f>
        <v>OO 1.1.3</v>
      </c>
      <c r="B13" s="449">
        <f>VLOOKUP($D13,'1. Mesures'!$A$2:$P$116,6,0)</f>
        <v>0</v>
      </c>
      <c r="C13" s="449">
        <f>VLOOKUP($D13,'1. Mesures'!$A$2:$P$116,7,0)</f>
        <v>0</v>
      </c>
      <c r="D13" s="450" t="s">
        <v>11</v>
      </c>
      <c r="E13" s="451" t="str">
        <f>VLOOKUP(D13,'1. Mesures'!$A$2:$P$116,2,0)</f>
        <v>Améliorer le rendement épuratoire des stations d'épuration collectives</v>
      </c>
      <c r="F13" s="453" t="s">
        <v>2906</v>
      </c>
      <c r="G13" s="453" t="s">
        <v>2907</v>
      </c>
      <c r="H13" s="436" t="s">
        <v>2908</v>
      </c>
      <c r="I13" s="12">
        <f>VLOOKUP($D13,'1. Mesures'!$A$2:$P$116,3,0)</f>
        <v>1</v>
      </c>
      <c r="J13" s="457" t="str">
        <f>IFERROR(VLOOKUP($D13,'1. Mesures'!$A$2:$P$116,4,0),"")</f>
        <v>OS 1.1</v>
      </c>
      <c r="K13" s="12">
        <f>VLOOKUP($D13,'1. Mesures'!$A$2:$P$116,8,0)</f>
        <v>0</v>
      </c>
      <c r="L13" s="12">
        <f>VLOOKUP($D13,'1. Mesures'!$A$2:$P$116,9,0)</f>
        <v>0</v>
      </c>
      <c r="M13" s="12">
        <f>VLOOKUP($D13,'1. Mesures'!$A$2:$P$116,10,0)</f>
        <v>0</v>
      </c>
      <c r="N13" s="12" t="str">
        <f>VLOOKUP($D13,'1. Mesures'!$A$2:$P$116,13,0)</f>
        <v>BM</v>
      </c>
      <c r="O13" s="12">
        <f>VLOOKUP($D13,'1. Mesures'!$A$2:$P$116,11,0)</f>
        <v>0</v>
      </c>
      <c r="P13" s="12" t="s">
        <v>2715</v>
      </c>
      <c r="Q13" s="452" t="s">
        <v>155</v>
      </c>
      <c r="R13" s="12" t="str">
        <f>VLOOKUP($D13,'1. Mesures'!$A$2:$P$116,12,0)</f>
        <v>P</v>
      </c>
      <c r="S13" s="12" t="str">
        <f>VLOOKUP($D13,'1. Mesures'!$A$2:$P$116,14,0)</f>
        <v>1-Construction or upgrades of wastewater treatment plants.</v>
      </c>
      <c r="T13" s="12" t="str">
        <f>VLOOKUP($D13,'1. Mesures'!$A$2:$P$116,15,0)</f>
        <v>Urban Waste Water Treatment</v>
      </c>
      <c r="U13" s="12" t="str">
        <f>VLOOKUP($D13,'1. Mesures'!$A$2:$P$116,16,0)</f>
        <v>SW</v>
      </c>
      <c r="V13" s="12" t="e">
        <f>VLOOKUP($D13,'1. Mesures'!$A$2:$P$116,17,0)</f>
        <v>#REF!</v>
      </c>
      <c r="W13" s="12" t="e">
        <f>VLOOKUP($D13,'1. Mesures'!$A$2:$P$116,18,0)</f>
        <v>#REF!</v>
      </c>
    </row>
    <row r="14" spans="1:23" ht="375" x14ac:dyDescent="0.25">
      <c r="A14" s="449" t="str">
        <f>VLOOKUP($D14,'1. Mesures'!$A$2:$P$116,5,0)</f>
        <v>OO 1.1.4</v>
      </c>
      <c r="B14" s="449">
        <f>VLOOKUP($D14,'1. Mesures'!$A$2:$P$116,6,0)</f>
        <v>0</v>
      </c>
      <c r="C14" s="449">
        <f>VLOOKUP($D14,'1. Mesures'!$A$2:$P$116,7,0)</f>
        <v>0</v>
      </c>
      <c r="D14" s="450" t="s">
        <v>12</v>
      </c>
      <c r="E14" s="451" t="str">
        <f>VLOOKUP(D14,'1. Mesures'!$A$2:$P$116,2,0)</f>
        <v xml:space="preserve">Actualiser les normes de rejets des eaux usées </v>
      </c>
      <c r="F14" s="453" t="s">
        <v>2909</v>
      </c>
      <c r="G14" s="453" t="s">
        <v>2910</v>
      </c>
      <c r="H14" s="453" t="s">
        <v>2911</v>
      </c>
      <c r="I14" s="12">
        <f>VLOOKUP($D14,'1. Mesures'!$A$2:$P$116,3,0)</f>
        <v>1</v>
      </c>
      <c r="J14" s="457" t="str">
        <f>IFERROR(VLOOKUP($D14,'1. Mesures'!$A$2:$P$116,4,0),"")</f>
        <v>OS 1.1</v>
      </c>
      <c r="K14" s="12">
        <f>VLOOKUP($D14,'1. Mesures'!$A$2:$P$116,8,0)</f>
        <v>0</v>
      </c>
      <c r="L14" s="12">
        <f>VLOOKUP($D14,'1. Mesures'!$A$2:$P$116,9,0)</f>
        <v>0</v>
      </c>
      <c r="M14" s="12">
        <f>VLOOKUP($D14,'1. Mesures'!$A$2:$P$116,10,0)</f>
        <v>0</v>
      </c>
      <c r="N14" s="12" t="str">
        <f>VLOOKUP($D14,'1. Mesures'!$A$2:$P$116,13,0)</f>
        <v>BM</v>
      </c>
      <c r="O14" s="12">
        <f>VLOOKUP($D14,'1. Mesures'!$A$2:$P$116,11,0)</f>
        <v>0</v>
      </c>
      <c r="P14" s="12" t="s">
        <v>2715</v>
      </c>
      <c r="Q14" s="452" t="s">
        <v>155</v>
      </c>
      <c r="R14" s="12" t="str">
        <f>VLOOKUP($D14,'1. Mesures'!$A$2:$P$116,12,0)</f>
        <v>A</v>
      </c>
      <c r="S14" s="12" t="str">
        <f>VLOOKUP($D14,'1. Mesures'!$A$2:$P$116,14,0)</f>
        <v>15-Measures for the phasing-out of emissions, discharges and losses of Priority Hazardous Substances or for the reduction of emissions, discharges and losses of Priority Substances.</v>
      </c>
      <c r="T14" s="12" t="str">
        <f>VLOOKUP($D14,'1. Mesures'!$A$2:$P$116,15,0)</f>
        <v>Surface water Priority Substances</v>
      </c>
      <c r="U14" s="12" t="str">
        <f>VLOOKUP($D14,'1. Mesures'!$A$2:$P$116,16,0)</f>
        <v>SW</v>
      </c>
      <c r="V14" s="12" t="e">
        <f>VLOOKUP($D14,'1. Mesures'!$A$2:$P$116,17,0)</f>
        <v>#REF!</v>
      </c>
      <c r="W14" s="12" t="e">
        <f>VLOOKUP($D14,'1. Mesures'!$A$2:$P$116,18,0)</f>
        <v>#REF!</v>
      </c>
    </row>
    <row r="15" spans="1:23" ht="30" x14ac:dyDescent="0.25">
      <c r="A15" s="449" t="str">
        <f>VLOOKUP($D15,'1. Mesures'!$A$2:$P$116,5,0)</f>
        <v>OO 1.1.4</v>
      </c>
      <c r="B15" s="449">
        <f>VLOOKUP($D15,'1. Mesures'!$A$2:$P$116,6,0)</f>
        <v>0</v>
      </c>
      <c r="C15" s="449">
        <f>VLOOKUP($D15,'1. Mesures'!$A$2:$P$116,7,0)</f>
        <v>0</v>
      </c>
      <c r="D15" s="450" t="s">
        <v>13</v>
      </c>
      <c r="E15" s="451" t="str">
        <f>VLOOKUP(D15,'1. Mesures'!$A$2:$P$116,2,0)</f>
        <v>Assurer un contrôle réglementaire sur le respect des normes de rejet en eaux de surface et en égout</v>
      </c>
      <c r="F15" s="453"/>
      <c r="G15" s="453"/>
      <c r="H15" s="453"/>
      <c r="I15" s="12">
        <f>VLOOKUP($D15,'1. Mesures'!$A$2:$P$116,3,0)</f>
        <v>1</v>
      </c>
      <c r="J15" s="457" t="str">
        <f>IFERROR(VLOOKUP($D15,'1. Mesures'!$A$2:$P$116,4,0),"")</f>
        <v>OS 1.1</v>
      </c>
      <c r="K15" s="12">
        <f>VLOOKUP($D15,'1. Mesures'!$A$2:$P$116,8,0)</f>
        <v>0</v>
      </c>
      <c r="L15" s="12">
        <f>VLOOKUP($D15,'1. Mesures'!$A$2:$P$116,9,0)</f>
        <v>0</v>
      </c>
      <c r="M15" s="12">
        <f>VLOOKUP($D15,'1. Mesures'!$A$2:$P$116,10,0)</f>
        <v>0</v>
      </c>
      <c r="N15" s="12" t="str">
        <f>VLOOKUP($D15,'1. Mesures'!$A$2:$P$116,13,0)</f>
        <v>BM</v>
      </c>
      <c r="O15" s="12">
        <f>VLOOKUP($D15,'1. Mesures'!$A$2:$P$116,11,0)</f>
        <v>0</v>
      </c>
      <c r="P15" s="12" t="s">
        <v>2715</v>
      </c>
      <c r="Q15" s="452" t="s">
        <v>155</v>
      </c>
      <c r="R15" s="12" t="str">
        <f>VLOOKUP($D15,'1. Mesures'!$A$2:$P$116,12,0)</f>
        <v>N</v>
      </c>
      <c r="S15" s="12" t="str">
        <f>VLOOKUP($D15,'1. Mesures'!$A$2:$P$116,14,0)</f>
        <v>21-Measures to prevent or control the input of pollution from urban areas, transport and built infrastructure.</v>
      </c>
      <c r="T15" s="12" t="str">
        <f>VLOOKUP($D15,'1. Mesures'!$A$2:$P$116,15,0)</f>
        <v>Surface water Priority Substances</v>
      </c>
      <c r="U15" s="12" t="str">
        <f>VLOOKUP($D15,'1. Mesures'!$A$2:$P$116,16,0)</f>
        <v>SW</v>
      </c>
      <c r="V15" s="12" t="e">
        <f>VLOOKUP($D15,'1. Mesures'!$A$2:$P$116,17,0)</f>
        <v>#REF!</v>
      </c>
      <c r="W15" s="12" t="e">
        <f>VLOOKUP($D15,'1. Mesures'!$A$2:$P$116,18,0)</f>
        <v>#REF!</v>
      </c>
    </row>
    <row r="16" spans="1:23" ht="30" x14ac:dyDescent="0.25">
      <c r="A16" s="449" t="str">
        <f>VLOOKUP($D16,'1. Mesures'!$A$2:$P$116,5,0)</f>
        <v>OO 1.1.4</v>
      </c>
      <c r="B16" s="449">
        <f>VLOOKUP($D16,'1. Mesures'!$A$2:$P$116,6,0)</f>
        <v>0</v>
      </c>
      <c r="C16" s="449">
        <f>VLOOKUP($D16,'1. Mesures'!$A$2:$P$116,7,0)</f>
        <v>0</v>
      </c>
      <c r="D16" s="450" t="s">
        <v>14</v>
      </c>
      <c r="E16" s="451" t="str">
        <f>VLOOKUP(D16,'1. Mesures'!$A$2:$P$116,2,0)</f>
        <v xml:space="preserve">Mettre en œuvre à l’échelle régionale les règlements et plans d’actions visant des substances polluantes, émergentes ou non </v>
      </c>
      <c r="F16" s="453"/>
      <c r="G16" s="453"/>
      <c r="H16" s="436"/>
      <c r="I16" s="12">
        <f>VLOOKUP($D16,'1. Mesures'!$A$2:$P$116,3,0)</f>
        <v>1</v>
      </c>
      <c r="J16" s="457" t="str">
        <f>IFERROR(VLOOKUP($D16,'1. Mesures'!$A$2:$P$116,4,0),"")</f>
        <v>OS 1.1</v>
      </c>
      <c r="K16" s="12">
        <f>VLOOKUP($D16,'1. Mesures'!$A$2:$P$116,8,0)</f>
        <v>0</v>
      </c>
      <c r="L16" s="12">
        <f>VLOOKUP($D16,'1. Mesures'!$A$2:$P$116,9,0)</f>
        <v>0</v>
      </c>
      <c r="M16" s="12">
        <f>VLOOKUP($D16,'1. Mesures'!$A$2:$P$116,10,0)</f>
        <v>0</v>
      </c>
      <c r="N16" s="12" t="str">
        <f>VLOOKUP($D16,'1. Mesures'!$A$2:$P$116,13,0)</f>
        <v>BM</v>
      </c>
      <c r="O16" s="12">
        <f>VLOOKUP($D16,'1. Mesures'!$A$2:$P$116,11,0)</f>
        <v>0</v>
      </c>
      <c r="P16" s="12" t="s">
        <v>2715</v>
      </c>
      <c r="Q16" s="452" t="s">
        <v>155</v>
      </c>
      <c r="R16" s="12">
        <f>VLOOKUP($D16,'1. Mesures'!$A$2:$P$116,12,0)</f>
        <v>0</v>
      </c>
      <c r="S16" s="12" t="str">
        <f>VLOOKUP($D16,'1. Mesures'!$A$2:$P$116,14,0)</f>
        <v>15-Measures for the phasing-out of emissions, discharges and losses of Priority Hazardous Substances or for the reduction of emissions, discharges and losses of Priority Substances.</v>
      </c>
      <c r="T16" s="12" t="str">
        <f>VLOOKUP($D16,'1. Mesures'!$A$2:$P$116,15,0)</f>
        <v>Surface water Priority Substances</v>
      </c>
      <c r="U16" s="12" t="str">
        <f>VLOOKUP($D16,'1. Mesures'!$A$2:$P$116,16,0)</f>
        <v>SW</v>
      </c>
      <c r="V16" s="12" t="e">
        <f>VLOOKUP($D16,'1. Mesures'!$A$2:$P$116,17,0)</f>
        <v>#REF!</v>
      </c>
      <c r="W16" s="12" t="e">
        <f>VLOOKUP($D16,'1. Mesures'!$A$2:$P$116,18,0)</f>
        <v>#REF!</v>
      </c>
    </row>
    <row r="17" spans="1:23" ht="30" x14ac:dyDescent="0.25">
      <c r="A17" s="449" t="str">
        <f>VLOOKUP($D17,'1. Mesures'!$A$2:$P$116,5,0)</f>
        <v>OO 1.1.4</v>
      </c>
      <c r="B17" s="449">
        <f>VLOOKUP($D17,'1. Mesures'!$A$2:$P$116,6,0)</f>
        <v>0</v>
      </c>
      <c r="C17" s="449">
        <f>VLOOKUP($D17,'1. Mesures'!$A$2:$P$116,7,0)</f>
        <v>0</v>
      </c>
      <c r="D17" s="450" t="s">
        <v>15</v>
      </c>
      <c r="E17" s="451" t="str">
        <f>VLOOKUP(D17,'1. Mesures'!$A$2:$P$116,2,0)</f>
        <v>Réaliser le curage sur les derniers tronçons du réseau hydrographique pour enlever la pollution «historique »</v>
      </c>
      <c r="F17" s="453"/>
      <c r="G17" s="453"/>
      <c r="H17" s="436"/>
      <c r="I17" s="12">
        <f>VLOOKUP($D17,'1. Mesures'!$A$2:$P$116,3,0)</f>
        <v>1</v>
      </c>
      <c r="J17" s="457" t="str">
        <f>IFERROR(VLOOKUP($D17,'1. Mesures'!$A$2:$P$116,4,0),"")</f>
        <v>OS 1.1</v>
      </c>
      <c r="K17" s="12">
        <f>VLOOKUP($D17,'1. Mesures'!$A$2:$P$116,8,0)</f>
        <v>0</v>
      </c>
      <c r="L17" s="12">
        <f>VLOOKUP($D17,'1. Mesures'!$A$2:$P$116,9,0)</f>
        <v>0</v>
      </c>
      <c r="M17" s="12">
        <f>VLOOKUP($D17,'1. Mesures'!$A$2:$P$116,10,0)</f>
        <v>0</v>
      </c>
      <c r="N17" s="12" t="str">
        <f>VLOOKUP($D17,'1. Mesures'!$A$2:$P$116,13,0)</f>
        <v>BM</v>
      </c>
      <c r="O17" s="12">
        <f>VLOOKUP($D17,'1. Mesures'!$A$2:$P$116,11,0)</f>
        <v>0</v>
      </c>
      <c r="P17" s="12" t="s">
        <v>2715</v>
      </c>
      <c r="Q17" s="452" t="s">
        <v>155</v>
      </c>
      <c r="R17" s="12" t="str">
        <f>VLOOKUP($D17,'1. Mesures'!$A$2:$P$116,12,0)</f>
        <v>P</v>
      </c>
      <c r="S17" s="12" t="str">
        <f>VLOOKUP($D17,'1. Mesures'!$A$2:$P$116,14,0)</f>
        <v>4-Remediation of contaminated sites (historical pollution including sediments, groundwater, soil).</v>
      </c>
      <c r="T17" s="12" t="str">
        <f>VLOOKUP($D17,'1. Mesures'!$A$2:$P$116,15,0)</f>
        <v>Diffuse pollutants</v>
      </c>
      <c r="U17" s="12" t="str">
        <f>VLOOKUP($D17,'1. Mesures'!$A$2:$P$116,16,0)</f>
        <v>SW</v>
      </c>
      <c r="V17" s="12" t="e">
        <f>VLOOKUP($D17,'1. Mesures'!$A$2:$P$116,17,0)</f>
        <v>#REF!</v>
      </c>
      <c r="W17" s="12" t="e">
        <f>VLOOKUP($D17,'1. Mesures'!$A$2:$P$116,18,0)</f>
        <v>#REF!</v>
      </c>
    </row>
    <row r="18" spans="1:23" ht="30" x14ac:dyDescent="0.25">
      <c r="A18" s="449" t="str">
        <f>VLOOKUP($D18,'1. Mesures'!$A$2:$P$116,5,0)</f>
        <v>OO 1.1.4</v>
      </c>
      <c r="B18" s="449">
        <f>VLOOKUP($D18,'1. Mesures'!$A$2:$P$116,6,0)</f>
        <v>0</v>
      </c>
      <c r="C18" s="449">
        <f>VLOOKUP($D18,'1. Mesures'!$A$2:$P$116,7,0)</f>
        <v>0</v>
      </c>
      <c r="D18" s="450" t="s">
        <v>16</v>
      </c>
      <c r="E18" s="451" t="str">
        <f>VLOOKUP(D18,'1. Mesures'!$A$2:$P$116,2,0)</f>
        <v>Diminuer les sources de matières en suspension vers le canal par l’optimisation de la dérivation d’Aa</v>
      </c>
      <c r="F18" s="436"/>
      <c r="G18" s="436"/>
      <c r="H18" s="436"/>
      <c r="I18" s="12">
        <f>VLOOKUP($D18,'1. Mesures'!$A$2:$P$116,3,0)</f>
        <v>1</v>
      </c>
      <c r="J18" s="457" t="str">
        <f>IFERROR(VLOOKUP($D18,'1. Mesures'!$A$2:$P$116,4,0),"")</f>
        <v>OS 1.1</v>
      </c>
      <c r="K18" s="12">
        <f>VLOOKUP($D18,'1. Mesures'!$A$2:$P$116,8,0)</f>
        <v>0</v>
      </c>
      <c r="L18" s="12">
        <f>VLOOKUP($D18,'1. Mesures'!$A$2:$P$116,9,0)</f>
        <v>0</v>
      </c>
      <c r="M18" s="12">
        <f>VLOOKUP($D18,'1. Mesures'!$A$2:$P$116,10,0)</f>
        <v>0</v>
      </c>
      <c r="N18" s="12" t="str">
        <f>VLOOKUP($D18,'1. Mesures'!$A$2:$P$116,13,0)</f>
        <v>BM</v>
      </c>
      <c r="O18" s="12">
        <f>VLOOKUP($D18,'1. Mesures'!$A$2:$P$116,11,0)</f>
        <v>0</v>
      </c>
      <c r="P18" s="12" t="s">
        <v>2715</v>
      </c>
      <c r="Q18" s="452" t="s">
        <v>155</v>
      </c>
      <c r="R18" s="12">
        <f>VLOOKUP($D18,'1. Mesures'!$A$2:$P$116,12,0)</f>
        <v>0</v>
      </c>
      <c r="S18" s="12" t="str">
        <f>VLOOKUP($D18,'1. Mesures'!$A$2:$P$116,14,0)</f>
        <v>17-Measures to reduce sediment from soil erosion and surface run-off.</v>
      </c>
      <c r="T18" s="12" t="str">
        <f>VLOOKUP($D18,'1. Mesures'!$A$2:$P$116,15,0)</f>
        <v>Diffuse pollutants</v>
      </c>
      <c r="U18" s="12" t="str">
        <f>VLOOKUP($D18,'1. Mesures'!$A$2:$P$116,16,0)</f>
        <v>SW</v>
      </c>
      <c r="V18" s="12" t="e">
        <f>VLOOKUP($D18,'1. Mesures'!$A$2:$P$116,17,0)</f>
        <v>#REF!</v>
      </c>
      <c r="W18" s="12" t="e">
        <f>VLOOKUP($D18,'1. Mesures'!$A$2:$P$116,18,0)</f>
        <v>#REF!</v>
      </c>
    </row>
    <row r="19" spans="1:23" ht="30" x14ac:dyDescent="0.25">
      <c r="A19" s="449" t="str">
        <f>VLOOKUP($D19,'1. Mesures'!$A$2:$P$116,5,0)</f>
        <v>OO 1.1.4</v>
      </c>
      <c r="B19" s="449">
        <f>VLOOKUP($D19,'1. Mesures'!$A$2:$P$116,6,0)</f>
        <v>0</v>
      </c>
      <c r="C19" s="449">
        <f>VLOOKUP($D19,'1. Mesures'!$A$2:$P$116,7,0)</f>
        <v>0</v>
      </c>
      <c r="D19" s="450" t="s">
        <v>18</v>
      </c>
      <c r="E19" s="451" t="str">
        <f>VLOOKUP(D19,'1. Mesures'!$A$2:$P$116,2,0)</f>
        <v xml:space="preserve">Lutter contre les décharges de matériaux autour et dans le Canal et assurer le dragage et l'élimination des sédiments pollués </v>
      </c>
      <c r="F19" s="436"/>
      <c r="G19" s="436"/>
      <c r="H19" s="436"/>
      <c r="I19" s="12">
        <f>VLOOKUP($D19,'1. Mesures'!$A$2:$P$116,3,0)</f>
        <v>1</v>
      </c>
      <c r="J19" s="457" t="str">
        <f>IFERROR(VLOOKUP($D19,'1. Mesures'!$A$2:$P$116,4,0),"")</f>
        <v>OS 1.1</v>
      </c>
      <c r="K19" s="12">
        <f>VLOOKUP($D19,'1. Mesures'!$A$2:$P$116,8,0)</f>
        <v>0</v>
      </c>
      <c r="L19" s="12">
        <f>VLOOKUP($D19,'1. Mesures'!$A$2:$P$116,9,0)</f>
        <v>0</v>
      </c>
      <c r="M19" s="12">
        <f>VLOOKUP($D19,'1. Mesures'!$A$2:$P$116,10,0)</f>
        <v>0</v>
      </c>
      <c r="N19" s="12" t="str">
        <f>VLOOKUP($D19,'1. Mesures'!$A$2:$P$116,13,0)</f>
        <v>BM</v>
      </c>
      <c r="O19" s="12">
        <f>VLOOKUP($D19,'1. Mesures'!$A$2:$P$116,11,0)</f>
        <v>0</v>
      </c>
      <c r="P19" s="12" t="s">
        <v>2715</v>
      </c>
      <c r="Q19" s="452" t="s">
        <v>155</v>
      </c>
      <c r="R19" s="12">
        <f>VLOOKUP($D19,'1. Mesures'!$A$2:$P$116,12,0)</f>
        <v>0</v>
      </c>
      <c r="S19" s="12" t="str">
        <f>VLOOKUP($D19,'1. Mesures'!$A$2:$P$116,14,0)</f>
        <v>4-Remediation of contaminated sites (historical pollution including sediments, groundwater, soil).</v>
      </c>
      <c r="T19" s="12" t="str">
        <f>VLOOKUP($D19,'1. Mesures'!$A$2:$P$116,15,0)</f>
        <v>Diffuse pollutants</v>
      </c>
      <c r="U19" s="12" t="str">
        <f>VLOOKUP($D19,'1. Mesures'!$A$2:$P$116,16,0)</f>
        <v>SW</v>
      </c>
      <c r="V19" s="12" t="e">
        <f>VLOOKUP($D19,'1. Mesures'!$A$2:$P$116,17,0)</f>
        <v>#REF!</v>
      </c>
      <c r="W19" s="12" t="e">
        <f>VLOOKUP($D19,'1. Mesures'!$A$2:$P$116,18,0)</f>
        <v>#REF!</v>
      </c>
    </row>
    <row r="20" spans="1:23" ht="15.75" x14ac:dyDescent="0.25">
      <c r="A20" s="449" t="str">
        <f>VLOOKUP($D20,'1. Mesures'!$A$2:$P$116,5,0)</f>
        <v>OO 1.1.5</v>
      </c>
      <c r="B20" s="449">
        <f>VLOOKUP($D20,'1. Mesures'!$A$2:$P$116,6,0)</f>
        <v>0</v>
      </c>
      <c r="C20" s="449">
        <f>VLOOKUP($D20,'1. Mesures'!$A$2:$P$116,7,0)</f>
        <v>0</v>
      </c>
      <c r="D20" s="450" t="s">
        <v>19</v>
      </c>
      <c r="E20" s="451" t="str">
        <f>VLOOKUP(D20,'1. Mesures'!$A$2:$P$116,2,0)</f>
        <v>Actualiser les objectifs de qualité des eaux de surface dans l’arrêté "NQE"</v>
      </c>
      <c r="F20" s="436"/>
      <c r="G20" s="436"/>
      <c r="H20" s="436"/>
      <c r="I20" s="12">
        <f>VLOOKUP($D20,'1. Mesures'!$A$2:$P$116,3,0)</f>
        <v>1</v>
      </c>
      <c r="J20" s="457" t="str">
        <f>IFERROR(VLOOKUP($D20,'1. Mesures'!$A$2:$P$116,4,0),"")</f>
        <v>OS 1.1</v>
      </c>
      <c r="K20" s="12">
        <f>VLOOKUP($D20,'1. Mesures'!$A$2:$P$116,8,0)</f>
        <v>0</v>
      </c>
      <c r="L20" s="12">
        <f>VLOOKUP($D20,'1. Mesures'!$A$2:$P$116,9,0)</f>
        <v>0</v>
      </c>
      <c r="M20" s="12">
        <f>VLOOKUP($D20,'1. Mesures'!$A$2:$P$116,10,0)</f>
        <v>0</v>
      </c>
      <c r="N20" s="12" t="str">
        <f>VLOOKUP($D20,'1. Mesures'!$A$2:$P$116,13,0)</f>
        <v>BM</v>
      </c>
      <c r="O20" s="12">
        <f>VLOOKUP($D20,'1. Mesures'!$A$2:$P$116,11,0)</f>
        <v>0</v>
      </c>
      <c r="P20" s="12" t="s">
        <v>2715</v>
      </c>
      <c r="Q20" s="452" t="s">
        <v>155</v>
      </c>
      <c r="R20" s="12" t="str">
        <f>VLOOKUP($D20,'1. Mesures'!$A$2:$P$116,12,0)</f>
        <v>A</v>
      </c>
      <c r="S20" s="12" t="str">
        <f>VLOOKUP($D20,'1. Mesures'!$A$2:$P$116,14,0)</f>
        <v>15-Measures for the phasing-out of emissions, discharges and losses of Priority Hazardous Substances or for the reduction of emissions, discharges and losses of Priority Substances.</v>
      </c>
      <c r="T20" s="12" t="str">
        <f>VLOOKUP($D20,'1. Mesures'!$A$2:$P$116,15,0)</f>
        <v>Other</v>
      </c>
      <c r="U20" s="12" t="str">
        <f>VLOOKUP($D20,'1. Mesures'!$A$2:$P$116,16,0)</f>
        <v>SW</v>
      </c>
      <c r="V20" s="12" t="e">
        <f>VLOOKUP($D20,'1. Mesures'!$A$2:$P$116,17,0)</f>
        <v>#REF!</v>
      </c>
      <c r="W20" s="12" t="e">
        <f>VLOOKUP($D20,'1. Mesures'!$A$2:$P$116,18,0)</f>
        <v>#REF!</v>
      </c>
    </row>
    <row r="21" spans="1:23" ht="30" x14ac:dyDescent="0.25">
      <c r="A21" s="449" t="str">
        <f>VLOOKUP($D21,'1. Mesures'!$A$2:$P$116,5,0)</f>
        <v>OO 1.1.5</v>
      </c>
      <c r="B21" s="449">
        <f>VLOOKUP($D21,'1. Mesures'!$A$2:$P$116,6,0)</f>
        <v>0</v>
      </c>
      <c r="C21" s="449">
        <f>VLOOKUP($D21,'1. Mesures'!$A$2:$P$116,7,0)</f>
        <v>0</v>
      </c>
      <c r="D21" s="450" t="s">
        <v>20</v>
      </c>
      <c r="E21" s="451" t="str">
        <f>VLOOKUP(D21,'1. Mesures'!$A$2:$P$116,2,0)</f>
        <v>Mener des investigations et des actions ciblées pour les paramètres chimiques et physico-chimiques qui peuvent s’avérer problématiques pour les eaux de surface</v>
      </c>
      <c r="F21" s="436"/>
      <c r="G21" s="436"/>
      <c r="H21" s="436"/>
      <c r="I21" s="12">
        <f>VLOOKUP($D21,'1. Mesures'!$A$2:$P$116,3,0)</f>
        <v>1</v>
      </c>
      <c r="J21" s="457" t="str">
        <f>IFERROR(VLOOKUP($D21,'1. Mesures'!$A$2:$P$116,4,0),"")</f>
        <v>OS 1.1</v>
      </c>
      <c r="K21" s="12">
        <f>VLOOKUP($D21,'1. Mesures'!$A$2:$P$116,8,0)</f>
        <v>0</v>
      </c>
      <c r="L21" s="12">
        <f>VLOOKUP($D21,'1. Mesures'!$A$2:$P$116,9,0)</f>
        <v>0</v>
      </c>
      <c r="M21" s="12">
        <f>VLOOKUP($D21,'1. Mesures'!$A$2:$P$116,10,0)</f>
        <v>0</v>
      </c>
      <c r="N21" s="12" t="str">
        <f>VLOOKUP($D21,'1. Mesures'!$A$2:$P$116,13,0)</f>
        <v>BM</v>
      </c>
      <c r="O21" s="12">
        <f>VLOOKUP($D21,'1. Mesures'!$A$2:$P$116,11,0)</f>
        <v>0</v>
      </c>
      <c r="P21" s="12" t="s">
        <v>2715</v>
      </c>
      <c r="Q21" s="452" t="s">
        <v>155</v>
      </c>
      <c r="R21" s="12" t="str">
        <f>VLOOKUP($D21,'1. Mesures'!$A$2:$P$116,12,0)</f>
        <v>N</v>
      </c>
      <c r="S21" s="12" t="str">
        <f>VLOOKUP($D21,'1. Mesures'!$A$2:$P$116,14,0)</f>
        <v>14-Research, improvement of knowledge base reducing uncertainty.</v>
      </c>
      <c r="T21" s="12" t="str">
        <f>VLOOKUP($D21,'1. Mesures'!$A$2:$P$116,15,0)</f>
        <v>Other</v>
      </c>
      <c r="U21" s="12" t="str">
        <f>VLOOKUP($D21,'1. Mesures'!$A$2:$P$116,16,0)</f>
        <v>SW</v>
      </c>
      <c r="V21" s="12" t="e">
        <f>VLOOKUP($D21,'1. Mesures'!$A$2:$P$116,17,0)</f>
        <v>#REF!</v>
      </c>
      <c r="W21" s="12" t="e">
        <f>VLOOKUP($D21,'1. Mesures'!$A$2:$P$116,18,0)</f>
        <v>#REF!</v>
      </c>
    </row>
    <row r="22" spans="1:23" ht="30" x14ac:dyDescent="0.25">
      <c r="A22" s="449" t="str">
        <f>VLOOKUP($D22,'1. Mesures'!$A$2:$P$116,5,0)</f>
        <v>OO 1.1.5</v>
      </c>
      <c r="B22" s="449">
        <f>VLOOKUP($D22,'1. Mesures'!$A$2:$P$116,6,0)</f>
        <v>0</v>
      </c>
      <c r="C22" s="449">
        <f>VLOOKUP($D22,'1. Mesures'!$A$2:$P$116,7,0)</f>
        <v>0</v>
      </c>
      <c r="D22" s="450" t="s">
        <v>21</v>
      </c>
      <c r="E22" s="451" t="str">
        <f>VLOOKUP(D22,'1. Mesures'!$A$2:$P$116,2,0)</f>
        <v>Assurer la surveillance de la qualité de la colonne d’eau, des sédiments, du biote, de la biologie et de l’hydromorphologie</v>
      </c>
      <c r="F22" s="436"/>
      <c r="G22" s="436"/>
      <c r="H22" s="436"/>
      <c r="I22" s="12">
        <f>VLOOKUP($D22,'1. Mesures'!$A$2:$P$116,3,0)</f>
        <v>1</v>
      </c>
      <c r="J22" s="457" t="str">
        <f>IFERROR(VLOOKUP($D22,'1. Mesures'!$A$2:$P$116,4,0),"")</f>
        <v>OS 1.1</v>
      </c>
      <c r="K22" s="12">
        <f>VLOOKUP($D22,'1. Mesures'!$A$2:$P$116,8,0)</f>
        <v>0</v>
      </c>
      <c r="L22" s="12">
        <f>VLOOKUP($D22,'1. Mesures'!$A$2:$P$116,9,0)</f>
        <v>0</v>
      </c>
      <c r="M22" s="12">
        <f>VLOOKUP($D22,'1. Mesures'!$A$2:$P$116,10,0)</f>
        <v>0</v>
      </c>
      <c r="N22" s="12" t="str">
        <f>VLOOKUP($D22,'1. Mesures'!$A$2:$P$116,13,0)</f>
        <v>BM</v>
      </c>
      <c r="O22" s="12">
        <f>VLOOKUP($D22,'1. Mesures'!$A$2:$P$116,11,0)</f>
        <v>0</v>
      </c>
      <c r="P22" s="12" t="s">
        <v>2715</v>
      </c>
      <c r="Q22" s="452" t="s">
        <v>155</v>
      </c>
      <c r="R22" s="12" t="str">
        <f>VLOOKUP($D22,'1. Mesures'!$A$2:$P$116,12,0)</f>
        <v>A</v>
      </c>
      <c r="S22" s="12">
        <f>VLOOKUP($D22,'1. Mesures'!$A$2:$P$116,14,0)</f>
        <v>0</v>
      </c>
      <c r="T22" s="12" t="str">
        <f>VLOOKUP($D22,'1. Mesures'!$A$2:$P$116,15,0)</f>
        <v>Other</v>
      </c>
      <c r="U22" s="12" t="str">
        <f>VLOOKUP($D22,'1. Mesures'!$A$2:$P$116,16,0)</f>
        <v>SW</v>
      </c>
      <c r="V22" s="12" t="e">
        <f>VLOOKUP($D22,'1. Mesures'!$A$2:$P$116,17,0)</f>
        <v>#REF!</v>
      </c>
      <c r="W22" s="12" t="e">
        <f>VLOOKUP($D22,'1. Mesures'!$A$2:$P$116,18,0)</f>
        <v>#REF!</v>
      </c>
    </row>
    <row r="23" spans="1:23" ht="15.75" x14ac:dyDescent="0.25">
      <c r="A23" s="449" t="str">
        <f>VLOOKUP($D23,'1. Mesures'!$A$2:$P$116,5,0)</f>
        <v>OO 1.1.5</v>
      </c>
      <c r="B23" s="449">
        <f>VLOOKUP($D23,'1. Mesures'!$A$2:$P$116,6,0)</f>
        <v>0</v>
      </c>
      <c r="C23" s="449" t="str">
        <f>VLOOKUP($D23,'1. Mesures'!$A$2:$P$116,7,0)</f>
        <v>X</v>
      </c>
      <c r="D23" s="450" t="s">
        <v>22</v>
      </c>
      <c r="E23" s="451" t="str">
        <f>VLOOKUP(D23,'1. Mesures'!$A$2:$P$116,2,0)</f>
        <v>Assurer et développer le réseau de monitoring qualitatif et quantitatif en continu FlowBru</v>
      </c>
      <c r="F23" s="436"/>
      <c r="G23" s="436"/>
      <c r="H23" s="436"/>
      <c r="I23" s="12">
        <f>VLOOKUP($D23,'1. Mesures'!$A$2:$P$116,3,0)</f>
        <v>1</v>
      </c>
      <c r="J23" s="457" t="str">
        <f>IFERROR(VLOOKUP($D23,'1. Mesures'!$A$2:$P$116,4,0),"")</f>
        <v>OS 1.1</v>
      </c>
      <c r="K23" s="12">
        <f>VLOOKUP($D23,'1. Mesures'!$A$2:$P$116,8,0)</f>
        <v>0</v>
      </c>
      <c r="L23" s="12">
        <f>VLOOKUP($D23,'1. Mesures'!$A$2:$P$116,9,0)</f>
        <v>0</v>
      </c>
      <c r="M23" s="12">
        <f>VLOOKUP($D23,'1. Mesures'!$A$2:$P$116,10,0)</f>
        <v>0</v>
      </c>
      <c r="N23" s="12" t="str">
        <f>VLOOKUP($D23,'1. Mesures'!$A$2:$P$116,13,0)</f>
        <v>BM</v>
      </c>
      <c r="O23" s="12">
        <f>VLOOKUP($D23,'1. Mesures'!$A$2:$P$116,11,0)</f>
        <v>0</v>
      </c>
      <c r="P23" s="12" t="s">
        <v>2715</v>
      </c>
      <c r="Q23" s="452" t="s">
        <v>155</v>
      </c>
      <c r="R23" s="12">
        <f>VLOOKUP($D23,'1. Mesures'!$A$2:$P$116,12,0)</f>
        <v>0</v>
      </c>
      <c r="S23" s="12" t="str">
        <f>VLOOKUP($D23,'1. Mesures'!$A$2:$P$116,14,0)</f>
        <v>14-Research, improvement of knowledge base reducing uncertainty.</v>
      </c>
      <c r="T23" s="12" t="str">
        <f>VLOOKUP($D23,'1. Mesures'!$A$2:$P$116,15,0)</f>
        <v>Other</v>
      </c>
      <c r="U23" s="12" t="str">
        <f>VLOOKUP($D23,'1. Mesures'!$A$2:$P$116,16,0)</f>
        <v>SW</v>
      </c>
      <c r="V23" s="12" t="e">
        <f>VLOOKUP($D23,'1. Mesures'!$A$2:$P$116,17,0)</f>
        <v>#REF!</v>
      </c>
      <c r="W23" s="12" t="e">
        <f>VLOOKUP($D23,'1. Mesures'!$A$2:$P$116,18,0)</f>
        <v>#REF!</v>
      </c>
    </row>
    <row r="24" spans="1:23" ht="30" x14ac:dyDescent="0.25">
      <c r="A24" s="449" t="str">
        <f>VLOOKUP($D24,'1. Mesures'!$A$2:$P$116,5,0)</f>
        <v>OO 1.1.5</v>
      </c>
      <c r="B24" s="449">
        <f>VLOOKUP($D24,'1. Mesures'!$A$2:$P$116,6,0)</f>
        <v>0</v>
      </c>
      <c r="C24" s="449" t="str">
        <f>VLOOKUP($D24,'1. Mesures'!$A$2:$P$116,7,0)</f>
        <v>X</v>
      </c>
      <c r="D24" s="450" t="s">
        <v>24</v>
      </c>
      <c r="E24" s="451" t="str">
        <f>VLOOKUP(D24,'1. Mesures'!$A$2:$P$116,2,0)</f>
        <v>Développer un modèle de qualité physico-chimique de la Senne pour déterminer les objectifs réalisables à long terme pour cette masse d’eau</v>
      </c>
      <c r="F24" s="436"/>
      <c r="G24" s="436"/>
      <c r="H24" s="436"/>
      <c r="I24" s="12">
        <f>VLOOKUP($D24,'1. Mesures'!$A$2:$P$116,3,0)</f>
        <v>1</v>
      </c>
      <c r="J24" s="457" t="str">
        <f>IFERROR(VLOOKUP($D24,'1. Mesures'!$A$2:$P$116,4,0),"")</f>
        <v>OS 1.1</v>
      </c>
      <c r="K24" s="12">
        <f>VLOOKUP($D24,'1. Mesures'!$A$2:$P$116,8,0)</f>
        <v>0</v>
      </c>
      <c r="L24" s="12">
        <f>VLOOKUP($D24,'1. Mesures'!$A$2:$P$116,9,0)</f>
        <v>0</v>
      </c>
      <c r="M24" s="12">
        <f>VLOOKUP($D24,'1. Mesures'!$A$2:$P$116,10,0)</f>
        <v>0</v>
      </c>
      <c r="N24" s="12" t="str">
        <f>VLOOKUP($D24,'1. Mesures'!$A$2:$P$116,13,0)</f>
        <v>SM</v>
      </c>
      <c r="O24" s="12">
        <f>VLOOKUP($D24,'1. Mesures'!$A$2:$P$116,11,0)</f>
        <v>0</v>
      </c>
      <c r="P24" s="12" t="s">
        <v>2715</v>
      </c>
      <c r="Q24" s="452" t="s">
        <v>155</v>
      </c>
      <c r="R24" s="12" t="str">
        <f>VLOOKUP($D24,'1. Mesures'!$A$2:$P$116,12,0)</f>
        <v>A</v>
      </c>
      <c r="S24" s="12" t="str">
        <f>VLOOKUP($D24,'1. Mesures'!$A$2:$P$116,14,0)</f>
        <v>14-Research, improvement of knowledge base reducing uncertainty.</v>
      </c>
      <c r="T24" s="12" t="str">
        <f>VLOOKUP($D24,'1. Mesures'!$A$2:$P$116,15,0)</f>
        <v>Other</v>
      </c>
      <c r="U24" s="12" t="str">
        <f>VLOOKUP($D24,'1. Mesures'!$A$2:$P$116,16,0)</f>
        <v>SW</v>
      </c>
      <c r="V24" s="12" t="e">
        <f>VLOOKUP($D24,'1. Mesures'!$A$2:$P$116,17,0)</f>
        <v>#REF!</v>
      </c>
      <c r="W24" s="12" t="e">
        <f>VLOOKUP($D24,'1. Mesures'!$A$2:$P$116,18,0)</f>
        <v>#REF!</v>
      </c>
    </row>
    <row r="25" spans="1:23" ht="15.75" x14ac:dyDescent="0.25">
      <c r="A25" s="449" t="str">
        <f>VLOOKUP($D25,'1. Mesures'!$A$2:$P$116,5,0)</f>
        <v>OO 1.1.5</v>
      </c>
      <c r="B25" s="449">
        <f>VLOOKUP($D25,'1. Mesures'!$A$2:$P$116,6,0)</f>
        <v>0</v>
      </c>
      <c r="C25" s="449">
        <f>VLOOKUP($D25,'1. Mesures'!$A$2:$P$116,7,0)</f>
        <v>0</v>
      </c>
      <c r="D25" s="450" t="s">
        <v>25</v>
      </c>
      <c r="E25" s="451" t="str">
        <f>VLOOKUP(D25,'1. Mesures'!$A$2:$P$116,2,0)</f>
        <v>Sensibiliser les Bruxellois.e.s à l'impact des certaines pratiques sur les eaux de surface</v>
      </c>
      <c r="F25" s="436"/>
      <c r="G25" s="436"/>
      <c r="H25" s="436"/>
      <c r="I25" s="12">
        <f>VLOOKUP($D25,'1. Mesures'!$A$2:$P$116,3,0)</f>
        <v>1</v>
      </c>
      <c r="J25" s="457" t="str">
        <f>IFERROR(VLOOKUP($D25,'1. Mesures'!$A$2:$P$116,4,0),"")</f>
        <v>OS 1.1</v>
      </c>
      <c r="K25" s="12">
        <f>VLOOKUP($D25,'1. Mesures'!$A$2:$P$116,8,0)</f>
        <v>0</v>
      </c>
      <c r="L25" s="12">
        <f>VLOOKUP($D25,'1. Mesures'!$A$2:$P$116,9,0)</f>
        <v>0</v>
      </c>
      <c r="M25" s="12">
        <f>VLOOKUP($D25,'1. Mesures'!$A$2:$P$116,10,0)</f>
        <v>0</v>
      </c>
      <c r="N25" s="12" t="str">
        <f>VLOOKUP($D25,'1. Mesures'!$A$2:$P$116,13,0)</f>
        <v>SM</v>
      </c>
      <c r="O25" s="12">
        <f>VLOOKUP($D25,'1. Mesures'!$A$2:$P$116,11,0)</f>
        <v>0</v>
      </c>
      <c r="P25" s="12" t="s">
        <v>2715</v>
      </c>
      <c r="Q25" s="452" t="s">
        <v>155</v>
      </c>
      <c r="R25" s="12" t="str">
        <f>VLOOKUP($D25,'1. Mesures'!$A$2:$P$116,12,0)</f>
        <v>A</v>
      </c>
      <c r="S25" s="12">
        <f>VLOOKUP($D25,'1. Mesures'!$A$2:$P$116,14,0)</f>
        <v>0</v>
      </c>
      <c r="T25" s="12" t="str">
        <f>VLOOKUP($D25,'1. Mesures'!$A$2:$P$116,15,0)</f>
        <v>Other</v>
      </c>
      <c r="U25" s="12" t="str">
        <f>VLOOKUP($D25,'1. Mesures'!$A$2:$P$116,16,0)</f>
        <v>SW</v>
      </c>
      <c r="V25" s="12" t="e">
        <f>VLOOKUP($D25,'1. Mesures'!$A$2:$P$116,17,0)</f>
        <v>#REF!</v>
      </c>
      <c r="W25" s="12" t="e">
        <f>VLOOKUP($D25,'1. Mesures'!$A$2:$P$116,18,0)</f>
        <v>#REF!</v>
      </c>
    </row>
    <row r="26" spans="1:23" ht="15.75" x14ac:dyDescent="0.25">
      <c r="A26" s="449" t="str">
        <f>VLOOKUP($D26,'1. Mesures'!$A$2:$P$116,5,0)</f>
        <v>OO 1.1.5</v>
      </c>
      <c r="B26" s="449">
        <f>VLOOKUP($D26,'1. Mesures'!$A$2:$P$116,6,0)</f>
        <v>0</v>
      </c>
      <c r="C26" s="449">
        <f>VLOOKUP($D26,'1. Mesures'!$A$2:$P$116,7,0)</f>
        <v>0</v>
      </c>
      <c r="D26" s="450" t="s">
        <v>26</v>
      </c>
      <c r="E26" s="451" t="str">
        <f>VLOOKUP(D26,'1. Mesures'!$A$2:$P$116,2,0)</f>
        <v>Assurer la gestion des pollutions intra régionales et transfrontalières</v>
      </c>
      <c r="F26" s="436"/>
      <c r="G26" s="436"/>
      <c r="H26" s="436"/>
      <c r="I26" s="12">
        <f>VLOOKUP($D26,'1. Mesures'!$A$2:$P$116,3,0)</f>
        <v>1</v>
      </c>
      <c r="J26" s="457" t="str">
        <f>IFERROR(VLOOKUP($D26,'1. Mesures'!$A$2:$P$116,4,0),"")</f>
        <v>OS 1.1</v>
      </c>
      <c r="K26" s="12">
        <f>VLOOKUP($D26,'1. Mesures'!$A$2:$P$116,8,0)</f>
        <v>0</v>
      </c>
      <c r="L26" s="12">
        <f>VLOOKUP($D26,'1. Mesures'!$A$2:$P$116,9,0)</f>
        <v>0</v>
      </c>
      <c r="M26" s="12">
        <f>VLOOKUP($D26,'1. Mesures'!$A$2:$P$116,10,0)</f>
        <v>0</v>
      </c>
      <c r="N26" s="12" t="str">
        <f>VLOOKUP($D26,'1. Mesures'!$A$2:$P$116,13,0)</f>
        <v>BM</v>
      </c>
      <c r="O26" s="12">
        <f>VLOOKUP($D26,'1. Mesures'!$A$2:$P$116,11,0)</f>
        <v>0</v>
      </c>
      <c r="P26" s="12" t="s">
        <v>2715</v>
      </c>
      <c r="Q26" s="452" t="s">
        <v>155</v>
      </c>
      <c r="R26" s="12" t="str">
        <f>VLOOKUP($D26,'1. Mesures'!$A$2:$P$116,12,0)</f>
        <v>A</v>
      </c>
      <c r="S26" s="12" t="str">
        <f>VLOOKUP($D26,'1. Mesures'!$A$2:$P$116,14,0)</f>
        <v>21-Measures to prevent or control the input of pollution from urban areas, transport and built infrastructure.</v>
      </c>
      <c r="T26" s="12" t="str">
        <f>VLOOKUP($D26,'1. Mesures'!$A$2:$P$116,15,0)</f>
        <v>Accidental pollution</v>
      </c>
      <c r="U26" s="12" t="str">
        <f>VLOOKUP($D26,'1. Mesures'!$A$2:$P$116,16,0)</f>
        <v>SW</v>
      </c>
      <c r="V26" s="12" t="e">
        <f>VLOOKUP($D26,'1. Mesures'!$A$2:$P$116,17,0)</f>
        <v>#REF!</v>
      </c>
      <c r="W26" s="12" t="e">
        <f>VLOOKUP($D26,'1. Mesures'!$A$2:$P$116,18,0)</f>
        <v>#REF!</v>
      </c>
    </row>
    <row r="27" spans="1:23" ht="45" x14ac:dyDescent="0.25">
      <c r="A27" s="449" t="str">
        <f>VLOOKUP($D27,'1. Mesures'!$A$2:$P$116,5,0)</f>
        <v>OO 1.2.1</v>
      </c>
      <c r="B27" s="449">
        <f>VLOOKUP($D27,'1. Mesures'!$A$2:$P$116,6,0)</f>
        <v>0</v>
      </c>
      <c r="C27" s="449" t="str">
        <f>VLOOKUP($D27,'1. Mesures'!$A$2:$P$116,7,0)</f>
        <v>X</v>
      </c>
      <c r="D27" s="450" t="s">
        <v>27</v>
      </c>
      <c r="E27" s="451" t="str">
        <f>VLOOKUP(D27,'1. Mesures'!$A$2:$P$116,2,0)</f>
        <v>Identifier les opportunités de connexion au réseau hydrographique des eaux claires actuellement perdues par temps sec dans le réseau d’égouttage et définir un débit minimum écologique et une hauteur d'eau minimale pour les masses d'eau</v>
      </c>
      <c r="F27" s="436"/>
      <c r="G27" s="436"/>
      <c r="H27" s="436"/>
      <c r="I27" s="12">
        <f>VLOOKUP($D27,'1. Mesures'!$A$2:$P$116,3,0)</f>
        <v>1</v>
      </c>
      <c r="J27" s="457" t="str">
        <f>IFERROR(VLOOKUP($D27,'1. Mesures'!$A$2:$P$116,4,0),"")</f>
        <v>OS 1.2</v>
      </c>
      <c r="K27" s="12">
        <f>VLOOKUP($D27,'1. Mesures'!$A$2:$P$116,8,0)</f>
        <v>0</v>
      </c>
      <c r="L27" s="12">
        <f>VLOOKUP($D27,'1. Mesures'!$A$2:$P$116,9,0)</f>
        <v>0</v>
      </c>
      <c r="M27" s="12">
        <f>VLOOKUP($D27,'1. Mesures'!$A$2:$P$116,10,0)</f>
        <v>0</v>
      </c>
      <c r="N27" s="12" t="str">
        <f>VLOOKUP($D27,'1. Mesures'!$A$2:$P$116,13,0)</f>
        <v>BM</v>
      </c>
      <c r="O27" s="12" t="str">
        <f>VLOOKUP($D27,'1. Mesures'!$A$2:$P$116,11,0)</f>
        <v>X</v>
      </c>
      <c r="P27" s="12" t="s">
        <v>2715</v>
      </c>
      <c r="Q27" s="452" t="s">
        <v>155</v>
      </c>
      <c r="R27" s="12" t="str">
        <f>VLOOKUP($D27,'1. Mesures'!$A$2:$P$116,12,0)</f>
        <v>A</v>
      </c>
      <c r="S27" s="12" t="str">
        <f>VLOOKUP($D27,'1. Mesures'!$A$2:$P$116,14,0)</f>
        <v>7-Improvements in flow regime and/or establishment of ecological flows.</v>
      </c>
      <c r="T27" s="12" t="str">
        <f>VLOOKUP($D27,'1. Mesures'!$A$2:$P$116,15,0)</f>
        <v>Other</v>
      </c>
      <c r="U27" s="12" t="str">
        <f>VLOOKUP($D27,'1. Mesures'!$A$2:$P$116,16,0)</f>
        <v>SW</v>
      </c>
      <c r="V27" s="12" t="e">
        <f>VLOOKUP($D27,'1. Mesures'!$A$2:$P$116,17,0)</f>
        <v>#REF!</v>
      </c>
      <c r="W27" s="12" t="e">
        <f>VLOOKUP($D27,'1. Mesures'!$A$2:$P$116,18,0)</f>
        <v>#REF!</v>
      </c>
    </row>
    <row r="28" spans="1:23" ht="30" x14ac:dyDescent="0.25">
      <c r="A28" s="449" t="str">
        <f>VLOOKUP($D28,'1. Mesures'!$A$2:$P$116,5,0)</f>
        <v>OO 2.1.1</v>
      </c>
      <c r="B28" s="449">
        <f>VLOOKUP($D28,'1. Mesures'!$A$2:$P$116,6,0)</f>
        <v>0</v>
      </c>
      <c r="C28" s="449">
        <f>VLOOKUP($D28,'1. Mesures'!$A$2:$P$116,7,0)</f>
        <v>0</v>
      </c>
      <c r="D28" s="450" t="s">
        <v>36</v>
      </c>
      <c r="E28" s="451" t="str">
        <f>VLOOKUP(D28,'1. Mesures'!$A$2:$P$116,2,0)</f>
        <v>Améliorer l'état des connaissances des masses d'eau souterraine et poursuivre l’identification des pressions anthropiques</v>
      </c>
      <c r="F28" s="436"/>
      <c r="G28" s="436"/>
      <c r="H28" s="436"/>
      <c r="I28" s="12">
        <f>VLOOKUP($D28,'1. Mesures'!$A$2:$P$116,3,0)</f>
        <v>2</v>
      </c>
      <c r="J28" s="457" t="str">
        <f>IFERROR(VLOOKUP($D28,'1. Mesures'!$A$2:$P$116,4,0),"")</f>
        <v>OS 2.1</v>
      </c>
      <c r="K28" s="12">
        <f>VLOOKUP($D28,'1. Mesures'!$A$2:$P$116,8,0)</f>
        <v>0</v>
      </c>
      <c r="L28" s="12">
        <f>VLOOKUP($D28,'1. Mesures'!$A$2:$P$116,9,0)</f>
        <v>0</v>
      </c>
      <c r="M28" s="12">
        <f>VLOOKUP($D28,'1. Mesures'!$A$2:$P$116,10,0)</f>
        <v>0</v>
      </c>
      <c r="N28" s="12" t="str">
        <f>VLOOKUP($D28,'1. Mesures'!$A$2:$P$116,13,0)</f>
        <v>BM</v>
      </c>
      <c r="O28" s="12">
        <f>VLOOKUP($D28,'1. Mesures'!$A$2:$P$116,11,0)</f>
        <v>0</v>
      </c>
      <c r="P28" s="12" t="s">
        <v>2715</v>
      </c>
      <c r="Q28" s="452" t="s">
        <v>155</v>
      </c>
      <c r="R28" s="12" t="str">
        <f>VLOOKUP($D28,'1. Mesures'!$A$2:$P$116,12,0)</f>
        <v>A</v>
      </c>
      <c r="S28" s="12" t="str">
        <f>VLOOKUP($D28,'1. Mesures'!$A$2:$P$116,14,0)</f>
        <v>14-Research, improvement of knowledge base reducing uncertainty.</v>
      </c>
      <c r="T28" s="12" t="str">
        <f>VLOOKUP($D28,'1. Mesures'!$A$2:$P$116,15,0)</f>
        <v>Other</v>
      </c>
      <c r="U28" s="12" t="str">
        <f>VLOOKUP($D28,'1. Mesures'!$A$2:$P$116,16,0)</f>
        <v>GW</v>
      </c>
      <c r="V28" s="12" t="e">
        <f>VLOOKUP($D28,'1. Mesures'!$A$2:$P$116,17,0)</f>
        <v>#REF!</v>
      </c>
      <c r="W28" s="12" t="e">
        <f>VLOOKUP($D28,'1. Mesures'!$A$2:$P$116,18,0)</f>
        <v>#REF!</v>
      </c>
    </row>
    <row r="29" spans="1:23" ht="15.75" x14ac:dyDescent="0.25">
      <c r="A29" s="449" t="str">
        <f>VLOOKUP($D29,'1. Mesures'!$A$2:$P$116,5,0)</f>
        <v>OO 2.1.1</v>
      </c>
      <c r="B29" s="449">
        <f>VLOOKUP($D29,'1. Mesures'!$A$2:$P$116,6,0)</f>
        <v>0</v>
      </c>
      <c r="C29" s="449">
        <f>VLOOKUP($D29,'1. Mesures'!$A$2:$P$116,7,0)</f>
        <v>0</v>
      </c>
      <c r="D29" s="450" t="s">
        <v>37</v>
      </c>
      <c r="E29" s="451" t="str">
        <f>VLOOKUP(D29,'1. Mesures'!$A$2:$P$116,2,0)</f>
        <v>Modifier la réglementation relative à la qualité des eaux souterraines</v>
      </c>
      <c r="F29" s="436"/>
      <c r="G29" s="436"/>
      <c r="H29" s="436"/>
      <c r="I29" s="12">
        <f>VLOOKUP($D29,'1. Mesures'!$A$2:$P$116,3,0)</f>
        <v>2</v>
      </c>
      <c r="J29" s="457" t="str">
        <f>IFERROR(VLOOKUP($D29,'1. Mesures'!$A$2:$P$116,4,0),"")</f>
        <v>OS 2.1</v>
      </c>
      <c r="K29" s="12">
        <f>VLOOKUP($D29,'1. Mesures'!$A$2:$P$116,8,0)</f>
        <v>0</v>
      </c>
      <c r="L29" s="12">
        <f>VLOOKUP($D29,'1. Mesures'!$A$2:$P$116,9,0)</f>
        <v>0</v>
      </c>
      <c r="M29" s="12">
        <f>VLOOKUP($D29,'1. Mesures'!$A$2:$P$116,10,0)</f>
        <v>0</v>
      </c>
      <c r="N29" s="12" t="str">
        <f>VLOOKUP($D29,'1. Mesures'!$A$2:$P$116,13,0)</f>
        <v>BM</v>
      </c>
      <c r="O29" s="12">
        <f>VLOOKUP($D29,'1. Mesures'!$A$2:$P$116,11,0)</f>
        <v>0</v>
      </c>
      <c r="P29" s="12" t="s">
        <v>2715</v>
      </c>
      <c r="Q29" s="452" t="s">
        <v>155</v>
      </c>
      <c r="R29" s="12" t="str">
        <f>VLOOKUP($D29,'1. Mesures'!$A$2:$P$116,12,0)</f>
        <v>A</v>
      </c>
      <c r="S29" s="12">
        <f>VLOOKUP($D29,'1. Mesures'!$A$2:$P$116,14,0)</f>
        <v>0</v>
      </c>
      <c r="T29" s="12" t="str">
        <f>VLOOKUP($D29,'1. Mesures'!$A$2:$P$116,15,0)</f>
        <v>Other</v>
      </c>
      <c r="U29" s="12" t="str">
        <f>VLOOKUP($D29,'1. Mesures'!$A$2:$P$116,16,0)</f>
        <v>GW</v>
      </c>
      <c r="V29" s="12" t="e">
        <f>VLOOKUP($D29,'1. Mesures'!$A$2:$P$116,17,0)</f>
        <v>#REF!</v>
      </c>
      <c r="W29" s="12" t="e">
        <f>VLOOKUP($D29,'1. Mesures'!$A$2:$P$116,18,0)</f>
        <v>#REF!</v>
      </c>
    </row>
    <row r="30" spans="1:23" ht="30" x14ac:dyDescent="0.25">
      <c r="A30" s="449" t="str">
        <f>VLOOKUP($D30,'1. Mesures'!$A$2:$P$116,5,0)</f>
        <v>OO 2.1.2</v>
      </c>
      <c r="B30" s="449">
        <f>VLOOKUP($D30,'1. Mesures'!$A$2:$P$116,6,0)</f>
        <v>0</v>
      </c>
      <c r="C30" s="449">
        <f>VLOOKUP($D30,'1. Mesures'!$A$2:$P$116,7,0)</f>
        <v>0</v>
      </c>
      <c r="D30" s="12" t="s">
        <v>38</v>
      </c>
      <c r="E30" s="451" t="str">
        <f>VLOOKUP(D30,'1. Mesures'!$A$2:$P$116,2,0)</f>
        <v xml:space="preserve">Rénover et étendre le réseau d'assainissement afin de réduire les concentrations en nitrates d’origine non agricole </v>
      </c>
      <c r="F30" s="436"/>
      <c r="G30" s="436"/>
      <c r="H30" s="436"/>
      <c r="I30" s="12">
        <f>VLOOKUP($D30,'1. Mesures'!$A$2:$P$116,3,0)</f>
        <v>2</v>
      </c>
      <c r="J30" s="457" t="str">
        <f>IFERROR(VLOOKUP($D30,'1. Mesures'!$A$2:$P$116,4,0),"")</f>
        <v>OS 2.1</v>
      </c>
      <c r="K30" s="12">
        <f>VLOOKUP($D30,'1. Mesures'!$A$2:$P$116,8,0)</f>
        <v>0</v>
      </c>
      <c r="L30" s="12">
        <f>VLOOKUP($D30,'1. Mesures'!$A$2:$P$116,9,0)</f>
        <v>0</v>
      </c>
      <c r="M30" s="12">
        <f>VLOOKUP($D30,'1. Mesures'!$A$2:$P$116,10,0)</f>
        <v>0</v>
      </c>
      <c r="N30" s="12" t="str">
        <f>VLOOKUP($D30,'1. Mesures'!$A$2:$P$116,13,0)</f>
        <v>BM</v>
      </c>
      <c r="O30" s="12">
        <f>VLOOKUP($D30,'1. Mesures'!$A$2:$P$116,11,0)</f>
        <v>0</v>
      </c>
      <c r="P30" s="12" t="s">
        <v>2715</v>
      </c>
      <c r="Q30" s="452" t="s">
        <v>155</v>
      </c>
      <c r="R30" s="12">
        <f>VLOOKUP($D30,'1. Mesures'!$A$2:$P$116,12,0)</f>
        <v>0</v>
      </c>
      <c r="S30" s="12" t="str">
        <f>VLOOKUP($D30,'1. Mesures'!$A$2:$P$116,14,0)</f>
        <v>21-Measures to prevent or control the input of pollution from urban areas, transport and built infrastructure.</v>
      </c>
      <c r="T30" s="12" t="str">
        <f>VLOOKUP($D30,'1. Mesures'!$A$2:$P$116,15,0)</f>
        <v>Nitrates</v>
      </c>
      <c r="U30" s="12" t="str">
        <f>VLOOKUP($D30,'1. Mesures'!$A$2:$P$116,16,0)</f>
        <v>GW</v>
      </c>
      <c r="V30" s="12" t="e">
        <f>VLOOKUP($D30,'1. Mesures'!$A$2:$P$116,17,0)</f>
        <v>#REF!</v>
      </c>
      <c r="W30" s="12" t="e">
        <f>VLOOKUP($D30,'1. Mesures'!$A$2:$P$116,18,0)</f>
        <v>#REF!</v>
      </c>
    </row>
    <row r="31" spans="1:23" ht="45" x14ac:dyDescent="0.25">
      <c r="A31" s="449" t="str">
        <f>VLOOKUP($D31,'1. Mesures'!$A$2:$P$116,5,0)</f>
        <v>OO 2.1.2</v>
      </c>
      <c r="B31" s="449">
        <f>VLOOKUP($D31,'1. Mesures'!$A$2:$P$116,6,0)</f>
        <v>0</v>
      </c>
      <c r="C31" s="449">
        <f>VLOOKUP($D31,'1. Mesures'!$A$2:$P$116,7,0)</f>
        <v>0</v>
      </c>
      <c r="D31" s="12" t="s">
        <v>39</v>
      </c>
      <c r="E31" s="451" t="str">
        <f>VLOOKUP(D31,'1. Mesures'!$A$2:$P$116,2,0)</f>
        <v>Contraindre le raccordement au réseau d’égouttage existant ou à l'installation d'un système d'épuration  individuelle performant dans les zones non égouttées et renforcer le contrôle de ces obligations</v>
      </c>
      <c r="F31" s="436"/>
      <c r="G31" s="436"/>
      <c r="H31" s="436"/>
      <c r="I31" s="12">
        <f>VLOOKUP($D31,'1. Mesures'!$A$2:$P$116,3,0)</f>
        <v>2</v>
      </c>
      <c r="J31" s="457" t="str">
        <f>IFERROR(VLOOKUP($D31,'1. Mesures'!$A$2:$P$116,4,0),"")</f>
        <v>OS 2.1</v>
      </c>
      <c r="K31" s="12">
        <f>VLOOKUP($D31,'1. Mesures'!$A$2:$P$116,8,0)</f>
        <v>0</v>
      </c>
      <c r="L31" s="12">
        <f>VLOOKUP($D31,'1. Mesures'!$A$2:$P$116,9,0)</f>
        <v>0</v>
      </c>
      <c r="M31" s="12">
        <f>VLOOKUP($D31,'1. Mesures'!$A$2:$P$116,10,0)</f>
        <v>0</v>
      </c>
      <c r="N31" s="12" t="str">
        <f>VLOOKUP($D31,'1. Mesures'!$A$2:$P$116,13,0)</f>
        <v>BM</v>
      </c>
      <c r="O31" s="12">
        <f>VLOOKUP($D31,'1. Mesures'!$A$2:$P$116,11,0)</f>
        <v>0</v>
      </c>
      <c r="P31" s="12" t="s">
        <v>2715</v>
      </c>
      <c r="Q31" s="452" t="s">
        <v>155</v>
      </c>
      <c r="R31" s="12" t="str">
        <f>VLOOKUP($D31,'1. Mesures'!$A$2:$P$116,12,0)</f>
        <v>A</v>
      </c>
      <c r="S31" s="12" t="str">
        <f>VLOOKUP($D31,'1. Mesures'!$A$2:$P$116,14,0)</f>
        <v>21-Measures to prevent or control the input of pollution from urban areas, transport and built infrastructure.</v>
      </c>
      <c r="T31" s="12" t="str">
        <f>VLOOKUP($D31,'1. Mesures'!$A$2:$P$116,15,0)</f>
        <v>Urban Waste Water Treatment</v>
      </c>
      <c r="U31" s="12" t="str">
        <f>VLOOKUP($D31,'1. Mesures'!$A$2:$P$116,16,0)</f>
        <v>GW</v>
      </c>
      <c r="V31" s="12" t="e">
        <f>VLOOKUP($D31,'1. Mesures'!$A$2:$P$116,17,0)</f>
        <v>#REF!</v>
      </c>
      <c r="W31" s="12" t="e">
        <f>VLOOKUP($D31,'1. Mesures'!$A$2:$P$116,18,0)</f>
        <v>#REF!</v>
      </c>
    </row>
    <row r="32" spans="1:23" ht="45" x14ac:dyDescent="0.25">
      <c r="A32" s="449" t="str">
        <f>VLOOKUP($D32,'1. Mesures'!$A$2:$P$116,5,0)</f>
        <v>OO 2.1.2</v>
      </c>
      <c r="B32" s="449">
        <f>VLOOKUP($D32,'1. Mesures'!$A$2:$P$116,6,0)</f>
        <v>0</v>
      </c>
      <c r="C32" s="449">
        <f>VLOOKUP($D32,'1. Mesures'!$A$2:$P$116,7,0)</f>
        <v>0</v>
      </c>
      <c r="D32" s="12" t="s">
        <v>40</v>
      </c>
      <c r="E32" s="451" t="str">
        <f>VLOOKUP(D32,'1. Mesures'!$A$2:$P$116,2,0)</f>
        <v xml:space="preserve">Approfondir l’analyse de la problématique des nitrates d’origine agricole et assimilés, mettre en œuvre les mesures d’atténuation nécessaires et sensibiliser à une bonne pratique agricole et maraichère </v>
      </c>
      <c r="F32" s="436"/>
      <c r="G32" s="436"/>
      <c r="H32" s="436"/>
      <c r="I32" s="12">
        <f>VLOOKUP($D32,'1. Mesures'!$A$2:$P$116,3,0)</f>
        <v>2</v>
      </c>
      <c r="J32" s="457" t="str">
        <f>IFERROR(VLOOKUP($D32,'1. Mesures'!$A$2:$P$116,4,0),"")</f>
        <v>OS 2.1</v>
      </c>
      <c r="K32" s="12">
        <f>VLOOKUP($D32,'1. Mesures'!$A$2:$P$116,8,0)</f>
        <v>0</v>
      </c>
      <c r="L32" s="12">
        <f>VLOOKUP($D32,'1. Mesures'!$A$2:$P$116,9,0)</f>
        <v>0</v>
      </c>
      <c r="M32" s="12">
        <f>VLOOKUP($D32,'1. Mesures'!$A$2:$P$116,10,0)</f>
        <v>0</v>
      </c>
      <c r="N32" s="12" t="str">
        <f>VLOOKUP($D32,'1. Mesures'!$A$2:$P$116,13,0)</f>
        <v>BM</v>
      </c>
      <c r="O32" s="12">
        <f>VLOOKUP($D32,'1. Mesures'!$A$2:$P$116,11,0)</f>
        <v>0</v>
      </c>
      <c r="P32" s="12" t="s">
        <v>2715</v>
      </c>
      <c r="Q32" s="452" t="s">
        <v>155</v>
      </c>
      <c r="R32" s="12" t="str">
        <f>VLOOKUP($D32,'1. Mesures'!$A$2:$P$116,12,0)</f>
        <v>A</v>
      </c>
      <c r="S32" s="12" t="str">
        <f>VLOOKUP($D32,'1. Mesures'!$A$2:$P$116,14,0)</f>
        <v>2-Reduce nutrient pollution from agriculture.</v>
      </c>
      <c r="T32" s="12" t="str">
        <f>VLOOKUP($D32,'1. Mesures'!$A$2:$P$116,15,0)</f>
        <v>Nitrates</v>
      </c>
      <c r="U32" s="12" t="str">
        <f>VLOOKUP($D32,'1. Mesures'!$A$2:$P$116,16,0)</f>
        <v>GW</v>
      </c>
      <c r="V32" s="12" t="e">
        <f>VLOOKUP($D32,'1. Mesures'!$A$2:$P$116,17,0)</f>
        <v>#REF!</v>
      </c>
      <c r="W32" s="12" t="e">
        <f>VLOOKUP($D32,'1. Mesures'!$A$2:$P$116,18,0)</f>
        <v>#REF!</v>
      </c>
    </row>
    <row r="33" spans="1:23" ht="30" x14ac:dyDescent="0.25">
      <c r="A33" s="449" t="str">
        <f>VLOOKUP($D33,'1. Mesures'!$A$2:$P$116,5,0)</f>
        <v>OO 2.1.3</v>
      </c>
      <c r="B33" s="449">
        <f>VLOOKUP($D33,'1. Mesures'!$A$2:$P$116,6,0)</f>
        <v>0</v>
      </c>
      <c r="C33" s="449">
        <f>VLOOKUP($D33,'1. Mesures'!$A$2:$P$116,7,0)</f>
        <v>0</v>
      </c>
      <c r="D33" s="12" t="s">
        <v>42</v>
      </c>
      <c r="E33" s="451" t="str">
        <f>VLOOKUP(D33,'1. Mesures'!$A$2:$P$116,2,0)</f>
        <v>Interdire les rejets directs de tetrachloroéthylène, prévenir et limiter ses rejets indirects et renforcer son contrôle dans la masse d’eau des sables du Bruxellien</v>
      </c>
      <c r="F33" s="436"/>
      <c r="G33" s="436"/>
      <c r="H33" s="436"/>
      <c r="I33" s="12">
        <f>VLOOKUP($D33,'1. Mesures'!$A$2:$P$116,3,0)</f>
        <v>2</v>
      </c>
      <c r="J33" s="457" t="str">
        <f>IFERROR(VLOOKUP($D33,'1. Mesures'!$A$2:$P$116,4,0),"")</f>
        <v>OS 2.1</v>
      </c>
      <c r="K33" s="12">
        <f>VLOOKUP($D33,'1. Mesures'!$A$2:$P$116,8,0)</f>
        <v>0</v>
      </c>
      <c r="L33" s="12">
        <f>VLOOKUP($D33,'1. Mesures'!$A$2:$P$116,9,0)</f>
        <v>0</v>
      </c>
      <c r="M33" s="12">
        <f>VLOOKUP($D33,'1. Mesures'!$A$2:$P$116,10,0)</f>
        <v>0</v>
      </c>
      <c r="N33" s="12" t="str">
        <f>VLOOKUP($D33,'1. Mesures'!$A$2:$P$116,13,0)</f>
        <v>BM</v>
      </c>
      <c r="O33" s="12">
        <f>VLOOKUP($D33,'1. Mesures'!$A$2:$P$116,11,0)</f>
        <v>0</v>
      </c>
      <c r="P33" s="12" t="s">
        <v>2715</v>
      </c>
      <c r="Q33" s="452" t="s">
        <v>155</v>
      </c>
      <c r="R33" s="12" t="str">
        <f>VLOOKUP($D33,'1. Mesures'!$A$2:$P$116,12,0)</f>
        <v>P</v>
      </c>
      <c r="S33" s="12" t="str">
        <f>VLOOKUP($D33,'1. Mesures'!$A$2:$P$116,14,0)</f>
        <v>21-Measures to prevent or control the input of pollution from urban areas, transport and built infrastructure.</v>
      </c>
      <c r="T33" s="12" t="str">
        <f>VLOOKUP($D33,'1. Mesures'!$A$2:$P$116,15,0)</f>
        <v>Direct groundwater pollutants</v>
      </c>
      <c r="U33" s="12" t="str">
        <f>VLOOKUP($D33,'1. Mesures'!$A$2:$P$116,16,0)</f>
        <v>GW</v>
      </c>
      <c r="V33" s="12" t="e">
        <f>VLOOKUP($D33,'1. Mesures'!$A$2:$P$116,17,0)</f>
        <v>#REF!</v>
      </c>
      <c r="W33" s="12" t="e">
        <f>VLOOKUP($D33,'1. Mesures'!$A$2:$P$116,18,0)</f>
        <v>#REF!</v>
      </c>
    </row>
    <row r="34" spans="1:23" ht="30" x14ac:dyDescent="0.25">
      <c r="A34" s="449" t="str">
        <f>VLOOKUP($D34,'1. Mesures'!$A$2:$P$116,5,0)</f>
        <v>OO 2.1.4</v>
      </c>
      <c r="B34" s="449">
        <f>VLOOKUP($D34,'1. Mesures'!$A$2:$P$116,6,0)</f>
        <v>0</v>
      </c>
      <c r="C34" s="449">
        <f>VLOOKUP($D34,'1. Mesures'!$A$2:$P$116,7,0)</f>
        <v>0</v>
      </c>
      <c r="D34" s="12" t="s">
        <v>43</v>
      </c>
      <c r="E34" s="451" t="str">
        <f>VLOOKUP(D34,'1. Mesures'!$A$2:$P$116,2,0)</f>
        <v xml:space="preserve">Interdire les rejets directs de polluants dans les masses d’eau souterraine notamment pour l'ammonium et renforcer les contrôles </v>
      </c>
      <c r="F34" s="436"/>
      <c r="G34" s="436"/>
      <c r="H34" s="436"/>
      <c r="I34" s="12">
        <f>VLOOKUP($D34,'1. Mesures'!$A$2:$P$116,3,0)</f>
        <v>2</v>
      </c>
      <c r="J34" s="457" t="str">
        <f>IFERROR(VLOOKUP($D34,'1. Mesures'!$A$2:$P$116,4,0),"")</f>
        <v>OS 2.1</v>
      </c>
      <c r="K34" s="12">
        <f>VLOOKUP($D34,'1. Mesures'!$A$2:$P$116,8,0)</f>
        <v>0</v>
      </c>
      <c r="L34" s="12">
        <f>VLOOKUP($D34,'1. Mesures'!$A$2:$P$116,9,0)</f>
        <v>0</v>
      </c>
      <c r="M34" s="12">
        <f>VLOOKUP($D34,'1. Mesures'!$A$2:$P$116,10,0)</f>
        <v>0</v>
      </c>
      <c r="N34" s="12" t="str">
        <f>VLOOKUP($D34,'1. Mesures'!$A$2:$P$116,13,0)</f>
        <v>BM</v>
      </c>
      <c r="O34" s="12">
        <f>VLOOKUP($D34,'1. Mesures'!$A$2:$P$116,11,0)</f>
        <v>0</v>
      </c>
      <c r="P34" s="12" t="s">
        <v>2715</v>
      </c>
      <c r="Q34" s="452" t="s">
        <v>155</v>
      </c>
      <c r="R34" s="12" t="str">
        <f>VLOOKUP($D34,'1. Mesures'!$A$2:$P$116,12,0)</f>
        <v>N</v>
      </c>
      <c r="S34" s="12" t="str">
        <f>VLOOKUP($D34,'1. Mesures'!$A$2:$P$116,14,0)</f>
        <v>21-Measures to prevent or control the input of pollution from urban areas, transport and built infrastructure.</v>
      </c>
      <c r="T34" s="12" t="str">
        <f>VLOOKUP($D34,'1. Mesures'!$A$2:$P$116,15,0)</f>
        <v>Direct groundwater pollutants</v>
      </c>
      <c r="U34" s="12" t="str">
        <f>VLOOKUP($D34,'1. Mesures'!$A$2:$P$116,16,0)</f>
        <v>GW</v>
      </c>
      <c r="V34" s="12" t="e">
        <f>VLOOKUP($D34,'1. Mesures'!$A$2:$P$116,17,0)</f>
        <v>#REF!</v>
      </c>
      <c r="W34" s="12" t="e">
        <f>VLOOKUP($D34,'1. Mesures'!$A$2:$P$116,18,0)</f>
        <v>#REF!</v>
      </c>
    </row>
    <row r="35" spans="1:23" x14ac:dyDescent="0.25">
      <c r="A35" s="449" t="str">
        <f>VLOOKUP($D35,'1. Mesures'!$A$2:$P$116,5,0)</f>
        <v>OO 2.1.4</v>
      </c>
      <c r="B35" s="449">
        <f>VLOOKUP($D35,'1. Mesures'!$A$2:$P$116,6,0)</f>
        <v>0</v>
      </c>
      <c r="C35" s="449">
        <f>VLOOKUP($D35,'1. Mesures'!$A$2:$P$116,7,0)</f>
        <v>0</v>
      </c>
      <c r="D35" s="12" t="s">
        <v>44</v>
      </c>
      <c r="E35" s="451" t="str">
        <f>VLOOKUP(D35,'1. Mesures'!$A$2:$P$116,2,0)</f>
        <v>Limiter l’impact des sols pollués sur les eaux souterraines</v>
      </c>
      <c r="F35" s="436"/>
      <c r="G35" s="436"/>
      <c r="H35" s="436"/>
      <c r="I35" s="12">
        <f>VLOOKUP($D35,'1. Mesures'!$A$2:$P$116,3,0)</f>
        <v>2</v>
      </c>
      <c r="J35" s="457" t="str">
        <f>IFERROR(VLOOKUP($D35,'1. Mesures'!$A$2:$P$116,4,0),"")</f>
        <v>OS 2.1</v>
      </c>
      <c r="K35" s="12">
        <f>VLOOKUP($D35,'1. Mesures'!$A$2:$P$116,8,0)</f>
        <v>0</v>
      </c>
      <c r="L35" s="12">
        <f>VLOOKUP($D35,'1. Mesures'!$A$2:$P$116,9,0)</f>
        <v>0</v>
      </c>
      <c r="M35" s="12">
        <f>VLOOKUP($D35,'1. Mesures'!$A$2:$P$116,10,0)</f>
        <v>0</v>
      </c>
      <c r="N35" s="12" t="str">
        <f>VLOOKUP($D35,'1. Mesures'!$A$2:$P$116,13,0)</f>
        <v>BM</v>
      </c>
      <c r="O35" s="12">
        <f>VLOOKUP($D35,'1. Mesures'!$A$2:$P$116,11,0)</f>
        <v>0</v>
      </c>
      <c r="P35" s="12" t="s">
        <v>2715</v>
      </c>
      <c r="Q35" s="452" t="s">
        <v>155</v>
      </c>
      <c r="R35" s="12">
        <f>VLOOKUP($D35,'1. Mesures'!$A$2:$P$116,12,0)</f>
        <v>0</v>
      </c>
      <c r="S35" s="12" t="str">
        <f>VLOOKUP($D35,'1. Mesures'!$A$2:$P$116,14,0)</f>
        <v>4-Remediation of contaminated sites (historical pollution including sediments, groundwater, soil).</v>
      </c>
      <c r="T35" s="12" t="str">
        <f>VLOOKUP($D35,'1. Mesures'!$A$2:$P$116,15,0)</f>
        <v>Diffuse pollutants</v>
      </c>
      <c r="U35" s="12" t="str">
        <f>VLOOKUP($D35,'1. Mesures'!$A$2:$P$116,16,0)</f>
        <v>GW</v>
      </c>
      <c r="V35" s="12" t="e">
        <f>VLOOKUP($D35,'1. Mesures'!$A$2:$P$116,17,0)</f>
        <v>#REF!</v>
      </c>
      <c r="W35" s="12" t="e">
        <f>VLOOKUP($D35,'1. Mesures'!$A$2:$P$116,18,0)</f>
        <v>#REF!</v>
      </c>
    </row>
    <row r="36" spans="1:23" x14ac:dyDescent="0.25">
      <c r="A36" s="449" t="str">
        <f>VLOOKUP($D36,'1. Mesures'!$A$2:$P$116,5,0)</f>
        <v>OO 2.1.4</v>
      </c>
      <c r="B36" s="449">
        <f>VLOOKUP($D36,'1. Mesures'!$A$2:$P$116,6,0)</f>
        <v>0</v>
      </c>
      <c r="C36" s="449">
        <f>VLOOKUP($D36,'1. Mesures'!$A$2:$P$116,7,0)</f>
        <v>0</v>
      </c>
      <c r="D36" s="12" t="s">
        <v>45</v>
      </c>
      <c r="E36" s="451" t="str">
        <f>VLOOKUP(D36,'1. Mesures'!$A$2:$P$116,2,0)</f>
        <v xml:space="preserve">Prévenir et gérer les pollutions accidentelles </v>
      </c>
      <c r="F36" s="436"/>
      <c r="G36" s="436"/>
      <c r="H36" s="436"/>
      <c r="I36" s="12">
        <f>VLOOKUP($D36,'1. Mesures'!$A$2:$P$116,3,0)</f>
        <v>2</v>
      </c>
      <c r="J36" s="457" t="str">
        <f>IFERROR(VLOOKUP($D36,'1. Mesures'!$A$2:$P$116,4,0),"")</f>
        <v>OS 2.1</v>
      </c>
      <c r="K36" s="12">
        <f>VLOOKUP($D36,'1. Mesures'!$A$2:$P$116,8,0)</f>
        <v>0</v>
      </c>
      <c r="L36" s="12">
        <f>VLOOKUP($D36,'1. Mesures'!$A$2:$P$116,9,0)</f>
        <v>0</v>
      </c>
      <c r="M36" s="12">
        <f>VLOOKUP($D36,'1. Mesures'!$A$2:$P$116,10,0)</f>
        <v>0</v>
      </c>
      <c r="N36" s="12" t="str">
        <f>VLOOKUP($D36,'1. Mesures'!$A$2:$P$116,13,0)</f>
        <v>BM</v>
      </c>
      <c r="O36" s="12">
        <f>VLOOKUP($D36,'1. Mesures'!$A$2:$P$116,11,0)</f>
        <v>0</v>
      </c>
      <c r="P36" s="12" t="s">
        <v>2715</v>
      </c>
      <c r="Q36" s="452" t="s">
        <v>155</v>
      </c>
      <c r="R36" s="12" t="str">
        <f>VLOOKUP($D36,'1. Mesures'!$A$2:$P$116,12,0)</f>
        <v>N</v>
      </c>
      <c r="S36" s="12" t="str">
        <f>VLOOKUP($D36,'1. Mesures'!$A$2:$P$116,14,0)</f>
        <v>21-Measures to prevent or control the input of pollution from urban areas, transport and built infrastructure.</v>
      </c>
      <c r="T36" s="12" t="str">
        <f>VLOOKUP($D36,'1. Mesures'!$A$2:$P$116,15,0)</f>
        <v>Accidental pollution</v>
      </c>
      <c r="U36" s="12" t="str">
        <f>VLOOKUP($D36,'1. Mesures'!$A$2:$P$116,16,0)</f>
        <v>GW</v>
      </c>
      <c r="V36" s="12" t="e">
        <f>VLOOKUP($D36,'1. Mesures'!$A$2:$P$116,17,0)</f>
        <v>#REF!</v>
      </c>
      <c r="W36" s="12" t="e">
        <f>VLOOKUP($D36,'1. Mesures'!$A$2:$P$116,18,0)</f>
        <v>#REF!</v>
      </c>
    </row>
    <row r="37" spans="1:23" x14ac:dyDescent="0.25">
      <c r="A37" s="449" t="str">
        <f>VLOOKUP($D37,'1. Mesures'!$A$2:$P$116,5,0)</f>
        <v>OO 2.2.1</v>
      </c>
      <c r="B37" s="449">
        <f>VLOOKUP($D37,'1. Mesures'!$A$2:$P$116,6,0)</f>
        <v>0</v>
      </c>
      <c r="C37" s="449">
        <f>VLOOKUP($D37,'1. Mesures'!$A$2:$P$116,7,0)</f>
        <v>0</v>
      </c>
      <c r="D37" s="12" t="s">
        <v>46</v>
      </c>
      <c r="E37" s="451" t="str">
        <f>VLOOKUP(D37,'1. Mesures'!$A$2:$P$116,2,0)</f>
        <v>Poursuivre et améliorer la surveillance quantitative pour caractériser l'état des masses d'eau</v>
      </c>
      <c r="F37" s="436"/>
      <c r="G37" s="436"/>
      <c r="H37" s="436"/>
      <c r="I37" s="12">
        <f>VLOOKUP($D37,'1. Mesures'!$A$2:$P$116,3,0)</f>
        <v>2</v>
      </c>
      <c r="J37" s="457" t="str">
        <f>IFERROR(VLOOKUP($D37,'1. Mesures'!$A$2:$P$116,4,0),"")</f>
        <v>OS 2.2</v>
      </c>
      <c r="K37" s="12">
        <f>VLOOKUP($D37,'1. Mesures'!$A$2:$P$116,8,0)</f>
        <v>0</v>
      </c>
      <c r="L37" s="12">
        <f>VLOOKUP($D37,'1. Mesures'!$A$2:$P$116,9,0)</f>
        <v>0</v>
      </c>
      <c r="M37" s="12">
        <f>VLOOKUP($D37,'1. Mesures'!$A$2:$P$116,10,0)</f>
        <v>0</v>
      </c>
      <c r="N37" s="12" t="str">
        <f>VLOOKUP($D37,'1. Mesures'!$A$2:$P$116,13,0)</f>
        <v>BM</v>
      </c>
      <c r="O37" s="12">
        <f>VLOOKUP($D37,'1. Mesures'!$A$2:$P$116,11,0)</f>
        <v>0</v>
      </c>
      <c r="P37" s="12" t="s">
        <v>2715</v>
      </c>
      <c r="Q37" s="452" t="s">
        <v>155</v>
      </c>
      <c r="R37" s="12" t="str">
        <f>VLOOKUP($D37,'1. Mesures'!$A$2:$P$116,12,0)</f>
        <v>A</v>
      </c>
      <c r="S37" s="12" t="str">
        <f>VLOOKUP($D37,'1. Mesures'!$A$2:$P$116,14,0)</f>
        <v>14-Research, improvement of knowledge base reducing uncertainty.</v>
      </c>
      <c r="T37" s="12" t="str">
        <f>VLOOKUP($D37,'1. Mesures'!$A$2:$P$116,15,0)</f>
        <v>Other</v>
      </c>
      <c r="U37" s="12" t="str">
        <f>VLOOKUP($D37,'1. Mesures'!$A$2:$P$116,16,0)</f>
        <v>GW</v>
      </c>
      <c r="V37" s="12" t="e">
        <f>VLOOKUP($D37,'1. Mesures'!$A$2:$P$116,17,0)</f>
        <v>#REF!</v>
      </c>
      <c r="W37" s="12" t="e">
        <f>VLOOKUP($D37,'1. Mesures'!$A$2:$P$116,18,0)</f>
        <v>#REF!</v>
      </c>
    </row>
    <row r="38" spans="1:23" x14ac:dyDescent="0.25">
      <c r="A38" s="449" t="str">
        <f>VLOOKUP($D38,'1. Mesures'!$A$2:$P$116,5,0)</f>
        <v>OO 2.2.1</v>
      </c>
      <c r="B38" s="449">
        <f>VLOOKUP($D38,'1. Mesures'!$A$2:$P$116,6,0)</f>
        <v>0</v>
      </c>
      <c r="C38" s="449">
        <f>VLOOKUP($D38,'1. Mesures'!$A$2:$P$116,7,0)</f>
        <v>0</v>
      </c>
      <c r="D38" s="12" t="s">
        <v>47</v>
      </c>
      <c r="E38" s="451" t="str">
        <f>VLOOKUP(D38,'1. Mesures'!$A$2:$P$116,2,0)</f>
        <v>Modéliser la géologie et l'hydrogéologie du sous-sol bruxellois</v>
      </c>
      <c r="F38" s="436"/>
      <c r="G38" s="436"/>
      <c r="H38" s="436"/>
      <c r="I38" s="12">
        <f>VLOOKUP($D38,'1. Mesures'!$A$2:$P$116,3,0)</f>
        <v>2</v>
      </c>
      <c r="J38" s="457" t="str">
        <f>IFERROR(VLOOKUP($D38,'1. Mesures'!$A$2:$P$116,4,0),"")</f>
        <v>OS 2.2</v>
      </c>
      <c r="K38" s="12">
        <f>VLOOKUP($D38,'1. Mesures'!$A$2:$P$116,8,0)</f>
        <v>0</v>
      </c>
      <c r="L38" s="12">
        <f>VLOOKUP($D38,'1. Mesures'!$A$2:$P$116,9,0)</f>
        <v>0</v>
      </c>
      <c r="M38" s="12">
        <f>VLOOKUP($D38,'1. Mesures'!$A$2:$P$116,10,0)</f>
        <v>0</v>
      </c>
      <c r="N38" s="12" t="str">
        <f>VLOOKUP($D38,'1. Mesures'!$A$2:$P$116,13,0)</f>
        <v>BM</v>
      </c>
      <c r="O38" s="12">
        <f>VLOOKUP($D38,'1. Mesures'!$A$2:$P$116,11,0)</f>
        <v>0</v>
      </c>
      <c r="P38" s="12" t="s">
        <v>2715</v>
      </c>
      <c r="Q38" s="452" t="s">
        <v>155</v>
      </c>
      <c r="R38" s="12" t="str">
        <f>VLOOKUP($D38,'1. Mesures'!$A$2:$P$116,12,0)</f>
        <v>A</v>
      </c>
      <c r="S38" s="12">
        <f>VLOOKUP($D38,'1. Mesures'!$A$2:$P$116,14,0)</f>
        <v>0</v>
      </c>
      <c r="T38" s="12" t="str">
        <f>VLOOKUP($D38,'1. Mesures'!$A$2:$P$116,15,0)</f>
        <v>Other</v>
      </c>
      <c r="U38" s="12" t="str">
        <f>VLOOKUP($D38,'1. Mesures'!$A$2:$P$116,16,0)</f>
        <v>GW</v>
      </c>
      <c r="V38" s="12" t="e">
        <f>VLOOKUP($D38,'1. Mesures'!$A$2:$P$116,17,0)</f>
        <v>#REF!</v>
      </c>
      <c r="W38" s="12" t="e">
        <f>VLOOKUP($D38,'1. Mesures'!$A$2:$P$116,18,0)</f>
        <v>#REF!</v>
      </c>
    </row>
    <row r="39" spans="1:23" x14ac:dyDescent="0.25">
      <c r="A39" s="449" t="str">
        <f>VLOOKUP($D39,'1. Mesures'!$A$2:$P$116,5,0)</f>
        <v>OO 2.2.1</v>
      </c>
      <c r="B39" s="449">
        <f>VLOOKUP($D39,'1. Mesures'!$A$2:$P$116,6,0)</f>
        <v>0</v>
      </c>
      <c r="C39" s="449">
        <f>VLOOKUP($D39,'1. Mesures'!$A$2:$P$116,7,0)</f>
        <v>0</v>
      </c>
      <c r="D39" s="12" t="s">
        <v>48</v>
      </c>
      <c r="E39" s="451" t="str">
        <f>VLOOKUP(D39,'1. Mesures'!$A$2:$P$116,2,0)</f>
        <v>Développer une stratégie de gestion des captages d’eau souterraine</v>
      </c>
      <c r="F39" s="436"/>
      <c r="G39" s="436"/>
      <c r="H39" s="436"/>
      <c r="I39" s="12">
        <f>VLOOKUP($D39,'1. Mesures'!$A$2:$P$116,3,0)</f>
        <v>2</v>
      </c>
      <c r="J39" s="457" t="str">
        <f>IFERROR(VLOOKUP($D39,'1. Mesures'!$A$2:$P$116,4,0),"")</f>
        <v>OS 2.2</v>
      </c>
      <c r="K39" s="12">
        <f>VLOOKUP($D39,'1. Mesures'!$A$2:$P$116,8,0)</f>
        <v>0</v>
      </c>
      <c r="L39" s="12">
        <f>VLOOKUP($D39,'1. Mesures'!$A$2:$P$116,9,0)</f>
        <v>0</v>
      </c>
      <c r="M39" s="12">
        <f>VLOOKUP($D39,'1. Mesures'!$A$2:$P$116,10,0)</f>
        <v>0</v>
      </c>
      <c r="N39" s="12" t="str">
        <f>VLOOKUP($D39,'1. Mesures'!$A$2:$P$116,13,0)</f>
        <v>BM</v>
      </c>
      <c r="O39" s="12">
        <f>VLOOKUP($D39,'1. Mesures'!$A$2:$P$116,11,0)</f>
        <v>0</v>
      </c>
      <c r="P39" s="12" t="s">
        <v>2715</v>
      </c>
      <c r="Q39" s="452" t="s">
        <v>155</v>
      </c>
      <c r="R39" s="12" t="str">
        <f>VLOOKUP($D39,'1. Mesures'!$A$2:$P$116,12,0)</f>
        <v>A</v>
      </c>
      <c r="S39" s="12">
        <f>VLOOKUP($D39,'1. Mesures'!$A$2:$P$116,14,0)</f>
        <v>0</v>
      </c>
      <c r="T39" s="12" t="str">
        <f>VLOOKUP($D39,'1. Mesures'!$A$2:$P$116,15,0)</f>
        <v>Protection water abstraction</v>
      </c>
      <c r="U39" s="12" t="str">
        <f>VLOOKUP($D39,'1. Mesures'!$A$2:$P$116,16,0)</f>
        <v>GW</v>
      </c>
      <c r="V39" s="12" t="e">
        <f>VLOOKUP($D39,'1. Mesures'!$A$2:$P$116,17,0)</f>
        <v>#REF!</v>
      </c>
      <c r="W39" s="12" t="e">
        <f>VLOOKUP($D39,'1. Mesures'!$A$2:$P$116,18,0)</f>
        <v>#REF!</v>
      </c>
    </row>
    <row r="40" spans="1:23" x14ac:dyDescent="0.25">
      <c r="A40" s="449" t="str">
        <f>VLOOKUP($D40,'1. Mesures'!$A$2:$P$116,5,0)</f>
        <v>OO 2.2.1</v>
      </c>
      <c r="B40" s="449">
        <f>VLOOKUP($D40,'1. Mesures'!$A$2:$P$116,6,0)</f>
        <v>0</v>
      </c>
      <c r="C40" s="449" t="str">
        <f>VLOOKUP($D40,'1. Mesures'!$A$2:$P$116,7,0)</f>
        <v>X</v>
      </c>
      <c r="D40" s="12" t="s">
        <v>49</v>
      </c>
      <c r="E40" s="451" t="str">
        <f>VLOOKUP(D40,'1. Mesures'!$A$2:$P$116,2,0)</f>
        <v>Gérer les autorisations de captages et en assurer les contrôles</v>
      </c>
      <c r="F40" s="436"/>
      <c r="G40" s="436"/>
      <c r="H40" s="436"/>
      <c r="I40" s="12">
        <f>VLOOKUP($D40,'1. Mesures'!$A$2:$P$116,3,0)</f>
        <v>2</v>
      </c>
      <c r="J40" s="457" t="str">
        <f>IFERROR(VLOOKUP($D40,'1. Mesures'!$A$2:$P$116,4,0),"")</f>
        <v>OS 2.2</v>
      </c>
      <c r="K40" s="12">
        <f>VLOOKUP($D40,'1. Mesures'!$A$2:$P$116,8,0)</f>
        <v>0</v>
      </c>
      <c r="L40" s="12">
        <f>VLOOKUP($D40,'1. Mesures'!$A$2:$P$116,9,0)</f>
        <v>0</v>
      </c>
      <c r="M40" s="12">
        <f>VLOOKUP($D40,'1. Mesures'!$A$2:$P$116,10,0)</f>
        <v>0</v>
      </c>
      <c r="N40" s="12" t="str">
        <f>VLOOKUP($D40,'1. Mesures'!$A$2:$P$116,13,0)</f>
        <v>BM</v>
      </c>
      <c r="O40" s="12">
        <f>VLOOKUP($D40,'1. Mesures'!$A$2:$P$116,11,0)</f>
        <v>0</v>
      </c>
      <c r="P40" s="12" t="s">
        <v>2715</v>
      </c>
      <c r="Q40" s="452" t="s">
        <v>155</v>
      </c>
      <c r="R40" s="12" t="str">
        <f>VLOOKUP($D40,'1. Mesures'!$A$2:$P$116,12,0)</f>
        <v>A</v>
      </c>
      <c r="S40" s="12">
        <f>VLOOKUP($D40,'1. Mesures'!$A$2:$P$116,14,0)</f>
        <v>0</v>
      </c>
      <c r="T40" s="12" t="str">
        <f>VLOOKUP($D40,'1. Mesures'!$A$2:$P$116,15,0)</f>
        <v>Protection water abstraction</v>
      </c>
      <c r="U40" s="12" t="str">
        <f>VLOOKUP($D40,'1. Mesures'!$A$2:$P$116,16,0)</f>
        <v>GW</v>
      </c>
      <c r="V40" s="12" t="e">
        <f>VLOOKUP($D40,'1. Mesures'!$A$2:$P$116,17,0)</f>
        <v>#REF!</v>
      </c>
      <c r="W40" s="12" t="e">
        <f>VLOOKUP($D40,'1. Mesures'!$A$2:$P$116,18,0)</f>
        <v>#REF!</v>
      </c>
    </row>
    <row r="41" spans="1:23" ht="30" x14ac:dyDescent="0.25">
      <c r="A41" s="449" t="str">
        <f>VLOOKUP($D41,'1. Mesures'!$A$2:$P$116,5,0)</f>
        <v>OO 2.2.2</v>
      </c>
      <c r="B41" s="449">
        <f>VLOOKUP($D41,'1. Mesures'!$A$2:$P$116,6,0)</f>
        <v>0</v>
      </c>
      <c r="C41" s="449">
        <f>VLOOKUP($D41,'1. Mesures'!$A$2:$P$116,7,0)</f>
        <v>0</v>
      </c>
      <c r="D41" s="12" t="s">
        <v>50</v>
      </c>
      <c r="E41" s="451" t="str">
        <f>VLOOKUP(D41,'1. Mesures'!$A$2:$P$116,2,0)</f>
        <v>Veiller au drainage des nappes à l'occasion des travaux de rénovation du réseau d'assainissement public</v>
      </c>
      <c r="F41" s="436"/>
      <c r="G41" s="436"/>
      <c r="H41" s="436"/>
      <c r="I41" s="12">
        <f>VLOOKUP($D41,'1. Mesures'!$A$2:$P$116,3,0)</f>
        <v>2</v>
      </c>
      <c r="J41" s="457" t="str">
        <f>IFERROR(VLOOKUP($D41,'1. Mesures'!$A$2:$P$116,4,0),"")</f>
        <v>OS 2.2</v>
      </c>
      <c r="K41" s="12">
        <f>VLOOKUP($D41,'1. Mesures'!$A$2:$P$116,8,0)</f>
        <v>0</v>
      </c>
      <c r="L41" s="12">
        <f>VLOOKUP($D41,'1. Mesures'!$A$2:$P$116,9,0)</f>
        <v>0</v>
      </c>
      <c r="M41" s="12">
        <f>VLOOKUP($D41,'1. Mesures'!$A$2:$P$116,10,0)</f>
        <v>0</v>
      </c>
      <c r="N41" s="12" t="str">
        <f>VLOOKUP($D41,'1. Mesures'!$A$2:$P$116,13,0)</f>
        <v>BM</v>
      </c>
      <c r="O41" s="12">
        <f>VLOOKUP($D41,'1. Mesures'!$A$2:$P$116,11,0)</f>
        <v>0</v>
      </c>
      <c r="P41" s="12" t="s">
        <v>2715</v>
      </c>
      <c r="Q41" s="452" t="s">
        <v>155</v>
      </c>
      <c r="R41" s="12">
        <f>VLOOKUP($D41,'1. Mesures'!$A$2:$P$116,12,0)</f>
        <v>0</v>
      </c>
      <c r="S41" s="12">
        <f>VLOOKUP($D41,'1. Mesures'!$A$2:$P$116,14,0)</f>
        <v>0</v>
      </c>
      <c r="T41" s="12" t="str">
        <f>VLOOKUP($D41,'1. Mesures'!$A$2:$P$116,15,0)</f>
        <v>Other</v>
      </c>
      <c r="U41" s="12" t="str">
        <f>VLOOKUP($D41,'1. Mesures'!$A$2:$P$116,16,0)</f>
        <v>GW</v>
      </c>
      <c r="V41" s="12" t="e">
        <f>VLOOKUP($D41,'1. Mesures'!$A$2:$P$116,17,0)</f>
        <v>#REF!</v>
      </c>
      <c r="W41" s="12" t="e">
        <f>VLOOKUP($D41,'1. Mesures'!$A$2:$P$116,18,0)</f>
        <v>#REF!</v>
      </c>
    </row>
    <row r="42" spans="1:23" x14ac:dyDescent="0.25">
      <c r="A42" s="449" t="str">
        <f>VLOOKUP($D42,'1. Mesures'!$A$2:$P$116,5,0)</f>
        <v>OO 2.2.2</v>
      </c>
      <c r="B42" s="449">
        <f>VLOOKUP($D42,'1. Mesures'!$A$2:$P$116,6,0)</f>
        <v>0</v>
      </c>
      <c r="C42" s="449">
        <f>VLOOKUP($D42,'1. Mesures'!$A$2:$P$116,7,0)</f>
        <v>0</v>
      </c>
      <c r="D42" s="12" t="s">
        <v>51</v>
      </c>
      <c r="E42" s="451" t="str">
        <f>VLOOKUP(D42,'1. Mesures'!$A$2:$P$116,2,0)</f>
        <v>Minimiser l'impact des infrastructures souterraines sur l'écoulement des nappes phréatiques</v>
      </c>
      <c r="F42" s="436"/>
      <c r="G42" s="436"/>
      <c r="H42" s="436"/>
      <c r="I42" s="12">
        <f>VLOOKUP($D42,'1. Mesures'!$A$2:$P$116,3,0)</f>
        <v>2</v>
      </c>
      <c r="J42" s="457" t="str">
        <f>IFERROR(VLOOKUP($D42,'1. Mesures'!$A$2:$P$116,4,0),"")</f>
        <v>OS 2.2</v>
      </c>
      <c r="K42" s="12">
        <f>VLOOKUP($D42,'1. Mesures'!$A$2:$P$116,8,0)</f>
        <v>0</v>
      </c>
      <c r="L42" s="12">
        <f>VLOOKUP($D42,'1. Mesures'!$A$2:$P$116,9,0)</f>
        <v>0</v>
      </c>
      <c r="M42" s="12">
        <f>VLOOKUP($D42,'1. Mesures'!$A$2:$P$116,10,0)</f>
        <v>0</v>
      </c>
      <c r="N42" s="12" t="str">
        <f>VLOOKUP($D42,'1. Mesures'!$A$2:$P$116,13,0)</f>
        <v>BM</v>
      </c>
      <c r="O42" s="12">
        <f>VLOOKUP($D42,'1. Mesures'!$A$2:$P$116,11,0)</f>
        <v>0</v>
      </c>
      <c r="P42" s="12" t="s">
        <v>2715</v>
      </c>
      <c r="Q42" s="452" t="s">
        <v>155</v>
      </c>
      <c r="R42" s="12" t="str">
        <f>VLOOKUP($D42,'1. Mesures'!$A$2:$P$116,12,0)</f>
        <v>A</v>
      </c>
      <c r="S42" s="12">
        <f>VLOOKUP($D42,'1. Mesures'!$A$2:$P$116,14,0)</f>
        <v>0</v>
      </c>
      <c r="T42" s="12" t="str">
        <f>VLOOKUP($D42,'1. Mesures'!$A$2:$P$116,15,0)</f>
        <v>Other</v>
      </c>
      <c r="U42" s="12" t="str">
        <f>VLOOKUP($D42,'1. Mesures'!$A$2:$P$116,16,0)</f>
        <v>GW</v>
      </c>
      <c r="V42" s="12" t="e">
        <f>VLOOKUP($D42,'1. Mesures'!$A$2:$P$116,17,0)</f>
        <v>#REF!</v>
      </c>
      <c r="W42" s="12" t="e">
        <f>VLOOKUP($D42,'1. Mesures'!$A$2:$P$116,18,0)</f>
        <v>#REF!</v>
      </c>
    </row>
    <row r="43" spans="1:23" ht="30" x14ac:dyDescent="0.25">
      <c r="A43" s="449" t="str">
        <f>VLOOKUP($D43,'1. Mesures'!$A$2:$P$116,5,0)</f>
        <v>OO 3.1.1</v>
      </c>
      <c r="B43" s="449">
        <f>VLOOKUP($D43,'1. Mesures'!$A$2:$P$116,6,0)</f>
        <v>0</v>
      </c>
      <c r="C43" s="449">
        <f>VLOOKUP($D43,'1. Mesures'!$A$2:$P$116,7,0)</f>
        <v>0</v>
      </c>
      <c r="D43" s="12" t="s">
        <v>61</v>
      </c>
      <c r="E43" s="451" t="str">
        <f>VLOOKUP(D43,'1. Mesures'!$A$2:$P$116,2,0)</f>
        <v>Assurer la surveillance qualitative et quantitative des zones de protection de captage et identifier leurs sources potentielles de pollution</v>
      </c>
      <c r="F43" s="436"/>
      <c r="G43" s="436"/>
      <c r="H43" s="436"/>
      <c r="I43" s="12">
        <f>VLOOKUP($D43,'1. Mesures'!$A$2:$P$116,3,0)</f>
        <v>3</v>
      </c>
      <c r="J43" s="457" t="str">
        <f>IFERROR(VLOOKUP($D43,'1. Mesures'!$A$2:$P$116,4,0),"")</f>
        <v>OS 3.1</v>
      </c>
      <c r="K43" s="12">
        <f>VLOOKUP($D43,'1. Mesures'!$A$2:$P$116,8,0)</f>
        <v>0</v>
      </c>
      <c r="L43" s="12">
        <f>VLOOKUP($D43,'1. Mesures'!$A$2:$P$116,9,0)</f>
        <v>0</v>
      </c>
      <c r="M43" s="12">
        <f>VLOOKUP($D43,'1. Mesures'!$A$2:$P$116,10,0)</f>
        <v>0</v>
      </c>
      <c r="N43" s="12" t="str">
        <f>VLOOKUP($D43,'1. Mesures'!$A$2:$P$116,13,0)</f>
        <v>BM</v>
      </c>
      <c r="O43" s="12">
        <f>VLOOKUP($D43,'1. Mesures'!$A$2:$P$116,11,0)</f>
        <v>0</v>
      </c>
      <c r="P43" s="12" t="s">
        <v>2715</v>
      </c>
      <c r="Q43" s="452" t="s">
        <v>155</v>
      </c>
      <c r="R43" s="12" t="str">
        <f>VLOOKUP($D43,'1. Mesures'!$A$2:$P$116,12,0)</f>
        <v>A</v>
      </c>
      <c r="S43" s="12" t="str">
        <f>VLOOKUP($D43,'1. Mesures'!$A$2:$P$116,14,0)</f>
        <v>13-Drinking water protection measures (e.g. establishment of safeguard zones, buffer zones etc).</v>
      </c>
      <c r="T43" s="12" t="str">
        <f>VLOOKUP($D43,'1. Mesures'!$A$2:$P$116,15,0)</f>
        <v>Protection water abstraction</v>
      </c>
      <c r="U43" s="12" t="str">
        <f>VLOOKUP($D43,'1. Mesures'!$A$2:$P$116,16,0)</f>
        <v>GW</v>
      </c>
      <c r="V43" s="12" t="e">
        <f>VLOOKUP($D43,'1. Mesures'!$A$2:$P$116,17,0)</f>
        <v>#REF!</v>
      </c>
      <c r="W43" s="12" t="e">
        <f>VLOOKUP($D43,'1. Mesures'!$A$2:$P$116,18,0)</f>
        <v>#REF!</v>
      </c>
    </row>
    <row r="44" spans="1:23" x14ac:dyDescent="0.25">
      <c r="A44" s="449" t="str">
        <f>VLOOKUP($D44,'1. Mesures'!$A$2:$P$116,5,0)</f>
        <v>OO 3.1.1</v>
      </c>
      <c r="B44" s="449">
        <f>VLOOKUP($D44,'1. Mesures'!$A$2:$P$116,6,0)</f>
        <v>0</v>
      </c>
      <c r="C44" s="449">
        <f>VLOOKUP($D44,'1. Mesures'!$A$2:$P$116,7,0)</f>
        <v>0</v>
      </c>
      <c r="D44" s="12" t="s">
        <v>62</v>
      </c>
      <c r="E44" s="451" t="str">
        <f>VLOOKUP(D44,'1. Mesures'!$A$2:$P$116,2,0)</f>
        <v xml:space="preserve">Elaborer et mettre en œuvre un programme spécifique de protection des captages </v>
      </c>
      <c r="F44" s="436"/>
      <c r="G44" s="436"/>
      <c r="H44" s="436"/>
      <c r="I44" s="12">
        <f>VLOOKUP($D44,'1. Mesures'!$A$2:$P$116,3,0)</f>
        <v>3</v>
      </c>
      <c r="J44" s="457" t="str">
        <f>IFERROR(VLOOKUP($D44,'1. Mesures'!$A$2:$P$116,4,0),"")</f>
        <v>OS 3.1</v>
      </c>
      <c r="K44" s="12">
        <f>VLOOKUP($D44,'1. Mesures'!$A$2:$P$116,8,0)</f>
        <v>0</v>
      </c>
      <c r="L44" s="12">
        <f>VLOOKUP($D44,'1. Mesures'!$A$2:$P$116,9,0)</f>
        <v>0</v>
      </c>
      <c r="M44" s="12">
        <f>VLOOKUP($D44,'1. Mesures'!$A$2:$P$116,10,0)</f>
        <v>0</v>
      </c>
      <c r="N44" s="12" t="str">
        <f>VLOOKUP($D44,'1. Mesures'!$A$2:$P$116,13,0)</f>
        <v>BM</v>
      </c>
      <c r="O44" s="12">
        <f>VLOOKUP($D44,'1. Mesures'!$A$2:$P$116,11,0)</f>
        <v>0</v>
      </c>
      <c r="P44" s="12" t="s">
        <v>2715</v>
      </c>
      <c r="Q44" s="452" t="s">
        <v>155</v>
      </c>
      <c r="R44" s="12" t="str">
        <f>VLOOKUP($D44,'1. Mesures'!$A$2:$P$116,12,0)</f>
        <v>A</v>
      </c>
      <c r="S44" s="12" t="str">
        <f>VLOOKUP($D44,'1. Mesures'!$A$2:$P$116,14,0)</f>
        <v>13-Drinking water protection measures (e.g. establishment of safeguard zones, buffer zones etc).</v>
      </c>
      <c r="T44" s="12" t="str">
        <f>VLOOKUP($D44,'1. Mesures'!$A$2:$P$116,15,0)</f>
        <v>Protection water abstraction</v>
      </c>
      <c r="U44" s="12" t="str">
        <f>VLOOKUP($D44,'1. Mesures'!$A$2:$P$116,16,0)</f>
        <v>GW</v>
      </c>
      <c r="V44" s="12" t="e">
        <f>VLOOKUP($D44,'1. Mesures'!$A$2:$P$116,17,0)</f>
        <v>#REF!</v>
      </c>
      <c r="W44" s="12" t="e">
        <f>VLOOKUP($D44,'1. Mesures'!$A$2:$P$116,18,0)</f>
        <v>#REF!</v>
      </c>
    </row>
    <row r="45" spans="1:23" ht="30" x14ac:dyDescent="0.25">
      <c r="A45" s="449" t="str">
        <f>VLOOKUP($D45,'1. Mesures'!$A$2:$P$116,5,0)</f>
        <v>OO 3.1.2</v>
      </c>
      <c r="B45" s="449">
        <f>VLOOKUP($D45,'1. Mesures'!$A$2:$P$116,6,0)</f>
        <v>0</v>
      </c>
      <c r="C45" s="449">
        <f>VLOOKUP($D45,'1. Mesures'!$A$2:$P$116,7,0)</f>
        <v>0</v>
      </c>
      <c r="D45" s="12" t="s">
        <v>63</v>
      </c>
      <c r="E45" s="451" t="str">
        <f>VLOOKUP(D45,'1. Mesures'!$A$2:$P$116,2,0)</f>
        <v>Identifier les sources et causes de pollution par les nitrates dans la zone vulnérable aux nitrates d’origine agricole et prendre des mesures ciblées afin de les éliminer</v>
      </c>
      <c r="F45" s="436"/>
      <c r="G45" s="436"/>
      <c r="H45" s="436"/>
      <c r="I45" s="12">
        <f>VLOOKUP($D45,'1. Mesures'!$A$2:$P$116,3,0)</f>
        <v>3</v>
      </c>
      <c r="J45" s="457" t="str">
        <f>IFERROR(VLOOKUP($D45,'1. Mesures'!$A$2:$P$116,4,0),"")</f>
        <v>OS 3.1</v>
      </c>
      <c r="K45" s="12">
        <f>VLOOKUP($D45,'1. Mesures'!$A$2:$P$116,8,0)</f>
        <v>0</v>
      </c>
      <c r="L45" s="12">
        <f>VLOOKUP($D45,'1. Mesures'!$A$2:$P$116,9,0)</f>
        <v>0</v>
      </c>
      <c r="M45" s="12">
        <f>VLOOKUP($D45,'1. Mesures'!$A$2:$P$116,10,0)</f>
        <v>0</v>
      </c>
      <c r="N45" s="12" t="str">
        <f>VLOOKUP($D45,'1. Mesures'!$A$2:$P$116,13,0)</f>
        <v>BM</v>
      </c>
      <c r="O45" s="12">
        <f>VLOOKUP($D45,'1. Mesures'!$A$2:$P$116,11,0)</f>
        <v>0</v>
      </c>
      <c r="P45" s="12" t="s">
        <v>2715</v>
      </c>
      <c r="Q45" s="452" t="s">
        <v>155</v>
      </c>
      <c r="R45" s="12" t="str">
        <f>VLOOKUP($D45,'1. Mesures'!$A$2:$P$116,12,0)</f>
        <v>P</v>
      </c>
      <c r="S45" s="12" t="str">
        <f>VLOOKUP($D45,'1. Mesures'!$A$2:$P$116,14,0)</f>
        <v>2-Reduce nutrient pollution from agriculture.</v>
      </c>
      <c r="T45" s="12" t="str">
        <f>VLOOKUP($D45,'1. Mesures'!$A$2:$P$116,15,0)</f>
        <v>Nitrates</v>
      </c>
      <c r="U45" s="12" t="str">
        <f>VLOOKUP($D45,'1. Mesures'!$A$2:$P$116,16,0)</f>
        <v>GW</v>
      </c>
      <c r="V45" s="12" t="e">
        <f>VLOOKUP($D45,'1. Mesures'!$A$2:$P$116,17,0)</f>
        <v>#REF!</v>
      </c>
      <c r="W45" s="12" t="e">
        <f>VLOOKUP($D45,'1. Mesures'!$A$2:$P$116,18,0)</f>
        <v>#REF!</v>
      </c>
    </row>
    <row r="46" spans="1:23" ht="60" x14ac:dyDescent="0.25">
      <c r="A46" s="449" t="str">
        <f>VLOOKUP($D46,'1. Mesures'!$A$2:$P$116,5,0)</f>
        <v>OO 3.1.3</v>
      </c>
      <c r="B46" s="449">
        <f>VLOOKUP($D46,'1. Mesures'!$A$2:$P$116,6,0)</f>
        <v>0</v>
      </c>
      <c r="C46" s="449">
        <f>VLOOKUP($D46,'1. Mesures'!$A$2:$P$116,7,0)</f>
        <v>0</v>
      </c>
      <c r="D46" s="12" t="s">
        <v>64</v>
      </c>
      <c r="E46" s="451" t="str">
        <f>VLOOKUP(D46,'1. Mesures'!$A$2:$P$116,2,0)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F46" s="436"/>
      <c r="G46" s="436"/>
      <c r="H46" s="436"/>
      <c r="I46" s="12">
        <f>VLOOKUP($D46,'1. Mesures'!$A$2:$P$116,3,0)</f>
        <v>3</v>
      </c>
      <c r="J46" s="457" t="str">
        <f>IFERROR(VLOOKUP($D46,'1. Mesures'!$A$2:$P$116,4,0),"")</f>
        <v>OS 3.1</v>
      </c>
      <c r="K46" s="12">
        <f>VLOOKUP($D46,'1. Mesures'!$A$2:$P$116,8,0)</f>
        <v>0</v>
      </c>
      <c r="L46" s="12">
        <f>VLOOKUP($D46,'1. Mesures'!$A$2:$P$116,9,0)</f>
        <v>0</v>
      </c>
      <c r="M46" s="12">
        <f>VLOOKUP($D46,'1. Mesures'!$A$2:$P$116,10,0)</f>
        <v>0</v>
      </c>
      <c r="N46" s="12" t="str">
        <f>VLOOKUP($D46,'1. Mesures'!$A$2:$P$116,13,0)</f>
        <v>BM</v>
      </c>
      <c r="O46" s="12">
        <f>VLOOKUP($D46,'1. Mesures'!$A$2:$P$116,11,0)</f>
        <v>0</v>
      </c>
      <c r="P46" s="12" t="s">
        <v>2715</v>
      </c>
      <c r="Q46" s="452" t="s">
        <v>155</v>
      </c>
      <c r="R46" s="12" t="str">
        <f>VLOOKUP($D46,'1. Mesures'!$A$2:$P$116,12,0)</f>
        <v>A</v>
      </c>
      <c r="S46" s="12" t="str">
        <f>VLOOKUP($D46,'1. Mesures'!$A$2:$P$116,14,0)</f>
        <v>14-Research, improvement of knowledge base reducing uncertainty.</v>
      </c>
      <c r="T46" s="12" t="str">
        <f>VLOOKUP($D46,'1. Mesures'!$A$2:$P$116,15,0)</f>
        <v>Habitats or Birds</v>
      </c>
      <c r="U46" s="12">
        <f>VLOOKUP($D46,'1. Mesures'!$A$2:$P$116,16,0)</f>
        <v>0</v>
      </c>
      <c r="V46" s="12" t="e">
        <f>VLOOKUP($D46,'1. Mesures'!$A$2:$P$116,17,0)</f>
        <v>#REF!</v>
      </c>
      <c r="W46" s="12" t="e">
        <f>VLOOKUP($D46,'1. Mesures'!$A$2:$P$116,18,0)</f>
        <v>#REF!</v>
      </c>
    </row>
    <row r="47" spans="1:23" ht="30" x14ac:dyDescent="0.25">
      <c r="A47" s="449" t="str">
        <f>VLOOKUP($D47,'1. Mesures'!$A$2:$P$116,5,0)</f>
        <v>OO 3.1.4</v>
      </c>
      <c r="B47" s="449">
        <f>VLOOKUP($D47,'1. Mesures'!$A$2:$P$116,6,0)</f>
        <v>0</v>
      </c>
      <c r="C47" s="449">
        <f>VLOOKUP($D47,'1. Mesures'!$A$2:$P$116,7,0)</f>
        <v>0</v>
      </c>
      <c r="D47" s="12" t="s">
        <v>65</v>
      </c>
      <c r="E47" s="451" t="str">
        <f>VLOOKUP(D47,'1. Mesures'!$A$2:$P$116,2,0)</f>
        <v>Assurer le traitement des eaux résiduaires urbaines conformément à la directive 91/271/CEE et reprise de l’ensemble des ouvrages d’épuration par le secteur public</v>
      </c>
      <c r="F47" s="436"/>
      <c r="G47" s="436"/>
      <c r="H47" s="436"/>
      <c r="I47" s="12">
        <f>VLOOKUP($D47,'1. Mesures'!$A$2:$P$116,3,0)</f>
        <v>3</v>
      </c>
      <c r="J47" s="457" t="str">
        <f>IFERROR(VLOOKUP($D47,'1. Mesures'!$A$2:$P$116,4,0),"")</f>
        <v>OS 3.1</v>
      </c>
      <c r="K47" s="12">
        <f>VLOOKUP($D47,'1. Mesures'!$A$2:$P$116,8,0)</f>
        <v>0</v>
      </c>
      <c r="L47" s="12">
        <f>VLOOKUP($D47,'1. Mesures'!$A$2:$P$116,9,0)</f>
        <v>0</v>
      </c>
      <c r="M47" s="12">
        <f>VLOOKUP($D47,'1. Mesures'!$A$2:$P$116,10,0)</f>
        <v>0</v>
      </c>
      <c r="N47" s="12" t="str">
        <f>VLOOKUP($D47,'1. Mesures'!$A$2:$P$116,13,0)</f>
        <v>BM</v>
      </c>
      <c r="O47" s="12">
        <f>VLOOKUP($D47,'1. Mesures'!$A$2:$P$116,11,0)</f>
        <v>0</v>
      </c>
      <c r="P47" s="12" t="s">
        <v>2715</v>
      </c>
      <c r="Q47" s="452" t="s">
        <v>155</v>
      </c>
      <c r="R47" s="12" t="str">
        <f>VLOOKUP($D47,'1. Mesures'!$A$2:$P$116,12,0)</f>
        <v>A</v>
      </c>
      <c r="S47" s="12" t="str">
        <f>VLOOKUP($D47,'1. Mesures'!$A$2:$P$116,14,0)</f>
        <v>1-Construction or upgrades of wastewater treatment plants.</v>
      </c>
      <c r="T47" s="12" t="str">
        <f>VLOOKUP($D47,'1. Mesures'!$A$2:$P$116,15,0)</f>
        <v>Urban Waste Water Treatment</v>
      </c>
      <c r="U47" s="12" t="str">
        <f>VLOOKUP($D47,'1. Mesures'!$A$2:$P$116,16,0)</f>
        <v>SW</v>
      </c>
      <c r="V47" s="12" t="e">
        <f>VLOOKUP($D47,'1. Mesures'!$A$2:$P$116,17,0)</f>
        <v>#REF!</v>
      </c>
      <c r="W47" s="12" t="e">
        <f>VLOOKUP($D47,'1. Mesures'!$A$2:$P$116,18,0)</f>
        <v>#REF!</v>
      </c>
    </row>
    <row r="48" spans="1:23" ht="30" x14ac:dyDescent="0.25">
      <c r="A48" s="449" t="str">
        <f>VLOOKUP($D48,'1. Mesures'!$A$2:$P$116,5,0)</f>
        <v>OO 3.1.5</v>
      </c>
      <c r="B48" s="449">
        <f>VLOOKUP($D48,'1. Mesures'!$A$2:$P$116,6,0)</f>
        <v>0</v>
      </c>
      <c r="C48" s="449">
        <f>VLOOKUP($D48,'1. Mesures'!$A$2:$P$116,7,0)</f>
        <v>0</v>
      </c>
      <c r="D48" s="12" t="s">
        <v>66</v>
      </c>
      <c r="E48" s="451" t="str">
        <f>VLOOKUP(D48,'1. Mesures'!$A$2:$P$116,2,0)</f>
        <v>Assurer la surveillance des milieux aquatiques sensibles à l'utilisation des pesticides, en lien avec la bonne application du programme régional de réduction des pesticides</v>
      </c>
      <c r="F48" s="436"/>
      <c r="G48" s="436"/>
      <c r="H48" s="436"/>
      <c r="I48" s="12">
        <f>VLOOKUP($D48,'1. Mesures'!$A$2:$P$116,3,0)</f>
        <v>3</v>
      </c>
      <c r="J48" s="457" t="str">
        <f>IFERROR(VLOOKUP($D48,'1. Mesures'!$A$2:$P$116,4,0),"")</f>
        <v>OS 3.1</v>
      </c>
      <c r="K48" s="12">
        <f>VLOOKUP($D48,'1. Mesures'!$A$2:$P$116,8,0)</f>
        <v>0</v>
      </c>
      <c r="L48" s="12">
        <f>VLOOKUP($D48,'1. Mesures'!$A$2:$P$116,9,0)</f>
        <v>0</v>
      </c>
      <c r="M48" s="12">
        <f>VLOOKUP($D48,'1. Mesures'!$A$2:$P$116,10,0)</f>
        <v>0</v>
      </c>
      <c r="N48" s="12" t="str">
        <f>VLOOKUP($D48,'1. Mesures'!$A$2:$P$116,13,0)</f>
        <v>BM</v>
      </c>
      <c r="O48" s="12">
        <f>VLOOKUP($D48,'1. Mesures'!$A$2:$P$116,11,0)</f>
        <v>0</v>
      </c>
      <c r="P48" s="12" t="s">
        <v>2715</v>
      </c>
      <c r="Q48" s="452" t="s">
        <v>155</v>
      </c>
      <c r="R48" s="12" t="str">
        <f>VLOOKUP($D48,'1. Mesures'!$A$2:$P$116,12,0)</f>
        <v>N</v>
      </c>
      <c r="S48" s="12" t="str">
        <f>VLOOKUP($D48,'1. Mesures'!$A$2:$P$116,14,0)</f>
        <v>21-Measures to prevent or control the input of pollution from urban areas, transport and built infrastructure.</v>
      </c>
      <c r="T48" s="12" t="str">
        <f>VLOOKUP($D48,'1. Mesures'!$A$2:$P$116,15,0)</f>
        <v>Other</v>
      </c>
      <c r="U48" s="12">
        <f>VLOOKUP($D48,'1. Mesures'!$A$2:$P$116,16,0)</f>
        <v>0</v>
      </c>
      <c r="V48" s="12" t="e">
        <f>VLOOKUP($D48,'1. Mesures'!$A$2:$P$116,17,0)</f>
        <v>#REF!</v>
      </c>
      <c r="W48" s="12" t="e">
        <f>VLOOKUP($D48,'1. Mesures'!$A$2:$P$116,18,0)</f>
        <v>#REF!</v>
      </c>
    </row>
    <row r="49" spans="1:23" ht="30" x14ac:dyDescent="0.25">
      <c r="A49" s="449" t="str">
        <f>VLOOKUP($D49,'1. Mesures'!$A$2:$P$116,5,0)</f>
        <v>-</v>
      </c>
      <c r="B49" s="449">
        <f>VLOOKUP($D49,'1. Mesures'!$A$2:$P$116,6,0)</f>
        <v>0</v>
      </c>
      <c r="C49" s="449">
        <f>VLOOKUP($D49,'1. Mesures'!$A$2:$P$116,7,0)</f>
        <v>0</v>
      </c>
      <c r="D49" s="12" t="s">
        <v>67</v>
      </c>
      <c r="E49" s="451" t="str">
        <f>VLOOKUP(D49,'1. Mesures'!$A$2:$P$116,2,0)</f>
        <v>Assurer le bon potentiel écologique des étangs régionaux afin de leur permettre d’atteindre leurs objectifs et d’exprimer pleinement et durablement leurs services écosystémiques</v>
      </c>
      <c r="F49" s="436"/>
      <c r="G49" s="436"/>
      <c r="H49" s="436"/>
      <c r="I49" s="12">
        <f>VLOOKUP($D49,'1. Mesures'!$A$2:$P$116,3,0)</f>
        <v>3</v>
      </c>
      <c r="J49" s="457" t="str">
        <f>IFERROR(VLOOKUP($D49,'1. Mesures'!$A$2:$P$116,4,0),"")</f>
        <v>OS 3.2</v>
      </c>
      <c r="K49" s="12">
        <f>VLOOKUP($D49,'1. Mesures'!$A$2:$P$116,8,0)</f>
        <v>0</v>
      </c>
      <c r="L49" s="12">
        <f>VLOOKUP($D49,'1. Mesures'!$A$2:$P$116,9,0)</f>
        <v>0</v>
      </c>
      <c r="M49" s="12">
        <f>VLOOKUP($D49,'1. Mesures'!$A$2:$P$116,10,0)</f>
        <v>0</v>
      </c>
      <c r="N49" s="12" t="str">
        <f>VLOOKUP($D49,'1. Mesures'!$A$2:$P$116,13,0)</f>
        <v>BM</v>
      </c>
      <c r="O49" s="12" t="str">
        <f>VLOOKUP($D49,'1. Mesures'!$A$2:$P$116,11,0)</f>
        <v>X</v>
      </c>
      <c r="P49" s="12" t="s">
        <v>2715</v>
      </c>
      <c r="Q49" s="452" t="s">
        <v>155</v>
      </c>
      <c r="R49" s="12" t="str">
        <f>VLOOKUP($D49,'1. Mesures'!$A$2:$P$116,12,0)</f>
        <v>A</v>
      </c>
      <c r="S49" s="12">
        <f>VLOOKUP($D49,'1. Mesures'!$A$2:$P$116,14,0)</f>
        <v>0</v>
      </c>
      <c r="T49" s="12" t="str">
        <f>VLOOKUP($D49,'1. Mesures'!$A$2:$P$116,15,0)</f>
        <v>Other</v>
      </c>
      <c r="U49" s="12" t="str">
        <f>VLOOKUP($D49,'1. Mesures'!$A$2:$P$116,16,0)</f>
        <v>SW</v>
      </c>
      <c r="V49" s="12" t="e">
        <f>VLOOKUP($D49,'1. Mesures'!$A$2:$P$116,17,0)</f>
        <v>#REF!</v>
      </c>
      <c r="W49" s="12" t="e">
        <f>VLOOKUP($D49,'1. Mesures'!$A$2:$P$116,18,0)</f>
        <v>#REF!</v>
      </c>
    </row>
    <row r="50" spans="1:23" x14ac:dyDescent="0.25">
      <c r="A50" s="449" t="str">
        <f>VLOOKUP($D50,'1. Mesures'!$A$2:$P$116,5,0)</f>
        <v>-</v>
      </c>
      <c r="B50" s="449">
        <f>VLOOKUP($D50,'1. Mesures'!$A$2:$P$116,6,0)</f>
        <v>0</v>
      </c>
      <c r="C50" s="449">
        <f>VLOOKUP($D50,'1. Mesures'!$A$2:$P$116,7,0)</f>
        <v>0</v>
      </c>
      <c r="D50" s="12" t="s">
        <v>68</v>
      </c>
      <c r="E50" s="451" t="str">
        <f>VLOOKUP(D50,'1. Mesures'!$A$2:$P$116,2,0)</f>
        <v>Evaluer le mode de facturation du coût du service d'assainissement auprès des entreprises</v>
      </c>
      <c r="F50" s="436"/>
      <c r="G50" s="436"/>
      <c r="H50" s="436"/>
      <c r="I50" s="12">
        <f>VLOOKUP($D50,'1. Mesures'!$A$2:$P$116,3,0)</f>
        <v>4</v>
      </c>
      <c r="J50" s="457" t="str">
        <f>IFERROR(VLOOKUP($D50,'1. Mesures'!$A$2:$P$116,4,0),"")</f>
        <v>OS 4.1</v>
      </c>
      <c r="K50" s="12">
        <f>VLOOKUP($D50,'1. Mesures'!$A$2:$P$116,8,0)</f>
        <v>0</v>
      </c>
      <c r="L50" s="12">
        <f>VLOOKUP($D50,'1. Mesures'!$A$2:$P$116,9,0)</f>
        <v>0</v>
      </c>
      <c r="M50" s="12">
        <f>VLOOKUP($D50,'1. Mesures'!$A$2:$P$116,10,0)</f>
        <v>0</v>
      </c>
      <c r="N50" s="12" t="str">
        <f>VLOOKUP($D50,'1. Mesures'!$A$2:$P$116,13,0)</f>
        <v>BM</v>
      </c>
      <c r="O50" s="12">
        <f>VLOOKUP($D50,'1. Mesures'!$A$2:$P$116,11,0)</f>
        <v>0</v>
      </c>
      <c r="P50" s="12" t="s">
        <v>2715</v>
      </c>
      <c r="Q50" s="452" t="s">
        <v>155</v>
      </c>
      <c r="R50" s="12" t="str">
        <f>VLOOKUP($D50,'1. Mesures'!$A$2:$P$116,12,0)</f>
        <v>A</v>
      </c>
      <c r="S50" s="12" t="str">
        <f>VLOOKUP($D50,'1. Mesures'!$A$2:$P$116,14,0)</f>
        <v>10-Water pricing policy measures for the implementation of the recovery of cost of water services from industry.</v>
      </c>
      <c r="T50" s="12" t="str">
        <f>VLOOKUP($D50,'1. Mesures'!$A$2:$P$116,15,0)</f>
        <v>Cost recovery water services</v>
      </c>
      <c r="U50" s="12">
        <f>VLOOKUP($D50,'1. Mesures'!$A$2:$P$116,16,0)</f>
        <v>0</v>
      </c>
      <c r="V50" s="12" t="e">
        <f>VLOOKUP($D50,'1. Mesures'!$A$2:$P$116,17,0)</f>
        <v>#REF!</v>
      </c>
      <c r="W50" s="12" t="e">
        <f>VLOOKUP($D50,'1. Mesures'!$A$2:$P$116,18,0)</f>
        <v>#REF!</v>
      </c>
    </row>
    <row r="51" spans="1:23" ht="30" x14ac:dyDescent="0.25">
      <c r="A51" s="449" t="str">
        <f>VLOOKUP($D51,'1. Mesures'!$A$2:$P$116,5,0)</f>
        <v>-</v>
      </c>
      <c r="B51" s="449">
        <f>VLOOKUP($D51,'1. Mesures'!$A$2:$P$116,6,0)</f>
        <v>0</v>
      </c>
      <c r="C51" s="449">
        <f>VLOOKUP($D51,'1. Mesures'!$A$2:$P$116,7,0)</f>
        <v>0</v>
      </c>
      <c r="D51" s="12" t="s">
        <v>69</v>
      </c>
      <c r="E51" s="451" t="str">
        <f>VLOOKUP(D51,'1. Mesures'!$A$2:$P$116,2,0)</f>
        <v>Calculer la part de la tarification de l'eau liée à l’assainissement des eaux résiduaires urbaines sur base des volumes d'eau effectivement rejetés</v>
      </c>
      <c r="F51" s="436"/>
      <c r="G51" s="436"/>
      <c r="H51" s="436"/>
      <c r="I51" s="12">
        <f>VLOOKUP($D51,'1. Mesures'!$A$2:$P$116,3,0)</f>
        <v>4</v>
      </c>
      <c r="J51" s="457" t="str">
        <f>IFERROR(VLOOKUP($D51,'1. Mesures'!$A$2:$P$116,4,0),"")</f>
        <v>OS 4.1</v>
      </c>
      <c r="K51" s="12">
        <f>VLOOKUP($D51,'1. Mesures'!$A$2:$P$116,8,0)</f>
        <v>0</v>
      </c>
      <c r="L51" s="12">
        <f>VLOOKUP($D51,'1. Mesures'!$A$2:$P$116,9,0)</f>
        <v>0</v>
      </c>
      <c r="M51" s="12">
        <f>VLOOKUP($D51,'1. Mesures'!$A$2:$P$116,10,0)</f>
        <v>0</v>
      </c>
      <c r="N51" s="12" t="str">
        <f>VLOOKUP($D51,'1. Mesures'!$A$2:$P$116,13,0)</f>
        <v>BM</v>
      </c>
      <c r="O51" s="12">
        <f>VLOOKUP($D51,'1. Mesures'!$A$2:$P$116,11,0)</f>
        <v>0</v>
      </c>
      <c r="P51" s="12" t="s">
        <v>2715</v>
      </c>
      <c r="Q51" s="452" t="s">
        <v>155</v>
      </c>
      <c r="R51" s="12" t="str">
        <f>VLOOKUP($D51,'1. Mesures'!$A$2:$P$116,12,0)</f>
        <v>A</v>
      </c>
      <c r="S51" s="12" t="str">
        <f>VLOOKUP($D51,'1. Mesures'!$A$2:$P$116,14,0)</f>
        <v>9-Water pricing policy measures for the implementation of the recovery of cost of water services from households.</v>
      </c>
      <c r="T51" s="12" t="str">
        <f>VLOOKUP($D51,'1. Mesures'!$A$2:$P$116,15,0)</f>
        <v>Cost recovery water services</v>
      </c>
      <c r="U51" s="12">
        <f>VLOOKUP($D51,'1. Mesures'!$A$2:$P$116,16,0)</f>
        <v>0</v>
      </c>
      <c r="V51" s="12" t="e">
        <f>VLOOKUP($D51,'1. Mesures'!$A$2:$P$116,17,0)</f>
        <v>#REF!</v>
      </c>
      <c r="W51" s="12" t="e">
        <f>VLOOKUP($D51,'1. Mesures'!$A$2:$P$116,18,0)</f>
        <v>#REF!</v>
      </c>
    </row>
    <row r="52" spans="1:23" ht="30" x14ac:dyDescent="0.25">
      <c r="A52" s="449" t="str">
        <f>VLOOKUP($D52,'1. Mesures'!$A$2:$P$116,5,0)</f>
        <v>-</v>
      </c>
      <c r="B52" s="449">
        <f>VLOOKUP($D52,'1. Mesures'!$A$2:$P$116,6,0)</f>
        <v>0</v>
      </c>
      <c r="C52" s="449">
        <f>VLOOKUP($D52,'1. Mesures'!$A$2:$P$116,7,0)</f>
        <v>0</v>
      </c>
      <c r="D52" s="12" t="s">
        <v>70</v>
      </c>
      <c r="E52" s="451" t="str">
        <f>VLOOKUP(D52,'1. Mesures'!$A$2:$P$116,2,0)</f>
        <v>Evaluer les coûts environnementaux et pour la ressource des services liés à l’utilisation de l'eau et étudier l'opportunité de les intégrer dans le prix de l’eau</v>
      </c>
      <c r="F52" s="436"/>
      <c r="G52" s="436"/>
      <c r="H52" s="436"/>
      <c r="I52" s="12">
        <f>VLOOKUP($D52,'1. Mesures'!$A$2:$P$116,3,0)</f>
        <v>4</v>
      </c>
      <c r="J52" s="457" t="str">
        <f>IFERROR(VLOOKUP($D52,'1. Mesures'!$A$2:$P$116,4,0),"")</f>
        <v>OS 4.1</v>
      </c>
      <c r="K52" s="12">
        <f>VLOOKUP($D52,'1. Mesures'!$A$2:$P$116,8,0)</f>
        <v>0</v>
      </c>
      <c r="L52" s="12">
        <f>VLOOKUP($D52,'1. Mesures'!$A$2:$P$116,9,0)</f>
        <v>0</v>
      </c>
      <c r="M52" s="12">
        <f>VLOOKUP($D52,'1. Mesures'!$A$2:$P$116,10,0)</f>
        <v>0</v>
      </c>
      <c r="N52" s="12" t="str">
        <f>VLOOKUP($D52,'1. Mesures'!$A$2:$P$116,13,0)</f>
        <v>BM</v>
      </c>
      <c r="O52" s="12" t="str">
        <f>VLOOKUP($D52,'1. Mesures'!$A$2:$P$116,11,0)</f>
        <v>X</v>
      </c>
      <c r="P52" s="12" t="s">
        <v>2715</v>
      </c>
      <c r="Q52" s="452" t="s">
        <v>155</v>
      </c>
      <c r="R52" s="12" t="str">
        <f>VLOOKUP($D52,'1. Mesures'!$A$2:$P$116,12,0)</f>
        <v>A</v>
      </c>
      <c r="S52" s="12" t="str">
        <f>VLOOKUP($D52,'1. Mesures'!$A$2:$P$116,14,0)</f>
        <v>9-Water pricing policy measures for the implementation of the recovery of cost of water services from households.</v>
      </c>
      <c r="T52" s="12" t="str">
        <f>VLOOKUP($D52,'1. Mesures'!$A$2:$P$116,15,0)</f>
        <v>Cost recovery water services</v>
      </c>
      <c r="U52" s="12">
        <f>VLOOKUP($D52,'1. Mesures'!$A$2:$P$116,16,0)</f>
        <v>0</v>
      </c>
      <c r="V52" s="12" t="e">
        <f>VLOOKUP($D52,'1. Mesures'!$A$2:$P$116,17,0)</f>
        <v>#REF!</v>
      </c>
      <c r="W52" s="12" t="e">
        <f>VLOOKUP($D52,'1. Mesures'!$A$2:$P$116,18,0)</f>
        <v>#REF!</v>
      </c>
    </row>
    <row r="53" spans="1:23" ht="30" x14ac:dyDescent="0.25">
      <c r="A53" s="449" t="str">
        <f>VLOOKUP($D53,'1. Mesures'!$A$2:$P$116,5,0)</f>
        <v>-</v>
      </c>
      <c r="B53" s="449">
        <f>VLOOKUP($D53,'1. Mesures'!$A$2:$P$116,6,0)</f>
        <v>0</v>
      </c>
      <c r="C53" s="449">
        <f>VLOOKUP($D53,'1. Mesures'!$A$2:$P$116,7,0)</f>
        <v>0</v>
      </c>
      <c r="D53" s="12" t="s">
        <v>71</v>
      </c>
      <c r="E53" s="451" t="str">
        <f>VLOOKUP(D53,'1. Mesures'!$A$2:$P$116,2,0)</f>
        <v xml:space="preserve">S’assurer du respect du principe de récupération des coûts liés aux services de l'eau tout en maintenant des tarifs socialement abordables </v>
      </c>
      <c r="F53" s="436"/>
      <c r="G53" s="436"/>
      <c r="H53" s="436"/>
      <c r="I53" s="12">
        <f>VLOOKUP($D53,'1. Mesures'!$A$2:$P$116,3,0)</f>
        <v>4</v>
      </c>
      <c r="J53" s="457" t="str">
        <f>IFERROR(VLOOKUP($D53,'1. Mesures'!$A$2:$P$116,4,0),"")</f>
        <v>OS 4.2</v>
      </c>
      <c r="K53" s="12">
        <f>VLOOKUP($D53,'1. Mesures'!$A$2:$P$116,8,0)</f>
        <v>0</v>
      </c>
      <c r="L53" s="12">
        <f>VLOOKUP($D53,'1. Mesures'!$A$2:$P$116,9,0)</f>
        <v>0</v>
      </c>
      <c r="M53" s="12">
        <f>VLOOKUP($D53,'1. Mesures'!$A$2:$P$116,10,0)</f>
        <v>0</v>
      </c>
      <c r="N53" s="12" t="str">
        <f>VLOOKUP($D53,'1. Mesures'!$A$2:$P$116,13,0)</f>
        <v>BM</v>
      </c>
      <c r="O53" s="12" t="str">
        <f>VLOOKUP($D53,'1. Mesures'!$A$2:$P$116,11,0)</f>
        <v>X</v>
      </c>
      <c r="P53" s="12" t="s">
        <v>2715</v>
      </c>
      <c r="Q53" s="452" t="s">
        <v>155</v>
      </c>
      <c r="R53" s="12" t="str">
        <f>VLOOKUP($D53,'1. Mesures'!$A$2:$P$116,12,0)</f>
        <v>N</v>
      </c>
      <c r="S53" s="12" t="str">
        <f>VLOOKUP($D53,'1. Mesures'!$A$2:$P$116,14,0)</f>
        <v>9-Water pricing policy measures for the implementation of the recovery of cost of water services from households.</v>
      </c>
      <c r="T53" s="12" t="str">
        <f>VLOOKUP($D53,'1. Mesures'!$A$2:$P$116,15,0)</f>
        <v>Cost recovery water services</v>
      </c>
      <c r="U53" s="12">
        <f>VLOOKUP($D53,'1. Mesures'!$A$2:$P$116,16,0)</f>
        <v>0</v>
      </c>
      <c r="V53" s="12" t="e">
        <f>VLOOKUP($D53,'1. Mesures'!$A$2:$P$116,17,0)</f>
        <v>#REF!</v>
      </c>
      <c r="W53" s="12" t="e">
        <f>VLOOKUP($D53,'1. Mesures'!$A$2:$P$116,18,0)</f>
        <v>#REF!</v>
      </c>
    </row>
    <row r="54" spans="1:23" x14ac:dyDescent="0.25">
      <c r="A54" s="449" t="str">
        <f>VLOOKUP($D54,'1. Mesures'!$A$2:$P$116,5,0)</f>
        <v>-</v>
      </c>
      <c r="B54" s="449">
        <f>VLOOKUP($D54,'1. Mesures'!$A$2:$P$116,6,0)</f>
        <v>0</v>
      </c>
      <c r="C54" s="449">
        <f>VLOOKUP($D54,'1. Mesures'!$A$2:$P$116,7,0)</f>
        <v>0</v>
      </c>
      <c r="D54" s="12" t="s">
        <v>72</v>
      </c>
      <c r="E54" s="451" t="str">
        <f>VLOOKUP(D54,'1. Mesures'!$A$2:$P$116,2,0)</f>
        <v>Evaluer la mise en place des mesures sociales visant à lutter contre la précarité hydrique</v>
      </c>
      <c r="F54" s="436"/>
      <c r="G54" s="436"/>
      <c r="H54" s="436"/>
      <c r="I54" s="12">
        <f>VLOOKUP($D54,'1. Mesures'!$A$2:$P$116,3,0)</f>
        <v>4</v>
      </c>
      <c r="J54" s="457" t="str">
        <f>IFERROR(VLOOKUP($D54,'1. Mesures'!$A$2:$P$116,4,0),"")</f>
        <v>OS 4.2</v>
      </c>
      <c r="K54" s="12">
        <f>VLOOKUP($D54,'1. Mesures'!$A$2:$P$116,8,0)</f>
        <v>0</v>
      </c>
      <c r="L54" s="12">
        <f>VLOOKUP($D54,'1. Mesures'!$A$2:$P$116,9,0)</f>
        <v>0</v>
      </c>
      <c r="M54" s="12">
        <f>VLOOKUP($D54,'1. Mesures'!$A$2:$P$116,10,0)</f>
        <v>0</v>
      </c>
      <c r="N54" s="12" t="str">
        <f>VLOOKUP($D54,'1. Mesures'!$A$2:$P$116,13,0)</f>
        <v>AM</v>
      </c>
      <c r="O54" s="12">
        <f>VLOOKUP($D54,'1. Mesures'!$A$2:$P$116,11,0)</f>
        <v>0</v>
      </c>
      <c r="P54" s="12" t="s">
        <v>2715</v>
      </c>
      <c r="Q54" s="452" t="s">
        <v>155</v>
      </c>
      <c r="R54" s="12" t="str">
        <f>VLOOKUP($D54,'1. Mesures'!$A$2:$P$116,12,0)</f>
        <v>N</v>
      </c>
      <c r="S54" s="12">
        <f>VLOOKUP($D54,'1. Mesures'!$A$2:$P$116,14,0)</f>
        <v>0</v>
      </c>
      <c r="T54" s="12">
        <f>VLOOKUP($D54,'1. Mesures'!$A$2:$P$116,15,0)</f>
        <v>0</v>
      </c>
      <c r="U54" s="12">
        <f>VLOOKUP($D54,'1. Mesures'!$A$2:$P$116,16,0)</f>
        <v>0</v>
      </c>
      <c r="V54" s="12" t="e">
        <f>VLOOKUP($D54,'1. Mesures'!$A$2:$P$116,17,0)</f>
        <v>#REF!</v>
      </c>
      <c r="W54" s="12" t="e">
        <f>VLOOKUP($D54,'1. Mesures'!$A$2:$P$116,18,0)</f>
        <v>#REF!</v>
      </c>
    </row>
    <row r="55" spans="1:23" x14ac:dyDescent="0.25">
      <c r="A55" s="449" t="str">
        <f>VLOOKUP($D55,'1. Mesures'!$A$2:$P$116,5,0)</f>
        <v>-</v>
      </c>
      <c r="B55" s="449">
        <f>VLOOKUP($D55,'1. Mesures'!$A$2:$P$116,6,0)</f>
        <v>0</v>
      </c>
      <c r="C55" s="449">
        <f>VLOOKUP($D55,'1. Mesures'!$A$2:$P$116,7,0)</f>
        <v>0</v>
      </c>
      <c r="D55" s="12" t="s">
        <v>73</v>
      </c>
      <c r="E55" s="451" t="str">
        <f>VLOOKUP(D55,'1. Mesures'!$A$2:$P$116,2,0)</f>
        <v>Evaluer et adapter le mécanisme d'utilisation du Fonds Social Eau</v>
      </c>
      <c r="F55" s="436"/>
      <c r="G55" s="436"/>
      <c r="H55" s="436"/>
      <c r="I55" s="12">
        <f>VLOOKUP($D55,'1. Mesures'!$A$2:$P$116,3,0)</f>
        <v>4</v>
      </c>
      <c r="J55" s="457" t="str">
        <f>IFERROR(VLOOKUP($D55,'1. Mesures'!$A$2:$P$116,4,0),"")</f>
        <v>OS 4.2</v>
      </c>
      <c r="K55" s="12">
        <f>VLOOKUP($D55,'1. Mesures'!$A$2:$P$116,8,0)</f>
        <v>0</v>
      </c>
      <c r="L55" s="12">
        <f>VLOOKUP($D55,'1. Mesures'!$A$2:$P$116,9,0)</f>
        <v>0</v>
      </c>
      <c r="M55" s="12">
        <f>VLOOKUP($D55,'1. Mesures'!$A$2:$P$116,10,0)</f>
        <v>0</v>
      </c>
      <c r="N55" s="12" t="str">
        <f>VLOOKUP($D55,'1. Mesures'!$A$2:$P$116,13,0)</f>
        <v>AM</v>
      </c>
      <c r="O55" s="12" t="str">
        <f>VLOOKUP($D55,'1. Mesures'!$A$2:$P$116,11,0)</f>
        <v>X</v>
      </c>
      <c r="P55" s="12" t="s">
        <v>2715</v>
      </c>
      <c r="Q55" s="452" t="s">
        <v>155</v>
      </c>
      <c r="R55" s="12" t="str">
        <f>VLOOKUP($D55,'1. Mesures'!$A$2:$P$116,12,0)</f>
        <v>N</v>
      </c>
      <c r="S55" s="12">
        <f>VLOOKUP($D55,'1. Mesures'!$A$2:$P$116,14,0)</f>
        <v>0</v>
      </c>
      <c r="T55" s="12">
        <f>VLOOKUP($D55,'1. Mesures'!$A$2:$P$116,15,0)</f>
        <v>0</v>
      </c>
      <c r="U55" s="12">
        <f>VLOOKUP($D55,'1. Mesures'!$A$2:$P$116,16,0)</f>
        <v>0</v>
      </c>
      <c r="V55" s="12" t="e">
        <f>VLOOKUP($D55,'1. Mesures'!$A$2:$P$116,17,0)</f>
        <v>#REF!</v>
      </c>
      <c r="W55" s="12" t="e">
        <f>VLOOKUP($D55,'1. Mesures'!$A$2:$P$116,18,0)</f>
        <v>#REF!</v>
      </c>
    </row>
    <row r="56" spans="1:23" ht="30" x14ac:dyDescent="0.25">
      <c r="A56" s="449" t="str">
        <f>VLOOKUP($D56,'1. Mesures'!$A$2:$P$116,5,0)</f>
        <v>-</v>
      </c>
      <c r="B56" s="449">
        <f>VLOOKUP($D56,'1. Mesures'!$A$2:$P$116,6,0)</f>
        <v>0</v>
      </c>
      <c r="C56" s="449">
        <f>VLOOKUP($D56,'1. Mesures'!$A$2:$P$116,7,0)</f>
        <v>0</v>
      </c>
      <c r="D56" s="12" t="s">
        <v>74</v>
      </c>
      <c r="E56" s="451" t="str">
        <f>VLOOKUP(D56,'1. Mesures'!$A$2:$P$116,2,0)</f>
        <v>Mettre en place et assurer le suivi de mesures préventives permettant de lutter contre la précarité hydrique</v>
      </c>
      <c r="F56" s="436"/>
      <c r="G56" s="436"/>
      <c r="H56" s="436"/>
      <c r="I56" s="12">
        <f>VLOOKUP($D56,'1. Mesures'!$A$2:$P$116,3,0)</f>
        <v>4</v>
      </c>
      <c r="J56" s="457" t="str">
        <f>IFERROR(VLOOKUP($D56,'1. Mesures'!$A$2:$P$116,4,0),"")</f>
        <v>OS 4.2</v>
      </c>
      <c r="K56" s="12">
        <f>VLOOKUP($D56,'1. Mesures'!$A$2:$P$116,8,0)</f>
        <v>0</v>
      </c>
      <c r="L56" s="12">
        <f>VLOOKUP($D56,'1. Mesures'!$A$2:$P$116,9,0)</f>
        <v>0</v>
      </c>
      <c r="M56" s="12">
        <f>VLOOKUP($D56,'1. Mesures'!$A$2:$P$116,10,0)</f>
        <v>0</v>
      </c>
      <c r="N56" s="12" t="str">
        <f>VLOOKUP($D56,'1. Mesures'!$A$2:$P$116,13,0)</f>
        <v>AM</v>
      </c>
      <c r="O56" s="12" t="str">
        <f>VLOOKUP($D56,'1. Mesures'!$A$2:$P$116,11,0)</f>
        <v>X</v>
      </c>
      <c r="P56" s="12" t="s">
        <v>2715</v>
      </c>
      <c r="Q56" s="452" t="s">
        <v>155</v>
      </c>
      <c r="R56" s="12" t="str">
        <f>VLOOKUP($D56,'1. Mesures'!$A$2:$P$116,12,0)</f>
        <v>N</v>
      </c>
      <c r="S56" s="12">
        <f>VLOOKUP($D56,'1. Mesures'!$A$2:$P$116,14,0)</f>
        <v>0</v>
      </c>
      <c r="T56" s="12">
        <f>VLOOKUP($D56,'1. Mesures'!$A$2:$P$116,15,0)</f>
        <v>0</v>
      </c>
      <c r="U56" s="12">
        <f>VLOOKUP($D56,'1. Mesures'!$A$2:$P$116,16,0)</f>
        <v>0</v>
      </c>
      <c r="V56" s="12" t="e">
        <f>VLOOKUP($D56,'1. Mesures'!$A$2:$P$116,17,0)</f>
        <v>#REF!</v>
      </c>
      <c r="W56" s="12" t="e">
        <f>VLOOKUP($D56,'1. Mesures'!$A$2:$P$116,18,0)</f>
        <v>#REF!</v>
      </c>
    </row>
    <row r="57" spans="1:23" ht="30" x14ac:dyDescent="0.25">
      <c r="A57" s="449" t="str">
        <f>VLOOKUP($D57,'1. Mesures'!$A$2:$P$116,5,0)</f>
        <v>-</v>
      </c>
      <c r="B57" s="449">
        <f>VLOOKUP($D57,'1. Mesures'!$A$2:$P$116,6,0)</f>
        <v>0</v>
      </c>
      <c r="C57" s="449" t="str">
        <f>VLOOKUP($D57,'1. Mesures'!$A$2:$P$116,7,0)</f>
        <v>X</v>
      </c>
      <c r="D57" s="12" t="s">
        <v>75</v>
      </c>
      <c r="E57" s="451" t="str">
        <f>VLOOKUP(D57,'1. Mesures'!$A$2:$P$116,2,0)</f>
        <v xml:space="preserve">Garantir un accès à l’eau potable et à des services sanitaires pour tous dans l’espace et les bâtiments publics </v>
      </c>
      <c r="F57" s="436"/>
      <c r="G57" s="436"/>
      <c r="H57" s="436"/>
      <c r="I57" s="12">
        <f>VLOOKUP($D57,'1. Mesures'!$A$2:$P$116,3,0)</f>
        <v>4</v>
      </c>
      <c r="J57" s="457" t="str">
        <f>IFERROR(VLOOKUP($D57,'1. Mesures'!$A$2:$P$116,4,0),"")</f>
        <v>OS 4.2</v>
      </c>
      <c r="K57" s="12">
        <f>VLOOKUP($D57,'1. Mesures'!$A$2:$P$116,8,0)</f>
        <v>0</v>
      </c>
      <c r="L57" s="12">
        <f>VLOOKUP($D57,'1. Mesures'!$A$2:$P$116,9,0)</f>
        <v>0</v>
      </c>
      <c r="M57" s="12">
        <f>VLOOKUP($D57,'1. Mesures'!$A$2:$P$116,10,0)</f>
        <v>0</v>
      </c>
      <c r="N57" s="12" t="str">
        <f>VLOOKUP($D57,'1. Mesures'!$A$2:$P$116,13,0)</f>
        <v>AM</v>
      </c>
      <c r="O57" s="12" t="str">
        <f>VLOOKUP($D57,'1. Mesures'!$A$2:$P$116,11,0)</f>
        <v>X</v>
      </c>
      <c r="P57" s="12" t="s">
        <v>2715</v>
      </c>
      <c r="Q57" s="452" t="s">
        <v>155</v>
      </c>
      <c r="R57" s="12" t="str">
        <f>VLOOKUP($D57,'1. Mesures'!$A$2:$P$116,12,0)</f>
        <v>N</v>
      </c>
      <c r="S57" s="12">
        <f>VLOOKUP($D57,'1. Mesures'!$A$2:$P$116,14,0)</f>
        <v>0</v>
      </c>
      <c r="T57" s="12">
        <f>VLOOKUP($D57,'1. Mesures'!$A$2:$P$116,15,0)</f>
        <v>0</v>
      </c>
      <c r="U57" s="12">
        <f>VLOOKUP($D57,'1. Mesures'!$A$2:$P$116,16,0)</f>
        <v>0</v>
      </c>
      <c r="V57" s="12" t="e">
        <f>VLOOKUP($D57,'1. Mesures'!$A$2:$P$116,17,0)</f>
        <v>#REF!</v>
      </c>
      <c r="W57" s="12" t="e">
        <f>VLOOKUP($D57,'1. Mesures'!$A$2:$P$116,18,0)</f>
        <v>#REF!</v>
      </c>
    </row>
    <row r="58" spans="1:23" x14ac:dyDescent="0.25">
      <c r="A58" s="449" t="str">
        <f>VLOOKUP($D58,'1. Mesures'!$A$2:$P$116,5,0)</f>
        <v>OO 5.1.1</v>
      </c>
      <c r="B58" s="449">
        <f>VLOOKUP($D58,'1. Mesures'!$A$2:$P$116,6,0)</f>
        <v>1</v>
      </c>
      <c r="C58" s="449">
        <f>VLOOKUP($D58,'1. Mesures'!$A$2:$P$116,7,0)</f>
        <v>0</v>
      </c>
      <c r="D58" s="12" t="s">
        <v>76</v>
      </c>
      <c r="E58" s="451" t="str">
        <f>VLOOKUP(D58,'1. Mesures'!$A$2:$P$116,2,0)</f>
        <v>Intégrer la GiEP dans les outils de l’aménagement du territoire</v>
      </c>
      <c r="F58" s="436"/>
      <c r="G58" s="436"/>
      <c r="H58" s="436"/>
      <c r="I58" s="12">
        <f>VLOOKUP($D58,'1. Mesures'!$A$2:$P$116,3,0)</f>
        <v>5</v>
      </c>
      <c r="J58" s="457" t="str">
        <f>IFERROR(VLOOKUP($D58,'1. Mesures'!$A$2:$P$116,4,0),"")</f>
        <v>OS 5.1</v>
      </c>
      <c r="K58" s="12" t="str">
        <f>VLOOKUP($D58,'1. Mesures'!$A$2:$P$116,8,0)</f>
        <v>X</v>
      </c>
      <c r="L58" s="12">
        <f>VLOOKUP($D58,'1. Mesures'!$A$2:$P$116,9,0)</f>
        <v>0</v>
      </c>
      <c r="M58" s="12">
        <f>VLOOKUP($D58,'1. Mesures'!$A$2:$P$116,10,0)</f>
        <v>0</v>
      </c>
      <c r="N58" s="12" t="str">
        <f>VLOOKUP($D58,'1. Mesures'!$A$2:$P$116,13,0)</f>
        <v>BM</v>
      </c>
      <c r="O58" s="12" t="str">
        <f>VLOOKUP($D58,'1. Mesures'!$A$2:$P$116,11,0)</f>
        <v>X</v>
      </c>
      <c r="P58" s="12" t="s">
        <v>2715</v>
      </c>
      <c r="Q58" s="452" t="s">
        <v>155</v>
      </c>
      <c r="R58" s="12" t="str">
        <f>VLOOKUP($D58,'1. Mesures'!$A$2:$P$116,12,0)</f>
        <v>A</v>
      </c>
      <c r="S58" s="12" t="str">
        <f>VLOOKUP($D58,'1. Mesures'!$A$2:$P$116,14,0)</f>
        <v>24-Adaptation to climate change.</v>
      </c>
      <c r="T58" s="12" t="str">
        <f>VLOOKUP($D58,'1. Mesures'!$A$2:$P$116,15,0)</f>
        <v>Other</v>
      </c>
      <c r="U58" s="12">
        <f>VLOOKUP($D58,'1. Mesures'!$A$2:$P$116,16,0)</f>
        <v>0</v>
      </c>
      <c r="V58" s="12" t="e">
        <f>VLOOKUP($D58,'1. Mesures'!$A$2:$P$116,17,0)</f>
        <v>#REF!</v>
      </c>
      <c r="W58" s="12" t="e">
        <f>VLOOKUP($D58,'1. Mesures'!$A$2:$P$116,18,0)</f>
        <v>#REF!</v>
      </c>
    </row>
    <row r="59" spans="1:23" ht="30" x14ac:dyDescent="0.25">
      <c r="A59" s="449" t="str">
        <f>VLOOKUP($D59,'1. Mesures'!$A$2:$P$116,5,0)</f>
        <v>OO 5.1.1</v>
      </c>
      <c r="B59" s="449">
        <f>VLOOKUP($D59,'1. Mesures'!$A$2:$P$116,6,0)</f>
        <v>3</v>
      </c>
      <c r="C59" s="449">
        <f>VLOOKUP($D59,'1. Mesures'!$A$2:$P$116,7,0)</f>
        <v>0</v>
      </c>
      <c r="D59" s="12" t="s">
        <v>77</v>
      </c>
      <c r="E59" s="451" t="str">
        <f>VLOOKUP(D59,'1. Mesures'!$A$2:$P$116,2,0)</f>
        <v>Identifier les sources de financement pour réaliser et entretenir les dispositifs de gestion intégrée des eaux pluviales</v>
      </c>
      <c r="F59" s="436"/>
      <c r="G59" s="436"/>
      <c r="H59" s="436"/>
      <c r="I59" s="12">
        <f>VLOOKUP($D59,'1. Mesures'!$A$2:$P$116,3,0)</f>
        <v>5</v>
      </c>
      <c r="J59" s="457" t="str">
        <f>IFERROR(VLOOKUP($D59,'1. Mesures'!$A$2:$P$116,4,0),"")</f>
        <v>OS 5.1</v>
      </c>
      <c r="K59" s="12" t="str">
        <f>VLOOKUP($D59,'1. Mesures'!$A$2:$P$116,8,0)</f>
        <v>X</v>
      </c>
      <c r="L59" s="12">
        <f>VLOOKUP($D59,'1. Mesures'!$A$2:$P$116,9,0)</f>
        <v>0</v>
      </c>
      <c r="M59" s="12">
        <f>VLOOKUP($D59,'1. Mesures'!$A$2:$P$116,10,0)</f>
        <v>0</v>
      </c>
      <c r="N59" s="12" t="str">
        <f>VLOOKUP($D59,'1. Mesures'!$A$2:$P$116,13,0)</f>
        <v>BM</v>
      </c>
      <c r="O59" s="12">
        <f>VLOOKUP($D59,'1. Mesures'!$A$2:$P$116,11,0)</f>
        <v>0</v>
      </c>
      <c r="P59" s="12" t="s">
        <v>2715</v>
      </c>
      <c r="Q59" s="452" t="s">
        <v>155</v>
      </c>
      <c r="R59" s="12" t="str">
        <f>VLOOKUP($D59,'1. Mesures'!$A$2:$P$116,12,0)</f>
        <v>P</v>
      </c>
      <c r="S59" s="12" t="str">
        <f>VLOOKUP($D59,'1. Mesures'!$A$2:$P$116,14,0)</f>
        <v>24-Adaptation to climate change.</v>
      </c>
      <c r="T59" s="12" t="str">
        <f>VLOOKUP($D59,'1. Mesures'!$A$2:$P$116,15,0)</f>
        <v>Other</v>
      </c>
      <c r="U59" s="12">
        <f>VLOOKUP($D59,'1. Mesures'!$A$2:$P$116,16,0)</f>
        <v>0</v>
      </c>
      <c r="V59" s="12" t="e">
        <f>VLOOKUP($D59,'1. Mesures'!$A$2:$P$116,17,0)</f>
        <v>#REF!</v>
      </c>
      <c r="W59" s="12" t="e">
        <f>VLOOKUP($D59,'1. Mesures'!$A$2:$P$116,18,0)</f>
        <v>#REF!</v>
      </c>
    </row>
    <row r="60" spans="1:23" x14ac:dyDescent="0.25">
      <c r="A60" s="449" t="str">
        <f>VLOOKUP($D60,'1. Mesures'!$A$2:$P$116,5,0)</f>
        <v>OO 5.1.1</v>
      </c>
      <c r="B60" s="449">
        <f>VLOOKUP($D60,'1. Mesures'!$A$2:$P$116,6,0)</f>
        <v>1</v>
      </c>
      <c r="C60" s="449">
        <f>VLOOKUP($D60,'1. Mesures'!$A$2:$P$116,7,0)</f>
        <v>0</v>
      </c>
      <c r="D60" s="12" t="s">
        <v>78</v>
      </c>
      <c r="E60" s="451" t="str">
        <f>VLOOKUP(D60,'1. Mesures'!$A$2:$P$116,2,0)</f>
        <v>Accompagner les acteurs dans le développement des compétences</v>
      </c>
      <c r="F60" s="436"/>
      <c r="G60" s="436"/>
      <c r="H60" s="436"/>
      <c r="I60" s="12">
        <f>VLOOKUP($D60,'1. Mesures'!$A$2:$P$116,3,0)</f>
        <v>5</v>
      </c>
      <c r="J60" s="457" t="str">
        <f>IFERROR(VLOOKUP($D60,'1. Mesures'!$A$2:$P$116,4,0),"")</f>
        <v>OS 5.1</v>
      </c>
      <c r="K60" s="12" t="str">
        <f>VLOOKUP($D60,'1. Mesures'!$A$2:$P$116,8,0)</f>
        <v>X</v>
      </c>
      <c r="L60" s="12">
        <f>VLOOKUP($D60,'1. Mesures'!$A$2:$P$116,9,0)</f>
        <v>0</v>
      </c>
      <c r="M60" s="12">
        <f>VLOOKUP($D60,'1. Mesures'!$A$2:$P$116,10,0)</f>
        <v>0</v>
      </c>
      <c r="N60" s="12" t="str">
        <f>VLOOKUP($D60,'1. Mesures'!$A$2:$P$116,13,0)</f>
        <v>BM</v>
      </c>
      <c r="O60" s="12" t="str">
        <f>VLOOKUP($D60,'1. Mesures'!$A$2:$P$116,11,0)</f>
        <v>X</v>
      </c>
      <c r="P60" s="12" t="s">
        <v>2715</v>
      </c>
      <c r="Q60" s="452" t="s">
        <v>155</v>
      </c>
      <c r="R60" s="12" t="str">
        <f>VLOOKUP($D60,'1. Mesures'!$A$2:$P$116,12,0)</f>
        <v>P</v>
      </c>
      <c r="S60" s="12" t="str">
        <f>VLOOKUP($D60,'1. Mesures'!$A$2:$P$116,14,0)</f>
        <v>24-Adaptation to climate change.</v>
      </c>
      <c r="T60" s="12" t="str">
        <f>VLOOKUP($D60,'1. Mesures'!$A$2:$P$116,15,0)</f>
        <v>Other</v>
      </c>
      <c r="U60" s="12">
        <f>VLOOKUP($D60,'1. Mesures'!$A$2:$P$116,16,0)</f>
        <v>0</v>
      </c>
      <c r="V60" s="12" t="e">
        <f>VLOOKUP($D60,'1. Mesures'!$A$2:$P$116,17,0)</f>
        <v>#REF!</v>
      </c>
      <c r="W60" s="12" t="e">
        <f>VLOOKUP($D60,'1. Mesures'!$A$2:$P$116,18,0)</f>
        <v>#REF!</v>
      </c>
    </row>
    <row r="61" spans="1:23" ht="30" x14ac:dyDescent="0.25">
      <c r="A61" s="449" t="str">
        <f>VLOOKUP($D61,'1. Mesures'!$A$2:$P$116,5,0)</f>
        <v>OO 5.1.2</v>
      </c>
      <c r="B61" s="449">
        <f>VLOOKUP($D61,'1. Mesures'!$A$2:$P$116,6,0)</f>
        <v>1</v>
      </c>
      <c r="C61" s="449" t="str">
        <f>VLOOKUP($D61,'1. Mesures'!$A$2:$P$116,7,0)</f>
        <v>X</v>
      </c>
      <c r="D61" s="12" t="s">
        <v>79</v>
      </c>
      <c r="E61" s="451" t="str">
        <f>VLOOKUP(D61,'1. Mesures'!$A$2:$P$116,2,0)</f>
        <v>Mettre en œuvre la GiEP dans l'espace public et privé, ainsi que les autres mesures de résilience climatique liées à la gestion de l’eau</v>
      </c>
      <c r="F61" s="436"/>
      <c r="G61" s="436"/>
      <c r="H61" s="436"/>
      <c r="I61" s="12">
        <f>VLOOKUP($D61,'1. Mesures'!$A$2:$P$116,3,0)</f>
        <v>5</v>
      </c>
      <c r="J61" s="457" t="str">
        <f>IFERROR(VLOOKUP($D61,'1. Mesures'!$A$2:$P$116,4,0),"")</f>
        <v>OS 5.1</v>
      </c>
      <c r="K61" s="12" t="str">
        <f>VLOOKUP($D61,'1. Mesures'!$A$2:$P$116,8,0)</f>
        <v>X</v>
      </c>
      <c r="L61" s="12">
        <f>VLOOKUP($D61,'1. Mesures'!$A$2:$P$116,9,0)</f>
        <v>0</v>
      </c>
      <c r="M61" s="12">
        <f>VLOOKUP($D61,'1. Mesures'!$A$2:$P$116,10,0)</f>
        <v>0</v>
      </c>
      <c r="N61" s="12" t="str">
        <f>VLOOKUP($D61,'1. Mesures'!$A$2:$P$116,13,0)</f>
        <v>BM</v>
      </c>
      <c r="O61" s="12" t="str">
        <f>VLOOKUP($D61,'1. Mesures'!$A$2:$P$116,11,0)</f>
        <v>X</v>
      </c>
      <c r="P61" s="12" t="s">
        <v>2715</v>
      </c>
      <c r="Q61" s="452" t="s">
        <v>155</v>
      </c>
      <c r="R61" s="12" t="str">
        <f>VLOOKUP($D61,'1. Mesures'!$A$2:$P$116,12,0)</f>
        <v>A</v>
      </c>
      <c r="S61" s="12" t="str">
        <f>VLOOKUP($D61,'1. Mesures'!$A$2:$P$116,14,0)</f>
        <v>24-Adaptation to climate change.</v>
      </c>
      <c r="T61" s="12" t="str">
        <f>VLOOKUP($D61,'1. Mesures'!$A$2:$P$116,15,0)</f>
        <v>Other</v>
      </c>
      <c r="U61" s="12">
        <f>VLOOKUP($D61,'1. Mesures'!$A$2:$P$116,16,0)</f>
        <v>0</v>
      </c>
      <c r="V61" s="12" t="e">
        <f>VLOOKUP($D61,'1. Mesures'!$A$2:$P$116,17,0)</f>
        <v>#REF!</v>
      </c>
      <c r="W61" s="12" t="e">
        <f>VLOOKUP($D61,'1. Mesures'!$A$2:$P$116,18,0)</f>
        <v>#REF!</v>
      </c>
    </row>
    <row r="62" spans="1:23" ht="30" x14ac:dyDescent="0.25">
      <c r="A62" s="449" t="str">
        <f>VLOOKUP($D62,'1. Mesures'!$A$2:$P$116,5,0)</f>
        <v>OO 5.1.2</v>
      </c>
      <c r="B62" s="449">
        <f>VLOOKUP($D62,'1. Mesures'!$A$2:$P$116,6,0)</f>
        <v>3</v>
      </c>
      <c r="C62" s="449">
        <f>VLOOKUP($D62,'1. Mesures'!$A$2:$P$116,7,0)</f>
        <v>0</v>
      </c>
      <c r="D62" s="12" t="s">
        <v>80</v>
      </c>
      <c r="E62" s="451" t="str">
        <f>VLOOKUP(D62,'1. Mesures'!$A$2:$P$116,2,0)</f>
        <v>Inventorier et mettre en place un système de contrôle  des performances des aménagements GiEP</v>
      </c>
      <c r="F62" s="436"/>
      <c r="G62" s="436"/>
      <c r="H62" s="436"/>
      <c r="I62" s="12">
        <f>VLOOKUP($D62,'1. Mesures'!$A$2:$P$116,3,0)</f>
        <v>5</v>
      </c>
      <c r="J62" s="457" t="str">
        <f>IFERROR(VLOOKUP($D62,'1. Mesures'!$A$2:$P$116,4,0),"")</f>
        <v>OS 5.1</v>
      </c>
      <c r="K62" s="12" t="str">
        <f>VLOOKUP($D62,'1. Mesures'!$A$2:$P$116,8,0)</f>
        <v>X</v>
      </c>
      <c r="L62" s="12">
        <f>VLOOKUP($D62,'1. Mesures'!$A$2:$P$116,9,0)</f>
        <v>0</v>
      </c>
      <c r="M62" s="12">
        <f>VLOOKUP($D62,'1. Mesures'!$A$2:$P$116,10,0)</f>
        <v>0</v>
      </c>
      <c r="N62" s="12" t="str">
        <f>VLOOKUP($D62,'1. Mesures'!$A$2:$P$116,13,0)</f>
        <v>BM</v>
      </c>
      <c r="O62" s="12" t="str">
        <f>VLOOKUP($D62,'1. Mesures'!$A$2:$P$116,11,0)</f>
        <v>X</v>
      </c>
      <c r="P62" s="12" t="s">
        <v>2715</v>
      </c>
      <c r="Q62" s="452" t="s">
        <v>155</v>
      </c>
      <c r="R62" s="12" t="str">
        <f>VLOOKUP($D62,'1. Mesures'!$A$2:$P$116,12,0)</f>
        <v>N</v>
      </c>
      <c r="S62" s="12" t="str">
        <f>VLOOKUP($D62,'1. Mesures'!$A$2:$P$116,14,0)</f>
        <v>24-Adaptation to climate change.</v>
      </c>
      <c r="T62" s="12" t="str">
        <f>VLOOKUP($D62,'1. Mesures'!$A$2:$P$116,15,0)</f>
        <v>Other</v>
      </c>
      <c r="U62" s="12">
        <f>VLOOKUP($D62,'1. Mesures'!$A$2:$P$116,16,0)</f>
        <v>0</v>
      </c>
      <c r="V62" s="12" t="e">
        <f>VLOOKUP($D62,'1. Mesures'!$A$2:$P$116,17,0)</f>
        <v>#REF!</v>
      </c>
      <c r="W62" s="12" t="e">
        <f>VLOOKUP($D62,'1. Mesures'!$A$2:$P$116,18,0)</f>
        <v>#REF!</v>
      </c>
    </row>
    <row r="63" spans="1:23" ht="30" x14ac:dyDescent="0.25">
      <c r="A63" s="449" t="str">
        <f>VLOOKUP($D63,'1. Mesures'!$A$2:$P$116,5,0)</f>
        <v>OO 5.1.2</v>
      </c>
      <c r="B63" s="449">
        <f>VLOOKUP($D63,'1. Mesures'!$A$2:$P$116,6,0)</f>
        <v>1</v>
      </c>
      <c r="C63" s="449">
        <f>VLOOKUP($D63,'1. Mesures'!$A$2:$P$116,7,0)</f>
        <v>0</v>
      </c>
      <c r="D63" s="436" t="s">
        <v>81</v>
      </c>
      <c r="E63" s="451" t="str">
        <f>VLOOKUP(D63,'1. Mesures'!$A$2:$P$116,2,0)</f>
        <v>Mener des projets pilotes ouvrant la voie à l’innovation et des études permettant d'objectiver l'impact des mesures liées aux changements climatiques</v>
      </c>
      <c r="F63" s="436"/>
      <c r="G63" s="436"/>
      <c r="H63" s="436"/>
      <c r="I63" s="12">
        <f>VLOOKUP($D63,'1. Mesures'!$A$2:$P$116,3,0)</f>
        <v>5</v>
      </c>
      <c r="J63" s="457" t="str">
        <f>IFERROR(VLOOKUP($D63,'1. Mesures'!$A$2:$P$116,4,0),"")</f>
        <v>OS 5.1</v>
      </c>
      <c r="K63" s="12" t="str">
        <f>VLOOKUP($D63,'1. Mesures'!$A$2:$P$116,8,0)</f>
        <v>X</v>
      </c>
      <c r="L63" s="12">
        <f>VLOOKUP($D63,'1. Mesures'!$A$2:$P$116,9,0)</f>
        <v>0</v>
      </c>
      <c r="M63" s="12">
        <f>VLOOKUP($D63,'1. Mesures'!$A$2:$P$116,10,0)</f>
        <v>0</v>
      </c>
      <c r="N63" s="12" t="str">
        <f>VLOOKUP($D63,'1. Mesures'!$A$2:$P$116,13,0)</f>
        <v>BM</v>
      </c>
      <c r="O63" s="12" t="str">
        <f>VLOOKUP($D63,'1. Mesures'!$A$2:$P$116,11,0)</f>
        <v>X</v>
      </c>
      <c r="P63" s="12" t="s">
        <v>2715</v>
      </c>
      <c r="Q63" s="452" t="s">
        <v>155</v>
      </c>
      <c r="R63" s="12" t="str">
        <f>VLOOKUP($D63,'1. Mesures'!$A$2:$P$116,12,0)</f>
        <v>A</v>
      </c>
      <c r="S63" s="12" t="str">
        <f>VLOOKUP($D63,'1. Mesures'!$A$2:$P$116,14,0)</f>
        <v>24-Adaptation to climate change.</v>
      </c>
      <c r="T63" s="12" t="str">
        <f>VLOOKUP($D63,'1. Mesures'!$A$2:$P$116,15,0)</f>
        <v>Other</v>
      </c>
      <c r="U63" s="12">
        <f>VLOOKUP($D63,'1. Mesures'!$A$2:$P$116,16,0)</f>
        <v>0</v>
      </c>
      <c r="V63" s="12" t="e">
        <f>VLOOKUP($D63,'1. Mesures'!$A$2:$P$116,17,0)</f>
        <v>#REF!</v>
      </c>
      <c r="W63" s="12" t="e">
        <f>VLOOKUP($D63,'1. Mesures'!$A$2:$P$116,18,0)</f>
        <v>#REF!</v>
      </c>
    </row>
    <row r="64" spans="1:23" ht="30" x14ac:dyDescent="0.25">
      <c r="A64" s="449" t="str">
        <f>VLOOKUP($D64,'1. Mesures'!$A$2:$P$116,5,0)</f>
        <v>OO 5.2.1</v>
      </c>
      <c r="B64" s="449">
        <f>VLOOKUP($D64,'1. Mesures'!$A$2:$P$116,6,0)</f>
        <v>2</v>
      </c>
      <c r="C64" s="449">
        <f>VLOOKUP($D64,'1. Mesures'!$A$2:$P$116,7,0)</f>
        <v>0</v>
      </c>
      <c r="D64" s="436" t="s">
        <v>82</v>
      </c>
      <c r="E64" s="451" t="str">
        <f>VLOOKUP(D64,'1. Mesures'!$A$2:$P$116,2,0)</f>
        <v>Assurer la temporisation des eaux pluviales ainsi que leur valorisation optimale en cas de contraintes menant à leurs rejets hors de la parcelle</v>
      </c>
      <c r="F64" s="436"/>
      <c r="G64" s="436"/>
      <c r="H64" s="436"/>
      <c r="I64" s="12">
        <f>VLOOKUP($D64,'1. Mesures'!$A$2:$P$116,3,0)</f>
        <v>5</v>
      </c>
      <c r="J64" s="457" t="str">
        <f>IFERROR(VLOOKUP($D64,'1. Mesures'!$A$2:$P$116,4,0),"")</f>
        <v>OS 5.2</v>
      </c>
      <c r="K64" s="12">
        <f>VLOOKUP($D64,'1. Mesures'!$A$2:$P$116,8,0)</f>
        <v>0</v>
      </c>
      <c r="L64" s="12">
        <f>VLOOKUP($D64,'1. Mesures'!$A$2:$P$116,9,0)</f>
        <v>0</v>
      </c>
      <c r="M64" s="12">
        <f>VLOOKUP($D64,'1. Mesures'!$A$2:$P$116,10,0)</f>
        <v>0</v>
      </c>
      <c r="N64" s="12" t="str">
        <f>VLOOKUP($D64,'1. Mesures'!$A$2:$P$116,13,0)</f>
        <v>BM</v>
      </c>
      <c r="O64" s="12">
        <f>VLOOKUP($D64,'1. Mesures'!$A$2:$P$116,11,0)</f>
        <v>0</v>
      </c>
      <c r="P64" s="12" t="s">
        <v>2715</v>
      </c>
      <c r="Q64" s="452" t="s">
        <v>155</v>
      </c>
      <c r="R64" s="12" t="str">
        <f>VLOOKUP($D64,'1. Mesures'!$A$2:$P$116,12,0)</f>
        <v>N</v>
      </c>
      <c r="S64" s="12" t="str">
        <f>VLOOKUP($D64,'1. Mesures'!$A$2:$P$116,14,0)</f>
        <v>24-Adaptation to climate change.</v>
      </c>
      <c r="T64" s="12" t="str">
        <f>VLOOKUP($D64,'1. Mesures'!$A$2:$P$116,15,0)</f>
        <v>Other</v>
      </c>
      <c r="U64" s="12">
        <f>VLOOKUP($D64,'1. Mesures'!$A$2:$P$116,16,0)</f>
        <v>0</v>
      </c>
      <c r="V64" s="12" t="e">
        <f>VLOOKUP($D64,'1. Mesures'!$A$2:$P$116,17,0)</f>
        <v>#REF!</v>
      </c>
      <c r="W64" s="12" t="e">
        <f>VLOOKUP($D64,'1. Mesures'!$A$2:$P$116,18,0)</f>
        <v>#REF!</v>
      </c>
    </row>
    <row r="65" spans="1:23" x14ac:dyDescent="0.25">
      <c r="A65" s="449" t="str">
        <f>VLOOKUP($D65,'1. Mesures'!$A$2:$P$116,5,0)</f>
        <v>OO 5.2.2</v>
      </c>
      <c r="B65" s="449">
        <f>VLOOKUP($D65,'1. Mesures'!$A$2:$P$116,6,0)</f>
        <v>1</v>
      </c>
      <c r="C65" s="449">
        <f>VLOOKUP($D65,'1. Mesures'!$A$2:$P$116,7,0)</f>
        <v>0</v>
      </c>
      <c r="D65" s="436" t="s">
        <v>83</v>
      </c>
      <c r="E65" s="451" t="str">
        <f>VLOOKUP(D65,'1. Mesures'!$A$2:$P$116,2,0)</f>
        <v>Délester la Senne  en cas de crue pour protéger le centre-ville</v>
      </c>
      <c r="F65" s="436"/>
      <c r="G65" s="436"/>
      <c r="H65" s="436"/>
      <c r="I65" s="12">
        <f>VLOOKUP($D65,'1. Mesures'!$A$2:$P$116,3,0)</f>
        <v>5</v>
      </c>
      <c r="J65" s="457" t="str">
        <f>IFERROR(VLOOKUP($D65,'1. Mesures'!$A$2:$P$116,4,0),"")</f>
        <v>OS 5.2</v>
      </c>
      <c r="K65" s="12">
        <f>VLOOKUP($D65,'1. Mesures'!$A$2:$P$116,8,0)</f>
        <v>0</v>
      </c>
      <c r="L65" s="12">
        <f>VLOOKUP($D65,'1. Mesures'!$A$2:$P$116,9,0)</f>
        <v>0</v>
      </c>
      <c r="M65" s="12">
        <f>VLOOKUP($D65,'1. Mesures'!$A$2:$P$116,10,0)</f>
        <v>0</v>
      </c>
      <c r="N65" s="12" t="str">
        <f>VLOOKUP($D65,'1. Mesures'!$A$2:$P$116,13,0)</f>
        <v>BM</v>
      </c>
      <c r="O65" s="12">
        <f>VLOOKUP($D65,'1. Mesures'!$A$2:$P$116,11,0)</f>
        <v>0</v>
      </c>
      <c r="P65" s="12" t="s">
        <v>2715</v>
      </c>
      <c r="Q65" s="452" t="s">
        <v>155</v>
      </c>
      <c r="R65" s="12">
        <f>VLOOKUP($D65,'1. Mesures'!$A$2:$P$116,12,0)</f>
        <v>0</v>
      </c>
      <c r="S65" s="12" t="str">
        <f>VLOOKUP($D65,'1. Mesures'!$A$2:$P$116,14,0)</f>
        <v>24-Adaptation to climate change.</v>
      </c>
      <c r="T65" s="12" t="str">
        <f>VLOOKUP($D65,'1. Mesures'!$A$2:$P$116,15,0)</f>
        <v>Other</v>
      </c>
      <c r="U65" s="12">
        <f>VLOOKUP($D65,'1. Mesures'!$A$2:$P$116,16,0)</f>
        <v>0</v>
      </c>
      <c r="V65" s="12" t="e">
        <f>VLOOKUP($D65,'1. Mesures'!$A$2:$P$116,17,0)</f>
        <v>#REF!</v>
      </c>
      <c r="W65" s="12" t="e">
        <f>VLOOKUP($D65,'1. Mesures'!$A$2:$P$116,18,0)</f>
        <v>#REF!</v>
      </c>
    </row>
    <row r="66" spans="1:23" ht="30" x14ac:dyDescent="0.25">
      <c r="A66" s="449" t="str">
        <f>VLOOKUP($D66,'1. Mesures'!$A$2:$P$116,5,0)</f>
        <v>OO 5.2.2</v>
      </c>
      <c r="B66" s="449">
        <f>VLOOKUP($D66,'1. Mesures'!$A$2:$P$116,6,0)</f>
        <v>1</v>
      </c>
      <c r="C66" s="449">
        <f>VLOOKUP($D66,'1. Mesures'!$A$2:$P$116,7,0)</f>
        <v>0</v>
      </c>
      <c r="D66" s="436" t="s">
        <v>84</v>
      </c>
      <c r="E66" s="451" t="str">
        <f>VLOOKUP(D66,'1. Mesures'!$A$2:$P$116,2,0)</f>
        <v>Aménager le réseau hydrographique (eaux de surface, étangs et zones humides) afin d'améliorer sa capacité de tamponnage des crues et son rôle d’exutoire d’eaux claires.</v>
      </c>
      <c r="F66" s="436"/>
      <c r="G66" s="436"/>
      <c r="H66" s="436"/>
      <c r="I66" s="12">
        <f>VLOOKUP($D66,'1. Mesures'!$A$2:$P$116,3,0)</f>
        <v>5</v>
      </c>
      <c r="J66" s="457" t="str">
        <f>IFERROR(VLOOKUP($D66,'1. Mesures'!$A$2:$P$116,4,0),"")</f>
        <v>OS 5.2</v>
      </c>
      <c r="K66" s="12">
        <f>VLOOKUP($D66,'1. Mesures'!$A$2:$P$116,8,0)</f>
        <v>0</v>
      </c>
      <c r="L66" s="12">
        <f>VLOOKUP($D66,'1. Mesures'!$A$2:$P$116,9,0)</f>
        <v>0</v>
      </c>
      <c r="M66" s="12">
        <f>VLOOKUP($D66,'1. Mesures'!$A$2:$P$116,10,0)</f>
        <v>0</v>
      </c>
      <c r="N66" s="12" t="str">
        <f>VLOOKUP($D66,'1. Mesures'!$A$2:$P$116,13,0)</f>
        <v>BM</v>
      </c>
      <c r="O66" s="12">
        <f>VLOOKUP($D66,'1. Mesures'!$A$2:$P$116,11,0)</f>
        <v>0</v>
      </c>
      <c r="P66" s="12" t="s">
        <v>2715</v>
      </c>
      <c r="Q66" s="452" t="s">
        <v>155</v>
      </c>
      <c r="R66" s="12" t="str">
        <f>VLOOKUP($D66,'1. Mesures'!$A$2:$P$116,12,0)</f>
        <v>P</v>
      </c>
      <c r="S66" s="12" t="str">
        <f>VLOOKUP($D66,'1. Mesures'!$A$2:$P$116,14,0)</f>
        <v>23-Natural water retention measures.</v>
      </c>
      <c r="T66" s="12" t="str">
        <f>VLOOKUP($D66,'1. Mesures'!$A$2:$P$116,15,0)</f>
        <v>Other</v>
      </c>
      <c r="U66" s="12">
        <f>VLOOKUP($D66,'1. Mesures'!$A$2:$P$116,16,0)</f>
        <v>0</v>
      </c>
      <c r="V66" s="12" t="e">
        <f>VLOOKUP($D66,'1. Mesures'!$A$2:$P$116,17,0)</f>
        <v>#REF!</v>
      </c>
      <c r="W66" s="12" t="e">
        <f>VLOOKUP($D66,'1. Mesures'!$A$2:$P$116,18,0)</f>
        <v>#REF!</v>
      </c>
    </row>
    <row r="67" spans="1:23" x14ac:dyDescent="0.25">
      <c r="A67" s="449" t="str">
        <f>VLOOKUP($D67,'1. Mesures'!$A$2:$P$116,5,0)</f>
        <v>OO 5.2.3</v>
      </c>
      <c r="B67" s="449">
        <f>VLOOKUP($D67,'1. Mesures'!$A$2:$P$116,6,0)</f>
        <v>2</v>
      </c>
      <c r="C67" s="449">
        <f>VLOOKUP($D67,'1. Mesures'!$A$2:$P$116,7,0)</f>
        <v>0</v>
      </c>
      <c r="D67" s="436" t="s">
        <v>85</v>
      </c>
      <c r="E67" s="451" t="str">
        <f>VLOOKUP(D67,'1. Mesures'!$A$2:$P$116,2,0)</f>
        <v xml:space="preserve">Poursuivre le programme d’entretien du réseau d'assainissement </v>
      </c>
      <c r="F67" s="436"/>
      <c r="G67" s="436"/>
      <c r="H67" s="436"/>
      <c r="I67" s="12">
        <f>VLOOKUP($D67,'1. Mesures'!$A$2:$P$116,3,0)</f>
        <v>5</v>
      </c>
      <c r="J67" s="457" t="str">
        <f>IFERROR(VLOOKUP($D67,'1. Mesures'!$A$2:$P$116,4,0),"")</f>
        <v>OS 5.2</v>
      </c>
      <c r="K67" s="12">
        <f>VLOOKUP($D67,'1. Mesures'!$A$2:$P$116,8,0)</f>
        <v>0</v>
      </c>
      <c r="L67" s="12">
        <f>VLOOKUP($D67,'1. Mesures'!$A$2:$P$116,9,0)</f>
        <v>0</v>
      </c>
      <c r="M67" s="12">
        <f>VLOOKUP($D67,'1. Mesures'!$A$2:$P$116,10,0)</f>
        <v>0</v>
      </c>
      <c r="N67" s="12" t="str">
        <f>VLOOKUP($D67,'1. Mesures'!$A$2:$P$116,13,0)</f>
        <v>BM</v>
      </c>
      <c r="O67" s="12">
        <f>VLOOKUP($D67,'1. Mesures'!$A$2:$P$116,11,0)</f>
        <v>0</v>
      </c>
      <c r="P67" s="12" t="s">
        <v>2715</v>
      </c>
      <c r="Q67" s="452" t="s">
        <v>155</v>
      </c>
      <c r="R67" s="12">
        <f>VLOOKUP($D67,'1. Mesures'!$A$2:$P$116,12,0)</f>
        <v>0</v>
      </c>
      <c r="S67" s="12">
        <f>VLOOKUP($D67,'1. Mesures'!$A$2:$P$116,14,0)</f>
        <v>0</v>
      </c>
      <c r="T67" s="12" t="str">
        <f>VLOOKUP($D67,'1. Mesures'!$A$2:$P$116,15,0)</f>
        <v>Other</v>
      </c>
      <c r="U67" s="12">
        <f>VLOOKUP($D67,'1. Mesures'!$A$2:$P$116,16,0)</f>
        <v>0</v>
      </c>
      <c r="V67" s="12" t="e">
        <f>VLOOKUP($D67,'1. Mesures'!$A$2:$P$116,17,0)</f>
        <v>#REF!</v>
      </c>
      <c r="W67" s="12" t="e">
        <f>VLOOKUP($D67,'1. Mesures'!$A$2:$P$116,18,0)</f>
        <v>#REF!</v>
      </c>
    </row>
    <row r="68" spans="1:23" ht="45" x14ac:dyDescent="0.25">
      <c r="A68" s="449" t="str">
        <f>VLOOKUP($D68,'1. Mesures'!$A$2:$P$116,5,0)</f>
        <v>OO 5.2.3</v>
      </c>
      <c r="B68" s="449">
        <f>VLOOKUP($D68,'1. Mesures'!$A$2:$P$116,6,0)</f>
        <v>1</v>
      </c>
      <c r="C68" s="449">
        <f>VLOOKUP($D68,'1. Mesures'!$A$2:$P$116,7,0)</f>
        <v>0</v>
      </c>
      <c r="D68" s="436" t="s">
        <v>86</v>
      </c>
      <c r="E68" s="451" t="str">
        <f>VLOOKUP(D68,'1. Mesures'!$A$2:$P$116,2,0)</f>
        <v>Poursuivre le programme pluriannuel d’installation de bassins d’orage tenant compte des développements urbanistiques futurs, dont les aménagements mis en œuvre ou étudiés dans le cadre de la GiEP</v>
      </c>
      <c r="F68" s="436"/>
      <c r="G68" s="436"/>
      <c r="H68" s="436"/>
      <c r="I68" s="12">
        <f>VLOOKUP($D68,'1. Mesures'!$A$2:$P$116,3,0)</f>
        <v>5</v>
      </c>
      <c r="J68" s="457" t="str">
        <f>IFERROR(VLOOKUP($D68,'1. Mesures'!$A$2:$P$116,4,0),"")</f>
        <v>OS 5.2</v>
      </c>
      <c r="K68" s="12">
        <f>VLOOKUP($D68,'1. Mesures'!$A$2:$P$116,8,0)</f>
        <v>0</v>
      </c>
      <c r="L68" s="12">
        <f>VLOOKUP($D68,'1. Mesures'!$A$2:$P$116,9,0)</f>
        <v>0</v>
      </c>
      <c r="M68" s="12">
        <f>VLOOKUP($D68,'1. Mesures'!$A$2:$P$116,10,0)</f>
        <v>0</v>
      </c>
      <c r="N68" s="12" t="str">
        <f>VLOOKUP($D68,'1. Mesures'!$A$2:$P$116,13,0)</f>
        <v>BM</v>
      </c>
      <c r="O68" s="12">
        <f>VLOOKUP($D68,'1. Mesures'!$A$2:$P$116,11,0)</f>
        <v>0</v>
      </c>
      <c r="P68" s="12" t="s">
        <v>2715</v>
      </c>
      <c r="Q68" s="452" t="s">
        <v>155</v>
      </c>
      <c r="R68" s="12">
        <f>VLOOKUP($D68,'1. Mesures'!$A$2:$P$116,12,0)</f>
        <v>0</v>
      </c>
      <c r="S68" s="12">
        <f>VLOOKUP($D68,'1. Mesures'!$A$2:$P$116,14,0)</f>
        <v>0</v>
      </c>
      <c r="T68" s="12" t="str">
        <f>VLOOKUP($D68,'1. Mesures'!$A$2:$P$116,15,0)</f>
        <v>Other</v>
      </c>
      <c r="U68" s="12">
        <f>VLOOKUP($D68,'1. Mesures'!$A$2:$P$116,16,0)</f>
        <v>0</v>
      </c>
      <c r="V68" s="12" t="e">
        <f>VLOOKUP($D68,'1. Mesures'!$A$2:$P$116,17,0)</f>
        <v>#REF!</v>
      </c>
      <c r="W68" s="12" t="e">
        <f>VLOOKUP($D68,'1. Mesures'!$A$2:$P$116,18,0)</f>
        <v>#REF!</v>
      </c>
    </row>
    <row r="69" spans="1:23" ht="30" x14ac:dyDescent="0.25">
      <c r="A69" s="449" t="str">
        <f>VLOOKUP($D69,'1. Mesures'!$A$2:$P$116,5,0)</f>
        <v>OO 5.3.1</v>
      </c>
      <c r="B69" s="449">
        <f>VLOOKUP($D69,'1. Mesures'!$A$2:$P$116,6,0)</f>
        <v>3</v>
      </c>
      <c r="C69" s="449">
        <f>VLOOKUP($D69,'1. Mesures'!$A$2:$P$116,7,0)</f>
        <v>0</v>
      </c>
      <c r="D69" s="436" t="s">
        <v>88</v>
      </c>
      <c r="E69" s="451" t="str">
        <f>VLOOKUP(D69,'1. Mesures'!$A$2:$P$116,2,0)</f>
        <v>Etablir une carte des zones inondables répondant aux critères de l'arrêté royal du 12 octobre 2005</v>
      </c>
      <c r="F69" s="436"/>
      <c r="G69" s="436"/>
      <c r="H69" s="436"/>
      <c r="I69" s="12">
        <f>VLOOKUP($D69,'1. Mesures'!$A$2:$P$116,3,0)</f>
        <v>5</v>
      </c>
      <c r="J69" s="457" t="str">
        <f>IFERROR(VLOOKUP($D69,'1. Mesures'!$A$2:$P$116,4,0),"")</f>
        <v>OS 5.3</v>
      </c>
      <c r="K69" s="12">
        <f>VLOOKUP($D69,'1. Mesures'!$A$2:$P$116,8,0)</f>
        <v>0</v>
      </c>
      <c r="L69" s="12">
        <f>VLOOKUP($D69,'1. Mesures'!$A$2:$P$116,9,0)</f>
        <v>0</v>
      </c>
      <c r="M69" s="12">
        <f>VLOOKUP($D69,'1. Mesures'!$A$2:$P$116,10,0)</f>
        <v>0</v>
      </c>
      <c r="N69" s="12" t="str">
        <f>VLOOKUP($D69,'1. Mesures'!$A$2:$P$116,13,0)</f>
        <v>BM</v>
      </c>
      <c r="O69" s="12">
        <f>VLOOKUP($D69,'1. Mesures'!$A$2:$P$116,11,0)</f>
        <v>0</v>
      </c>
      <c r="P69" s="12" t="s">
        <v>2715</v>
      </c>
      <c r="Q69" s="452" t="s">
        <v>155</v>
      </c>
      <c r="R69" s="12" t="str">
        <f>VLOOKUP($D69,'1. Mesures'!$A$2:$P$116,12,0)</f>
        <v>P</v>
      </c>
      <c r="S69" s="12">
        <f>VLOOKUP($D69,'1. Mesures'!$A$2:$P$116,14,0)</f>
        <v>0</v>
      </c>
      <c r="T69" s="12" t="str">
        <f>VLOOKUP($D69,'1. Mesures'!$A$2:$P$116,15,0)</f>
        <v>Other</v>
      </c>
      <c r="U69" s="12">
        <f>VLOOKUP($D69,'1. Mesures'!$A$2:$P$116,16,0)</f>
        <v>0</v>
      </c>
      <c r="V69" s="12" t="e">
        <f>VLOOKUP($D69,'1. Mesures'!$A$2:$P$116,17,0)</f>
        <v>#REF!</v>
      </c>
      <c r="W69" s="12" t="e">
        <f>VLOOKUP($D69,'1. Mesures'!$A$2:$P$116,18,0)</f>
        <v>#REF!</v>
      </c>
    </row>
    <row r="70" spans="1:23" ht="45" x14ac:dyDescent="0.25">
      <c r="A70" s="449" t="str">
        <f>VLOOKUP($D70,'1. Mesures'!$A$2:$P$116,5,0)</f>
        <v>OO 5.3.1</v>
      </c>
      <c r="B70" s="449">
        <f>VLOOKUP($D70,'1. Mesures'!$A$2:$P$116,6,0)</f>
        <v>3</v>
      </c>
      <c r="C70" s="449">
        <f>VLOOKUP($D70,'1. Mesures'!$A$2:$P$116,7,0)</f>
        <v>0</v>
      </c>
      <c r="D70" s="436" t="s">
        <v>89</v>
      </c>
      <c r="E70" s="451" t="str">
        <f>VLOOKUP(D70,'1. Mesures'!$A$2:$P$116,2,0)</f>
        <v xml:space="preserve">Prendre les mesures de protection à l’égard de certaines infrastructures ou installations sensibles et/ou à risque localisées en zone d'aléa fort (ex: cabine à haute tension, stockage de substances dangereuses...)   </v>
      </c>
      <c r="F70" s="436"/>
      <c r="G70" s="436"/>
      <c r="H70" s="436"/>
      <c r="I70" s="12">
        <f>VLOOKUP($D70,'1. Mesures'!$A$2:$P$116,3,0)</f>
        <v>5</v>
      </c>
      <c r="J70" s="457" t="str">
        <f>IFERROR(VLOOKUP($D70,'1. Mesures'!$A$2:$P$116,4,0),"")</f>
        <v>OS 5.3</v>
      </c>
      <c r="K70" s="12">
        <f>VLOOKUP($D70,'1. Mesures'!$A$2:$P$116,8,0)</f>
        <v>0</v>
      </c>
      <c r="L70" s="12">
        <f>VLOOKUP($D70,'1. Mesures'!$A$2:$P$116,9,0)</f>
        <v>0</v>
      </c>
      <c r="M70" s="12">
        <f>VLOOKUP($D70,'1. Mesures'!$A$2:$P$116,10,0)</f>
        <v>0</v>
      </c>
      <c r="N70" s="12" t="str">
        <f>VLOOKUP($D70,'1. Mesures'!$A$2:$P$116,13,0)</f>
        <v>BM</v>
      </c>
      <c r="O70" s="12">
        <f>VLOOKUP($D70,'1. Mesures'!$A$2:$P$116,11,0)</f>
        <v>0</v>
      </c>
      <c r="P70" s="12" t="s">
        <v>2715</v>
      </c>
      <c r="Q70" s="452" t="s">
        <v>155</v>
      </c>
      <c r="R70" s="12" t="str">
        <f>VLOOKUP($D70,'1. Mesures'!$A$2:$P$116,12,0)</f>
        <v>A</v>
      </c>
      <c r="S70" s="12" t="str">
        <f>VLOOKUP($D70,'1. Mesures'!$A$2:$P$116,14,0)</f>
        <v>24-Adaptation to climate change.</v>
      </c>
      <c r="T70" s="12" t="str">
        <f>VLOOKUP($D70,'1. Mesures'!$A$2:$P$116,15,0)</f>
        <v>Other</v>
      </c>
      <c r="U70" s="12">
        <f>VLOOKUP($D70,'1. Mesures'!$A$2:$P$116,16,0)</f>
        <v>0</v>
      </c>
      <c r="V70" s="12" t="e">
        <f>VLOOKUP($D70,'1. Mesures'!$A$2:$P$116,17,0)</f>
        <v>#REF!</v>
      </c>
      <c r="W70" s="12" t="e">
        <f>VLOOKUP($D70,'1. Mesures'!$A$2:$P$116,18,0)</f>
        <v>#REF!</v>
      </c>
    </row>
    <row r="71" spans="1:23" x14ac:dyDescent="0.25">
      <c r="A71" s="449" t="str">
        <f>VLOOKUP($D71,'1. Mesures'!$A$2:$P$116,5,0)</f>
        <v>OO 5.3.1</v>
      </c>
      <c r="B71" s="449">
        <f>VLOOKUP($D71,'1. Mesures'!$A$2:$P$116,6,0)</f>
        <v>2</v>
      </c>
      <c r="C71" s="449">
        <f>VLOOKUP($D71,'1. Mesures'!$A$2:$P$116,7,0)</f>
        <v>0</v>
      </c>
      <c r="D71" s="436" t="s">
        <v>90</v>
      </c>
      <c r="E71" s="451" t="str">
        <f>VLOOKUP(D71,'1. Mesures'!$A$2:$P$116,2,0)</f>
        <v>Adapter le bâti situé en zone inondable</v>
      </c>
      <c r="F71" s="436"/>
      <c r="G71" s="436"/>
      <c r="H71" s="436"/>
      <c r="I71" s="12">
        <f>VLOOKUP($D71,'1. Mesures'!$A$2:$P$116,3,0)</f>
        <v>5</v>
      </c>
      <c r="J71" s="457" t="str">
        <f>IFERROR(VLOOKUP($D71,'1. Mesures'!$A$2:$P$116,4,0),"")</f>
        <v>OS 5.3</v>
      </c>
      <c r="K71" s="12">
        <f>VLOOKUP($D71,'1. Mesures'!$A$2:$P$116,8,0)</f>
        <v>0</v>
      </c>
      <c r="L71" s="12">
        <f>VLOOKUP($D71,'1. Mesures'!$A$2:$P$116,9,0)</f>
        <v>0</v>
      </c>
      <c r="M71" s="12">
        <f>VLOOKUP($D71,'1. Mesures'!$A$2:$P$116,10,0)</f>
        <v>0</v>
      </c>
      <c r="N71" s="12" t="str">
        <f>VLOOKUP($D71,'1. Mesures'!$A$2:$P$116,13,0)</f>
        <v>BM</v>
      </c>
      <c r="O71" s="12">
        <f>VLOOKUP($D71,'1. Mesures'!$A$2:$P$116,11,0)</f>
        <v>0</v>
      </c>
      <c r="P71" s="12" t="s">
        <v>2715</v>
      </c>
      <c r="Q71" s="452" t="s">
        <v>155</v>
      </c>
      <c r="R71" s="12" t="str">
        <f>VLOOKUP($D71,'1. Mesures'!$A$2:$P$116,12,0)</f>
        <v>N</v>
      </c>
      <c r="S71" s="12" t="str">
        <f>VLOOKUP($D71,'1. Mesures'!$A$2:$P$116,14,0)</f>
        <v>24-Adaptation to climate change.</v>
      </c>
      <c r="T71" s="12" t="str">
        <f>VLOOKUP($D71,'1. Mesures'!$A$2:$P$116,15,0)</f>
        <v>Other</v>
      </c>
      <c r="U71" s="12">
        <f>VLOOKUP($D71,'1. Mesures'!$A$2:$P$116,16,0)</f>
        <v>0</v>
      </c>
      <c r="V71" s="12" t="e">
        <f>VLOOKUP($D71,'1. Mesures'!$A$2:$P$116,17,0)</f>
        <v>#REF!</v>
      </c>
      <c r="W71" s="12" t="e">
        <f>VLOOKUP($D71,'1. Mesures'!$A$2:$P$116,18,0)</f>
        <v>#REF!</v>
      </c>
    </row>
    <row r="72" spans="1:23" x14ac:dyDescent="0.25">
      <c r="A72" s="449" t="str">
        <f>VLOOKUP($D72,'1. Mesures'!$A$2:$P$116,5,0)</f>
        <v>OO 5.4.1</v>
      </c>
      <c r="B72" s="449">
        <f>VLOOKUP($D72,'1. Mesures'!$A$2:$P$116,6,0)</f>
        <v>0</v>
      </c>
      <c r="C72" s="449" t="str">
        <f>VLOOKUP($D72,'1. Mesures'!$A$2:$P$116,7,0)</f>
        <v>X</v>
      </c>
      <c r="D72" s="436" t="s">
        <v>91</v>
      </c>
      <c r="E72" s="451" t="str">
        <f>VLOOKUP(D72,'1. Mesures'!$A$2:$P$116,2,0)</f>
        <v>Mettre en place un système de prévision des pics de consommation d’eau potable</v>
      </c>
      <c r="F72" s="436"/>
      <c r="G72" s="436"/>
      <c r="H72" s="436"/>
      <c r="I72" s="12">
        <f>VLOOKUP($D72,'1. Mesures'!$A$2:$P$116,3,0)</f>
        <v>5</v>
      </c>
      <c r="J72" s="457" t="str">
        <f>IFERROR(VLOOKUP($D72,'1. Mesures'!$A$2:$P$116,4,0),"")</f>
        <v>OS 5.4</v>
      </c>
      <c r="K72" s="12">
        <f>VLOOKUP($D72,'1. Mesures'!$A$2:$P$116,8,0)</f>
        <v>0</v>
      </c>
      <c r="L72" s="12">
        <f>VLOOKUP($D72,'1. Mesures'!$A$2:$P$116,9,0)</f>
        <v>0</v>
      </c>
      <c r="M72" s="12">
        <f>VLOOKUP($D72,'1. Mesures'!$A$2:$P$116,10,0)</f>
        <v>0</v>
      </c>
      <c r="N72" s="12" t="str">
        <f>VLOOKUP($D72,'1. Mesures'!$A$2:$P$116,13,0)</f>
        <v>BM</v>
      </c>
      <c r="O72" s="12">
        <f>VLOOKUP($D72,'1. Mesures'!$A$2:$P$116,11,0)</f>
        <v>0</v>
      </c>
      <c r="P72" s="12" t="s">
        <v>2715</v>
      </c>
      <c r="Q72" s="452" t="s">
        <v>155</v>
      </c>
      <c r="R72" s="12">
        <f>VLOOKUP($D72,'1. Mesures'!$A$2:$P$116,12,0)</f>
        <v>0</v>
      </c>
      <c r="S72" s="12" t="str">
        <f>VLOOKUP($D72,'1. Mesures'!$A$2:$P$116,14,0)</f>
        <v>24-Adaptation to climate change.</v>
      </c>
      <c r="T72" s="12" t="str">
        <f>VLOOKUP($D72,'1. Mesures'!$A$2:$P$116,15,0)</f>
        <v>Other</v>
      </c>
      <c r="U72" s="12">
        <f>VLOOKUP($D72,'1. Mesures'!$A$2:$P$116,16,0)</f>
        <v>0</v>
      </c>
      <c r="V72" s="12" t="e">
        <f>VLOOKUP($D72,'1. Mesures'!$A$2:$P$116,17,0)</f>
        <v>#REF!</v>
      </c>
      <c r="W72" s="12" t="e">
        <f>VLOOKUP($D72,'1. Mesures'!$A$2:$P$116,18,0)</f>
        <v>#REF!</v>
      </c>
    </row>
    <row r="73" spans="1:23" ht="30" x14ac:dyDescent="0.25">
      <c r="A73" s="449" t="str">
        <f>VLOOKUP($D73,'1. Mesures'!$A$2:$P$116,5,0)</f>
        <v>OO 5.4.2</v>
      </c>
      <c r="B73" s="449">
        <f>VLOOKUP($D73,'1. Mesures'!$A$2:$P$116,6,0)</f>
        <v>0</v>
      </c>
      <c r="C73" s="449" t="str">
        <f>VLOOKUP($D73,'1. Mesures'!$A$2:$P$116,7,0)</f>
        <v>X</v>
      </c>
      <c r="D73" s="436" t="s">
        <v>92</v>
      </c>
      <c r="E73" s="451" t="str">
        <f>VLOOKUP(D73,'1. Mesures'!$A$2:$P$116,2,0)</f>
        <v>Adapter la gestion des captages d'eau souterraine et des prélèvements d'eau de surface en cas de sécheresse</v>
      </c>
      <c r="F73" s="436"/>
      <c r="G73" s="436"/>
      <c r="H73" s="436"/>
      <c r="I73" s="12">
        <f>VLOOKUP($D73,'1. Mesures'!$A$2:$P$116,3,0)</f>
        <v>5</v>
      </c>
      <c r="J73" s="457" t="str">
        <f>IFERROR(VLOOKUP($D73,'1. Mesures'!$A$2:$P$116,4,0),"")</f>
        <v>OS 5.4</v>
      </c>
      <c r="K73" s="12">
        <f>VLOOKUP($D73,'1. Mesures'!$A$2:$P$116,8,0)</f>
        <v>0</v>
      </c>
      <c r="L73" s="12">
        <f>VLOOKUP($D73,'1. Mesures'!$A$2:$P$116,9,0)</f>
        <v>0</v>
      </c>
      <c r="M73" s="12">
        <f>VLOOKUP($D73,'1. Mesures'!$A$2:$P$116,10,0)</f>
        <v>0</v>
      </c>
      <c r="N73" s="12" t="str">
        <f>VLOOKUP($D73,'1. Mesures'!$A$2:$P$116,13,0)</f>
        <v>BM</v>
      </c>
      <c r="O73" s="12">
        <f>VLOOKUP($D73,'1. Mesures'!$A$2:$P$116,11,0)</f>
        <v>0</v>
      </c>
      <c r="P73" s="12" t="s">
        <v>2715</v>
      </c>
      <c r="Q73" s="452" t="s">
        <v>155</v>
      </c>
      <c r="R73" s="12" t="str">
        <f>VLOOKUP($D73,'1. Mesures'!$A$2:$P$116,12,0)</f>
        <v>N</v>
      </c>
      <c r="S73" s="12" t="str">
        <f>VLOOKUP($D73,'1. Mesures'!$A$2:$P$116,14,0)</f>
        <v>24-Adaptation to climate change.</v>
      </c>
      <c r="T73" s="12" t="str">
        <f>VLOOKUP($D73,'1. Mesures'!$A$2:$P$116,15,0)</f>
        <v>Other</v>
      </c>
      <c r="U73" s="12">
        <f>VLOOKUP($D73,'1. Mesures'!$A$2:$P$116,16,0)</f>
        <v>0</v>
      </c>
      <c r="V73" s="12" t="e">
        <f>VLOOKUP($D73,'1. Mesures'!$A$2:$P$116,17,0)</f>
        <v>#REF!</v>
      </c>
      <c r="W73" s="12" t="e">
        <f>VLOOKUP($D73,'1. Mesures'!$A$2:$P$116,18,0)</f>
        <v>#REF!</v>
      </c>
    </row>
    <row r="74" spans="1:23" ht="30" x14ac:dyDescent="0.25">
      <c r="A74" s="449" t="str">
        <f>VLOOKUP($D74,'1. Mesures'!$A$2:$P$116,5,0)</f>
        <v>OO 5.4.1</v>
      </c>
      <c r="B74" s="449">
        <f>VLOOKUP($D74,'1. Mesures'!$A$2:$P$116,6,0)</f>
        <v>0</v>
      </c>
      <c r="C74" s="449" t="str">
        <f>VLOOKUP($D74,'1. Mesures'!$A$2:$P$116,7,0)</f>
        <v>X</v>
      </c>
      <c r="D74" s="436" t="s">
        <v>93</v>
      </c>
      <c r="E74" s="451" t="str">
        <f>VLOOKUP(D74,'1. Mesures'!$A$2:$P$116,2,0)</f>
        <v xml:space="preserve">Renforcer la surveillance des masses d'eau et prendre des mesures de prévention et de sauvegarde en cas de sécheresse dans les zones stratégiques </v>
      </c>
      <c r="F74" s="436"/>
      <c r="G74" s="436"/>
      <c r="H74" s="436"/>
      <c r="I74" s="12">
        <f>VLOOKUP($D74,'1. Mesures'!$A$2:$P$116,3,0)</f>
        <v>5</v>
      </c>
      <c r="J74" s="457" t="str">
        <f>IFERROR(VLOOKUP($D74,'1. Mesures'!$A$2:$P$116,4,0),"")</f>
        <v>OS 5.4</v>
      </c>
      <c r="K74" s="12">
        <f>VLOOKUP($D74,'1. Mesures'!$A$2:$P$116,8,0)</f>
        <v>0</v>
      </c>
      <c r="L74" s="12">
        <f>VLOOKUP($D74,'1. Mesures'!$A$2:$P$116,9,0)</f>
        <v>0</v>
      </c>
      <c r="M74" s="12">
        <f>VLOOKUP($D74,'1. Mesures'!$A$2:$P$116,10,0)</f>
        <v>0</v>
      </c>
      <c r="N74" s="12" t="str">
        <f>VLOOKUP($D74,'1. Mesures'!$A$2:$P$116,13,0)</f>
        <v>BM</v>
      </c>
      <c r="O74" s="12">
        <f>VLOOKUP($D74,'1. Mesures'!$A$2:$P$116,11,0)</f>
        <v>0</v>
      </c>
      <c r="P74" s="12" t="s">
        <v>2715</v>
      </c>
      <c r="Q74" s="452" t="s">
        <v>155</v>
      </c>
      <c r="R74" s="12" t="str">
        <f>VLOOKUP($D74,'1. Mesures'!$A$2:$P$116,12,0)</f>
        <v>N</v>
      </c>
      <c r="S74" s="12" t="str">
        <f>VLOOKUP($D74,'1. Mesures'!$A$2:$P$116,14,0)</f>
        <v>24-Adaptation to climate change.</v>
      </c>
      <c r="T74" s="12" t="str">
        <f>VLOOKUP($D74,'1. Mesures'!$A$2:$P$116,15,0)</f>
        <v>Other</v>
      </c>
      <c r="U74" s="12">
        <f>VLOOKUP($D74,'1. Mesures'!$A$2:$P$116,16,0)</f>
        <v>0</v>
      </c>
      <c r="V74" s="12" t="e">
        <f>VLOOKUP($D74,'1. Mesures'!$A$2:$P$116,17,0)</f>
        <v>#REF!</v>
      </c>
      <c r="W74" s="12" t="e">
        <f>VLOOKUP($D74,'1. Mesures'!$A$2:$P$116,18,0)</f>
        <v>#REF!</v>
      </c>
    </row>
    <row r="75" spans="1:23" ht="30" x14ac:dyDescent="0.25">
      <c r="A75" s="449" t="str">
        <f>VLOOKUP($D75,'1. Mesures'!$A$2:$P$116,5,0)</f>
        <v>OO 5.4.2</v>
      </c>
      <c r="B75" s="449">
        <f>VLOOKUP($D75,'1. Mesures'!$A$2:$P$116,6,0)</f>
        <v>0</v>
      </c>
      <c r="C75" s="449" t="str">
        <f>VLOOKUP($D75,'1. Mesures'!$A$2:$P$116,7,0)</f>
        <v>X</v>
      </c>
      <c r="D75" s="436" t="s">
        <v>94</v>
      </c>
      <c r="E75" s="451" t="str">
        <f>VLOOKUP(D75,'1. Mesures'!$A$2:$P$116,2,0)</f>
        <v xml:space="preserve">Déterminer et assurer les niveaux d’eau minimaux de sécurité pour la navigation sur le Canal et les infrastructures portuaires  </v>
      </c>
      <c r="F75" s="436"/>
      <c r="G75" s="436"/>
      <c r="H75" s="436"/>
      <c r="I75" s="12">
        <f>VLOOKUP($D75,'1. Mesures'!$A$2:$P$116,3,0)</f>
        <v>5</v>
      </c>
      <c r="J75" s="457" t="str">
        <f>IFERROR(VLOOKUP($D75,'1. Mesures'!$A$2:$P$116,4,0),"")</f>
        <v>OS 5.4</v>
      </c>
      <c r="K75" s="12">
        <f>VLOOKUP($D75,'1. Mesures'!$A$2:$P$116,8,0)</f>
        <v>0</v>
      </c>
      <c r="L75" s="12">
        <f>VLOOKUP($D75,'1. Mesures'!$A$2:$P$116,9,0)</f>
        <v>0</v>
      </c>
      <c r="M75" s="12">
        <f>VLOOKUP($D75,'1. Mesures'!$A$2:$P$116,10,0)</f>
        <v>0</v>
      </c>
      <c r="N75" s="12" t="str">
        <f>VLOOKUP($D75,'1. Mesures'!$A$2:$P$116,13,0)</f>
        <v>AM</v>
      </c>
      <c r="O75" s="12">
        <f>VLOOKUP($D75,'1. Mesures'!$A$2:$P$116,11,0)</f>
        <v>0</v>
      </c>
      <c r="P75" s="12" t="s">
        <v>2715</v>
      </c>
      <c r="Q75" s="452" t="s">
        <v>155</v>
      </c>
      <c r="R75" s="12">
        <f>VLOOKUP($D75,'1. Mesures'!$A$2:$P$116,12,0)</f>
        <v>0</v>
      </c>
      <c r="S75" s="12" t="str">
        <f>VLOOKUP($D75,'1. Mesures'!$A$2:$P$116,14,0)</f>
        <v>24-Adaptation to climate change.</v>
      </c>
      <c r="T75" s="12">
        <f>VLOOKUP($D75,'1. Mesures'!$A$2:$P$116,15,0)</f>
        <v>0</v>
      </c>
      <c r="U75" s="12">
        <f>VLOOKUP($D75,'1. Mesures'!$A$2:$P$116,16,0)</f>
        <v>0</v>
      </c>
      <c r="V75" s="12" t="e">
        <f>VLOOKUP($D75,'1. Mesures'!$A$2:$P$116,17,0)</f>
        <v>#REF!</v>
      </c>
      <c r="W75" s="12" t="e">
        <f>VLOOKUP($D75,'1. Mesures'!$A$2:$P$116,18,0)</f>
        <v>#REF!</v>
      </c>
    </row>
    <row r="76" spans="1:23" ht="30" x14ac:dyDescent="0.25">
      <c r="A76" s="449" t="str">
        <f>VLOOKUP($D76,'1. Mesures'!$A$2:$P$116,5,0)</f>
        <v>OO 5.4.2</v>
      </c>
      <c r="B76" s="449">
        <f>VLOOKUP($D76,'1. Mesures'!$A$2:$P$116,6,0)</f>
        <v>0</v>
      </c>
      <c r="C76" s="449" t="str">
        <f>VLOOKUP($D76,'1. Mesures'!$A$2:$P$116,7,0)</f>
        <v>X</v>
      </c>
      <c r="D76" s="436" t="s">
        <v>95</v>
      </c>
      <c r="E76" s="451" t="str">
        <f>VLOOKUP(D76,'1. Mesures'!$A$2:$P$116,2,0)</f>
        <v>Tenir compte de l’évolution des prélèvements et restitutions d’eau dans le Canal pour répondre au besoin sans compromettre la navigation et la qualité de la masse d’eau</v>
      </c>
      <c r="F76" s="436"/>
      <c r="G76" s="436"/>
      <c r="H76" s="436"/>
      <c r="I76" s="12">
        <f>VLOOKUP($D76,'1. Mesures'!$A$2:$P$116,3,0)</f>
        <v>5</v>
      </c>
      <c r="J76" s="457" t="str">
        <f>IFERROR(VLOOKUP($D76,'1. Mesures'!$A$2:$P$116,4,0),"")</f>
        <v>OS 5.4</v>
      </c>
      <c r="K76" s="12">
        <f>VLOOKUP($D76,'1. Mesures'!$A$2:$P$116,8,0)</f>
        <v>0</v>
      </c>
      <c r="L76" s="12">
        <f>VLOOKUP($D76,'1. Mesures'!$A$2:$P$116,9,0)</f>
        <v>0</v>
      </c>
      <c r="M76" s="12">
        <f>VLOOKUP($D76,'1. Mesures'!$A$2:$P$116,10,0)</f>
        <v>0</v>
      </c>
      <c r="N76" s="12" t="str">
        <f>VLOOKUP($D76,'1. Mesures'!$A$2:$P$116,13,0)</f>
        <v>BM</v>
      </c>
      <c r="O76" s="12">
        <f>VLOOKUP($D76,'1. Mesures'!$A$2:$P$116,11,0)</f>
        <v>0</v>
      </c>
      <c r="P76" s="12" t="s">
        <v>2715</v>
      </c>
      <c r="Q76" s="452" t="s">
        <v>155</v>
      </c>
      <c r="R76" s="12">
        <f>VLOOKUP($D76,'1. Mesures'!$A$2:$P$116,12,0)</f>
        <v>0</v>
      </c>
      <c r="S76" s="12" t="str">
        <f>VLOOKUP($D76,'1. Mesures'!$A$2:$P$116,14,0)</f>
        <v>24-Adaptation to climate change.</v>
      </c>
      <c r="T76" s="12" t="str">
        <f>VLOOKUP($D76,'1. Mesures'!$A$2:$P$116,15,0)</f>
        <v>Other</v>
      </c>
      <c r="U76" s="12">
        <f>VLOOKUP($D76,'1. Mesures'!$A$2:$P$116,16,0)</f>
        <v>0</v>
      </c>
      <c r="V76" s="12" t="e">
        <f>VLOOKUP($D76,'1. Mesures'!$A$2:$P$116,17,0)</f>
        <v>#REF!</v>
      </c>
      <c r="W76" s="12" t="e">
        <f>VLOOKUP($D76,'1. Mesures'!$A$2:$P$116,18,0)</f>
        <v>#REF!</v>
      </c>
    </row>
    <row r="77" spans="1:23" ht="30" x14ac:dyDescent="0.25">
      <c r="A77" s="449" t="str">
        <f>VLOOKUP($D77,'1. Mesures'!$A$2:$P$116,5,0)</f>
        <v>OO 5.4.2</v>
      </c>
      <c r="B77" s="449">
        <f>VLOOKUP($D77,'1. Mesures'!$A$2:$P$116,6,0)</f>
        <v>0</v>
      </c>
      <c r="C77" s="449" t="str">
        <f>VLOOKUP($D77,'1. Mesures'!$A$2:$P$116,7,0)</f>
        <v>X</v>
      </c>
      <c r="D77" s="436" t="s">
        <v>96</v>
      </c>
      <c r="E77" s="451" t="str">
        <f>VLOOKUP(D77,'1. Mesures'!$A$2:$P$116,2,0)</f>
        <v>Adopter les mesures de prévention contre les crises écologiques (dont les algues bleues et chutes d’oxygène dissous dans l’eau) de manière coordonnée entre gestionnaires</v>
      </c>
      <c r="F77" s="436"/>
      <c r="G77" s="436"/>
      <c r="H77" s="436"/>
      <c r="I77" s="12">
        <f>VLOOKUP($D77,'1. Mesures'!$A$2:$P$116,3,0)</f>
        <v>5</v>
      </c>
      <c r="J77" s="457" t="str">
        <f>IFERROR(VLOOKUP($D77,'1. Mesures'!$A$2:$P$116,4,0),"")</f>
        <v>OS 5.4</v>
      </c>
      <c r="K77" s="12">
        <f>VLOOKUP($D77,'1. Mesures'!$A$2:$P$116,8,0)</f>
        <v>0</v>
      </c>
      <c r="L77" s="12">
        <f>VLOOKUP($D77,'1. Mesures'!$A$2:$P$116,9,0)</f>
        <v>0</v>
      </c>
      <c r="M77" s="12">
        <f>VLOOKUP($D77,'1. Mesures'!$A$2:$P$116,10,0)</f>
        <v>0</v>
      </c>
      <c r="N77" s="12" t="str">
        <f>VLOOKUP($D77,'1. Mesures'!$A$2:$P$116,13,0)</f>
        <v>BM</v>
      </c>
      <c r="O77" s="12">
        <f>VLOOKUP($D77,'1. Mesures'!$A$2:$P$116,11,0)</f>
        <v>0</v>
      </c>
      <c r="P77" s="12" t="s">
        <v>2715</v>
      </c>
      <c r="Q77" s="452" t="s">
        <v>155</v>
      </c>
      <c r="R77" s="12" t="str">
        <f>VLOOKUP($D77,'1. Mesures'!$A$2:$P$116,12,0)</f>
        <v>A</v>
      </c>
      <c r="S77" s="12" t="str">
        <f>VLOOKUP($D77,'1. Mesures'!$A$2:$P$116,14,0)</f>
        <v>24-Adaptation to climate change.</v>
      </c>
      <c r="T77" s="12" t="str">
        <f>VLOOKUP($D77,'1. Mesures'!$A$2:$P$116,15,0)</f>
        <v>Other</v>
      </c>
      <c r="U77" s="12">
        <f>VLOOKUP($D77,'1. Mesures'!$A$2:$P$116,16,0)</f>
        <v>0</v>
      </c>
      <c r="V77" s="12" t="e">
        <f>VLOOKUP($D77,'1. Mesures'!$A$2:$P$116,17,0)</f>
        <v>#REF!</v>
      </c>
      <c r="W77" s="12" t="e">
        <f>VLOOKUP($D77,'1. Mesures'!$A$2:$P$116,18,0)</f>
        <v>#REF!</v>
      </c>
    </row>
    <row r="78" spans="1:23" ht="30" x14ac:dyDescent="0.25">
      <c r="A78" s="449" t="str">
        <f>VLOOKUP($D78,'1. Mesures'!$A$2:$P$116,5,0)</f>
        <v>OO 5.4.2</v>
      </c>
      <c r="B78" s="449">
        <f>VLOOKUP($D78,'1. Mesures'!$A$2:$P$116,6,0)</f>
        <v>0</v>
      </c>
      <c r="C78" s="449" t="str">
        <f>VLOOKUP($D78,'1. Mesures'!$A$2:$P$116,7,0)</f>
        <v>X</v>
      </c>
      <c r="D78" s="436" t="s">
        <v>97</v>
      </c>
      <c r="E78" s="451" t="str">
        <f>VLOOKUP(D78,'1. Mesures'!$A$2:$P$116,2,0)</f>
        <v xml:space="preserve">Mettre en place une gestion raisonnée de l’eau dans les espaces verts régionaux et communaux </v>
      </c>
      <c r="F78" s="436"/>
      <c r="G78" s="436"/>
      <c r="H78" s="436"/>
      <c r="I78" s="12">
        <f>VLOOKUP($D78,'1. Mesures'!$A$2:$P$116,3,0)</f>
        <v>5</v>
      </c>
      <c r="J78" s="457" t="str">
        <f>IFERROR(VLOOKUP($D78,'1. Mesures'!$A$2:$P$116,4,0),"")</f>
        <v>OS 5.4</v>
      </c>
      <c r="K78" s="12">
        <f>VLOOKUP($D78,'1. Mesures'!$A$2:$P$116,8,0)</f>
        <v>0</v>
      </c>
      <c r="L78" s="12">
        <f>VLOOKUP($D78,'1. Mesures'!$A$2:$P$116,9,0)</f>
        <v>0</v>
      </c>
      <c r="M78" s="12">
        <f>VLOOKUP($D78,'1. Mesures'!$A$2:$P$116,10,0)</f>
        <v>0</v>
      </c>
      <c r="N78" s="12" t="str">
        <f>VLOOKUP($D78,'1. Mesures'!$A$2:$P$116,13,0)</f>
        <v>SM</v>
      </c>
      <c r="O78" s="12">
        <f>VLOOKUP($D78,'1. Mesures'!$A$2:$P$116,11,0)</f>
        <v>0</v>
      </c>
      <c r="P78" s="12" t="s">
        <v>2715</v>
      </c>
      <c r="Q78" s="452" t="s">
        <v>155</v>
      </c>
      <c r="R78" s="12">
        <f>VLOOKUP($D78,'1. Mesures'!$A$2:$P$116,12,0)</f>
        <v>0</v>
      </c>
      <c r="S78" s="12" t="str">
        <f>VLOOKUP($D78,'1. Mesures'!$A$2:$P$116,14,0)</f>
        <v>24-Adaptation to climate change.</v>
      </c>
      <c r="T78" s="12">
        <f>VLOOKUP($D78,'1. Mesures'!$A$2:$P$116,15,0)</f>
        <v>0</v>
      </c>
      <c r="U78" s="12">
        <f>VLOOKUP($D78,'1. Mesures'!$A$2:$P$116,16,0)</f>
        <v>0</v>
      </c>
      <c r="V78" s="12" t="e">
        <f>VLOOKUP($D78,'1. Mesures'!$A$2:$P$116,17,0)</f>
        <v>#REF!</v>
      </c>
      <c r="W78" s="12" t="e">
        <f>VLOOKUP($D78,'1. Mesures'!$A$2:$P$116,18,0)</f>
        <v>#REF!</v>
      </c>
    </row>
    <row r="79" spans="1:23" ht="30" x14ac:dyDescent="0.25">
      <c r="A79" s="449" t="str">
        <f>VLOOKUP($D79,'1. Mesures'!$A$2:$P$116,5,0)</f>
        <v>OO 5.4.2</v>
      </c>
      <c r="B79" s="449">
        <f>VLOOKUP($D79,'1. Mesures'!$A$2:$P$116,6,0)</f>
        <v>0</v>
      </c>
      <c r="C79" s="449" t="str">
        <f>VLOOKUP($D79,'1. Mesures'!$A$2:$P$116,7,0)</f>
        <v>X</v>
      </c>
      <c r="D79" s="436" t="s">
        <v>98</v>
      </c>
      <c r="E79" s="451" t="str">
        <f>VLOOKUP(D79,'1. Mesures'!$A$2:$P$116,2,0)</f>
        <v>Garantir une utilisation rationnelle de l’eau dans l’agriculture urbaine, optimiser l’arrosage et privilégier des sources d’approvisionnement en eau alternatives à l’eau potable</v>
      </c>
      <c r="F79" s="436"/>
      <c r="G79" s="436"/>
      <c r="H79" s="436"/>
      <c r="I79" s="12">
        <f>VLOOKUP($D79,'1. Mesures'!$A$2:$P$116,3,0)</f>
        <v>5</v>
      </c>
      <c r="J79" s="457" t="str">
        <f>IFERROR(VLOOKUP($D79,'1. Mesures'!$A$2:$P$116,4,0),"")</f>
        <v>OS 5.4</v>
      </c>
      <c r="K79" s="12">
        <f>VLOOKUP($D79,'1. Mesures'!$A$2:$P$116,8,0)</f>
        <v>0</v>
      </c>
      <c r="L79" s="12">
        <f>VLOOKUP($D79,'1. Mesures'!$A$2:$P$116,9,0)</f>
        <v>0</v>
      </c>
      <c r="M79" s="12">
        <f>VLOOKUP($D79,'1. Mesures'!$A$2:$P$116,10,0)</f>
        <v>0</v>
      </c>
      <c r="N79" s="12" t="str">
        <f>VLOOKUP($D79,'1. Mesures'!$A$2:$P$116,13,0)</f>
        <v>SM</v>
      </c>
      <c r="O79" s="12" t="str">
        <f>VLOOKUP($D79,'1. Mesures'!$A$2:$P$116,11,0)</f>
        <v>X</v>
      </c>
      <c r="P79" s="12" t="s">
        <v>2715</v>
      </c>
      <c r="Q79" s="452" t="s">
        <v>155</v>
      </c>
      <c r="R79" s="12" t="str">
        <f>VLOOKUP($D79,'1. Mesures'!$A$2:$P$116,12,0)</f>
        <v>A</v>
      </c>
      <c r="S79" s="12" t="str">
        <f>VLOOKUP($D79,'1. Mesures'!$A$2:$P$116,14,0)</f>
        <v>12-Advisory services for agriculture.</v>
      </c>
      <c r="T79" s="12">
        <f>VLOOKUP($D79,'1. Mesures'!$A$2:$P$116,15,0)</f>
        <v>0</v>
      </c>
      <c r="U79" s="12">
        <f>VLOOKUP($D79,'1. Mesures'!$A$2:$P$116,16,0)</f>
        <v>0</v>
      </c>
      <c r="V79" s="12" t="e">
        <f>VLOOKUP($D79,'1. Mesures'!$A$2:$P$116,17,0)</f>
        <v>#REF!</v>
      </c>
      <c r="W79" s="12" t="e">
        <f>VLOOKUP($D79,'1. Mesures'!$A$2:$P$116,18,0)</f>
        <v>#REF!</v>
      </c>
    </row>
    <row r="80" spans="1:23" ht="45" x14ac:dyDescent="0.25">
      <c r="A80" s="449" t="str">
        <f>VLOOKUP($D80,'1. Mesures'!$A$2:$P$116,5,0)</f>
        <v>-</v>
      </c>
      <c r="B80" s="449">
        <f>VLOOKUP($D80,'1. Mesures'!$A$2:$P$116,6,0)</f>
        <v>0</v>
      </c>
      <c r="C80" s="449" t="str">
        <f>VLOOKUP($D80,'1. Mesures'!$A$2:$P$116,7,0)</f>
        <v>X</v>
      </c>
      <c r="D80" s="436" t="s">
        <v>99</v>
      </c>
      <c r="E80" s="451" t="str">
        <f>VLOOKUP(D80,'1. Mesures'!$A$2:$P$116,2,0)</f>
        <v>Instaurer une cellule « sécheresse » dans le cadre de la plateforme de coordination des opérateurs et acteurs de l’eau afin de coordonner l’action et la communication de la Région en cas de (risque de) crise</v>
      </c>
      <c r="F80" s="436"/>
      <c r="G80" s="436"/>
      <c r="H80" s="436"/>
      <c r="I80" s="12">
        <f>VLOOKUP($D80,'1. Mesures'!$A$2:$P$116,3,0)</f>
        <v>5</v>
      </c>
      <c r="J80" s="457" t="str">
        <f>IFERROR(VLOOKUP($D80,'1. Mesures'!$A$2:$P$116,4,0),"")</f>
        <v>OS 5.5</v>
      </c>
      <c r="K80" s="12">
        <f>VLOOKUP($D80,'1. Mesures'!$A$2:$P$116,8,0)</f>
        <v>0</v>
      </c>
      <c r="L80" s="12">
        <f>VLOOKUP($D80,'1. Mesures'!$A$2:$P$116,9,0)</f>
        <v>0</v>
      </c>
      <c r="M80" s="12">
        <f>VLOOKUP($D80,'1. Mesures'!$A$2:$P$116,10,0)</f>
        <v>0</v>
      </c>
      <c r="N80" s="12" t="str">
        <f>VLOOKUP($D80,'1. Mesures'!$A$2:$P$116,13,0)</f>
        <v>BM</v>
      </c>
      <c r="O80" s="12">
        <f>VLOOKUP($D80,'1. Mesures'!$A$2:$P$116,11,0)</f>
        <v>0</v>
      </c>
      <c r="P80" s="12" t="s">
        <v>2715</v>
      </c>
      <c r="Q80" s="452" t="s">
        <v>155</v>
      </c>
      <c r="R80" s="12" t="str">
        <f>VLOOKUP($D80,'1. Mesures'!$A$2:$P$116,12,0)</f>
        <v>P</v>
      </c>
      <c r="S80" s="12">
        <f>VLOOKUP($D80,'1. Mesures'!$A$2:$P$116,14,0)</f>
        <v>0</v>
      </c>
      <c r="T80" s="12">
        <f>VLOOKUP($D80,'1. Mesures'!$A$2:$P$116,15,0)</f>
        <v>0</v>
      </c>
      <c r="U80" s="12">
        <f>VLOOKUP($D80,'1. Mesures'!$A$2:$P$116,16,0)</f>
        <v>0</v>
      </c>
      <c r="V80" s="12" t="e">
        <f>VLOOKUP($D80,'1. Mesures'!$A$2:$P$116,17,0)</f>
        <v>#REF!</v>
      </c>
      <c r="W80" s="12" t="e">
        <f>VLOOKUP($D80,'1. Mesures'!$A$2:$P$116,18,0)</f>
        <v>#REF!</v>
      </c>
    </row>
    <row r="81" spans="1:23" ht="30" x14ac:dyDescent="0.25">
      <c r="A81" s="449" t="str">
        <f>VLOOKUP($D81,'1. Mesures'!$A$2:$P$116,5,0)</f>
        <v>-</v>
      </c>
      <c r="B81" s="449">
        <f>VLOOKUP($D81,'1. Mesures'!$A$2:$P$116,6,0)</f>
        <v>0</v>
      </c>
      <c r="C81" s="449" t="str">
        <f>VLOOKUP($D81,'1. Mesures'!$A$2:$P$116,7,0)</f>
        <v>X</v>
      </c>
      <c r="D81" s="436" t="s">
        <v>100</v>
      </c>
      <c r="E81" s="451" t="str">
        <f>VLOOKUP(D81,'1. Mesures'!$A$2:$P$116,2,0)</f>
        <v xml:space="preserve">Réaliser et exploiter un système de prédiction et d'alerte en matière d’inondation et de sécheresse  </v>
      </c>
      <c r="F81" s="436"/>
      <c r="G81" s="436"/>
      <c r="H81" s="436"/>
      <c r="I81" s="12">
        <f>VLOOKUP($D81,'1. Mesures'!$A$2:$P$116,3,0)</f>
        <v>5</v>
      </c>
      <c r="J81" s="457" t="str">
        <f>IFERROR(VLOOKUP($D81,'1. Mesures'!$A$2:$P$116,4,0),"")</f>
        <v>OS 5.5</v>
      </c>
      <c r="K81" s="12">
        <f>VLOOKUP($D81,'1. Mesures'!$A$2:$P$116,8,0)</f>
        <v>0</v>
      </c>
      <c r="L81" s="12">
        <f>VLOOKUP($D81,'1. Mesures'!$A$2:$P$116,9,0)</f>
        <v>0</v>
      </c>
      <c r="M81" s="12">
        <f>VLOOKUP($D81,'1. Mesures'!$A$2:$P$116,10,0)</f>
        <v>0</v>
      </c>
      <c r="N81" s="12" t="str">
        <f>VLOOKUP($D81,'1. Mesures'!$A$2:$P$116,13,0)</f>
        <v>BM</v>
      </c>
      <c r="O81" s="12">
        <f>VLOOKUP($D81,'1. Mesures'!$A$2:$P$116,11,0)</f>
        <v>0</v>
      </c>
      <c r="P81" s="12" t="s">
        <v>2715</v>
      </c>
      <c r="Q81" s="452" t="s">
        <v>155</v>
      </c>
      <c r="R81" s="12" t="str">
        <f>VLOOKUP($D81,'1. Mesures'!$A$2:$P$116,12,0)</f>
        <v>P</v>
      </c>
      <c r="S81" s="12" t="str">
        <f>VLOOKUP($D81,'1. Mesures'!$A$2:$P$116,14,0)</f>
        <v>24-Adaptation to climate change.</v>
      </c>
      <c r="T81" s="12">
        <f>VLOOKUP($D81,'1. Mesures'!$A$2:$P$116,15,0)</f>
        <v>0</v>
      </c>
      <c r="U81" s="12">
        <f>VLOOKUP($D81,'1. Mesures'!$A$2:$P$116,16,0)</f>
        <v>0</v>
      </c>
      <c r="V81" s="12" t="e">
        <f>VLOOKUP($D81,'1. Mesures'!$A$2:$P$116,17,0)</f>
        <v>#REF!</v>
      </c>
      <c r="W81" s="12" t="e">
        <f>VLOOKUP($D81,'1. Mesures'!$A$2:$P$116,18,0)</f>
        <v>#REF!</v>
      </c>
    </row>
    <row r="82" spans="1:23" ht="30" x14ac:dyDescent="0.25">
      <c r="A82" s="449" t="str">
        <f>VLOOKUP($D82,'1. Mesures'!$A$2:$P$116,5,0)</f>
        <v>-</v>
      </c>
      <c r="B82" s="449">
        <f>VLOOKUP($D82,'1. Mesures'!$A$2:$P$116,6,0)</f>
        <v>0</v>
      </c>
      <c r="C82" s="449" t="str">
        <f>VLOOKUP($D82,'1. Mesures'!$A$2:$P$116,7,0)</f>
        <v>X</v>
      </c>
      <c r="D82" s="436" t="s">
        <v>101</v>
      </c>
      <c r="E82" s="451" t="str">
        <f>VLOOKUP(D82,'1. Mesures'!$A$2:$P$116,2,0)</f>
        <v>Etablir et mettre en place un Plan particulier d’urgence et d'intervention propre aux  thématiques « inondation » et « sécheresse »</v>
      </c>
      <c r="F82" s="436"/>
      <c r="G82" s="436"/>
      <c r="H82" s="436"/>
      <c r="I82" s="12">
        <f>VLOOKUP($D82,'1. Mesures'!$A$2:$P$116,3,0)</f>
        <v>5</v>
      </c>
      <c r="J82" s="457" t="str">
        <f>IFERROR(VLOOKUP($D82,'1. Mesures'!$A$2:$P$116,4,0),"")</f>
        <v>OS 5.5</v>
      </c>
      <c r="K82" s="12">
        <f>VLOOKUP($D82,'1. Mesures'!$A$2:$P$116,8,0)</f>
        <v>0</v>
      </c>
      <c r="L82" s="12">
        <f>VLOOKUP($D82,'1. Mesures'!$A$2:$P$116,9,0)</f>
        <v>0</v>
      </c>
      <c r="M82" s="12">
        <f>VLOOKUP($D82,'1. Mesures'!$A$2:$P$116,10,0)</f>
        <v>0</v>
      </c>
      <c r="N82" s="12" t="str">
        <f>VLOOKUP($D82,'1. Mesures'!$A$2:$P$116,13,0)</f>
        <v>BM</v>
      </c>
      <c r="O82" s="12">
        <f>VLOOKUP($D82,'1. Mesures'!$A$2:$P$116,11,0)</f>
        <v>0</v>
      </c>
      <c r="P82" s="12" t="s">
        <v>2715</v>
      </c>
      <c r="Q82" s="452" t="s">
        <v>155</v>
      </c>
      <c r="R82" s="12">
        <f>VLOOKUP($D82,'1. Mesures'!$A$2:$P$116,12,0)</f>
        <v>0</v>
      </c>
      <c r="S82" s="12" t="str">
        <f>VLOOKUP($D82,'1. Mesures'!$A$2:$P$116,14,0)</f>
        <v>24-Adaptation to climate change.</v>
      </c>
      <c r="T82" s="12">
        <f>VLOOKUP($D82,'1. Mesures'!$A$2:$P$116,15,0)</f>
        <v>0</v>
      </c>
      <c r="U82" s="12">
        <f>VLOOKUP($D82,'1. Mesures'!$A$2:$P$116,16,0)</f>
        <v>0</v>
      </c>
      <c r="V82" s="12" t="e">
        <f>VLOOKUP($D82,'1. Mesures'!$A$2:$P$116,17,0)</f>
        <v>#REF!</v>
      </c>
      <c r="W82" s="12" t="e">
        <f>VLOOKUP($D82,'1. Mesures'!$A$2:$P$116,18,0)</f>
        <v>#REF!</v>
      </c>
    </row>
    <row r="83" spans="1:23" ht="45" x14ac:dyDescent="0.25">
      <c r="A83" s="449" t="str">
        <f>VLOOKUP($D83,'1. Mesures'!$A$2:$P$116,5,0)</f>
        <v>OO 5.6.2</v>
      </c>
      <c r="B83" s="449">
        <f>VLOOKUP($D83,'1. Mesures'!$A$2:$P$116,6,0)</f>
        <v>0</v>
      </c>
      <c r="C83" s="449">
        <f>VLOOKUP($D83,'1. Mesures'!$A$2:$P$116,7,0)</f>
        <v>0</v>
      </c>
      <c r="D83" s="436" t="s">
        <v>102</v>
      </c>
      <c r="E83" s="451" t="str">
        <f>VLOOKUP(D83,'1. Mesures'!$A$2:$P$116,2,0)</f>
        <v xml:space="preserve">Modéliser hydrauliquement les axes d’écoulements principaux (cours d’eau, grands collecteurs et leurs bassins d’orage) et leurs interactions pour affiner l’établissement des zones inondables et servir à la gestion dynamique.  </v>
      </c>
      <c r="F83" s="436"/>
      <c r="G83" s="436"/>
      <c r="H83" s="436"/>
      <c r="I83" s="12">
        <f>VLOOKUP($D83,'1. Mesures'!$A$2:$P$116,3,0)</f>
        <v>5</v>
      </c>
      <c r="J83" s="457" t="str">
        <f>IFERROR(VLOOKUP($D83,'1. Mesures'!$A$2:$P$116,4,0),"")</f>
        <v>OS 5.6</v>
      </c>
      <c r="K83" s="12">
        <f>VLOOKUP($D83,'1. Mesures'!$A$2:$P$116,8,0)</f>
        <v>0</v>
      </c>
      <c r="L83" s="12">
        <f>VLOOKUP($D83,'1. Mesures'!$A$2:$P$116,9,0)</f>
        <v>0</v>
      </c>
      <c r="M83" s="12">
        <f>VLOOKUP($D83,'1. Mesures'!$A$2:$P$116,10,0)</f>
        <v>0</v>
      </c>
      <c r="N83" s="12" t="str">
        <f>VLOOKUP($D83,'1. Mesures'!$A$2:$P$116,13,0)</f>
        <v>BM</v>
      </c>
      <c r="O83" s="12">
        <f>VLOOKUP($D83,'1. Mesures'!$A$2:$P$116,11,0)</f>
        <v>0</v>
      </c>
      <c r="P83" s="12" t="s">
        <v>2715</v>
      </c>
      <c r="Q83" s="452" t="s">
        <v>155</v>
      </c>
      <c r="R83" s="12" t="str">
        <f>VLOOKUP($D83,'1. Mesures'!$A$2:$P$116,12,0)</f>
        <v>P</v>
      </c>
      <c r="S83" s="12" t="str">
        <f>VLOOKUP($D83,'1. Mesures'!$A$2:$P$116,14,0)</f>
        <v>24-Adaptation to climate change.</v>
      </c>
      <c r="T83" s="12">
        <f>VLOOKUP($D83,'1. Mesures'!$A$2:$P$116,15,0)</f>
        <v>0</v>
      </c>
      <c r="U83" s="12">
        <f>VLOOKUP($D83,'1. Mesures'!$A$2:$P$116,16,0)</f>
        <v>0</v>
      </c>
      <c r="V83" s="12" t="e">
        <f>VLOOKUP($D83,'1. Mesures'!$A$2:$P$116,17,0)</f>
        <v>#REF!</v>
      </c>
      <c r="W83" s="12" t="e">
        <f>VLOOKUP($D83,'1. Mesures'!$A$2:$P$116,18,0)</f>
        <v>#REF!</v>
      </c>
    </row>
    <row r="84" spans="1:23" ht="45" x14ac:dyDescent="0.25">
      <c r="A84" s="449" t="str">
        <f>VLOOKUP($D84,'1. Mesures'!$A$2:$P$116,5,0)</f>
        <v>OO 5.6.2</v>
      </c>
      <c r="B84" s="449">
        <f>VLOOKUP($D84,'1. Mesures'!$A$2:$P$116,6,0)</f>
        <v>0</v>
      </c>
      <c r="C84" s="449" t="str">
        <f>VLOOKUP($D84,'1. Mesures'!$A$2:$P$116,7,0)</f>
        <v>X</v>
      </c>
      <c r="D84" s="436" t="s">
        <v>103</v>
      </c>
      <c r="E84" s="451" t="str">
        <f>VLOOKUP(D84,'1. Mesures'!$A$2:$P$116,2,0)</f>
        <v>Poursuivre les recherches sur la disponibilité et l’exploitation possible d’aquifères plus profonds, d’eaux de carrière ou d’autres zones exploitables comme sources d’approvisionnement d’eau potable</v>
      </c>
      <c r="F84" s="436"/>
      <c r="G84" s="436"/>
      <c r="H84" s="436"/>
      <c r="I84" s="12">
        <f>VLOOKUP($D84,'1. Mesures'!$A$2:$P$116,3,0)</f>
        <v>5</v>
      </c>
      <c r="J84" s="457" t="str">
        <f>IFERROR(VLOOKUP($D84,'1. Mesures'!$A$2:$P$116,4,0),"")</f>
        <v>OS 5.6</v>
      </c>
      <c r="K84" s="12">
        <f>VLOOKUP($D84,'1. Mesures'!$A$2:$P$116,8,0)</f>
        <v>0</v>
      </c>
      <c r="L84" s="12">
        <f>VLOOKUP($D84,'1. Mesures'!$A$2:$P$116,9,0)</f>
        <v>0</v>
      </c>
      <c r="M84" s="12">
        <f>VLOOKUP($D84,'1. Mesures'!$A$2:$P$116,10,0)</f>
        <v>0</v>
      </c>
      <c r="N84" s="12" t="str">
        <f>VLOOKUP($D84,'1. Mesures'!$A$2:$P$116,13,0)</f>
        <v>SM</v>
      </c>
      <c r="O84" s="12">
        <f>VLOOKUP($D84,'1. Mesures'!$A$2:$P$116,11,0)</f>
        <v>0</v>
      </c>
      <c r="P84" s="12" t="s">
        <v>2715</v>
      </c>
      <c r="Q84" s="452" t="s">
        <v>155</v>
      </c>
      <c r="R84" s="12">
        <f>VLOOKUP($D84,'1. Mesures'!$A$2:$P$116,12,0)</f>
        <v>0</v>
      </c>
      <c r="S84" s="12" t="str">
        <f>VLOOKUP($D84,'1. Mesures'!$A$2:$P$116,14,0)</f>
        <v>14-Research, improvement of knowledge base reducing uncertainty.</v>
      </c>
      <c r="T84" s="12">
        <f>VLOOKUP($D84,'1. Mesures'!$A$2:$P$116,15,0)</f>
        <v>0</v>
      </c>
      <c r="U84" s="12">
        <f>VLOOKUP($D84,'1. Mesures'!$A$2:$P$116,16,0)</f>
        <v>0</v>
      </c>
      <c r="V84" s="12" t="e">
        <f>VLOOKUP($D84,'1. Mesures'!$A$2:$P$116,17,0)</f>
        <v>#REF!</v>
      </c>
      <c r="W84" s="12" t="e">
        <f>VLOOKUP($D84,'1. Mesures'!$A$2:$P$116,18,0)</f>
        <v>#REF!</v>
      </c>
    </row>
    <row r="85" spans="1:23" ht="30" x14ac:dyDescent="0.25">
      <c r="A85" s="449" t="str">
        <f>VLOOKUP($D85,'1. Mesures'!$A$2:$P$116,5,0)</f>
        <v>OO 5.6.2</v>
      </c>
      <c r="B85" s="449">
        <f>VLOOKUP($D85,'1. Mesures'!$A$2:$P$116,6,0)</f>
        <v>0</v>
      </c>
      <c r="C85" s="449" t="str">
        <f>VLOOKUP($D85,'1. Mesures'!$A$2:$P$116,7,0)</f>
        <v>X</v>
      </c>
      <c r="D85" s="436" t="s">
        <v>105</v>
      </c>
      <c r="E85" s="451" t="str">
        <f>VLOOKUP(D85,'1. Mesures'!$A$2:$P$116,2,0)</f>
        <v xml:space="preserve">Analyser les possibilités de stockage dans les aquifères profonds lors de la période de recharge des nappes afin d’augmenter la disponibilité en eau brute </v>
      </c>
      <c r="F85" s="436"/>
      <c r="G85" s="436"/>
      <c r="H85" s="436"/>
      <c r="I85" s="12">
        <f>VLOOKUP($D85,'1. Mesures'!$A$2:$P$116,3,0)</f>
        <v>5</v>
      </c>
      <c r="J85" s="457" t="str">
        <f>IFERROR(VLOOKUP($D85,'1. Mesures'!$A$2:$P$116,4,0),"")</f>
        <v>OS 5.6</v>
      </c>
      <c r="K85" s="12">
        <f>VLOOKUP($D85,'1. Mesures'!$A$2:$P$116,8,0)</f>
        <v>0</v>
      </c>
      <c r="L85" s="12">
        <f>VLOOKUP($D85,'1. Mesures'!$A$2:$P$116,9,0)</f>
        <v>0</v>
      </c>
      <c r="M85" s="12">
        <f>VLOOKUP($D85,'1. Mesures'!$A$2:$P$116,10,0)</f>
        <v>0</v>
      </c>
      <c r="N85" s="12" t="str">
        <f>VLOOKUP($D85,'1. Mesures'!$A$2:$P$116,13,0)</f>
        <v>SM</v>
      </c>
      <c r="O85" s="12">
        <f>VLOOKUP($D85,'1. Mesures'!$A$2:$P$116,11,0)</f>
        <v>0</v>
      </c>
      <c r="P85" s="12" t="s">
        <v>2715</v>
      </c>
      <c r="Q85" s="452" t="s">
        <v>155</v>
      </c>
      <c r="R85" s="12" t="str">
        <f>VLOOKUP($D85,'1. Mesures'!$A$2:$P$116,12,0)</f>
        <v>P</v>
      </c>
      <c r="S85" s="12" t="str">
        <f>VLOOKUP($D85,'1. Mesures'!$A$2:$P$116,14,0)</f>
        <v>24-Adaptation to climate change.</v>
      </c>
      <c r="T85" s="12" t="str">
        <f>VLOOKUP($D85,'1. Mesures'!$A$2:$P$116,15,0)</f>
        <v>Recharge or augmentation groundwaters</v>
      </c>
      <c r="U85" s="12">
        <f>VLOOKUP($D85,'1. Mesures'!$A$2:$P$116,16,0)</f>
        <v>0</v>
      </c>
      <c r="V85" s="12" t="e">
        <f>VLOOKUP($D85,'1. Mesures'!$A$2:$P$116,17,0)</f>
        <v>#REF!</v>
      </c>
      <c r="W85" s="12" t="e">
        <f>VLOOKUP($D85,'1. Mesures'!$A$2:$P$116,18,0)</f>
        <v>#REF!</v>
      </c>
    </row>
    <row r="86" spans="1:23" ht="30" x14ac:dyDescent="0.25">
      <c r="A86" s="449" t="str">
        <f>VLOOKUP($D86,'1. Mesures'!$A$2:$P$116,5,0)</f>
        <v>OO 5.6.1</v>
      </c>
      <c r="B86" s="449">
        <f>VLOOKUP($D86,'1. Mesures'!$A$2:$P$116,6,0)</f>
        <v>0</v>
      </c>
      <c r="C86" s="449">
        <f>VLOOKUP($D86,'1. Mesures'!$A$2:$P$116,7,0)</f>
        <v>0</v>
      </c>
      <c r="D86" s="436" t="s">
        <v>106</v>
      </c>
      <c r="E86" s="451" t="str">
        <f>VLOOKUP(D86,'1. Mesures'!$A$2:$P$116,2,0)</f>
        <v>Mener une politique de communication portant sur le changement climatique et les sujets impactés en lien avec la thématique de l’eau</v>
      </c>
      <c r="F86" s="436"/>
      <c r="G86" s="436"/>
      <c r="H86" s="436"/>
      <c r="I86" s="12">
        <f>VLOOKUP($D86,'1. Mesures'!$A$2:$P$116,3,0)</f>
        <v>5</v>
      </c>
      <c r="J86" s="457" t="str">
        <f>IFERROR(VLOOKUP($D86,'1. Mesures'!$A$2:$P$116,4,0),"")</f>
        <v>OS 5.6</v>
      </c>
      <c r="K86" s="12" t="str">
        <f>VLOOKUP($D86,'1. Mesures'!$A$2:$P$116,8,0)</f>
        <v>X</v>
      </c>
      <c r="L86" s="12">
        <f>VLOOKUP($D86,'1. Mesures'!$A$2:$P$116,9,0)</f>
        <v>0</v>
      </c>
      <c r="M86" s="12">
        <f>VLOOKUP($D86,'1. Mesures'!$A$2:$P$116,10,0)</f>
        <v>0</v>
      </c>
      <c r="N86" s="12" t="str">
        <f>VLOOKUP($D86,'1. Mesures'!$A$2:$P$116,13,0)</f>
        <v>SM</v>
      </c>
      <c r="O86" s="12" t="str">
        <f>VLOOKUP($D86,'1. Mesures'!$A$2:$P$116,11,0)</f>
        <v>X</v>
      </c>
      <c r="P86" s="12" t="s">
        <v>2715</v>
      </c>
      <c r="Q86" s="452" t="s">
        <v>155</v>
      </c>
      <c r="R86" s="12" t="str">
        <f>VLOOKUP($D86,'1. Mesures'!$A$2:$P$116,12,0)</f>
        <v>P</v>
      </c>
      <c r="S86" s="12" t="str">
        <f>VLOOKUP($D86,'1. Mesures'!$A$2:$P$116,14,0)</f>
        <v>24-Adaptation to climate change.</v>
      </c>
      <c r="T86" s="12">
        <f>VLOOKUP($D86,'1. Mesures'!$A$2:$P$116,15,0)</f>
        <v>0</v>
      </c>
      <c r="U86" s="12">
        <f>VLOOKUP($D86,'1. Mesures'!$A$2:$P$116,16,0)</f>
        <v>0</v>
      </c>
      <c r="V86" s="12" t="e">
        <f>VLOOKUP($D86,'1. Mesures'!$A$2:$P$116,17,0)</f>
        <v>#REF!</v>
      </c>
      <c r="W86" s="12" t="e">
        <f>VLOOKUP($D86,'1. Mesures'!$A$2:$P$116,18,0)</f>
        <v>#REF!</v>
      </c>
    </row>
    <row r="87" spans="1:23" ht="30" x14ac:dyDescent="0.25">
      <c r="A87" s="449" t="str">
        <f>VLOOKUP($D87,'1. Mesures'!$A$2:$P$116,5,0)</f>
        <v>OO 5.6.2</v>
      </c>
      <c r="B87" s="449">
        <f>VLOOKUP($D87,'1. Mesures'!$A$2:$P$116,6,0)</f>
        <v>0</v>
      </c>
      <c r="C87" s="449">
        <f>VLOOKUP($D87,'1. Mesures'!$A$2:$P$116,7,0)</f>
        <v>0</v>
      </c>
      <c r="D87" s="436" t="s">
        <v>107</v>
      </c>
      <c r="E87" s="451" t="str">
        <f>VLOOKUP(D87,'1. Mesures'!$A$2:$P$116,2,0)</f>
        <v xml:space="preserve">Mener une politique de recherche et développement portant sur les différents sujets destinés à améliorer la résilience de la RBC face au changement climatique </v>
      </c>
      <c r="F87" s="436"/>
      <c r="G87" s="436"/>
      <c r="H87" s="436"/>
      <c r="I87" s="12">
        <f>VLOOKUP($D87,'1. Mesures'!$A$2:$P$116,3,0)</f>
        <v>5</v>
      </c>
      <c r="J87" s="457" t="str">
        <f>IFERROR(VLOOKUP($D87,'1. Mesures'!$A$2:$P$116,4,0),"")</f>
        <v>OS 5.6</v>
      </c>
      <c r="K87" s="12" t="str">
        <f>VLOOKUP($D87,'1. Mesures'!$A$2:$P$116,8,0)</f>
        <v>X</v>
      </c>
      <c r="L87" s="12">
        <f>VLOOKUP($D87,'1. Mesures'!$A$2:$P$116,9,0)</f>
        <v>0</v>
      </c>
      <c r="M87" s="12">
        <f>VLOOKUP($D87,'1. Mesures'!$A$2:$P$116,10,0)</f>
        <v>0</v>
      </c>
      <c r="N87" s="12" t="str">
        <f>VLOOKUP($D87,'1. Mesures'!$A$2:$P$116,13,0)</f>
        <v>SM</v>
      </c>
      <c r="O87" s="12" t="str">
        <f>VLOOKUP($D87,'1. Mesures'!$A$2:$P$116,11,0)</f>
        <v>X</v>
      </c>
      <c r="P87" s="12" t="s">
        <v>2715</v>
      </c>
      <c r="Q87" s="452" t="s">
        <v>155</v>
      </c>
      <c r="R87" s="12">
        <f>VLOOKUP($D87,'1. Mesures'!$A$2:$P$116,12,0)</f>
        <v>0</v>
      </c>
      <c r="S87" s="12" t="str">
        <f>VLOOKUP($D87,'1. Mesures'!$A$2:$P$116,14,0)</f>
        <v>14-Research, improvement of knowledge base reducing uncertainty.</v>
      </c>
      <c r="T87" s="12">
        <f>VLOOKUP($D87,'1. Mesures'!$A$2:$P$116,15,0)</f>
        <v>0</v>
      </c>
      <c r="U87" s="12">
        <f>VLOOKUP($D87,'1. Mesures'!$A$2:$P$116,16,0)</f>
        <v>0</v>
      </c>
      <c r="V87" s="12" t="e">
        <f>VLOOKUP($D87,'1. Mesures'!$A$2:$P$116,17,0)</f>
        <v>#REF!</v>
      </c>
      <c r="W87" s="12" t="e">
        <f>VLOOKUP($D87,'1. Mesures'!$A$2:$P$116,18,0)</f>
        <v>#REF!</v>
      </c>
    </row>
    <row r="88" spans="1:23" x14ac:dyDescent="0.25">
      <c r="A88" s="449" t="str">
        <f>VLOOKUP($D88,'1. Mesures'!$A$2:$P$116,5,0)</f>
        <v>OO 6.1.1</v>
      </c>
      <c r="B88" s="449">
        <f>VLOOKUP($D88,'1. Mesures'!$A$2:$P$116,6,0)</f>
        <v>0</v>
      </c>
      <c r="C88" s="449">
        <f>VLOOKUP($D88,'1. Mesures'!$A$2:$P$116,7,0)</f>
        <v>0</v>
      </c>
      <c r="D88" s="436" t="s">
        <v>110</v>
      </c>
      <c r="E88" s="451" t="str">
        <f>VLOOKUP(D88,'1. Mesures'!$A$2:$P$116,2,0)</f>
        <v>Elaborer un plan de gestion des cours d’eau par sous-bassin versant</v>
      </c>
      <c r="F88" s="436"/>
      <c r="G88" s="436"/>
      <c r="H88" s="436"/>
      <c r="I88" s="12">
        <f>VLOOKUP($D88,'1. Mesures'!$A$2:$P$116,3,0)</f>
        <v>6</v>
      </c>
      <c r="J88" s="457" t="str">
        <f>IFERROR(VLOOKUP($D88,'1. Mesures'!$A$2:$P$116,4,0),"")</f>
        <v>OS 6.1</v>
      </c>
      <c r="K88" s="12">
        <f>VLOOKUP($D88,'1. Mesures'!$A$2:$P$116,8,0)</f>
        <v>0</v>
      </c>
      <c r="L88" s="12">
        <f>VLOOKUP($D88,'1. Mesures'!$A$2:$P$116,9,0)</f>
        <v>0</v>
      </c>
      <c r="M88" s="12">
        <f>VLOOKUP($D88,'1. Mesures'!$A$2:$P$116,10,0)</f>
        <v>0</v>
      </c>
      <c r="N88" s="12" t="str">
        <f>VLOOKUP($D88,'1. Mesures'!$A$2:$P$116,13,0)</f>
        <v>BM</v>
      </c>
      <c r="O88" s="12">
        <f>VLOOKUP($D88,'1. Mesures'!$A$2:$P$116,11,0)</f>
        <v>0</v>
      </c>
      <c r="P88" s="12" t="s">
        <v>2715</v>
      </c>
      <c r="Q88" s="452" t="s">
        <v>155</v>
      </c>
      <c r="R88" s="12" t="str">
        <f>VLOOKUP($D88,'1. Mesures'!$A$2:$P$116,12,0)</f>
        <v>P</v>
      </c>
      <c r="S88" s="12">
        <f>VLOOKUP($D88,'1. Mesures'!$A$2:$P$116,14,0)</f>
        <v>0</v>
      </c>
      <c r="T88" s="12">
        <f>VLOOKUP($D88,'1. Mesures'!$A$2:$P$116,15,0)</f>
        <v>0</v>
      </c>
      <c r="U88" s="12" t="str">
        <f>VLOOKUP($D88,'1. Mesures'!$A$2:$P$116,16,0)</f>
        <v>SW</v>
      </c>
      <c r="V88" s="12" t="e">
        <f>VLOOKUP($D88,'1. Mesures'!$A$2:$P$116,17,0)</f>
        <v>#REF!</v>
      </c>
      <c r="W88" s="12" t="e">
        <f>VLOOKUP($D88,'1. Mesures'!$A$2:$P$116,18,0)</f>
        <v>#REF!</v>
      </c>
    </row>
    <row r="89" spans="1:23" x14ac:dyDescent="0.25">
      <c r="A89" s="449" t="str">
        <f>VLOOKUP($D89,'1. Mesures'!$A$2:$P$116,5,0)</f>
        <v>OO 6.1.1</v>
      </c>
      <c r="B89" s="449">
        <f>VLOOKUP($D89,'1. Mesures'!$A$2:$P$116,6,0)</f>
        <v>0</v>
      </c>
      <c r="C89" s="449">
        <f>VLOOKUP($D89,'1. Mesures'!$A$2:$P$116,7,0)</f>
        <v>0</v>
      </c>
      <c r="D89" s="436" t="s">
        <v>111</v>
      </c>
      <c r="E89" s="451" t="str">
        <f>VLOOKUP(D89,'1. Mesures'!$A$2:$P$116,2,0)</f>
        <v xml:space="preserve">Etablir un plan de gestion spécifique pour les étangs régionaux </v>
      </c>
      <c r="F89" s="436"/>
      <c r="G89" s="436"/>
      <c r="H89" s="436"/>
      <c r="I89" s="12">
        <f>VLOOKUP($D89,'1. Mesures'!$A$2:$P$116,3,0)</f>
        <v>6</v>
      </c>
      <c r="J89" s="457" t="str">
        <f>IFERROR(VLOOKUP($D89,'1. Mesures'!$A$2:$P$116,4,0),"")</f>
        <v>OS 6.1</v>
      </c>
      <c r="K89" s="12">
        <f>VLOOKUP($D89,'1. Mesures'!$A$2:$P$116,8,0)</f>
        <v>0</v>
      </c>
      <c r="L89" s="12">
        <f>VLOOKUP($D89,'1. Mesures'!$A$2:$P$116,9,0)</f>
        <v>0</v>
      </c>
      <c r="M89" s="12">
        <f>VLOOKUP($D89,'1. Mesures'!$A$2:$P$116,10,0)</f>
        <v>0</v>
      </c>
      <c r="N89" s="12" t="str">
        <f>VLOOKUP($D89,'1. Mesures'!$A$2:$P$116,13,0)</f>
        <v>BM</v>
      </c>
      <c r="O89" s="12" t="str">
        <f>VLOOKUP($D89,'1. Mesures'!$A$2:$P$116,11,0)</f>
        <v>X</v>
      </c>
      <c r="P89" s="12" t="s">
        <v>2715</v>
      </c>
      <c r="Q89" s="452" t="s">
        <v>155</v>
      </c>
      <c r="R89" s="12" t="str">
        <f>VLOOKUP($D89,'1. Mesures'!$A$2:$P$116,12,0)</f>
        <v>P</v>
      </c>
      <c r="S89" s="12">
        <f>VLOOKUP($D89,'1. Mesures'!$A$2:$P$116,14,0)</f>
        <v>0</v>
      </c>
      <c r="T89" s="12">
        <f>VLOOKUP($D89,'1. Mesures'!$A$2:$P$116,15,0)</f>
        <v>0</v>
      </c>
      <c r="U89" s="12" t="str">
        <f>VLOOKUP($D89,'1. Mesures'!$A$2:$P$116,16,0)</f>
        <v>SW</v>
      </c>
      <c r="V89" s="12" t="e">
        <f>VLOOKUP($D89,'1. Mesures'!$A$2:$P$116,17,0)</f>
        <v>#REF!</v>
      </c>
      <c r="W89" s="12" t="e">
        <f>VLOOKUP($D89,'1. Mesures'!$A$2:$P$116,18,0)</f>
        <v>#REF!</v>
      </c>
    </row>
    <row r="90" spans="1:23" x14ac:dyDescent="0.25">
      <c r="A90" s="449" t="str">
        <f>VLOOKUP($D90,'1. Mesures'!$A$2:$P$116,5,0)</f>
        <v>OO 6.1.1</v>
      </c>
      <c r="B90" s="449">
        <f>VLOOKUP($D90,'1. Mesures'!$A$2:$P$116,6,0)</f>
        <v>0</v>
      </c>
      <c r="C90" s="449">
        <f>VLOOKUP($D90,'1. Mesures'!$A$2:$P$116,7,0)</f>
        <v>0</v>
      </c>
      <c r="D90" s="436" t="s">
        <v>112</v>
      </c>
      <c r="E90" s="451" t="str">
        <f>VLOOKUP(D90,'1. Mesures'!$A$2:$P$116,2,0)</f>
        <v xml:space="preserve">Réaliser les travaux de gestion ordinaire des cours d’eau non navigables et des étangs </v>
      </c>
      <c r="F90" s="436"/>
      <c r="G90" s="436"/>
      <c r="H90" s="436"/>
      <c r="I90" s="12">
        <f>VLOOKUP($D90,'1. Mesures'!$A$2:$P$116,3,0)</f>
        <v>6</v>
      </c>
      <c r="J90" s="457" t="str">
        <f>IFERROR(VLOOKUP($D90,'1. Mesures'!$A$2:$P$116,4,0),"")</f>
        <v>OS 6.1</v>
      </c>
      <c r="K90" s="12">
        <f>VLOOKUP($D90,'1. Mesures'!$A$2:$P$116,8,0)</f>
        <v>0</v>
      </c>
      <c r="L90" s="12">
        <f>VLOOKUP($D90,'1. Mesures'!$A$2:$P$116,9,0)</f>
        <v>0</v>
      </c>
      <c r="M90" s="12">
        <f>VLOOKUP($D90,'1. Mesures'!$A$2:$P$116,10,0)</f>
        <v>0</v>
      </c>
      <c r="N90" s="12" t="str">
        <f>VLOOKUP($D90,'1. Mesures'!$A$2:$P$116,13,0)</f>
        <v>BM</v>
      </c>
      <c r="O90" s="12">
        <f>VLOOKUP($D90,'1. Mesures'!$A$2:$P$116,11,0)</f>
        <v>0</v>
      </c>
      <c r="P90" s="12" t="s">
        <v>2715</v>
      </c>
      <c r="Q90" s="452" t="s">
        <v>155</v>
      </c>
      <c r="R90" s="12" t="str">
        <f>VLOOKUP($D90,'1. Mesures'!$A$2:$P$116,12,0)</f>
        <v>P</v>
      </c>
      <c r="S90" s="12">
        <f>VLOOKUP($D90,'1. Mesures'!$A$2:$P$116,14,0)</f>
        <v>0</v>
      </c>
      <c r="T90" s="12">
        <f>VLOOKUP($D90,'1. Mesures'!$A$2:$P$116,15,0)</f>
        <v>0</v>
      </c>
      <c r="U90" s="12" t="str">
        <f>VLOOKUP($D90,'1. Mesures'!$A$2:$P$116,16,0)</f>
        <v>SW</v>
      </c>
      <c r="V90" s="12" t="e">
        <f>VLOOKUP($D90,'1. Mesures'!$A$2:$P$116,17,0)</f>
        <v>#REF!</v>
      </c>
      <c r="W90" s="12" t="e">
        <f>VLOOKUP($D90,'1. Mesures'!$A$2:$P$116,18,0)</f>
        <v>#REF!</v>
      </c>
    </row>
    <row r="91" spans="1:23" ht="30" x14ac:dyDescent="0.25">
      <c r="A91" s="449" t="str">
        <f>VLOOKUP($D91,'1. Mesures'!$A$2:$P$116,5,0)</f>
        <v>OO 6.1.1</v>
      </c>
      <c r="B91" s="449">
        <f>VLOOKUP($D91,'1. Mesures'!$A$2:$P$116,6,0)</f>
        <v>0</v>
      </c>
      <c r="C91" s="449">
        <f>VLOOKUP($D91,'1. Mesures'!$A$2:$P$116,7,0)</f>
        <v>0</v>
      </c>
      <c r="D91" s="436" t="s">
        <v>113</v>
      </c>
      <c r="E91" s="451" t="str">
        <f>VLOOKUP(D91,'1. Mesures'!$A$2:$P$116,2,0)</f>
        <v>Inventorier et cartographier les sources dans un souci de préservation du patrimoine naturel et d’éventuelles reconnexions au réseau hydrographique</v>
      </c>
      <c r="F91" s="436"/>
      <c r="G91" s="436"/>
      <c r="H91" s="436"/>
      <c r="I91" s="12">
        <f>VLOOKUP($D91,'1. Mesures'!$A$2:$P$116,3,0)</f>
        <v>6</v>
      </c>
      <c r="J91" s="457" t="str">
        <f>IFERROR(VLOOKUP($D91,'1. Mesures'!$A$2:$P$116,4,0),"")</f>
        <v>OS 6.1</v>
      </c>
      <c r="K91" s="12">
        <f>VLOOKUP($D91,'1. Mesures'!$A$2:$P$116,8,0)</f>
        <v>0</v>
      </c>
      <c r="L91" s="12">
        <f>VLOOKUP($D91,'1. Mesures'!$A$2:$P$116,9,0)</f>
        <v>0</v>
      </c>
      <c r="M91" s="12">
        <f>VLOOKUP($D91,'1. Mesures'!$A$2:$P$116,10,0)</f>
        <v>0</v>
      </c>
      <c r="N91" s="12" t="str">
        <f>VLOOKUP($D91,'1. Mesures'!$A$2:$P$116,13,0)</f>
        <v>AM</v>
      </c>
      <c r="O91" s="12" t="str">
        <f>VLOOKUP($D91,'1. Mesures'!$A$2:$P$116,11,0)</f>
        <v>X</v>
      </c>
      <c r="P91" s="12" t="s">
        <v>2715</v>
      </c>
      <c r="Q91" s="452" t="s">
        <v>155</v>
      </c>
      <c r="R91" s="12">
        <f>VLOOKUP($D91,'1. Mesures'!$A$2:$P$116,12,0)</f>
        <v>0</v>
      </c>
      <c r="S91" s="12">
        <f>VLOOKUP($D91,'1. Mesures'!$A$2:$P$116,14,0)</f>
        <v>0</v>
      </c>
      <c r="T91" s="12">
        <f>VLOOKUP($D91,'1. Mesures'!$A$2:$P$116,15,0)</f>
        <v>0</v>
      </c>
      <c r="U91" s="12" t="str">
        <f>VLOOKUP($D91,'1. Mesures'!$A$2:$P$116,16,0)</f>
        <v>GW</v>
      </c>
      <c r="V91" s="12" t="e">
        <f>VLOOKUP($D91,'1. Mesures'!$A$2:$P$116,17,0)</f>
        <v>#REF!</v>
      </c>
      <c r="W91" s="12" t="e">
        <f>VLOOKUP($D91,'1. Mesures'!$A$2:$P$116,18,0)</f>
        <v>#REF!</v>
      </c>
    </row>
    <row r="92" spans="1:23" ht="30" x14ac:dyDescent="0.25">
      <c r="A92" s="449" t="str">
        <f>VLOOKUP($D92,'1. Mesures'!$A$2:$P$116,5,0)</f>
        <v>OO 6.1.1</v>
      </c>
      <c r="B92" s="449">
        <f>VLOOKUP($D92,'1. Mesures'!$A$2:$P$116,6,0)</f>
        <v>0</v>
      </c>
      <c r="C92" s="449">
        <f>VLOOKUP($D92,'1. Mesures'!$A$2:$P$116,7,0)</f>
        <v>0</v>
      </c>
      <c r="D92" s="436" t="s">
        <v>114</v>
      </c>
      <c r="E92" s="451" t="str">
        <f>VLOOKUP(D92,'1. Mesures'!$A$2:$P$116,2,0)</f>
        <v>Assurer le contrôle de la législation en vigueur en matière de protection du réseau hydrographique</v>
      </c>
      <c r="F92" s="436"/>
      <c r="G92" s="436"/>
      <c r="H92" s="436"/>
      <c r="I92" s="12">
        <f>VLOOKUP($D92,'1. Mesures'!$A$2:$P$116,3,0)</f>
        <v>6</v>
      </c>
      <c r="J92" s="457" t="str">
        <f>IFERROR(VLOOKUP($D92,'1. Mesures'!$A$2:$P$116,4,0),"")</f>
        <v>OS 6.1</v>
      </c>
      <c r="K92" s="12">
        <f>VLOOKUP($D92,'1. Mesures'!$A$2:$P$116,8,0)</f>
        <v>0</v>
      </c>
      <c r="L92" s="12">
        <f>VLOOKUP($D92,'1. Mesures'!$A$2:$P$116,9,0)</f>
        <v>0</v>
      </c>
      <c r="M92" s="12">
        <f>VLOOKUP($D92,'1. Mesures'!$A$2:$P$116,10,0)</f>
        <v>0</v>
      </c>
      <c r="N92" s="12" t="str">
        <f>VLOOKUP($D92,'1. Mesures'!$A$2:$P$116,13,0)</f>
        <v>BM</v>
      </c>
      <c r="O92" s="12" t="str">
        <f>VLOOKUP($D92,'1. Mesures'!$A$2:$P$116,11,0)</f>
        <v>X</v>
      </c>
      <c r="P92" s="12" t="s">
        <v>2715</v>
      </c>
      <c r="Q92" s="452" t="s">
        <v>155</v>
      </c>
      <c r="R92" s="12" t="str">
        <f>VLOOKUP($D92,'1. Mesures'!$A$2:$P$116,12,0)</f>
        <v>N</v>
      </c>
      <c r="S92" s="12">
        <f>VLOOKUP($D92,'1. Mesures'!$A$2:$P$116,14,0)</f>
        <v>0</v>
      </c>
      <c r="T92" s="12">
        <f>VLOOKUP($D92,'1. Mesures'!$A$2:$P$116,15,0)</f>
        <v>0</v>
      </c>
      <c r="U92" s="12" t="str">
        <f>VLOOKUP($D92,'1. Mesures'!$A$2:$P$116,16,0)</f>
        <v>SW</v>
      </c>
      <c r="V92" s="12" t="e">
        <f>VLOOKUP($D92,'1. Mesures'!$A$2:$P$116,17,0)</f>
        <v>#REF!</v>
      </c>
      <c r="W92" s="12" t="e">
        <f>VLOOKUP($D92,'1. Mesures'!$A$2:$P$116,18,0)</f>
        <v>#REF!</v>
      </c>
    </row>
    <row r="93" spans="1:23" x14ac:dyDescent="0.25">
      <c r="A93" s="449" t="str">
        <f>VLOOKUP($D93,'1. Mesures'!$A$2:$P$116,5,0)</f>
        <v>OO 6.1.2</v>
      </c>
      <c r="B93" s="449">
        <f>VLOOKUP($D93,'1. Mesures'!$A$2:$P$116,6,0)</f>
        <v>0</v>
      </c>
      <c r="C93" s="449">
        <f>VLOOKUP($D93,'1. Mesures'!$A$2:$P$116,7,0)</f>
        <v>0</v>
      </c>
      <c r="D93" s="436" t="s">
        <v>115</v>
      </c>
      <c r="E93" s="451" t="str">
        <f>VLOOKUP(D93,'1. Mesures'!$A$2:$P$116,2,0)</f>
        <v xml:space="preserve">Développer des promenades en lien avec le patrimoine naturel et culturel lié à l’eau </v>
      </c>
      <c r="F93" s="436"/>
      <c r="G93" s="436"/>
      <c r="H93" s="436"/>
      <c r="I93" s="12">
        <f>VLOOKUP($D93,'1. Mesures'!$A$2:$P$116,3,0)</f>
        <v>6</v>
      </c>
      <c r="J93" s="457" t="str">
        <f>IFERROR(VLOOKUP($D93,'1. Mesures'!$A$2:$P$116,4,0),"")</f>
        <v>OS 6.1</v>
      </c>
      <c r="K93" s="12">
        <f>VLOOKUP($D93,'1. Mesures'!$A$2:$P$116,8,0)</f>
        <v>0</v>
      </c>
      <c r="L93" s="12">
        <f>VLOOKUP($D93,'1. Mesures'!$A$2:$P$116,9,0)</f>
        <v>0</v>
      </c>
      <c r="M93" s="12">
        <f>VLOOKUP($D93,'1. Mesures'!$A$2:$P$116,10,0)</f>
        <v>0</v>
      </c>
      <c r="N93" s="12" t="str">
        <f>VLOOKUP($D93,'1. Mesures'!$A$2:$P$116,13,0)</f>
        <v>SM</v>
      </c>
      <c r="O93" s="12">
        <f>VLOOKUP($D93,'1. Mesures'!$A$2:$P$116,11,0)</f>
        <v>0</v>
      </c>
      <c r="P93" s="12" t="s">
        <v>2715</v>
      </c>
      <c r="Q93" s="452" t="s">
        <v>155</v>
      </c>
      <c r="R93" s="12" t="str">
        <f>VLOOKUP($D93,'1. Mesures'!$A$2:$P$116,12,0)</f>
        <v>A</v>
      </c>
      <c r="S93" s="12">
        <f>VLOOKUP($D93,'1. Mesures'!$A$2:$P$116,14,0)</f>
        <v>0</v>
      </c>
      <c r="T93" s="12">
        <f>VLOOKUP($D93,'1. Mesures'!$A$2:$P$116,15,0)</f>
        <v>0</v>
      </c>
      <c r="U93" s="12">
        <f>VLOOKUP($D93,'1. Mesures'!$A$2:$P$116,16,0)</f>
        <v>0</v>
      </c>
      <c r="V93" s="12" t="e">
        <f>VLOOKUP($D93,'1. Mesures'!$A$2:$P$116,17,0)</f>
        <v>#REF!</v>
      </c>
      <c r="W93" s="12" t="e">
        <f>VLOOKUP($D93,'1. Mesures'!$A$2:$P$116,18,0)</f>
        <v>#REF!</v>
      </c>
    </row>
    <row r="94" spans="1:23" x14ac:dyDescent="0.25">
      <c r="A94" s="449" t="str">
        <f>VLOOKUP($D94,'1. Mesures'!$A$2:$P$116,5,0)</f>
        <v>OO 6.1.2</v>
      </c>
      <c r="B94" s="449">
        <f>VLOOKUP($D94,'1. Mesures'!$A$2:$P$116,6,0)</f>
        <v>0</v>
      </c>
      <c r="C94" s="449">
        <f>VLOOKUP($D94,'1. Mesures'!$A$2:$P$116,7,0)</f>
        <v>0</v>
      </c>
      <c r="D94" s="436" t="s">
        <v>116</v>
      </c>
      <c r="E94" s="451" t="str">
        <f>VLOOKUP(D94,'1. Mesures'!$A$2:$P$116,2,0)</f>
        <v>Encadrer la pratique de la baignade dans un étang régional</v>
      </c>
      <c r="F94" s="436"/>
      <c r="G94" s="436"/>
      <c r="H94" s="436"/>
      <c r="I94" s="12">
        <f>VLOOKUP($D94,'1. Mesures'!$A$2:$P$116,3,0)</f>
        <v>6</v>
      </c>
      <c r="J94" s="457" t="str">
        <f>IFERROR(VLOOKUP($D94,'1. Mesures'!$A$2:$P$116,4,0),"")</f>
        <v>OS 6.1</v>
      </c>
      <c r="K94" s="12">
        <f>VLOOKUP($D94,'1. Mesures'!$A$2:$P$116,8,0)</f>
        <v>0</v>
      </c>
      <c r="L94" s="12">
        <f>VLOOKUP($D94,'1. Mesures'!$A$2:$P$116,9,0)</f>
        <v>0</v>
      </c>
      <c r="M94" s="12">
        <f>VLOOKUP($D94,'1. Mesures'!$A$2:$P$116,10,0)</f>
        <v>0</v>
      </c>
      <c r="N94" s="12" t="str">
        <f>VLOOKUP($D94,'1. Mesures'!$A$2:$P$116,13,0)</f>
        <v>BM</v>
      </c>
      <c r="O94" s="12" t="str">
        <f>VLOOKUP($D94,'1. Mesures'!$A$2:$P$116,11,0)</f>
        <v>X</v>
      </c>
      <c r="P94" s="12" t="s">
        <v>2715</v>
      </c>
      <c r="Q94" s="452" t="s">
        <v>155</v>
      </c>
      <c r="R94" s="12" t="str">
        <f>VLOOKUP($D94,'1. Mesures'!$A$2:$P$116,12,0)</f>
        <v>N</v>
      </c>
      <c r="S94" s="12" t="str">
        <f>VLOOKUP($D94,'1. Mesures'!$A$2:$P$116,14,0)</f>
        <v>19-Measures to prevent or control the adverse impacts of recreation including angling.</v>
      </c>
      <c r="T94" s="12">
        <f>VLOOKUP($D94,'1. Mesures'!$A$2:$P$116,15,0)</f>
        <v>0</v>
      </c>
      <c r="U94" s="12">
        <f>VLOOKUP($D94,'1. Mesures'!$A$2:$P$116,16,0)</f>
        <v>0</v>
      </c>
      <c r="V94" s="12" t="e">
        <f>VLOOKUP($D94,'1. Mesures'!$A$2:$P$116,17,0)</f>
        <v>#REF!</v>
      </c>
      <c r="W94" s="12" t="e">
        <f>VLOOKUP($D94,'1. Mesures'!$A$2:$P$116,18,0)</f>
        <v>#REF!</v>
      </c>
    </row>
    <row r="95" spans="1:23" x14ac:dyDescent="0.25">
      <c r="A95" s="449" t="str">
        <f>VLOOKUP($D95,'1. Mesures'!$A$2:$P$116,5,0)</f>
        <v>OO 6.1.2</v>
      </c>
      <c r="B95" s="449">
        <f>VLOOKUP($D95,'1. Mesures'!$A$2:$P$116,6,0)</f>
        <v>0</v>
      </c>
      <c r="C95" s="449">
        <f>VLOOKUP($D95,'1. Mesures'!$A$2:$P$116,7,0)</f>
        <v>0</v>
      </c>
      <c r="D95" s="436" t="s">
        <v>117</v>
      </c>
      <c r="E95" s="451" t="str">
        <f>VLOOKUP(D95,'1. Mesures'!$A$2:$P$116,2,0)</f>
        <v>Réglementer et contrôler la pratique de la pêche en Région de Bruxelles-Capitale</v>
      </c>
      <c r="F95" s="436"/>
      <c r="G95" s="436"/>
      <c r="H95" s="436"/>
      <c r="I95" s="12">
        <f>VLOOKUP($D95,'1. Mesures'!$A$2:$P$116,3,0)</f>
        <v>6</v>
      </c>
      <c r="J95" s="457" t="str">
        <f>IFERROR(VLOOKUP($D95,'1. Mesures'!$A$2:$P$116,4,0),"")</f>
        <v>OS 6.1</v>
      </c>
      <c r="K95" s="12">
        <f>VLOOKUP($D95,'1. Mesures'!$A$2:$P$116,8,0)</f>
        <v>0</v>
      </c>
      <c r="L95" s="12">
        <f>VLOOKUP($D95,'1. Mesures'!$A$2:$P$116,9,0)</f>
        <v>0</v>
      </c>
      <c r="M95" s="12">
        <f>VLOOKUP($D95,'1. Mesures'!$A$2:$P$116,10,0)</f>
        <v>0</v>
      </c>
      <c r="N95" s="12" t="str">
        <f>VLOOKUP($D95,'1. Mesures'!$A$2:$P$116,13,0)</f>
        <v>BM</v>
      </c>
      <c r="O95" s="12">
        <f>VLOOKUP($D95,'1. Mesures'!$A$2:$P$116,11,0)</f>
        <v>0</v>
      </c>
      <c r="P95" s="12" t="s">
        <v>2715</v>
      </c>
      <c r="Q95" s="452" t="s">
        <v>155</v>
      </c>
      <c r="R95" s="12" t="str">
        <f>VLOOKUP($D95,'1. Mesures'!$A$2:$P$116,12,0)</f>
        <v>A</v>
      </c>
      <c r="S95" s="12" t="str">
        <f>VLOOKUP($D95,'1. Mesures'!$A$2:$P$116,14,0)</f>
        <v>19-Measures to prevent or control the adverse impacts of recreation including angling.</v>
      </c>
      <c r="T95" s="12">
        <f>VLOOKUP($D95,'1. Mesures'!$A$2:$P$116,15,0)</f>
        <v>0</v>
      </c>
      <c r="U95" s="12">
        <f>VLOOKUP($D95,'1. Mesures'!$A$2:$P$116,16,0)</f>
        <v>0</v>
      </c>
      <c r="V95" s="12" t="e">
        <f>VLOOKUP($D95,'1. Mesures'!$A$2:$P$116,17,0)</f>
        <v>#REF!</v>
      </c>
      <c r="W95" s="12" t="e">
        <f>VLOOKUP($D95,'1. Mesures'!$A$2:$P$116,18,0)</f>
        <v>#REF!</v>
      </c>
    </row>
    <row r="96" spans="1:23" ht="30" x14ac:dyDescent="0.25">
      <c r="A96" s="449" t="str">
        <f>VLOOKUP($D96,'1. Mesures'!$A$2:$P$116,5,0)</f>
        <v>OO 6.1.2</v>
      </c>
      <c r="B96" s="449">
        <f>VLOOKUP($D96,'1. Mesures'!$A$2:$P$116,6,0)</f>
        <v>0</v>
      </c>
      <c r="C96" s="449">
        <f>VLOOKUP($D96,'1. Mesures'!$A$2:$P$116,7,0)</f>
        <v>0</v>
      </c>
      <c r="D96" s="436" t="s">
        <v>118</v>
      </c>
      <c r="E96" s="451" t="str">
        <f>VLOOKUP(D96,'1. Mesures'!$A$2:$P$116,2,0)</f>
        <v>Mettre en place et entretenir des jeux d’eau dans les plaines de jeu régionales et communales</v>
      </c>
      <c r="F96" s="436"/>
      <c r="G96" s="436"/>
      <c r="H96" s="436"/>
      <c r="I96" s="12">
        <f>VLOOKUP($D96,'1. Mesures'!$A$2:$P$116,3,0)</f>
        <v>6</v>
      </c>
      <c r="J96" s="457" t="str">
        <f>IFERROR(VLOOKUP($D96,'1. Mesures'!$A$2:$P$116,4,0),"")</f>
        <v>OS 6.1</v>
      </c>
      <c r="K96" s="12">
        <f>VLOOKUP($D96,'1. Mesures'!$A$2:$P$116,8,0)</f>
        <v>0</v>
      </c>
      <c r="L96" s="12">
        <f>VLOOKUP($D96,'1. Mesures'!$A$2:$P$116,9,0)</f>
        <v>0</v>
      </c>
      <c r="M96" s="12">
        <f>VLOOKUP($D96,'1. Mesures'!$A$2:$P$116,10,0)</f>
        <v>0</v>
      </c>
      <c r="N96" s="12" t="str">
        <f>VLOOKUP($D96,'1. Mesures'!$A$2:$P$116,13,0)</f>
        <v>AM</v>
      </c>
      <c r="O96" s="12" t="str">
        <f>VLOOKUP($D96,'1. Mesures'!$A$2:$P$116,11,0)</f>
        <v>X</v>
      </c>
      <c r="P96" s="12" t="s">
        <v>2715</v>
      </c>
      <c r="Q96" s="452" t="s">
        <v>155</v>
      </c>
      <c r="R96" s="12" t="str">
        <f>VLOOKUP($D96,'1. Mesures'!$A$2:$P$116,12,0)</f>
        <v>A</v>
      </c>
      <c r="S96" s="12">
        <f>VLOOKUP($D96,'1. Mesures'!$A$2:$P$116,14,0)</f>
        <v>0</v>
      </c>
      <c r="T96" s="12">
        <f>VLOOKUP($D96,'1. Mesures'!$A$2:$P$116,15,0)</f>
        <v>0</v>
      </c>
      <c r="U96" s="12">
        <f>VLOOKUP($D96,'1. Mesures'!$A$2:$P$116,16,0)</f>
        <v>0</v>
      </c>
      <c r="V96" s="12" t="e">
        <f>VLOOKUP($D96,'1. Mesures'!$A$2:$P$116,17,0)</f>
        <v>#REF!</v>
      </c>
      <c r="W96" s="12" t="e">
        <f>VLOOKUP($D96,'1. Mesures'!$A$2:$P$116,18,0)</f>
        <v>#REF!</v>
      </c>
    </row>
    <row r="97" spans="1:23" ht="30" x14ac:dyDescent="0.25">
      <c r="A97" s="449" t="str">
        <f>VLOOKUP($D97,'1. Mesures'!$A$2:$P$116,5,0)</f>
        <v>OO 6.1.3</v>
      </c>
      <c r="B97" s="449">
        <f>VLOOKUP($D97,'1. Mesures'!$A$2:$P$116,6,0)</f>
        <v>0</v>
      </c>
      <c r="C97" s="449">
        <f>VLOOKUP($D97,'1. Mesures'!$A$2:$P$116,7,0)</f>
        <v>0</v>
      </c>
      <c r="D97" s="436" t="s">
        <v>119</v>
      </c>
      <c r="E97" s="451" t="str">
        <f>VLOOKUP(D97,'1. Mesures'!$A$2:$P$116,2,0)</f>
        <v xml:space="preserve">Poursuivre et étendre l'ensemble des actions lancées par le Port de Bruxelles, par les contrats de quartier et autres acteurs publics dans la zone du Canal </v>
      </c>
      <c r="F97" s="436"/>
      <c r="G97" s="436"/>
      <c r="H97" s="436"/>
      <c r="I97" s="12">
        <f>VLOOKUP($D97,'1. Mesures'!$A$2:$P$116,3,0)</f>
        <v>6</v>
      </c>
      <c r="J97" s="457" t="str">
        <f>IFERROR(VLOOKUP($D97,'1. Mesures'!$A$2:$P$116,4,0),"")</f>
        <v>OS 6.1</v>
      </c>
      <c r="K97" s="12">
        <f>VLOOKUP($D97,'1. Mesures'!$A$2:$P$116,8,0)</f>
        <v>0</v>
      </c>
      <c r="L97" s="12">
        <f>VLOOKUP($D97,'1. Mesures'!$A$2:$P$116,9,0)</f>
        <v>0</v>
      </c>
      <c r="M97" s="12">
        <f>VLOOKUP($D97,'1. Mesures'!$A$2:$P$116,10,0)</f>
        <v>0</v>
      </c>
      <c r="N97" s="12" t="str">
        <f>VLOOKUP($D97,'1. Mesures'!$A$2:$P$116,13,0)</f>
        <v>AM</v>
      </c>
      <c r="O97" s="12">
        <f>VLOOKUP($D97,'1. Mesures'!$A$2:$P$116,11,0)</f>
        <v>0</v>
      </c>
      <c r="P97" s="12" t="s">
        <v>2715</v>
      </c>
      <c r="Q97" s="452" t="s">
        <v>155</v>
      </c>
      <c r="R97" s="12">
        <f>VLOOKUP($D97,'1. Mesures'!$A$2:$P$116,12,0)</f>
        <v>0</v>
      </c>
      <c r="S97" s="12">
        <f>VLOOKUP($D97,'1. Mesures'!$A$2:$P$116,14,0)</f>
        <v>0</v>
      </c>
      <c r="T97" s="12">
        <f>VLOOKUP($D97,'1. Mesures'!$A$2:$P$116,15,0)</f>
        <v>0</v>
      </c>
      <c r="U97" s="12">
        <f>VLOOKUP($D97,'1. Mesures'!$A$2:$P$116,16,0)</f>
        <v>0</v>
      </c>
      <c r="V97" s="12" t="e">
        <f>VLOOKUP($D97,'1. Mesures'!$A$2:$P$116,17,0)</f>
        <v>#REF!</v>
      </c>
      <c r="W97" s="12" t="e">
        <f>VLOOKUP($D97,'1. Mesures'!$A$2:$P$116,18,0)</f>
        <v>#REF!</v>
      </c>
    </row>
    <row r="98" spans="1:23" x14ac:dyDescent="0.25">
      <c r="A98" s="449" t="str">
        <f>VLOOKUP($D98,'1. Mesures'!$A$2:$P$116,5,0)</f>
        <v>OO 6.1.3</v>
      </c>
      <c r="B98" s="449">
        <f>VLOOKUP($D98,'1. Mesures'!$A$2:$P$116,6,0)</f>
        <v>0</v>
      </c>
      <c r="C98" s="449">
        <f>VLOOKUP($D98,'1. Mesures'!$A$2:$P$116,7,0)</f>
        <v>0</v>
      </c>
      <c r="D98" s="436" t="s">
        <v>120</v>
      </c>
      <c r="E98" s="451" t="str">
        <f>VLOOKUP(D98,'1. Mesures'!$A$2:$P$116,2,0)</f>
        <v>Encadrer les activités nautiques et récréatives sur et aux abords du Canal</v>
      </c>
      <c r="F98" s="436"/>
      <c r="G98" s="436"/>
      <c r="H98" s="436"/>
      <c r="I98" s="12">
        <f>VLOOKUP($D98,'1. Mesures'!$A$2:$P$116,3,0)</f>
        <v>6</v>
      </c>
      <c r="J98" s="457" t="str">
        <f>IFERROR(VLOOKUP($D98,'1. Mesures'!$A$2:$P$116,4,0),"")</f>
        <v>OS 6.1</v>
      </c>
      <c r="K98" s="12">
        <f>VLOOKUP($D98,'1. Mesures'!$A$2:$P$116,8,0)</f>
        <v>0</v>
      </c>
      <c r="L98" s="12">
        <f>VLOOKUP($D98,'1. Mesures'!$A$2:$P$116,9,0)</f>
        <v>0</v>
      </c>
      <c r="M98" s="12">
        <f>VLOOKUP($D98,'1. Mesures'!$A$2:$P$116,10,0)</f>
        <v>0</v>
      </c>
      <c r="N98" s="12" t="str">
        <f>VLOOKUP($D98,'1. Mesures'!$A$2:$P$116,13,0)</f>
        <v>AM</v>
      </c>
      <c r="O98" s="12">
        <f>VLOOKUP($D98,'1. Mesures'!$A$2:$P$116,11,0)</f>
        <v>0</v>
      </c>
      <c r="P98" s="12" t="s">
        <v>2715</v>
      </c>
      <c r="Q98" s="452" t="s">
        <v>155</v>
      </c>
      <c r="R98" s="12">
        <f>VLOOKUP($D98,'1. Mesures'!$A$2:$P$116,12,0)</f>
        <v>0</v>
      </c>
      <c r="S98" s="12" t="str">
        <f>VLOOKUP($D98,'1. Mesures'!$A$2:$P$116,14,0)</f>
        <v>19-Measures to prevent or control the adverse impacts of recreation including angling.</v>
      </c>
      <c r="T98" s="12">
        <f>VLOOKUP($D98,'1. Mesures'!$A$2:$P$116,15,0)</f>
        <v>0</v>
      </c>
      <c r="U98" s="12">
        <f>VLOOKUP($D98,'1. Mesures'!$A$2:$P$116,16,0)</f>
        <v>0</v>
      </c>
      <c r="V98" s="12" t="e">
        <f>VLOOKUP($D98,'1. Mesures'!$A$2:$P$116,17,0)</f>
        <v>#REF!</v>
      </c>
      <c r="W98" s="12" t="e">
        <f>VLOOKUP($D98,'1. Mesures'!$A$2:$P$116,18,0)</f>
        <v>#REF!</v>
      </c>
    </row>
    <row r="99" spans="1:23" x14ac:dyDescent="0.25">
      <c r="A99" s="449" t="str">
        <f>VLOOKUP($D99,'1. Mesures'!$A$2:$P$116,5,0)</f>
        <v>-</v>
      </c>
      <c r="B99" s="449">
        <f>VLOOKUP($D99,'1. Mesures'!$A$2:$P$116,6,0)</f>
        <v>0</v>
      </c>
      <c r="C99" s="449">
        <f>VLOOKUP($D99,'1. Mesures'!$A$2:$P$116,7,0)</f>
        <v>0</v>
      </c>
      <c r="D99" s="436" t="s">
        <v>121</v>
      </c>
      <c r="E99" s="451" t="str">
        <f>VLOOKUP(D99,'1. Mesures'!$A$2:$P$116,2,0)</f>
        <v>Actualiser l’Atlas des cours d’eau non navigables et en assurer la diffusion</v>
      </c>
      <c r="F99" s="436"/>
      <c r="G99" s="436"/>
      <c r="H99" s="436"/>
      <c r="I99" s="12">
        <f>VLOOKUP($D99,'1. Mesures'!$A$2:$P$116,3,0)</f>
        <v>6</v>
      </c>
      <c r="J99" s="457" t="str">
        <f>IFERROR(VLOOKUP($D99,'1. Mesures'!$A$2:$P$116,4,0),"")</f>
        <v>OS 6.2</v>
      </c>
      <c r="K99" s="12">
        <f>VLOOKUP($D99,'1. Mesures'!$A$2:$P$116,8,0)</f>
        <v>0</v>
      </c>
      <c r="L99" s="12">
        <f>VLOOKUP($D99,'1. Mesures'!$A$2:$P$116,9,0)</f>
        <v>0</v>
      </c>
      <c r="M99" s="12">
        <f>VLOOKUP($D99,'1. Mesures'!$A$2:$P$116,10,0)</f>
        <v>0</v>
      </c>
      <c r="N99" s="12" t="str">
        <f>VLOOKUP($D99,'1. Mesures'!$A$2:$P$116,13,0)</f>
        <v>BM</v>
      </c>
      <c r="O99" s="12">
        <f>VLOOKUP($D99,'1. Mesures'!$A$2:$P$116,11,0)</f>
        <v>0</v>
      </c>
      <c r="P99" s="12" t="s">
        <v>2715</v>
      </c>
      <c r="Q99" s="452" t="s">
        <v>155</v>
      </c>
      <c r="R99" s="12" t="str">
        <f>VLOOKUP($D99,'1. Mesures'!$A$2:$P$116,12,0)</f>
        <v>P</v>
      </c>
      <c r="S99" s="12">
        <f>VLOOKUP($D99,'1. Mesures'!$A$2:$P$116,14,0)</f>
        <v>0</v>
      </c>
      <c r="T99" s="12">
        <f>VLOOKUP($D99,'1. Mesures'!$A$2:$P$116,15,0)</f>
        <v>0</v>
      </c>
      <c r="U99" s="12">
        <f>VLOOKUP($D99,'1. Mesures'!$A$2:$P$116,16,0)</f>
        <v>0</v>
      </c>
      <c r="V99" s="12" t="e">
        <f>VLOOKUP($D99,'1. Mesures'!$A$2:$P$116,17,0)</f>
        <v>#REF!</v>
      </c>
      <c r="W99" s="12" t="e">
        <f>VLOOKUP($D99,'1. Mesures'!$A$2:$P$116,18,0)</f>
        <v>#REF!</v>
      </c>
    </row>
    <row r="100" spans="1:23" ht="30" x14ac:dyDescent="0.25">
      <c r="A100" s="449" t="str">
        <f>VLOOKUP($D100,'1. Mesures'!$A$2:$P$116,5,0)</f>
        <v>OO  7.1.1</v>
      </c>
      <c r="B100" s="449">
        <f>VLOOKUP($D100,'1. Mesures'!$A$2:$P$116,6,0)</f>
        <v>0</v>
      </c>
      <c r="C100" s="449" t="str">
        <f>VLOOKUP($D100,'1. Mesures'!$A$2:$P$116,7,0)</f>
        <v>X</v>
      </c>
      <c r="D100" s="436" t="s">
        <v>122</v>
      </c>
      <c r="E100" s="451" t="str">
        <f>VLOOKUP(D100,'1. Mesures'!$A$2:$P$116,2,0)</f>
        <v xml:space="preserve">Assurer l’entretien du réseau et optimiser son fonctionnement afin de  lutter contre les fuites du réseau de distribution d'eau potable </v>
      </c>
      <c r="F100" s="436"/>
      <c r="G100" s="436"/>
      <c r="H100" s="436"/>
      <c r="I100" s="12">
        <f>VLOOKUP($D100,'1. Mesures'!$A$2:$P$116,3,0)</f>
        <v>7</v>
      </c>
      <c r="J100" s="457" t="str">
        <f>IFERROR(VLOOKUP($D100,'1. Mesures'!$A$2:$P$116,4,0),"")</f>
        <v>OS 7.1</v>
      </c>
      <c r="K100" s="12">
        <f>VLOOKUP($D100,'1. Mesures'!$A$2:$P$116,8,0)</f>
        <v>0</v>
      </c>
      <c r="L100" s="12">
        <f>VLOOKUP($D100,'1. Mesures'!$A$2:$P$116,9,0)</f>
        <v>0</v>
      </c>
      <c r="M100" s="12">
        <f>VLOOKUP($D100,'1. Mesures'!$A$2:$P$116,10,0)</f>
        <v>0</v>
      </c>
      <c r="N100" s="12" t="str">
        <f>VLOOKUP($D100,'1. Mesures'!$A$2:$P$116,13,0)</f>
        <v>BM</v>
      </c>
      <c r="O100" s="12" t="str">
        <f>VLOOKUP($D100,'1. Mesures'!$A$2:$P$116,11,0)</f>
        <v>X</v>
      </c>
      <c r="P100" s="12" t="s">
        <v>2715</v>
      </c>
      <c r="Q100" s="452" t="s">
        <v>155</v>
      </c>
      <c r="R100" s="12">
        <f>VLOOKUP($D100,'1. Mesures'!$A$2:$P$116,12,0)</f>
        <v>0</v>
      </c>
      <c r="S100" s="12">
        <f>VLOOKUP($D100,'1. Mesures'!$A$2:$P$116,14,0)</f>
        <v>0</v>
      </c>
      <c r="T100" s="12">
        <f>VLOOKUP($D100,'1. Mesures'!$A$2:$P$116,15,0)</f>
        <v>0</v>
      </c>
      <c r="U100" s="12">
        <f>VLOOKUP($D100,'1. Mesures'!$A$2:$P$116,16,0)</f>
        <v>0</v>
      </c>
      <c r="V100" s="12" t="e">
        <f>VLOOKUP($D100,'1. Mesures'!$A$2:$P$116,17,0)</f>
        <v>#REF!</v>
      </c>
      <c r="W100" s="12" t="e">
        <f>VLOOKUP($D100,'1. Mesures'!$A$2:$P$116,18,0)</f>
        <v>#REF!</v>
      </c>
    </row>
    <row r="101" spans="1:23" x14ac:dyDescent="0.25">
      <c r="A101" s="449" t="str">
        <f>VLOOKUP($D101,'1. Mesures'!$A$2:$P$116,5,0)</f>
        <v>OO  7.1.2</v>
      </c>
      <c r="B101" s="449">
        <f>VLOOKUP($D101,'1. Mesures'!$A$2:$P$116,6,0)</f>
        <v>0</v>
      </c>
      <c r="C101" s="449">
        <f>VLOOKUP($D101,'1. Mesures'!$A$2:$P$116,7,0)</f>
        <v>0</v>
      </c>
      <c r="D101" s="436" t="s">
        <v>123</v>
      </c>
      <c r="E101" s="451" t="str">
        <f>VLOOKUP(D101,'1. Mesures'!$A$2:$P$116,2,0)</f>
        <v>Promouvoir la consommation d'eau de distribution pour les besoins en eau potable</v>
      </c>
      <c r="F101" s="436"/>
      <c r="G101" s="436"/>
      <c r="H101" s="436"/>
      <c r="I101" s="12">
        <f>VLOOKUP($D101,'1. Mesures'!$A$2:$P$116,3,0)</f>
        <v>7</v>
      </c>
      <c r="J101" s="457" t="str">
        <f>IFERROR(VLOOKUP($D101,'1. Mesures'!$A$2:$P$116,4,0),"")</f>
        <v>OS 7.1</v>
      </c>
      <c r="K101" s="12">
        <f>VLOOKUP($D101,'1. Mesures'!$A$2:$P$116,8,0)</f>
        <v>0</v>
      </c>
      <c r="L101" s="12">
        <f>VLOOKUP($D101,'1. Mesures'!$A$2:$P$116,9,0)</f>
        <v>0</v>
      </c>
      <c r="M101" s="12">
        <f>VLOOKUP($D101,'1. Mesures'!$A$2:$P$116,10,0)</f>
        <v>0</v>
      </c>
      <c r="N101" s="12" t="str">
        <f>VLOOKUP($D101,'1. Mesures'!$A$2:$P$116,13,0)</f>
        <v>BM</v>
      </c>
      <c r="O101" s="12" t="str">
        <f>VLOOKUP($D101,'1. Mesures'!$A$2:$P$116,11,0)</f>
        <v>X</v>
      </c>
      <c r="P101" s="12" t="s">
        <v>2715</v>
      </c>
      <c r="Q101" s="452" t="s">
        <v>155</v>
      </c>
      <c r="R101" s="12" t="str">
        <f>VLOOKUP($D101,'1. Mesures'!$A$2:$P$116,12,0)</f>
        <v>A</v>
      </c>
      <c r="S101" s="12" t="str">
        <f>VLOOKUP($D101,'1. Mesures'!$A$2:$P$116,14,0)</f>
        <v>8-Water efficiency, technical measures for irrigation, industry, energy and households.</v>
      </c>
      <c r="T101" s="12" t="str">
        <f>VLOOKUP($D101,'1. Mesures'!$A$2:$P$116,15,0)</f>
        <v>Efficient water use</v>
      </c>
      <c r="U101" s="12">
        <f>VLOOKUP($D101,'1. Mesures'!$A$2:$P$116,16,0)</f>
        <v>0</v>
      </c>
      <c r="V101" s="12" t="e">
        <f>VLOOKUP($D101,'1. Mesures'!$A$2:$P$116,17,0)</f>
        <v>#REF!</v>
      </c>
      <c r="W101" s="12" t="e">
        <f>VLOOKUP($D101,'1. Mesures'!$A$2:$P$116,18,0)</f>
        <v>#REF!</v>
      </c>
    </row>
    <row r="102" spans="1:23" ht="30" x14ac:dyDescent="0.25">
      <c r="A102" s="449" t="str">
        <f>VLOOKUP($D102,'1. Mesures'!$A$2:$P$116,5,0)</f>
        <v>OO  7.1.2</v>
      </c>
      <c r="B102" s="449">
        <f>VLOOKUP($D102,'1. Mesures'!$A$2:$P$116,6,0)</f>
        <v>0</v>
      </c>
      <c r="C102" s="449">
        <f>VLOOKUP($D102,'1. Mesures'!$A$2:$P$116,7,0)</f>
        <v>0</v>
      </c>
      <c r="D102" s="436" t="s">
        <v>124</v>
      </c>
      <c r="E102" s="451" t="str">
        <f>VLOOKUP(D102,'1. Mesures'!$A$2:$P$116,2,0)</f>
        <v>Promouvoir, auprès des ménages, les comportements et équipements économes en eau ainsi que le recours à un approvisionnement en eau alternatif</v>
      </c>
      <c r="F102" s="436"/>
      <c r="G102" s="436"/>
      <c r="H102" s="436"/>
      <c r="I102" s="12">
        <f>VLOOKUP($D102,'1. Mesures'!$A$2:$P$116,3,0)</f>
        <v>7</v>
      </c>
      <c r="J102" s="457" t="str">
        <f>IFERROR(VLOOKUP($D102,'1. Mesures'!$A$2:$P$116,4,0),"")</f>
        <v>OS 7.1</v>
      </c>
      <c r="K102" s="12">
        <f>VLOOKUP($D102,'1. Mesures'!$A$2:$P$116,8,0)</f>
        <v>0</v>
      </c>
      <c r="L102" s="12">
        <f>VLOOKUP($D102,'1. Mesures'!$A$2:$P$116,9,0)</f>
        <v>0</v>
      </c>
      <c r="M102" s="12">
        <f>VLOOKUP($D102,'1. Mesures'!$A$2:$P$116,10,0)</f>
        <v>0</v>
      </c>
      <c r="N102" s="12" t="str">
        <f>VLOOKUP($D102,'1. Mesures'!$A$2:$P$116,13,0)</f>
        <v>BM</v>
      </c>
      <c r="O102" s="12" t="str">
        <f>VLOOKUP($D102,'1. Mesures'!$A$2:$P$116,11,0)</f>
        <v>X</v>
      </c>
      <c r="P102" s="12" t="s">
        <v>2715</v>
      </c>
      <c r="Q102" s="452" t="s">
        <v>155</v>
      </c>
      <c r="R102" s="12" t="str">
        <f>VLOOKUP($D102,'1. Mesures'!$A$2:$P$116,12,0)</f>
        <v>N</v>
      </c>
      <c r="S102" s="12" t="str">
        <f>VLOOKUP($D102,'1. Mesures'!$A$2:$P$116,14,0)</f>
        <v>8-Water efficiency, technical measures for irrigation, industry, energy and households.</v>
      </c>
      <c r="T102" s="12" t="str">
        <f>VLOOKUP($D102,'1. Mesures'!$A$2:$P$116,15,0)</f>
        <v>Efficient water use</v>
      </c>
      <c r="U102" s="12">
        <f>VLOOKUP($D102,'1. Mesures'!$A$2:$P$116,16,0)</f>
        <v>0</v>
      </c>
      <c r="V102" s="12" t="e">
        <f>VLOOKUP($D102,'1. Mesures'!$A$2:$P$116,17,0)</f>
        <v>#REF!</v>
      </c>
      <c r="W102" s="12" t="e">
        <f>VLOOKUP($D102,'1. Mesures'!$A$2:$P$116,18,0)</f>
        <v>#REF!</v>
      </c>
    </row>
    <row r="103" spans="1:23" ht="30" x14ac:dyDescent="0.25">
      <c r="A103" s="449" t="str">
        <f>VLOOKUP($D103,'1. Mesures'!$A$2:$P$116,5,0)</f>
        <v>OO  7.1.2</v>
      </c>
      <c r="B103" s="449">
        <f>VLOOKUP($D103,'1. Mesures'!$A$2:$P$116,6,0)</f>
        <v>0</v>
      </c>
      <c r="C103" s="449">
        <f>VLOOKUP($D103,'1. Mesures'!$A$2:$P$116,7,0)</f>
        <v>0</v>
      </c>
      <c r="D103" s="436" t="s">
        <v>125</v>
      </c>
      <c r="E103" s="451" t="str">
        <f>VLOOKUP(D103,'1. Mesures'!$A$2:$P$116,2,0)</f>
        <v>Mettre en place un audit portant sur l’utilisation rationnelle de l’ eau dans les bâtiments du secteur tertiaire</v>
      </c>
      <c r="F103" s="436"/>
      <c r="G103" s="436"/>
      <c r="H103" s="436"/>
      <c r="I103" s="12">
        <f>VLOOKUP($D103,'1. Mesures'!$A$2:$P$116,3,0)</f>
        <v>7</v>
      </c>
      <c r="J103" s="457" t="str">
        <f>IFERROR(VLOOKUP($D103,'1. Mesures'!$A$2:$P$116,4,0),"")</f>
        <v>OS 7.1</v>
      </c>
      <c r="K103" s="12">
        <f>VLOOKUP($D103,'1. Mesures'!$A$2:$P$116,8,0)</f>
        <v>0</v>
      </c>
      <c r="L103" s="12">
        <f>VLOOKUP($D103,'1. Mesures'!$A$2:$P$116,9,0)</f>
        <v>0</v>
      </c>
      <c r="M103" s="12">
        <f>VLOOKUP($D103,'1. Mesures'!$A$2:$P$116,10,0)</f>
        <v>0</v>
      </c>
      <c r="N103" s="12" t="str">
        <f>VLOOKUP($D103,'1. Mesures'!$A$2:$P$116,13,0)</f>
        <v>BM</v>
      </c>
      <c r="O103" s="12">
        <f>VLOOKUP($D103,'1. Mesures'!$A$2:$P$116,11,0)</f>
        <v>0</v>
      </c>
      <c r="P103" s="12" t="s">
        <v>2715</v>
      </c>
      <c r="Q103" s="452" t="s">
        <v>155</v>
      </c>
      <c r="R103" s="12" t="str">
        <f>VLOOKUP($D103,'1. Mesures'!$A$2:$P$116,12,0)</f>
        <v>N</v>
      </c>
      <c r="S103" s="12" t="str">
        <f>VLOOKUP($D103,'1. Mesures'!$A$2:$P$116,14,0)</f>
        <v>8-Water efficiency, technical measures for irrigation, industry, energy and households.</v>
      </c>
      <c r="T103" s="12" t="str">
        <f>VLOOKUP($D103,'1. Mesures'!$A$2:$P$116,15,0)</f>
        <v>Efficient water use</v>
      </c>
      <c r="U103" s="12">
        <f>VLOOKUP($D103,'1. Mesures'!$A$2:$P$116,16,0)</f>
        <v>0</v>
      </c>
      <c r="V103" s="12" t="e">
        <f>VLOOKUP($D103,'1. Mesures'!$A$2:$P$116,17,0)</f>
        <v>#REF!</v>
      </c>
      <c r="W103" s="12" t="e">
        <f>VLOOKUP($D103,'1. Mesures'!$A$2:$P$116,18,0)</f>
        <v>#REF!</v>
      </c>
    </row>
    <row r="104" spans="1:23" ht="45" x14ac:dyDescent="0.25">
      <c r="A104" s="449" t="str">
        <f>VLOOKUP($D104,'1. Mesures'!$A$2:$P$116,5,0)</f>
        <v>OO  7.1.2</v>
      </c>
      <c r="B104" s="449">
        <f>VLOOKUP($D104,'1. Mesures'!$A$2:$P$116,6,0)</f>
        <v>0</v>
      </c>
      <c r="C104" s="449">
        <f>VLOOKUP($D104,'1. Mesures'!$A$2:$P$116,7,0)</f>
        <v>0</v>
      </c>
      <c r="D104" s="12" t="s">
        <v>126</v>
      </c>
      <c r="E104" s="451" t="str">
        <f>VLOOKUP(D104,'1. Mesures'!$A$2:$P$116,2,0)</f>
        <v>Promouvoir, auprès des consommateurs non-domestiques, les comportements et équipements économes en eau ainsi que le recours à un approvisionnement en eau alternatif</v>
      </c>
      <c r="F104" s="436"/>
      <c r="G104" s="436"/>
      <c r="H104" s="436"/>
      <c r="I104" s="12">
        <f>VLOOKUP($D104,'1. Mesures'!$A$2:$P$116,3,0)</f>
        <v>7</v>
      </c>
      <c r="J104" s="457" t="str">
        <f>IFERROR(VLOOKUP($D104,'1. Mesures'!$A$2:$P$116,4,0),"")</f>
        <v>OS 7.1</v>
      </c>
      <c r="K104" s="12">
        <f>VLOOKUP($D104,'1. Mesures'!$A$2:$P$116,8,0)</f>
        <v>0</v>
      </c>
      <c r="L104" s="12">
        <f>VLOOKUP($D104,'1. Mesures'!$A$2:$P$116,9,0)</f>
        <v>0</v>
      </c>
      <c r="M104" s="12">
        <f>VLOOKUP($D104,'1. Mesures'!$A$2:$P$116,10,0)</f>
        <v>0</v>
      </c>
      <c r="N104" s="12" t="str">
        <f>VLOOKUP($D104,'1. Mesures'!$A$2:$P$116,13,0)</f>
        <v>BM</v>
      </c>
      <c r="O104" s="12" t="str">
        <f>VLOOKUP($D104,'1. Mesures'!$A$2:$P$116,11,0)</f>
        <v>X</v>
      </c>
      <c r="P104" s="12" t="s">
        <v>2715</v>
      </c>
      <c r="Q104" s="452" t="s">
        <v>155</v>
      </c>
      <c r="R104" s="12" t="str">
        <f>VLOOKUP($D104,'1. Mesures'!$A$2:$P$116,12,0)</f>
        <v>N</v>
      </c>
      <c r="S104" s="12" t="str">
        <f>VLOOKUP($D104,'1. Mesures'!$A$2:$P$116,14,0)</f>
        <v>8-Water efficiency, technical measures for irrigation, industry, energy and households.</v>
      </c>
      <c r="T104" s="12" t="str">
        <f>VLOOKUP($D104,'1. Mesures'!$A$2:$P$116,15,0)</f>
        <v>Efficient water use</v>
      </c>
      <c r="U104" s="12">
        <f>VLOOKUP($D104,'1. Mesures'!$A$2:$P$116,16,0)</f>
        <v>0</v>
      </c>
      <c r="V104" s="12" t="e">
        <f>VLOOKUP($D104,'1. Mesures'!$A$2:$P$116,17,0)</f>
        <v>#REF!</v>
      </c>
      <c r="W104" s="12" t="e">
        <f>VLOOKUP($D104,'1. Mesures'!$A$2:$P$116,18,0)</f>
        <v>#REF!</v>
      </c>
    </row>
    <row r="105" spans="1:23" x14ac:dyDescent="0.25">
      <c r="A105" s="449" t="str">
        <f>VLOOKUP($D105,'1. Mesures'!$A$2:$P$116,5,0)</f>
        <v>-</v>
      </c>
      <c r="B105" s="449">
        <f>VLOOKUP($D105,'1. Mesures'!$A$2:$P$116,6,0)</f>
        <v>0</v>
      </c>
      <c r="C105" s="449" t="str">
        <f>VLOOKUP($D105,'1. Mesures'!$A$2:$P$116,7,0)</f>
        <v>X</v>
      </c>
      <c r="D105" s="12" t="s">
        <v>127</v>
      </c>
      <c r="E105" s="451" t="str">
        <f>VLOOKUP(D105,'1. Mesures'!$A$2:$P$116,2,0)</f>
        <v xml:space="preserve">Encadrer et valoriser l'eau issue des rabattements de nappe </v>
      </c>
      <c r="F105" s="436"/>
      <c r="G105" s="436"/>
      <c r="H105" s="436"/>
      <c r="I105" s="12">
        <f>VLOOKUP($D105,'1. Mesures'!$A$2:$P$116,3,0)</f>
        <v>7</v>
      </c>
      <c r="J105" s="457" t="str">
        <f>IFERROR(VLOOKUP($D105,'1. Mesures'!$A$2:$P$116,4,0),"")</f>
        <v>OS 7.2</v>
      </c>
      <c r="K105" s="12">
        <f>VLOOKUP($D105,'1. Mesures'!$A$2:$P$116,8,0)</f>
        <v>0</v>
      </c>
      <c r="L105" s="12">
        <f>VLOOKUP($D105,'1. Mesures'!$A$2:$P$116,9,0)</f>
        <v>0</v>
      </c>
      <c r="M105" s="12">
        <f>VLOOKUP($D105,'1. Mesures'!$A$2:$P$116,10,0)</f>
        <v>0</v>
      </c>
      <c r="N105" s="12" t="str">
        <f>VLOOKUP($D105,'1. Mesures'!$A$2:$P$116,13,0)</f>
        <v>BM</v>
      </c>
      <c r="O105" s="12" t="str">
        <f>VLOOKUP($D105,'1. Mesures'!$A$2:$P$116,11,0)</f>
        <v>X</v>
      </c>
      <c r="P105" s="12" t="s">
        <v>2715</v>
      </c>
      <c r="Q105" s="452" t="s">
        <v>155</v>
      </c>
      <c r="R105" s="12" t="str">
        <f>VLOOKUP($D105,'1. Mesures'!$A$2:$P$116,12,0)</f>
        <v>N</v>
      </c>
      <c r="S105" s="12" t="str">
        <f>VLOOKUP($D105,'1. Mesures'!$A$2:$P$116,14,0)</f>
        <v>8-Water efficiency, technical measures for irrigation, industry, energy and households.</v>
      </c>
      <c r="T105" s="12" t="str">
        <f>VLOOKUP($D105,'1. Mesures'!$A$2:$P$116,15,0)</f>
        <v>Efficient water use</v>
      </c>
      <c r="U105" s="12">
        <f>VLOOKUP($D105,'1. Mesures'!$A$2:$P$116,16,0)</f>
        <v>0</v>
      </c>
      <c r="V105" s="12" t="e">
        <f>VLOOKUP($D105,'1. Mesures'!$A$2:$P$116,17,0)</f>
        <v>#REF!</v>
      </c>
      <c r="W105" s="12" t="e">
        <f>VLOOKUP($D105,'1. Mesures'!$A$2:$P$116,18,0)</f>
        <v>#REF!</v>
      </c>
    </row>
    <row r="106" spans="1:23" x14ac:dyDescent="0.25">
      <c r="A106" s="449" t="str">
        <f>VLOOKUP($D106,'1. Mesures'!$A$2:$P$116,5,0)</f>
        <v>-</v>
      </c>
      <c r="B106" s="449">
        <f>VLOOKUP($D106,'1. Mesures'!$A$2:$P$116,6,0)</f>
        <v>0</v>
      </c>
      <c r="C106" s="449" t="str">
        <f>VLOOKUP($D106,'1. Mesures'!$A$2:$P$116,7,0)</f>
        <v>X</v>
      </c>
      <c r="D106" s="12" t="s">
        <v>128</v>
      </c>
      <c r="E106" s="451" t="str">
        <f>VLOOKUP(D106,'1. Mesures'!$A$2:$P$116,2,0)</f>
        <v>Encadrer et développer la réutilisation d'eaux de « deuxième circuit »  ("re-use")</v>
      </c>
      <c r="F106" s="436"/>
      <c r="G106" s="436"/>
      <c r="H106" s="436"/>
      <c r="I106" s="12">
        <f>VLOOKUP($D106,'1. Mesures'!$A$2:$P$116,3,0)</f>
        <v>7</v>
      </c>
      <c r="J106" s="457" t="str">
        <f>IFERROR(VLOOKUP($D106,'1. Mesures'!$A$2:$P$116,4,0),"")</f>
        <v>OS 7.2</v>
      </c>
      <c r="K106" s="12">
        <f>VLOOKUP($D106,'1. Mesures'!$A$2:$P$116,8,0)</f>
        <v>0</v>
      </c>
      <c r="L106" s="12">
        <f>VLOOKUP($D106,'1. Mesures'!$A$2:$P$116,9,0)</f>
        <v>0</v>
      </c>
      <c r="M106" s="12">
        <f>VLOOKUP($D106,'1. Mesures'!$A$2:$P$116,10,0)</f>
        <v>0</v>
      </c>
      <c r="N106" s="12" t="str">
        <f>VLOOKUP($D106,'1. Mesures'!$A$2:$P$116,13,0)</f>
        <v>BM</v>
      </c>
      <c r="O106" s="12" t="str">
        <f>VLOOKUP($D106,'1. Mesures'!$A$2:$P$116,11,0)</f>
        <v>X</v>
      </c>
      <c r="P106" s="12" t="s">
        <v>2715</v>
      </c>
      <c r="Q106" s="452" t="s">
        <v>155</v>
      </c>
      <c r="R106" s="12" t="str">
        <f>VLOOKUP($D106,'1. Mesures'!$A$2:$P$116,12,0)</f>
        <v>A</v>
      </c>
      <c r="S106" s="12" t="str">
        <f>VLOOKUP($D106,'1. Mesures'!$A$2:$P$116,14,0)</f>
        <v>8-Water efficiency, technical measures for irrigation, industry, energy and households.</v>
      </c>
      <c r="T106" s="12" t="str">
        <f>VLOOKUP($D106,'1. Mesures'!$A$2:$P$116,15,0)</f>
        <v>Other</v>
      </c>
      <c r="U106" s="12">
        <f>VLOOKUP($D106,'1. Mesures'!$A$2:$P$116,16,0)</f>
        <v>0</v>
      </c>
      <c r="V106" s="12" t="e">
        <f>VLOOKUP($D106,'1. Mesures'!$A$2:$P$116,17,0)</f>
        <v>#REF!</v>
      </c>
      <c r="W106" s="12" t="e">
        <f>VLOOKUP($D106,'1. Mesures'!$A$2:$P$116,18,0)</f>
        <v>#REF!</v>
      </c>
    </row>
    <row r="107" spans="1:23" x14ac:dyDescent="0.25">
      <c r="A107" s="449" t="str">
        <f>VLOOKUP($D107,'1. Mesures'!$A$2:$P$116,5,0)</f>
        <v>-</v>
      </c>
      <c r="B107" s="449">
        <f>VLOOKUP($D107,'1. Mesures'!$A$2:$P$116,6,0)</f>
        <v>0</v>
      </c>
      <c r="C107" s="449">
        <f>VLOOKUP($D107,'1. Mesures'!$A$2:$P$116,7,0)</f>
        <v>0</v>
      </c>
      <c r="D107" s="12" t="s">
        <v>129</v>
      </c>
      <c r="E107" s="451" t="str">
        <f>VLOOKUP(D107,'1. Mesures'!$A$2:$P$116,2,0)</f>
        <v>Encadrer et réglementer l’usage des eaux provenant de sources</v>
      </c>
      <c r="F107" s="436"/>
      <c r="G107" s="436"/>
      <c r="H107" s="436"/>
      <c r="I107" s="12">
        <f>VLOOKUP($D107,'1. Mesures'!$A$2:$P$116,3,0)</f>
        <v>7</v>
      </c>
      <c r="J107" s="457" t="str">
        <f>IFERROR(VLOOKUP($D107,'1. Mesures'!$A$2:$P$116,4,0),"")</f>
        <v>OS 7.2</v>
      </c>
      <c r="K107" s="12">
        <f>VLOOKUP($D107,'1. Mesures'!$A$2:$P$116,8,0)</f>
        <v>0</v>
      </c>
      <c r="L107" s="12">
        <f>VLOOKUP($D107,'1. Mesures'!$A$2:$P$116,9,0)</f>
        <v>0</v>
      </c>
      <c r="M107" s="12">
        <f>VLOOKUP($D107,'1. Mesures'!$A$2:$P$116,10,0)</f>
        <v>0</v>
      </c>
      <c r="N107" s="12" t="str">
        <f>VLOOKUP($D107,'1. Mesures'!$A$2:$P$116,13,0)</f>
        <v>SM</v>
      </c>
      <c r="O107" s="12">
        <f>VLOOKUP($D107,'1. Mesures'!$A$2:$P$116,11,0)</f>
        <v>0</v>
      </c>
      <c r="P107" s="12" t="s">
        <v>2715</v>
      </c>
      <c r="Q107" s="452" t="s">
        <v>155</v>
      </c>
      <c r="R107" s="12" t="str">
        <f>VLOOKUP($D107,'1. Mesures'!$A$2:$P$116,12,0)</f>
        <v>N</v>
      </c>
      <c r="S107" s="12">
        <f>VLOOKUP($D107,'1. Mesures'!$A$2:$P$116,14,0)</f>
        <v>0</v>
      </c>
      <c r="T107" s="12">
        <f>VLOOKUP($D107,'1. Mesures'!$A$2:$P$116,15,0)</f>
        <v>0</v>
      </c>
      <c r="U107" s="12">
        <f>VLOOKUP($D107,'1. Mesures'!$A$2:$P$116,16,0)</f>
        <v>0</v>
      </c>
      <c r="V107" s="12" t="e">
        <f>VLOOKUP($D107,'1. Mesures'!$A$2:$P$116,17,0)</f>
        <v>#REF!</v>
      </c>
      <c r="W107" s="12" t="e">
        <f>VLOOKUP($D107,'1. Mesures'!$A$2:$P$116,18,0)</f>
        <v>#REF!</v>
      </c>
    </row>
    <row r="108" spans="1:23" x14ac:dyDescent="0.25">
      <c r="A108" s="449" t="str">
        <f>VLOOKUP($D108,'1. Mesures'!$A$2:$P$116,5,0)</f>
        <v>OO 7.3.1</v>
      </c>
      <c r="B108" s="449">
        <f>VLOOKUP($D108,'1. Mesures'!$A$2:$P$116,6,0)</f>
        <v>0</v>
      </c>
      <c r="C108" s="449">
        <f>VLOOKUP($D108,'1. Mesures'!$A$2:$P$116,7,0)</f>
        <v>0</v>
      </c>
      <c r="D108" s="12" t="s">
        <v>130</v>
      </c>
      <c r="E108" s="451" t="str">
        <f>VLOOKUP(D108,'1. Mesures'!$A$2:$P$116,2,0)</f>
        <v>Adapter le cadre juridico-technique relatif aux systèmes géothermiques</v>
      </c>
      <c r="F108" s="436"/>
      <c r="G108" s="436"/>
      <c r="H108" s="436"/>
      <c r="I108" s="12">
        <f>VLOOKUP($D108,'1. Mesures'!$A$2:$P$116,3,0)</f>
        <v>7</v>
      </c>
      <c r="J108" s="457" t="str">
        <f>IFERROR(VLOOKUP($D108,'1. Mesures'!$A$2:$P$116,4,0),"")</f>
        <v>OS 7.3</v>
      </c>
      <c r="K108" s="12">
        <f>VLOOKUP($D108,'1. Mesures'!$A$2:$P$116,8,0)</f>
        <v>0</v>
      </c>
      <c r="L108" s="12">
        <f>VLOOKUP($D108,'1. Mesures'!$A$2:$P$116,9,0)</f>
        <v>0</v>
      </c>
      <c r="M108" s="12">
        <f>VLOOKUP($D108,'1. Mesures'!$A$2:$P$116,10,0)</f>
        <v>0</v>
      </c>
      <c r="N108" s="12" t="str">
        <f>VLOOKUP($D108,'1. Mesures'!$A$2:$P$116,13,0)</f>
        <v>AM</v>
      </c>
      <c r="O108" s="12">
        <f>VLOOKUP($D108,'1. Mesures'!$A$2:$P$116,11,0)</f>
        <v>0</v>
      </c>
      <c r="P108" s="12" t="s">
        <v>2715</v>
      </c>
      <c r="Q108" s="452" t="s">
        <v>155</v>
      </c>
      <c r="R108" s="12" t="str">
        <f>VLOOKUP($D108,'1. Mesures'!$A$2:$P$116,12,0)</f>
        <v>N</v>
      </c>
      <c r="S108" s="12" t="str">
        <f>VLOOKUP($D108,'1. Mesures'!$A$2:$P$116,14,0)</f>
        <v>8-Water efficiency, technical measures for irrigation, industry, energy and households.</v>
      </c>
      <c r="T108" s="12">
        <f>VLOOKUP($D108,'1. Mesures'!$A$2:$P$116,15,0)</f>
        <v>0</v>
      </c>
      <c r="U108" s="12">
        <f>VLOOKUP($D108,'1. Mesures'!$A$2:$P$116,16,0)</f>
        <v>0</v>
      </c>
      <c r="V108" s="12" t="e">
        <f>VLOOKUP($D108,'1. Mesures'!$A$2:$P$116,17,0)</f>
        <v>#REF!</v>
      </c>
      <c r="W108" s="12" t="e">
        <f>VLOOKUP($D108,'1. Mesures'!$A$2:$P$116,18,0)</f>
        <v>#REF!</v>
      </c>
    </row>
    <row r="109" spans="1:23" ht="30" x14ac:dyDescent="0.25">
      <c r="A109" s="449" t="str">
        <f>VLOOKUP($D109,'1. Mesures'!$A$2:$P$116,5,0)</f>
        <v>OO 7.3.1</v>
      </c>
      <c r="B109" s="449">
        <f>VLOOKUP($D109,'1. Mesures'!$A$2:$P$116,6,0)</f>
        <v>0</v>
      </c>
      <c r="C109" s="449">
        <f>VLOOKUP($D109,'1. Mesures'!$A$2:$P$116,7,0)</f>
        <v>0</v>
      </c>
      <c r="D109" s="12" t="s">
        <v>131</v>
      </c>
      <c r="E109" s="451" t="str">
        <f>VLOOKUP(D109,'1. Mesures'!$A$2:$P$116,2,0)</f>
        <v>Régulariser l'ensemble des installations géothermiques soumises à permis d'environnement et les cartographier au sein d'un cadastre</v>
      </c>
      <c r="F109" s="436"/>
      <c r="G109" s="436"/>
      <c r="H109" s="436"/>
      <c r="I109" s="12">
        <f>VLOOKUP($D109,'1. Mesures'!$A$2:$P$116,3,0)</f>
        <v>7</v>
      </c>
      <c r="J109" s="457" t="str">
        <f>IFERROR(VLOOKUP($D109,'1. Mesures'!$A$2:$P$116,4,0),"")</f>
        <v>OS 7.3</v>
      </c>
      <c r="K109" s="12">
        <f>VLOOKUP($D109,'1. Mesures'!$A$2:$P$116,8,0)</f>
        <v>0</v>
      </c>
      <c r="L109" s="12">
        <f>VLOOKUP($D109,'1. Mesures'!$A$2:$P$116,9,0)</f>
        <v>0</v>
      </c>
      <c r="M109" s="12">
        <f>VLOOKUP($D109,'1. Mesures'!$A$2:$P$116,10,0)</f>
        <v>0</v>
      </c>
      <c r="N109" s="12" t="str">
        <f>VLOOKUP($D109,'1. Mesures'!$A$2:$P$116,13,0)</f>
        <v>AM</v>
      </c>
      <c r="O109" s="12">
        <f>VLOOKUP($D109,'1. Mesures'!$A$2:$P$116,11,0)</f>
        <v>0</v>
      </c>
      <c r="P109" s="12" t="s">
        <v>2715</v>
      </c>
      <c r="Q109" s="452" t="s">
        <v>155</v>
      </c>
      <c r="R109" s="12" t="str">
        <f>VLOOKUP($D109,'1. Mesures'!$A$2:$P$116,12,0)</f>
        <v>N</v>
      </c>
      <c r="S109" s="12">
        <f>VLOOKUP($D109,'1. Mesures'!$A$2:$P$116,14,0)</f>
        <v>0</v>
      </c>
      <c r="T109" s="12">
        <f>VLOOKUP($D109,'1. Mesures'!$A$2:$P$116,15,0)</f>
        <v>0</v>
      </c>
      <c r="U109" s="12">
        <f>VLOOKUP($D109,'1. Mesures'!$A$2:$P$116,16,0)</f>
        <v>0</v>
      </c>
      <c r="V109" s="12" t="e">
        <f>VLOOKUP($D109,'1. Mesures'!$A$2:$P$116,17,0)</f>
        <v>#REF!</v>
      </c>
      <c r="W109" s="12" t="e">
        <f>VLOOKUP($D109,'1. Mesures'!$A$2:$P$116,18,0)</f>
        <v>#REF!</v>
      </c>
    </row>
    <row r="110" spans="1:23" ht="45" x14ac:dyDescent="0.25">
      <c r="A110" s="449" t="str">
        <f>VLOOKUP($D110,'1. Mesures'!$A$2:$P$116,5,0)</f>
        <v>OO 7.3.1</v>
      </c>
      <c r="B110" s="449">
        <f>VLOOKUP($D110,'1. Mesures'!$A$2:$P$116,6,0)</f>
        <v>0</v>
      </c>
      <c r="C110" s="449">
        <f>VLOOKUP($D110,'1. Mesures'!$A$2:$P$116,7,0)</f>
        <v>0</v>
      </c>
      <c r="D110" s="12" t="s">
        <v>132</v>
      </c>
      <c r="E110" s="451" t="str">
        <f>VLOOKUP(D110,'1. Mesures'!$A$2:$P$116,2,0)</f>
        <v>Informer les maitres d'ouvrage et maitres d'œuvre sur le potentiel géothermique et développer des outils numériques d'aide à l'analyse de faisabilité et au pré-dimensionnement d’installations géothermiques..</v>
      </c>
      <c r="F110" s="436"/>
      <c r="G110" s="436"/>
      <c r="H110" s="436"/>
      <c r="I110" s="12">
        <f>VLOOKUP($D110,'1. Mesures'!$A$2:$P$116,3,0)</f>
        <v>7</v>
      </c>
      <c r="J110" s="457" t="str">
        <f>IFERROR(VLOOKUP($D110,'1. Mesures'!$A$2:$P$116,4,0),"")</f>
        <v>OS 7.3</v>
      </c>
      <c r="K110" s="12">
        <f>VLOOKUP($D110,'1. Mesures'!$A$2:$P$116,8,0)</f>
        <v>0</v>
      </c>
      <c r="L110" s="12">
        <f>VLOOKUP($D110,'1. Mesures'!$A$2:$P$116,9,0)</f>
        <v>0</v>
      </c>
      <c r="M110" s="12">
        <f>VLOOKUP($D110,'1. Mesures'!$A$2:$P$116,10,0)</f>
        <v>0</v>
      </c>
      <c r="N110" s="12" t="str">
        <f>VLOOKUP($D110,'1. Mesures'!$A$2:$P$116,13,0)</f>
        <v>AM</v>
      </c>
      <c r="O110" s="12">
        <f>VLOOKUP($D110,'1. Mesures'!$A$2:$P$116,11,0)</f>
        <v>0</v>
      </c>
      <c r="P110" s="12" t="s">
        <v>2715</v>
      </c>
      <c r="Q110" s="452" t="s">
        <v>155</v>
      </c>
      <c r="R110" s="12" t="str">
        <f>VLOOKUP($D110,'1. Mesures'!$A$2:$P$116,12,0)</f>
        <v>P</v>
      </c>
      <c r="S110" s="12">
        <f>VLOOKUP($D110,'1. Mesures'!$A$2:$P$116,14,0)</f>
        <v>0</v>
      </c>
      <c r="T110" s="12">
        <f>VLOOKUP($D110,'1. Mesures'!$A$2:$P$116,15,0)</f>
        <v>0</v>
      </c>
      <c r="U110" s="12">
        <f>VLOOKUP($D110,'1. Mesures'!$A$2:$P$116,16,0)</f>
        <v>0</v>
      </c>
      <c r="V110" s="12" t="e">
        <f>VLOOKUP($D110,'1. Mesures'!$A$2:$P$116,17,0)</f>
        <v>#REF!</v>
      </c>
      <c r="W110" s="12" t="e">
        <f>VLOOKUP($D110,'1. Mesures'!$A$2:$P$116,18,0)</f>
        <v>#REF!</v>
      </c>
    </row>
    <row r="111" spans="1:23" ht="30" x14ac:dyDescent="0.25">
      <c r="A111" s="449" t="str">
        <f>VLOOKUP($D111,'1. Mesures'!$A$2:$P$116,5,0)</f>
        <v>OO 7.3.2</v>
      </c>
      <c r="B111" s="449">
        <f>VLOOKUP($D111,'1. Mesures'!$A$2:$P$116,6,0)</f>
        <v>0</v>
      </c>
      <c r="C111" s="449">
        <f>VLOOKUP($D111,'1. Mesures'!$A$2:$P$116,7,0)</f>
        <v>0</v>
      </c>
      <c r="D111" s="12" t="s">
        <v>133</v>
      </c>
      <c r="E111" s="451" t="str">
        <f>VLOOKUP(D111,'1. Mesures'!$A$2:$P$116,2,0)</f>
        <v xml:space="preserve">Analyser la reproductibilité des projets pilotes mis en place visant à récupérer la chaleur à partir des eaux usées transitant dans le réseau d’égouttage </v>
      </c>
      <c r="F111" s="436"/>
      <c r="G111" s="436"/>
      <c r="H111" s="436"/>
      <c r="I111" s="12">
        <f>VLOOKUP($D111,'1. Mesures'!$A$2:$P$116,3,0)</f>
        <v>7</v>
      </c>
      <c r="J111" s="457" t="str">
        <f>IFERROR(VLOOKUP($D111,'1. Mesures'!$A$2:$P$116,4,0),"")</f>
        <v>OS 7.3</v>
      </c>
      <c r="K111" s="12">
        <f>VLOOKUP($D111,'1. Mesures'!$A$2:$P$116,8,0)</f>
        <v>0</v>
      </c>
      <c r="L111" s="12">
        <f>VLOOKUP($D111,'1. Mesures'!$A$2:$P$116,9,0)</f>
        <v>0</v>
      </c>
      <c r="M111" s="12">
        <f>VLOOKUP($D111,'1. Mesures'!$A$2:$P$116,10,0)</f>
        <v>0</v>
      </c>
      <c r="N111" s="12" t="str">
        <f>VLOOKUP($D111,'1. Mesures'!$A$2:$P$116,13,0)</f>
        <v>AM</v>
      </c>
      <c r="O111" s="12">
        <f>VLOOKUP($D111,'1. Mesures'!$A$2:$P$116,11,0)</f>
        <v>0</v>
      </c>
      <c r="P111" s="12" t="s">
        <v>2715</v>
      </c>
      <c r="Q111" s="452" t="s">
        <v>155</v>
      </c>
      <c r="R111" s="12">
        <f>VLOOKUP($D111,'1. Mesures'!$A$2:$P$116,12,0)</f>
        <v>0</v>
      </c>
      <c r="S111" s="12" t="str">
        <f>VLOOKUP($D111,'1. Mesures'!$A$2:$P$116,14,0)</f>
        <v>8-Water efficiency, technical measures for irrigation, industry, energy and households.</v>
      </c>
      <c r="T111" s="12">
        <f>VLOOKUP($D111,'1. Mesures'!$A$2:$P$116,15,0)</f>
        <v>0</v>
      </c>
      <c r="U111" s="12">
        <f>VLOOKUP($D111,'1. Mesures'!$A$2:$P$116,16,0)</f>
        <v>0</v>
      </c>
      <c r="V111" s="12" t="e">
        <f>VLOOKUP($D111,'1. Mesures'!$A$2:$P$116,17,0)</f>
        <v>#REF!</v>
      </c>
      <c r="W111" s="12" t="e">
        <f>VLOOKUP($D111,'1. Mesures'!$A$2:$P$116,18,0)</f>
        <v>#REF!</v>
      </c>
    </row>
    <row r="112" spans="1:23" ht="30" x14ac:dyDescent="0.25">
      <c r="A112" s="449" t="str">
        <f>VLOOKUP($D112,'1. Mesures'!$A$2:$P$116,5,0)</f>
        <v>-</v>
      </c>
      <c r="B112" s="449">
        <f>VLOOKUP($D112,'1. Mesures'!$A$2:$P$116,6,0)</f>
        <v>0</v>
      </c>
      <c r="C112" s="449">
        <f>VLOOKUP($D112,'1. Mesures'!$A$2:$P$116,7,0)</f>
        <v>0</v>
      </c>
      <c r="D112" s="12" t="s">
        <v>134</v>
      </c>
      <c r="E112" s="451" t="str">
        <f>VLOOKUP(D112,'1. Mesures'!$A$2:$P$116,2,0)</f>
        <v>Assurer et renforcer la coordination internationale au niveau du district hydrographique international de l'Escaut</v>
      </c>
      <c r="F112" s="436"/>
      <c r="G112" s="436"/>
      <c r="H112" s="436"/>
      <c r="I112" s="12">
        <f>VLOOKUP($D112,'1. Mesures'!$A$2:$P$116,3,0)</f>
        <v>8</v>
      </c>
      <c r="J112" s="457" t="str">
        <f>IFERROR(VLOOKUP($D112,'1. Mesures'!$A$2:$P$116,4,0),"")</f>
        <v>OS 8.1</v>
      </c>
      <c r="K112" s="12">
        <f>VLOOKUP($D112,'1. Mesures'!$A$2:$P$116,8,0)</f>
        <v>0</v>
      </c>
      <c r="L112" s="12">
        <f>VLOOKUP($D112,'1. Mesures'!$A$2:$P$116,9,0)</f>
        <v>0</v>
      </c>
      <c r="M112" s="12">
        <f>VLOOKUP($D112,'1. Mesures'!$A$2:$P$116,10,0)</f>
        <v>0</v>
      </c>
      <c r="N112" s="12" t="str">
        <f>VLOOKUP($D112,'1. Mesures'!$A$2:$P$116,13,0)</f>
        <v>BM</v>
      </c>
      <c r="O112" s="12" t="str">
        <f>VLOOKUP($D112,'1. Mesures'!$A$2:$P$116,11,0)</f>
        <v>X</v>
      </c>
      <c r="P112" s="12" t="s">
        <v>2715</v>
      </c>
      <c r="Q112" s="452" t="s">
        <v>155</v>
      </c>
      <c r="R112" s="12" t="str">
        <f>VLOOKUP($D112,'1. Mesures'!$A$2:$P$116,12,0)</f>
        <v>P</v>
      </c>
      <c r="S112" s="12">
        <f>VLOOKUP($D112,'1. Mesures'!$A$2:$P$116,14,0)</f>
        <v>0</v>
      </c>
      <c r="T112" s="12" t="str">
        <f>VLOOKUP($D112,'1. Mesures'!$A$2:$P$116,15,0)</f>
        <v>Other</v>
      </c>
      <c r="U112" s="12">
        <f>VLOOKUP($D112,'1. Mesures'!$A$2:$P$116,16,0)</f>
        <v>0</v>
      </c>
      <c r="V112" s="12" t="e">
        <f>VLOOKUP($D112,'1. Mesures'!$A$2:$P$116,17,0)</f>
        <v>#REF!</v>
      </c>
      <c r="W112" s="12" t="e">
        <f>VLOOKUP($D112,'1. Mesures'!$A$2:$P$116,18,0)</f>
        <v>#REF!</v>
      </c>
    </row>
    <row r="113" spans="1:23" x14ac:dyDescent="0.25">
      <c r="A113" s="449" t="str">
        <f>VLOOKUP($D113,'1. Mesures'!$A$2:$P$116,5,0)</f>
        <v>-</v>
      </c>
      <c r="B113" s="449">
        <f>VLOOKUP($D113,'1. Mesures'!$A$2:$P$116,6,0)</f>
        <v>0</v>
      </c>
      <c r="C113" s="449">
        <f>VLOOKUP($D113,'1. Mesures'!$A$2:$P$116,7,0)</f>
        <v>0</v>
      </c>
      <c r="D113" s="12" t="s">
        <v>135</v>
      </c>
      <c r="E113" s="451" t="str">
        <f>VLOOKUP(D113,'1. Mesures'!$A$2:$P$116,2,0)</f>
        <v>Assurer une coordination interrégionale pour la gestion des masses d'eau transrégionales</v>
      </c>
      <c r="F113" s="436"/>
      <c r="G113" s="436"/>
      <c r="H113" s="436"/>
      <c r="I113" s="12">
        <f>VLOOKUP($D113,'1. Mesures'!$A$2:$P$116,3,0)</f>
        <v>8</v>
      </c>
      <c r="J113" s="457" t="str">
        <f>IFERROR(VLOOKUP($D113,'1. Mesures'!$A$2:$P$116,4,0),"")</f>
        <v>OS 8.1</v>
      </c>
      <c r="K113" s="12">
        <f>VLOOKUP($D113,'1. Mesures'!$A$2:$P$116,8,0)</f>
        <v>0</v>
      </c>
      <c r="L113" s="12">
        <f>VLOOKUP($D113,'1. Mesures'!$A$2:$P$116,9,0)</f>
        <v>0</v>
      </c>
      <c r="M113" s="12">
        <f>VLOOKUP($D113,'1. Mesures'!$A$2:$P$116,10,0)</f>
        <v>0</v>
      </c>
      <c r="N113" s="12" t="str">
        <f>VLOOKUP($D113,'1. Mesures'!$A$2:$P$116,13,0)</f>
        <v>BM</v>
      </c>
      <c r="O113" s="12">
        <f>VLOOKUP($D113,'1. Mesures'!$A$2:$P$116,11,0)</f>
        <v>0</v>
      </c>
      <c r="P113" s="12" t="s">
        <v>2715</v>
      </c>
      <c r="Q113" s="452" t="s">
        <v>155</v>
      </c>
      <c r="R113" s="12" t="str">
        <f>VLOOKUP($D113,'1. Mesures'!$A$2:$P$116,12,0)</f>
        <v>P</v>
      </c>
      <c r="S113" s="12">
        <f>VLOOKUP($D113,'1. Mesures'!$A$2:$P$116,14,0)</f>
        <v>0</v>
      </c>
      <c r="T113" s="12" t="str">
        <f>VLOOKUP($D113,'1. Mesures'!$A$2:$P$116,15,0)</f>
        <v>Other</v>
      </c>
      <c r="U113" s="12">
        <f>VLOOKUP($D113,'1. Mesures'!$A$2:$P$116,16,0)</f>
        <v>0</v>
      </c>
      <c r="V113" s="12" t="e">
        <f>VLOOKUP($D113,'1. Mesures'!$A$2:$P$116,17,0)</f>
        <v>#REF!</v>
      </c>
      <c r="W113" s="12" t="e">
        <f>VLOOKUP($D113,'1. Mesures'!$A$2:$P$116,18,0)</f>
        <v>#REF!</v>
      </c>
    </row>
    <row r="114" spans="1:23" ht="30" x14ac:dyDescent="0.25">
      <c r="A114" s="449" t="str">
        <f>VLOOKUP($D114,'1. Mesures'!$A$2:$P$116,5,0)</f>
        <v>-</v>
      </c>
      <c r="B114" s="449">
        <f>VLOOKUP($D114,'1. Mesures'!$A$2:$P$116,6,0)</f>
        <v>0</v>
      </c>
      <c r="C114" s="449">
        <f>VLOOKUP($D114,'1. Mesures'!$A$2:$P$116,7,0)</f>
        <v>0</v>
      </c>
      <c r="D114" s="12" t="s">
        <v>136</v>
      </c>
      <c r="E114" s="451" t="str">
        <f>VLOOKUP(D114,'1. Mesures'!$A$2:$P$116,2,0)</f>
        <v xml:space="preserve">Assurer une gestion de l’eau cohérente et coordonnée au sein de la Région de Bruxelles-Capitale  (coordination intrarégionale) </v>
      </c>
      <c r="F114" s="436"/>
      <c r="G114" s="436"/>
      <c r="H114" s="436"/>
      <c r="I114" s="12">
        <f>VLOOKUP($D114,'1. Mesures'!$A$2:$P$116,3,0)</f>
        <v>8</v>
      </c>
      <c r="J114" s="457" t="str">
        <f>IFERROR(VLOOKUP($D114,'1. Mesures'!$A$2:$P$116,4,0),"")</f>
        <v>OS 8.1</v>
      </c>
      <c r="K114" s="12" t="str">
        <f>VLOOKUP($D114,'1. Mesures'!$A$2:$P$116,8,0)</f>
        <v>X</v>
      </c>
      <c r="L114" s="12">
        <f>VLOOKUP($D114,'1. Mesures'!$A$2:$P$116,9,0)</f>
        <v>0</v>
      </c>
      <c r="M114" s="12">
        <f>VLOOKUP($D114,'1. Mesures'!$A$2:$P$116,10,0)</f>
        <v>0</v>
      </c>
      <c r="N114" s="12" t="str">
        <f>VLOOKUP($D114,'1. Mesures'!$A$2:$P$116,13,0)</f>
        <v>BM</v>
      </c>
      <c r="O114" s="12" t="str">
        <f>VLOOKUP($D114,'1. Mesures'!$A$2:$P$116,11,0)</f>
        <v>X</v>
      </c>
      <c r="P114" s="12" t="s">
        <v>2715</v>
      </c>
      <c r="Q114" s="452" t="s">
        <v>155</v>
      </c>
      <c r="R114" s="12" t="str">
        <f>VLOOKUP($D114,'1. Mesures'!$A$2:$P$116,12,0)</f>
        <v>P</v>
      </c>
      <c r="S114" s="12">
        <f>VLOOKUP($D114,'1. Mesures'!$A$2:$P$116,14,0)</f>
        <v>0</v>
      </c>
      <c r="T114" s="12" t="str">
        <f>VLOOKUP($D114,'1. Mesures'!$A$2:$P$116,15,0)</f>
        <v>Other</v>
      </c>
      <c r="U114" s="12">
        <f>VLOOKUP($D114,'1. Mesures'!$A$2:$P$116,16,0)</f>
        <v>0</v>
      </c>
      <c r="V114" s="12" t="e">
        <f>VLOOKUP($D114,'1. Mesures'!$A$2:$P$116,17,0)</f>
        <v>#REF!</v>
      </c>
      <c r="W114" s="12" t="e">
        <f>VLOOKUP($D114,'1. Mesures'!$A$2:$P$116,18,0)</f>
        <v>#REF!</v>
      </c>
    </row>
    <row r="115" spans="1:23" ht="30" x14ac:dyDescent="0.25">
      <c r="A115" s="449" t="str">
        <f>VLOOKUP($D115,'1. Mesures'!$A$2:$P$116,5,0)</f>
        <v>-</v>
      </c>
      <c r="B115" s="449">
        <f>VLOOKUP($D115,'1. Mesures'!$A$2:$P$116,6,0)</f>
        <v>0</v>
      </c>
      <c r="C115" s="449">
        <f>VLOOKUP($D115,'1. Mesures'!$A$2:$P$116,7,0)</f>
        <v>0</v>
      </c>
      <c r="D115" s="12" t="s">
        <v>137</v>
      </c>
      <c r="E115" s="451" t="str">
        <f>VLOOKUP(D115,'1. Mesures'!$A$2:$P$116,2,0)</f>
        <v>Encourager la participation d'acteurs bruxellois de l'eau aux associations européennes de l'eau</v>
      </c>
      <c r="F115" s="436"/>
      <c r="G115" s="436"/>
      <c r="H115" s="436"/>
      <c r="I115" s="12">
        <f>VLOOKUP($D115,'1. Mesures'!$A$2:$P$116,3,0)</f>
        <v>8</v>
      </c>
      <c r="J115" s="457" t="str">
        <f>IFERROR(VLOOKUP($D115,'1. Mesures'!$A$2:$P$116,4,0),"")</f>
        <v>OS 8.2</v>
      </c>
      <c r="K115" s="12">
        <f>VLOOKUP($D115,'1. Mesures'!$A$2:$P$116,8,0)</f>
        <v>0</v>
      </c>
      <c r="L115" s="12">
        <f>VLOOKUP($D115,'1. Mesures'!$A$2:$P$116,9,0)</f>
        <v>0</v>
      </c>
      <c r="M115" s="12">
        <f>VLOOKUP($D115,'1. Mesures'!$A$2:$P$116,10,0)</f>
        <v>0</v>
      </c>
      <c r="N115" s="12" t="str">
        <f>VLOOKUP($D115,'1. Mesures'!$A$2:$P$116,13,0)</f>
        <v>AM</v>
      </c>
      <c r="O115" s="12">
        <f>VLOOKUP($D115,'1. Mesures'!$A$2:$P$116,11,0)</f>
        <v>0</v>
      </c>
      <c r="P115" s="12" t="s">
        <v>2715</v>
      </c>
      <c r="Q115" s="452" t="s">
        <v>155</v>
      </c>
      <c r="R115" s="12" t="str">
        <f>VLOOKUP($D115,'1. Mesures'!$A$2:$P$116,12,0)</f>
        <v>P</v>
      </c>
      <c r="S115" s="12">
        <f>VLOOKUP($D115,'1. Mesures'!$A$2:$P$116,14,0)</f>
        <v>0</v>
      </c>
      <c r="T115" s="12">
        <f>VLOOKUP($D115,'1. Mesures'!$A$2:$P$116,15,0)</f>
        <v>0</v>
      </c>
      <c r="U115" s="12">
        <f>VLOOKUP($D115,'1. Mesures'!$A$2:$P$116,16,0)</f>
        <v>0</v>
      </c>
      <c r="V115" s="12" t="e">
        <f>VLOOKUP($D115,'1. Mesures'!$A$2:$P$116,17,0)</f>
        <v>#REF!</v>
      </c>
      <c r="W115" s="12" t="e">
        <f>VLOOKUP($D115,'1. Mesures'!$A$2:$P$116,18,0)</f>
        <v>#REF!</v>
      </c>
    </row>
    <row r="116" spans="1:23" ht="30" x14ac:dyDescent="0.25">
      <c r="A116" s="449" t="str">
        <f>VLOOKUP($D116,'1. Mesures'!$A$2:$P$116,5,0)</f>
        <v>-</v>
      </c>
      <c r="B116" s="449">
        <f>VLOOKUP($D116,'1. Mesures'!$A$2:$P$116,6,0)</f>
        <v>0</v>
      </c>
      <c r="C116" s="449">
        <f>VLOOKUP($D116,'1. Mesures'!$A$2:$P$116,7,0)</f>
        <v>0</v>
      </c>
      <c r="D116" s="12" t="s">
        <v>139</v>
      </c>
      <c r="E116" s="451" t="str">
        <f>VLOOKUP(D116,'1. Mesures'!$A$2:$P$116,2,0)</f>
        <v>Assurer la mise en œuvre, la promotion et l'adéquation des outils et mécanismes de soutien et de sensibilisation liés à la gestion et à l’éducation à l’eau</v>
      </c>
      <c r="F116" s="436"/>
      <c r="G116" s="436"/>
      <c r="H116" s="436"/>
      <c r="I116" s="12">
        <f>VLOOKUP($D116,'1. Mesures'!$A$2:$P$116,3,0)</f>
        <v>8</v>
      </c>
      <c r="J116" s="457" t="str">
        <f>IFERROR(VLOOKUP($D116,'1. Mesures'!$A$2:$P$116,4,0),"")</f>
        <v>OS 8.2</v>
      </c>
      <c r="K116" s="12" t="str">
        <f>VLOOKUP($D116,'1. Mesures'!$A$2:$P$116,8,0)</f>
        <v>X</v>
      </c>
      <c r="L116" s="12">
        <f>VLOOKUP($D116,'1. Mesures'!$A$2:$P$116,9,0)</f>
        <v>0</v>
      </c>
      <c r="M116" s="12">
        <f>VLOOKUP($D116,'1. Mesures'!$A$2:$P$116,10,0)</f>
        <v>0</v>
      </c>
      <c r="N116" s="12" t="str">
        <f>VLOOKUP($D116,'1. Mesures'!$A$2:$P$116,13,0)</f>
        <v>SM</v>
      </c>
      <c r="O116" s="12" t="str">
        <f>VLOOKUP($D116,'1. Mesures'!$A$2:$P$116,11,0)</f>
        <v>X</v>
      </c>
      <c r="P116" s="12" t="s">
        <v>2715</v>
      </c>
      <c r="Q116" s="452" t="s">
        <v>155</v>
      </c>
      <c r="R116" s="12" t="str">
        <f>VLOOKUP($D116,'1. Mesures'!$A$2:$P$116,12,0)</f>
        <v>A</v>
      </c>
      <c r="S116" s="12">
        <f>VLOOKUP($D116,'1. Mesures'!$A$2:$P$116,14,0)</f>
        <v>0</v>
      </c>
      <c r="T116" s="12">
        <f>VLOOKUP($D116,'1. Mesures'!$A$2:$P$116,15,0)</f>
        <v>0</v>
      </c>
      <c r="U116" s="12">
        <f>VLOOKUP($D116,'1. Mesures'!$A$2:$P$116,16,0)</f>
        <v>0</v>
      </c>
      <c r="V116" s="12" t="e">
        <f>VLOOKUP($D116,'1. Mesures'!$A$2:$P$116,17,0)</f>
        <v>#REF!</v>
      </c>
      <c r="W116" s="12" t="e">
        <f>VLOOKUP($D116,'1. Mesures'!$A$2:$P$116,18,0)</f>
        <v>#REF!</v>
      </c>
    </row>
    <row r="117" spans="1:23" ht="30" x14ac:dyDescent="0.25">
      <c r="A117" s="449" t="str">
        <f>VLOOKUP($D117,'1. Mesures'!$A$2:$P$116,5,0)</f>
        <v>OO  7.1.1</v>
      </c>
      <c r="B117" s="449">
        <f>VLOOKUP($D117,'1. Mesures'!$A$2:$P$116,6,0)</f>
        <v>0</v>
      </c>
      <c r="C117" s="449" t="str">
        <f>VLOOKUP($D117,'1. Mesures'!$A$2:$P$116,7,0)</f>
        <v>X</v>
      </c>
      <c r="D117" s="12" t="s">
        <v>122</v>
      </c>
      <c r="E117" s="451" t="str">
        <f>VLOOKUP(D117,'1. Mesures'!$A$2:$P$116,2,0)</f>
        <v xml:space="preserve">Assurer l’entretien du réseau et optimiser son fonctionnement afin de  lutter contre les fuites du réseau de distribution d'eau potable </v>
      </c>
      <c r="F117" s="436"/>
      <c r="G117" s="436"/>
      <c r="H117" s="436"/>
      <c r="I117" s="12">
        <f>VLOOKUP($D117,'1. Mesures'!$A$2:$P$116,3,0)</f>
        <v>7</v>
      </c>
      <c r="J117" s="457" t="str">
        <f>IFERROR(VLOOKUP($D117,'1. Mesures'!$A$2:$P$116,4,0),"")</f>
        <v>OS 7.1</v>
      </c>
      <c r="K117" s="12">
        <f>VLOOKUP($D117,'1. Mesures'!$A$2:$P$116,8,0)</f>
        <v>0</v>
      </c>
      <c r="L117" s="12">
        <f>VLOOKUP($D117,'1. Mesures'!$A$2:$P$116,9,0)</f>
        <v>0</v>
      </c>
      <c r="M117" s="12">
        <f>VLOOKUP($D117,'1. Mesures'!$A$2:$P$116,10,0)</f>
        <v>0</v>
      </c>
      <c r="N117" s="12" t="str">
        <f>VLOOKUP($D117,'1. Mesures'!$A$2:$P$116,13,0)</f>
        <v>BM</v>
      </c>
      <c r="O117" s="12" t="str">
        <f>VLOOKUP($D117,'1. Mesures'!$A$2:$P$116,11,0)</f>
        <v>X</v>
      </c>
      <c r="P117" s="12" t="s">
        <v>2715</v>
      </c>
      <c r="Q117" s="452" t="s">
        <v>155</v>
      </c>
      <c r="R117" s="12">
        <f>VLOOKUP($D117,'1. Mesures'!$A$2:$P$116,12,0)</f>
        <v>0</v>
      </c>
      <c r="S117" s="12">
        <f>VLOOKUP($D117,'1. Mesures'!$A$2:$P$116,14,0)</f>
        <v>0</v>
      </c>
      <c r="T117" s="12">
        <f>VLOOKUP($D117,'1. Mesures'!$A$2:$P$116,15,0)</f>
        <v>0</v>
      </c>
      <c r="U117" s="12">
        <f>VLOOKUP($D117,'1. Mesures'!$A$2:$P$116,16,0)</f>
        <v>0</v>
      </c>
      <c r="V117" s="12" t="e">
        <f>VLOOKUP($D117,'1. Mesures'!$A$2:$P$116,17,0)</f>
        <v>#REF!</v>
      </c>
      <c r="W117" s="12" t="e">
        <f>VLOOKUP($D117,'1. Mesures'!$A$2:$P$116,18,0)</f>
        <v>#REF!</v>
      </c>
    </row>
    <row r="118" spans="1:23" x14ac:dyDescent="0.25">
      <c r="A118" s="449" t="str">
        <f>VLOOKUP($D118,'1. Mesures'!$A$2:$P$116,5,0)</f>
        <v>OO  7.1.2</v>
      </c>
      <c r="B118" s="449">
        <f>VLOOKUP($D118,'1. Mesures'!$A$2:$P$116,6,0)</f>
        <v>0</v>
      </c>
      <c r="C118" s="449">
        <f>VLOOKUP($D118,'1. Mesures'!$A$2:$P$116,7,0)</f>
        <v>0</v>
      </c>
      <c r="D118" s="12" t="s">
        <v>123</v>
      </c>
      <c r="E118" s="451" t="str">
        <f>VLOOKUP(D118,'1. Mesures'!$A$2:$P$116,2,0)</f>
        <v>Promouvoir la consommation d'eau de distribution pour les besoins en eau potable</v>
      </c>
      <c r="F118" s="436"/>
      <c r="G118" s="436"/>
      <c r="H118" s="436"/>
      <c r="I118" s="12">
        <f>VLOOKUP($D118,'1. Mesures'!$A$2:$P$116,3,0)</f>
        <v>7</v>
      </c>
      <c r="J118" s="457" t="str">
        <f>IFERROR(VLOOKUP($D118,'1. Mesures'!$A$2:$P$116,4,0),"")</f>
        <v>OS 7.1</v>
      </c>
      <c r="K118" s="12">
        <f>VLOOKUP($D118,'1. Mesures'!$A$2:$P$116,8,0)</f>
        <v>0</v>
      </c>
      <c r="L118" s="12">
        <f>VLOOKUP($D118,'1. Mesures'!$A$2:$P$116,9,0)</f>
        <v>0</v>
      </c>
      <c r="M118" s="12">
        <f>VLOOKUP($D118,'1. Mesures'!$A$2:$P$116,10,0)</f>
        <v>0</v>
      </c>
      <c r="N118" s="12" t="str">
        <f>VLOOKUP($D118,'1. Mesures'!$A$2:$P$116,13,0)</f>
        <v>BM</v>
      </c>
      <c r="O118" s="12" t="str">
        <f>VLOOKUP($D118,'1. Mesures'!$A$2:$P$116,11,0)</f>
        <v>X</v>
      </c>
      <c r="P118" s="12" t="s">
        <v>2715</v>
      </c>
      <c r="Q118" s="452" t="s">
        <v>155</v>
      </c>
      <c r="R118" s="12" t="str">
        <f>VLOOKUP($D118,'1. Mesures'!$A$2:$P$116,12,0)</f>
        <v>A</v>
      </c>
      <c r="S118" s="12" t="str">
        <f>VLOOKUP($D118,'1. Mesures'!$A$2:$P$116,14,0)</f>
        <v>8-Water efficiency, technical measures for irrigation, industry, energy and households.</v>
      </c>
      <c r="T118" s="12" t="str">
        <f>VLOOKUP($D118,'1. Mesures'!$A$2:$P$116,15,0)</f>
        <v>Efficient water use</v>
      </c>
      <c r="U118" s="12">
        <f>VLOOKUP($D118,'1. Mesures'!$A$2:$P$116,16,0)</f>
        <v>0</v>
      </c>
      <c r="V118" s="12" t="e">
        <f>VLOOKUP($D118,'1. Mesures'!$A$2:$P$116,17,0)</f>
        <v>#REF!</v>
      </c>
      <c r="W118" s="12" t="e">
        <f>VLOOKUP($D118,'1. Mesures'!$A$2:$P$116,18,0)</f>
        <v>#REF!</v>
      </c>
    </row>
    <row r="119" spans="1:23" ht="30" x14ac:dyDescent="0.25">
      <c r="A119" s="449" t="str">
        <f>VLOOKUP($D119,'1. Mesures'!$A$2:$P$116,5,0)</f>
        <v>OO  7.1.2</v>
      </c>
      <c r="B119" s="449">
        <f>VLOOKUP($D119,'1. Mesures'!$A$2:$P$116,6,0)</f>
        <v>0</v>
      </c>
      <c r="C119" s="449">
        <f>VLOOKUP($D119,'1. Mesures'!$A$2:$P$116,7,0)</f>
        <v>0</v>
      </c>
      <c r="D119" s="12" t="s">
        <v>124</v>
      </c>
      <c r="E119" s="451" t="str">
        <f>VLOOKUP(D119,'1. Mesures'!$A$2:$P$116,2,0)</f>
        <v>Promouvoir, auprès des ménages, les comportements et équipements économes en eau ainsi que le recours à un approvisionnement en eau alternatif</v>
      </c>
      <c r="F119" s="436"/>
      <c r="G119" s="436"/>
      <c r="H119" s="436"/>
      <c r="I119" s="12">
        <f>VLOOKUP($D119,'1. Mesures'!$A$2:$P$116,3,0)</f>
        <v>7</v>
      </c>
      <c r="J119" s="457" t="str">
        <f>IFERROR(VLOOKUP($D119,'1. Mesures'!$A$2:$P$116,4,0),"")</f>
        <v>OS 7.1</v>
      </c>
      <c r="K119" s="12">
        <f>VLOOKUP($D119,'1. Mesures'!$A$2:$P$116,8,0)</f>
        <v>0</v>
      </c>
      <c r="L119" s="12">
        <f>VLOOKUP($D119,'1. Mesures'!$A$2:$P$116,9,0)</f>
        <v>0</v>
      </c>
      <c r="M119" s="12">
        <f>VLOOKUP($D119,'1. Mesures'!$A$2:$P$116,10,0)</f>
        <v>0</v>
      </c>
      <c r="N119" s="12" t="str">
        <f>VLOOKUP($D119,'1. Mesures'!$A$2:$P$116,13,0)</f>
        <v>BM</v>
      </c>
      <c r="O119" s="12" t="str">
        <f>VLOOKUP($D119,'1. Mesures'!$A$2:$P$116,11,0)</f>
        <v>X</v>
      </c>
      <c r="P119" s="12" t="s">
        <v>2715</v>
      </c>
      <c r="Q119" s="452" t="s">
        <v>155</v>
      </c>
      <c r="R119" s="12" t="str">
        <f>VLOOKUP($D119,'1. Mesures'!$A$2:$P$116,12,0)</f>
        <v>N</v>
      </c>
      <c r="S119" s="12" t="str">
        <f>VLOOKUP($D119,'1. Mesures'!$A$2:$P$116,14,0)</f>
        <v>8-Water efficiency, technical measures for irrigation, industry, energy and households.</v>
      </c>
      <c r="T119" s="12" t="str">
        <f>VLOOKUP($D119,'1. Mesures'!$A$2:$P$116,15,0)</f>
        <v>Efficient water use</v>
      </c>
      <c r="U119" s="12">
        <f>VLOOKUP($D119,'1. Mesures'!$A$2:$P$116,16,0)</f>
        <v>0</v>
      </c>
      <c r="V119" s="12" t="e">
        <f>VLOOKUP($D119,'1. Mesures'!$A$2:$P$116,17,0)</f>
        <v>#REF!</v>
      </c>
      <c r="W119" s="12" t="e">
        <f>VLOOKUP($D119,'1. Mesures'!$A$2:$P$116,18,0)</f>
        <v>#REF!</v>
      </c>
    </row>
    <row r="120" spans="1:23" ht="30" x14ac:dyDescent="0.25">
      <c r="A120" s="449" t="str">
        <f>VLOOKUP($D120,'1. Mesures'!$A$2:$P$116,5,0)</f>
        <v>OO  7.1.2</v>
      </c>
      <c r="B120" s="449">
        <f>VLOOKUP($D120,'1. Mesures'!$A$2:$P$116,6,0)</f>
        <v>0</v>
      </c>
      <c r="C120" s="449">
        <f>VLOOKUP($D120,'1. Mesures'!$A$2:$P$116,7,0)</f>
        <v>0</v>
      </c>
      <c r="D120" s="12" t="s">
        <v>125</v>
      </c>
      <c r="E120" s="451" t="str">
        <f>VLOOKUP(D120,'1. Mesures'!$A$2:$P$116,2,0)</f>
        <v>Mettre en place un audit portant sur l’utilisation rationnelle de l’ eau dans les bâtiments du secteur tertiaire</v>
      </c>
      <c r="F120" s="436"/>
      <c r="G120" s="436"/>
      <c r="H120" s="436"/>
      <c r="I120" s="12">
        <f>VLOOKUP($D120,'1. Mesures'!$A$2:$P$116,3,0)</f>
        <v>7</v>
      </c>
      <c r="J120" s="457" t="str">
        <f>IFERROR(VLOOKUP($D120,'1. Mesures'!$A$2:$P$116,4,0),"")</f>
        <v>OS 7.1</v>
      </c>
      <c r="K120" s="12">
        <f>VLOOKUP($D120,'1. Mesures'!$A$2:$P$116,8,0)</f>
        <v>0</v>
      </c>
      <c r="L120" s="12">
        <f>VLOOKUP($D120,'1. Mesures'!$A$2:$P$116,9,0)</f>
        <v>0</v>
      </c>
      <c r="M120" s="12">
        <f>VLOOKUP($D120,'1. Mesures'!$A$2:$P$116,10,0)</f>
        <v>0</v>
      </c>
      <c r="N120" s="12" t="str">
        <f>VLOOKUP($D120,'1. Mesures'!$A$2:$P$116,13,0)</f>
        <v>BM</v>
      </c>
      <c r="O120" s="12">
        <f>VLOOKUP($D120,'1. Mesures'!$A$2:$P$116,11,0)</f>
        <v>0</v>
      </c>
      <c r="P120" s="12" t="s">
        <v>2715</v>
      </c>
      <c r="Q120" s="452" t="s">
        <v>155</v>
      </c>
      <c r="R120" s="12" t="str">
        <f>VLOOKUP($D120,'1. Mesures'!$A$2:$P$116,12,0)</f>
        <v>N</v>
      </c>
      <c r="S120" s="12" t="str">
        <f>VLOOKUP($D120,'1. Mesures'!$A$2:$P$116,14,0)</f>
        <v>8-Water efficiency, technical measures for irrigation, industry, energy and households.</v>
      </c>
      <c r="T120" s="12" t="str">
        <f>VLOOKUP($D120,'1. Mesures'!$A$2:$P$116,15,0)</f>
        <v>Efficient water use</v>
      </c>
      <c r="U120" s="12">
        <f>VLOOKUP($D120,'1. Mesures'!$A$2:$P$116,16,0)</f>
        <v>0</v>
      </c>
      <c r="V120" s="12" t="e">
        <f>VLOOKUP($D120,'1. Mesures'!$A$2:$P$116,17,0)</f>
        <v>#REF!</v>
      </c>
      <c r="W120" s="12" t="e">
        <f>VLOOKUP($D120,'1. Mesures'!$A$2:$P$116,18,0)</f>
        <v>#REF!</v>
      </c>
    </row>
    <row r="121" spans="1:23" ht="45" x14ac:dyDescent="0.25">
      <c r="A121" s="449" t="str">
        <f>VLOOKUP($D121,'1. Mesures'!$A$2:$P$116,5,0)</f>
        <v>OO  7.1.2</v>
      </c>
      <c r="B121" s="449">
        <f>VLOOKUP($D121,'1. Mesures'!$A$2:$P$116,6,0)</f>
        <v>0</v>
      </c>
      <c r="C121" s="449">
        <f>VLOOKUP($D121,'1. Mesures'!$A$2:$P$116,7,0)</f>
        <v>0</v>
      </c>
      <c r="D121" s="12" t="s">
        <v>126</v>
      </c>
      <c r="E121" s="451" t="str">
        <f>VLOOKUP(D121,'1. Mesures'!$A$2:$P$116,2,0)</f>
        <v>Promouvoir, auprès des consommateurs non-domestiques, les comportements et équipements économes en eau ainsi que le recours à un approvisionnement en eau alternatif</v>
      </c>
      <c r="F121" s="436"/>
      <c r="G121" s="436"/>
      <c r="H121" s="436"/>
      <c r="I121" s="12">
        <f>VLOOKUP($D121,'1. Mesures'!$A$2:$P$116,3,0)</f>
        <v>7</v>
      </c>
      <c r="J121" s="457" t="str">
        <f>IFERROR(VLOOKUP($D121,'1. Mesures'!$A$2:$P$116,4,0),"")</f>
        <v>OS 7.1</v>
      </c>
      <c r="K121" s="12">
        <f>VLOOKUP($D121,'1. Mesures'!$A$2:$P$116,8,0)</f>
        <v>0</v>
      </c>
      <c r="L121" s="12">
        <f>VLOOKUP($D121,'1. Mesures'!$A$2:$P$116,9,0)</f>
        <v>0</v>
      </c>
      <c r="M121" s="12">
        <f>VLOOKUP($D121,'1. Mesures'!$A$2:$P$116,10,0)</f>
        <v>0</v>
      </c>
      <c r="N121" s="12" t="str">
        <f>VLOOKUP($D121,'1. Mesures'!$A$2:$P$116,13,0)</f>
        <v>BM</v>
      </c>
      <c r="O121" s="12" t="str">
        <f>VLOOKUP($D121,'1. Mesures'!$A$2:$P$116,11,0)</f>
        <v>X</v>
      </c>
      <c r="P121" s="12" t="s">
        <v>2715</v>
      </c>
      <c r="Q121" s="452" t="s">
        <v>155</v>
      </c>
      <c r="R121" s="12" t="str">
        <f>VLOOKUP($D121,'1. Mesures'!$A$2:$P$116,12,0)</f>
        <v>N</v>
      </c>
      <c r="S121" s="12" t="str">
        <f>VLOOKUP($D121,'1. Mesures'!$A$2:$P$116,14,0)</f>
        <v>8-Water efficiency, technical measures for irrigation, industry, energy and households.</v>
      </c>
      <c r="T121" s="12" t="str">
        <f>VLOOKUP($D121,'1. Mesures'!$A$2:$P$116,15,0)</f>
        <v>Efficient water use</v>
      </c>
      <c r="U121" s="12">
        <f>VLOOKUP($D121,'1. Mesures'!$A$2:$P$116,16,0)</f>
        <v>0</v>
      </c>
      <c r="V121" s="12" t="e">
        <f>VLOOKUP($D121,'1. Mesures'!$A$2:$P$116,17,0)</f>
        <v>#REF!</v>
      </c>
      <c r="W121" s="12" t="e">
        <f>VLOOKUP($D121,'1. Mesures'!$A$2:$P$116,18,0)</f>
        <v>#REF!</v>
      </c>
    </row>
    <row r="122" spans="1:23" x14ac:dyDescent="0.25">
      <c r="A122" s="449" t="str">
        <f>VLOOKUP($D122,'1. Mesures'!$A$2:$P$116,5,0)</f>
        <v>-</v>
      </c>
      <c r="B122" s="449">
        <f>VLOOKUP($D122,'1. Mesures'!$A$2:$P$116,6,0)</f>
        <v>0</v>
      </c>
      <c r="C122" s="449" t="str">
        <f>VLOOKUP($D122,'1. Mesures'!$A$2:$P$116,7,0)</f>
        <v>X</v>
      </c>
      <c r="D122" s="12" t="s">
        <v>127</v>
      </c>
      <c r="E122" s="451" t="str">
        <f>VLOOKUP(D122,'1. Mesures'!$A$2:$P$116,2,0)</f>
        <v xml:space="preserve">Encadrer et valoriser l'eau issue des rabattements de nappe </v>
      </c>
      <c r="F122" s="436"/>
      <c r="G122" s="436"/>
      <c r="H122" s="436"/>
      <c r="I122" s="12">
        <f>VLOOKUP($D122,'1. Mesures'!$A$2:$P$116,3,0)</f>
        <v>7</v>
      </c>
      <c r="J122" s="457" t="str">
        <f>IFERROR(VLOOKUP($D122,'1. Mesures'!$A$2:$P$116,4,0),"")</f>
        <v>OS 7.2</v>
      </c>
      <c r="K122" s="12">
        <f>VLOOKUP($D122,'1. Mesures'!$A$2:$P$116,8,0)</f>
        <v>0</v>
      </c>
      <c r="L122" s="12">
        <f>VLOOKUP($D122,'1. Mesures'!$A$2:$P$116,9,0)</f>
        <v>0</v>
      </c>
      <c r="M122" s="12">
        <f>VLOOKUP($D122,'1. Mesures'!$A$2:$P$116,10,0)</f>
        <v>0</v>
      </c>
      <c r="N122" s="12" t="str">
        <f>VLOOKUP($D122,'1. Mesures'!$A$2:$P$116,13,0)</f>
        <v>BM</v>
      </c>
      <c r="O122" s="12" t="str">
        <f>VLOOKUP($D122,'1. Mesures'!$A$2:$P$116,11,0)</f>
        <v>X</v>
      </c>
      <c r="P122" s="12" t="s">
        <v>2715</v>
      </c>
      <c r="Q122" s="452" t="s">
        <v>155</v>
      </c>
      <c r="R122" s="12" t="str">
        <f>VLOOKUP($D122,'1. Mesures'!$A$2:$P$116,12,0)</f>
        <v>N</v>
      </c>
      <c r="S122" s="12" t="str">
        <f>VLOOKUP($D122,'1. Mesures'!$A$2:$P$116,14,0)</f>
        <v>8-Water efficiency, technical measures for irrigation, industry, energy and households.</v>
      </c>
      <c r="T122" s="12" t="str">
        <f>VLOOKUP($D122,'1. Mesures'!$A$2:$P$116,15,0)</f>
        <v>Efficient water use</v>
      </c>
      <c r="U122" s="12">
        <f>VLOOKUP($D122,'1. Mesures'!$A$2:$P$116,16,0)</f>
        <v>0</v>
      </c>
      <c r="V122" s="12" t="e">
        <f>VLOOKUP($D122,'1. Mesures'!$A$2:$P$116,17,0)</f>
        <v>#REF!</v>
      </c>
      <c r="W122" s="12" t="e">
        <f>VLOOKUP($D122,'1. Mesures'!$A$2:$P$116,18,0)</f>
        <v>#REF!</v>
      </c>
    </row>
    <row r="123" spans="1:23" x14ac:dyDescent="0.25">
      <c r="A123" s="449" t="str">
        <f>VLOOKUP($D123,'1. Mesures'!$A$2:$P$116,5,0)</f>
        <v>-</v>
      </c>
      <c r="B123" s="449">
        <f>VLOOKUP($D123,'1. Mesures'!$A$2:$P$116,6,0)</f>
        <v>0</v>
      </c>
      <c r="C123" s="449" t="str">
        <f>VLOOKUP($D123,'1. Mesures'!$A$2:$P$116,7,0)</f>
        <v>X</v>
      </c>
      <c r="D123" s="12" t="s">
        <v>128</v>
      </c>
      <c r="E123" s="451" t="str">
        <f>VLOOKUP(D123,'1. Mesures'!$A$2:$P$116,2,0)</f>
        <v>Encadrer et développer la réutilisation d'eaux de « deuxième circuit »  ("re-use")</v>
      </c>
      <c r="F123" s="436"/>
      <c r="G123" s="436"/>
      <c r="H123" s="436"/>
      <c r="I123" s="12">
        <f>VLOOKUP($D123,'1. Mesures'!$A$2:$P$116,3,0)</f>
        <v>7</v>
      </c>
      <c r="J123" s="457" t="str">
        <f>IFERROR(VLOOKUP($D123,'1. Mesures'!$A$2:$P$116,4,0),"")</f>
        <v>OS 7.2</v>
      </c>
      <c r="K123" s="12">
        <f>VLOOKUP($D123,'1. Mesures'!$A$2:$P$116,8,0)</f>
        <v>0</v>
      </c>
      <c r="L123" s="12">
        <f>VLOOKUP($D123,'1. Mesures'!$A$2:$P$116,9,0)</f>
        <v>0</v>
      </c>
      <c r="M123" s="12">
        <f>VLOOKUP($D123,'1. Mesures'!$A$2:$P$116,10,0)</f>
        <v>0</v>
      </c>
      <c r="N123" s="12" t="str">
        <f>VLOOKUP($D123,'1. Mesures'!$A$2:$P$116,13,0)</f>
        <v>BM</v>
      </c>
      <c r="O123" s="12" t="str">
        <f>VLOOKUP($D123,'1. Mesures'!$A$2:$P$116,11,0)</f>
        <v>X</v>
      </c>
      <c r="P123" s="12" t="s">
        <v>2715</v>
      </c>
      <c r="Q123" s="452" t="s">
        <v>155</v>
      </c>
      <c r="R123" s="12" t="str">
        <f>VLOOKUP($D123,'1. Mesures'!$A$2:$P$116,12,0)</f>
        <v>A</v>
      </c>
      <c r="S123" s="12" t="str">
        <f>VLOOKUP($D123,'1. Mesures'!$A$2:$P$116,14,0)</f>
        <v>8-Water efficiency, technical measures for irrigation, industry, energy and households.</v>
      </c>
      <c r="T123" s="12" t="str">
        <f>VLOOKUP($D123,'1. Mesures'!$A$2:$P$116,15,0)</f>
        <v>Other</v>
      </c>
      <c r="U123" s="12">
        <f>VLOOKUP($D123,'1. Mesures'!$A$2:$P$116,16,0)</f>
        <v>0</v>
      </c>
      <c r="V123" s="12" t="e">
        <f>VLOOKUP($D123,'1. Mesures'!$A$2:$P$116,17,0)</f>
        <v>#REF!</v>
      </c>
      <c r="W123" s="12" t="e">
        <f>VLOOKUP($D123,'1. Mesures'!$A$2:$P$116,18,0)</f>
        <v>#REF!</v>
      </c>
    </row>
    <row r="124" spans="1:23" x14ac:dyDescent="0.25">
      <c r="A124" s="449" t="str">
        <f>VLOOKUP($D124,'1. Mesures'!$A$2:$P$116,5,0)</f>
        <v>-</v>
      </c>
      <c r="B124" s="449">
        <f>VLOOKUP($D124,'1. Mesures'!$A$2:$P$116,6,0)</f>
        <v>0</v>
      </c>
      <c r="C124" s="449">
        <f>VLOOKUP($D124,'1. Mesures'!$A$2:$P$116,7,0)</f>
        <v>0</v>
      </c>
      <c r="D124" s="12" t="s">
        <v>129</v>
      </c>
      <c r="E124" s="451" t="str">
        <f>VLOOKUP(D124,'1. Mesures'!$A$2:$P$116,2,0)</f>
        <v>Encadrer et réglementer l’usage des eaux provenant de sources</v>
      </c>
      <c r="F124" s="436"/>
      <c r="G124" s="436"/>
      <c r="H124" s="436"/>
      <c r="I124" s="12">
        <f>VLOOKUP($D124,'1. Mesures'!$A$2:$P$116,3,0)</f>
        <v>7</v>
      </c>
      <c r="J124" s="457" t="str">
        <f>IFERROR(VLOOKUP($D124,'1. Mesures'!$A$2:$P$116,4,0),"")</f>
        <v>OS 7.2</v>
      </c>
      <c r="K124" s="12">
        <f>VLOOKUP($D124,'1. Mesures'!$A$2:$P$116,8,0)</f>
        <v>0</v>
      </c>
      <c r="L124" s="12">
        <f>VLOOKUP($D124,'1. Mesures'!$A$2:$P$116,9,0)</f>
        <v>0</v>
      </c>
      <c r="M124" s="12">
        <f>VLOOKUP($D124,'1. Mesures'!$A$2:$P$116,10,0)</f>
        <v>0</v>
      </c>
      <c r="N124" s="12" t="str">
        <f>VLOOKUP($D124,'1. Mesures'!$A$2:$P$116,13,0)</f>
        <v>SM</v>
      </c>
      <c r="O124" s="12">
        <f>VLOOKUP($D124,'1. Mesures'!$A$2:$P$116,11,0)</f>
        <v>0</v>
      </c>
      <c r="P124" s="12" t="s">
        <v>2715</v>
      </c>
      <c r="Q124" s="452" t="s">
        <v>155</v>
      </c>
      <c r="R124" s="12" t="str">
        <f>VLOOKUP($D124,'1. Mesures'!$A$2:$P$116,12,0)</f>
        <v>N</v>
      </c>
      <c r="S124" s="12">
        <f>VLOOKUP($D124,'1. Mesures'!$A$2:$P$116,14,0)</f>
        <v>0</v>
      </c>
      <c r="T124" s="12">
        <f>VLOOKUP($D124,'1. Mesures'!$A$2:$P$116,15,0)</f>
        <v>0</v>
      </c>
      <c r="U124" s="12">
        <f>VLOOKUP($D124,'1. Mesures'!$A$2:$P$116,16,0)</f>
        <v>0</v>
      </c>
      <c r="V124" s="12" t="e">
        <f>VLOOKUP($D124,'1. Mesures'!$A$2:$P$116,17,0)</f>
        <v>#REF!</v>
      </c>
      <c r="W124" s="12" t="e">
        <f>VLOOKUP($D124,'1. Mesures'!$A$2:$P$116,18,0)</f>
        <v>#REF!</v>
      </c>
    </row>
    <row r="125" spans="1:23" x14ac:dyDescent="0.25">
      <c r="A125" s="449" t="str">
        <f>VLOOKUP($D125,'1. Mesures'!$A$2:$P$116,5,0)</f>
        <v>OO 7.3.1</v>
      </c>
      <c r="B125" s="449">
        <f>VLOOKUP($D125,'1. Mesures'!$A$2:$P$116,6,0)</f>
        <v>0</v>
      </c>
      <c r="C125" s="449">
        <f>VLOOKUP($D125,'1. Mesures'!$A$2:$P$116,7,0)</f>
        <v>0</v>
      </c>
      <c r="D125" s="12" t="s">
        <v>130</v>
      </c>
      <c r="E125" s="451" t="str">
        <f>VLOOKUP(D125,'1. Mesures'!$A$2:$P$116,2,0)</f>
        <v>Adapter le cadre juridico-technique relatif aux systèmes géothermiques</v>
      </c>
      <c r="F125" s="436"/>
      <c r="G125" s="436"/>
      <c r="H125" s="436"/>
      <c r="I125" s="12">
        <f>VLOOKUP($D125,'1. Mesures'!$A$2:$P$116,3,0)</f>
        <v>7</v>
      </c>
      <c r="J125" s="457" t="str">
        <f>IFERROR(VLOOKUP($D125,'1. Mesures'!$A$2:$P$116,4,0),"")</f>
        <v>OS 7.3</v>
      </c>
      <c r="K125" s="12">
        <f>VLOOKUP($D125,'1. Mesures'!$A$2:$P$116,8,0)</f>
        <v>0</v>
      </c>
      <c r="L125" s="12">
        <f>VLOOKUP($D125,'1. Mesures'!$A$2:$P$116,9,0)</f>
        <v>0</v>
      </c>
      <c r="M125" s="12">
        <f>VLOOKUP($D125,'1. Mesures'!$A$2:$P$116,10,0)</f>
        <v>0</v>
      </c>
      <c r="N125" s="12" t="str">
        <f>VLOOKUP($D125,'1. Mesures'!$A$2:$P$116,13,0)</f>
        <v>AM</v>
      </c>
      <c r="O125" s="12">
        <f>VLOOKUP($D125,'1. Mesures'!$A$2:$P$116,11,0)</f>
        <v>0</v>
      </c>
      <c r="P125" s="12" t="s">
        <v>2715</v>
      </c>
      <c r="Q125" s="452" t="s">
        <v>155</v>
      </c>
      <c r="R125" s="12" t="str">
        <f>VLOOKUP($D125,'1. Mesures'!$A$2:$P$116,12,0)</f>
        <v>N</v>
      </c>
      <c r="S125" s="12" t="str">
        <f>VLOOKUP($D125,'1. Mesures'!$A$2:$P$116,14,0)</f>
        <v>8-Water efficiency, technical measures for irrigation, industry, energy and households.</v>
      </c>
      <c r="T125" s="12">
        <f>VLOOKUP($D125,'1. Mesures'!$A$2:$P$116,15,0)</f>
        <v>0</v>
      </c>
      <c r="U125" s="12">
        <f>VLOOKUP($D125,'1. Mesures'!$A$2:$P$116,16,0)</f>
        <v>0</v>
      </c>
      <c r="V125" s="12" t="e">
        <f>VLOOKUP($D125,'1. Mesures'!$A$2:$P$116,17,0)</f>
        <v>#REF!</v>
      </c>
      <c r="W125" s="12" t="e">
        <f>VLOOKUP($D125,'1. Mesures'!$A$2:$P$116,18,0)</f>
        <v>#REF!</v>
      </c>
    </row>
    <row r="126" spans="1:23" ht="30" x14ac:dyDescent="0.25">
      <c r="A126" s="449" t="str">
        <f>VLOOKUP($D126,'1. Mesures'!$A$2:$P$116,5,0)</f>
        <v>OO 7.3.1</v>
      </c>
      <c r="B126" s="449">
        <f>VLOOKUP($D126,'1. Mesures'!$A$2:$P$116,6,0)</f>
        <v>0</v>
      </c>
      <c r="C126" s="449">
        <f>VLOOKUP($D126,'1. Mesures'!$A$2:$P$116,7,0)</f>
        <v>0</v>
      </c>
      <c r="D126" s="12" t="s">
        <v>131</v>
      </c>
      <c r="E126" s="451" t="str">
        <f>VLOOKUP(D126,'1. Mesures'!$A$2:$P$116,2,0)</f>
        <v>Régulariser l'ensemble des installations géothermiques soumises à permis d'environnement et les cartographier au sein d'un cadastre</v>
      </c>
      <c r="F126" s="436"/>
      <c r="G126" s="436"/>
      <c r="H126" s="436"/>
      <c r="I126" s="12">
        <f>VLOOKUP($D126,'1. Mesures'!$A$2:$P$116,3,0)</f>
        <v>7</v>
      </c>
      <c r="J126" s="457" t="str">
        <f>IFERROR(VLOOKUP($D126,'1. Mesures'!$A$2:$P$116,4,0),"")</f>
        <v>OS 7.3</v>
      </c>
      <c r="K126" s="12">
        <f>VLOOKUP($D126,'1. Mesures'!$A$2:$P$116,8,0)</f>
        <v>0</v>
      </c>
      <c r="L126" s="12">
        <f>VLOOKUP($D126,'1. Mesures'!$A$2:$P$116,9,0)</f>
        <v>0</v>
      </c>
      <c r="M126" s="12">
        <f>VLOOKUP($D126,'1. Mesures'!$A$2:$P$116,10,0)</f>
        <v>0</v>
      </c>
      <c r="N126" s="12" t="str">
        <f>VLOOKUP($D126,'1. Mesures'!$A$2:$P$116,13,0)</f>
        <v>AM</v>
      </c>
      <c r="O126" s="12">
        <f>VLOOKUP($D126,'1. Mesures'!$A$2:$P$116,11,0)</f>
        <v>0</v>
      </c>
      <c r="P126" s="12" t="s">
        <v>2715</v>
      </c>
      <c r="Q126" s="452" t="s">
        <v>155</v>
      </c>
      <c r="R126" s="12" t="str">
        <f>VLOOKUP($D126,'1. Mesures'!$A$2:$P$116,12,0)</f>
        <v>N</v>
      </c>
      <c r="S126" s="12">
        <f>VLOOKUP($D126,'1. Mesures'!$A$2:$P$116,14,0)</f>
        <v>0</v>
      </c>
      <c r="T126" s="12">
        <f>VLOOKUP($D126,'1. Mesures'!$A$2:$P$116,15,0)</f>
        <v>0</v>
      </c>
      <c r="U126" s="12">
        <f>VLOOKUP($D126,'1. Mesures'!$A$2:$P$116,16,0)</f>
        <v>0</v>
      </c>
      <c r="V126" s="12" t="e">
        <f>VLOOKUP($D126,'1. Mesures'!$A$2:$P$116,17,0)</f>
        <v>#REF!</v>
      </c>
      <c r="W126" s="12" t="e">
        <f>VLOOKUP($D126,'1. Mesures'!$A$2:$P$116,18,0)</f>
        <v>#REF!</v>
      </c>
    </row>
    <row r="127" spans="1:23" ht="45" x14ac:dyDescent="0.25">
      <c r="A127" s="449" t="str">
        <f>VLOOKUP($D127,'1. Mesures'!$A$2:$P$116,5,0)</f>
        <v>OO 7.3.1</v>
      </c>
      <c r="B127" s="449">
        <f>VLOOKUP($D127,'1. Mesures'!$A$2:$P$116,6,0)</f>
        <v>0</v>
      </c>
      <c r="C127" s="449">
        <f>VLOOKUP($D127,'1. Mesures'!$A$2:$P$116,7,0)</f>
        <v>0</v>
      </c>
      <c r="D127" s="12" t="s">
        <v>132</v>
      </c>
      <c r="E127" s="451" t="str">
        <f>VLOOKUP(D127,'1. Mesures'!$A$2:$P$116,2,0)</f>
        <v>Informer les maitres d'ouvrage et maitres d'œuvre sur le potentiel géothermique et développer des outils numériques d'aide à l'analyse de faisabilité et au pré-dimensionnement d’installations géothermiques..</v>
      </c>
      <c r="F127" s="436"/>
      <c r="G127" s="436"/>
      <c r="H127" s="436"/>
      <c r="I127" s="12">
        <f>VLOOKUP($D127,'1. Mesures'!$A$2:$P$116,3,0)</f>
        <v>7</v>
      </c>
      <c r="J127" s="457" t="str">
        <f>IFERROR(VLOOKUP($D127,'1. Mesures'!$A$2:$P$116,4,0),"")</f>
        <v>OS 7.3</v>
      </c>
      <c r="K127" s="12">
        <f>VLOOKUP($D127,'1. Mesures'!$A$2:$P$116,8,0)</f>
        <v>0</v>
      </c>
      <c r="L127" s="12">
        <f>VLOOKUP($D127,'1. Mesures'!$A$2:$P$116,9,0)</f>
        <v>0</v>
      </c>
      <c r="M127" s="12">
        <f>VLOOKUP($D127,'1. Mesures'!$A$2:$P$116,10,0)</f>
        <v>0</v>
      </c>
      <c r="N127" s="12" t="str">
        <f>VLOOKUP($D127,'1. Mesures'!$A$2:$P$116,13,0)</f>
        <v>AM</v>
      </c>
      <c r="O127" s="12">
        <f>VLOOKUP($D127,'1. Mesures'!$A$2:$P$116,11,0)</f>
        <v>0</v>
      </c>
      <c r="P127" s="12" t="s">
        <v>2715</v>
      </c>
      <c r="Q127" s="452" t="s">
        <v>155</v>
      </c>
      <c r="R127" s="12" t="str">
        <f>VLOOKUP($D127,'1. Mesures'!$A$2:$P$116,12,0)</f>
        <v>P</v>
      </c>
      <c r="S127" s="12">
        <f>VLOOKUP($D127,'1. Mesures'!$A$2:$P$116,14,0)</f>
        <v>0</v>
      </c>
      <c r="T127" s="12">
        <f>VLOOKUP($D127,'1. Mesures'!$A$2:$P$116,15,0)</f>
        <v>0</v>
      </c>
      <c r="U127" s="12">
        <f>VLOOKUP($D127,'1. Mesures'!$A$2:$P$116,16,0)</f>
        <v>0</v>
      </c>
      <c r="V127" s="12" t="e">
        <f>VLOOKUP($D127,'1. Mesures'!$A$2:$P$116,17,0)</f>
        <v>#REF!</v>
      </c>
      <c r="W127" s="12" t="e">
        <f>VLOOKUP($D127,'1. Mesures'!$A$2:$P$116,18,0)</f>
        <v>#REF!</v>
      </c>
    </row>
    <row r="128" spans="1:23" ht="30" x14ac:dyDescent="0.25">
      <c r="A128" s="449" t="str">
        <f>VLOOKUP($D128,'1. Mesures'!$A$2:$P$116,5,0)</f>
        <v>OO 7.3.2</v>
      </c>
      <c r="B128" s="449">
        <f>VLOOKUP($D128,'1. Mesures'!$A$2:$P$116,6,0)</f>
        <v>0</v>
      </c>
      <c r="C128" s="449">
        <f>VLOOKUP($D128,'1. Mesures'!$A$2:$P$116,7,0)</f>
        <v>0</v>
      </c>
      <c r="D128" s="12" t="s">
        <v>133</v>
      </c>
      <c r="E128" s="451" t="str">
        <f>VLOOKUP(D128,'1. Mesures'!$A$2:$P$116,2,0)</f>
        <v xml:space="preserve">Analyser la reproductibilité des projets pilotes mis en place visant à récupérer la chaleur à partir des eaux usées transitant dans le réseau d’égouttage </v>
      </c>
      <c r="F128" s="436"/>
      <c r="G128" s="436"/>
      <c r="H128" s="436"/>
      <c r="I128" s="12">
        <f>VLOOKUP($D128,'1. Mesures'!$A$2:$P$116,3,0)</f>
        <v>7</v>
      </c>
      <c r="J128" s="457" t="str">
        <f>IFERROR(VLOOKUP($D128,'1. Mesures'!$A$2:$P$116,4,0),"")</f>
        <v>OS 7.3</v>
      </c>
      <c r="K128" s="12">
        <f>VLOOKUP($D128,'1. Mesures'!$A$2:$P$116,8,0)</f>
        <v>0</v>
      </c>
      <c r="L128" s="12">
        <f>VLOOKUP($D128,'1. Mesures'!$A$2:$P$116,9,0)</f>
        <v>0</v>
      </c>
      <c r="M128" s="12">
        <f>VLOOKUP($D128,'1. Mesures'!$A$2:$P$116,10,0)</f>
        <v>0</v>
      </c>
      <c r="N128" s="12" t="str">
        <f>VLOOKUP($D128,'1. Mesures'!$A$2:$P$116,13,0)</f>
        <v>AM</v>
      </c>
      <c r="O128" s="12">
        <f>VLOOKUP($D128,'1. Mesures'!$A$2:$P$116,11,0)</f>
        <v>0</v>
      </c>
      <c r="P128" s="12" t="s">
        <v>2715</v>
      </c>
      <c r="Q128" s="452" t="s">
        <v>155</v>
      </c>
      <c r="R128" s="12">
        <f>VLOOKUP($D128,'1. Mesures'!$A$2:$P$116,12,0)</f>
        <v>0</v>
      </c>
      <c r="S128" s="12" t="str">
        <f>VLOOKUP($D128,'1. Mesures'!$A$2:$P$116,14,0)</f>
        <v>8-Water efficiency, technical measures for irrigation, industry, energy and households.</v>
      </c>
      <c r="T128" s="12">
        <f>VLOOKUP($D128,'1. Mesures'!$A$2:$P$116,15,0)</f>
        <v>0</v>
      </c>
      <c r="U128" s="12">
        <f>VLOOKUP($D128,'1. Mesures'!$A$2:$P$116,16,0)</f>
        <v>0</v>
      </c>
      <c r="V128" s="12" t="e">
        <f>VLOOKUP($D128,'1. Mesures'!$A$2:$P$116,17,0)</f>
        <v>#REF!</v>
      </c>
      <c r="W128" s="12" t="e">
        <f>VLOOKUP($D128,'1. Mesures'!$A$2:$P$116,18,0)</f>
        <v>#REF!</v>
      </c>
    </row>
    <row r="129" spans="1:23" ht="30" x14ac:dyDescent="0.25">
      <c r="A129" s="449" t="str">
        <f>VLOOKUP($D129,'1. Mesures'!$A$2:$P$116,5,0)</f>
        <v>-</v>
      </c>
      <c r="B129" s="449">
        <f>VLOOKUP($D129,'1. Mesures'!$A$2:$P$116,6,0)</f>
        <v>0</v>
      </c>
      <c r="C129" s="449">
        <f>VLOOKUP($D129,'1. Mesures'!$A$2:$P$116,7,0)</f>
        <v>0</v>
      </c>
      <c r="D129" s="12" t="s">
        <v>134</v>
      </c>
      <c r="E129" s="451" t="str">
        <f>VLOOKUP(D129,'1. Mesures'!$A$2:$P$116,2,0)</f>
        <v>Assurer et renforcer la coordination internationale au niveau du district hydrographique international de l'Escaut</v>
      </c>
      <c r="F129" s="436"/>
      <c r="G129" s="436"/>
      <c r="H129" s="436"/>
      <c r="I129" s="12">
        <f>VLOOKUP($D129,'1. Mesures'!$A$2:$P$116,3,0)</f>
        <v>8</v>
      </c>
      <c r="J129" s="457" t="str">
        <f>IFERROR(VLOOKUP($D129,'1. Mesures'!$A$2:$P$116,4,0),"")</f>
        <v>OS 8.1</v>
      </c>
      <c r="K129" s="12">
        <f>VLOOKUP($D129,'1. Mesures'!$A$2:$P$116,8,0)</f>
        <v>0</v>
      </c>
      <c r="L129" s="12">
        <f>VLOOKUP($D129,'1. Mesures'!$A$2:$P$116,9,0)</f>
        <v>0</v>
      </c>
      <c r="M129" s="12">
        <f>VLOOKUP($D129,'1. Mesures'!$A$2:$P$116,10,0)</f>
        <v>0</v>
      </c>
      <c r="N129" s="12" t="str">
        <f>VLOOKUP($D129,'1. Mesures'!$A$2:$P$116,13,0)</f>
        <v>BM</v>
      </c>
      <c r="O129" s="12" t="str">
        <f>VLOOKUP($D129,'1. Mesures'!$A$2:$P$116,11,0)</f>
        <v>X</v>
      </c>
      <c r="P129" s="12" t="s">
        <v>2715</v>
      </c>
      <c r="Q129" s="452" t="s">
        <v>155</v>
      </c>
      <c r="R129" s="12" t="str">
        <f>VLOOKUP($D129,'1. Mesures'!$A$2:$P$116,12,0)</f>
        <v>P</v>
      </c>
      <c r="S129" s="12">
        <f>VLOOKUP($D129,'1. Mesures'!$A$2:$P$116,14,0)</f>
        <v>0</v>
      </c>
      <c r="T129" s="12" t="str">
        <f>VLOOKUP($D129,'1. Mesures'!$A$2:$P$116,15,0)</f>
        <v>Other</v>
      </c>
      <c r="U129" s="12">
        <f>VLOOKUP($D129,'1. Mesures'!$A$2:$P$116,16,0)</f>
        <v>0</v>
      </c>
      <c r="V129" s="12" t="e">
        <f>VLOOKUP($D129,'1. Mesures'!$A$2:$P$116,17,0)</f>
        <v>#REF!</v>
      </c>
      <c r="W129" s="12" t="e">
        <f>VLOOKUP($D129,'1. Mesures'!$A$2:$P$116,18,0)</f>
        <v>#REF!</v>
      </c>
    </row>
    <row r="130" spans="1:23" x14ac:dyDescent="0.25">
      <c r="A130" s="449" t="str">
        <f>VLOOKUP($D130,'1. Mesures'!$A$2:$P$116,5,0)</f>
        <v>-</v>
      </c>
      <c r="B130" s="449">
        <f>VLOOKUP($D130,'1. Mesures'!$A$2:$P$116,6,0)</f>
        <v>0</v>
      </c>
      <c r="C130" s="449">
        <f>VLOOKUP($D130,'1. Mesures'!$A$2:$P$116,7,0)</f>
        <v>0</v>
      </c>
      <c r="D130" s="12" t="s">
        <v>135</v>
      </c>
      <c r="E130" s="451" t="str">
        <f>VLOOKUP(D130,'1. Mesures'!$A$2:$P$116,2,0)</f>
        <v>Assurer une coordination interrégionale pour la gestion des masses d'eau transrégionales</v>
      </c>
      <c r="F130" s="436"/>
      <c r="G130" s="436"/>
      <c r="H130" s="436"/>
      <c r="I130" s="12">
        <f>VLOOKUP($D130,'1. Mesures'!$A$2:$P$116,3,0)</f>
        <v>8</v>
      </c>
      <c r="J130" s="457" t="str">
        <f>IFERROR(VLOOKUP($D130,'1. Mesures'!$A$2:$P$116,4,0),"")</f>
        <v>OS 8.1</v>
      </c>
      <c r="K130" s="12">
        <f>VLOOKUP($D130,'1. Mesures'!$A$2:$P$116,8,0)</f>
        <v>0</v>
      </c>
      <c r="L130" s="12">
        <f>VLOOKUP($D130,'1. Mesures'!$A$2:$P$116,9,0)</f>
        <v>0</v>
      </c>
      <c r="M130" s="12">
        <f>VLOOKUP($D130,'1. Mesures'!$A$2:$P$116,10,0)</f>
        <v>0</v>
      </c>
      <c r="N130" s="12" t="str">
        <f>VLOOKUP($D130,'1. Mesures'!$A$2:$P$116,13,0)</f>
        <v>BM</v>
      </c>
      <c r="O130" s="12">
        <f>VLOOKUP($D130,'1. Mesures'!$A$2:$P$116,11,0)</f>
        <v>0</v>
      </c>
      <c r="P130" s="12" t="s">
        <v>2715</v>
      </c>
      <c r="Q130" s="452" t="s">
        <v>155</v>
      </c>
      <c r="R130" s="12" t="str">
        <f>VLOOKUP($D130,'1. Mesures'!$A$2:$P$116,12,0)</f>
        <v>P</v>
      </c>
      <c r="S130" s="12">
        <f>VLOOKUP($D130,'1. Mesures'!$A$2:$P$116,14,0)</f>
        <v>0</v>
      </c>
      <c r="T130" s="12" t="str">
        <f>VLOOKUP($D130,'1. Mesures'!$A$2:$P$116,15,0)</f>
        <v>Other</v>
      </c>
      <c r="U130" s="12">
        <f>VLOOKUP($D130,'1. Mesures'!$A$2:$P$116,16,0)</f>
        <v>0</v>
      </c>
      <c r="V130" s="12" t="e">
        <f>VLOOKUP($D130,'1. Mesures'!$A$2:$P$116,17,0)</f>
        <v>#REF!</v>
      </c>
      <c r="W130" s="12" t="e">
        <f>VLOOKUP($D130,'1. Mesures'!$A$2:$P$116,18,0)</f>
        <v>#REF!</v>
      </c>
    </row>
    <row r="131" spans="1:23" ht="30" x14ac:dyDescent="0.25">
      <c r="A131" s="449" t="str">
        <f>VLOOKUP($D131,'1. Mesures'!$A$2:$P$116,5,0)</f>
        <v>-</v>
      </c>
      <c r="B131" s="449">
        <f>VLOOKUP($D131,'1. Mesures'!$A$2:$P$116,6,0)</f>
        <v>0</v>
      </c>
      <c r="C131" s="449">
        <f>VLOOKUP($D131,'1. Mesures'!$A$2:$P$116,7,0)</f>
        <v>0</v>
      </c>
      <c r="D131" s="12" t="s">
        <v>136</v>
      </c>
      <c r="E131" s="451" t="str">
        <f>VLOOKUP(D131,'1. Mesures'!$A$2:$P$116,2,0)</f>
        <v xml:space="preserve">Assurer une gestion de l’eau cohérente et coordonnée au sein de la Région de Bruxelles-Capitale  (coordination intrarégionale) </v>
      </c>
      <c r="F131" s="436"/>
      <c r="G131" s="436"/>
      <c r="H131" s="436"/>
      <c r="I131" s="12">
        <f>VLOOKUP($D131,'1. Mesures'!$A$2:$P$116,3,0)</f>
        <v>8</v>
      </c>
      <c r="J131" s="457" t="str">
        <f>IFERROR(VLOOKUP($D131,'1. Mesures'!$A$2:$P$116,4,0),"")</f>
        <v>OS 8.1</v>
      </c>
      <c r="K131" s="12" t="str">
        <f>VLOOKUP($D131,'1. Mesures'!$A$2:$P$116,8,0)</f>
        <v>X</v>
      </c>
      <c r="L131" s="12">
        <f>VLOOKUP($D131,'1. Mesures'!$A$2:$P$116,9,0)</f>
        <v>0</v>
      </c>
      <c r="M131" s="12">
        <f>VLOOKUP($D131,'1. Mesures'!$A$2:$P$116,10,0)</f>
        <v>0</v>
      </c>
      <c r="N131" s="12" t="str">
        <f>VLOOKUP($D131,'1. Mesures'!$A$2:$P$116,13,0)</f>
        <v>BM</v>
      </c>
      <c r="O131" s="12" t="str">
        <f>VLOOKUP($D131,'1. Mesures'!$A$2:$P$116,11,0)</f>
        <v>X</v>
      </c>
      <c r="P131" s="12" t="s">
        <v>2715</v>
      </c>
      <c r="Q131" s="452" t="s">
        <v>155</v>
      </c>
      <c r="R131" s="12" t="str">
        <f>VLOOKUP($D131,'1. Mesures'!$A$2:$P$116,12,0)</f>
        <v>P</v>
      </c>
      <c r="S131" s="12">
        <f>VLOOKUP($D131,'1. Mesures'!$A$2:$P$116,14,0)</f>
        <v>0</v>
      </c>
      <c r="T131" s="12" t="str">
        <f>VLOOKUP($D131,'1. Mesures'!$A$2:$P$116,15,0)</f>
        <v>Other</v>
      </c>
      <c r="U131" s="12">
        <f>VLOOKUP($D131,'1. Mesures'!$A$2:$P$116,16,0)</f>
        <v>0</v>
      </c>
      <c r="V131" s="12" t="e">
        <f>VLOOKUP($D131,'1. Mesures'!$A$2:$P$116,17,0)</f>
        <v>#REF!</v>
      </c>
      <c r="W131" s="12" t="e">
        <f>VLOOKUP($D131,'1. Mesures'!$A$2:$P$116,18,0)</f>
        <v>#REF!</v>
      </c>
    </row>
    <row r="132" spans="1:23" ht="30" x14ac:dyDescent="0.25">
      <c r="A132" s="449" t="str">
        <f>VLOOKUP($D132,'1. Mesures'!$A$2:$P$116,5,0)</f>
        <v>-</v>
      </c>
      <c r="B132" s="449">
        <f>VLOOKUP($D132,'1. Mesures'!$A$2:$P$116,6,0)</f>
        <v>0</v>
      </c>
      <c r="C132" s="449">
        <f>VLOOKUP($D132,'1. Mesures'!$A$2:$P$116,7,0)</f>
        <v>0</v>
      </c>
      <c r="D132" s="12" t="s">
        <v>137</v>
      </c>
      <c r="E132" s="451" t="str">
        <f>VLOOKUP(D132,'1. Mesures'!$A$2:$P$116,2,0)</f>
        <v>Encourager la participation d'acteurs bruxellois de l'eau aux associations européennes de l'eau</v>
      </c>
      <c r="F132" s="436"/>
      <c r="G132" s="436"/>
      <c r="H132" s="436"/>
      <c r="I132" s="12">
        <f>VLOOKUP($D132,'1. Mesures'!$A$2:$P$116,3,0)</f>
        <v>8</v>
      </c>
      <c r="J132" s="457" t="str">
        <f>IFERROR(VLOOKUP($D132,'1. Mesures'!$A$2:$P$116,4,0),"")</f>
        <v>OS 8.2</v>
      </c>
      <c r="K132" s="12">
        <f>VLOOKUP($D132,'1. Mesures'!$A$2:$P$116,8,0)</f>
        <v>0</v>
      </c>
      <c r="L132" s="12">
        <f>VLOOKUP($D132,'1. Mesures'!$A$2:$P$116,9,0)</f>
        <v>0</v>
      </c>
      <c r="M132" s="12">
        <f>VLOOKUP($D132,'1. Mesures'!$A$2:$P$116,10,0)</f>
        <v>0</v>
      </c>
      <c r="N132" s="12" t="str">
        <f>VLOOKUP($D132,'1. Mesures'!$A$2:$P$116,13,0)</f>
        <v>AM</v>
      </c>
      <c r="O132" s="12">
        <f>VLOOKUP($D132,'1. Mesures'!$A$2:$P$116,11,0)</f>
        <v>0</v>
      </c>
      <c r="P132" s="12" t="s">
        <v>2715</v>
      </c>
      <c r="Q132" s="452" t="s">
        <v>155</v>
      </c>
      <c r="R132" s="12" t="str">
        <f>VLOOKUP($D132,'1. Mesures'!$A$2:$P$116,12,0)</f>
        <v>P</v>
      </c>
      <c r="S132" s="12">
        <f>VLOOKUP($D132,'1. Mesures'!$A$2:$P$116,14,0)</f>
        <v>0</v>
      </c>
      <c r="T132" s="12">
        <f>VLOOKUP($D132,'1. Mesures'!$A$2:$P$116,15,0)</f>
        <v>0</v>
      </c>
      <c r="U132" s="12">
        <f>VLOOKUP($D132,'1. Mesures'!$A$2:$P$116,16,0)</f>
        <v>0</v>
      </c>
      <c r="V132" s="12" t="e">
        <f>VLOOKUP($D132,'1. Mesures'!$A$2:$P$116,17,0)</f>
        <v>#REF!</v>
      </c>
      <c r="W132" s="12" t="e">
        <f>VLOOKUP($D132,'1. Mesures'!$A$2:$P$116,18,0)</f>
        <v>#REF!</v>
      </c>
    </row>
    <row r="133" spans="1:23" ht="30" x14ac:dyDescent="0.25">
      <c r="A133" s="472" t="str">
        <f>VLOOKUP($D133,'1. Mesures'!$A$2:$P$116,5,0)</f>
        <v>-</v>
      </c>
      <c r="B133" s="472">
        <f>VLOOKUP($D133,'1. Mesures'!$A$2:$P$116,6,0)</f>
        <v>0</v>
      </c>
      <c r="C133" s="472">
        <f>VLOOKUP($D133,'1. Mesures'!$A$2:$P$116,7,0)</f>
        <v>0</v>
      </c>
      <c r="D133" s="473" t="s">
        <v>139</v>
      </c>
      <c r="E133" s="474" t="str">
        <f>VLOOKUP(D133,'1. Mesures'!$A$2:$P$116,2,0)</f>
        <v>Assurer la mise en œuvre, la promotion et l'adéquation des outils et mécanismes de soutien et de sensibilisation liés à la gestion et à l’éducation à l’eau</v>
      </c>
      <c r="F133" s="475"/>
      <c r="G133" s="475"/>
      <c r="H133" s="475"/>
      <c r="I133" s="473">
        <f>VLOOKUP($D133,'1. Mesures'!$A$2:$P$116,3,0)</f>
        <v>8</v>
      </c>
      <c r="J133" s="476" t="str">
        <f>IFERROR(VLOOKUP($D133,'1. Mesures'!$A$2:$P$116,4,0),"")</f>
        <v>OS 8.2</v>
      </c>
      <c r="K133" s="473" t="str">
        <f>VLOOKUP($D133,'1. Mesures'!$A$2:$P$116,8,0)</f>
        <v>X</v>
      </c>
      <c r="L133" s="473">
        <f>VLOOKUP($D133,'1. Mesures'!$A$2:$P$116,9,0)</f>
        <v>0</v>
      </c>
      <c r="M133" s="473">
        <f>VLOOKUP($D133,'1. Mesures'!$A$2:$P$116,10,0)</f>
        <v>0</v>
      </c>
      <c r="N133" s="473" t="str">
        <f>VLOOKUP($D133,'1. Mesures'!$A$2:$P$116,13,0)</f>
        <v>SM</v>
      </c>
      <c r="O133" s="473" t="str">
        <f>VLOOKUP($D133,'1. Mesures'!$A$2:$P$116,11,0)</f>
        <v>X</v>
      </c>
      <c r="P133" s="473" t="s">
        <v>2715</v>
      </c>
      <c r="Q133" s="477" t="s">
        <v>155</v>
      </c>
      <c r="R133" s="473" t="str">
        <f>VLOOKUP($D133,'1. Mesures'!$A$2:$P$116,12,0)</f>
        <v>A</v>
      </c>
      <c r="S133" s="473">
        <f>VLOOKUP($D133,'1. Mesures'!$A$2:$P$116,14,0)</f>
        <v>0</v>
      </c>
      <c r="T133" s="473">
        <f>VLOOKUP($D133,'1. Mesures'!$A$2:$P$116,15,0)</f>
        <v>0</v>
      </c>
      <c r="U133" s="473">
        <f>VLOOKUP($D133,'1. Mesures'!$A$2:$P$116,16,0)</f>
        <v>0</v>
      </c>
      <c r="V133" s="473" t="e">
        <f>VLOOKUP($D133,'1. Mesures'!$A$2:$P$116,17,0)</f>
        <v>#REF!</v>
      </c>
      <c r="W133" s="473" t="e">
        <f>VLOOKUP($D133,'1. Mesures'!$A$2:$P$116,18,0)</f>
        <v>#REF!</v>
      </c>
    </row>
    <row r="134" spans="1:23" s="435" customFormat="1" x14ac:dyDescent="0.25"/>
    <row r="135" spans="1:23" s="435" customFormat="1" x14ac:dyDescent="0.25"/>
    <row r="136" spans="1:23" s="435" customFormat="1" x14ac:dyDescent="0.25"/>
    <row r="137" spans="1:23" s="435" customFormat="1" x14ac:dyDescent="0.25"/>
    <row r="138" spans="1:23" s="435" customFormat="1" x14ac:dyDescent="0.25"/>
    <row r="139" spans="1:23" s="435" customFormat="1" x14ac:dyDescent="0.25"/>
    <row r="140" spans="1:23" s="435" customFormat="1" x14ac:dyDescent="0.25"/>
    <row r="141" spans="1:23" s="435" customFormat="1" x14ac:dyDescent="0.25"/>
    <row r="142" spans="1:23" s="435" customFormat="1" x14ac:dyDescent="0.25"/>
    <row r="143" spans="1:23" s="435" customFormat="1" x14ac:dyDescent="0.25"/>
    <row r="144" spans="1:23" s="435" customFormat="1" x14ac:dyDescent="0.25"/>
    <row r="145" s="435" customFormat="1" x14ac:dyDescent="0.25"/>
    <row r="146" s="435" customFormat="1" x14ac:dyDescent="0.25"/>
    <row r="147" s="435" customFormat="1" x14ac:dyDescent="0.25"/>
    <row r="148" s="435" customFormat="1" x14ac:dyDescent="0.25"/>
    <row r="149" s="435" customFormat="1" x14ac:dyDescent="0.25"/>
    <row r="150" s="435" customFormat="1" x14ac:dyDescent="0.25"/>
    <row r="151" s="435" customFormat="1" x14ac:dyDescent="0.25"/>
    <row r="152" s="435" customFormat="1" x14ac:dyDescent="0.25"/>
    <row r="153" s="435" customFormat="1" x14ac:dyDescent="0.25"/>
    <row r="154" s="435" customFormat="1" x14ac:dyDescent="0.25"/>
    <row r="155" s="435" customFormat="1" x14ac:dyDescent="0.25"/>
    <row r="156" s="435" customFormat="1" x14ac:dyDescent="0.25"/>
    <row r="157" s="435" customFormat="1" x14ac:dyDescent="0.25"/>
    <row r="158" s="435" customFormat="1" x14ac:dyDescent="0.25"/>
    <row r="159" s="435" customFormat="1" x14ac:dyDescent="0.25"/>
    <row r="160" s="435" customFormat="1" x14ac:dyDescent="0.25"/>
    <row r="161" s="435" customFormat="1" x14ac:dyDescent="0.25"/>
    <row r="162" s="435" customFormat="1" x14ac:dyDescent="0.25"/>
    <row r="163" s="435" customFormat="1" x14ac:dyDescent="0.25"/>
    <row r="164" s="435" customFormat="1" x14ac:dyDescent="0.25"/>
    <row r="165" s="435" customFormat="1" x14ac:dyDescent="0.25"/>
    <row r="166" s="435" customFormat="1" x14ac:dyDescent="0.25"/>
    <row r="167" s="435" customFormat="1" x14ac:dyDescent="0.25"/>
    <row r="168" s="435" customFormat="1" x14ac:dyDescent="0.25"/>
    <row r="169" s="435" customFormat="1" x14ac:dyDescent="0.25"/>
    <row r="170" s="435" customFormat="1" x14ac:dyDescent="0.25"/>
    <row r="171" s="435" customFormat="1" x14ac:dyDescent="0.25"/>
    <row r="172" s="435" customFormat="1" x14ac:dyDescent="0.25"/>
    <row r="173" s="435" customFormat="1" x14ac:dyDescent="0.25"/>
    <row r="174" s="435" customFormat="1" x14ac:dyDescent="0.25"/>
    <row r="175" s="435" customFormat="1" x14ac:dyDescent="0.25"/>
    <row r="176" s="435" customFormat="1" x14ac:dyDescent="0.25"/>
    <row r="177" s="435" customFormat="1" x14ac:dyDescent="0.25"/>
    <row r="178" s="435" customFormat="1" x14ac:dyDescent="0.25"/>
    <row r="179" s="435" customFormat="1" x14ac:dyDescent="0.25"/>
    <row r="180" s="435" customFormat="1" x14ac:dyDescent="0.25"/>
    <row r="181" s="435" customFormat="1" x14ac:dyDescent="0.25"/>
    <row r="182" s="435" customFormat="1" x14ac:dyDescent="0.25"/>
    <row r="183" s="435" customFormat="1" x14ac:dyDescent="0.25"/>
    <row r="184" s="435" customFormat="1" x14ac:dyDescent="0.25"/>
    <row r="185" s="435" customFormat="1" x14ac:dyDescent="0.25"/>
    <row r="186" s="435" customFormat="1" x14ac:dyDescent="0.25"/>
    <row r="187" s="435" customFormat="1" x14ac:dyDescent="0.25"/>
    <row r="188" s="435" customFormat="1" x14ac:dyDescent="0.25"/>
    <row r="189" s="435" customFormat="1" x14ac:dyDescent="0.25"/>
    <row r="190" s="435" customFormat="1" x14ac:dyDescent="0.25"/>
    <row r="191" s="435" customFormat="1" x14ac:dyDescent="0.25"/>
  </sheetData>
  <autoFilter ref="A1:M191" xr:uid="{00000000-0009-0000-0000-000013000000}"/>
  <conditionalFormatting sqref="A2:C133">
    <cfRule type="cellIs" dxfId="4" priority="1" operator="equal">
      <formula>"Finished"</formula>
    </cfRule>
    <cfRule type="cellIs" dxfId="3" priority="2" operator="equal">
      <formula>"In Progress"</formula>
    </cfRule>
    <cfRule type="cellIs" dxfId="2" priority="3" operator="equal">
      <formula>"Not Started"</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outlinePr summaryRight="0"/>
  </sheetPr>
  <dimension ref="A1:BL116"/>
  <sheetViews>
    <sheetView showGridLines="0" tabSelected="1" zoomScaleNormal="100" workbookViewId="0">
      <pane xSplit="1" topLeftCell="D1" activePane="topRight" state="frozen"/>
      <selection pane="topRight" sqref="A1:P1"/>
    </sheetView>
  </sheetViews>
  <sheetFormatPr baseColWidth="10" defaultColWidth="11.5703125" defaultRowHeight="15" outlineLevelCol="1" x14ac:dyDescent="0.25"/>
  <cols>
    <col min="1" max="1" width="11.5703125" style="2"/>
    <col min="2" max="2" width="106.85546875" style="3" customWidth="1"/>
    <col min="3" max="3" width="6.140625" style="2" customWidth="1"/>
    <col min="4" max="4" width="7.140625" style="2" bestFit="1" customWidth="1"/>
    <col min="5" max="5" width="16.5703125" style="2" customWidth="1"/>
    <col min="6" max="6" width="11.5703125" style="2"/>
    <col min="7" max="7" width="15" style="2" customWidth="1"/>
    <col min="8" max="9" width="11.5703125" style="2"/>
    <col min="10" max="11" width="17.42578125" style="2" customWidth="1"/>
    <col min="12" max="12" width="17.42578125" style="2" customWidth="1" collapsed="1"/>
    <col min="13" max="13" width="11.5703125" style="2"/>
    <col min="14" max="14" width="54.7109375" style="2" customWidth="1"/>
    <col min="15" max="15" width="25.7109375" style="2" customWidth="1"/>
    <col min="16" max="16" width="17.42578125" style="2" customWidth="1"/>
    <col min="17" max="17" width="19" customWidth="1"/>
    <col min="18" max="52" width="17.42578125" style="4" customWidth="1"/>
    <col min="54" max="64" width="11.5703125" style="4" customWidth="1" outlineLevel="1"/>
    <col min="65" max="16384" width="11.5703125" style="4"/>
  </cols>
  <sheetData>
    <row r="1" spans="1:56" ht="38.25" x14ac:dyDescent="0.25">
      <c r="A1" s="347" t="s">
        <v>28</v>
      </c>
      <c r="B1" s="348" t="s">
        <v>29</v>
      </c>
      <c r="C1" s="347" t="s">
        <v>30</v>
      </c>
      <c r="D1" s="347" t="s">
        <v>31</v>
      </c>
      <c r="E1" s="347" t="s">
        <v>32</v>
      </c>
      <c r="F1" s="347" t="s">
        <v>2863</v>
      </c>
      <c r="G1" s="347" t="s">
        <v>33</v>
      </c>
      <c r="H1" s="347" t="s">
        <v>34</v>
      </c>
      <c r="I1" s="347" t="s">
        <v>2858</v>
      </c>
      <c r="J1" s="347" t="s">
        <v>2864</v>
      </c>
      <c r="K1" s="347" t="s">
        <v>35</v>
      </c>
      <c r="L1" s="347" t="s">
        <v>2865</v>
      </c>
      <c r="M1" s="347" t="s">
        <v>2739</v>
      </c>
      <c r="N1" s="347" t="s">
        <v>2738</v>
      </c>
      <c r="O1" s="347" t="s">
        <v>2779</v>
      </c>
      <c r="P1" s="347" t="s">
        <v>2778</v>
      </c>
      <c r="BD1" s="5" t="s">
        <v>2571</v>
      </c>
    </row>
    <row r="2" spans="1:56" ht="25.5" customHeight="1" x14ac:dyDescent="0.25">
      <c r="A2" s="349" t="str">
        <f>HYPERLINK(BD2,BB2)</f>
        <v>M 1.1</v>
      </c>
      <c r="B2" s="350" t="s">
        <v>2591</v>
      </c>
      <c r="C2" s="351">
        <v>1</v>
      </c>
      <c r="D2" s="351" t="s">
        <v>52</v>
      </c>
      <c r="E2" s="351" t="s">
        <v>53</v>
      </c>
      <c r="F2" s="351">
        <v>0</v>
      </c>
      <c r="G2" s="351">
        <v>0</v>
      </c>
      <c r="H2" s="351">
        <v>0</v>
      </c>
      <c r="I2" s="440"/>
      <c r="J2" s="351"/>
      <c r="K2" s="351" t="s">
        <v>54</v>
      </c>
      <c r="L2" s="351" t="s">
        <v>1532</v>
      </c>
      <c r="M2" s="351" t="s">
        <v>2224</v>
      </c>
      <c r="N2" s="440" t="s">
        <v>2917</v>
      </c>
      <c r="O2" s="351" t="s">
        <v>2877</v>
      </c>
      <c r="P2" s="351" t="s">
        <v>2777</v>
      </c>
      <c r="BB2" s="4" t="s">
        <v>0</v>
      </c>
      <c r="BC2" s="4" t="s">
        <v>187</v>
      </c>
      <c r="BD2" s="4" t="str">
        <f>$BD$1&amp;"\"&amp;BC2&amp;".docx"</f>
        <v>K:\16_EAU_WATER\01_PLAN\PGE 2022-2027\03 Rédaction\Version finale FR\PGE3_Axe1_FP_M1.1.docx</v>
      </c>
    </row>
    <row r="3" spans="1:56" ht="27.75" customHeight="1" x14ac:dyDescent="0.25">
      <c r="A3" s="349" t="str">
        <f t="shared" ref="A3:A64" si="0">HYPERLINK(BD3,BB3)</f>
        <v>M 1.2</v>
      </c>
      <c r="B3" s="479" t="s">
        <v>237</v>
      </c>
      <c r="C3" s="351">
        <v>1</v>
      </c>
      <c r="D3" s="351" t="s">
        <v>52</v>
      </c>
      <c r="E3" s="351" t="s">
        <v>53</v>
      </c>
      <c r="F3" s="351">
        <v>0</v>
      </c>
      <c r="G3" s="351"/>
      <c r="H3" s="351">
        <v>0</v>
      </c>
      <c r="I3" s="440" t="s">
        <v>2889</v>
      </c>
      <c r="J3" s="351"/>
      <c r="K3" s="351" t="s">
        <v>54</v>
      </c>
      <c r="L3" s="351" t="s">
        <v>1532</v>
      </c>
      <c r="M3" s="351" t="s">
        <v>2224</v>
      </c>
      <c r="N3" s="440" t="s">
        <v>2917</v>
      </c>
      <c r="O3" s="351" t="s">
        <v>2877</v>
      </c>
      <c r="P3" s="351" t="s">
        <v>2777</v>
      </c>
      <c r="BB3" s="4" t="s">
        <v>1</v>
      </c>
      <c r="BC3" s="4" t="s">
        <v>188</v>
      </c>
      <c r="BD3" s="4" t="str">
        <f t="shared" ref="BD3:BD64" si="1">$BD$1&amp;"\"&amp;BC3&amp;".docx"</f>
        <v>K:\16_EAU_WATER\01_PLAN\PGE 2022-2027\03 Rédaction\Version finale FR\PGE3_Axe1_FP_M1.2.docx</v>
      </c>
    </row>
    <row r="4" spans="1:56" ht="32.25" customHeight="1" x14ac:dyDescent="0.25">
      <c r="A4" s="349" t="str">
        <f t="shared" si="0"/>
        <v>M 1.3</v>
      </c>
      <c r="B4" s="479" t="s">
        <v>236</v>
      </c>
      <c r="C4" s="351">
        <v>1</v>
      </c>
      <c r="D4" s="351" t="s">
        <v>52</v>
      </c>
      <c r="E4" s="351" t="s">
        <v>53</v>
      </c>
      <c r="F4" s="351">
        <v>0</v>
      </c>
      <c r="G4" s="351">
        <v>0</v>
      </c>
      <c r="H4" s="351">
        <v>0</v>
      </c>
      <c r="I4" s="351"/>
      <c r="J4" s="351"/>
      <c r="K4" s="351">
        <v>0</v>
      </c>
      <c r="L4" s="351" t="s">
        <v>1532</v>
      </c>
      <c r="M4" s="351" t="s">
        <v>2224</v>
      </c>
      <c r="N4" s="440" t="s">
        <v>2916</v>
      </c>
      <c r="O4" s="351" t="s">
        <v>2877</v>
      </c>
      <c r="P4" s="351" t="s">
        <v>2777</v>
      </c>
      <c r="BB4" s="4" t="s">
        <v>2</v>
      </c>
      <c r="BC4" s="4" t="s">
        <v>189</v>
      </c>
      <c r="BD4" s="4" t="str">
        <f t="shared" si="1"/>
        <v>K:\16_EAU_WATER\01_PLAN\PGE 2022-2027\03 Rédaction\Version finale FR\PGE3_Axe1_FP_M1.3.docx</v>
      </c>
    </row>
    <row r="5" spans="1:56" ht="32.25" customHeight="1" x14ac:dyDescent="0.25">
      <c r="A5" s="349" t="str">
        <f t="shared" si="0"/>
        <v>M 1.4</v>
      </c>
      <c r="B5" s="479" t="s">
        <v>2948</v>
      </c>
      <c r="C5" s="351">
        <v>1</v>
      </c>
      <c r="D5" s="351" t="s">
        <v>52</v>
      </c>
      <c r="E5" s="351" t="s">
        <v>53</v>
      </c>
      <c r="F5" s="351">
        <v>0</v>
      </c>
      <c r="G5" s="351">
        <v>0</v>
      </c>
      <c r="H5" s="351">
        <v>0</v>
      </c>
      <c r="I5" s="351"/>
      <c r="J5" s="351"/>
      <c r="K5" s="351">
        <v>0</v>
      </c>
      <c r="L5" s="351" t="s">
        <v>2882</v>
      </c>
      <c r="M5" s="351" t="s">
        <v>2224</v>
      </c>
      <c r="N5" s="440" t="s">
        <v>2929</v>
      </c>
      <c r="O5" s="351" t="s">
        <v>2877</v>
      </c>
      <c r="P5" s="351" t="s">
        <v>2777</v>
      </c>
      <c r="BB5" s="4" t="s">
        <v>3</v>
      </c>
      <c r="BC5" s="4" t="s">
        <v>190</v>
      </c>
      <c r="BD5" s="4" t="str">
        <f t="shared" si="1"/>
        <v>K:\16_EAU_WATER\01_PLAN\PGE 2022-2027\03 Rédaction\Version finale FR\PGE3_Axe1_FP_M1.4.docx</v>
      </c>
    </row>
    <row r="6" spans="1:56" ht="25.5" x14ac:dyDescent="0.25">
      <c r="A6" s="349" t="str">
        <f t="shared" si="0"/>
        <v>M 1.5</v>
      </c>
      <c r="B6" s="479" t="s">
        <v>2588</v>
      </c>
      <c r="C6" s="351">
        <v>1</v>
      </c>
      <c r="D6" s="351" t="s">
        <v>52</v>
      </c>
      <c r="E6" s="351" t="s">
        <v>55</v>
      </c>
      <c r="F6" s="351">
        <v>0</v>
      </c>
      <c r="G6" s="351">
        <v>0</v>
      </c>
      <c r="H6" s="351">
        <v>0</v>
      </c>
      <c r="I6" s="351"/>
      <c r="J6" s="351"/>
      <c r="K6" s="351">
        <v>0</v>
      </c>
      <c r="L6" s="351" t="s">
        <v>1532</v>
      </c>
      <c r="M6" s="351" t="s">
        <v>2224</v>
      </c>
      <c r="N6" s="440" t="s">
        <v>2925</v>
      </c>
      <c r="O6" s="351" t="s">
        <v>2875</v>
      </c>
      <c r="P6" s="351" t="s">
        <v>2777</v>
      </c>
      <c r="BB6" s="4" t="s">
        <v>4</v>
      </c>
      <c r="BC6" s="4" t="s">
        <v>191</v>
      </c>
      <c r="BD6" s="4" t="str">
        <f t="shared" si="1"/>
        <v>K:\16_EAU_WATER\01_PLAN\PGE 2022-2027\03 Rédaction\Version finale FR\PGE3_Axe1_FP_M1.5.docx</v>
      </c>
    </row>
    <row r="7" spans="1:56" ht="38.25" x14ac:dyDescent="0.25">
      <c r="A7" s="349" t="str">
        <f t="shared" si="0"/>
        <v>M 1.6</v>
      </c>
      <c r="B7" s="479" t="s">
        <v>233</v>
      </c>
      <c r="C7" s="351">
        <v>1</v>
      </c>
      <c r="D7" s="351" t="s">
        <v>52</v>
      </c>
      <c r="E7" s="351" t="s">
        <v>55</v>
      </c>
      <c r="F7" s="351">
        <v>0</v>
      </c>
      <c r="G7" s="351">
        <v>0</v>
      </c>
      <c r="H7" s="351">
        <v>0</v>
      </c>
      <c r="I7" s="351"/>
      <c r="J7" s="351"/>
      <c r="K7" s="351">
        <v>0</v>
      </c>
      <c r="L7" s="351" t="s">
        <v>1532</v>
      </c>
      <c r="M7" s="351" t="s">
        <v>2224</v>
      </c>
      <c r="N7" s="440" t="s">
        <v>2926</v>
      </c>
      <c r="O7" s="351" t="s">
        <v>2875</v>
      </c>
      <c r="P7" s="351" t="s">
        <v>2777</v>
      </c>
      <c r="BB7" s="4" t="s">
        <v>5</v>
      </c>
      <c r="BC7" s="4" t="s">
        <v>192</v>
      </c>
      <c r="BD7" s="4" t="str">
        <f t="shared" si="1"/>
        <v>K:\16_EAU_WATER\01_PLAN\PGE 2022-2027\03 Rédaction\Version finale FR\PGE3_Axe1_FP_M1.6.docx</v>
      </c>
    </row>
    <row r="8" spans="1:56" ht="38.25" x14ac:dyDescent="0.25">
      <c r="A8" s="349" t="str">
        <f t="shared" si="0"/>
        <v>M 1.7</v>
      </c>
      <c r="B8" s="479" t="s">
        <v>2949</v>
      </c>
      <c r="C8" s="351">
        <v>1</v>
      </c>
      <c r="D8" s="351" t="s">
        <v>52</v>
      </c>
      <c r="E8" s="351" t="s">
        <v>55</v>
      </c>
      <c r="F8" s="351">
        <v>0</v>
      </c>
      <c r="G8" s="351">
        <v>0</v>
      </c>
      <c r="H8" s="351">
        <v>0</v>
      </c>
      <c r="I8" s="351"/>
      <c r="J8" s="351"/>
      <c r="K8" s="351">
        <v>0</v>
      </c>
      <c r="L8" s="351" t="s">
        <v>1532</v>
      </c>
      <c r="M8" s="351" t="s">
        <v>2224</v>
      </c>
      <c r="N8" s="440" t="s">
        <v>2926</v>
      </c>
      <c r="O8" s="351" t="s">
        <v>2876</v>
      </c>
      <c r="P8" s="351" t="s">
        <v>2777</v>
      </c>
      <c r="Q8" s="486" t="s">
        <v>2995</v>
      </c>
      <c r="BB8" s="4" t="s">
        <v>6</v>
      </c>
      <c r="BC8" s="4" t="s">
        <v>193</v>
      </c>
      <c r="BD8" s="4" t="str">
        <f t="shared" si="1"/>
        <v>K:\16_EAU_WATER\01_PLAN\PGE 2022-2027\03 Rédaction\Version finale FR\PGE3_Axe1_FP_M1.7.docx</v>
      </c>
    </row>
    <row r="9" spans="1:56" ht="25.5" x14ac:dyDescent="0.25">
      <c r="A9" s="349" t="str">
        <f t="shared" si="0"/>
        <v>M 1.8</v>
      </c>
      <c r="B9" s="479" t="s">
        <v>231</v>
      </c>
      <c r="C9" s="351">
        <v>1</v>
      </c>
      <c r="D9" s="351" t="s">
        <v>52</v>
      </c>
      <c r="E9" s="351" t="s">
        <v>56</v>
      </c>
      <c r="F9" s="351">
        <v>0</v>
      </c>
      <c r="G9" s="351">
        <v>0</v>
      </c>
      <c r="H9" s="351">
        <v>0</v>
      </c>
      <c r="I9" s="351"/>
      <c r="J9" s="351"/>
      <c r="K9" s="351" t="s">
        <v>54</v>
      </c>
      <c r="L9" s="351"/>
      <c r="M9" s="351" t="s">
        <v>2224</v>
      </c>
      <c r="N9" s="440" t="s">
        <v>2932</v>
      </c>
      <c r="O9" s="351" t="s">
        <v>2875</v>
      </c>
      <c r="P9" s="351" t="s">
        <v>2777</v>
      </c>
      <c r="BB9" s="4" t="s">
        <v>7</v>
      </c>
      <c r="BC9" s="4" t="s">
        <v>194</v>
      </c>
      <c r="BD9" s="4" t="str">
        <f t="shared" si="1"/>
        <v>K:\16_EAU_WATER\01_PLAN\PGE 2022-2027\03 Rédaction\Version finale FR\PGE3_Axe1_FP_M1.8.docx</v>
      </c>
    </row>
    <row r="10" spans="1:56" ht="25.5" x14ac:dyDescent="0.25">
      <c r="A10" s="349" t="str">
        <f t="shared" si="0"/>
        <v>M 1.9</v>
      </c>
      <c r="B10" s="479" t="s">
        <v>230</v>
      </c>
      <c r="C10" s="351">
        <v>1</v>
      </c>
      <c r="D10" s="351" t="s">
        <v>52</v>
      </c>
      <c r="E10" s="351" t="s">
        <v>56</v>
      </c>
      <c r="F10" s="351">
        <v>0</v>
      </c>
      <c r="G10" s="351">
        <v>0</v>
      </c>
      <c r="H10" s="351">
        <v>0</v>
      </c>
      <c r="I10" s="351"/>
      <c r="J10" s="351"/>
      <c r="K10" s="351" t="s">
        <v>54</v>
      </c>
      <c r="L10" s="351" t="s">
        <v>2882</v>
      </c>
      <c r="M10" s="351" t="s">
        <v>2224</v>
      </c>
      <c r="N10" s="440" t="s">
        <v>2932</v>
      </c>
      <c r="O10" s="351" t="s">
        <v>2875</v>
      </c>
      <c r="P10" s="351" t="s">
        <v>2777</v>
      </c>
      <c r="BB10" s="4" t="s">
        <v>8</v>
      </c>
      <c r="BC10" s="4" t="s">
        <v>195</v>
      </c>
      <c r="BD10" s="4" t="str">
        <f t="shared" si="1"/>
        <v>K:\16_EAU_WATER\01_PLAN\PGE 2022-2027\03 Rédaction\Version finale FR\PGE3_Axe1_FP_M1.9.docx</v>
      </c>
    </row>
    <row r="11" spans="1:56" ht="25.5" x14ac:dyDescent="0.25">
      <c r="A11" s="349" t="str">
        <f t="shared" si="0"/>
        <v>M 1.10</v>
      </c>
      <c r="B11" s="479" t="s">
        <v>2950</v>
      </c>
      <c r="C11" s="351">
        <v>1</v>
      </c>
      <c r="D11" s="351" t="s">
        <v>52</v>
      </c>
      <c r="E11" s="351" t="s">
        <v>56</v>
      </c>
      <c r="F11" s="351">
        <v>0</v>
      </c>
      <c r="G11" s="351">
        <v>0</v>
      </c>
      <c r="H11" s="351">
        <v>0</v>
      </c>
      <c r="I11" s="351"/>
      <c r="J11" s="351"/>
      <c r="K11" s="351">
        <v>0</v>
      </c>
      <c r="L11" s="351" t="s">
        <v>2882</v>
      </c>
      <c r="M11" s="351" t="s">
        <v>2224</v>
      </c>
      <c r="N11" s="440" t="s">
        <v>2932</v>
      </c>
      <c r="O11" s="351" t="s">
        <v>2875</v>
      </c>
      <c r="P11" s="351" t="s">
        <v>2777</v>
      </c>
      <c r="BB11" s="4" t="s">
        <v>9</v>
      </c>
      <c r="BC11" s="4" t="s">
        <v>196</v>
      </c>
      <c r="BD11" s="4" t="str">
        <f t="shared" si="1"/>
        <v>K:\16_EAU_WATER\01_PLAN\PGE 2022-2027\03 Rédaction\Version finale FR\PGE3_Axe1_FP_M1.10.docx</v>
      </c>
    </row>
    <row r="12" spans="1:56" ht="25.5" x14ac:dyDescent="0.25">
      <c r="A12" s="349" t="str">
        <f t="shared" si="0"/>
        <v>M 1.11</v>
      </c>
      <c r="B12" s="479" t="s">
        <v>2951</v>
      </c>
      <c r="C12" s="351">
        <v>1</v>
      </c>
      <c r="D12" s="351" t="s">
        <v>52</v>
      </c>
      <c r="E12" s="351" t="s">
        <v>56</v>
      </c>
      <c r="F12" s="351">
        <v>0</v>
      </c>
      <c r="G12" s="351">
        <v>0</v>
      </c>
      <c r="H12" s="351">
        <v>0</v>
      </c>
      <c r="I12" s="351" t="s">
        <v>2710</v>
      </c>
      <c r="J12" s="351"/>
      <c r="K12" s="351">
        <v>0</v>
      </c>
      <c r="L12" s="351" t="s">
        <v>1532</v>
      </c>
      <c r="M12" s="351" t="s">
        <v>2224</v>
      </c>
      <c r="N12" s="440" t="s">
        <v>2932</v>
      </c>
      <c r="O12" s="351" t="s">
        <v>2875</v>
      </c>
      <c r="P12" s="351" t="s">
        <v>2777</v>
      </c>
      <c r="BB12" s="4" t="s">
        <v>10</v>
      </c>
      <c r="BC12" s="4" t="s">
        <v>197</v>
      </c>
      <c r="BD12" s="4" t="str">
        <f t="shared" si="1"/>
        <v>K:\16_EAU_WATER\01_PLAN\PGE 2022-2027\03 Rédaction\Version finale FR\PGE3_Axe1_FP_M1.11.docx</v>
      </c>
    </row>
    <row r="13" spans="1:56" x14ac:dyDescent="0.25">
      <c r="A13" s="349" t="str">
        <f t="shared" si="0"/>
        <v>M 1.12</v>
      </c>
      <c r="B13" s="479" t="s">
        <v>2952</v>
      </c>
      <c r="C13" s="351">
        <v>1</v>
      </c>
      <c r="D13" s="351" t="s">
        <v>52</v>
      </c>
      <c r="E13" s="351" t="s">
        <v>56</v>
      </c>
      <c r="F13" s="351">
        <v>0</v>
      </c>
      <c r="G13" s="351">
        <v>0</v>
      </c>
      <c r="H13" s="351">
        <v>0</v>
      </c>
      <c r="I13" s="351"/>
      <c r="J13" s="351"/>
      <c r="K13" s="351">
        <v>0</v>
      </c>
      <c r="L13" s="351" t="s">
        <v>2882</v>
      </c>
      <c r="M13" s="351" t="s">
        <v>2224</v>
      </c>
      <c r="N13" s="440" t="s">
        <v>2912</v>
      </c>
      <c r="O13" s="351" t="s">
        <v>2866</v>
      </c>
      <c r="P13" s="351" t="s">
        <v>2777</v>
      </c>
      <c r="BB13" s="4" t="s">
        <v>11</v>
      </c>
      <c r="BC13" s="4" t="s">
        <v>198</v>
      </c>
      <c r="BD13" s="4" t="str">
        <f t="shared" si="1"/>
        <v>K:\16_EAU_WATER\01_PLAN\PGE 2022-2027\03 Rédaction\Version finale FR\PGE3_Axe1_FP_M1.12.docx</v>
      </c>
    </row>
    <row r="14" spans="1:56" ht="38.25" x14ac:dyDescent="0.25">
      <c r="A14" s="349" t="str">
        <f t="shared" si="0"/>
        <v>M 1.13</v>
      </c>
      <c r="B14" s="479" t="s">
        <v>2953</v>
      </c>
      <c r="C14" s="351">
        <v>1</v>
      </c>
      <c r="D14" s="351" t="s">
        <v>52</v>
      </c>
      <c r="E14" s="351" t="s">
        <v>57</v>
      </c>
      <c r="F14" s="351">
        <v>0</v>
      </c>
      <c r="G14" s="351">
        <v>0</v>
      </c>
      <c r="H14" s="351">
        <v>0</v>
      </c>
      <c r="I14" s="351"/>
      <c r="J14" s="351"/>
      <c r="K14" s="351">
        <v>0</v>
      </c>
      <c r="L14" s="351" t="s">
        <v>1532</v>
      </c>
      <c r="M14" s="351" t="s">
        <v>2224</v>
      </c>
      <c r="N14" s="440" t="s">
        <v>2926</v>
      </c>
      <c r="O14" s="351" t="s">
        <v>2879</v>
      </c>
      <c r="P14" s="351" t="s">
        <v>2777</v>
      </c>
      <c r="BB14" s="4" t="s">
        <v>12</v>
      </c>
      <c r="BC14" s="4" t="s">
        <v>199</v>
      </c>
      <c r="BD14" s="4" t="str">
        <f t="shared" si="1"/>
        <v>K:\16_EAU_WATER\01_PLAN\PGE 2022-2027\03 Rédaction\Version finale FR\PGE3_Axe1_FP_M1.13.docx</v>
      </c>
    </row>
    <row r="15" spans="1:56" ht="30" customHeight="1" x14ac:dyDescent="0.25">
      <c r="A15" s="349" t="str">
        <f t="shared" si="0"/>
        <v>M 1.14</v>
      </c>
      <c r="B15" s="479" t="s">
        <v>226</v>
      </c>
      <c r="C15" s="351">
        <v>1</v>
      </c>
      <c r="D15" s="351" t="s">
        <v>52</v>
      </c>
      <c r="E15" s="351" t="s">
        <v>57</v>
      </c>
      <c r="F15" s="351">
        <v>0</v>
      </c>
      <c r="G15" s="351">
        <v>0</v>
      </c>
      <c r="H15" s="351">
        <v>0</v>
      </c>
      <c r="I15" s="351"/>
      <c r="J15" s="351"/>
      <c r="K15" s="351">
        <v>0</v>
      </c>
      <c r="L15" s="351" t="s">
        <v>2883</v>
      </c>
      <c r="M15" s="351" t="s">
        <v>2224</v>
      </c>
      <c r="N15" s="440" t="s">
        <v>2932</v>
      </c>
      <c r="O15" s="351" t="s">
        <v>2879</v>
      </c>
      <c r="P15" s="351" t="s">
        <v>2777</v>
      </c>
      <c r="BB15" s="4" t="s">
        <v>13</v>
      </c>
      <c r="BC15" s="4" t="s">
        <v>200</v>
      </c>
      <c r="BD15" s="4" t="str">
        <f t="shared" si="1"/>
        <v>K:\16_EAU_WATER\01_PLAN\PGE 2022-2027\03 Rédaction\Version finale FR\PGE3_Axe1_FP_M1.14.docx</v>
      </c>
    </row>
    <row r="16" spans="1:56" ht="38.25" x14ac:dyDescent="0.25">
      <c r="A16" s="349" t="str">
        <f t="shared" si="0"/>
        <v>M 1.15</v>
      </c>
      <c r="B16" s="479" t="s">
        <v>2954</v>
      </c>
      <c r="C16" s="351">
        <v>1</v>
      </c>
      <c r="D16" s="351" t="s">
        <v>52</v>
      </c>
      <c r="E16" s="351" t="s">
        <v>57</v>
      </c>
      <c r="F16" s="351">
        <v>0</v>
      </c>
      <c r="G16" s="351">
        <v>0</v>
      </c>
      <c r="H16" s="351">
        <v>0</v>
      </c>
      <c r="I16" s="351"/>
      <c r="J16" s="351"/>
      <c r="K16" s="351">
        <v>0</v>
      </c>
      <c r="L16" s="351"/>
      <c r="M16" s="351" t="s">
        <v>2224</v>
      </c>
      <c r="N16" s="440" t="s">
        <v>2926</v>
      </c>
      <c r="O16" s="351" t="s">
        <v>2879</v>
      </c>
      <c r="P16" s="351" t="s">
        <v>2777</v>
      </c>
      <c r="BB16" s="4" t="s">
        <v>14</v>
      </c>
      <c r="BC16" s="4" t="s">
        <v>201</v>
      </c>
      <c r="BD16" s="4" t="str">
        <f t="shared" si="1"/>
        <v>K:\16_EAU_WATER\01_PLAN\PGE 2022-2027\03 Rédaction\Version finale FR\PGE3_Axe1_FP_M1.15.docx</v>
      </c>
    </row>
    <row r="17" spans="1:56" ht="25.5" x14ac:dyDescent="0.25">
      <c r="A17" s="349" t="str">
        <f t="shared" si="0"/>
        <v>M 1.16</v>
      </c>
      <c r="B17" s="479" t="s">
        <v>2589</v>
      </c>
      <c r="C17" s="351">
        <v>1</v>
      </c>
      <c r="D17" s="351" t="s">
        <v>52</v>
      </c>
      <c r="E17" s="351" t="s">
        <v>57</v>
      </c>
      <c r="F17" s="351">
        <v>0</v>
      </c>
      <c r="G17" s="351">
        <v>0</v>
      </c>
      <c r="H17" s="351">
        <v>0</v>
      </c>
      <c r="I17" s="351"/>
      <c r="J17" s="351"/>
      <c r="K17" s="351">
        <v>0</v>
      </c>
      <c r="L17" s="351" t="s">
        <v>2882</v>
      </c>
      <c r="M17" s="351" t="s">
        <v>2224</v>
      </c>
      <c r="N17" s="440" t="s">
        <v>2915</v>
      </c>
      <c r="O17" s="351" t="s">
        <v>2876</v>
      </c>
      <c r="P17" s="351" t="s">
        <v>2777</v>
      </c>
      <c r="BB17" s="4" t="s">
        <v>15</v>
      </c>
      <c r="BC17" s="4" t="s">
        <v>202</v>
      </c>
      <c r="BD17" s="4" t="str">
        <f t="shared" si="1"/>
        <v>K:\16_EAU_WATER\01_PLAN\PGE 2022-2027\03 Rédaction\Version finale FR\PGE3_Axe1_FP_M1.16.docx</v>
      </c>
    </row>
    <row r="18" spans="1:56" ht="26.25" customHeight="1" x14ac:dyDescent="0.25">
      <c r="A18" s="349" t="str">
        <f t="shared" si="0"/>
        <v>M 1.17</v>
      </c>
      <c r="B18" s="479" t="s">
        <v>2590</v>
      </c>
      <c r="C18" s="351">
        <v>1</v>
      </c>
      <c r="D18" s="351" t="s">
        <v>52</v>
      </c>
      <c r="E18" s="351" t="s">
        <v>57</v>
      </c>
      <c r="F18" s="351">
        <v>0</v>
      </c>
      <c r="G18" s="351">
        <v>0</v>
      </c>
      <c r="H18" s="351">
        <v>0</v>
      </c>
      <c r="I18" s="351"/>
      <c r="J18" s="351"/>
      <c r="K18" s="351">
        <v>0</v>
      </c>
      <c r="L18" s="351"/>
      <c r="M18" s="351" t="s">
        <v>2224</v>
      </c>
      <c r="N18" s="440" t="s">
        <v>2928</v>
      </c>
      <c r="O18" s="351" t="s">
        <v>2876</v>
      </c>
      <c r="P18" s="351" t="s">
        <v>2777</v>
      </c>
      <c r="BB18" s="4" t="s">
        <v>16</v>
      </c>
      <c r="BC18" s="4" t="s">
        <v>203</v>
      </c>
      <c r="BD18" s="4" t="str">
        <f t="shared" si="1"/>
        <v>K:\16_EAU_WATER\01_PLAN\PGE 2022-2027\03 Rédaction\Version finale FR\PGE3_Axe1_FP_M1.17.docx</v>
      </c>
    </row>
    <row r="19" spans="1:56" ht="25.5" x14ac:dyDescent="0.25">
      <c r="A19" s="349" t="str">
        <f t="shared" si="0"/>
        <v>M 1.18</v>
      </c>
      <c r="B19" s="479" t="s">
        <v>2955</v>
      </c>
      <c r="C19" s="351">
        <v>1</v>
      </c>
      <c r="D19" s="351" t="s">
        <v>52</v>
      </c>
      <c r="E19" s="351" t="s">
        <v>57</v>
      </c>
      <c r="F19" s="351">
        <v>0</v>
      </c>
      <c r="G19" s="351">
        <v>0</v>
      </c>
      <c r="H19" s="351">
        <v>0</v>
      </c>
      <c r="I19" s="351"/>
      <c r="J19" s="351"/>
      <c r="K19" s="351">
        <v>0</v>
      </c>
      <c r="L19" s="351"/>
      <c r="M19" s="351" t="s">
        <v>2224</v>
      </c>
      <c r="N19" s="440" t="s">
        <v>2915</v>
      </c>
      <c r="O19" s="351" t="s">
        <v>2876</v>
      </c>
      <c r="P19" s="351" t="s">
        <v>2777</v>
      </c>
      <c r="Q19" s="486" t="s">
        <v>2996</v>
      </c>
      <c r="BB19" s="4" t="s">
        <v>18</v>
      </c>
      <c r="BC19" s="4" t="s">
        <v>204</v>
      </c>
      <c r="BD19" s="4" t="str">
        <f t="shared" si="1"/>
        <v>K:\16_EAU_WATER\01_PLAN\PGE 2022-2027\03 Rédaction\Version finale FR\PGE3_Axe1_FP_M1.18.docx</v>
      </c>
    </row>
    <row r="20" spans="1:56" ht="38.25" x14ac:dyDescent="0.25">
      <c r="A20" s="349" t="str">
        <f t="shared" si="0"/>
        <v>M 1.19</v>
      </c>
      <c r="B20" s="479" t="s">
        <v>2613</v>
      </c>
      <c r="C20" s="351">
        <v>1</v>
      </c>
      <c r="D20" s="351" t="s">
        <v>52</v>
      </c>
      <c r="E20" s="351" t="s">
        <v>58</v>
      </c>
      <c r="F20" s="351">
        <v>0</v>
      </c>
      <c r="G20" s="351">
        <v>0</v>
      </c>
      <c r="H20" s="351">
        <v>0</v>
      </c>
      <c r="I20" s="351"/>
      <c r="J20" s="351"/>
      <c r="K20" s="351">
        <v>0</v>
      </c>
      <c r="L20" s="351" t="s">
        <v>1532</v>
      </c>
      <c r="M20" s="351" t="s">
        <v>2224</v>
      </c>
      <c r="N20" s="440" t="s">
        <v>2926</v>
      </c>
      <c r="O20" s="351" t="s">
        <v>2881</v>
      </c>
      <c r="P20" s="351" t="s">
        <v>2777</v>
      </c>
      <c r="BB20" s="4" t="s">
        <v>19</v>
      </c>
      <c r="BC20" s="4" t="s">
        <v>205</v>
      </c>
      <c r="BD20" s="4" t="str">
        <f>$BD$1&amp;"\"&amp;BC20&amp;".docx"</f>
        <v>K:\16_EAU_WATER\01_PLAN\PGE 2022-2027\03 Rédaction\Version finale FR\PGE3_Axe1_FP_M1.19.docx</v>
      </c>
    </row>
    <row r="21" spans="1:56" ht="25.5" x14ac:dyDescent="0.25">
      <c r="A21" s="349" t="str">
        <f t="shared" si="0"/>
        <v>M 1.20</v>
      </c>
      <c r="B21" s="479" t="s">
        <v>2583</v>
      </c>
      <c r="C21" s="351">
        <v>1</v>
      </c>
      <c r="D21" s="351" t="s">
        <v>52</v>
      </c>
      <c r="E21" s="351" t="s">
        <v>58</v>
      </c>
      <c r="F21" s="351">
        <v>0</v>
      </c>
      <c r="G21" s="351">
        <v>0</v>
      </c>
      <c r="H21" s="351">
        <v>0</v>
      </c>
      <c r="I21" s="351"/>
      <c r="J21" s="351"/>
      <c r="K21" s="351">
        <v>0</v>
      </c>
      <c r="L21" s="351" t="s">
        <v>2883</v>
      </c>
      <c r="M21" s="351" t="s">
        <v>2224</v>
      </c>
      <c r="N21" s="440" t="s">
        <v>2925</v>
      </c>
      <c r="O21" s="351" t="s">
        <v>2881</v>
      </c>
      <c r="P21" s="351" t="s">
        <v>2777</v>
      </c>
      <c r="BB21" s="4" t="s">
        <v>20</v>
      </c>
      <c r="BC21" s="4" t="s">
        <v>206</v>
      </c>
      <c r="BD21" s="4" t="str">
        <f t="shared" si="1"/>
        <v>K:\16_EAU_WATER\01_PLAN\PGE 2022-2027\03 Rédaction\Version finale FR\PGE3_Axe1_FP_M1.20.docx</v>
      </c>
    </row>
    <row r="22" spans="1:56" ht="25.5" x14ac:dyDescent="0.25">
      <c r="A22" s="349" t="str">
        <f t="shared" si="0"/>
        <v>M 1.21</v>
      </c>
      <c r="B22" s="479" t="s">
        <v>2956</v>
      </c>
      <c r="C22" s="351">
        <v>1</v>
      </c>
      <c r="D22" s="351" t="s">
        <v>52</v>
      </c>
      <c r="E22" s="351" t="s">
        <v>58</v>
      </c>
      <c r="F22" s="351">
        <v>0</v>
      </c>
      <c r="G22" s="351">
        <v>0</v>
      </c>
      <c r="H22" s="351">
        <v>0</v>
      </c>
      <c r="I22" s="351"/>
      <c r="J22" s="351"/>
      <c r="K22" s="351">
        <v>0</v>
      </c>
      <c r="L22" s="351" t="s">
        <v>1532</v>
      </c>
      <c r="M22" s="351" t="s">
        <v>2224</v>
      </c>
      <c r="N22" s="440"/>
      <c r="O22" s="351" t="s">
        <v>2881</v>
      </c>
      <c r="P22" s="351" t="s">
        <v>2777</v>
      </c>
      <c r="Q22" s="486" t="s">
        <v>2997</v>
      </c>
      <c r="BB22" s="4" t="s">
        <v>21</v>
      </c>
      <c r="BC22" s="4" t="s">
        <v>207</v>
      </c>
      <c r="BD22" s="4" t="str">
        <f t="shared" si="1"/>
        <v>K:\16_EAU_WATER\01_PLAN\PGE 2022-2027\03 Rédaction\Version finale FR\PGE3_Axe1_FP_M1.21.docx</v>
      </c>
    </row>
    <row r="23" spans="1:56" ht="25.5" x14ac:dyDescent="0.25">
      <c r="A23" s="349" t="str">
        <f t="shared" si="0"/>
        <v>M 1.22</v>
      </c>
      <c r="B23" s="479" t="s">
        <v>220</v>
      </c>
      <c r="C23" s="351">
        <v>1</v>
      </c>
      <c r="D23" s="351" t="s">
        <v>52</v>
      </c>
      <c r="E23" s="351" t="s">
        <v>58</v>
      </c>
      <c r="F23" s="351">
        <v>0</v>
      </c>
      <c r="G23" s="351" t="s">
        <v>54</v>
      </c>
      <c r="H23" s="351">
        <v>0</v>
      </c>
      <c r="I23" s="351"/>
      <c r="J23" s="351"/>
      <c r="K23" s="351">
        <v>0</v>
      </c>
      <c r="L23" s="351"/>
      <c r="M23" s="351" t="s">
        <v>2224</v>
      </c>
      <c r="N23" s="440" t="s">
        <v>2925</v>
      </c>
      <c r="O23" s="351" t="s">
        <v>2881</v>
      </c>
      <c r="P23" s="351" t="s">
        <v>2777</v>
      </c>
      <c r="BB23" s="4" t="s">
        <v>22</v>
      </c>
      <c r="BC23" s="4" t="s">
        <v>208</v>
      </c>
      <c r="BD23" s="4" t="str">
        <f t="shared" si="1"/>
        <v>K:\16_EAU_WATER\01_PLAN\PGE 2022-2027\03 Rédaction\Version finale FR\PGE3_Axe1_FP_M1.22.docx</v>
      </c>
    </row>
    <row r="24" spans="1:56" ht="37.35" customHeight="1" x14ac:dyDescent="0.25">
      <c r="A24" s="349" t="str">
        <f t="shared" si="0"/>
        <v>M 1.23</v>
      </c>
      <c r="B24" s="479" t="s">
        <v>2584</v>
      </c>
      <c r="C24" s="351">
        <v>1</v>
      </c>
      <c r="D24" s="351" t="s">
        <v>52</v>
      </c>
      <c r="E24" s="351" t="s">
        <v>58</v>
      </c>
      <c r="F24" s="351">
        <v>0</v>
      </c>
      <c r="G24" s="351" t="s">
        <v>54</v>
      </c>
      <c r="H24" s="351">
        <v>0</v>
      </c>
      <c r="I24" s="351"/>
      <c r="J24" s="351"/>
      <c r="K24" s="351">
        <v>0</v>
      </c>
      <c r="L24" s="351" t="s">
        <v>1532</v>
      </c>
      <c r="M24" s="351" t="s">
        <v>2744</v>
      </c>
      <c r="N24" s="440" t="s">
        <v>2925</v>
      </c>
      <c r="O24" s="351" t="s">
        <v>2881</v>
      </c>
      <c r="P24" s="351" t="s">
        <v>2777</v>
      </c>
      <c r="BB24" s="4" t="s">
        <v>24</v>
      </c>
      <c r="BC24" s="4" t="s">
        <v>2780</v>
      </c>
      <c r="BD24" s="4" t="str">
        <f t="shared" si="1"/>
        <v>K:\16_EAU_WATER\01_PLAN\PGE 2022-2027\03 Rédaction\Version finale FR\PGE3_Axe1_FP_M1.23.docx</v>
      </c>
    </row>
    <row r="25" spans="1:56" ht="25.5" x14ac:dyDescent="0.25">
      <c r="A25" s="349" t="str">
        <f t="shared" si="0"/>
        <v>M 1.24</v>
      </c>
      <c r="B25" s="479" t="s">
        <v>2957</v>
      </c>
      <c r="C25" s="351">
        <v>1</v>
      </c>
      <c r="D25" s="351" t="s">
        <v>52</v>
      </c>
      <c r="E25" s="351" t="s">
        <v>58</v>
      </c>
      <c r="F25" s="351">
        <v>0</v>
      </c>
      <c r="G25" s="351">
        <v>0</v>
      </c>
      <c r="H25" s="351">
        <v>0</v>
      </c>
      <c r="I25" s="351"/>
      <c r="J25" s="351"/>
      <c r="K25" s="351">
        <v>0</v>
      </c>
      <c r="L25" s="351" t="s">
        <v>1532</v>
      </c>
      <c r="M25" s="351" t="s">
        <v>2744</v>
      </c>
      <c r="N25" s="440"/>
      <c r="O25" s="351" t="s">
        <v>2881</v>
      </c>
      <c r="P25" s="351" t="s">
        <v>2777</v>
      </c>
      <c r="Q25" s="486" t="s">
        <v>2997</v>
      </c>
      <c r="BB25" s="4" t="s">
        <v>25</v>
      </c>
      <c r="BC25" s="4" t="s">
        <v>209</v>
      </c>
      <c r="BD25" s="4" t="str">
        <f t="shared" si="1"/>
        <v>K:\16_EAU_WATER\01_PLAN\PGE 2022-2027\03 Rédaction\Version finale FR\PGE3_Axe1_FP_M1.24.docx</v>
      </c>
    </row>
    <row r="26" spans="1:56" ht="25.5" x14ac:dyDescent="0.25">
      <c r="A26" s="349" t="str">
        <f t="shared" si="0"/>
        <v>M 1.25</v>
      </c>
      <c r="B26" s="479" t="s">
        <v>2958</v>
      </c>
      <c r="C26" s="351">
        <v>1</v>
      </c>
      <c r="D26" s="351" t="s">
        <v>52</v>
      </c>
      <c r="E26" s="351" t="s">
        <v>58</v>
      </c>
      <c r="F26" s="351">
        <v>0</v>
      </c>
      <c r="G26" s="351">
        <v>0</v>
      </c>
      <c r="H26" s="351">
        <v>0</v>
      </c>
      <c r="I26" s="351"/>
      <c r="J26" s="351"/>
      <c r="K26" s="351">
        <v>0</v>
      </c>
      <c r="L26" s="351" t="s">
        <v>1532</v>
      </c>
      <c r="M26" s="351" t="s">
        <v>2224</v>
      </c>
      <c r="N26" s="440" t="s">
        <v>2932</v>
      </c>
      <c r="O26" s="351" t="s">
        <v>2880</v>
      </c>
      <c r="P26" s="351" t="s">
        <v>2777</v>
      </c>
      <c r="BB26" s="4" t="s">
        <v>26</v>
      </c>
      <c r="BC26" s="4" t="s">
        <v>210</v>
      </c>
      <c r="BD26" s="4" t="str">
        <f t="shared" si="1"/>
        <v>K:\16_EAU_WATER\01_PLAN\PGE 2022-2027\03 Rédaction\Version finale FR\PGE3_Axe1_FP_M1.25.docx</v>
      </c>
    </row>
    <row r="27" spans="1:56" ht="25.5" x14ac:dyDescent="0.25">
      <c r="A27" s="349" t="str">
        <f t="shared" si="0"/>
        <v>M 1.26</v>
      </c>
      <c r="B27" s="479" t="s">
        <v>2614</v>
      </c>
      <c r="C27" s="351">
        <v>1</v>
      </c>
      <c r="D27" s="351" t="s">
        <v>59</v>
      </c>
      <c r="E27" s="351" t="s">
        <v>60</v>
      </c>
      <c r="F27" s="351">
        <v>0</v>
      </c>
      <c r="G27" s="351" t="s">
        <v>54</v>
      </c>
      <c r="H27" s="351">
        <v>0</v>
      </c>
      <c r="I27" s="351"/>
      <c r="J27" s="351"/>
      <c r="K27" s="351" t="s">
        <v>54</v>
      </c>
      <c r="L27" s="351" t="s">
        <v>1532</v>
      </c>
      <c r="M27" s="351" t="s">
        <v>2224</v>
      </c>
      <c r="N27" s="440" t="s">
        <v>2918</v>
      </c>
      <c r="O27" s="351" t="s">
        <v>2881</v>
      </c>
      <c r="P27" s="351" t="s">
        <v>2777</v>
      </c>
      <c r="BB27" s="4" t="s">
        <v>27</v>
      </c>
      <c r="BC27" s="4" t="s">
        <v>211</v>
      </c>
      <c r="BD27" s="4" t="str">
        <f t="shared" si="1"/>
        <v>K:\16_EAU_WATER\01_PLAN\PGE 2022-2027\03 Rédaction\Version finale FR\PGE3_Axe1_FP_M1.26.docx</v>
      </c>
    </row>
    <row r="28" spans="1:56" x14ac:dyDescent="0.25">
      <c r="A28" s="349" t="str">
        <f t="shared" si="0"/>
        <v>M 2.1</v>
      </c>
      <c r="B28" s="479" t="s">
        <v>216</v>
      </c>
      <c r="C28" s="351">
        <v>2</v>
      </c>
      <c r="D28" s="351" t="s">
        <v>140</v>
      </c>
      <c r="E28" s="351" t="s">
        <v>141</v>
      </c>
      <c r="F28" s="351">
        <v>0</v>
      </c>
      <c r="G28" s="351">
        <v>0</v>
      </c>
      <c r="H28" s="351">
        <v>0</v>
      </c>
      <c r="I28" s="351"/>
      <c r="J28" s="351"/>
      <c r="K28" s="351">
        <v>0</v>
      </c>
      <c r="L28" s="351" t="s">
        <v>1532</v>
      </c>
      <c r="M28" s="351" t="s">
        <v>2224</v>
      </c>
      <c r="N28" s="351" t="s">
        <v>2925</v>
      </c>
      <c r="O28" s="351" t="s">
        <v>2881</v>
      </c>
      <c r="P28" s="351" t="s">
        <v>2776</v>
      </c>
      <c r="BB28" s="4" t="s">
        <v>36</v>
      </c>
      <c r="BC28" s="4" t="s">
        <v>248</v>
      </c>
      <c r="BD28" s="4" t="str">
        <f t="shared" si="1"/>
        <v>K:\16_EAU_WATER\01_PLAN\PGE 2022-2027\03 Rédaction\Version finale FR\PGE3_Axe2_FP_M2.1.docx</v>
      </c>
    </row>
    <row r="29" spans="1:56" ht="25.5" x14ac:dyDescent="0.25">
      <c r="A29" s="349" t="str">
        <f t="shared" si="0"/>
        <v>M 2.2</v>
      </c>
      <c r="B29" s="479" t="s">
        <v>2582</v>
      </c>
      <c r="C29" s="351">
        <v>2</v>
      </c>
      <c r="D29" s="351" t="s">
        <v>140</v>
      </c>
      <c r="E29" s="351" t="s">
        <v>141</v>
      </c>
      <c r="F29" s="351">
        <v>0</v>
      </c>
      <c r="G29" s="351">
        <v>0</v>
      </c>
      <c r="H29" s="351">
        <v>0</v>
      </c>
      <c r="I29" s="351"/>
      <c r="J29" s="351"/>
      <c r="K29" s="351">
        <v>0</v>
      </c>
      <c r="L29" s="351" t="s">
        <v>1532</v>
      </c>
      <c r="M29" s="351" t="s">
        <v>2224</v>
      </c>
      <c r="N29" s="351"/>
      <c r="O29" s="351" t="s">
        <v>2881</v>
      </c>
      <c r="P29" s="351" t="s">
        <v>2776</v>
      </c>
      <c r="Q29" s="486" t="s">
        <v>2997</v>
      </c>
      <c r="BB29" s="4" t="s">
        <v>37</v>
      </c>
      <c r="BC29" s="4" t="s">
        <v>249</v>
      </c>
      <c r="BD29" s="4" t="str">
        <f t="shared" si="1"/>
        <v>K:\16_EAU_WATER\01_PLAN\PGE 2022-2027\03 Rédaction\Version finale FR\PGE3_Axe2_FP_M2.2.docx</v>
      </c>
    </row>
    <row r="30" spans="1:56" x14ac:dyDescent="0.25">
      <c r="A30" s="349" t="str">
        <f t="shared" si="0"/>
        <v>M 2.3</v>
      </c>
      <c r="B30" s="479" t="s">
        <v>215</v>
      </c>
      <c r="C30" s="351">
        <v>2</v>
      </c>
      <c r="D30" s="351" t="s">
        <v>140</v>
      </c>
      <c r="E30" s="351" t="s">
        <v>142</v>
      </c>
      <c r="F30" s="351">
        <v>0</v>
      </c>
      <c r="G30" s="351">
        <v>0</v>
      </c>
      <c r="H30" s="351">
        <v>0</v>
      </c>
      <c r="I30" s="351"/>
      <c r="J30" s="351"/>
      <c r="K30" s="351">
        <v>0</v>
      </c>
      <c r="L30" s="351"/>
      <c r="M30" s="351" t="s">
        <v>2224</v>
      </c>
      <c r="N30" s="351" t="s">
        <v>2932</v>
      </c>
      <c r="O30" s="351" t="s">
        <v>2867</v>
      </c>
      <c r="P30" s="351" t="s">
        <v>2776</v>
      </c>
      <c r="BB30" s="4" t="s">
        <v>38</v>
      </c>
      <c r="BC30" s="4" t="s">
        <v>250</v>
      </c>
      <c r="BD30" s="4" t="str">
        <f t="shared" si="1"/>
        <v>K:\16_EAU_WATER\01_PLAN\PGE 2022-2027\03 Rédaction\Version finale FR\PGE3_Axe2_FP_M2.3.docx</v>
      </c>
    </row>
    <row r="31" spans="1:56" ht="25.5" x14ac:dyDescent="0.25">
      <c r="A31" s="349" t="str">
        <f t="shared" si="0"/>
        <v>M 2.4</v>
      </c>
      <c r="B31" s="479" t="s">
        <v>2959</v>
      </c>
      <c r="C31" s="351">
        <v>2</v>
      </c>
      <c r="D31" s="351" t="s">
        <v>140</v>
      </c>
      <c r="E31" s="351" t="s">
        <v>142</v>
      </c>
      <c r="F31" s="351">
        <v>0</v>
      </c>
      <c r="G31" s="351">
        <v>0</v>
      </c>
      <c r="H31" s="351">
        <v>0</v>
      </c>
      <c r="I31" s="351"/>
      <c r="J31" s="351"/>
      <c r="K31" s="351">
        <v>0</v>
      </c>
      <c r="L31" s="351" t="s">
        <v>1532</v>
      </c>
      <c r="M31" s="351" t="s">
        <v>2224</v>
      </c>
      <c r="N31" s="351" t="s">
        <v>2932</v>
      </c>
      <c r="O31" s="351" t="s">
        <v>2866</v>
      </c>
      <c r="P31" s="351" t="s">
        <v>2776</v>
      </c>
      <c r="BB31" s="4" t="s">
        <v>39</v>
      </c>
      <c r="BC31" s="4" t="s">
        <v>251</v>
      </c>
      <c r="BD31" s="4" t="str">
        <f t="shared" si="1"/>
        <v>K:\16_EAU_WATER\01_PLAN\PGE 2022-2027\03 Rédaction\Version finale FR\PGE3_Axe2_FP_M2.4.docx</v>
      </c>
    </row>
    <row r="32" spans="1:56" ht="25.5" x14ac:dyDescent="0.25">
      <c r="A32" s="349" t="str">
        <f t="shared" si="0"/>
        <v>M 2.5</v>
      </c>
      <c r="B32" s="479" t="s">
        <v>214</v>
      </c>
      <c r="C32" s="351">
        <v>2</v>
      </c>
      <c r="D32" s="351" t="s">
        <v>140</v>
      </c>
      <c r="E32" s="351" t="s">
        <v>142</v>
      </c>
      <c r="F32" s="351">
        <v>0</v>
      </c>
      <c r="G32" s="351">
        <v>0</v>
      </c>
      <c r="H32" s="351">
        <v>0</v>
      </c>
      <c r="I32" s="351"/>
      <c r="J32" s="351"/>
      <c r="K32" s="351">
        <v>0</v>
      </c>
      <c r="L32" s="351" t="s">
        <v>1532</v>
      </c>
      <c r="M32" s="351" t="s">
        <v>2224</v>
      </c>
      <c r="N32" s="351" t="s">
        <v>2913</v>
      </c>
      <c r="O32" s="351" t="s">
        <v>2867</v>
      </c>
      <c r="P32" s="351" t="s">
        <v>2776</v>
      </c>
      <c r="Q32" s="486" t="s">
        <v>2998</v>
      </c>
      <c r="BB32" s="4" t="s">
        <v>40</v>
      </c>
      <c r="BC32" s="4" t="s">
        <v>252</v>
      </c>
      <c r="BD32" s="4" t="str">
        <f t="shared" si="1"/>
        <v>K:\16_EAU_WATER\01_PLAN\PGE 2022-2027\03 Rédaction\Version finale FR\PGE3_Axe2_FP_M2.5.docx</v>
      </c>
    </row>
    <row r="33" spans="1:56" ht="25.5" x14ac:dyDescent="0.25">
      <c r="A33" s="349" t="str">
        <f t="shared" si="0"/>
        <v>M 2.6</v>
      </c>
      <c r="B33" s="479" t="s">
        <v>2960</v>
      </c>
      <c r="C33" s="351">
        <v>2</v>
      </c>
      <c r="D33" s="351" t="s">
        <v>140</v>
      </c>
      <c r="E33" s="351" t="s">
        <v>143</v>
      </c>
      <c r="F33" s="351">
        <v>0</v>
      </c>
      <c r="G33" s="351">
        <v>0</v>
      </c>
      <c r="H33" s="351">
        <v>0</v>
      </c>
      <c r="I33" s="351"/>
      <c r="J33" s="351"/>
      <c r="K33" s="351">
        <v>0</v>
      </c>
      <c r="L33" s="351" t="s">
        <v>2882</v>
      </c>
      <c r="M33" s="351" t="s">
        <v>2224</v>
      </c>
      <c r="N33" s="440" t="s">
        <v>2932</v>
      </c>
      <c r="O33" s="351" t="s">
        <v>2878</v>
      </c>
      <c r="P33" s="351" t="s">
        <v>2776</v>
      </c>
      <c r="BB33" s="4" t="s">
        <v>42</v>
      </c>
      <c r="BC33" s="4" t="s">
        <v>253</v>
      </c>
      <c r="BD33" s="4" t="str">
        <f t="shared" si="1"/>
        <v>K:\16_EAU_WATER\01_PLAN\PGE 2022-2027\03 Rédaction\Version finale FR\PGE3_Axe2_FP_M2.6.docx</v>
      </c>
    </row>
    <row r="34" spans="1:56" ht="25.5" x14ac:dyDescent="0.25">
      <c r="A34" s="349" t="str">
        <f t="shared" si="0"/>
        <v>M 2.7</v>
      </c>
      <c r="B34" s="479" t="s">
        <v>186</v>
      </c>
      <c r="C34" s="351">
        <v>2</v>
      </c>
      <c r="D34" s="351" t="s">
        <v>140</v>
      </c>
      <c r="E34" s="351" t="s">
        <v>144</v>
      </c>
      <c r="F34" s="351">
        <v>0</v>
      </c>
      <c r="G34" s="351">
        <v>0</v>
      </c>
      <c r="H34" s="351">
        <v>0</v>
      </c>
      <c r="I34" s="351"/>
      <c r="J34" s="351"/>
      <c r="K34" s="351">
        <v>0</v>
      </c>
      <c r="L34" s="351" t="s">
        <v>2883</v>
      </c>
      <c r="M34" s="351" t="s">
        <v>2224</v>
      </c>
      <c r="N34" s="440" t="s">
        <v>2932</v>
      </c>
      <c r="O34" s="351" t="s">
        <v>2878</v>
      </c>
      <c r="P34" s="351" t="s">
        <v>2776</v>
      </c>
      <c r="BB34" s="4" t="s">
        <v>43</v>
      </c>
      <c r="BC34" s="4" t="s">
        <v>254</v>
      </c>
      <c r="BD34" s="4" t="str">
        <f t="shared" si="1"/>
        <v>K:\16_EAU_WATER\01_PLAN\PGE 2022-2027\03 Rédaction\Version finale FR\PGE3_Axe2_FP_M2.7.docx</v>
      </c>
    </row>
    <row r="35" spans="1:56" ht="25.5" x14ac:dyDescent="0.25">
      <c r="A35" s="349" t="str">
        <f t="shared" si="0"/>
        <v>M 2.8</v>
      </c>
      <c r="B35" s="479" t="s">
        <v>2961</v>
      </c>
      <c r="C35" s="351">
        <v>2</v>
      </c>
      <c r="D35" s="351" t="s">
        <v>140</v>
      </c>
      <c r="E35" s="351" t="s">
        <v>144</v>
      </c>
      <c r="F35" s="351">
        <v>0</v>
      </c>
      <c r="G35" s="351">
        <v>0</v>
      </c>
      <c r="H35" s="351">
        <v>0</v>
      </c>
      <c r="I35" s="351"/>
      <c r="J35" s="351"/>
      <c r="K35" s="351">
        <v>0</v>
      </c>
      <c r="L35" s="351"/>
      <c r="M35" s="351" t="s">
        <v>2224</v>
      </c>
      <c r="N35" s="440" t="s">
        <v>2915</v>
      </c>
      <c r="O35" s="351" t="s">
        <v>2876</v>
      </c>
      <c r="P35" s="351" t="s">
        <v>2776</v>
      </c>
      <c r="BB35" s="4" t="s">
        <v>44</v>
      </c>
      <c r="BC35" s="4" t="s">
        <v>255</v>
      </c>
      <c r="BD35" s="4" t="str">
        <f t="shared" si="1"/>
        <v>K:\16_EAU_WATER\01_PLAN\PGE 2022-2027\03 Rédaction\Version finale FR\PGE3_Axe2_FP_M2.8.docx</v>
      </c>
    </row>
    <row r="36" spans="1:56" ht="25.5" x14ac:dyDescent="0.25">
      <c r="A36" s="349" t="str">
        <f t="shared" si="0"/>
        <v>M 2.9</v>
      </c>
      <c r="B36" s="479" t="s">
        <v>2585</v>
      </c>
      <c r="C36" s="351">
        <v>2</v>
      </c>
      <c r="D36" s="351" t="s">
        <v>140</v>
      </c>
      <c r="E36" s="351" t="s">
        <v>144</v>
      </c>
      <c r="F36" s="351">
        <v>0</v>
      </c>
      <c r="G36" s="351">
        <v>0</v>
      </c>
      <c r="H36" s="351">
        <v>0</v>
      </c>
      <c r="I36" s="351"/>
      <c r="J36" s="351"/>
      <c r="K36" s="351">
        <v>0</v>
      </c>
      <c r="L36" s="351" t="s">
        <v>2883</v>
      </c>
      <c r="M36" s="351" t="s">
        <v>2224</v>
      </c>
      <c r="N36" s="440" t="s">
        <v>2932</v>
      </c>
      <c r="O36" s="351" t="s">
        <v>2880</v>
      </c>
      <c r="P36" s="351" t="s">
        <v>2776</v>
      </c>
      <c r="BB36" s="4" t="s">
        <v>45</v>
      </c>
      <c r="BC36" s="4" t="s">
        <v>256</v>
      </c>
      <c r="BD36" s="4" t="str">
        <f t="shared" si="1"/>
        <v>K:\16_EAU_WATER\01_PLAN\PGE 2022-2027\03 Rédaction\Version finale FR\PGE3_Axe2_FP_M2.9.docx</v>
      </c>
    </row>
    <row r="37" spans="1:56" ht="25.5" x14ac:dyDescent="0.25">
      <c r="A37" s="349" t="str">
        <f t="shared" si="0"/>
        <v>M 2.10</v>
      </c>
      <c r="B37" s="479" t="s">
        <v>361</v>
      </c>
      <c r="C37" s="351">
        <v>2</v>
      </c>
      <c r="D37" s="351" t="s">
        <v>145</v>
      </c>
      <c r="E37" s="351" t="s">
        <v>146</v>
      </c>
      <c r="F37" s="351">
        <v>0</v>
      </c>
      <c r="G37" s="351">
        <v>0</v>
      </c>
      <c r="H37" s="351">
        <v>0</v>
      </c>
      <c r="I37" s="351"/>
      <c r="J37" s="351"/>
      <c r="K37" s="351">
        <v>0</v>
      </c>
      <c r="L37" s="351" t="s">
        <v>1532</v>
      </c>
      <c r="M37" s="351" t="s">
        <v>2224</v>
      </c>
      <c r="N37" s="440" t="s">
        <v>2925</v>
      </c>
      <c r="O37" s="351" t="s">
        <v>2881</v>
      </c>
      <c r="P37" s="351" t="s">
        <v>2776</v>
      </c>
      <c r="BB37" s="4" t="s">
        <v>46</v>
      </c>
      <c r="BC37" s="4" t="s">
        <v>257</v>
      </c>
      <c r="BD37" s="4" t="str">
        <f t="shared" si="1"/>
        <v>K:\16_EAU_WATER\01_PLAN\PGE 2022-2027\03 Rédaction\Version finale FR\PGE3_Axe2_FP_M2.10.docx</v>
      </c>
    </row>
    <row r="38" spans="1:56" ht="25.5" x14ac:dyDescent="0.25">
      <c r="A38" s="349" t="str">
        <f t="shared" si="0"/>
        <v>M 2.11</v>
      </c>
      <c r="B38" s="479" t="s">
        <v>362</v>
      </c>
      <c r="C38" s="351">
        <v>2</v>
      </c>
      <c r="D38" s="351" t="s">
        <v>145</v>
      </c>
      <c r="E38" s="351" t="s">
        <v>146</v>
      </c>
      <c r="F38" s="351">
        <v>0</v>
      </c>
      <c r="G38" s="351">
        <v>0</v>
      </c>
      <c r="H38" s="351">
        <v>0</v>
      </c>
      <c r="I38" s="351"/>
      <c r="J38" s="351"/>
      <c r="K38" s="351">
        <v>0</v>
      </c>
      <c r="L38" s="351" t="s">
        <v>1532</v>
      </c>
      <c r="M38" s="351" t="s">
        <v>2224</v>
      </c>
      <c r="N38" s="351"/>
      <c r="O38" s="351" t="s">
        <v>2881</v>
      </c>
      <c r="P38" s="351" t="s">
        <v>2776</v>
      </c>
      <c r="Q38" s="486" t="s">
        <v>2997</v>
      </c>
      <c r="BB38" s="4" t="s">
        <v>47</v>
      </c>
      <c r="BC38" s="4" t="s">
        <v>258</v>
      </c>
      <c r="BD38" s="4" t="str">
        <f t="shared" si="1"/>
        <v>K:\16_EAU_WATER\01_PLAN\PGE 2022-2027\03 Rédaction\Version finale FR\PGE3_Axe2_FP_M2.11.docx</v>
      </c>
    </row>
    <row r="39" spans="1:56" ht="25.5" x14ac:dyDescent="0.25">
      <c r="A39" s="349" t="str">
        <f t="shared" si="0"/>
        <v>M 2.12</v>
      </c>
      <c r="B39" s="479" t="s">
        <v>363</v>
      </c>
      <c r="C39" s="351">
        <v>2</v>
      </c>
      <c r="D39" s="351" t="s">
        <v>145</v>
      </c>
      <c r="E39" s="351" t="s">
        <v>146</v>
      </c>
      <c r="F39" s="351">
        <v>0</v>
      </c>
      <c r="G39" s="351">
        <v>0</v>
      </c>
      <c r="H39" s="351">
        <v>0</v>
      </c>
      <c r="I39" s="351"/>
      <c r="J39" s="351"/>
      <c r="K39" s="351">
        <v>0</v>
      </c>
      <c r="L39" s="351" t="s">
        <v>1532</v>
      </c>
      <c r="M39" s="351" t="s">
        <v>2224</v>
      </c>
      <c r="N39" s="351"/>
      <c r="O39" s="351" t="s">
        <v>2872</v>
      </c>
      <c r="P39" s="351" t="s">
        <v>2776</v>
      </c>
      <c r="Q39" s="486" t="s">
        <v>2997</v>
      </c>
      <c r="BB39" s="4" t="s">
        <v>48</v>
      </c>
      <c r="BC39" s="4" t="s">
        <v>259</v>
      </c>
      <c r="BD39" s="4" t="str">
        <f t="shared" si="1"/>
        <v>K:\16_EAU_WATER\01_PLAN\PGE 2022-2027\03 Rédaction\Version finale FR\PGE3_Axe2_FP_M2.12.docx</v>
      </c>
    </row>
    <row r="40" spans="1:56" ht="25.5" x14ac:dyDescent="0.25">
      <c r="A40" s="349" t="str">
        <f t="shared" si="0"/>
        <v>M 2.13</v>
      </c>
      <c r="B40" s="479" t="s">
        <v>212</v>
      </c>
      <c r="C40" s="351">
        <v>2</v>
      </c>
      <c r="D40" s="351" t="s">
        <v>145</v>
      </c>
      <c r="E40" s="351" t="s">
        <v>146</v>
      </c>
      <c r="F40" s="351">
        <v>0</v>
      </c>
      <c r="G40" s="351" t="s">
        <v>54</v>
      </c>
      <c r="H40" s="351">
        <v>0</v>
      </c>
      <c r="I40" s="351"/>
      <c r="J40" s="351"/>
      <c r="K40" s="351">
        <v>0</v>
      </c>
      <c r="L40" s="351" t="s">
        <v>1532</v>
      </c>
      <c r="M40" s="351" t="s">
        <v>2224</v>
      </c>
      <c r="N40" s="351"/>
      <c r="O40" s="351" t="s">
        <v>2872</v>
      </c>
      <c r="P40" s="351" t="s">
        <v>2776</v>
      </c>
      <c r="Q40" s="486" t="s">
        <v>2997</v>
      </c>
      <c r="R40" s="4" t="s">
        <v>3001</v>
      </c>
      <c r="BB40" s="4" t="s">
        <v>49</v>
      </c>
      <c r="BC40" s="4" t="s">
        <v>260</v>
      </c>
      <c r="BD40" s="4" t="str">
        <f t="shared" si="1"/>
        <v>K:\16_EAU_WATER\01_PLAN\PGE 2022-2027\03 Rédaction\Version finale FR\PGE3_Axe2_FP_M2.13.docx</v>
      </c>
    </row>
    <row r="41" spans="1:56" ht="25.5" x14ac:dyDescent="0.25">
      <c r="A41" s="349" t="str">
        <f t="shared" si="0"/>
        <v>M 2.14</v>
      </c>
      <c r="B41" s="479" t="s">
        <v>364</v>
      </c>
      <c r="C41" s="351">
        <v>2</v>
      </c>
      <c r="D41" s="351" t="s">
        <v>145</v>
      </c>
      <c r="E41" s="351" t="s">
        <v>147</v>
      </c>
      <c r="F41" s="351">
        <v>0</v>
      </c>
      <c r="G41" s="351">
        <v>0</v>
      </c>
      <c r="H41" s="351">
        <v>0</v>
      </c>
      <c r="I41" s="351"/>
      <c r="J41" s="351"/>
      <c r="K41" s="351">
        <v>0</v>
      </c>
      <c r="L41" s="351"/>
      <c r="M41" s="351" t="s">
        <v>2224</v>
      </c>
      <c r="N41" s="351"/>
      <c r="O41" s="351" t="s">
        <v>2881</v>
      </c>
      <c r="P41" s="351" t="s">
        <v>2776</v>
      </c>
      <c r="Q41" s="488" t="s">
        <v>2997</v>
      </c>
      <c r="BB41" s="4" t="s">
        <v>50</v>
      </c>
      <c r="BC41" s="4" t="s">
        <v>261</v>
      </c>
      <c r="BD41" s="4" t="str">
        <f t="shared" si="1"/>
        <v>K:\16_EAU_WATER\01_PLAN\PGE 2022-2027\03 Rédaction\Version finale FR\PGE3_Axe2_FP_M2.14.docx</v>
      </c>
    </row>
    <row r="42" spans="1:56" ht="25.5" x14ac:dyDescent="0.25">
      <c r="A42" s="349" t="str">
        <f t="shared" si="0"/>
        <v>M 2.15</v>
      </c>
      <c r="B42" s="479" t="s">
        <v>213</v>
      </c>
      <c r="C42" s="351">
        <v>2</v>
      </c>
      <c r="D42" s="351" t="s">
        <v>145</v>
      </c>
      <c r="E42" s="351" t="s">
        <v>147</v>
      </c>
      <c r="F42" s="351">
        <v>0</v>
      </c>
      <c r="G42" s="351">
        <v>0</v>
      </c>
      <c r="H42" s="351">
        <v>0</v>
      </c>
      <c r="I42" s="351"/>
      <c r="J42" s="351"/>
      <c r="K42" s="351">
        <v>0</v>
      </c>
      <c r="L42" s="351" t="s">
        <v>1532</v>
      </c>
      <c r="M42" s="351" t="s">
        <v>2224</v>
      </c>
      <c r="N42" s="351"/>
      <c r="O42" s="351" t="s">
        <v>2881</v>
      </c>
      <c r="P42" s="351" t="s">
        <v>2776</v>
      </c>
      <c r="Q42" s="488" t="s">
        <v>2997</v>
      </c>
      <c r="BB42" s="4" t="s">
        <v>51</v>
      </c>
      <c r="BC42" s="4" t="s">
        <v>262</v>
      </c>
      <c r="BD42" s="4" t="str">
        <f t="shared" si="1"/>
        <v>K:\16_EAU_WATER\01_PLAN\PGE 2022-2027\03 Rédaction\Version finale FR\PGE3_Axe2_FP_M2.15.docx</v>
      </c>
    </row>
    <row r="43" spans="1:56" ht="25.5" x14ac:dyDescent="0.25">
      <c r="A43" s="349" t="str">
        <f t="shared" si="0"/>
        <v>M 3.1</v>
      </c>
      <c r="B43" s="479" t="s">
        <v>239</v>
      </c>
      <c r="C43" s="351">
        <v>3</v>
      </c>
      <c r="D43" s="351" t="s">
        <v>148</v>
      </c>
      <c r="E43" s="351" t="s">
        <v>149</v>
      </c>
      <c r="F43" s="351">
        <v>0</v>
      </c>
      <c r="G43" s="351">
        <v>0</v>
      </c>
      <c r="H43" s="351">
        <v>0</v>
      </c>
      <c r="I43" s="351"/>
      <c r="J43" s="351"/>
      <c r="K43" s="351">
        <v>0</v>
      </c>
      <c r="L43" s="351" t="s">
        <v>1532</v>
      </c>
      <c r="M43" s="351" t="s">
        <v>2224</v>
      </c>
      <c r="N43" s="440" t="s">
        <v>2924</v>
      </c>
      <c r="O43" s="351" t="s">
        <v>2872</v>
      </c>
      <c r="P43" s="351" t="s">
        <v>2776</v>
      </c>
      <c r="BB43" s="4" t="s">
        <v>61</v>
      </c>
      <c r="BC43" s="4" t="s">
        <v>263</v>
      </c>
      <c r="BD43" s="4" t="str">
        <f t="shared" si="1"/>
        <v>K:\16_EAU_WATER\01_PLAN\PGE 2022-2027\03 Rédaction\Version finale FR\PGE3_Axe3_FP_M3.1.docx</v>
      </c>
    </row>
    <row r="44" spans="1:56" ht="25.5" x14ac:dyDescent="0.25">
      <c r="A44" s="349" t="str">
        <f t="shared" si="0"/>
        <v>M 3.2</v>
      </c>
      <c r="B44" s="479" t="s">
        <v>240</v>
      </c>
      <c r="C44" s="351">
        <v>3</v>
      </c>
      <c r="D44" s="351" t="s">
        <v>148</v>
      </c>
      <c r="E44" s="351" t="s">
        <v>149</v>
      </c>
      <c r="F44" s="351">
        <v>0</v>
      </c>
      <c r="G44" s="351">
        <v>0</v>
      </c>
      <c r="H44" s="351">
        <v>0</v>
      </c>
      <c r="I44" s="351"/>
      <c r="J44" s="351"/>
      <c r="K44" s="351">
        <v>0</v>
      </c>
      <c r="L44" s="351" t="s">
        <v>1532</v>
      </c>
      <c r="M44" s="351" t="s">
        <v>2224</v>
      </c>
      <c r="N44" s="440" t="s">
        <v>2924</v>
      </c>
      <c r="O44" s="351" t="s">
        <v>2872</v>
      </c>
      <c r="P44" s="351" t="s">
        <v>2776</v>
      </c>
      <c r="BB44" s="4" t="s">
        <v>62</v>
      </c>
      <c r="BC44" s="4" t="s">
        <v>264</v>
      </c>
      <c r="BD44" s="4" t="str">
        <f t="shared" si="1"/>
        <v>K:\16_EAU_WATER\01_PLAN\PGE 2022-2027\03 Rédaction\Version finale FR\PGE3_Axe3_FP_M3.2.docx</v>
      </c>
    </row>
    <row r="45" spans="1:56" ht="25.5" x14ac:dyDescent="0.25">
      <c r="A45" s="349" t="str">
        <f t="shared" si="0"/>
        <v>M 3.3</v>
      </c>
      <c r="B45" s="479" t="s">
        <v>2615</v>
      </c>
      <c r="C45" s="351">
        <v>3</v>
      </c>
      <c r="D45" s="351" t="s">
        <v>148</v>
      </c>
      <c r="E45" s="351" t="s">
        <v>150</v>
      </c>
      <c r="F45" s="351">
        <v>0</v>
      </c>
      <c r="G45" s="351">
        <v>0</v>
      </c>
      <c r="H45" s="351">
        <v>0</v>
      </c>
      <c r="I45" s="351"/>
      <c r="J45" s="351"/>
      <c r="K45" s="351">
        <v>0</v>
      </c>
      <c r="L45" s="351" t="s">
        <v>2882</v>
      </c>
      <c r="M45" s="351" t="s">
        <v>2224</v>
      </c>
      <c r="N45" s="351" t="s">
        <v>2913</v>
      </c>
      <c r="O45" s="351" t="s">
        <v>2867</v>
      </c>
      <c r="P45" s="351" t="s">
        <v>2776</v>
      </c>
      <c r="BB45" s="4" t="s">
        <v>63</v>
      </c>
      <c r="BC45" s="4" t="s">
        <v>265</v>
      </c>
      <c r="BD45" s="4" t="str">
        <f t="shared" si="1"/>
        <v>K:\16_EAU_WATER\01_PLAN\PGE 2022-2027\03 Rédaction\Version finale FR\PGE3_Axe3_FP_M3.3.docx</v>
      </c>
    </row>
    <row r="46" spans="1:56" ht="38.25" x14ac:dyDescent="0.25">
      <c r="A46" s="349" t="str">
        <f t="shared" si="0"/>
        <v>M 3.4</v>
      </c>
      <c r="B46" s="479" t="s">
        <v>2616</v>
      </c>
      <c r="C46" s="351">
        <v>3</v>
      </c>
      <c r="D46" s="351" t="s">
        <v>148</v>
      </c>
      <c r="E46" s="351" t="s">
        <v>151</v>
      </c>
      <c r="F46" s="351">
        <v>0</v>
      </c>
      <c r="G46" s="351">
        <v>0</v>
      </c>
      <c r="H46" s="351">
        <v>0</v>
      </c>
      <c r="I46" s="351"/>
      <c r="J46" s="351"/>
      <c r="K46" s="351">
        <v>0</v>
      </c>
      <c r="L46" s="351" t="s">
        <v>1532</v>
      </c>
      <c r="M46" s="351" t="s">
        <v>2224</v>
      </c>
      <c r="N46" s="440" t="s">
        <v>2925</v>
      </c>
      <c r="O46" s="351" t="s">
        <v>2869</v>
      </c>
      <c r="P46" s="351"/>
      <c r="BB46" s="4" t="s">
        <v>64</v>
      </c>
      <c r="BC46" s="4" t="s">
        <v>266</v>
      </c>
      <c r="BD46" s="4" t="str">
        <f t="shared" si="1"/>
        <v>K:\16_EAU_WATER\01_PLAN\PGE 2022-2027\03 Rédaction\Version finale FR\PGE3_Axe3_FP_M3.4.docx</v>
      </c>
    </row>
    <row r="47" spans="1:56" ht="25.5" x14ac:dyDescent="0.25">
      <c r="A47" s="349" t="str">
        <f t="shared" si="0"/>
        <v>M 3.5</v>
      </c>
      <c r="B47" s="479" t="s">
        <v>3038</v>
      </c>
      <c r="C47" s="351">
        <v>3</v>
      </c>
      <c r="D47" s="351" t="s">
        <v>148</v>
      </c>
      <c r="E47" s="351" t="s">
        <v>152</v>
      </c>
      <c r="F47" s="351">
        <v>0</v>
      </c>
      <c r="G47" s="351">
        <v>0</v>
      </c>
      <c r="H47" s="351">
        <v>0</v>
      </c>
      <c r="I47" s="351"/>
      <c r="J47" s="351"/>
      <c r="K47" s="351">
        <v>0</v>
      </c>
      <c r="L47" s="351" t="s">
        <v>1532</v>
      </c>
      <c r="M47" s="351" t="s">
        <v>2224</v>
      </c>
      <c r="N47" s="440" t="s">
        <v>2912</v>
      </c>
      <c r="O47" s="351" t="s">
        <v>2866</v>
      </c>
      <c r="P47" s="351" t="s">
        <v>2777</v>
      </c>
      <c r="BB47" s="4" t="s">
        <v>65</v>
      </c>
      <c r="BC47" s="4" t="s">
        <v>267</v>
      </c>
      <c r="BD47" s="4" t="str">
        <f t="shared" si="1"/>
        <v>K:\16_EAU_WATER\01_PLAN\PGE 2022-2027\03 Rédaction\Version finale FR\PGE3_Axe3_FP_M3.5.docx</v>
      </c>
    </row>
    <row r="48" spans="1:56" ht="25.5" x14ac:dyDescent="0.25">
      <c r="A48" s="349" t="str">
        <f t="shared" si="0"/>
        <v>M 3.6</v>
      </c>
      <c r="B48" s="479" t="s">
        <v>2974</v>
      </c>
      <c r="C48" s="351">
        <v>3</v>
      </c>
      <c r="D48" s="351" t="s">
        <v>148</v>
      </c>
      <c r="E48" s="351" t="s">
        <v>153</v>
      </c>
      <c r="F48" s="351">
        <v>0</v>
      </c>
      <c r="G48" s="351">
        <v>0</v>
      </c>
      <c r="H48" s="351">
        <v>0</v>
      </c>
      <c r="I48" s="351"/>
      <c r="J48" s="351"/>
      <c r="K48" s="351">
        <v>0</v>
      </c>
      <c r="L48" s="351" t="s">
        <v>2883</v>
      </c>
      <c r="M48" s="351" t="s">
        <v>2224</v>
      </c>
      <c r="N48" s="440" t="s">
        <v>2932</v>
      </c>
      <c r="O48" s="351" t="s">
        <v>2881</v>
      </c>
      <c r="P48" s="351"/>
      <c r="BB48" s="4" t="s">
        <v>66</v>
      </c>
      <c r="BC48" s="4" t="s">
        <v>268</v>
      </c>
      <c r="BD48" s="4" t="str">
        <f t="shared" si="1"/>
        <v>K:\16_EAU_WATER\01_PLAN\PGE 2022-2027\03 Rédaction\Version finale FR\PGE3_Axe3_FP_M3.6.docx</v>
      </c>
    </row>
    <row r="49" spans="1:56" ht="25.5" x14ac:dyDescent="0.25">
      <c r="A49" s="349" t="str">
        <f t="shared" si="0"/>
        <v>M 3.7</v>
      </c>
      <c r="B49" s="479" t="s">
        <v>365</v>
      </c>
      <c r="C49" s="351">
        <v>3</v>
      </c>
      <c r="D49" s="351" t="s">
        <v>154</v>
      </c>
      <c r="E49" s="351" t="s">
        <v>155</v>
      </c>
      <c r="F49" s="351">
        <v>0</v>
      </c>
      <c r="G49" s="351">
        <v>0</v>
      </c>
      <c r="H49" s="351">
        <v>0</v>
      </c>
      <c r="I49" s="351"/>
      <c r="J49" s="351"/>
      <c r="K49" s="351" t="s">
        <v>54</v>
      </c>
      <c r="L49" s="351" t="s">
        <v>1532</v>
      </c>
      <c r="M49" s="351" t="s">
        <v>2224</v>
      </c>
      <c r="N49" s="351"/>
      <c r="O49" s="351" t="s">
        <v>2881</v>
      </c>
      <c r="P49" s="351" t="s">
        <v>2777</v>
      </c>
      <c r="Q49" s="486" t="s">
        <v>2997</v>
      </c>
      <c r="BB49" s="4" t="s">
        <v>67</v>
      </c>
      <c r="BC49" s="4" t="s">
        <v>269</v>
      </c>
      <c r="BD49" s="4" t="str">
        <f t="shared" si="1"/>
        <v>K:\16_EAU_WATER\01_PLAN\PGE 2022-2027\03 Rédaction\Version finale FR\PGE3_Axe3_FP_M3.7.docx</v>
      </c>
    </row>
    <row r="50" spans="1:56" ht="25.5" x14ac:dyDescent="0.25">
      <c r="A50" s="349" t="str">
        <f t="shared" si="0"/>
        <v>M 4.1</v>
      </c>
      <c r="B50" s="479" t="s">
        <v>244</v>
      </c>
      <c r="C50" s="351">
        <v>4</v>
      </c>
      <c r="D50" s="351" t="s">
        <v>156</v>
      </c>
      <c r="E50" s="351" t="s">
        <v>155</v>
      </c>
      <c r="F50" s="351">
        <v>0</v>
      </c>
      <c r="G50" s="351">
        <v>0</v>
      </c>
      <c r="H50" s="351">
        <v>0</v>
      </c>
      <c r="I50" s="351"/>
      <c r="J50" s="351"/>
      <c r="K50" s="351">
        <v>0</v>
      </c>
      <c r="L50" s="351" t="s">
        <v>1532</v>
      </c>
      <c r="M50" s="351" t="s">
        <v>2224</v>
      </c>
      <c r="N50" s="440" t="s">
        <v>2921</v>
      </c>
      <c r="O50" s="351" t="s">
        <v>2870</v>
      </c>
      <c r="P50" s="351"/>
      <c r="BB50" s="4" t="s">
        <v>68</v>
      </c>
      <c r="BC50" s="4" t="s">
        <v>270</v>
      </c>
      <c r="BD50" s="4" t="str">
        <f t="shared" si="1"/>
        <v>K:\16_EAU_WATER\01_PLAN\PGE 2022-2027\03 Rédaction\Version finale FR\PGE3_Axe4_FP_M4.1.docx</v>
      </c>
    </row>
    <row r="51" spans="1:56" ht="25.5" x14ac:dyDescent="0.25">
      <c r="A51" s="349" t="str">
        <f t="shared" si="0"/>
        <v>M 4.2</v>
      </c>
      <c r="B51" s="479" t="s">
        <v>3008</v>
      </c>
      <c r="C51" s="351">
        <v>4</v>
      </c>
      <c r="D51" s="351" t="s">
        <v>156</v>
      </c>
      <c r="E51" s="351" t="s">
        <v>155</v>
      </c>
      <c r="F51" s="351">
        <v>0</v>
      </c>
      <c r="G51" s="351">
        <v>0</v>
      </c>
      <c r="H51" s="351">
        <v>0</v>
      </c>
      <c r="I51" s="351"/>
      <c r="J51" s="351"/>
      <c r="K51" s="351">
        <v>0</v>
      </c>
      <c r="L51" s="351" t="s">
        <v>1532</v>
      </c>
      <c r="M51" s="351" t="s">
        <v>2224</v>
      </c>
      <c r="N51" s="440" t="s">
        <v>2920</v>
      </c>
      <c r="O51" s="351" t="s">
        <v>2870</v>
      </c>
      <c r="P51" s="351"/>
      <c r="Q51" s="485" t="s">
        <v>2999</v>
      </c>
      <c r="BB51" s="4" t="s">
        <v>69</v>
      </c>
      <c r="BC51" s="4" t="s">
        <v>271</v>
      </c>
      <c r="BD51" s="4" t="str">
        <f t="shared" si="1"/>
        <v>K:\16_EAU_WATER\01_PLAN\PGE 2022-2027\03 Rédaction\Version finale FR\PGE3_Axe4_FP_M4.2.docx</v>
      </c>
    </row>
    <row r="52" spans="1:56" ht="25.5" x14ac:dyDescent="0.25">
      <c r="A52" s="349" t="str">
        <f t="shared" si="0"/>
        <v>M 4.3</v>
      </c>
      <c r="B52" s="479" t="s">
        <v>243</v>
      </c>
      <c r="C52" s="351">
        <v>4</v>
      </c>
      <c r="D52" s="351" t="s">
        <v>156</v>
      </c>
      <c r="E52" s="351" t="s">
        <v>155</v>
      </c>
      <c r="F52" s="351">
        <v>0</v>
      </c>
      <c r="G52" s="351">
        <v>0</v>
      </c>
      <c r="H52" s="351">
        <v>0</v>
      </c>
      <c r="I52" s="351"/>
      <c r="J52" s="351"/>
      <c r="K52" s="351" t="s">
        <v>54</v>
      </c>
      <c r="L52" s="351" t="s">
        <v>1532</v>
      </c>
      <c r="M52" s="351" t="s">
        <v>2224</v>
      </c>
      <c r="N52" s="440" t="s">
        <v>2920</v>
      </c>
      <c r="O52" s="351" t="s">
        <v>2870</v>
      </c>
      <c r="P52" s="351"/>
      <c r="Q52" s="485" t="s">
        <v>2999</v>
      </c>
      <c r="BB52" s="4" t="s">
        <v>70</v>
      </c>
      <c r="BC52" s="4" t="s">
        <v>272</v>
      </c>
      <c r="BD52" s="4" t="str">
        <f t="shared" si="1"/>
        <v>K:\16_EAU_WATER\01_PLAN\PGE 2022-2027\03 Rédaction\Version finale FR\PGE3_Axe4_FP_M4.3.docx</v>
      </c>
    </row>
    <row r="53" spans="1:56" ht="25.5" x14ac:dyDescent="0.25">
      <c r="A53" s="349" t="str">
        <f t="shared" si="0"/>
        <v>M 4.4</v>
      </c>
      <c r="B53" s="479" t="s">
        <v>242</v>
      </c>
      <c r="C53" s="351">
        <v>4</v>
      </c>
      <c r="D53" s="351" t="s">
        <v>157</v>
      </c>
      <c r="E53" s="351" t="s">
        <v>155</v>
      </c>
      <c r="F53" s="351">
        <v>0</v>
      </c>
      <c r="G53" s="351">
        <v>0</v>
      </c>
      <c r="H53" s="351">
        <v>0</v>
      </c>
      <c r="I53" s="351"/>
      <c r="J53" s="351"/>
      <c r="K53" s="351" t="s">
        <v>54</v>
      </c>
      <c r="L53" s="351" t="s">
        <v>2883</v>
      </c>
      <c r="M53" s="351" t="s">
        <v>2224</v>
      </c>
      <c r="N53" s="440" t="s">
        <v>2920</v>
      </c>
      <c r="O53" s="351" t="s">
        <v>2870</v>
      </c>
      <c r="P53" s="351"/>
      <c r="BB53" s="4" t="s">
        <v>71</v>
      </c>
      <c r="BC53" s="4" t="s">
        <v>273</v>
      </c>
      <c r="BD53" s="4" t="str">
        <f t="shared" si="1"/>
        <v>K:\16_EAU_WATER\01_PLAN\PGE 2022-2027\03 Rédaction\Version finale FR\PGE3_Axe4_FP_M4.4.docx</v>
      </c>
    </row>
    <row r="54" spans="1:56" ht="30" x14ac:dyDescent="0.25">
      <c r="A54" s="349" t="str">
        <f t="shared" si="0"/>
        <v>M 4.5</v>
      </c>
      <c r="B54" s="479" t="s">
        <v>247</v>
      </c>
      <c r="C54" s="351">
        <v>4</v>
      </c>
      <c r="D54" s="351" t="s">
        <v>157</v>
      </c>
      <c r="E54" s="351" t="s">
        <v>155</v>
      </c>
      <c r="F54" s="351">
        <v>0</v>
      </c>
      <c r="G54" s="351">
        <v>0</v>
      </c>
      <c r="H54" s="351">
        <v>0</v>
      </c>
      <c r="I54" s="351"/>
      <c r="J54" s="351"/>
      <c r="K54" s="351">
        <v>0</v>
      </c>
      <c r="L54" s="351" t="s">
        <v>2883</v>
      </c>
      <c r="M54" s="351" t="s">
        <v>2742</v>
      </c>
      <c r="N54" s="351"/>
      <c r="O54" s="351"/>
      <c r="P54" s="351"/>
      <c r="Q54" s="6" t="s">
        <v>2997</v>
      </c>
      <c r="BB54" s="4" t="s">
        <v>72</v>
      </c>
      <c r="BC54" s="4" t="s">
        <v>274</v>
      </c>
      <c r="BD54" s="4" t="str">
        <f t="shared" si="1"/>
        <v>K:\16_EAU_WATER\01_PLAN\PGE 2022-2027\03 Rédaction\Version finale FR\PGE3_Axe4_FP_M4.5.docx</v>
      </c>
    </row>
    <row r="55" spans="1:56" x14ac:dyDescent="0.25">
      <c r="A55" s="349" t="str">
        <f t="shared" si="0"/>
        <v>M 4.6</v>
      </c>
      <c r="B55" s="479" t="s">
        <v>246</v>
      </c>
      <c r="C55" s="351">
        <v>4</v>
      </c>
      <c r="D55" s="351" t="s">
        <v>157</v>
      </c>
      <c r="E55" s="351" t="s">
        <v>155</v>
      </c>
      <c r="F55" s="351">
        <v>0</v>
      </c>
      <c r="G55" s="351">
        <v>0</v>
      </c>
      <c r="H55" s="351">
        <v>0</v>
      </c>
      <c r="I55" s="351"/>
      <c r="J55" s="351"/>
      <c r="K55" s="351" t="s">
        <v>54</v>
      </c>
      <c r="L55" s="351" t="s">
        <v>2883</v>
      </c>
      <c r="M55" s="351" t="s">
        <v>2742</v>
      </c>
      <c r="N55" s="351"/>
      <c r="O55" s="351"/>
      <c r="P55" s="351"/>
      <c r="Q55" t="s">
        <v>2997</v>
      </c>
      <c r="BB55" s="4" t="s">
        <v>73</v>
      </c>
      <c r="BC55" s="4" t="s">
        <v>275</v>
      </c>
      <c r="BD55" s="4" t="str">
        <f t="shared" si="1"/>
        <v>K:\16_EAU_WATER\01_PLAN\PGE 2022-2027\03 Rédaction\Version finale FR\PGE3_Axe4_FP_M4.6.docx</v>
      </c>
    </row>
    <row r="56" spans="1:56" x14ac:dyDescent="0.25">
      <c r="A56" s="349" t="str">
        <f t="shared" si="0"/>
        <v>M 4.7</v>
      </c>
      <c r="B56" s="479" t="s">
        <v>245</v>
      </c>
      <c r="C56" s="351">
        <v>4</v>
      </c>
      <c r="D56" s="351" t="s">
        <v>157</v>
      </c>
      <c r="E56" s="351" t="s">
        <v>155</v>
      </c>
      <c r="F56" s="351">
        <v>0</v>
      </c>
      <c r="G56" s="351">
        <v>0</v>
      </c>
      <c r="H56" s="351">
        <v>0</v>
      </c>
      <c r="I56" s="351"/>
      <c r="J56" s="351"/>
      <c r="K56" s="351" t="s">
        <v>54</v>
      </c>
      <c r="L56" s="351" t="s">
        <v>2883</v>
      </c>
      <c r="M56" s="351" t="s">
        <v>2742</v>
      </c>
      <c r="N56" s="351"/>
      <c r="O56" s="351"/>
      <c r="P56" s="351"/>
      <c r="Q56" t="s">
        <v>2997</v>
      </c>
      <c r="BB56" s="4" t="s">
        <v>74</v>
      </c>
      <c r="BC56" s="4" t="s">
        <v>276</v>
      </c>
      <c r="BD56" s="4" t="str">
        <f t="shared" si="1"/>
        <v>K:\16_EAU_WATER\01_PLAN\PGE 2022-2027\03 Rédaction\Version finale FR\PGE3_Axe4_FP_M4.7.docx</v>
      </c>
    </row>
    <row r="57" spans="1:56" x14ac:dyDescent="0.25">
      <c r="A57" s="349" t="str">
        <f t="shared" si="0"/>
        <v>M 4.8</v>
      </c>
      <c r="B57" s="479" t="s">
        <v>366</v>
      </c>
      <c r="C57" s="351">
        <v>4</v>
      </c>
      <c r="D57" s="351" t="s">
        <v>157</v>
      </c>
      <c r="E57" s="351" t="s">
        <v>155</v>
      </c>
      <c r="F57" s="351">
        <v>0</v>
      </c>
      <c r="G57" s="351" t="s">
        <v>54</v>
      </c>
      <c r="H57" s="351">
        <v>0</v>
      </c>
      <c r="I57" s="351"/>
      <c r="J57" s="351"/>
      <c r="K57" s="351" t="s">
        <v>54</v>
      </c>
      <c r="L57" s="351" t="s">
        <v>2883</v>
      </c>
      <c r="M57" s="351" t="s">
        <v>2742</v>
      </c>
      <c r="N57" s="351"/>
      <c r="O57" s="351"/>
      <c r="P57" s="351"/>
      <c r="Q57" t="s">
        <v>2997</v>
      </c>
      <c r="BB57" s="4" t="s">
        <v>75</v>
      </c>
      <c r="BC57" s="4" t="s">
        <v>277</v>
      </c>
      <c r="BD57" s="4" t="str">
        <f t="shared" si="1"/>
        <v>K:\16_EAU_WATER\01_PLAN\PGE 2022-2027\03 Rédaction\Version finale FR\PGE3_Axe4_FP_M4.8.docx</v>
      </c>
    </row>
    <row r="58" spans="1:56" ht="51" x14ac:dyDescent="0.25">
      <c r="A58" s="349" t="str">
        <f t="shared" si="0"/>
        <v>M 5.1</v>
      </c>
      <c r="B58" s="479" t="s">
        <v>278</v>
      </c>
      <c r="C58" s="351">
        <v>5</v>
      </c>
      <c r="D58" s="351" t="s">
        <v>108</v>
      </c>
      <c r="E58" s="351" t="s">
        <v>158</v>
      </c>
      <c r="F58" s="351">
        <v>1</v>
      </c>
      <c r="G58" s="351">
        <v>0</v>
      </c>
      <c r="H58" s="351" t="s">
        <v>54</v>
      </c>
      <c r="I58" s="351"/>
      <c r="J58" s="351"/>
      <c r="K58" s="351" t="s">
        <v>54</v>
      </c>
      <c r="L58" s="351" t="s">
        <v>1532</v>
      </c>
      <c r="M58" s="351" t="s">
        <v>2224</v>
      </c>
      <c r="N58" s="351" t="s">
        <v>2935</v>
      </c>
      <c r="O58" s="351" t="s">
        <v>2881</v>
      </c>
      <c r="P58" s="351"/>
      <c r="Q58" s="486" t="s">
        <v>3002</v>
      </c>
      <c r="BB58" s="4" t="s">
        <v>76</v>
      </c>
      <c r="BC58" s="4" t="s">
        <v>283</v>
      </c>
      <c r="BD58" s="4" t="str">
        <f t="shared" si="1"/>
        <v>K:\16_EAU_WATER\01_PLAN\PGE 2022-2027\03 Rédaction\Version finale FR\PGE3_Axe5_FP_M5.1.docx</v>
      </c>
    </row>
    <row r="59" spans="1:56" x14ac:dyDescent="0.25">
      <c r="A59" s="349" t="str">
        <f t="shared" si="0"/>
        <v>M 5.2</v>
      </c>
      <c r="B59" s="479" t="s">
        <v>2962</v>
      </c>
      <c r="C59" s="351">
        <v>5</v>
      </c>
      <c r="D59" s="351" t="s">
        <v>108</v>
      </c>
      <c r="E59" s="351" t="s">
        <v>158</v>
      </c>
      <c r="F59" s="351">
        <v>3</v>
      </c>
      <c r="G59" s="351">
        <v>0</v>
      </c>
      <c r="H59" s="351" t="s">
        <v>54</v>
      </c>
      <c r="I59" s="351"/>
      <c r="J59" s="351"/>
      <c r="K59" s="351">
        <v>0</v>
      </c>
      <c r="L59" s="351" t="s">
        <v>2882</v>
      </c>
      <c r="M59" s="351" t="s">
        <v>2224</v>
      </c>
      <c r="N59" s="351" t="s">
        <v>2935</v>
      </c>
      <c r="O59" s="351" t="s">
        <v>2881</v>
      </c>
      <c r="P59" s="351"/>
      <c r="BB59" s="4" t="s">
        <v>77</v>
      </c>
      <c r="BC59" s="4" t="s">
        <v>284</v>
      </c>
      <c r="BD59" s="4" t="str">
        <f t="shared" si="1"/>
        <v>K:\16_EAU_WATER\01_PLAN\PGE 2022-2027\03 Rédaction\Version finale FR\PGE3_Axe5_FP_M5.2.docx</v>
      </c>
    </row>
    <row r="60" spans="1:56" x14ac:dyDescent="0.25">
      <c r="A60" s="349" t="str">
        <f t="shared" si="0"/>
        <v>M 5.3</v>
      </c>
      <c r="B60" s="479" t="s">
        <v>367</v>
      </c>
      <c r="C60" s="351">
        <v>5</v>
      </c>
      <c r="D60" s="351" t="s">
        <v>108</v>
      </c>
      <c r="E60" s="351" t="s">
        <v>158</v>
      </c>
      <c r="F60" s="351">
        <v>1</v>
      </c>
      <c r="G60" s="351">
        <v>0</v>
      </c>
      <c r="H60" s="351" t="s">
        <v>54</v>
      </c>
      <c r="I60" s="351"/>
      <c r="J60" s="351"/>
      <c r="K60" s="351" t="s">
        <v>54</v>
      </c>
      <c r="L60" s="351" t="s">
        <v>2882</v>
      </c>
      <c r="M60" s="351" t="s">
        <v>2224</v>
      </c>
      <c r="N60" s="351" t="s">
        <v>2935</v>
      </c>
      <c r="O60" s="351" t="s">
        <v>2881</v>
      </c>
      <c r="P60" s="351"/>
      <c r="BB60" s="4" t="s">
        <v>78</v>
      </c>
      <c r="BC60" s="4" t="s">
        <v>285</v>
      </c>
      <c r="BD60" s="4" t="str">
        <f t="shared" si="1"/>
        <v>K:\16_EAU_WATER\01_PLAN\PGE 2022-2027\03 Rédaction\Version finale FR\PGE3_Axe5_FP_M5.3.docx</v>
      </c>
    </row>
    <row r="61" spans="1:56" ht="25.5" x14ac:dyDescent="0.25">
      <c r="A61" s="349" t="str">
        <f t="shared" si="0"/>
        <v>M 5.4</v>
      </c>
      <c r="B61" s="479" t="s">
        <v>360</v>
      </c>
      <c r="C61" s="351">
        <v>5</v>
      </c>
      <c r="D61" s="351" t="s">
        <v>108</v>
      </c>
      <c r="E61" s="351" t="s">
        <v>109</v>
      </c>
      <c r="F61" s="351">
        <v>1</v>
      </c>
      <c r="G61" s="351" t="s">
        <v>54</v>
      </c>
      <c r="H61" s="351" t="s">
        <v>54</v>
      </c>
      <c r="I61" s="351"/>
      <c r="J61" s="351"/>
      <c r="K61" s="351" t="s">
        <v>54</v>
      </c>
      <c r="L61" s="351" t="s">
        <v>1532</v>
      </c>
      <c r="M61" s="351" t="s">
        <v>2224</v>
      </c>
      <c r="N61" s="351" t="s">
        <v>2935</v>
      </c>
      <c r="O61" s="351" t="s">
        <v>2881</v>
      </c>
      <c r="P61" s="351"/>
      <c r="BB61" s="4" t="s">
        <v>79</v>
      </c>
      <c r="BC61" s="4" t="s">
        <v>286</v>
      </c>
      <c r="BD61" s="4" t="str">
        <f t="shared" si="1"/>
        <v>K:\16_EAU_WATER\01_PLAN\PGE 2022-2027\03 Rédaction\Version finale FR\PGE3_Axe5_FP_M5.4.docx</v>
      </c>
    </row>
    <row r="62" spans="1:56" x14ac:dyDescent="0.25">
      <c r="A62" s="349" t="str">
        <f t="shared" si="0"/>
        <v>M 5.5</v>
      </c>
      <c r="B62" s="479" t="s">
        <v>279</v>
      </c>
      <c r="C62" s="351">
        <v>5</v>
      </c>
      <c r="D62" s="351" t="s">
        <v>108</v>
      </c>
      <c r="E62" s="351" t="s">
        <v>109</v>
      </c>
      <c r="F62" s="351">
        <v>3</v>
      </c>
      <c r="G62" s="351">
        <v>0</v>
      </c>
      <c r="H62" s="351" t="s">
        <v>54</v>
      </c>
      <c r="I62" s="351"/>
      <c r="J62" s="351"/>
      <c r="K62" s="351" t="s">
        <v>54</v>
      </c>
      <c r="L62" s="351" t="s">
        <v>2883</v>
      </c>
      <c r="M62" s="351" t="s">
        <v>2224</v>
      </c>
      <c r="N62" s="351" t="s">
        <v>2935</v>
      </c>
      <c r="O62" s="351" t="s">
        <v>2881</v>
      </c>
      <c r="P62" s="351"/>
      <c r="BB62" s="4" t="s">
        <v>80</v>
      </c>
      <c r="BC62" s="4" t="s">
        <v>287</v>
      </c>
      <c r="BD62" s="4" t="str">
        <f t="shared" si="1"/>
        <v>K:\16_EAU_WATER\01_PLAN\PGE 2022-2027\03 Rédaction\Version finale FR\PGE3_Axe5_FP_M5.5.docx</v>
      </c>
    </row>
    <row r="63" spans="1:56" ht="25.5" x14ac:dyDescent="0.25">
      <c r="A63" s="349" t="str">
        <f t="shared" si="0"/>
        <v>M 5.6</v>
      </c>
      <c r="B63" s="479" t="s">
        <v>2618</v>
      </c>
      <c r="C63" s="351">
        <v>5</v>
      </c>
      <c r="D63" s="351" t="s">
        <v>108</v>
      </c>
      <c r="E63" s="351" t="s">
        <v>109</v>
      </c>
      <c r="F63" s="351">
        <v>1</v>
      </c>
      <c r="G63" s="351">
        <v>0</v>
      </c>
      <c r="H63" s="351" t="s">
        <v>54</v>
      </c>
      <c r="I63" s="351"/>
      <c r="J63" s="351"/>
      <c r="K63" s="351" t="s">
        <v>54</v>
      </c>
      <c r="L63" s="351" t="s">
        <v>1532</v>
      </c>
      <c r="M63" s="351" t="s">
        <v>2224</v>
      </c>
      <c r="N63" s="351" t="s">
        <v>2935</v>
      </c>
      <c r="O63" s="351" t="s">
        <v>2881</v>
      </c>
      <c r="P63" s="351"/>
      <c r="BB63" s="4" t="s">
        <v>81</v>
      </c>
      <c r="BC63" s="4" t="s">
        <v>288</v>
      </c>
      <c r="BD63" s="4" t="str">
        <f t="shared" si="1"/>
        <v>K:\16_EAU_WATER\01_PLAN\PGE 2022-2027\03 Rédaction\Version finale FR\PGE3_Axe5_FP_M5.6.docx</v>
      </c>
    </row>
    <row r="64" spans="1:56" ht="25.5" x14ac:dyDescent="0.25">
      <c r="A64" s="349" t="str">
        <f t="shared" si="0"/>
        <v>M 5.7</v>
      </c>
      <c r="B64" s="479" t="s">
        <v>280</v>
      </c>
      <c r="C64" s="351">
        <v>5</v>
      </c>
      <c r="D64" s="351" t="s">
        <v>159</v>
      </c>
      <c r="E64" s="351" t="s">
        <v>160</v>
      </c>
      <c r="F64" s="351">
        <v>2</v>
      </c>
      <c r="G64" s="351">
        <v>0</v>
      </c>
      <c r="H64" s="351">
        <v>0</v>
      </c>
      <c r="I64" s="351"/>
      <c r="J64" s="351"/>
      <c r="K64" s="351">
        <v>0</v>
      </c>
      <c r="L64" s="351" t="s">
        <v>2883</v>
      </c>
      <c r="M64" s="351" t="s">
        <v>2224</v>
      </c>
      <c r="N64" s="351" t="s">
        <v>2935</v>
      </c>
      <c r="O64" s="351" t="s">
        <v>2881</v>
      </c>
      <c r="P64" s="351"/>
      <c r="BB64" s="4" t="s">
        <v>82</v>
      </c>
      <c r="BC64" s="4" t="s">
        <v>289</v>
      </c>
      <c r="BD64" s="4" t="str">
        <f t="shared" si="1"/>
        <v>K:\16_EAU_WATER\01_PLAN\PGE 2022-2027\03 Rédaction\Version finale FR\PGE3_Axe5_FP_M5.7.docx</v>
      </c>
    </row>
    <row r="65" spans="1:56" x14ac:dyDescent="0.25">
      <c r="A65" s="349" t="str">
        <f t="shared" ref="A65:A116" si="2">HYPERLINK(BD65,BB65)</f>
        <v>M 5.8</v>
      </c>
      <c r="B65" s="479" t="s">
        <v>368</v>
      </c>
      <c r="C65" s="351">
        <v>5</v>
      </c>
      <c r="D65" s="351" t="s">
        <v>159</v>
      </c>
      <c r="E65" s="351" t="s">
        <v>161</v>
      </c>
      <c r="F65" s="351">
        <v>1</v>
      </c>
      <c r="G65" s="351">
        <v>0</v>
      </c>
      <c r="H65" s="351">
        <v>0</v>
      </c>
      <c r="I65" s="351"/>
      <c r="J65" s="351"/>
      <c r="K65" s="351">
        <v>0</v>
      </c>
      <c r="L65" s="351"/>
      <c r="M65" s="351" t="s">
        <v>2224</v>
      </c>
      <c r="N65" s="351" t="s">
        <v>2935</v>
      </c>
      <c r="O65" s="351" t="s">
        <v>2881</v>
      </c>
      <c r="P65" s="351"/>
      <c r="BB65" s="4" t="s">
        <v>83</v>
      </c>
      <c r="BC65" s="4" t="s">
        <v>290</v>
      </c>
      <c r="BD65" s="4" t="str">
        <f t="shared" ref="BD65:BD116" si="3">$BD$1&amp;"\"&amp;BC65&amp;".docx"</f>
        <v>K:\16_EAU_WATER\01_PLAN\PGE 2022-2027\03 Rédaction\Version finale FR\PGE3_Axe5_FP_M5.8.docx</v>
      </c>
    </row>
    <row r="66" spans="1:56" ht="25.5" x14ac:dyDescent="0.25">
      <c r="A66" s="349" t="str">
        <f t="shared" si="2"/>
        <v>M 5.9</v>
      </c>
      <c r="B66" s="479" t="s">
        <v>2619</v>
      </c>
      <c r="C66" s="351">
        <v>5</v>
      </c>
      <c r="D66" s="351" t="s">
        <v>159</v>
      </c>
      <c r="E66" s="351" t="s">
        <v>161</v>
      </c>
      <c r="F66" s="351">
        <v>1</v>
      </c>
      <c r="G66" s="351">
        <v>0</v>
      </c>
      <c r="H66" s="351">
        <v>0</v>
      </c>
      <c r="I66" s="351"/>
      <c r="J66" s="351"/>
      <c r="K66" s="351">
        <v>0</v>
      </c>
      <c r="L66" s="351" t="s">
        <v>2882</v>
      </c>
      <c r="M66" s="351" t="s">
        <v>2224</v>
      </c>
      <c r="N66" s="351" t="s">
        <v>2934</v>
      </c>
      <c r="O66" s="351" t="s">
        <v>2881</v>
      </c>
      <c r="P66" s="351"/>
      <c r="BB66" s="4" t="s">
        <v>84</v>
      </c>
      <c r="BC66" s="4" t="s">
        <v>291</v>
      </c>
      <c r="BD66" s="4" t="str">
        <f t="shared" si="3"/>
        <v>K:\16_EAU_WATER\01_PLAN\PGE 2022-2027\03 Rédaction\Version finale FR\PGE3_Axe5_FP_M5.9.docx</v>
      </c>
    </row>
    <row r="67" spans="1:56" x14ac:dyDescent="0.25">
      <c r="A67" s="349" t="str">
        <f t="shared" si="2"/>
        <v>M 5.10</v>
      </c>
      <c r="B67" s="479" t="s">
        <v>369</v>
      </c>
      <c r="C67" s="351">
        <v>5</v>
      </c>
      <c r="D67" s="351" t="s">
        <v>159</v>
      </c>
      <c r="E67" s="351" t="s">
        <v>162</v>
      </c>
      <c r="F67" s="351">
        <v>2</v>
      </c>
      <c r="G67" s="351">
        <v>0</v>
      </c>
      <c r="H67" s="351">
        <v>0</v>
      </c>
      <c r="I67" s="351"/>
      <c r="J67" s="351"/>
      <c r="K67" s="351">
        <v>0</v>
      </c>
      <c r="L67" s="351"/>
      <c r="M67" s="351" t="s">
        <v>2224</v>
      </c>
      <c r="N67" s="351"/>
      <c r="O67" s="351" t="s">
        <v>2881</v>
      </c>
      <c r="P67" s="351"/>
      <c r="Q67" t="s">
        <v>2997</v>
      </c>
      <c r="BB67" s="4" t="s">
        <v>85</v>
      </c>
      <c r="BC67" s="4" t="s">
        <v>292</v>
      </c>
      <c r="BD67" s="4" t="str">
        <f t="shared" si="3"/>
        <v>K:\16_EAU_WATER\01_PLAN\PGE 2022-2027\03 Rédaction\Version finale FR\PGE3_Axe5_FP_M5.10.docx</v>
      </c>
    </row>
    <row r="68" spans="1:56" ht="25.5" x14ac:dyDescent="0.25">
      <c r="A68" s="349" t="str">
        <f t="shared" si="2"/>
        <v>M 5.11</v>
      </c>
      <c r="B68" s="479" t="s">
        <v>2611</v>
      </c>
      <c r="C68" s="351">
        <v>5</v>
      </c>
      <c r="D68" s="351" t="s">
        <v>159</v>
      </c>
      <c r="E68" s="351" t="s">
        <v>162</v>
      </c>
      <c r="F68" s="351">
        <v>1</v>
      </c>
      <c r="G68" s="351">
        <v>0</v>
      </c>
      <c r="H68" s="351">
        <v>0</v>
      </c>
      <c r="I68" s="351"/>
      <c r="J68" s="351"/>
      <c r="K68" s="351">
        <v>0</v>
      </c>
      <c r="L68" s="351"/>
      <c r="M68" s="351" t="s">
        <v>2224</v>
      </c>
      <c r="N68" s="351"/>
      <c r="O68" s="351" t="s">
        <v>2881</v>
      </c>
      <c r="P68" s="351"/>
      <c r="Q68" t="s">
        <v>2997</v>
      </c>
      <c r="BB68" s="4" t="s">
        <v>86</v>
      </c>
      <c r="BC68" s="4" t="s">
        <v>293</v>
      </c>
      <c r="BD68" s="4" t="str">
        <f t="shared" si="3"/>
        <v>K:\16_EAU_WATER\01_PLAN\PGE 2022-2027\03 Rédaction\Version finale FR\PGE3_Axe5_FP_M5.11.docx</v>
      </c>
    </row>
    <row r="69" spans="1:56" x14ac:dyDescent="0.25">
      <c r="A69" s="349" t="str">
        <f t="shared" si="2"/>
        <v>M 5.12</v>
      </c>
      <c r="B69" s="479" t="s">
        <v>281</v>
      </c>
      <c r="C69" s="351">
        <v>5</v>
      </c>
      <c r="D69" s="351" t="s">
        <v>163</v>
      </c>
      <c r="E69" s="351" t="s">
        <v>164</v>
      </c>
      <c r="F69" s="351">
        <v>3</v>
      </c>
      <c r="G69" s="351">
        <v>0</v>
      </c>
      <c r="H69" s="351">
        <v>0</v>
      </c>
      <c r="I69" s="351"/>
      <c r="J69" s="351"/>
      <c r="K69" s="351">
        <v>0</v>
      </c>
      <c r="L69" s="351" t="s">
        <v>2882</v>
      </c>
      <c r="M69" s="351" t="s">
        <v>2224</v>
      </c>
      <c r="N69" s="351"/>
      <c r="O69" s="351" t="s">
        <v>2881</v>
      </c>
      <c r="P69" s="351"/>
      <c r="Q69" t="s">
        <v>2997</v>
      </c>
      <c r="BB69" s="4" t="s">
        <v>88</v>
      </c>
      <c r="BC69" s="4" t="s">
        <v>294</v>
      </c>
      <c r="BD69" s="4" t="str">
        <f t="shared" si="3"/>
        <v>K:\16_EAU_WATER\01_PLAN\PGE 2022-2027\03 Rédaction\Version finale FR\PGE3_Axe5_FP_M5.12.docx</v>
      </c>
    </row>
    <row r="70" spans="1:56" ht="25.5" x14ac:dyDescent="0.25">
      <c r="A70" s="349" t="str">
        <f t="shared" si="2"/>
        <v>M 5.13</v>
      </c>
      <c r="B70" s="479" t="s">
        <v>370</v>
      </c>
      <c r="C70" s="351">
        <v>5</v>
      </c>
      <c r="D70" s="351" t="s">
        <v>163</v>
      </c>
      <c r="E70" s="351" t="s">
        <v>164</v>
      </c>
      <c r="F70" s="351">
        <v>3</v>
      </c>
      <c r="G70" s="351">
        <v>0</v>
      </c>
      <c r="H70" s="351">
        <v>0</v>
      </c>
      <c r="I70" s="351"/>
      <c r="J70" s="351"/>
      <c r="K70" s="351">
        <v>0</v>
      </c>
      <c r="L70" s="351" t="s">
        <v>1532</v>
      </c>
      <c r="M70" s="351" t="s">
        <v>2224</v>
      </c>
      <c r="N70" s="351" t="s">
        <v>2935</v>
      </c>
      <c r="O70" s="351" t="s">
        <v>2881</v>
      </c>
      <c r="P70" s="351"/>
      <c r="BB70" s="4" t="s">
        <v>89</v>
      </c>
      <c r="BC70" s="4" t="s">
        <v>295</v>
      </c>
      <c r="BD70" s="4" t="str">
        <f t="shared" si="3"/>
        <v>K:\16_EAU_WATER\01_PLAN\PGE 2022-2027\03 Rédaction\Version finale FR\PGE3_Axe5_FP_M5.13.docx</v>
      </c>
    </row>
    <row r="71" spans="1:56" x14ac:dyDescent="0.25">
      <c r="A71" s="349" t="str">
        <f t="shared" si="2"/>
        <v>M 5.14</v>
      </c>
      <c r="B71" s="479" t="s">
        <v>371</v>
      </c>
      <c r="C71" s="351">
        <v>5</v>
      </c>
      <c r="D71" s="351" t="s">
        <v>163</v>
      </c>
      <c r="E71" s="351" t="s">
        <v>164</v>
      </c>
      <c r="F71" s="351">
        <v>2</v>
      </c>
      <c r="G71" s="351">
        <v>0</v>
      </c>
      <c r="H71" s="351">
        <v>0</v>
      </c>
      <c r="I71" s="351"/>
      <c r="J71" s="351"/>
      <c r="K71" s="351">
        <v>0</v>
      </c>
      <c r="L71" s="351" t="s">
        <v>2883</v>
      </c>
      <c r="M71" s="351" t="s">
        <v>2224</v>
      </c>
      <c r="N71" s="351" t="s">
        <v>2935</v>
      </c>
      <c r="O71" s="351" t="s">
        <v>2881</v>
      </c>
      <c r="P71" s="351"/>
      <c r="BB71" s="4" t="s">
        <v>90</v>
      </c>
      <c r="BC71" s="4" t="s">
        <v>296</v>
      </c>
      <c r="BD71" s="4" t="str">
        <f t="shared" si="3"/>
        <v>K:\16_EAU_WATER\01_PLAN\PGE 2022-2027\03 Rédaction\Version finale FR\PGE3_Axe5_FP_M5.14.docx</v>
      </c>
    </row>
    <row r="72" spans="1:56" x14ac:dyDescent="0.25">
      <c r="A72" s="349" t="str">
        <f t="shared" si="2"/>
        <v>M 5.15</v>
      </c>
      <c r="B72" s="479" t="s">
        <v>372</v>
      </c>
      <c r="C72" s="351">
        <v>5</v>
      </c>
      <c r="D72" s="351" t="s">
        <v>165</v>
      </c>
      <c r="E72" s="351" t="s">
        <v>166</v>
      </c>
      <c r="F72" s="351">
        <v>0</v>
      </c>
      <c r="G72" s="351" t="s">
        <v>54</v>
      </c>
      <c r="H72" s="351">
        <v>0</v>
      </c>
      <c r="I72" s="351"/>
      <c r="J72" s="351"/>
      <c r="K72" s="351">
        <v>0</v>
      </c>
      <c r="L72" s="351"/>
      <c r="M72" s="351" t="s">
        <v>2224</v>
      </c>
      <c r="N72" s="351" t="s">
        <v>2935</v>
      </c>
      <c r="O72" s="351" t="s">
        <v>2881</v>
      </c>
      <c r="P72" s="351"/>
      <c r="BB72" s="4" t="s">
        <v>91</v>
      </c>
      <c r="BC72" s="4" t="s">
        <v>297</v>
      </c>
      <c r="BD72" s="4" t="str">
        <f t="shared" si="3"/>
        <v>K:\16_EAU_WATER\01_PLAN\PGE 2022-2027\03 Rédaction\Version finale FR\PGE3_Axe5_FP_M5.15.docx</v>
      </c>
    </row>
    <row r="73" spans="1:56" x14ac:dyDescent="0.25">
      <c r="A73" s="349" t="str">
        <f t="shared" si="2"/>
        <v>M 5.16</v>
      </c>
      <c r="B73" s="479" t="s">
        <v>2963</v>
      </c>
      <c r="C73" s="351">
        <v>5</v>
      </c>
      <c r="D73" s="351" t="s">
        <v>165</v>
      </c>
      <c r="E73" s="351" t="s">
        <v>167</v>
      </c>
      <c r="F73" s="351">
        <v>0</v>
      </c>
      <c r="G73" s="351" t="s">
        <v>54</v>
      </c>
      <c r="H73" s="351">
        <v>0</v>
      </c>
      <c r="I73" s="351"/>
      <c r="J73" s="351"/>
      <c r="K73" s="351">
        <v>0</v>
      </c>
      <c r="L73" s="351" t="s">
        <v>2883</v>
      </c>
      <c r="M73" s="351" t="s">
        <v>2224</v>
      </c>
      <c r="N73" s="351" t="s">
        <v>2935</v>
      </c>
      <c r="O73" s="351" t="s">
        <v>2881</v>
      </c>
      <c r="P73" s="351"/>
      <c r="BB73" s="4" t="s">
        <v>92</v>
      </c>
      <c r="BC73" s="4" t="s">
        <v>298</v>
      </c>
      <c r="BD73" s="4" t="str">
        <f t="shared" si="3"/>
        <v>K:\16_EAU_WATER\01_PLAN\PGE 2022-2027\03 Rédaction\Version finale FR\PGE3_Axe5_FP_M5.16.docx</v>
      </c>
    </row>
    <row r="74" spans="1:56" ht="25.5" x14ac:dyDescent="0.25">
      <c r="A74" s="349" t="str">
        <f t="shared" si="2"/>
        <v>M 5.17</v>
      </c>
      <c r="B74" s="479" t="s">
        <v>373</v>
      </c>
      <c r="C74" s="351">
        <v>5</v>
      </c>
      <c r="D74" s="351" t="s">
        <v>165</v>
      </c>
      <c r="E74" s="351" t="s">
        <v>166</v>
      </c>
      <c r="F74" s="351">
        <v>0</v>
      </c>
      <c r="G74" s="351" t="s">
        <v>54</v>
      </c>
      <c r="H74" s="351">
        <v>0</v>
      </c>
      <c r="I74" s="351"/>
      <c r="J74" s="351"/>
      <c r="K74" s="351">
        <v>0</v>
      </c>
      <c r="L74" s="351" t="s">
        <v>2883</v>
      </c>
      <c r="M74" s="351" t="s">
        <v>2224</v>
      </c>
      <c r="N74" s="351" t="s">
        <v>2935</v>
      </c>
      <c r="O74" s="351" t="s">
        <v>2881</v>
      </c>
      <c r="P74" s="351"/>
      <c r="BB74" s="4" t="s">
        <v>93</v>
      </c>
      <c r="BC74" s="4" t="s">
        <v>299</v>
      </c>
      <c r="BD74" s="4" t="str">
        <f t="shared" si="3"/>
        <v>K:\16_EAU_WATER\01_PLAN\PGE 2022-2027\03 Rédaction\Version finale FR\PGE3_Axe5_FP_M5.17.docx</v>
      </c>
    </row>
    <row r="75" spans="1:56" x14ac:dyDescent="0.25">
      <c r="A75" s="349" t="str">
        <f t="shared" si="2"/>
        <v>M 5.18</v>
      </c>
      <c r="B75" s="479" t="s">
        <v>374</v>
      </c>
      <c r="C75" s="351">
        <v>5</v>
      </c>
      <c r="D75" s="351" t="s">
        <v>165</v>
      </c>
      <c r="E75" s="351" t="s">
        <v>167</v>
      </c>
      <c r="F75" s="351">
        <v>0</v>
      </c>
      <c r="G75" s="351" t="s">
        <v>54</v>
      </c>
      <c r="H75" s="351">
        <v>0</v>
      </c>
      <c r="I75" s="351"/>
      <c r="J75" s="351"/>
      <c r="K75" s="351">
        <v>0</v>
      </c>
      <c r="L75" s="351"/>
      <c r="M75" s="351" t="s">
        <v>2742</v>
      </c>
      <c r="N75" s="351" t="s">
        <v>2935</v>
      </c>
      <c r="O75" s="351"/>
      <c r="P75" s="351"/>
      <c r="BB75" s="4" t="s">
        <v>94</v>
      </c>
      <c r="BC75" s="4" t="s">
        <v>300</v>
      </c>
      <c r="BD75" s="4" t="str">
        <f t="shared" si="3"/>
        <v>K:\16_EAU_WATER\01_PLAN\PGE 2022-2027\03 Rédaction\Version finale FR\PGE3_Axe5_FP_M5.18.docx</v>
      </c>
    </row>
    <row r="76" spans="1:56" ht="25.5" x14ac:dyDescent="0.25">
      <c r="A76" s="349" t="str">
        <f t="shared" si="2"/>
        <v>M 5.19</v>
      </c>
      <c r="B76" s="479" t="s">
        <v>375</v>
      </c>
      <c r="C76" s="351">
        <v>5</v>
      </c>
      <c r="D76" s="351" t="s">
        <v>165</v>
      </c>
      <c r="E76" s="351" t="s">
        <v>167</v>
      </c>
      <c r="F76" s="351">
        <v>0</v>
      </c>
      <c r="G76" s="351" t="s">
        <v>54</v>
      </c>
      <c r="H76" s="351">
        <v>0</v>
      </c>
      <c r="I76" s="351"/>
      <c r="J76" s="351"/>
      <c r="K76" s="351">
        <v>0</v>
      </c>
      <c r="L76" s="351"/>
      <c r="M76" s="351" t="s">
        <v>2224</v>
      </c>
      <c r="N76" s="351" t="s">
        <v>2935</v>
      </c>
      <c r="O76" s="351" t="s">
        <v>2881</v>
      </c>
      <c r="P76" s="351"/>
      <c r="BB76" s="4" t="s">
        <v>95</v>
      </c>
      <c r="BC76" s="4" t="s">
        <v>301</v>
      </c>
      <c r="BD76" s="4" t="str">
        <f t="shared" si="3"/>
        <v>K:\16_EAU_WATER\01_PLAN\PGE 2022-2027\03 Rédaction\Version finale FR\PGE3_Axe5_FP_M5.19.docx</v>
      </c>
    </row>
    <row r="77" spans="1:56" ht="25.5" x14ac:dyDescent="0.25">
      <c r="A77" s="349" t="str">
        <f t="shared" si="2"/>
        <v>M 5.20</v>
      </c>
      <c r="B77" s="479" t="s">
        <v>376</v>
      </c>
      <c r="C77" s="351">
        <v>5</v>
      </c>
      <c r="D77" s="351" t="s">
        <v>165</v>
      </c>
      <c r="E77" s="351" t="s">
        <v>167</v>
      </c>
      <c r="F77" s="351">
        <v>0</v>
      </c>
      <c r="G77" s="351" t="s">
        <v>54</v>
      </c>
      <c r="H77" s="351">
        <v>0</v>
      </c>
      <c r="I77" s="351"/>
      <c r="J77" s="351"/>
      <c r="K77" s="351">
        <v>0</v>
      </c>
      <c r="L77" s="351" t="s">
        <v>1532</v>
      </c>
      <c r="M77" s="351" t="s">
        <v>2224</v>
      </c>
      <c r="N77" s="351" t="s">
        <v>2935</v>
      </c>
      <c r="O77" s="351" t="s">
        <v>2881</v>
      </c>
      <c r="P77" s="351"/>
      <c r="BB77" s="4" t="s">
        <v>96</v>
      </c>
      <c r="BC77" s="4" t="s">
        <v>302</v>
      </c>
      <c r="BD77" s="4" t="str">
        <f t="shared" si="3"/>
        <v>K:\16_EAU_WATER\01_PLAN\PGE 2022-2027\03 Rédaction\Version finale FR\PGE3_Axe5_FP_M5.20.docx</v>
      </c>
    </row>
    <row r="78" spans="1:56" ht="26.25" customHeight="1" x14ac:dyDescent="0.25">
      <c r="A78" s="349" t="str">
        <f t="shared" si="2"/>
        <v>M 5.21</v>
      </c>
      <c r="B78" s="479" t="s">
        <v>282</v>
      </c>
      <c r="C78" s="351">
        <v>5</v>
      </c>
      <c r="D78" s="351" t="s">
        <v>165</v>
      </c>
      <c r="E78" s="351" t="s">
        <v>167</v>
      </c>
      <c r="F78" s="351">
        <v>0</v>
      </c>
      <c r="G78" s="351" t="s">
        <v>54</v>
      </c>
      <c r="H78" s="351">
        <v>0</v>
      </c>
      <c r="I78" s="351"/>
      <c r="J78" s="351"/>
      <c r="K78" s="351">
        <v>0</v>
      </c>
      <c r="L78" s="351"/>
      <c r="M78" s="351" t="s">
        <v>2744</v>
      </c>
      <c r="N78" s="351" t="s">
        <v>2935</v>
      </c>
      <c r="O78" s="351"/>
      <c r="P78" s="351"/>
      <c r="BB78" s="4" t="s">
        <v>97</v>
      </c>
      <c r="BC78" s="4" t="s">
        <v>303</v>
      </c>
      <c r="BD78" s="4" t="str">
        <f t="shared" si="3"/>
        <v>K:\16_EAU_WATER\01_PLAN\PGE 2022-2027\03 Rédaction\Version finale FR\PGE3_Axe5_FP_M5.21.docx</v>
      </c>
    </row>
    <row r="79" spans="1:56" ht="25.5" x14ac:dyDescent="0.25">
      <c r="A79" s="349" t="str">
        <f t="shared" si="2"/>
        <v>M 5.22</v>
      </c>
      <c r="B79" s="479" t="s">
        <v>377</v>
      </c>
      <c r="C79" s="351">
        <v>5</v>
      </c>
      <c r="D79" s="351" t="s">
        <v>165</v>
      </c>
      <c r="E79" s="351" t="s">
        <v>167</v>
      </c>
      <c r="F79" s="351">
        <v>0</v>
      </c>
      <c r="G79" s="351" t="s">
        <v>54</v>
      </c>
      <c r="H79" s="351">
        <v>0</v>
      </c>
      <c r="I79" s="351"/>
      <c r="J79" s="351"/>
      <c r="K79" s="351" t="s">
        <v>54</v>
      </c>
      <c r="L79" s="351" t="s">
        <v>1532</v>
      </c>
      <c r="M79" s="351" t="s">
        <v>2744</v>
      </c>
      <c r="N79" s="351" t="s">
        <v>2923</v>
      </c>
      <c r="O79" s="351"/>
      <c r="P79" s="351"/>
      <c r="Q79" s="485" t="s">
        <v>3000</v>
      </c>
      <c r="BB79" s="4" t="s">
        <v>98</v>
      </c>
      <c r="BC79" s="4" t="s">
        <v>304</v>
      </c>
      <c r="BD79" s="4" t="str">
        <f t="shared" si="3"/>
        <v>K:\16_EAU_WATER\01_PLAN\PGE 2022-2027\03 Rédaction\Version finale FR\PGE3_Axe5_FP_M5.22.docx</v>
      </c>
    </row>
    <row r="80" spans="1:56" ht="25.5" x14ac:dyDescent="0.25">
      <c r="A80" s="349" t="str">
        <f t="shared" si="2"/>
        <v>M 5.23</v>
      </c>
      <c r="B80" s="479" t="s">
        <v>379</v>
      </c>
      <c r="C80" s="351">
        <v>5</v>
      </c>
      <c r="D80" s="351" t="s">
        <v>168</v>
      </c>
      <c r="E80" s="351" t="s">
        <v>155</v>
      </c>
      <c r="F80" s="351">
        <v>0</v>
      </c>
      <c r="G80" s="351" t="s">
        <v>54</v>
      </c>
      <c r="H80" s="351">
        <v>0</v>
      </c>
      <c r="I80" s="351"/>
      <c r="J80" s="351"/>
      <c r="K80" s="351">
        <v>0</v>
      </c>
      <c r="L80" s="351" t="s">
        <v>2882</v>
      </c>
      <c r="M80" s="351" t="s">
        <v>2224</v>
      </c>
      <c r="N80" s="351"/>
      <c r="O80" s="351"/>
      <c r="P80" s="351"/>
      <c r="Q80" t="s">
        <v>2997</v>
      </c>
      <c r="BB80" s="4" t="s">
        <v>99</v>
      </c>
      <c r="BC80" s="4" t="s">
        <v>305</v>
      </c>
      <c r="BD80" s="4" t="str">
        <f t="shared" si="3"/>
        <v>K:\16_EAU_WATER\01_PLAN\PGE 2022-2027\03 Rédaction\Version finale FR\PGE3_Axe5_FP_M5.23.docx</v>
      </c>
    </row>
    <row r="81" spans="1:56" x14ac:dyDescent="0.25">
      <c r="A81" s="349" t="str">
        <f t="shared" si="2"/>
        <v>M 5.24</v>
      </c>
      <c r="B81" s="479" t="s">
        <v>378</v>
      </c>
      <c r="C81" s="351">
        <v>5</v>
      </c>
      <c r="D81" s="351" t="s">
        <v>168</v>
      </c>
      <c r="E81" s="351" t="s">
        <v>155</v>
      </c>
      <c r="F81" s="351">
        <v>0</v>
      </c>
      <c r="G81" s="351" t="s">
        <v>54</v>
      </c>
      <c r="H81" s="351">
        <v>0</v>
      </c>
      <c r="I81" s="351"/>
      <c r="J81" s="351"/>
      <c r="K81" s="351">
        <v>0</v>
      </c>
      <c r="L81" s="351" t="s">
        <v>2882</v>
      </c>
      <c r="M81" s="351" t="s">
        <v>2224</v>
      </c>
      <c r="N81" s="351" t="s">
        <v>2935</v>
      </c>
      <c r="O81" s="351"/>
      <c r="P81" s="351"/>
      <c r="BB81" s="4" t="s">
        <v>100</v>
      </c>
      <c r="BC81" s="4" t="s">
        <v>306</v>
      </c>
      <c r="BD81" s="4" t="str">
        <f t="shared" si="3"/>
        <v>K:\16_EAU_WATER\01_PLAN\PGE 2022-2027\03 Rédaction\Version finale FR\PGE3_Axe5_FP_M5.24.docx</v>
      </c>
    </row>
    <row r="82" spans="1:56" ht="25.5" x14ac:dyDescent="0.25">
      <c r="A82" s="349" t="str">
        <f t="shared" si="2"/>
        <v>M 5.25</v>
      </c>
      <c r="B82" s="479" t="s">
        <v>3040</v>
      </c>
      <c r="C82" s="351">
        <v>5</v>
      </c>
      <c r="D82" s="351" t="s">
        <v>168</v>
      </c>
      <c r="E82" s="351" t="s">
        <v>155</v>
      </c>
      <c r="F82" s="351">
        <v>0</v>
      </c>
      <c r="G82" s="351" t="s">
        <v>54</v>
      </c>
      <c r="H82" s="351">
        <v>0</v>
      </c>
      <c r="I82" s="351"/>
      <c r="J82" s="351"/>
      <c r="K82" s="351">
        <v>0</v>
      </c>
      <c r="L82" s="351"/>
      <c r="M82" s="351" t="s">
        <v>2224</v>
      </c>
      <c r="N82" s="351" t="s">
        <v>2935</v>
      </c>
      <c r="O82" s="351"/>
      <c r="P82" s="351"/>
      <c r="BB82" s="4" t="s">
        <v>101</v>
      </c>
      <c r="BC82" s="4" t="s">
        <v>307</v>
      </c>
      <c r="BD82" s="4" t="str">
        <f t="shared" si="3"/>
        <v>K:\16_EAU_WATER\01_PLAN\PGE 2022-2027\03 Rédaction\Version finale FR\PGE3_Axe5_FP_M5.25.docx</v>
      </c>
    </row>
    <row r="83" spans="1:56" ht="25.5" x14ac:dyDescent="0.25">
      <c r="A83" s="349" t="str">
        <f t="shared" si="2"/>
        <v>M 5.26</v>
      </c>
      <c r="B83" s="479" t="s">
        <v>380</v>
      </c>
      <c r="C83" s="351">
        <v>5</v>
      </c>
      <c r="D83" s="351" t="s">
        <v>169</v>
      </c>
      <c r="E83" s="351" t="s">
        <v>170</v>
      </c>
      <c r="F83" s="351">
        <v>0</v>
      </c>
      <c r="G83" s="351">
        <v>0</v>
      </c>
      <c r="H83" s="351">
        <v>0</v>
      </c>
      <c r="I83" s="351"/>
      <c r="J83" s="351"/>
      <c r="K83" s="351">
        <v>0</v>
      </c>
      <c r="L83" s="351" t="s">
        <v>2882</v>
      </c>
      <c r="M83" s="351" t="s">
        <v>2224</v>
      </c>
      <c r="N83" s="351" t="s">
        <v>2935</v>
      </c>
      <c r="O83" s="351"/>
      <c r="P83" s="351"/>
      <c r="BB83" s="4" t="s">
        <v>102</v>
      </c>
      <c r="BC83" s="4" t="s">
        <v>308</v>
      </c>
      <c r="BD83" s="4" t="str">
        <f t="shared" si="3"/>
        <v>K:\16_EAU_WATER\01_PLAN\PGE 2022-2027\03 Rédaction\Version finale FR\PGE3_Axe5_FP_M5.26.docx</v>
      </c>
    </row>
    <row r="84" spans="1:56" ht="25.5" x14ac:dyDescent="0.25">
      <c r="A84" s="349" t="str">
        <f t="shared" si="2"/>
        <v>M 5.27</v>
      </c>
      <c r="B84" s="479" t="s">
        <v>381</v>
      </c>
      <c r="C84" s="351">
        <v>5</v>
      </c>
      <c r="D84" s="351" t="s">
        <v>169</v>
      </c>
      <c r="E84" s="351" t="s">
        <v>170</v>
      </c>
      <c r="F84" s="351">
        <v>0</v>
      </c>
      <c r="G84" s="351" t="s">
        <v>54</v>
      </c>
      <c r="H84" s="351">
        <v>0</v>
      </c>
      <c r="I84" s="351"/>
      <c r="J84" s="351"/>
      <c r="K84" s="351">
        <v>0</v>
      </c>
      <c r="L84" s="351"/>
      <c r="M84" s="351" t="s">
        <v>2744</v>
      </c>
      <c r="N84" s="440" t="s">
        <v>2925</v>
      </c>
      <c r="O84" s="351"/>
      <c r="P84" s="351"/>
      <c r="BB84" s="4" t="s">
        <v>103</v>
      </c>
      <c r="BC84" s="4" t="s">
        <v>309</v>
      </c>
      <c r="BD84" s="4" t="str">
        <f t="shared" si="3"/>
        <v>K:\16_EAU_WATER\01_PLAN\PGE 2022-2027\03 Rédaction\Version finale FR\PGE3_Axe5_FP_M5.27.docx</v>
      </c>
    </row>
    <row r="85" spans="1:56" ht="25.5" x14ac:dyDescent="0.25">
      <c r="A85" s="349" t="str">
        <f t="shared" si="2"/>
        <v>M 5.28</v>
      </c>
      <c r="B85" s="479" t="s">
        <v>313</v>
      </c>
      <c r="C85" s="351">
        <v>5</v>
      </c>
      <c r="D85" s="351" t="s">
        <v>169</v>
      </c>
      <c r="E85" s="351" t="s">
        <v>170</v>
      </c>
      <c r="F85" s="351">
        <v>0</v>
      </c>
      <c r="G85" s="351" t="s">
        <v>54</v>
      </c>
      <c r="H85" s="351">
        <v>0</v>
      </c>
      <c r="I85" s="351"/>
      <c r="J85" s="351"/>
      <c r="K85" s="351">
        <v>0</v>
      </c>
      <c r="L85" s="351" t="s">
        <v>2882</v>
      </c>
      <c r="M85" s="351" t="s">
        <v>2744</v>
      </c>
      <c r="N85" s="351" t="s">
        <v>2935</v>
      </c>
      <c r="O85" s="351" t="s">
        <v>2874</v>
      </c>
      <c r="P85" s="351"/>
      <c r="BB85" s="4" t="s">
        <v>105</v>
      </c>
      <c r="BC85" s="4" t="s">
        <v>310</v>
      </c>
      <c r="BD85" s="4" t="str">
        <f t="shared" si="3"/>
        <v>K:\16_EAU_WATER\01_PLAN\PGE 2022-2027\03 Rédaction\Version finale FR\PGE3_Axe5_FP_M5.28.docx</v>
      </c>
    </row>
    <row r="86" spans="1:56" ht="25.5" x14ac:dyDescent="0.25">
      <c r="A86" s="349" t="str">
        <f t="shared" si="2"/>
        <v>M 5.29</v>
      </c>
      <c r="B86" s="479" t="s">
        <v>383</v>
      </c>
      <c r="C86" s="351">
        <v>5</v>
      </c>
      <c r="D86" s="351" t="s">
        <v>169</v>
      </c>
      <c r="E86" s="351" t="s">
        <v>171</v>
      </c>
      <c r="F86" s="351">
        <v>0</v>
      </c>
      <c r="G86" s="351">
        <v>0</v>
      </c>
      <c r="H86" s="351" t="s">
        <v>54</v>
      </c>
      <c r="I86" s="351"/>
      <c r="J86" s="351"/>
      <c r="K86" s="351" t="s">
        <v>54</v>
      </c>
      <c r="L86" s="351" t="s">
        <v>2882</v>
      </c>
      <c r="M86" s="351" t="s">
        <v>2744</v>
      </c>
      <c r="N86" s="351" t="s">
        <v>2935</v>
      </c>
      <c r="O86" s="351"/>
      <c r="P86" s="351"/>
      <c r="BB86" s="4" t="s">
        <v>106</v>
      </c>
      <c r="BC86" s="4" t="s">
        <v>311</v>
      </c>
      <c r="BD86" s="4" t="str">
        <f t="shared" si="3"/>
        <v>K:\16_EAU_WATER\01_PLAN\PGE 2022-2027\03 Rédaction\Version finale FR\PGE3_Axe5_FP_M5.29.docx</v>
      </c>
    </row>
    <row r="87" spans="1:56" ht="25.5" x14ac:dyDescent="0.25">
      <c r="A87" s="349" t="str">
        <f t="shared" si="2"/>
        <v>M 5.30</v>
      </c>
      <c r="B87" s="479" t="s">
        <v>382</v>
      </c>
      <c r="C87" s="351">
        <v>5</v>
      </c>
      <c r="D87" s="351" t="s">
        <v>169</v>
      </c>
      <c r="E87" s="351" t="s">
        <v>170</v>
      </c>
      <c r="F87" s="351">
        <v>0</v>
      </c>
      <c r="G87" s="351">
        <v>0</v>
      </c>
      <c r="H87" s="351" t="s">
        <v>54</v>
      </c>
      <c r="I87" s="351"/>
      <c r="J87" s="351"/>
      <c r="K87" s="351" t="s">
        <v>54</v>
      </c>
      <c r="L87" s="351"/>
      <c r="M87" s="351" t="s">
        <v>2744</v>
      </c>
      <c r="N87" s="440" t="s">
        <v>2925</v>
      </c>
      <c r="O87" s="351"/>
      <c r="P87" s="351"/>
      <c r="Q87" t="s">
        <v>3000</v>
      </c>
      <c r="BB87" s="4" t="s">
        <v>107</v>
      </c>
      <c r="BC87" s="4" t="s">
        <v>312</v>
      </c>
      <c r="BD87" s="4" t="str">
        <f t="shared" si="3"/>
        <v>K:\16_EAU_WATER\01_PLAN\PGE 2022-2027\03 Rédaction\Version finale FR\PGE3_Axe5_FP_M5.30.docx</v>
      </c>
    </row>
    <row r="88" spans="1:56" x14ac:dyDescent="0.25">
      <c r="A88" s="349" t="str">
        <f t="shared" si="2"/>
        <v>M 6.1</v>
      </c>
      <c r="B88" s="479" t="s">
        <v>314</v>
      </c>
      <c r="C88" s="351">
        <v>6</v>
      </c>
      <c r="D88" s="351" t="s">
        <v>172</v>
      </c>
      <c r="E88" s="351" t="s">
        <v>173</v>
      </c>
      <c r="F88" s="351">
        <v>0</v>
      </c>
      <c r="G88" s="351">
        <v>0</v>
      </c>
      <c r="H88" s="351">
        <v>0</v>
      </c>
      <c r="I88" s="351"/>
      <c r="J88" s="351"/>
      <c r="K88" s="351">
        <v>0</v>
      </c>
      <c r="L88" s="351" t="s">
        <v>2882</v>
      </c>
      <c r="M88" s="351" t="s">
        <v>2224</v>
      </c>
      <c r="N88" s="351"/>
      <c r="O88" s="351"/>
      <c r="P88" s="351" t="s">
        <v>2777</v>
      </c>
      <c r="Q88" s="485" t="s">
        <v>2997</v>
      </c>
      <c r="BB88" s="4" t="s">
        <v>110</v>
      </c>
      <c r="BC88" s="4" t="s">
        <v>323</v>
      </c>
      <c r="BD88" s="4" t="str">
        <f t="shared" si="3"/>
        <v>K:\16_EAU_WATER\01_PLAN\PGE 2022-2027\03 Rédaction\Version finale FR\PGE3_Axe6_FP_M6.1.docx</v>
      </c>
    </row>
    <row r="89" spans="1:56" x14ac:dyDescent="0.25">
      <c r="A89" s="349" t="str">
        <f t="shared" si="2"/>
        <v>M 6.2</v>
      </c>
      <c r="B89" s="479" t="s">
        <v>315</v>
      </c>
      <c r="C89" s="351">
        <v>6</v>
      </c>
      <c r="D89" s="351" t="s">
        <v>172</v>
      </c>
      <c r="E89" s="351" t="s">
        <v>173</v>
      </c>
      <c r="F89" s="351">
        <v>0</v>
      </c>
      <c r="G89" s="351">
        <v>0</v>
      </c>
      <c r="H89" s="351">
        <v>0</v>
      </c>
      <c r="I89" s="351"/>
      <c r="J89" s="351"/>
      <c r="K89" s="351" t="s">
        <v>54</v>
      </c>
      <c r="L89" s="351" t="s">
        <v>2882</v>
      </c>
      <c r="M89" s="351" t="s">
        <v>2224</v>
      </c>
      <c r="N89" s="351"/>
      <c r="O89" s="351"/>
      <c r="P89" s="351" t="s">
        <v>2777</v>
      </c>
      <c r="Q89" s="485" t="s">
        <v>2997</v>
      </c>
      <c r="BB89" s="4" t="s">
        <v>111</v>
      </c>
      <c r="BC89" s="4" t="s">
        <v>324</v>
      </c>
      <c r="BD89" s="4" t="str">
        <f t="shared" si="3"/>
        <v>K:\16_EAU_WATER\01_PLAN\PGE 2022-2027\03 Rédaction\Version finale FR\PGE3_Axe6_FP_M6.2.docx</v>
      </c>
    </row>
    <row r="90" spans="1:56" x14ac:dyDescent="0.25">
      <c r="A90" s="349" t="str">
        <f t="shared" si="2"/>
        <v>M 6.3</v>
      </c>
      <c r="B90" s="479" t="s">
        <v>384</v>
      </c>
      <c r="C90" s="351">
        <v>6</v>
      </c>
      <c r="D90" s="351" t="s">
        <v>172</v>
      </c>
      <c r="E90" s="351" t="s">
        <v>173</v>
      </c>
      <c r="F90" s="351">
        <v>0</v>
      </c>
      <c r="G90" s="351">
        <v>0</v>
      </c>
      <c r="H90" s="351">
        <v>0</v>
      </c>
      <c r="I90" s="351"/>
      <c r="J90" s="351"/>
      <c r="K90" s="351">
        <v>0</v>
      </c>
      <c r="L90" s="351" t="s">
        <v>2882</v>
      </c>
      <c r="M90" s="351" t="s">
        <v>2224</v>
      </c>
      <c r="N90" s="351"/>
      <c r="O90" s="351"/>
      <c r="P90" s="351" t="s">
        <v>2777</v>
      </c>
      <c r="Q90" s="485" t="s">
        <v>2997</v>
      </c>
      <c r="BB90" s="4" t="s">
        <v>112</v>
      </c>
      <c r="BC90" s="4" t="s">
        <v>325</v>
      </c>
      <c r="BD90" s="4" t="str">
        <f t="shared" si="3"/>
        <v>K:\16_EAU_WATER\01_PLAN\PGE 2022-2027\03 Rédaction\Version finale FR\PGE3_Axe6_FP_M6.3.docx</v>
      </c>
    </row>
    <row r="91" spans="1:56" ht="25.5" x14ac:dyDescent="0.25">
      <c r="A91" s="349" t="str">
        <f t="shared" si="2"/>
        <v>M 6.4</v>
      </c>
      <c r="B91" s="479" t="s">
        <v>385</v>
      </c>
      <c r="C91" s="351">
        <v>6</v>
      </c>
      <c r="D91" s="351" t="s">
        <v>172</v>
      </c>
      <c r="E91" s="351" t="s">
        <v>173</v>
      </c>
      <c r="F91" s="351">
        <v>0</v>
      </c>
      <c r="G91" s="351">
        <v>0</v>
      </c>
      <c r="H91" s="351">
        <v>0</v>
      </c>
      <c r="I91" s="351"/>
      <c r="J91" s="351"/>
      <c r="K91" s="351" t="s">
        <v>54</v>
      </c>
      <c r="L91" s="351"/>
      <c r="M91" s="351" t="s">
        <v>2742</v>
      </c>
      <c r="N91" s="351"/>
      <c r="O91" s="351"/>
      <c r="P91" s="351" t="s">
        <v>2776</v>
      </c>
      <c r="Q91" s="487" t="s">
        <v>2997</v>
      </c>
      <c r="BB91" s="4" t="s">
        <v>113</v>
      </c>
      <c r="BC91" s="4" t="s">
        <v>326</v>
      </c>
      <c r="BD91" s="4" t="str">
        <f t="shared" si="3"/>
        <v>K:\16_EAU_WATER\01_PLAN\PGE 2022-2027\03 Rédaction\Version finale FR\PGE3_Axe6_FP_M6.4.docx</v>
      </c>
    </row>
    <row r="92" spans="1:56" x14ac:dyDescent="0.25">
      <c r="A92" s="349" t="str">
        <f t="shared" si="2"/>
        <v>M 6.5</v>
      </c>
      <c r="B92" s="479" t="s">
        <v>316</v>
      </c>
      <c r="C92" s="351">
        <v>6</v>
      </c>
      <c r="D92" s="351" t="s">
        <v>172</v>
      </c>
      <c r="E92" s="351" t="s">
        <v>173</v>
      </c>
      <c r="F92" s="351">
        <v>0</v>
      </c>
      <c r="G92" s="351">
        <v>0</v>
      </c>
      <c r="H92" s="351">
        <v>0</v>
      </c>
      <c r="I92" s="351"/>
      <c r="J92" s="351"/>
      <c r="K92" s="351" t="s">
        <v>54</v>
      </c>
      <c r="L92" s="351" t="s">
        <v>2883</v>
      </c>
      <c r="M92" s="351" t="s">
        <v>2224</v>
      </c>
      <c r="N92" s="351"/>
      <c r="O92" s="351"/>
      <c r="P92" s="351" t="s">
        <v>2777</v>
      </c>
      <c r="Q92" s="487" t="s">
        <v>2997</v>
      </c>
      <c r="BB92" s="4" t="s">
        <v>114</v>
      </c>
      <c r="BC92" s="4" t="s">
        <v>327</v>
      </c>
      <c r="BD92" s="4" t="str">
        <f t="shared" si="3"/>
        <v>K:\16_EAU_WATER\01_PLAN\PGE 2022-2027\03 Rédaction\Version finale FR\PGE3_Axe6_FP_M6.5.docx</v>
      </c>
    </row>
    <row r="93" spans="1:56" x14ac:dyDescent="0.25">
      <c r="A93" s="349" t="str">
        <f t="shared" si="2"/>
        <v>M 6.6</v>
      </c>
      <c r="B93" s="479" t="s">
        <v>317</v>
      </c>
      <c r="C93" s="351">
        <v>6</v>
      </c>
      <c r="D93" s="351" t="s">
        <v>172</v>
      </c>
      <c r="E93" s="351" t="s">
        <v>174</v>
      </c>
      <c r="F93" s="351">
        <v>0</v>
      </c>
      <c r="G93" s="351">
        <v>0</v>
      </c>
      <c r="H93" s="351">
        <v>0</v>
      </c>
      <c r="I93" s="351"/>
      <c r="J93" s="351"/>
      <c r="K93" s="351">
        <v>0</v>
      </c>
      <c r="L93" s="351" t="s">
        <v>1532</v>
      </c>
      <c r="M93" s="351" t="s">
        <v>2744</v>
      </c>
      <c r="N93" s="351"/>
      <c r="O93" s="351"/>
      <c r="P93" s="351"/>
      <c r="Q93" s="487" t="s">
        <v>2997</v>
      </c>
      <c r="BB93" s="4" t="s">
        <v>115</v>
      </c>
      <c r="BC93" s="4" t="s">
        <v>328</v>
      </c>
      <c r="BD93" s="4" t="str">
        <f t="shared" si="3"/>
        <v>K:\16_EAU_WATER\01_PLAN\PGE 2022-2027\03 Rédaction\Version finale FR\PGE3_Axe6_FP_M6.6.docx</v>
      </c>
    </row>
    <row r="94" spans="1:56" ht="25.5" x14ac:dyDescent="0.25">
      <c r="A94" s="349" t="str">
        <f t="shared" si="2"/>
        <v>M 6.7</v>
      </c>
      <c r="B94" s="479" t="s">
        <v>318</v>
      </c>
      <c r="C94" s="351">
        <v>6</v>
      </c>
      <c r="D94" s="351" t="s">
        <v>172</v>
      </c>
      <c r="E94" s="351" t="s">
        <v>174</v>
      </c>
      <c r="F94" s="351">
        <v>0</v>
      </c>
      <c r="G94" s="351">
        <v>0</v>
      </c>
      <c r="H94" s="351">
        <v>0</v>
      </c>
      <c r="I94" s="351"/>
      <c r="J94" s="351"/>
      <c r="K94" s="351" t="s">
        <v>54</v>
      </c>
      <c r="L94" s="351" t="s">
        <v>2883</v>
      </c>
      <c r="M94" s="351" t="s">
        <v>2224</v>
      </c>
      <c r="N94" s="440" t="s">
        <v>2930</v>
      </c>
      <c r="O94" s="351"/>
      <c r="P94" s="351"/>
      <c r="Q94" s="487"/>
      <c r="BB94" s="4" t="s">
        <v>116</v>
      </c>
      <c r="BC94" s="4" t="s">
        <v>329</v>
      </c>
      <c r="BD94" s="4" t="str">
        <f t="shared" si="3"/>
        <v>K:\16_EAU_WATER\01_PLAN\PGE 2022-2027\03 Rédaction\Version finale FR\PGE3_Axe6_FP_M6.7.docx</v>
      </c>
    </row>
    <row r="95" spans="1:56" ht="25.5" x14ac:dyDescent="0.25">
      <c r="A95" s="349" t="str">
        <f t="shared" si="2"/>
        <v>M 6.8</v>
      </c>
      <c r="B95" s="479" t="s">
        <v>319</v>
      </c>
      <c r="C95" s="351">
        <v>6</v>
      </c>
      <c r="D95" s="351" t="s">
        <v>172</v>
      </c>
      <c r="E95" s="351" t="s">
        <v>174</v>
      </c>
      <c r="F95" s="351">
        <v>0</v>
      </c>
      <c r="G95" s="351">
        <v>0</v>
      </c>
      <c r="H95" s="351">
        <v>0</v>
      </c>
      <c r="I95" s="351"/>
      <c r="J95" s="351"/>
      <c r="K95" s="351">
        <v>0</v>
      </c>
      <c r="L95" s="351" t="s">
        <v>1532</v>
      </c>
      <c r="M95" s="351" t="s">
        <v>2224</v>
      </c>
      <c r="N95" s="440" t="s">
        <v>2930</v>
      </c>
      <c r="O95" s="351"/>
      <c r="P95" s="351"/>
      <c r="BB95" s="4" t="s">
        <v>117</v>
      </c>
      <c r="BC95" s="4" t="s">
        <v>330</v>
      </c>
      <c r="BD95" s="4" t="str">
        <f t="shared" si="3"/>
        <v>K:\16_EAU_WATER\01_PLAN\PGE 2022-2027\03 Rédaction\Version finale FR\PGE3_Axe6_FP_M6.8.docx</v>
      </c>
    </row>
    <row r="96" spans="1:56" x14ac:dyDescent="0.25">
      <c r="A96" s="349" t="str">
        <f t="shared" si="2"/>
        <v>M 6.9</v>
      </c>
      <c r="B96" s="479" t="s">
        <v>320</v>
      </c>
      <c r="C96" s="351">
        <v>6</v>
      </c>
      <c r="D96" s="351" t="s">
        <v>172</v>
      </c>
      <c r="E96" s="351" t="s">
        <v>174</v>
      </c>
      <c r="F96" s="351">
        <v>0</v>
      </c>
      <c r="G96" s="351">
        <v>0</v>
      </c>
      <c r="H96" s="351">
        <v>0</v>
      </c>
      <c r="I96" s="351"/>
      <c r="J96" s="351"/>
      <c r="K96" s="351" t="s">
        <v>54</v>
      </c>
      <c r="L96" s="351" t="s">
        <v>1532</v>
      </c>
      <c r="M96" s="351" t="s">
        <v>2742</v>
      </c>
      <c r="N96" s="351"/>
      <c r="O96" s="351"/>
      <c r="P96" s="351"/>
      <c r="Q96" s="487" t="s">
        <v>2997</v>
      </c>
      <c r="BB96" s="4" t="s">
        <v>118</v>
      </c>
      <c r="BC96" s="4" t="s">
        <v>331</v>
      </c>
      <c r="BD96" s="4" t="str">
        <f t="shared" si="3"/>
        <v>K:\16_EAU_WATER\01_PLAN\PGE 2022-2027\03 Rédaction\Version finale FR\PGE3_Axe6_FP_M6.9.docx</v>
      </c>
    </row>
    <row r="97" spans="1:56" ht="25.5" x14ac:dyDescent="0.25">
      <c r="A97" s="349" t="str">
        <f t="shared" si="2"/>
        <v>M 6.10</v>
      </c>
      <c r="B97" s="479" t="s">
        <v>386</v>
      </c>
      <c r="C97" s="351">
        <v>6</v>
      </c>
      <c r="D97" s="351" t="s">
        <v>172</v>
      </c>
      <c r="E97" s="351" t="s">
        <v>175</v>
      </c>
      <c r="F97" s="351">
        <v>0</v>
      </c>
      <c r="G97" s="351">
        <v>0</v>
      </c>
      <c r="H97" s="351">
        <v>0</v>
      </c>
      <c r="I97" s="351"/>
      <c r="J97" s="351"/>
      <c r="K97" s="351">
        <v>0</v>
      </c>
      <c r="L97" s="351"/>
      <c r="M97" s="351" t="s">
        <v>2742</v>
      </c>
      <c r="N97" s="351"/>
      <c r="O97" s="351"/>
      <c r="P97" s="351"/>
      <c r="Q97" s="487" t="s">
        <v>2997</v>
      </c>
      <c r="BB97" s="4" t="s">
        <v>119</v>
      </c>
      <c r="BC97" s="4" t="s">
        <v>332</v>
      </c>
      <c r="BD97" s="4" t="str">
        <f t="shared" si="3"/>
        <v>K:\16_EAU_WATER\01_PLAN\PGE 2022-2027\03 Rédaction\Version finale FR\PGE3_Axe6_FP_M6.10.docx</v>
      </c>
    </row>
    <row r="98" spans="1:56" ht="25.5" x14ac:dyDescent="0.25">
      <c r="A98" s="349" t="str">
        <f t="shared" si="2"/>
        <v>M 6.11</v>
      </c>
      <c r="B98" s="479" t="s">
        <v>321</v>
      </c>
      <c r="C98" s="351">
        <v>6</v>
      </c>
      <c r="D98" s="351" t="s">
        <v>172</v>
      </c>
      <c r="E98" s="351" t="s">
        <v>175</v>
      </c>
      <c r="F98" s="351">
        <v>0</v>
      </c>
      <c r="G98" s="351">
        <v>0</v>
      </c>
      <c r="H98" s="351">
        <v>0</v>
      </c>
      <c r="I98" s="351"/>
      <c r="J98" s="351"/>
      <c r="K98" s="351">
        <v>0</v>
      </c>
      <c r="L98" s="351"/>
      <c r="M98" s="351" t="s">
        <v>2742</v>
      </c>
      <c r="N98" s="440" t="s">
        <v>2930</v>
      </c>
      <c r="O98" s="351"/>
      <c r="P98" s="351"/>
      <c r="BB98" s="4" t="s">
        <v>120</v>
      </c>
      <c r="BC98" s="4" t="s">
        <v>333</v>
      </c>
      <c r="BD98" s="4" t="str">
        <f t="shared" si="3"/>
        <v>K:\16_EAU_WATER\01_PLAN\PGE 2022-2027\03 Rédaction\Version finale FR\PGE3_Axe6_FP_M6.11.docx</v>
      </c>
    </row>
    <row r="99" spans="1:56" x14ac:dyDescent="0.25">
      <c r="A99" s="349" t="str">
        <f t="shared" si="2"/>
        <v>M 6.12</v>
      </c>
      <c r="B99" s="479" t="s">
        <v>322</v>
      </c>
      <c r="C99" s="351">
        <v>6</v>
      </c>
      <c r="D99" s="351" t="s">
        <v>176</v>
      </c>
      <c r="E99" s="351" t="s">
        <v>155</v>
      </c>
      <c r="F99" s="351">
        <v>0</v>
      </c>
      <c r="G99" s="351">
        <v>0</v>
      </c>
      <c r="H99" s="351">
        <v>0</v>
      </c>
      <c r="I99" s="351"/>
      <c r="J99" s="351"/>
      <c r="K99" s="351">
        <v>0</v>
      </c>
      <c r="L99" s="351" t="s">
        <v>2882</v>
      </c>
      <c r="M99" s="351" t="s">
        <v>2224</v>
      </c>
      <c r="N99" s="351"/>
      <c r="O99" s="351"/>
      <c r="P99" s="351"/>
      <c r="Q99" t="s">
        <v>2997</v>
      </c>
      <c r="BB99" s="4" t="s">
        <v>121</v>
      </c>
      <c r="BC99" s="4" t="s">
        <v>334</v>
      </c>
      <c r="BD99" s="4" t="str">
        <f t="shared" si="3"/>
        <v>K:\16_EAU_WATER\01_PLAN\PGE 2022-2027\03 Rédaction\Version finale FR\PGE3_Axe6_FP_M6.12.docx</v>
      </c>
    </row>
    <row r="100" spans="1:56" ht="25.5" x14ac:dyDescent="0.25">
      <c r="A100" s="349" t="str">
        <f t="shared" si="2"/>
        <v>M 7.1</v>
      </c>
      <c r="B100" s="479" t="s">
        <v>2586</v>
      </c>
      <c r="C100" s="351">
        <v>7</v>
      </c>
      <c r="D100" s="351" t="s">
        <v>177</v>
      </c>
      <c r="E100" s="351" t="s">
        <v>178</v>
      </c>
      <c r="F100" s="351">
        <v>0</v>
      </c>
      <c r="G100" s="351" t="s">
        <v>54</v>
      </c>
      <c r="H100" s="351">
        <v>0</v>
      </c>
      <c r="I100" s="351"/>
      <c r="J100" s="351"/>
      <c r="K100" s="351" t="s">
        <v>54</v>
      </c>
      <c r="L100" s="351"/>
      <c r="M100" s="351" t="s">
        <v>2224</v>
      </c>
      <c r="N100" s="351"/>
      <c r="O100" s="351"/>
      <c r="P100" s="351"/>
      <c r="Q100" t="s">
        <v>2997</v>
      </c>
      <c r="BB100" s="4" t="s">
        <v>122</v>
      </c>
      <c r="BC100" s="4" t="s">
        <v>335</v>
      </c>
      <c r="BD100" s="4" t="str">
        <f t="shared" si="3"/>
        <v>K:\16_EAU_WATER\01_PLAN\PGE 2022-2027\03 Rédaction\Version finale FR\PGE3_Axe7_FP_M7.1.docx</v>
      </c>
    </row>
    <row r="101" spans="1:56" ht="25.5" x14ac:dyDescent="0.25">
      <c r="A101" s="349" t="str">
        <f t="shared" si="2"/>
        <v>M 7.2</v>
      </c>
      <c r="B101" s="479" t="s">
        <v>387</v>
      </c>
      <c r="C101" s="351">
        <v>7</v>
      </c>
      <c r="D101" s="351" t="s">
        <v>177</v>
      </c>
      <c r="E101" s="351" t="s">
        <v>179</v>
      </c>
      <c r="F101" s="351">
        <v>0</v>
      </c>
      <c r="G101" s="351">
        <v>0</v>
      </c>
      <c r="H101" s="351">
        <v>0</v>
      </c>
      <c r="I101" s="351"/>
      <c r="J101" s="351"/>
      <c r="K101" s="351" t="s">
        <v>54</v>
      </c>
      <c r="L101" s="351" t="s">
        <v>1532</v>
      </c>
      <c r="M101" s="351" t="s">
        <v>2224</v>
      </c>
      <c r="N101" s="440" t="s">
        <v>2919</v>
      </c>
      <c r="O101" s="351" t="s">
        <v>2871</v>
      </c>
      <c r="P101" s="351"/>
      <c r="BB101" s="4" t="s">
        <v>123</v>
      </c>
      <c r="BC101" s="4" t="s">
        <v>336</v>
      </c>
      <c r="BD101" s="4" t="str">
        <f t="shared" si="3"/>
        <v>K:\16_EAU_WATER\01_PLAN\PGE 2022-2027\03 Rédaction\Version finale FR\PGE3_Axe7_FP_M7.2.docx</v>
      </c>
    </row>
    <row r="102" spans="1:56" ht="25.5" x14ac:dyDescent="0.25">
      <c r="A102" s="349" t="str">
        <f t="shared" si="2"/>
        <v>M 7.3</v>
      </c>
      <c r="B102" s="479" t="s">
        <v>352</v>
      </c>
      <c r="C102" s="351">
        <v>7</v>
      </c>
      <c r="D102" s="351" t="s">
        <v>177</v>
      </c>
      <c r="E102" s="351" t="s">
        <v>179</v>
      </c>
      <c r="F102" s="351">
        <v>0</v>
      </c>
      <c r="G102" s="351">
        <v>0</v>
      </c>
      <c r="H102" s="351">
        <v>0</v>
      </c>
      <c r="I102" s="351"/>
      <c r="J102" s="351"/>
      <c r="K102" s="351" t="s">
        <v>54</v>
      </c>
      <c r="L102" s="351" t="s">
        <v>2883</v>
      </c>
      <c r="M102" s="351" t="s">
        <v>2224</v>
      </c>
      <c r="N102" s="440" t="s">
        <v>2919</v>
      </c>
      <c r="O102" s="351" t="s">
        <v>2871</v>
      </c>
      <c r="P102" s="351"/>
      <c r="BB102" s="4" t="s">
        <v>124</v>
      </c>
      <c r="BC102" s="4" t="s">
        <v>337</v>
      </c>
      <c r="BD102" s="4" t="str">
        <f t="shared" si="3"/>
        <v>K:\16_EAU_WATER\01_PLAN\PGE 2022-2027\03 Rédaction\Version finale FR\PGE3_Axe7_FP_M7.3.docx</v>
      </c>
    </row>
    <row r="103" spans="1:56" ht="25.5" x14ac:dyDescent="0.25">
      <c r="A103" s="349" t="str">
        <f t="shared" si="2"/>
        <v>M 7.4</v>
      </c>
      <c r="B103" s="479" t="s">
        <v>353</v>
      </c>
      <c r="C103" s="351">
        <v>7</v>
      </c>
      <c r="D103" s="351" t="s">
        <v>177</v>
      </c>
      <c r="E103" s="351" t="s">
        <v>179</v>
      </c>
      <c r="F103" s="351">
        <v>0</v>
      </c>
      <c r="G103" s="351">
        <v>0</v>
      </c>
      <c r="H103" s="351">
        <v>0</v>
      </c>
      <c r="I103" s="351"/>
      <c r="J103" s="351"/>
      <c r="K103" s="351">
        <v>0</v>
      </c>
      <c r="L103" s="351" t="s">
        <v>2883</v>
      </c>
      <c r="M103" s="351" t="s">
        <v>2224</v>
      </c>
      <c r="N103" s="440" t="s">
        <v>2919</v>
      </c>
      <c r="O103" s="351" t="s">
        <v>2871</v>
      </c>
      <c r="P103" s="351"/>
      <c r="BB103" s="4" t="s">
        <v>125</v>
      </c>
      <c r="BC103" s="4" t="s">
        <v>338</v>
      </c>
      <c r="BD103" s="4" t="str">
        <f t="shared" si="3"/>
        <v>K:\16_EAU_WATER\01_PLAN\PGE 2022-2027\03 Rédaction\Version finale FR\PGE3_Axe7_FP_M7.4.docx</v>
      </c>
    </row>
    <row r="104" spans="1:56" ht="25.5" x14ac:dyDescent="0.25">
      <c r="A104" s="349" t="str">
        <f t="shared" si="2"/>
        <v>M 7.5</v>
      </c>
      <c r="B104" s="479" t="s">
        <v>2617</v>
      </c>
      <c r="C104" s="351">
        <v>7</v>
      </c>
      <c r="D104" s="351" t="s">
        <v>177</v>
      </c>
      <c r="E104" s="351" t="s">
        <v>179</v>
      </c>
      <c r="F104" s="351">
        <v>0</v>
      </c>
      <c r="G104" s="351">
        <v>0</v>
      </c>
      <c r="H104" s="351">
        <v>0</v>
      </c>
      <c r="I104" s="351"/>
      <c r="J104" s="351"/>
      <c r="K104" s="351" t="s">
        <v>54</v>
      </c>
      <c r="L104" s="351" t="s">
        <v>2883</v>
      </c>
      <c r="M104" s="351" t="s">
        <v>2224</v>
      </c>
      <c r="N104" s="440" t="s">
        <v>2919</v>
      </c>
      <c r="O104" s="351" t="s">
        <v>2871</v>
      </c>
      <c r="P104" s="351"/>
      <c r="BB104" s="4" t="s">
        <v>126</v>
      </c>
      <c r="BC104" s="4" t="s">
        <v>339</v>
      </c>
      <c r="BD104" s="4" t="str">
        <f t="shared" si="3"/>
        <v>K:\16_EAU_WATER\01_PLAN\PGE 2022-2027\03 Rédaction\Version finale FR\PGE3_Axe7_FP_M7.5.docx</v>
      </c>
    </row>
    <row r="105" spans="1:56" ht="25.5" x14ac:dyDescent="0.25">
      <c r="A105" s="349" t="str">
        <f t="shared" si="2"/>
        <v>M 7.6</v>
      </c>
      <c r="B105" s="479" t="s">
        <v>388</v>
      </c>
      <c r="C105" s="351">
        <v>7</v>
      </c>
      <c r="D105" s="351" t="s">
        <v>180</v>
      </c>
      <c r="E105" s="351" t="s">
        <v>155</v>
      </c>
      <c r="F105" s="351">
        <v>0</v>
      </c>
      <c r="G105" s="351" t="s">
        <v>54</v>
      </c>
      <c r="H105" s="351">
        <v>0</v>
      </c>
      <c r="I105" s="351"/>
      <c r="J105" s="351"/>
      <c r="K105" s="351" t="s">
        <v>54</v>
      </c>
      <c r="L105" s="351" t="s">
        <v>2883</v>
      </c>
      <c r="M105" s="351" t="s">
        <v>2224</v>
      </c>
      <c r="N105" s="440" t="s">
        <v>2919</v>
      </c>
      <c r="O105" s="351" t="s">
        <v>2871</v>
      </c>
      <c r="P105" s="351"/>
      <c r="BB105" s="4" t="s">
        <v>127</v>
      </c>
      <c r="BC105" s="4" t="s">
        <v>340</v>
      </c>
      <c r="BD105" s="4" t="str">
        <f t="shared" si="3"/>
        <v>K:\16_EAU_WATER\01_PLAN\PGE 2022-2027\03 Rédaction\Version finale FR\PGE3_Axe7_FP_M7.6.docx</v>
      </c>
    </row>
    <row r="106" spans="1:56" ht="25.5" x14ac:dyDescent="0.25">
      <c r="A106" s="349" t="str">
        <f t="shared" si="2"/>
        <v>M 7.7</v>
      </c>
      <c r="B106" s="479" t="s">
        <v>354</v>
      </c>
      <c r="C106" s="351">
        <v>7</v>
      </c>
      <c r="D106" s="351" t="s">
        <v>180</v>
      </c>
      <c r="E106" s="351" t="s">
        <v>155</v>
      </c>
      <c r="F106" s="351">
        <v>0</v>
      </c>
      <c r="G106" s="351" t="s">
        <v>54</v>
      </c>
      <c r="H106" s="351">
        <v>0</v>
      </c>
      <c r="I106" s="351"/>
      <c r="J106" s="351"/>
      <c r="K106" s="351" t="s">
        <v>54</v>
      </c>
      <c r="L106" s="351" t="s">
        <v>1532</v>
      </c>
      <c r="M106" s="351" t="s">
        <v>2224</v>
      </c>
      <c r="N106" s="440" t="s">
        <v>2919</v>
      </c>
      <c r="O106" s="351" t="s">
        <v>2881</v>
      </c>
      <c r="P106" s="351"/>
      <c r="BB106" s="4" t="s">
        <v>128</v>
      </c>
      <c r="BC106" s="4" t="s">
        <v>341</v>
      </c>
      <c r="BD106" s="4" t="str">
        <f t="shared" si="3"/>
        <v>K:\16_EAU_WATER\01_PLAN\PGE 2022-2027\03 Rédaction\Version finale FR\PGE3_Axe7_FP_M7.7.docx</v>
      </c>
    </row>
    <row r="107" spans="1:56" x14ac:dyDescent="0.25">
      <c r="A107" s="349" t="str">
        <f t="shared" si="2"/>
        <v>M 7.8</v>
      </c>
      <c r="B107" s="479" t="s">
        <v>355</v>
      </c>
      <c r="C107" s="351">
        <v>7</v>
      </c>
      <c r="D107" s="351" t="s">
        <v>180</v>
      </c>
      <c r="E107" s="351" t="s">
        <v>155</v>
      </c>
      <c r="F107" s="351">
        <v>0</v>
      </c>
      <c r="G107" s="351">
        <v>0</v>
      </c>
      <c r="H107" s="351">
        <v>0</v>
      </c>
      <c r="I107" s="351"/>
      <c r="J107" s="351"/>
      <c r="K107" s="351">
        <v>0</v>
      </c>
      <c r="L107" s="351" t="s">
        <v>2883</v>
      </c>
      <c r="M107" s="351" t="s">
        <v>2744</v>
      </c>
      <c r="N107" s="440"/>
      <c r="O107" s="351"/>
      <c r="P107" s="351"/>
      <c r="Q107" t="s">
        <v>2997</v>
      </c>
      <c r="BB107" s="4" t="s">
        <v>129</v>
      </c>
      <c r="BC107" s="4" t="s">
        <v>342</v>
      </c>
      <c r="BD107" s="4" t="str">
        <f t="shared" si="3"/>
        <v>K:\16_EAU_WATER\01_PLAN\PGE 2022-2027\03 Rédaction\Version finale FR\PGE3_Axe7_FP_M7.8.docx</v>
      </c>
    </row>
    <row r="108" spans="1:56" ht="25.5" x14ac:dyDescent="0.25">
      <c r="A108" s="349" t="str">
        <f t="shared" si="2"/>
        <v>M 7.9</v>
      </c>
      <c r="B108" s="479" t="s">
        <v>356</v>
      </c>
      <c r="C108" s="351">
        <v>7</v>
      </c>
      <c r="D108" s="351" t="s">
        <v>181</v>
      </c>
      <c r="E108" s="351" t="s">
        <v>182</v>
      </c>
      <c r="F108" s="351">
        <v>0</v>
      </c>
      <c r="G108" s="351">
        <v>0</v>
      </c>
      <c r="H108" s="351">
        <v>0</v>
      </c>
      <c r="I108" s="351"/>
      <c r="J108" s="351"/>
      <c r="K108" s="351">
        <v>0</v>
      </c>
      <c r="L108" s="351" t="s">
        <v>2883</v>
      </c>
      <c r="M108" s="351" t="s">
        <v>2742</v>
      </c>
      <c r="N108" s="440" t="s">
        <v>2919</v>
      </c>
      <c r="O108" s="351"/>
      <c r="P108" s="351"/>
      <c r="BB108" s="4" t="s">
        <v>130</v>
      </c>
      <c r="BC108" s="4" t="s">
        <v>343</v>
      </c>
      <c r="BD108" s="4" t="str">
        <f t="shared" si="3"/>
        <v>K:\16_EAU_WATER\01_PLAN\PGE 2022-2027\03 Rédaction\Version finale FR\PGE3_Axe7_FP_M7.9.docx</v>
      </c>
    </row>
    <row r="109" spans="1:56" ht="25.5" x14ac:dyDescent="0.25">
      <c r="A109" s="349" t="str">
        <f t="shared" si="2"/>
        <v>M 7.10</v>
      </c>
      <c r="B109" s="479" t="s">
        <v>2587</v>
      </c>
      <c r="C109" s="351">
        <v>7</v>
      </c>
      <c r="D109" s="351" t="s">
        <v>181</v>
      </c>
      <c r="E109" s="351" t="s">
        <v>182</v>
      </c>
      <c r="F109" s="351">
        <v>0</v>
      </c>
      <c r="G109" s="351">
        <v>0</v>
      </c>
      <c r="H109" s="351">
        <v>0</v>
      </c>
      <c r="I109" s="351"/>
      <c r="J109" s="351"/>
      <c r="K109" s="351">
        <v>0</v>
      </c>
      <c r="L109" s="351" t="s">
        <v>2883</v>
      </c>
      <c r="M109" s="351" t="s">
        <v>2742</v>
      </c>
      <c r="N109" s="351"/>
      <c r="O109" s="351"/>
      <c r="P109" s="351"/>
      <c r="Q109" t="s">
        <v>2997</v>
      </c>
      <c r="BB109" s="4" t="s">
        <v>131</v>
      </c>
      <c r="BC109" s="4" t="s">
        <v>344</v>
      </c>
      <c r="BD109" s="4" t="str">
        <f t="shared" si="3"/>
        <v>K:\16_EAU_WATER\01_PLAN\PGE 2022-2027\03 Rédaction\Version finale FR\PGE3_Axe7_FP_M7.10.docx</v>
      </c>
    </row>
    <row r="110" spans="1:56" ht="25.5" x14ac:dyDescent="0.25">
      <c r="A110" s="349" t="str">
        <f t="shared" si="2"/>
        <v>M 7.11</v>
      </c>
      <c r="B110" s="479" t="s">
        <v>389</v>
      </c>
      <c r="C110" s="351">
        <v>7</v>
      </c>
      <c r="D110" s="351" t="s">
        <v>181</v>
      </c>
      <c r="E110" s="351" t="s">
        <v>182</v>
      </c>
      <c r="F110" s="351">
        <v>0</v>
      </c>
      <c r="G110" s="351">
        <v>0</v>
      </c>
      <c r="H110" s="351">
        <v>0</v>
      </c>
      <c r="I110" s="351"/>
      <c r="J110" s="351"/>
      <c r="K110" s="351">
        <v>0</v>
      </c>
      <c r="L110" s="351" t="s">
        <v>2882</v>
      </c>
      <c r="M110" s="351" t="s">
        <v>2742</v>
      </c>
      <c r="N110" s="351"/>
      <c r="O110" s="351"/>
      <c r="P110" s="351"/>
      <c r="Q110" t="s">
        <v>2997</v>
      </c>
      <c r="BB110" s="4" t="s">
        <v>132</v>
      </c>
      <c r="BC110" s="4" t="s">
        <v>345</v>
      </c>
      <c r="BD110" s="4" t="str">
        <f t="shared" si="3"/>
        <v>K:\16_EAU_WATER\01_PLAN\PGE 2022-2027\03 Rédaction\Version finale FR\PGE3_Axe7_FP_M7.11.docx</v>
      </c>
    </row>
    <row r="111" spans="1:56" ht="25.5" x14ac:dyDescent="0.25">
      <c r="A111" s="349" t="str">
        <f t="shared" si="2"/>
        <v>M 7.12</v>
      </c>
      <c r="B111" s="479" t="s">
        <v>390</v>
      </c>
      <c r="C111" s="351">
        <v>7</v>
      </c>
      <c r="D111" s="351" t="s">
        <v>181</v>
      </c>
      <c r="E111" s="351" t="s">
        <v>183</v>
      </c>
      <c r="F111" s="351">
        <v>0</v>
      </c>
      <c r="G111" s="351">
        <v>0</v>
      </c>
      <c r="H111" s="351">
        <v>0</v>
      </c>
      <c r="I111" s="351"/>
      <c r="J111" s="351"/>
      <c r="K111" s="351">
        <v>0</v>
      </c>
      <c r="L111" s="351"/>
      <c r="M111" s="351" t="s">
        <v>2742</v>
      </c>
      <c r="N111" s="440" t="s">
        <v>2919</v>
      </c>
      <c r="O111" s="351"/>
      <c r="P111" s="351"/>
      <c r="BB111" s="4" t="s">
        <v>133</v>
      </c>
      <c r="BC111" s="4" t="s">
        <v>346</v>
      </c>
      <c r="BD111" s="4" t="str">
        <f t="shared" si="3"/>
        <v>K:\16_EAU_WATER\01_PLAN\PGE 2022-2027\03 Rédaction\Version finale FR\PGE3_Axe7_FP_M7.12.docx</v>
      </c>
    </row>
    <row r="112" spans="1:56" x14ac:dyDescent="0.25">
      <c r="A112" s="349" t="str">
        <f t="shared" si="2"/>
        <v>M 8.1</v>
      </c>
      <c r="B112" s="479" t="s">
        <v>391</v>
      </c>
      <c r="C112" s="351">
        <v>8</v>
      </c>
      <c r="D112" s="351" t="s">
        <v>184</v>
      </c>
      <c r="E112" s="351" t="s">
        <v>155</v>
      </c>
      <c r="F112" s="351">
        <v>0</v>
      </c>
      <c r="G112" s="351">
        <v>0</v>
      </c>
      <c r="H112" s="351">
        <v>0</v>
      </c>
      <c r="I112" s="351"/>
      <c r="J112" s="351"/>
      <c r="K112" s="351" t="s">
        <v>54</v>
      </c>
      <c r="L112" s="351" t="s">
        <v>2882</v>
      </c>
      <c r="M112" s="351" t="s">
        <v>2224</v>
      </c>
      <c r="N112" s="351"/>
      <c r="O112" s="351" t="s">
        <v>2881</v>
      </c>
      <c r="P112" s="351"/>
      <c r="Q112" t="s">
        <v>2997</v>
      </c>
      <c r="BB112" s="4" t="s">
        <v>134</v>
      </c>
      <c r="BC112" s="4" t="s">
        <v>347</v>
      </c>
      <c r="BD112" s="4" t="str">
        <f t="shared" si="3"/>
        <v>K:\16_EAU_WATER\01_PLAN\PGE 2022-2027\03 Rédaction\Version finale FR\PGE3_Axe8_FP_M8.1.docx</v>
      </c>
    </row>
    <row r="113" spans="1:56" x14ac:dyDescent="0.25">
      <c r="A113" s="349" t="str">
        <f t="shared" si="2"/>
        <v>M 8.2</v>
      </c>
      <c r="B113" s="479" t="s">
        <v>357</v>
      </c>
      <c r="C113" s="351">
        <v>8</v>
      </c>
      <c r="D113" s="351" t="s">
        <v>184</v>
      </c>
      <c r="E113" s="351" t="s">
        <v>155</v>
      </c>
      <c r="F113" s="351">
        <v>0</v>
      </c>
      <c r="G113" s="351">
        <v>0</v>
      </c>
      <c r="H113" s="351">
        <v>0</v>
      </c>
      <c r="I113" s="351"/>
      <c r="J113" s="351"/>
      <c r="K113" s="351">
        <v>0</v>
      </c>
      <c r="L113" s="351" t="s">
        <v>2882</v>
      </c>
      <c r="M113" s="351" t="s">
        <v>2224</v>
      </c>
      <c r="N113" s="351"/>
      <c r="O113" s="351" t="s">
        <v>2881</v>
      </c>
      <c r="P113" s="351"/>
      <c r="Q113" t="s">
        <v>2997</v>
      </c>
      <c r="BB113" s="4" t="s">
        <v>135</v>
      </c>
      <c r="BC113" s="4" t="s">
        <v>348</v>
      </c>
      <c r="BD113" s="4" t="str">
        <f t="shared" si="3"/>
        <v>K:\16_EAU_WATER\01_PLAN\PGE 2022-2027\03 Rédaction\Version finale FR\PGE3_Axe8_FP_M8.2.docx</v>
      </c>
    </row>
    <row r="114" spans="1:56" ht="25.5" x14ac:dyDescent="0.25">
      <c r="A114" s="349" t="str">
        <f t="shared" si="2"/>
        <v>M 8.3</v>
      </c>
      <c r="B114" s="479" t="s">
        <v>358</v>
      </c>
      <c r="C114" s="351">
        <v>8</v>
      </c>
      <c r="D114" s="351" t="s">
        <v>184</v>
      </c>
      <c r="E114" s="351" t="s">
        <v>155</v>
      </c>
      <c r="F114" s="351">
        <v>0</v>
      </c>
      <c r="G114" s="351">
        <v>0</v>
      </c>
      <c r="H114" s="351" t="s">
        <v>54</v>
      </c>
      <c r="I114" s="351"/>
      <c r="J114" s="351"/>
      <c r="K114" s="351" t="s">
        <v>54</v>
      </c>
      <c r="L114" s="351" t="s">
        <v>2882</v>
      </c>
      <c r="M114" s="351" t="s">
        <v>2224</v>
      </c>
      <c r="N114" s="351"/>
      <c r="O114" s="351" t="s">
        <v>2881</v>
      </c>
      <c r="P114" s="351"/>
      <c r="Q114" t="s">
        <v>2997</v>
      </c>
      <c r="BB114" s="4" t="s">
        <v>136</v>
      </c>
      <c r="BC114" s="4" t="s">
        <v>349</v>
      </c>
      <c r="BD114" s="4" t="str">
        <f t="shared" si="3"/>
        <v>K:\16_EAU_WATER\01_PLAN\PGE 2022-2027\03 Rédaction\Version finale FR\PGE3_Axe8_FP_M8.3.docx</v>
      </c>
    </row>
    <row r="115" spans="1:56" x14ac:dyDescent="0.25">
      <c r="A115" s="349" t="str">
        <f t="shared" si="2"/>
        <v>M 8.4</v>
      </c>
      <c r="B115" s="479" t="s">
        <v>359</v>
      </c>
      <c r="C115" s="351">
        <v>8</v>
      </c>
      <c r="D115" s="351" t="s">
        <v>185</v>
      </c>
      <c r="E115" s="351" t="s">
        <v>155</v>
      </c>
      <c r="F115" s="351">
        <v>0</v>
      </c>
      <c r="G115" s="351">
        <v>0</v>
      </c>
      <c r="H115" s="351">
        <v>0</v>
      </c>
      <c r="I115" s="351"/>
      <c r="J115" s="351"/>
      <c r="K115" s="351">
        <v>0</v>
      </c>
      <c r="L115" s="351" t="s">
        <v>2882</v>
      </c>
      <c r="M115" s="351" t="s">
        <v>2742</v>
      </c>
      <c r="N115" s="351"/>
      <c r="O115" s="351"/>
      <c r="P115" s="351"/>
      <c r="Q115" t="s">
        <v>2997</v>
      </c>
      <c r="BB115" s="4" t="s">
        <v>137</v>
      </c>
      <c r="BC115" s="4" t="s">
        <v>350</v>
      </c>
      <c r="BD115" s="4" t="str">
        <f t="shared" si="3"/>
        <v>K:\16_EAU_WATER\01_PLAN\PGE 2022-2027\03 Rédaction\Version finale FR\PGE3_Axe8_FP_M8.4.docx</v>
      </c>
    </row>
    <row r="116" spans="1:56" ht="25.5" x14ac:dyDescent="0.25">
      <c r="A116" s="349" t="str">
        <f t="shared" si="2"/>
        <v>M 8.5</v>
      </c>
      <c r="B116" s="479" t="s">
        <v>2964</v>
      </c>
      <c r="C116" s="351">
        <v>8</v>
      </c>
      <c r="D116" s="351" t="s">
        <v>185</v>
      </c>
      <c r="E116" s="351" t="s">
        <v>155</v>
      </c>
      <c r="F116" s="351">
        <v>0</v>
      </c>
      <c r="G116" s="351">
        <v>0</v>
      </c>
      <c r="H116" s="351" t="s">
        <v>54</v>
      </c>
      <c r="I116" s="351"/>
      <c r="J116" s="351"/>
      <c r="K116" s="351" t="s">
        <v>54</v>
      </c>
      <c r="L116" s="351" t="s">
        <v>1532</v>
      </c>
      <c r="M116" s="351" t="s">
        <v>2744</v>
      </c>
      <c r="N116" s="351"/>
      <c r="O116" s="351"/>
      <c r="P116" s="351"/>
      <c r="Q116" t="s">
        <v>2997</v>
      </c>
      <c r="BB116" s="4" t="s">
        <v>139</v>
      </c>
      <c r="BC116" s="4" t="s">
        <v>351</v>
      </c>
      <c r="BD116" s="4" t="str">
        <f t="shared" si="3"/>
        <v>K:\16_EAU_WATER\01_PLAN\PGE 2022-2027\03 Rédaction\Version finale FR\PGE3_Axe8_FP_M8.5.docx</v>
      </c>
    </row>
  </sheetData>
  <autoFilter ref="A1:BL116" xr:uid="{00000000-0009-0000-0000-000001000000}"/>
  <customSheetViews>
    <customSheetView guid="{EF54F107-4E56-41C4-B59A-31FB3D27216D}" scale="85" showGridLines="0" hiddenColumns="1">
      <pane ySplit="1" topLeftCell="A27" activePane="bottomLeft" state="frozen"/>
      <selection pane="bottomLeft" activeCell="A49" sqref="A49"/>
      <pageMargins left="0.7" right="0.7" top="0.75" bottom="0.75" header="0.3" footer="0.3"/>
    </customSheetView>
    <customSheetView guid="{BE3EE00A-D71D-42E2-9B4E-9074C9F164D4}" scale="85" showGridLines="0" hiddenColumns="1">
      <pane ySplit="1" topLeftCell="A73" activePane="bottomLeft" state="frozen"/>
      <selection pane="bottomLeft" activeCell="B78" sqref="B78"/>
      <pageMargins left="0.7" right="0.7" top="0.75" bottom="0.75" header="0.3" footer="0.3"/>
    </customSheetView>
    <customSheetView guid="{6F4699E4-61E0-4F72-A87D-3552E39DD65C}" scale="85" showGridLines="0" hiddenColumns="1">
      <pane ySplit="1" topLeftCell="A35" activePane="bottomLeft" state="frozen"/>
      <selection pane="bottomLeft" activeCell="B102" sqref="B102"/>
      <pageMargins left="0.7" right="0.7" top="0.75" bottom="0.75" header="0.3" footer="0.3"/>
    </customSheetView>
  </customSheetViews>
  <conditionalFormatting sqref="L2:L116">
    <cfRule type="cellIs" dxfId="39" priority="1" operator="equal">
      <formula>"N"</formula>
    </cfRule>
    <cfRule type="cellIs" dxfId="38" priority="2" operator="equal">
      <formula>"p"</formula>
    </cfRule>
    <cfRule type="cellIs" dxfId="37" priority="3" operator="equal">
      <formula>"A"</formula>
    </cfRule>
  </conditionalFormatting>
  <dataValidations count="3">
    <dataValidation allowBlank="1" showInputMessage="1" showErrorMessage="1" promptTitle="Code couleur" prompt="1 vert,2 orange et 3 rouge" sqref="L1" xr:uid="{00000000-0002-0000-0100-000000000000}"/>
    <dataValidation allowBlank="1" showInputMessage="1" showErrorMessage="1" prompt="BM: Basic Measure_x000a_SM: Supplementary Measure_x000a_AM: Additional Measure_x000a_" sqref="M1" xr:uid="{00000000-0002-0000-0100-000001000000}"/>
    <dataValidation type="list" allowBlank="1" showInputMessage="1" showErrorMessage="1" sqref="I2:I116" xr:uid="{00000000-0002-0000-0100-000002000000}">
      <formula1>Flag_Axe</formula1>
    </dataValidation>
  </dataValidations>
  <hyperlinks>
    <hyperlink ref="BD1" r:id="rId1" display="file:///\\data\ged$\16_EAU_WATER\01_PLAN\PGE 2022-2027\03 Rédaction\Chapitre 6 - Programme de mesures\PDM_FICHE_FINAL" xr:uid="{00000000-0004-0000-0100-000000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3000000}">
          <x14:formula1>
            <xm:f>'12.Validation co'!$A$2:$A$4</xm:f>
          </x14:formula1>
          <xm:sqref>M2:M116</xm:sqref>
        </x14:dataValidation>
        <x14:dataValidation type="list" allowBlank="1" showInputMessage="1" showErrorMessage="1" xr:uid="{00000000-0002-0000-0100-000004000000}">
          <x14:formula1>
            <xm:f>'12.Validation co'!$E$2:$E$26</xm:f>
          </x14:formula1>
          <xm:sqref>N2:N116</xm:sqref>
        </x14:dataValidation>
        <x14:dataValidation type="list" allowBlank="1" showInputMessage="1" showErrorMessage="1" xr:uid="{00000000-0002-0000-0100-000005000000}">
          <x14:formula1>
            <xm:f>'12.Validation co'!$G$2:$G$3</xm:f>
          </x14:formula1>
          <xm:sqref>P2:P116</xm:sqref>
        </x14:dataValidation>
        <x14:dataValidation type="list" allowBlank="1" showInputMessage="1" showErrorMessage="1" xr:uid="{00000000-0002-0000-0100-000007000000}">
          <x14:formula1>
            <xm:f>'12.Validation co'!$F$2:$F$17</xm:f>
          </x14:formula1>
          <xm:sqref>O2:O116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7"/>
  <dimension ref="A1:V731"/>
  <sheetViews>
    <sheetView showGridLines="0" topLeftCell="J1" zoomScale="85" zoomScaleNormal="85" workbookViewId="0">
      <selection activeCell="L6" sqref="L6"/>
    </sheetView>
  </sheetViews>
  <sheetFormatPr baseColWidth="10" defaultColWidth="10.85546875" defaultRowHeight="15" x14ac:dyDescent="0.25"/>
  <cols>
    <col min="6" max="6" width="106.5703125" style="6" customWidth="1"/>
    <col min="7" max="7" width="39.5703125" bestFit="1" customWidth="1"/>
    <col min="8" max="15" width="39.5703125" customWidth="1"/>
    <col min="22" max="22" width="12.85546875" bestFit="1" customWidth="1"/>
  </cols>
  <sheetData>
    <row r="1" spans="1:22" x14ac:dyDescent="0.25">
      <c r="A1" s="466" t="s">
        <v>30</v>
      </c>
      <c r="B1" s="466" t="s">
        <v>1673</v>
      </c>
      <c r="C1" s="466" t="s">
        <v>1674</v>
      </c>
      <c r="D1" s="466" t="s">
        <v>412</v>
      </c>
      <c r="E1" s="466" t="s">
        <v>413</v>
      </c>
      <c r="F1" s="467" t="s">
        <v>29</v>
      </c>
      <c r="G1" s="466" t="s">
        <v>1579</v>
      </c>
      <c r="H1" s="466" t="s">
        <v>2729</v>
      </c>
      <c r="I1" s="466" t="s">
        <v>2730</v>
      </c>
      <c r="J1" s="466" t="s">
        <v>2731</v>
      </c>
      <c r="K1" s="466" t="s">
        <v>2732</v>
      </c>
      <c r="L1" s="466" t="s">
        <v>2733</v>
      </c>
      <c r="M1" s="466" t="s">
        <v>2734</v>
      </c>
      <c r="N1" s="466" t="s">
        <v>2735</v>
      </c>
      <c r="O1" s="466" t="s">
        <v>2736</v>
      </c>
      <c r="P1" s="468">
        <v>2022</v>
      </c>
      <c r="Q1" s="468">
        <v>2023</v>
      </c>
      <c r="R1" s="468">
        <v>2024</v>
      </c>
      <c r="S1" s="468">
        <v>2025</v>
      </c>
      <c r="T1" s="468">
        <v>2026</v>
      </c>
      <c r="U1" s="468">
        <v>2027</v>
      </c>
      <c r="V1" s="468" t="s">
        <v>394</v>
      </c>
    </row>
    <row r="2" spans="1:22" ht="26.25" x14ac:dyDescent="0.25">
      <c r="A2" s="464">
        <v>1</v>
      </c>
      <c r="B2" s="459" t="s">
        <v>52</v>
      </c>
      <c r="C2" s="459" t="s">
        <v>53</v>
      </c>
      <c r="D2" s="459" t="s">
        <v>0</v>
      </c>
      <c r="E2" s="460" t="s">
        <v>636</v>
      </c>
      <c r="F2" s="469" t="str">
        <f>VLOOKUP(E2,'5. Consolidation'!$E$3:$F$715,2,0)</f>
        <v>Projet « Max-sur-Senne » : réaménagement du parc Maximilien avec mise à ciel ouvert de la Senne sur une longueur de 580 m minimum – Etude (également sur M6.6) (action C13_6 Belini)</v>
      </c>
      <c r="G2" s="469" t="str">
        <f>VLOOKUP(E2,'5.2 Actions'!$A$3:$D$720,4,0)</f>
        <v>SEN</v>
      </c>
      <c r="H2" s="459"/>
      <c r="I2" s="459"/>
      <c r="J2" s="459"/>
      <c r="K2" s="459"/>
      <c r="L2" s="459" t="s">
        <v>2715</v>
      </c>
      <c r="M2" s="461">
        <v>0</v>
      </c>
      <c r="N2" s="459">
        <v>2022</v>
      </c>
      <c r="O2" s="459">
        <v>2022</v>
      </c>
      <c r="P2" s="462">
        <f>VLOOKUP($E2,'5.1 Budget'!$A$4:$G$729,2,0)</f>
        <v>100000</v>
      </c>
      <c r="Q2" s="462">
        <f>VLOOKUP($E2,'5.1 Budget'!$A$4:$G$729,3,0)</f>
        <v>0</v>
      </c>
      <c r="R2" s="462">
        <f>VLOOKUP($E2,'5.1 Budget'!$A$4:$G$729,4,0)</f>
        <v>0</v>
      </c>
      <c r="S2" s="462">
        <f>VLOOKUP($E2,'5.1 Budget'!$A$4:$G$729,5,0)</f>
        <v>0</v>
      </c>
      <c r="T2" s="462">
        <f>VLOOKUP($E2,'5.1 Budget'!$A$4:$G$729,6,0)</f>
        <v>0</v>
      </c>
      <c r="U2" s="462">
        <f>VLOOKUP($E2,'5.1 Budget'!$A$4:$G$729,7,0)</f>
        <v>0</v>
      </c>
      <c r="V2" s="462">
        <f>SUM(P2:U2)</f>
        <v>100000</v>
      </c>
    </row>
    <row r="3" spans="1:22" ht="26.25" x14ac:dyDescent="0.25">
      <c r="A3" s="464">
        <v>1</v>
      </c>
      <c r="B3" s="459" t="s">
        <v>52</v>
      </c>
      <c r="C3" s="459" t="s">
        <v>53</v>
      </c>
      <c r="D3" s="459" t="s">
        <v>0</v>
      </c>
      <c r="E3" s="460" t="s">
        <v>640</v>
      </c>
      <c r="F3" s="469" t="str">
        <f>VLOOKUP(E3,'5. Consolidation'!$E$3:$F$715,2,0)</f>
        <v>Projet « Max-sur-Senne » : réaménagement du parc Maximilien avec mise à ciel ouvert de la Senne sur une longueur de 580 m minimum – Travaux (également sur M6.6)</v>
      </c>
      <c r="G3" s="469" t="str">
        <f>VLOOKUP(E3,'5.2 Actions'!$A$3:$D$720,4,0)</f>
        <v>SEN</v>
      </c>
      <c r="H3" s="459"/>
      <c r="I3" s="459"/>
      <c r="J3" s="459"/>
      <c r="K3" s="459"/>
      <c r="L3" s="459" t="s">
        <v>2715</v>
      </c>
      <c r="M3" s="461">
        <v>0</v>
      </c>
      <c r="N3" s="459">
        <v>2023</v>
      </c>
      <c r="O3" s="459">
        <v>2025</v>
      </c>
      <c r="P3" s="462">
        <f>VLOOKUP($E3,'5.1 Budget'!$A$4:$G$729,2,0)</f>
        <v>0</v>
      </c>
      <c r="Q3" s="462">
        <f>VLOOKUP($E3,'5.1 Budget'!$A$4:$G$729,3,0)</f>
        <v>1500000</v>
      </c>
      <c r="R3" s="462">
        <f>VLOOKUP($E3,'5.1 Budget'!$A$4:$G$729,4,0)</f>
        <v>1200000</v>
      </c>
      <c r="S3" s="462">
        <f>VLOOKUP($E3,'5.1 Budget'!$A$4:$G$729,5,0)</f>
        <v>1000000</v>
      </c>
      <c r="T3" s="462">
        <f>VLOOKUP($E3,'5.1 Budget'!$A$4:$G$729,6,0)</f>
        <v>0</v>
      </c>
      <c r="U3" s="462">
        <f>VLOOKUP($E3,'5.1 Budget'!$A$4:$G$729,7,0)</f>
        <v>0</v>
      </c>
      <c r="V3" s="462">
        <f t="shared" ref="V3:V66" si="0">SUM(P3:U3)</f>
        <v>3700000</v>
      </c>
    </row>
    <row r="4" spans="1:22" ht="26.25" x14ac:dyDescent="0.25">
      <c r="A4" s="464">
        <v>1</v>
      </c>
      <c r="B4" s="459" t="s">
        <v>52</v>
      </c>
      <c r="C4" s="459" t="s">
        <v>53</v>
      </c>
      <c r="D4" s="459" t="s">
        <v>0</v>
      </c>
      <c r="E4" s="460" t="s">
        <v>641</v>
      </c>
      <c r="F4" s="469" t="str">
        <f>VLOOKUP(E4,'5. Consolidation'!$E$3:$F$715,2,0)</f>
        <v>Projet Schaerbeek Formation : mise à ciel ouvert de la Senne sur le site de Schaerbeek Formation – Etude (également sur M6.6)</v>
      </c>
      <c r="G4" s="469" t="str">
        <f>VLOOKUP(E4,'5.2 Actions'!$A$3:$D$720,4,0)</f>
        <v>SEN</v>
      </c>
      <c r="H4" s="459"/>
      <c r="I4" s="459"/>
      <c r="J4" s="459"/>
      <c r="K4" s="459"/>
      <c r="L4" s="459" t="s">
        <v>2715</v>
      </c>
      <c r="M4" s="461">
        <v>0</v>
      </c>
      <c r="N4" s="459">
        <v>2023</v>
      </c>
      <c r="O4" s="459">
        <v>2023</v>
      </c>
      <c r="P4" s="462">
        <f>VLOOKUP($E4,'5.1 Budget'!$A$4:$G$729,2,0)</f>
        <v>0</v>
      </c>
      <c r="Q4" s="462">
        <f>VLOOKUP($E4,'5.1 Budget'!$A$4:$G$729,3,0)</f>
        <v>100000</v>
      </c>
      <c r="R4" s="462">
        <f>VLOOKUP($E4,'5.1 Budget'!$A$4:$G$729,4,0)</f>
        <v>0</v>
      </c>
      <c r="S4" s="462">
        <f>VLOOKUP($E4,'5.1 Budget'!$A$4:$G$729,5,0)</f>
        <v>0</v>
      </c>
      <c r="T4" s="462">
        <f>VLOOKUP($E4,'5.1 Budget'!$A$4:$G$729,6,0)</f>
        <v>0</v>
      </c>
      <c r="U4" s="462">
        <f>VLOOKUP($E4,'5.1 Budget'!$A$4:$G$729,7,0)</f>
        <v>0</v>
      </c>
      <c r="V4" s="462">
        <f t="shared" si="0"/>
        <v>100000</v>
      </c>
    </row>
    <row r="5" spans="1:22" ht="26.25" x14ac:dyDescent="0.25">
      <c r="A5" s="464">
        <v>1</v>
      </c>
      <c r="B5" s="459" t="s">
        <v>52</v>
      </c>
      <c r="C5" s="459" t="s">
        <v>53</v>
      </c>
      <c r="D5" s="459" t="s">
        <v>0</v>
      </c>
      <c r="E5" s="460" t="s">
        <v>642</v>
      </c>
      <c r="F5" s="469" t="str">
        <f>VLOOKUP(E5,'5. Consolidation'!$E$3:$F$715,2,0)</f>
        <v>Projet Schaerbeek Formation : mise à ciel ouvert de la Senne sur le site de Schaerbeek Formation –Travaux (également sur M6.6)</v>
      </c>
      <c r="G5" s="469" t="str">
        <f>VLOOKUP(E5,'5.2 Actions'!$A$3:$D$720,4,0)</f>
        <v>SEN</v>
      </c>
      <c r="H5" s="459"/>
      <c r="I5" s="459"/>
      <c r="J5" s="459"/>
      <c r="K5" s="459"/>
      <c r="L5" s="459" t="s">
        <v>2715</v>
      </c>
      <c r="M5" s="461">
        <v>0</v>
      </c>
      <c r="N5" s="459"/>
      <c r="O5" s="459"/>
      <c r="P5" s="462">
        <f>VLOOKUP($E5,'5.1 Budget'!$A$4:$G$729,2,0)</f>
        <v>0</v>
      </c>
      <c r="Q5" s="462">
        <f>VLOOKUP($E5,'5.1 Budget'!$A$4:$G$729,3,0)</f>
        <v>0</v>
      </c>
      <c r="R5" s="462">
        <f>VLOOKUP($E5,'5.1 Budget'!$A$4:$G$729,4,0)</f>
        <v>0</v>
      </c>
      <c r="S5" s="462">
        <f>VLOOKUP($E5,'5.1 Budget'!$A$4:$G$729,5,0)</f>
        <v>0</v>
      </c>
      <c r="T5" s="462">
        <f>VLOOKUP($E5,'5.1 Budget'!$A$4:$G$729,6,0)</f>
        <v>0</v>
      </c>
      <c r="U5" s="462">
        <f>VLOOKUP($E5,'5.1 Budget'!$A$4:$G$729,7,0)</f>
        <v>0</v>
      </c>
      <c r="V5" s="462">
        <f t="shared" si="0"/>
        <v>0</v>
      </c>
    </row>
    <row r="6" spans="1:22" ht="26.25" x14ac:dyDescent="0.25">
      <c r="A6" s="464">
        <v>1</v>
      </c>
      <c r="B6" s="459" t="s">
        <v>52</v>
      </c>
      <c r="C6" s="459" t="s">
        <v>53</v>
      </c>
      <c r="D6" s="459" t="s">
        <v>0</v>
      </c>
      <c r="E6" s="460" t="s">
        <v>643</v>
      </c>
      <c r="F6" s="469" t="str">
        <f>VLOOKUP(E6,'5. Consolidation'!$E$3:$F$715,2,0)</f>
        <v>Projet Poincaré : mise en perspective de la Senne au niveau du musée des égouts - Etude (fait partie de l’action C12_4 Belini)</v>
      </c>
      <c r="G6" s="469" t="str">
        <f>VLOOKUP(E6,'5.2 Actions'!$A$3:$D$720,4,0)</f>
        <v>SEN</v>
      </c>
      <c r="H6" s="459"/>
      <c r="I6" s="459"/>
      <c r="J6" s="459"/>
      <c r="K6" s="459"/>
      <c r="L6" s="459" t="s">
        <v>2715</v>
      </c>
      <c r="M6" s="461">
        <v>0</v>
      </c>
      <c r="N6" s="459">
        <v>2022</v>
      </c>
      <c r="O6" s="459">
        <v>2022</v>
      </c>
      <c r="P6" s="462">
        <f>VLOOKUP($E6,'5.1 Budget'!$A$4:$G$729,2,0)</f>
        <v>50000</v>
      </c>
      <c r="Q6" s="462">
        <f>VLOOKUP($E6,'5.1 Budget'!$A$4:$G$729,3,0)</f>
        <v>0</v>
      </c>
      <c r="R6" s="462">
        <f>VLOOKUP($E6,'5.1 Budget'!$A$4:$G$729,4,0)</f>
        <v>0</v>
      </c>
      <c r="S6" s="462">
        <f>VLOOKUP($E6,'5.1 Budget'!$A$4:$G$729,5,0)</f>
        <v>0</v>
      </c>
      <c r="T6" s="462">
        <f>VLOOKUP($E6,'5.1 Budget'!$A$4:$G$729,6,0)</f>
        <v>0</v>
      </c>
      <c r="U6" s="462">
        <f>VLOOKUP($E6,'5.1 Budget'!$A$4:$G$729,7,0)</f>
        <v>0</v>
      </c>
      <c r="V6" s="462">
        <f t="shared" si="0"/>
        <v>50000</v>
      </c>
    </row>
    <row r="7" spans="1:22" x14ac:dyDescent="0.25">
      <c r="A7" s="464">
        <v>1</v>
      </c>
      <c r="B7" s="459" t="s">
        <v>52</v>
      </c>
      <c r="C7" s="459" t="s">
        <v>53</v>
      </c>
      <c r="D7" s="459" t="s">
        <v>0</v>
      </c>
      <c r="E7" s="460" t="s">
        <v>644</v>
      </c>
      <c r="F7" s="469" t="str">
        <f>VLOOKUP(E7,'5. Consolidation'!$E$3:$F$715,2,0)</f>
        <v>Projet Poincaré : mise en perspective de la Senne au niveau du musée des égouts – Travaux</v>
      </c>
      <c r="G7" s="469" t="str">
        <f>VLOOKUP(E7,'5.2 Actions'!$A$3:$D$720,4,0)</f>
        <v>SEN</v>
      </c>
      <c r="H7" s="459"/>
      <c r="I7" s="459"/>
      <c r="J7" s="459"/>
      <c r="K7" s="459"/>
      <c r="L7" s="459" t="s">
        <v>2715</v>
      </c>
      <c r="M7" s="461">
        <v>0</v>
      </c>
      <c r="N7" s="459">
        <v>2024</v>
      </c>
      <c r="O7" s="459"/>
      <c r="P7" s="462">
        <f>VLOOKUP($E7,'5.1 Budget'!$A$4:$G$729,2,0)</f>
        <v>0</v>
      </c>
      <c r="Q7" s="462">
        <f>VLOOKUP($E7,'5.1 Budget'!$A$4:$G$729,3,0)</f>
        <v>0</v>
      </c>
      <c r="R7" s="462">
        <f>VLOOKUP($E7,'5.1 Budget'!$A$4:$G$729,4,0)</f>
        <v>1000000</v>
      </c>
      <c r="S7" s="462">
        <f>VLOOKUP($E7,'5.1 Budget'!$A$4:$G$729,5,0)</f>
        <v>1000000</v>
      </c>
      <c r="T7" s="462">
        <f>VLOOKUP($E7,'5.1 Budget'!$A$4:$G$729,6,0)</f>
        <v>0</v>
      </c>
      <c r="U7" s="462">
        <f>VLOOKUP($E7,'5.1 Budget'!$A$4:$G$729,7,0)</f>
        <v>0</v>
      </c>
      <c r="V7" s="462">
        <f t="shared" si="0"/>
        <v>2000000</v>
      </c>
    </row>
    <row r="8" spans="1:22" ht="26.25" x14ac:dyDescent="0.25">
      <c r="A8" s="464">
        <v>1</v>
      </c>
      <c r="B8" s="459" t="s">
        <v>52</v>
      </c>
      <c r="C8" s="459" t="s">
        <v>53</v>
      </c>
      <c r="D8" s="459" t="s">
        <v>0</v>
      </c>
      <c r="E8" s="460" t="s">
        <v>645</v>
      </c>
      <c r="F8" s="469" t="str">
        <f>VLOOKUP(E8,'5. Consolidation'!$E$3:$F$715,2,0)</f>
        <v>Projet site « Royale Belge » : Mise à ciel ouvert de la Woluwe sur une longueur de 250 m – Etude (voir également fiche M1.2)</v>
      </c>
      <c r="G8" s="469" t="str">
        <f>VLOOKUP(E8,'5.2 Actions'!$A$3:$D$720,4,0)</f>
        <v>WOL</v>
      </c>
      <c r="H8" s="459"/>
      <c r="I8" s="459"/>
      <c r="J8" s="459"/>
      <c r="K8" s="459"/>
      <c r="L8" s="459" t="s">
        <v>2715</v>
      </c>
      <c r="M8" s="461">
        <v>0</v>
      </c>
      <c r="N8" s="459">
        <v>2022</v>
      </c>
      <c r="O8" s="459">
        <v>2022</v>
      </c>
      <c r="P8" s="462">
        <f>VLOOKUP($E8,'5.1 Budget'!$A$4:$G$729,2,0)</f>
        <v>140000</v>
      </c>
      <c r="Q8" s="462">
        <f>VLOOKUP($E8,'5.1 Budget'!$A$4:$G$729,3,0)</f>
        <v>0</v>
      </c>
      <c r="R8" s="462">
        <f>VLOOKUP($E8,'5.1 Budget'!$A$4:$G$729,4,0)</f>
        <v>0</v>
      </c>
      <c r="S8" s="462">
        <f>VLOOKUP($E8,'5.1 Budget'!$A$4:$G$729,5,0)</f>
        <v>0</v>
      </c>
      <c r="T8" s="462">
        <f>VLOOKUP($E8,'5.1 Budget'!$A$4:$G$729,6,0)</f>
        <v>0</v>
      </c>
      <c r="U8" s="462">
        <f>VLOOKUP($E8,'5.1 Budget'!$A$4:$G$729,7,0)</f>
        <v>0</v>
      </c>
      <c r="V8" s="462">
        <f t="shared" si="0"/>
        <v>140000</v>
      </c>
    </row>
    <row r="9" spans="1:22" ht="26.25" x14ac:dyDescent="0.25">
      <c r="A9" s="464">
        <v>1</v>
      </c>
      <c r="B9" s="459" t="s">
        <v>52</v>
      </c>
      <c r="C9" s="459" t="s">
        <v>53</v>
      </c>
      <c r="D9" s="459" t="s">
        <v>0</v>
      </c>
      <c r="E9" s="460" t="s">
        <v>646</v>
      </c>
      <c r="F9" s="469" t="str">
        <f>VLOOKUP(E9,'5. Consolidation'!$E$3:$F$715,2,0)</f>
        <v>Projet site « Royale Belge »: Mise à ciel ouvert de la Woluwe sur une longueur de 250 m – Travaux (financés par des charges d’urbanisme) (voir également fiche M1.2)</v>
      </c>
      <c r="G9" s="469" t="str">
        <f>VLOOKUP(E9,'5.2 Actions'!$A$3:$D$720,4,0)</f>
        <v>WOL</v>
      </c>
      <c r="H9" s="459"/>
      <c r="I9" s="459"/>
      <c r="J9" s="459"/>
      <c r="K9" s="459"/>
      <c r="L9" s="459" t="s">
        <v>2715</v>
      </c>
      <c r="M9" s="461">
        <v>0</v>
      </c>
      <c r="N9" s="459">
        <v>2024</v>
      </c>
      <c r="O9" s="459">
        <v>2024</v>
      </c>
      <c r="P9" s="462">
        <f>VLOOKUP($E9,'5.1 Budget'!$A$4:$G$729,2,0)</f>
        <v>0</v>
      </c>
      <c r="Q9" s="462">
        <f>VLOOKUP($E9,'5.1 Budget'!$A$4:$G$729,3,0)</f>
        <v>0</v>
      </c>
      <c r="R9" s="462">
        <f>VLOOKUP($E9,'5.1 Budget'!$A$4:$G$729,4,0)</f>
        <v>1200000</v>
      </c>
      <c r="S9" s="462">
        <f>VLOOKUP($E9,'5.1 Budget'!$A$4:$G$729,5,0)</f>
        <v>0</v>
      </c>
      <c r="T9" s="462">
        <f>VLOOKUP($E9,'5.1 Budget'!$A$4:$G$729,6,0)</f>
        <v>0</v>
      </c>
      <c r="U9" s="462">
        <f>VLOOKUP($E9,'5.1 Budget'!$A$4:$G$729,7,0)</f>
        <v>0</v>
      </c>
      <c r="V9" s="462">
        <f t="shared" si="0"/>
        <v>1200000</v>
      </c>
    </row>
    <row r="10" spans="1:22" x14ac:dyDescent="0.25">
      <c r="A10" s="464">
        <v>1</v>
      </c>
      <c r="B10" s="459" t="s">
        <v>52</v>
      </c>
      <c r="C10" s="459" t="s">
        <v>53</v>
      </c>
      <c r="D10" s="459" t="s">
        <v>0</v>
      </c>
      <c r="E10" s="460" t="s">
        <v>647</v>
      </c>
      <c r="F10" s="469" t="str">
        <f>VLOOKUP(E10,'5. Consolidation'!$E$3:$F$715,2,0)</f>
        <v>Mise à ciel ouvert du Roodkloosterbeek dans le parc Bergoge sur 100m – Etude (également sur M1.2)</v>
      </c>
      <c r="G10" s="469" t="str">
        <f>VLOOKUP(E10,'5.2 Actions'!$A$3:$D$720,4,0)</f>
        <v>WOL</v>
      </c>
      <c r="H10" s="459"/>
      <c r="I10" s="459"/>
      <c r="J10" s="459"/>
      <c r="K10" s="459"/>
      <c r="L10" s="459" t="s">
        <v>2715</v>
      </c>
      <c r="M10" s="461">
        <v>0</v>
      </c>
      <c r="N10" s="459">
        <v>2023</v>
      </c>
      <c r="O10" s="459">
        <v>2023</v>
      </c>
      <c r="P10" s="462">
        <f>VLOOKUP($E10,'5.1 Budget'!$A$4:$G$729,2,0)</f>
        <v>0</v>
      </c>
      <c r="Q10" s="462">
        <f>VLOOKUP($E10,'5.1 Budget'!$A$4:$G$729,3,0)</f>
        <v>90000</v>
      </c>
      <c r="R10" s="462">
        <f>VLOOKUP($E10,'5.1 Budget'!$A$4:$G$729,4,0)</f>
        <v>0</v>
      </c>
      <c r="S10" s="462">
        <f>VLOOKUP($E10,'5.1 Budget'!$A$4:$G$729,5,0)</f>
        <v>0</v>
      </c>
      <c r="T10" s="462">
        <f>VLOOKUP($E10,'5.1 Budget'!$A$4:$G$729,6,0)</f>
        <v>0</v>
      </c>
      <c r="U10" s="462">
        <f>VLOOKUP($E10,'5.1 Budget'!$A$4:$G$729,7,0)</f>
        <v>0</v>
      </c>
      <c r="V10" s="462">
        <f t="shared" si="0"/>
        <v>90000</v>
      </c>
    </row>
    <row r="11" spans="1:22" x14ac:dyDescent="0.25">
      <c r="A11" s="464">
        <v>1</v>
      </c>
      <c r="B11" s="459" t="s">
        <v>52</v>
      </c>
      <c r="C11" s="459" t="s">
        <v>53</v>
      </c>
      <c r="D11" s="459" t="s">
        <v>0</v>
      </c>
      <c r="E11" s="460" t="s">
        <v>637</v>
      </c>
      <c r="F11" s="469" t="str">
        <f>VLOOKUP(E11,'5. Consolidation'!$E$3:$F$715,2,0)</f>
        <v>Mise à ciel ouvert du Roodkloosterbeek dans le parc Bergoge sur 100m - Travaux (également sur M1.2)</v>
      </c>
      <c r="G11" s="469" t="str">
        <f>VLOOKUP(E11,'5.2 Actions'!$A$3:$D$720,4,0)</f>
        <v>WOL</v>
      </c>
      <c r="H11" s="459"/>
      <c r="I11" s="459"/>
      <c r="J11" s="459"/>
      <c r="K11" s="459"/>
      <c r="L11" s="459" t="s">
        <v>2715</v>
      </c>
      <c r="M11" s="461">
        <v>0</v>
      </c>
      <c r="N11" s="459">
        <v>2025</v>
      </c>
      <c r="O11" s="459">
        <v>2025</v>
      </c>
      <c r="P11" s="462">
        <f>VLOOKUP($E11,'5.1 Budget'!$A$4:$G$729,2,0)</f>
        <v>0</v>
      </c>
      <c r="Q11" s="462">
        <f>VLOOKUP($E11,'5.1 Budget'!$A$4:$G$729,3,0)</f>
        <v>0</v>
      </c>
      <c r="R11" s="462">
        <f>VLOOKUP($E11,'5.1 Budget'!$A$4:$G$729,4,0)</f>
        <v>0</v>
      </c>
      <c r="S11" s="462">
        <f>VLOOKUP($E11,'5.1 Budget'!$A$4:$G$729,5,0)</f>
        <v>900000</v>
      </c>
      <c r="T11" s="462">
        <f>VLOOKUP($E11,'5.1 Budget'!$A$4:$G$729,6,0)</f>
        <v>0</v>
      </c>
      <c r="U11" s="462">
        <f>VLOOKUP($E11,'5.1 Budget'!$A$4:$G$729,7,0)</f>
        <v>0</v>
      </c>
      <c r="V11" s="462">
        <f t="shared" si="0"/>
        <v>900000</v>
      </c>
    </row>
    <row r="12" spans="1:22" x14ac:dyDescent="0.25">
      <c r="A12" s="464">
        <v>1</v>
      </c>
      <c r="B12" s="459" t="s">
        <v>52</v>
      </c>
      <c r="C12" s="459" t="s">
        <v>53</v>
      </c>
      <c r="D12" s="459" t="s">
        <v>0</v>
      </c>
      <c r="E12" s="460" t="s">
        <v>638</v>
      </c>
      <c r="F12" s="469" t="str">
        <f>VLOOKUP(E12,'5. Consolidation'!$E$3:$F$715,2,0)</f>
        <v xml:space="preserve">Étude de faisabilité de mise à ciel ouvert du Kerkebeek sur 800 m au niveau du Moeraske </v>
      </c>
      <c r="G12" s="469" t="str">
        <f>VLOOKUP(E12,'5.2 Actions'!$A$3:$D$720,4,0)</f>
        <v>SEN</v>
      </c>
      <c r="H12" s="459"/>
      <c r="I12" s="459"/>
      <c r="J12" s="459"/>
      <c r="K12" s="459"/>
      <c r="L12" s="459" t="s">
        <v>2715</v>
      </c>
      <c r="M12" s="461">
        <v>0</v>
      </c>
      <c r="N12" s="459">
        <v>2024</v>
      </c>
      <c r="O12" s="459">
        <v>2023</v>
      </c>
      <c r="P12" s="462">
        <f>VLOOKUP($E12,'5.1 Budget'!$A$4:$G$729,2,0)</f>
        <v>0</v>
      </c>
      <c r="Q12" s="462">
        <f>VLOOKUP($E12,'5.1 Budget'!$A$4:$G$729,3,0)</f>
        <v>0</v>
      </c>
      <c r="R12" s="462">
        <f>VLOOKUP($E12,'5.1 Budget'!$A$4:$G$729,4,0)</f>
        <v>100000</v>
      </c>
      <c r="S12" s="462">
        <f>VLOOKUP($E12,'5.1 Budget'!$A$4:$G$729,5,0)</f>
        <v>0</v>
      </c>
      <c r="T12" s="462">
        <f>VLOOKUP($E12,'5.1 Budget'!$A$4:$G$729,6,0)</f>
        <v>0</v>
      </c>
      <c r="U12" s="462">
        <f>VLOOKUP($E12,'5.1 Budget'!$A$4:$G$729,7,0)</f>
        <v>0</v>
      </c>
      <c r="V12" s="462">
        <f t="shared" si="0"/>
        <v>100000</v>
      </c>
    </row>
    <row r="13" spans="1:22" x14ac:dyDescent="0.25">
      <c r="A13" s="464">
        <v>1</v>
      </c>
      <c r="B13" s="459" t="s">
        <v>52</v>
      </c>
      <c r="C13" s="459" t="s">
        <v>53</v>
      </c>
      <c r="D13" s="459" t="s">
        <v>0</v>
      </c>
      <c r="E13" s="460" t="s">
        <v>639</v>
      </c>
      <c r="F13" s="469" t="str">
        <f>VLOOKUP(E13,'5. Consolidation'!$E$3:$F$715,2,0)</f>
        <v xml:space="preserve">Etude Étude de faisabilité de mise à ciel ouvert du Hollebeek sur 100 m au niveau du site Citydev, rue du Bruel – Etude </v>
      </c>
      <c r="G13" s="469" t="str">
        <f>VLOOKUP(E13,'5.2 Actions'!$A$3:$D$720,4,0)</f>
        <v>SEN</v>
      </c>
      <c r="H13" s="459"/>
      <c r="I13" s="459"/>
      <c r="J13" s="459"/>
      <c r="K13" s="459"/>
      <c r="L13" s="459" t="s">
        <v>2715</v>
      </c>
      <c r="M13" s="461">
        <v>0</v>
      </c>
      <c r="N13" s="459">
        <v>2023</v>
      </c>
      <c r="O13" s="459"/>
      <c r="P13" s="462">
        <f>VLOOKUP($E13,'5.1 Budget'!$A$4:$G$729,2,0)</f>
        <v>0</v>
      </c>
      <c r="Q13" s="462">
        <f>VLOOKUP($E13,'5.1 Budget'!$A$4:$G$729,3,0)</f>
        <v>70000</v>
      </c>
      <c r="R13" s="462">
        <f>VLOOKUP($E13,'5.1 Budget'!$A$4:$G$729,4,0)</f>
        <v>0</v>
      </c>
      <c r="S13" s="462">
        <f>VLOOKUP($E13,'5.1 Budget'!$A$4:$G$729,5,0)</f>
        <v>0</v>
      </c>
      <c r="T13" s="462">
        <f>VLOOKUP($E13,'5.1 Budget'!$A$4:$G$729,6,0)</f>
        <v>0</v>
      </c>
      <c r="U13" s="462">
        <f>VLOOKUP($E13,'5.1 Budget'!$A$4:$G$729,7,0)</f>
        <v>0</v>
      </c>
      <c r="V13" s="462">
        <f t="shared" si="0"/>
        <v>70000</v>
      </c>
    </row>
    <row r="14" spans="1:22" ht="26.25" x14ac:dyDescent="0.25">
      <c r="A14" s="464">
        <v>1</v>
      </c>
      <c r="B14" s="459" t="s">
        <v>52</v>
      </c>
      <c r="C14" s="459" t="s">
        <v>53</v>
      </c>
      <c r="D14" s="459" t="s">
        <v>1</v>
      </c>
      <c r="E14" s="463" t="s">
        <v>700</v>
      </c>
      <c r="F14" s="469" t="str">
        <f>VLOOKUP(E14,'5. Consolidation'!$E$3:$F$715,2,0)</f>
        <v>Amélioration de la berge et l’aménagement d’une annexe hydraulique abritée (frayère) à hauteur du site d’Aquiris (action C12_2 Belini) – Etude (*)</v>
      </c>
      <c r="G14" s="469" t="str">
        <f>VLOOKUP(E14,'5.2 Actions'!$A$3:$D$720,4,0)</f>
        <v>SEN</v>
      </c>
      <c r="H14" s="459"/>
      <c r="I14" s="459"/>
      <c r="J14" s="459"/>
      <c r="K14" s="459"/>
      <c r="L14" s="459" t="s">
        <v>2715</v>
      </c>
      <c r="M14" s="461">
        <v>0</v>
      </c>
      <c r="N14" s="459">
        <v>2022</v>
      </c>
      <c r="O14" s="459"/>
      <c r="P14" s="462">
        <f>VLOOKUP($E14,'5.1 Budget'!$A$4:$G$729,2,0)</f>
        <v>80000</v>
      </c>
      <c r="Q14" s="462">
        <f>VLOOKUP($E14,'5.1 Budget'!$A$4:$G$729,3,0)</f>
        <v>0</v>
      </c>
      <c r="R14" s="462">
        <f>VLOOKUP($E14,'5.1 Budget'!$A$4:$G$729,4,0)</f>
        <v>0</v>
      </c>
      <c r="S14" s="462">
        <f>VLOOKUP($E14,'5.1 Budget'!$A$4:$G$729,5,0)</f>
        <v>0</v>
      </c>
      <c r="T14" s="462">
        <f>VLOOKUP($E14,'5.1 Budget'!$A$4:$G$729,6,0)</f>
        <v>0</v>
      </c>
      <c r="U14" s="462">
        <f>VLOOKUP($E14,'5.1 Budget'!$A$4:$G$729,7,0)</f>
        <v>0</v>
      </c>
      <c r="V14" s="462">
        <f t="shared" si="0"/>
        <v>80000</v>
      </c>
    </row>
    <row r="15" spans="1:22" x14ac:dyDescent="0.25">
      <c r="A15" s="464">
        <v>1</v>
      </c>
      <c r="B15" s="459" t="s">
        <v>52</v>
      </c>
      <c r="C15" s="459" t="s">
        <v>53</v>
      </c>
      <c r="D15" s="459" t="s">
        <v>1</v>
      </c>
      <c r="E15" s="463" t="s">
        <v>711</v>
      </c>
      <c r="F15" s="469" t="str">
        <f>VLOOKUP(E15,'5. Consolidation'!$E$3:$F$715,2,0)</f>
        <v>Aménager la berge et une annexe hydraulique abritée (frayère) à hauteur d’Aquiris (action C12_2 Belini) – Travaux (*)</v>
      </c>
      <c r="G15" s="469" t="str">
        <f>VLOOKUP(E15,'5.2 Actions'!$A$3:$D$720,4,0)</f>
        <v>SEN</v>
      </c>
      <c r="H15" s="459"/>
      <c r="I15" s="459"/>
      <c r="J15" s="459"/>
      <c r="K15" s="459"/>
      <c r="L15" s="459" t="s">
        <v>2715</v>
      </c>
      <c r="M15" s="461">
        <v>0</v>
      </c>
      <c r="N15" s="459">
        <v>2026</v>
      </c>
      <c r="O15" s="459"/>
      <c r="P15" s="462">
        <f>VLOOKUP($E15,'5.1 Budget'!$A$4:$G$729,2,0)</f>
        <v>0</v>
      </c>
      <c r="Q15" s="462">
        <f>VLOOKUP($E15,'5.1 Budget'!$A$4:$G$729,3,0)</f>
        <v>0</v>
      </c>
      <c r="R15" s="462">
        <f>VLOOKUP($E15,'5.1 Budget'!$A$4:$G$729,4,0)</f>
        <v>0</v>
      </c>
      <c r="S15" s="462">
        <f>VLOOKUP($E15,'5.1 Budget'!$A$4:$G$729,5,0)</f>
        <v>0</v>
      </c>
      <c r="T15" s="462">
        <f>VLOOKUP($E15,'5.1 Budget'!$A$4:$G$729,6,0)</f>
        <v>1500000</v>
      </c>
      <c r="U15" s="462">
        <f>VLOOKUP($E15,'5.1 Budget'!$A$4:$G$729,7,0)</f>
        <v>0</v>
      </c>
      <c r="V15" s="462">
        <f t="shared" si="0"/>
        <v>1500000</v>
      </c>
    </row>
    <row r="16" spans="1:22" ht="26.25" x14ac:dyDescent="0.25">
      <c r="A16" s="464">
        <v>1</v>
      </c>
      <c r="B16" s="459" t="s">
        <v>52</v>
      </c>
      <c r="C16" s="459" t="s">
        <v>53</v>
      </c>
      <c r="D16" s="459" t="s">
        <v>1</v>
      </c>
      <c r="E16" s="460" t="s">
        <v>721</v>
      </c>
      <c r="F16" s="469" t="str">
        <f>VLOOKUP(E16,'5. Consolidation'!$E$3:$F$715,2,0)</f>
        <v>Aménager un lit et des berges naturelles en rives gauche et droite au niveau de l’Avenue de Vilvorde (action C13_4 Belini) - Travaux</v>
      </c>
      <c r="G16" s="469" t="str">
        <f>VLOOKUP(E16,'5.2 Actions'!$A$3:$D$720,4,0)</f>
        <v>SEN</v>
      </c>
      <c r="H16" s="459"/>
      <c r="I16" s="459"/>
      <c r="J16" s="459"/>
      <c r="K16" s="459"/>
      <c r="L16" s="459" t="s">
        <v>2715</v>
      </c>
      <c r="M16" s="461">
        <v>0</v>
      </c>
      <c r="N16" s="459">
        <v>2026</v>
      </c>
      <c r="O16" s="459">
        <v>2022</v>
      </c>
      <c r="P16" s="462">
        <f>VLOOKUP($E16,'5.1 Budget'!$A$4:$G$729,2,0)</f>
        <v>0</v>
      </c>
      <c r="Q16" s="462">
        <f>VLOOKUP($E16,'5.1 Budget'!$A$4:$G$729,3,0)</f>
        <v>0</v>
      </c>
      <c r="R16" s="462">
        <f>VLOOKUP($E16,'5.1 Budget'!$A$4:$G$729,4,0)</f>
        <v>0</v>
      </c>
      <c r="S16" s="462">
        <f>VLOOKUP($E16,'5.1 Budget'!$A$4:$G$729,5,0)</f>
        <v>0</v>
      </c>
      <c r="T16" s="462">
        <f>VLOOKUP($E16,'5.1 Budget'!$A$4:$G$729,6,0)</f>
        <v>2500000</v>
      </c>
      <c r="U16" s="462">
        <f>VLOOKUP($E16,'5.1 Budget'!$A$4:$G$729,7,0)</f>
        <v>0</v>
      </c>
      <c r="V16" s="462">
        <f t="shared" si="0"/>
        <v>2500000</v>
      </c>
    </row>
    <row r="17" spans="1:22" ht="26.25" x14ac:dyDescent="0.25">
      <c r="A17" s="464">
        <v>1</v>
      </c>
      <c r="B17" s="459" t="s">
        <v>52</v>
      </c>
      <c r="C17" s="459" t="s">
        <v>53</v>
      </c>
      <c r="D17" s="459" t="s">
        <v>1</v>
      </c>
      <c r="E17" s="460" t="s">
        <v>722</v>
      </c>
      <c r="F17" s="469" t="str">
        <f>VLOOKUP(E17,'5. Consolidation'!$E$3:$F$715,2,0)</f>
        <v>Poursuivre l’aménagement de berges et lit naturels et d’un bras mort à hauteur de la Rue du Charroi (île Sainte Hélène, en aval du Boulevard Paepsem) – Etude (cf. aussi M 6.6) (*)</v>
      </c>
      <c r="G17" s="469" t="str">
        <f>VLOOKUP(E17,'5.2 Actions'!$A$3:$D$720,4,0)</f>
        <v>SEN</v>
      </c>
      <c r="H17" s="459"/>
      <c r="I17" s="459"/>
      <c r="J17" s="459"/>
      <c r="K17" s="459"/>
      <c r="L17" s="459" t="s">
        <v>2715</v>
      </c>
      <c r="M17" s="461">
        <v>0</v>
      </c>
      <c r="N17" s="459">
        <v>2022</v>
      </c>
      <c r="O17" s="459">
        <v>2026</v>
      </c>
      <c r="P17" s="462">
        <f>VLOOKUP($E17,'5.1 Budget'!$A$4:$G$729,2,0)</f>
        <v>90000</v>
      </c>
      <c r="Q17" s="462">
        <f>VLOOKUP($E17,'5.1 Budget'!$A$4:$G$729,3,0)</f>
        <v>0</v>
      </c>
      <c r="R17" s="462">
        <f>VLOOKUP($E17,'5.1 Budget'!$A$4:$G$729,4,0)</f>
        <v>0</v>
      </c>
      <c r="S17" s="462">
        <f>VLOOKUP($E17,'5.1 Budget'!$A$4:$G$729,5,0)</f>
        <v>0</v>
      </c>
      <c r="T17" s="462">
        <f>VLOOKUP($E17,'5.1 Budget'!$A$4:$G$729,6,0)</f>
        <v>0</v>
      </c>
      <c r="U17" s="462">
        <f>VLOOKUP($E17,'5.1 Budget'!$A$4:$G$729,7,0)</f>
        <v>0</v>
      </c>
      <c r="V17" s="462">
        <f t="shared" si="0"/>
        <v>90000</v>
      </c>
    </row>
    <row r="18" spans="1:22" ht="26.25" x14ac:dyDescent="0.25">
      <c r="A18" s="464">
        <v>1</v>
      </c>
      <c r="B18" s="459" t="s">
        <v>52</v>
      </c>
      <c r="C18" s="459" t="s">
        <v>53</v>
      </c>
      <c r="D18" s="459" t="s">
        <v>1</v>
      </c>
      <c r="E18" s="460" t="s">
        <v>723</v>
      </c>
      <c r="F18" s="469" t="str">
        <f>VLOOKUP(E18,'5. Consolidation'!$E$3:$F$715,2,0)</f>
        <v>Poursuivre l’aménagement de berges et lit naturels et d’un bras mort à hauteur de la Rue du Charroi (île Sainte Hélène, en aval du Boulevard Paepsem) – Travaux (également sur Mesure 6.6)</v>
      </c>
      <c r="G18" s="469" t="str">
        <f>VLOOKUP(E18,'5.2 Actions'!$A$3:$D$720,4,0)</f>
        <v>SEN</v>
      </c>
      <c r="H18" s="459"/>
      <c r="I18" s="459"/>
      <c r="J18" s="459"/>
      <c r="K18" s="459"/>
      <c r="L18" s="459" t="s">
        <v>2715</v>
      </c>
      <c r="M18" s="461">
        <v>0</v>
      </c>
      <c r="N18" s="459">
        <v>2023</v>
      </c>
      <c r="O18" s="459">
        <v>2026</v>
      </c>
      <c r="P18" s="462">
        <f>VLOOKUP($E18,'5.1 Budget'!$A$4:$G$729,2,0)</f>
        <v>0</v>
      </c>
      <c r="Q18" s="462">
        <f>VLOOKUP($E18,'5.1 Budget'!$A$4:$G$729,3,0)</f>
        <v>550000</v>
      </c>
      <c r="R18" s="462">
        <f>VLOOKUP($E18,'5.1 Budget'!$A$4:$G$729,4,0)</f>
        <v>0</v>
      </c>
      <c r="S18" s="462">
        <f>VLOOKUP($E18,'5.1 Budget'!$A$4:$G$729,5,0)</f>
        <v>0</v>
      </c>
      <c r="T18" s="462">
        <f>VLOOKUP($E18,'5.1 Budget'!$A$4:$G$729,6,0)</f>
        <v>0</v>
      </c>
      <c r="U18" s="462">
        <f>VLOOKUP($E18,'5.1 Budget'!$A$4:$G$729,7,0)</f>
        <v>0</v>
      </c>
      <c r="V18" s="462">
        <f t="shared" si="0"/>
        <v>550000</v>
      </c>
    </row>
    <row r="19" spans="1:22" x14ac:dyDescent="0.25">
      <c r="A19" s="464">
        <v>1</v>
      </c>
      <c r="B19" s="459" t="s">
        <v>52</v>
      </c>
      <c r="C19" s="459" t="s">
        <v>53</v>
      </c>
      <c r="D19" s="459" t="s">
        <v>1</v>
      </c>
      <c r="E19" s="460" t="s">
        <v>724</v>
      </c>
      <c r="F19" s="469" t="str">
        <f>VLOOKUP(E19,'5. Consolidation'!$E$3:$F$715,2,0)</f>
        <v>Aménager des berges naturelles entre la Dérivation d’Aa et la Rue Bollinckx – Etude (voir également fiche M6.6)</v>
      </c>
      <c r="G19" s="469" t="str">
        <f>VLOOKUP(E19,'5.2 Actions'!$A$3:$D$720,4,0)</f>
        <v>SEN</v>
      </c>
      <c r="H19" s="459"/>
      <c r="I19" s="459"/>
      <c r="J19" s="459"/>
      <c r="K19" s="459"/>
      <c r="L19" s="459" t="s">
        <v>2715</v>
      </c>
      <c r="M19" s="461">
        <v>0</v>
      </c>
      <c r="N19" s="459">
        <v>2023</v>
      </c>
      <c r="O19" s="459">
        <v>2022</v>
      </c>
      <c r="P19" s="462">
        <f>VLOOKUP($E19,'5.1 Budget'!$A$4:$G$729,2,0)</f>
        <v>0</v>
      </c>
      <c r="Q19" s="462">
        <f>VLOOKUP($E19,'5.1 Budget'!$A$4:$G$729,3,0)</f>
        <v>150000</v>
      </c>
      <c r="R19" s="462">
        <f>VLOOKUP($E19,'5.1 Budget'!$A$4:$G$729,4,0)</f>
        <v>0</v>
      </c>
      <c r="S19" s="462">
        <f>VLOOKUP($E19,'5.1 Budget'!$A$4:$G$729,5,0)</f>
        <v>0</v>
      </c>
      <c r="T19" s="462">
        <f>VLOOKUP($E19,'5.1 Budget'!$A$4:$G$729,6,0)</f>
        <v>0</v>
      </c>
      <c r="U19" s="462">
        <f>VLOOKUP($E19,'5.1 Budget'!$A$4:$G$729,7,0)</f>
        <v>0</v>
      </c>
      <c r="V19" s="462">
        <f t="shared" si="0"/>
        <v>150000</v>
      </c>
    </row>
    <row r="20" spans="1:22" x14ac:dyDescent="0.25">
      <c r="A20" s="464">
        <v>1</v>
      </c>
      <c r="B20" s="459" t="s">
        <v>52</v>
      </c>
      <c r="C20" s="459" t="s">
        <v>53</v>
      </c>
      <c r="D20" s="459" t="s">
        <v>1</v>
      </c>
      <c r="E20" s="460" t="s">
        <v>725</v>
      </c>
      <c r="F20" s="469" t="str">
        <f>VLOOKUP(E20,'5. Consolidation'!$E$3:$F$715,2,0)</f>
        <v>Aménager des berges naturelles entre la Dérivation d’Aa et la Rue Bollinckx – Travaux (voir également fiche M6.6)</v>
      </c>
      <c r="G20" s="469" t="str">
        <f>VLOOKUP(E20,'5.2 Actions'!$A$3:$D$720,4,0)</f>
        <v>SEN</v>
      </c>
      <c r="H20" s="459"/>
      <c r="I20" s="459"/>
      <c r="J20" s="459"/>
      <c r="K20" s="459"/>
      <c r="L20" s="459" t="s">
        <v>2715</v>
      </c>
      <c r="M20" s="461">
        <v>0</v>
      </c>
      <c r="N20" s="459">
        <v>2027</v>
      </c>
      <c r="O20" s="459">
        <v>2027</v>
      </c>
      <c r="P20" s="462">
        <f>VLOOKUP($E20,'5.1 Budget'!$A$4:$G$729,2,0)</f>
        <v>0</v>
      </c>
      <c r="Q20" s="462">
        <f>VLOOKUP($E20,'5.1 Budget'!$A$4:$G$729,3,0)</f>
        <v>0</v>
      </c>
      <c r="R20" s="462">
        <f>VLOOKUP($E20,'5.1 Budget'!$A$4:$G$729,4,0)</f>
        <v>0</v>
      </c>
      <c r="S20" s="462">
        <f>VLOOKUP($E20,'5.1 Budget'!$A$4:$G$729,5,0)</f>
        <v>0</v>
      </c>
      <c r="T20" s="462">
        <f>VLOOKUP($E20,'5.1 Budget'!$A$4:$G$729,6,0)</f>
        <v>0</v>
      </c>
      <c r="U20" s="462">
        <f>VLOOKUP($E20,'5.1 Budget'!$A$4:$G$729,7,0)</f>
        <v>600000</v>
      </c>
      <c r="V20" s="462">
        <f t="shared" si="0"/>
        <v>600000</v>
      </c>
    </row>
    <row r="21" spans="1:22" ht="26.25" x14ac:dyDescent="0.25">
      <c r="A21" s="464">
        <v>1</v>
      </c>
      <c r="B21" s="459" t="s">
        <v>52</v>
      </c>
      <c r="C21" s="459" t="s">
        <v>53</v>
      </c>
      <c r="D21" s="459" t="s">
        <v>1</v>
      </c>
      <c r="E21" s="460" t="s">
        <v>726</v>
      </c>
      <c r="F21" s="469" t="str">
        <f>VLOOKUP(E21,'5. Consolidation'!$E$3:$F$715,2,0)</f>
        <v>Aménager des berges naturelles et d’une promenade entre la Rue du Charroi et la Rue des Vétérinaires – Etude (voir également fiche M6.6)</v>
      </c>
      <c r="G21" s="469" t="str">
        <f>VLOOKUP(E21,'5.2 Actions'!$A$3:$D$720,4,0)</f>
        <v>SEN</v>
      </c>
      <c r="H21" s="459"/>
      <c r="I21" s="459"/>
      <c r="J21" s="459"/>
      <c r="K21" s="459"/>
      <c r="L21" s="459" t="s">
        <v>2715</v>
      </c>
      <c r="M21" s="461">
        <v>0</v>
      </c>
      <c r="N21" s="459">
        <v>2026</v>
      </c>
      <c r="O21" s="459">
        <v>2023</v>
      </c>
      <c r="P21" s="462">
        <f>VLOOKUP($E21,'5.1 Budget'!$A$4:$G$729,2,0)</f>
        <v>0</v>
      </c>
      <c r="Q21" s="462">
        <f>VLOOKUP($E21,'5.1 Budget'!$A$4:$G$729,3,0)</f>
        <v>0</v>
      </c>
      <c r="R21" s="462">
        <f>VLOOKUP($E21,'5.1 Budget'!$A$4:$G$729,4,0)</f>
        <v>0</v>
      </c>
      <c r="S21" s="462">
        <f>VLOOKUP($E21,'5.1 Budget'!$A$4:$G$729,5,0)</f>
        <v>0</v>
      </c>
      <c r="T21" s="462">
        <f>VLOOKUP($E21,'5.1 Budget'!$A$4:$G$729,6,0)</f>
        <v>150000</v>
      </c>
      <c r="U21" s="462">
        <f>VLOOKUP($E21,'5.1 Budget'!$A$4:$G$729,7,0)</f>
        <v>0</v>
      </c>
      <c r="V21" s="462">
        <f t="shared" si="0"/>
        <v>150000</v>
      </c>
    </row>
    <row r="22" spans="1:22" ht="26.25" x14ac:dyDescent="0.25">
      <c r="A22" s="464">
        <v>1</v>
      </c>
      <c r="B22" s="459" t="s">
        <v>52</v>
      </c>
      <c r="C22" s="459" t="s">
        <v>53</v>
      </c>
      <c r="D22" s="459" t="s">
        <v>1</v>
      </c>
      <c r="E22" s="460" t="s">
        <v>727</v>
      </c>
      <c r="F22" s="469" t="str">
        <f>VLOOKUP(E22,'5. Consolidation'!$E$3:$F$715,2,0)</f>
        <v>Améliorer l’hydromorphologie de la Senne entre la Rue du Rupel (aval du Pont Van Praet) et la Rampe du Lion (état actuel : berges bétonnées au niveau d’Elia, voire également le lit) - Etude</v>
      </c>
      <c r="G22" s="469" t="str">
        <f>VLOOKUP(E22,'5.2 Actions'!$A$3:$D$720,4,0)</f>
        <v>SEN</v>
      </c>
      <c r="H22" s="459"/>
      <c r="I22" s="459"/>
      <c r="J22" s="459"/>
      <c r="K22" s="459"/>
      <c r="L22" s="459" t="s">
        <v>2715</v>
      </c>
      <c r="M22" s="461">
        <v>0</v>
      </c>
      <c r="N22" s="459">
        <v>2027</v>
      </c>
      <c r="O22" s="459">
        <v>2027</v>
      </c>
      <c r="P22" s="462">
        <f>VLOOKUP($E22,'5.1 Budget'!$A$4:$G$729,2,0)</f>
        <v>0</v>
      </c>
      <c r="Q22" s="462">
        <f>VLOOKUP($E22,'5.1 Budget'!$A$4:$G$729,3,0)</f>
        <v>0</v>
      </c>
      <c r="R22" s="462">
        <f>VLOOKUP($E22,'5.1 Budget'!$A$4:$G$729,4,0)</f>
        <v>0</v>
      </c>
      <c r="S22" s="462">
        <f>VLOOKUP($E22,'5.1 Budget'!$A$4:$G$729,5,0)</f>
        <v>0</v>
      </c>
      <c r="T22" s="462">
        <f>VLOOKUP($E22,'5.1 Budget'!$A$4:$G$729,6,0)</f>
        <v>0</v>
      </c>
      <c r="U22" s="462">
        <f>VLOOKUP($E22,'5.1 Budget'!$A$4:$G$729,7,0)</f>
        <v>50000</v>
      </c>
      <c r="V22" s="462">
        <f t="shared" si="0"/>
        <v>50000</v>
      </c>
    </row>
    <row r="23" spans="1:22" ht="26.25" x14ac:dyDescent="0.25">
      <c r="A23" s="464">
        <v>1</v>
      </c>
      <c r="B23" s="459" t="s">
        <v>52</v>
      </c>
      <c r="C23" s="459" t="s">
        <v>53</v>
      </c>
      <c r="D23" s="459" t="s">
        <v>1</v>
      </c>
      <c r="E23" s="460" t="s">
        <v>701</v>
      </c>
      <c r="F23" s="469" t="str">
        <f>VLOOKUP(E23,'5. Consolidation'!$E$3:$F$715,2,0)</f>
        <v>Améliorer l’hydromorphologie de la Senne entre la Rue du Rupel (aval du Pont Van Praet) et la Rampe du Lion (état actuel : berges bétonnées au niveau d’Elia, voire également le lit) - Travaux</v>
      </c>
      <c r="G23" s="469" t="str">
        <f>VLOOKUP(E23,'5.2 Actions'!$A$3:$D$720,4,0)</f>
        <v>SEN</v>
      </c>
      <c r="H23" s="459"/>
      <c r="I23" s="459"/>
      <c r="J23" s="459"/>
      <c r="K23" s="459"/>
      <c r="L23" s="459" t="s">
        <v>2715</v>
      </c>
      <c r="M23" s="461">
        <v>0</v>
      </c>
      <c r="N23" s="459">
        <v>2026</v>
      </c>
      <c r="O23" s="459">
        <v>2026</v>
      </c>
      <c r="P23" s="462">
        <f>VLOOKUP($E23,'5.1 Budget'!$A$4:$G$729,2,0)</f>
        <v>0</v>
      </c>
      <c r="Q23" s="462">
        <f>VLOOKUP($E23,'5.1 Budget'!$A$4:$G$729,3,0)</f>
        <v>0</v>
      </c>
      <c r="R23" s="462">
        <f>VLOOKUP($E23,'5.1 Budget'!$A$4:$G$729,4,0)</f>
        <v>0</v>
      </c>
      <c r="S23" s="462">
        <f>VLOOKUP($E23,'5.1 Budget'!$A$4:$G$729,5,0)</f>
        <v>0</v>
      </c>
      <c r="T23" s="462">
        <f>VLOOKUP($E23,'5.1 Budget'!$A$4:$G$729,6,0)</f>
        <v>0</v>
      </c>
      <c r="U23" s="462">
        <f>VLOOKUP($E23,'5.1 Budget'!$A$4:$G$729,7,0)</f>
        <v>0</v>
      </c>
      <c r="V23" s="462">
        <f t="shared" si="0"/>
        <v>0</v>
      </c>
    </row>
    <row r="24" spans="1:22" ht="26.25" x14ac:dyDescent="0.25">
      <c r="A24" s="464">
        <v>1</v>
      </c>
      <c r="B24" s="459" t="s">
        <v>52</v>
      </c>
      <c r="C24" s="459" t="s">
        <v>53</v>
      </c>
      <c r="D24" s="459" t="s">
        <v>1</v>
      </c>
      <c r="E24" s="460" t="s">
        <v>702</v>
      </c>
      <c r="F24" s="469" t="str">
        <f>VLOOKUP(E24,'5. Consolidation'!$E$3:$F$715,2,0)</f>
        <v>Aménager les berges et lit naturels entre la Chaussée de Buda et la sortie de la région, tenant compte du curage prévu de ce tronçon - Etude</v>
      </c>
      <c r="G24" s="469" t="str">
        <f>VLOOKUP(E24,'5.2 Actions'!$A$3:$D$720,4,0)</f>
        <v>SEN</v>
      </c>
      <c r="H24" s="459"/>
      <c r="I24" s="459"/>
      <c r="J24" s="459"/>
      <c r="K24" s="459"/>
      <c r="L24" s="459" t="s">
        <v>2715</v>
      </c>
      <c r="M24" s="461">
        <v>0</v>
      </c>
      <c r="N24" s="459">
        <v>2027</v>
      </c>
      <c r="O24" s="459">
        <v>2027</v>
      </c>
      <c r="P24" s="462">
        <f>VLOOKUP($E24,'5.1 Budget'!$A$4:$G$729,2,0)</f>
        <v>0</v>
      </c>
      <c r="Q24" s="462">
        <f>VLOOKUP($E24,'5.1 Budget'!$A$4:$G$729,3,0)</f>
        <v>0</v>
      </c>
      <c r="R24" s="462">
        <f>VLOOKUP($E24,'5.1 Budget'!$A$4:$G$729,4,0)</f>
        <v>0</v>
      </c>
      <c r="S24" s="462">
        <f>VLOOKUP($E24,'5.1 Budget'!$A$4:$G$729,5,0)</f>
        <v>0</v>
      </c>
      <c r="T24" s="462">
        <f>VLOOKUP($E24,'5.1 Budget'!$A$4:$G$729,6,0)</f>
        <v>0</v>
      </c>
      <c r="U24" s="462">
        <f>VLOOKUP($E24,'5.1 Budget'!$A$4:$G$729,7,0)</f>
        <v>0</v>
      </c>
      <c r="V24" s="462">
        <f t="shared" si="0"/>
        <v>0</v>
      </c>
    </row>
    <row r="25" spans="1:22" ht="26.25" x14ac:dyDescent="0.25">
      <c r="A25" s="464">
        <v>1</v>
      </c>
      <c r="B25" s="459" t="s">
        <v>52</v>
      </c>
      <c r="C25" s="459" t="s">
        <v>53</v>
      </c>
      <c r="D25" s="459" t="s">
        <v>1</v>
      </c>
      <c r="E25" s="460" t="s">
        <v>703</v>
      </c>
      <c r="F25" s="469" t="str">
        <f>VLOOKUP(E25,'5. Consolidation'!$E$3:$F$715,2,0)</f>
        <v>Aménager les berges et lit naturels entre la Chaussée de Buda et la sortie de la région, tenant compte du curage de ce tronçon - Travaux</v>
      </c>
      <c r="G25" s="469" t="str">
        <f>VLOOKUP(E25,'5.2 Actions'!$A$3:$D$720,4,0)</f>
        <v>SEN</v>
      </c>
      <c r="H25" s="459"/>
      <c r="I25" s="459"/>
      <c r="J25" s="459"/>
      <c r="K25" s="459"/>
      <c r="L25" s="459" t="s">
        <v>2715</v>
      </c>
      <c r="M25" s="461">
        <v>0</v>
      </c>
      <c r="N25" s="459"/>
      <c r="O25" s="459"/>
      <c r="P25" s="462">
        <f>VLOOKUP($E25,'5.1 Budget'!$A$4:$G$729,2,0)</f>
        <v>0</v>
      </c>
      <c r="Q25" s="462">
        <f>VLOOKUP($E25,'5.1 Budget'!$A$4:$G$729,3,0)</f>
        <v>0</v>
      </c>
      <c r="R25" s="462">
        <f>VLOOKUP($E25,'5.1 Budget'!$A$4:$G$729,4,0)</f>
        <v>0</v>
      </c>
      <c r="S25" s="462">
        <f>VLOOKUP($E25,'5.1 Budget'!$A$4:$G$729,5,0)</f>
        <v>0</v>
      </c>
      <c r="T25" s="462">
        <f>VLOOKUP($E25,'5.1 Budget'!$A$4:$G$729,6,0)</f>
        <v>0</v>
      </c>
      <c r="U25" s="462">
        <f>VLOOKUP($E25,'5.1 Budget'!$A$4:$G$729,7,0)</f>
        <v>0</v>
      </c>
      <c r="V25" s="462">
        <f t="shared" si="0"/>
        <v>0</v>
      </c>
    </row>
    <row r="26" spans="1:22" x14ac:dyDescent="0.25">
      <c r="A26" s="464">
        <v>1</v>
      </c>
      <c r="B26" s="459" t="s">
        <v>52</v>
      </c>
      <c r="C26" s="459" t="s">
        <v>53</v>
      </c>
      <c r="D26" s="459" t="s">
        <v>1</v>
      </c>
      <c r="E26" s="460" t="s">
        <v>704</v>
      </c>
      <c r="F26" s="469" t="str">
        <f>VLOOKUP(E26,'5. Consolidation'!$E$3:$F$715,2,0)</f>
        <v>Aménager de berges naturelles entre la Rue de la Bienvenue et le Boulevard International - Etude</v>
      </c>
      <c r="G26" s="469" t="str">
        <f>VLOOKUP(E26,'5.2 Actions'!$A$3:$D$720,4,0)</f>
        <v>SEN</v>
      </c>
      <c r="H26" s="459"/>
      <c r="I26" s="459"/>
      <c r="J26" s="459"/>
      <c r="K26" s="459"/>
      <c r="L26" s="459" t="s">
        <v>2715</v>
      </c>
      <c r="M26" s="461">
        <v>0</v>
      </c>
      <c r="N26" s="459"/>
      <c r="O26" s="459"/>
      <c r="P26" s="462">
        <f>VLOOKUP($E26,'5.1 Budget'!$A$4:$G$729,2,0)</f>
        <v>0</v>
      </c>
      <c r="Q26" s="462">
        <f>VLOOKUP($E26,'5.1 Budget'!$A$4:$G$729,3,0)</f>
        <v>0</v>
      </c>
      <c r="R26" s="462">
        <f>VLOOKUP($E26,'5.1 Budget'!$A$4:$G$729,4,0)</f>
        <v>0</v>
      </c>
      <c r="S26" s="462">
        <f>VLOOKUP($E26,'5.1 Budget'!$A$4:$G$729,5,0)</f>
        <v>0</v>
      </c>
      <c r="T26" s="462">
        <f>VLOOKUP($E26,'5.1 Budget'!$A$4:$G$729,6,0)</f>
        <v>0</v>
      </c>
      <c r="U26" s="462">
        <f>VLOOKUP($E26,'5.1 Budget'!$A$4:$G$729,7,0)</f>
        <v>0</v>
      </c>
      <c r="V26" s="462">
        <f t="shared" si="0"/>
        <v>0</v>
      </c>
    </row>
    <row r="27" spans="1:22" x14ac:dyDescent="0.25">
      <c r="A27" s="464">
        <v>1</v>
      </c>
      <c r="B27" s="459" t="s">
        <v>52</v>
      </c>
      <c r="C27" s="459" t="s">
        <v>53</v>
      </c>
      <c r="D27" s="459" t="s">
        <v>1</v>
      </c>
      <c r="E27" s="460" t="s">
        <v>705</v>
      </c>
      <c r="F27" s="469" t="str">
        <f>VLOOKUP(E27,'5. Consolidation'!$E$3:$F$715,2,0)</f>
        <v>Travaux pour aménager une zone humide le long de la Woluwe au niveau de l’étang rond, Parc de la Woluwe – Etude</v>
      </c>
      <c r="G27" s="469" t="str">
        <f>VLOOKUP(E27,'5.2 Actions'!$A$3:$D$720,4,0)</f>
        <v>WOL</v>
      </c>
      <c r="H27" s="459"/>
      <c r="I27" s="459"/>
      <c r="J27" s="459"/>
      <c r="K27" s="459"/>
      <c r="L27" s="459" t="s">
        <v>2715</v>
      </c>
      <c r="M27" s="461">
        <v>0</v>
      </c>
      <c r="N27" s="459">
        <v>2022</v>
      </c>
      <c r="O27" s="459"/>
      <c r="P27" s="462">
        <f>VLOOKUP($E27,'5.1 Budget'!$A$4:$G$729,2,0)</f>
        <v>90000</v>
      </c>
      <c r="Q27" s="462">
        <f>VLOOKUP($E27,'5.1 Budget'!$A$4:$G$729,3,0)</f>
        <v>0</v>
      </c>
      <c r="R27" s="462">
        <f>VLOOKUP($E27,'5.1 Budget'!$A$4:$G$729,4,0)</f>
        <v>0</v>
      </c>
      <c r="S27" s="462">
        <f>VLOOKUP($E27,'5.1 Budget'!$A$4:$G$729,5,0)</f>
        <v>0</v>
      </c>
      <c r="T27" s="462">
        <f>VLOOKUP($E27,'5.1 Budget'!$A$4:$G$729,6,0)</f>
        <v>0</v>
      </c>
      <c r="U27" s="462">
        <f>VLOOKUP($E27,'5.1 Budget'!$A$4:$G$729,7,0)</f>
        <v>0</v>
      </c>
      <c r="V27" s="462">
        <f t="shared" si="0"/>
        <v>90000</v>
      </c>
    </row>
    <row r="28" spans="1:22" x14ac:dyDescent="0.25">
      <c r="A28" s="464">
        <v>1</v>
      </c>
      <c r="B28" s="459" t="s">
        <v>52</v>
      </c>
      <c r="C28" s="459" t="s">
        <v>53</v>
      </c>
      <c r="D28" s="459" t="s">
        <v>1</v>
      </c>
      <c r="E28" s="460" t="s">
        <v>706</v>
      </c>
      <c r="F28" s="469" t="str">
        <f>VLOOKUP(E28,'5. Consolidation'!$E$3:$F$715,2,0)</f>
        <v>Travaux pour aménager une zone humide le long de la Woluwe au niveau de l’étang rond, Parc de la Woluwe – Travaux</v>
      </c>
      <c r="G28" s="469" t="str">
        <f>VLOOKUP(E28,'5.2 Actions'!$A$3:$D$720,4,0)</f>
        <v>WOL</v>
      </c>
      <c r="H28" s="459"/>
      <c r="I28" s="459"/>
      <c r="J28" s="459"/>
      <c r="K28" s="459"/>
      <c r="L28" s="459" t="s">
        <v>2715</v>
      </c>
      <c r="M28" s="461">
        <v>0</v>
      </c>
      <c r="N28" s="459">
        <v>2023</v>
      </c>
      <c r="O28" s="459"/>
      <c r="P28" s="462">
        <f>VLOOKUP($E28,'5.1 Budget'!$A$4:$G$729,2,0)</f>
        <v>0</v>
      </c>
      <c r="Q28" s="462">
        <f>VLOOKUP($E28,'5.1 Budget'!$A$4:$G$729,3,0)</f>
        <v>600000</v>
      </c>
      <c r="R28" s="462">
        <f>VLOOKUP($E28,'5.1 Budget'!$A$4:$G$729,4,0)</f>
        <v>0</v>
      </c>
      <c r="S28" s="462">
        <f>VLOOKUP($E28,'5.1 Budget'!$A$4:$G$729,5,0)</f>
        <v>0</v>
      </c>
      <c r="T28" s="462">
        <f>VLOOKUP($E28,'5.1 Budget'!$A$4:$G$729,6,0)</f>
        <v>0</v>
      </c>
      <c r="U28" s="462">
        <f>VLOOKUP($E28,'5.1 Budget'!$A$4:$G$729,7,0)</f>
        <v>0</v>
      </c>
      <c r="V28" s="462">
        <f t="shared" si="0"/>
        <v>600000</v>
      </c>
    </row>
    <row r="29" spans="1:22" x14ac:dyDescent="0.25">
      <c r="A29" s="464">
        <v>1</v>
      </c>
      <c r="B29" s="459" t="s">
        <v>52</v>
      </c>
      <c r="C29" s="459" t="s">
        <v>53</v>
      </c>
      <c r="D29" s="459" t="s">
        <v>1</v>
      </c>
      <c r="E29" s="460" t="s">
        <v>707</v>
      </c>
      <c r="F29" s="469" t="str">
        <f>VLOOKUP(E29,'5. Consolidation'!$E$3:$F$715,2,0)</f>
        <v xml:space="preserve">Réaliser une étude pour l’aménagement de berges naturelles sur la Woluwe entre l’Avenue Debecker et l’Avenue Vandervelde </v>
      </c>
      <c r="G29" s="469" t="str">
        <f>VLOOKUP(E29,'5.2 Actions'!$A$3:$D$720,4,0)</f>
        <v>WOL</v>
      </c>
      <c r="H29" s="459"/>
      <c r="I29" s="459"/>
      <c r="J29" s="459"/>
      <c r="K29" s="459"/>
      <c r="L29" s="459" t="s">
        <v>2715</v>
      </c>
      <c r="M29" s="461">
        <v>0</v>
      </c>
      <c r="N29" s="459">
        <v>2022</v>
      </c>
      <c r="O29" s="459">
        <v>2022</v>
      </c>
      <c r="P29" s="462">
        <f>VLOOKUP($E29,'5.1 Budget'!$A$4:$G$729,2,0)</f>
        <v>0</v>
      </c>
      <c r="Q29" s="462">
        <f>VLOOKUP($E29,'5.1 Budget'!$A$4:$G$729,3,0)</f>
        <v>0</v>
      </c>
      <c r="R29" s="462">
        <f>VLOOKUP($E29,'5.1 Budget'!$A$4:$G$729,4,0)</f>
        <v>0</v>
      </c>
      <c r="S29" s="462">
        <f>VLOOKUP($E29,'5.1 Budget'!$A$4:$G$729,5,0)</f>
        <v>0</v>
      </c>
      <c r="T29" s="462">
        <f>VLOOKUP($E29,'5.1 Budget'!$A$4:$G$729,6,0)</f>
        <v>0</v>
      </c>
      <c r="U29" s="462">
        <f>VLOOKUP($E29,'5.1 Budget'!$A$4:$G$729,7,0)</f>
        <v>0</v>
      </c>
      <c r="V29" s="462">
        <f t="shared" si="0"/>
        <v>0</v>
      </c>
    </row>
    <row r="30" spans="1:22" x14ac:dyDescent="0.25">
      <c r="A30" s="464">
        <v>1</v>
      </c>
      <c r="B30" s="459" t="s">
        <v>52</v>
      </c>
      <c r="C30" s="459" t="s">
        <v>53</v>
      </c>
      <c r="D30" s="459" t="s">
        <v>1</v>
      </c>
      <c r="E30" s="460" t="s">
        <v>708</v>
      </c>
      <c r="F30" s="469" t="str">
        <f>VLOOKUP(E30,'5. Consolidation'!$E$3:$F$715,2,0)</f>
        <v>Aménager des berges naturelles sur la Woluwe entre l’Avenue Debecker et l’Avenue Vandervelde</v>
      </c>
      <c r="G30" s="469" t="str">
        <f>VLOOKUP(E30,'5.2 Actions'!$A$3:$D$720,4,0)</f>
        <v>WOL</v>
      </c>
      <c r="H30" s="459"/>
      <c r="I30" s="459"/>
      <c r="J30" s="459"/>
      <c r="K30" s="459"/>
      <c r="L30" s="459" t="s">
        <v>2715</v>
      </c>
      <c r="M30" s="461">
        <v>0</v>
      </c>
      <c r="N30" s="459">
        <v>2023</v>
      </c>
      <c r="O30" s="459">
        <v>2023</v>
      </c>
      <c r="P30" s="462">
        <f>VLOOKUP($E30,'5.1 Budget'!$A$4:$G$729,2,0)</f>
        <v>0</v>
      </c>
      <c r="Q30" s="462">
        <f>VLOOKUP($E30,'5.1 Budget'!$A$4:$G$729,3,0)</f>
        <v>0</v>
      </c>
      <c r="R30" s="462">
        <f>VLOOKUP($E30,'5.1 Budget'!$A$4:$G$729,4,0)</f>
        <v>0</v>
      </c>
      <c r="S30" s="462">
        <f>VLOOKUP($E30,'5.1 Budget'!$A$4:$G$729,5,0)</f>
        <v>0</v>
      </c>
      <c r="T30" s="462">
        <f>VLOOKUP($E30,'5.1 Budget'!$A$4:$G$729,6,0)</f>
        <v>0</v>
      </c>
      <c r="U30" s="462">
        <f>VLOOKUP($E30,'5.1 Budget'!$A$4:$G$729,7,0)</f>
        <v>0</v>
      </c>
      <c r="V30" s="462">
        <f t="shared" si="0"/>
        <v>0</v>
      </c>
    </row>
    <row r="31" spans="1:22" ht="26.25" x14ac:dyDescent="0.25">
      <c r="A31" s="464">
        <v>1</v>
      </c>
      <c r="B31" s="459" t="s">
        <v>52</v>
      </c>
      <c r="C31" s="459" t="s">
        <v>53</v>
      </c>
      <c r="D31" s="459" t="s">
        <v>1</v>
      </c>
      <c r="E31" s="460" t="s">
        <v>709</v>
      </c>
      <c r="F31" s="469" t="str">
        <f>VLOOKUP(E31,'5. Consolidation'!$E$3:$F$715,2,0)</f>
        <v>Analyser les perspectives d’adoucissement de la pente des berges et d’augmentation de la sinuosité de la Woluwe entre le tronçon Vandervelde et l’Avenue Chapelle-aux-Champs</v>
      </c>
      <c r="G31" s="469" t="str">
        <f>VLOOKUP(E31,'5.2 Actions'!$A$3:$D$720,4,0)</f>
        <v>WOL</v>
      </c>
      <c r="H31" s="459"/>
      <c r="I31" s="459"/>
      <c r="J31" s="459"/>
      <c r="K31" s="459"/>
      <c r="L31" s="459" t="s">
        <v>2715</v>
      </c>
      <c r="M31" s="461">
        <v>0</v>
      </c>
      <c r="N31" s="459"/>
      <c r="O31" s="459"/>
      <c r="P31" s="462">
        <f>VLOOKUP($E31,'5.1 Budget'!$A$4:$G$729,2,0)</f>
        <v>0</v>
      </c>
      <c r="Q31" s="462">
        <f>VLOOKUP($E31,'5.1 Budget'!$A$4:$G$729,3,0)</f>
        <v>0</v>
      </c>
      <c r="R31" s="462">
        <f>VLOOKUP($E31,'5.1 Budget'!$A$4:$G$729,4,0)</f>
        <v>0</v>
      </c>
      <c r="S31" s="462">
        <f>VLOOKUP($E31,'5.1 Budget'!$A$4:$G$729,5,0)</f>
        <v>0</v>
      </c>
      <c r="T31" s="462">
        <f>VLOOKUP($E31,'5.1 Budget'!$A$4:$G$729,6,0)</f>
        <v>0</v>
      </c>
      <c r="U31" s="462">
        <f>VLOOKUP($E31,'5.1 Budget'!$A$4:$G$729,7,0)</f>
        <v>0</v>
      </c>
      <c r="V31" s="462">
        <f t="shared" si="0"/>
        <v>0</v>
      </c>
    </row>
    <row r="32" spans="1:22" ht="26.25" x14ac:dyDescent="0.25">
      <c r="A32" s="464">
        <v>1</v>
      </c>
      <c r="B32" s="459" t="s">
        <v>52</v>
      </c>
      <c r="C32" s="459" t="s">
        <v>53</v>
      </c>
      <c r="D32" s="459" t="s">
        <v>1</v>
      </c>
      <c r="E32" s="460" t="s">
        <v>710</v>
      </c>
      <c r="F32" s="469" t="str">
        <f>VLOOKUP(E32,'5. Consolidation'!$E$3:$F$715,2,0)</f>
        <v xml:space="preserve">Analyser les perspectives d’adoucissement de la pente des berges et d’augmentation de la sinuosité de la Woluwe au niveau du domaine de Val Duchesse </v>
      </c>
      <c r="G32" s="469" t="str">
        <f>VLOOKUP(E32,'5.2 Actions'!$A$3:$D$720,4,0)</f>
        <v>WOL</v>
      </c>
      <c r="H32" s="459"/>
      <c r="I32" s="459"/>
      <c r="J32" s="459"/>
      <c r="K32" s="459"/>
      <c r="L32" s="459" t="s">
        <v>2715</v>
      </c>
      <c r="M32" s="461">
        <v>0</v>
      </c>
      <c r="N32" s="459"/>
      <c r="O32" s="459"/>
      <c r="P32" s="462">
        <f>VLOOKUP($E32,'5.1 Budget'!$A$4:$G$729,2,0)</f>
        <v>0</v>
      </c>
      <c r="Q32" s="462">
        <f>VLOOKUP($E32,'5.1 Budget'!$A$4:$G$729,3,0)</f>
        <v>0</v>
      </c>
      <c r="R32" s="462">
        <f>VLOOKUP($E32,'5.1 Budget'!$A$4:$G$729,4,0)</f>
        <v>0</v>
      </c>
      <c r="S32" s="462">
        <f>VLOOKUP($E32,'5.1 Budget'!$A$4:$G$729,5,0)</f>
        <v>0</v>
      </c>
      <c r="T32" s="462">
        <f>VLOOKUP($E32,'5.1 Budget'!$A$4:$G$729,6,0)</f>
        <v>0</v>
      </c>
      <c r="U32" s="462">
        <f>VLOOKUP($E32,'5.1 Budget'!$A$4:$G$729,7,0)</f>
        <v>0</v>
      </c>
      <c r="V32" s="462">
        <f t="shared" si="0"/>
        <v>0</v>
      </c>
    </row>
    <row r="33" spans="1:22" x14ac:dyDescent="0.25">
      <c r="A33" s="464">
        <v>1</v>
      </c>
      <c r="B33" s="459" t="s">
        <v>52</v>
      </c>
      <c r="C33" s="459" t="s">
        <v>53</v>
      </c>
      <c r="D33" s="459" t="s">
        <v>1</v>
      </c>
      <c r="E33" s="460" t="s">
        <v>712</v>
      </c>
      <c r="F33" s="469" t="str">
        <f>VLOOKUP(E33,'5. Consolidation'!$E$3:$F$715,2,0)</f>
        <v>Réaliser une étude de faisabilité pour l’installation d’un dispositif-test d’île flottante/radeaux végétalisés (cf. aussi M 5.21)</v>
      </c>
      <c r="G33" s="469" t="str">
        <f>VLOOKUP(E33,'5.2 Actions'!$A$3:$D$720,4,0)</f>
        <v>CAN</v>
      </c>
      <c r="H33" s="459"/>
      <c r="I33" s="459"/>
      <c r="J33" s="459"/>
      <c r="K33" s="459"/>
      <c r="L33" s="459" t="s">
        <v>2715</v>
      </c>
      <c r="M33" s="461">
        <v>0</v>
      </c>
      <c r="N33" s="459"/>
      <c r="O33" s="459"/>
      <c r="P33" s="462">
        <f>VLOOKUP($E33,'5.1 Budget'!$A$4:$G$729,2,0)</f>
        <v>0</v>
      </c>
      <c r="Q33" s="462">
        <f>VLOOKUP($E33,'5.1 Budget'!$A$4:$G$729,3,0)</f>
        <v>0</v>
      </c>
      <c r="R33" s="462">
        <f>VLOOKUP($E33,'5.1 Budget'!$A$4:$G$729,4,0)</f>
        <v>0</v>
      </c>
      <c r="S33" s="462">
        <f>VLOOKUP($E33,'5.1 Budget'!$A$4:$G$729,5,0)</f>
        <v>0</v>
      </c>
      <c r="T33" s="462">
        <f>VLOOKUP($E33,'5.1 Budget'!$A$4:$G$729,6,0)</f>
        <v>0</v>
      </c>
      <c r="U33" s="462">
        <f>VLOOKUP($E33,'5.1 Budget'!$A$4:$G$729,7,0)</f>
        <v>0</v>
      </c>
      <c r="V33" s="462">
        <f t="shared" si="0"/>
        <v>0</v>
      </c>
    </row>
    <row r="34" spans="1:22" x14ac:dyDescent="0.25">
      <c r="A34" s="464">
        <v>1</v>
      </c>
      <c r="B34" s="459" t="s">
        <v>52</v>
      </c>
      <c r="C34" s="459" t="s">
        <v>53</v>
      </c>
      <c r="D34" s="459" t="s">
        <v>1</v>
      </c>
      <c r="E34" s="460" t="s">
        <v>713</v>
      </c>
      <c r="F34" s="469" t="str">
        <f>VLOOKUP(E34,'5. Consolidation'!$E$3:$F$715,2,0)</f>
        <v>Installer un dispositif-test d’île flottante (en cours à hauteur du BRYC)</v>
      </c>
      <c r="G34" s="469" t="str">
        <f>VLOOKUP(E34,'5.2 Actions'!$A$3:$D$720,4,0)</f>
        <v>CAN</v>
      </c>
      <c r="H34" s="459"/>
      <c r="I34" s="459"/>
      <c r="J34" s="459"/>
      <c r="K34" s="459"/>
      <c r="L34" s="459" t="s">
        <v>2715</v>
      </c>
      <c r="M34" s="461">
        <v>0</v>
      </c>
      <c r="N34" s="459">
        <v>2022</v>
      </c>
      <c r="O34" s="459"/>
      <c r="P34" s="462">
        <f>VLOOKUP($E34,'5.1 Budget'!$A$4:$G$729,2,0)</f>
        <v>200000</v>
      </c>
      <c r="Q34" s="462">
        <f>VLOOKUP($E34,'5.1 Budget'!$A$4:$G$729,3,0)</f>
        <v>0</v>
      </c>
      <c r="R34" s="462">
        <f>VLOOKUP($E34,'5.1 Budget'!$A$4:$G$729,4,0)</f>
        <v>0</v>
      </c>
      <c r="S34" s="462">
        <f>VLOOKUP($E34,'5.1 Budget'!$A$4:$G$729,5,0)</f>
        <v>0</v>
      </c>
      <c r="T34" s="462">
        <f>VLOOKUP($E34,'5.1 Budget'!$A$4:$G$729,6,0)</f>
        <v>0</v>
      </c>
      <c r="U34" s="462">
        <f>VLOOKUP($E34,'5.1 Budget'!$A$4:$G$729,7,0)</f>
        <v>0</v>
      </c>
      <c r="V34" s="462">
        <f t="shared" si="0"/>
        <v>200000</v>
      </c>
    </row>
    <row r="35" spans="1:22" ht="26.25" x14ac:dyDescent="0.25">
      <c r="A35" s="464">
        <v>1</v>
      </c>
      <c r="B35" s="459" t="s">
        <v>52</v>
      </c>
      <c r="C35" s="459" t="s">
        <v>53</v>
      </c>
      <c r="D35" s="459" t="s">
        <v>1</v>
      </c>
      <c r="E35" s="460" t="s">
        <v>714</v>
      </c>
      <c r="F35" s="469" t="str">
        <f>VLOOKUP(E35,'5. Consolidation'!$E$3:$F$715,2,0)</f>
        <v>Réaliser une étude de faisabilité pour l’aménagement d’une berge naturelle avec zone de lagunage et éventuelle annexe hydraulique en rive gauche du bassin de batelage</v>
      </c>
      <c r="G35" s="469" t="str">
        <f>VLOOKUP(E35,'5.2 Actions'!$A$3:$D$720,4,0)</f>
        <v>CAN</v>
      </c>
      <c r="H35" s="459"/>
      <c r="I35" s="459"/>
      <c r="J35" s="459"/>
      <c r="K35" s="459"/>
      <c r="L35" s="459" t="s">
        <v>2715</v>
      </c>
      <c r="M35" s="461">
        <v>0</v>
      </c>
      <c r="N35" s="459">
        <v>2023</v>
      </c>
      <c r="O35" s="459"/>
      <c r="P35" s="462">
        <f>VLOOKUP($E35,'5.1 Budget'!$A$4:$G$729,2,0)</f>
        <v>0</v>
      </c>
      <c r="Q35" s="462">
        <f>VLOOKUP($E35,'5.1 Budget'!$A$4:$G$729,3,0)</f>
        <v>30000</v>
      </c>
      <c r="R35" s="462">
        <f>VLOOKUP($E35,'5.1 Budget'!$A$4:$G$729,4,0)</f>
        <v>0</v>
      </c>
      <c r="S35" s="462">
        <f>VLOOKUP($E35,'5.1 Budget'!$A$4:$G$729,5,0)</f>
        <v>0</v>
      </c>
      <c r="T35" s="462">
        <f>VLOOKUP($E35,'5.1 Budget'!$A$4:$G$729,6,0)</f>
        <v>0</v>
      </c>
      <c r="U35" s="462">
        <f>VLOOKUP($E35,'5.1 Budget'!$A$4:$G$729,7,0)</f>
        <v>0</v>
      </c>
      <c r="V35" s="462">
        <f t="shared" si="0"/>
        <v>30000</v>
      </c>
    </row>
    <row r="36" spans="1:22" ht="26.25" x14ac:dyDescent="0.25">
      <c r="A36" s="464">
        <v>1</v>
      </c>
      <c r="B36" s="459" t="s">
        <v>52</v>
      </c>
      <c r="C36" s="459" t="s">
        <v>53</v>
      </c>
      <c r="D36" s="459" t="s">
        <v>1</v>
      </c>
      <c r="E36" s="460" t="s">
        <v>715</v>
      </c>
      <c r="F36" s="469" t="str">
        <f>VLOOKUP(E36,'5. Consolidation'!$E$3:$F$715,2,0)</f>
        <v>Evaluer le résultat et l’expérience acquise avec le dispositif-test d’île flottante pour orienter l’extension de ce type d’aménagements à d’autres zones</v>
      </c>
      <c r="G36" s="469" t="str">
        <f>VLOOKUP(E36,'5.2 Actions'!$A$3:$D$720,4,0)</f>
        <v>CAN</v>
      </c>
      <c r="H36" s="459"/>
      <c r="I36" s="459"/>
      <c r="J36" s="459"/>
      <c r="K36" s="459"/>
      <c r="L36" s="459" t="s">
        <v>2715</v>
      </c>
      <c r="M36" s="461">
        <v>0</v>
      </c>
      <c r="N36" s="459"/>
      <c r="O36" s="459"/>
      <c r="P36" s="462">
        <f>VLOOKUP($E36,'5.1 Budget'!$A$4:$G$729,2,0)</f>
        <v>0</v>
      </c>
      <c r="Q36" s="462">
        <f>VLOOKUP($E36,'5.1 Budget'!$A$4:$G$729,3,0)</f>
        <v>0</v>
      </c>
      <c r="R36" s="462">
        <f>VLOOKUP($E36,'5.1 Budget'!$A$4:$G$729,4,0)</f>
        <v>0</v>
      </c>
      <c r="S36" s="462">
        <f>VLOOKUP($E36,'5.1 Budget'!$A$4:$G$729,5,0)</f>
        <v>0</v>
      </c>
      <c r="T36" s="462">
        <f>VLOOKUP($E36,'5.1 Budget'!$A$4:$G$729,6,0)</f>
        <v>0</v>
      </c>
      <c r="U36" s="462">
        <f>VLOOKUP($E36,'5.1 Budget'!$A$4:$G$729,7,0)</f>
        <v>0</v>
      </c>
      <c r="V36" s="462">
        <f t="shared" si="0"/>
        <v>0</v>
      </c>
    </row>
    <row r="37" spans="1:22" ht="26.25" x14ac:dyDescent="0.25">
      <c r="A37" s="464">
        <v>1</v>
      </c>
      <c r="B37" s="459" t="s">
        <v>52</v>
      </c>
      <c r="C37" s="459" t="s">
        <v>53</v>
      </c>
      <c r="D37" s="459" t="s">
        <v>1</v>
      </c>
      <c r="E37" s="460" t="s">
        <v>716</v>
      </c>
      <c r="F37" s="469" t="str">
        <f>VLOOKUP(E37,'5. Consolidation'!$E$3:$F$715,2,0)</f>
        <v xml:space="preserve">Installer des aménagements de berges (tels que des îles flottantes) à d’autres endroits, en fonction du résultat et de l’expérience acquise avec le dispositif-test d’île flottante </v>
      </c>
      <c r="G37" s="469" t="str">
        <f>VLOOKUP(E37,'5.2 Actions'!$A$3:$D$720,4,0)</f>
        <v>CAN</v>
      </c>
      <c r="H37" s="459"/>
      <c r="I37" s="459"/>
      <c r="J37" s="459"/>
      <c r="K37" s="459"/>
      <c r="L37" s="459" t="s">
        <v>2715</v>
      </c>
      <c r="M37" s="461">
        <v>0</v>
      </c>
      <c r="N37" s="459">
        <v>2023</v>
      </c>
      <c r="O37" s="459">
        <v>2023</v>
      </c>
      <c r="P37" s="462">
        <f>VLOOKUP($E37,'5.1 Budget'!$A$4:$G$729,2,0)</f>
        <v>0</v>
      </c>
      <c r="Q37" s="462">
        <f>VLOOKUP($E37,'5.1 Budget'!$A$4:$G$729,3,0)</f>
        <v>250000</v>
      </c>
      <c r="R37" s="462">
        <f>VLOOKUP($E37,'5.1 Budget'!$A$4:$G$729,4,0)</f>
        <v>300000</v>
      </c>
      <c r="S37" s="462">
        <f>VLOOKUP($E37,'5.1 Budget'!$A$4:$G$729,5,0)</f>
        <v>285000</v>
      </c>
      <c r="T37" s="462">
        <f>VLOOKUP($E37,'5.1 Budget'!$A$4:$G$729,6,0)</f>
        <v>0</v>
      </c>
      <c r="U37" s="462">
        <f>VLOOKUP($E37,'5.1 Budget'!$A$4:$G$729,7,0)</f>
        <v>0</v>
      </c>
      <c r="V37" s="462">
        <f t="shared" si="0"/>
        <v>835000</v>
      </c>
    </row>
    <row r="38" spans="1:22" ht="26.25" x14ac:dyDescent="0.25">
      <c r="A38" s="464">
        <v>1</v>
      </c>
      <c r="B38" s="459" t="s">
        <v>52</v>
      </c>
      <c r="C38" s="459" t="s">
        <v>53</v>
      </c>
      <c r="D38" s="459" t="s">
        <v>1</v>
      </c>
      <c r="E38" s="460" t="s">
        <v>717</v>
      </c>
      <c r="F38" s="469" t="str">
        <f>VLOOKUP(E38,'5. Consolidation'!$E$3:$F$715,2,0)</f>
        <v>Aménager la berge en rive gauche du bassin de batelage en fonction des résultats de l’étude de faisabilité (actuellement envisagé : berge naturelle avec zone de lagunage protégée des remous)</v>
      </c>
      <c r="G38" s="469" t="str">
        <f>VLOOKUP(E38,'5.2 Actions'!$A$3:$D$720,4,0)</f>
        <v>CAN</v>
      </c>
      <c r="H38" s="459"/>
      <c r="I38" s="459"/>
      <c r="J38" s="459"/>
      <c r="K38" s="459"/>
      <c r="L38" s="459" t="s">
        <v>2715</v>
      </c>
      <c r="M38" s="461">
        <v>0</v>
      </c>
      <c r="N38" s="459">
        <v>2025</v>
      </c>
      <c r="O38" s="459"/>
      <c r="P38" s="462">
        <f>VLOOKUP($E38,'5.1 Budget'!$A$4:$G$729,2,0)</f>
        <v>0</v>
      </c>
      <c r="Q38" s="462">
        <f>VLOOKUP($E38,'5.1 Budget'!$A$4:$G$729,3,0)</f>
        <v>0</v>
      </c>
      <c r="R38" s="462">
        <f>VLOOKUP($E38,'5.1 Budget'!$A$4:$G$729,4,0)</f>
        <v>0</v>
      </c>
      <c r="S38" s="462">
        <f>VLOOKUP($E38,'5.1 Budget'!$A$4:$G$729,5,0)</f>
        <v>200000</v>
      </c>
      <c r="T38" s="462">
        <f>VLOOKUP($E38,'5.1 Budget'!$A$4:$G$729,6,0)</f>
        <v>0</v>
      </c>
      <c r="U38" s="462">
        <f>VLOOKUP($E38,'5.1 Budget'!$A$4:$G$729,7,0)</f>
        <v>0</v>
      </c>
      <c r="V38" s="462">
        <f t="shared" si="0"/>
        <v>200000</v>
      </c>
    </row>
    <row r="39" spans="1:22" x14ac:dyDescent="0.25">
      <c r="A39" s="464">
        <v>1</v>
      </c>
      <c r="B39" s="459" t="s">
        <v>52</v>
      </c>
      <c r="C39" s="459" t="s">
        <v>53</v>
      </c>
      <c r="D39" s="459" t="s">
        <v>1</v>
      </c>
      <c r="E39" s="460" t="s">
        <v>718</v>
      </c>
      <c r="F39" s="469" t="str">
        <f>VLOOKUP(E39,'5. Consolidation'!$E$3:$F$715,2,0)</f>
        <v>Mise en valeur des berges du Zuunbeek dans le cadre de l’aménagement du parc du Zuun - Travaux</v>
      </c>
      <c r="G39" s="469" t="str">
        <f>VLOOKUP(E39,'5.2 Actions'!$A$3:$D$720,4,0)</f>
        <v>SEN</v>
      </c>
      <c r="H39" s="459"/>
      <c r="I39" s="459"/>
      <c r="J39" s="459"/>
      <c r="K39" s="459"/>
      <c r="L39" s="459" t="s">
        <v>2715</v>
      </c>
      <c r="M39" s="461">
        <v>0</v>
      </c>
      <c r="N39" s="459">
        <v>2024</v>
      </c>
      <c r="O39" s="459">
        <v>2025</v>
      </c>
      <c r="P39" s="462">
        <f>VLOOKUP($E39,'5.1 Budget'!$A$4:$G$729,2,0)</f>
        <v>0</v>
      </c>
      <c r="Q39" s="462">
        <f>VLOOKUP($E39,'5.1 Budget'!$A$4:$G$729,3,0)</f>
        <v>0</v>
      </c>
      <c r="R39" s="462">
        <f>VLOOKUP($E39,'5.1 Budget'!$A$4:$G$729,4,0)</f>
        <v>300000</v>
      </c>
      <c r="S39" s="462">
        <f>VLOOKUP($E39,'5.1 Budget'!$A$4:$G$729,5,0)</f>
        <v>0</v>
      </c>
      <c r="T39" s="462">
        <f>VLOOKUP($E39,'5.1 Budget'!$A$4:$G$729,6,0)</f>
        <v>0</v>
      </c>
      <c r="U39" s="462">
        <f>VLOOKUP($E39,'5.1 Budget'!$A$4:$G$729,7,0)</f>
        <v>0</v>
      </c>
      <c r="V39" s="462">
        <f t="shared" si="0"/>
        <v>300000</v>
      </c>
    </row>
    <row r="40" spans="1:22" x14ac:dyDescent="0.25">
      <c r="A40" s="464">
        <v>1</v>
      </c>
      <c r="B40" s="459" t="s">
        <v>52</v>
      </c>
      <c r="C40" s="459" t="s">
        <v>53</v>
      </c>
      <c r="D40" s="459" t="s">
        <v>1</v>
      </c>
      <c r="E40" s="460" t="s">
        <v>719</v>
      </c>
      <c r="F40" s="469" t="str">
        <f>VLOOKUP(E40,'5. Consolidation'!$E$3:$F$715,2,0)</f>
        <v>Aménagement des berges du Molenbeek au niveau du Marais de Jette</v>
      </c>
      <c r="G40" s="469" t="str">
        <f>VLOOKUP(E40,'5.2 Actions'!$A$3:$D$720,4,0)</f>
        <v>SEN</v>
      </c>
      <c r="H40" s="459"/>
      <c r="I40" s="459"/>
      <c r="J40" s="459"/>
      <c r="K40" s="459"/>
      <c r="L40" s="459" t="s">
        <v>2715</v>
      </c>
      <c r="M40" s="461">
        <v>0</v>
      </c>
      <c r="N40" s="459">
        <v>2024</v>
      </c>
      <c r="O40" s="459">
        <v>2025</v>
      </c>
      <c r="P40" s="462">
        <f>VLOOKUP($E40,'5.1 Budget'!$A$4:$G$729,2,0)</f>
        <v>0</v>
      </c>
      <c r="Q40" s="462">
        <f>VLOOKUP($E40,'5.1 Budget'!$A$4:$G$729,3,0)</f>
        <v>0</v>
      </c>
      <c r="R40" s="462">
        <f>VLOOKUP($E40,'5.1 Budget'!$A$4:$G$729,4,0)</f>
        <v>500000</v>
      </c>
      <c r="S40" s="462">
        <f>VLOOKUP($E40,'5.1 Budget'!$A$4:$G$729,5,0)</f>
        <v>0</v>
      </c>
      <c r="T40" s="462">
        <f>VLOOKUP($E40,'5.1 Budget'!$A$4:$G$729,6,0)</f>
        <v>0</v>
      </c>
      <c r="U40" s="462">
        <f>VLOOKUP($E40,'5.1 Budget'!$A$4:$G$729,7,0)</f>
        <v>0</v>
      </c>
      <c r="V40" s="462">
        <f t="shared" si="0"/>
        <v>500000</v>
      </c>
    </row>
    <row r="41" spans="1:22" x14ac:dyDescent="0.25">
      <c r="A41" s="464">
        <v>1</v>
      </c>
      <c r="B41" s="459" t="s">
        <v>52</v>
      </c>
      <c r="C41" s="459" t="s">
        <v>53</v>
      </c>
      <c r="D41" s="459" t="s">
        <v>1</v>
      </c>
      <c r="E41" s="460" t="s">
        <v>720</v>
      </c>
      <c r="F41" s="469" t="str">
        <f>VLOOKUP(E41,'5. Consolidation'!$E$3:$F$715,2,0)</f>
        <v>Création de zone refuge en cas d’étiage du Molenbeek au niveau du Parc Roi Baudouin</v>
      </c>
      <c r="G41" s="469" t="str">
        <f>VLOOKUP(E41,'5.2 Actions'!$A$3:$D$720,4,0)</f>
        <v>SEN</v>
      </c>
      <c r="H41" s="459"/>
      <c r="I41" s="459"/>
      <c r="J41" s="459"/>
      <c r="K41" s="459"/>
      <c r="L41" s="459" t="s">
        <v>2715</v>
      </c>
      <c r="M41" s="461">
        <v>0</v>
      </c>
      <c r="N41" s="459">
        <v>2025</v>
      </c>
      <c r="O41" s="459">
        <v>2024</v>
      </c>
      <c r="P41" s="462">
        <f>VLOOKUP($E41,'5.1 Budget'!$A$4:$G$729,2,0)</f>
        <v>0</v>
      </c>
      <c r="Q41" s="462">
        <f>VLOOKUP($E41,'5.1 Budget'!$A$4:$G$729,3,0)</f>
        <v>0</v>
      </c>
      <c r="R41" s="462">
        <f>VLOOKUP($E41,'5.1 Budget'!$A$4:$G$729,4,0)</f>
        <v>0</v>
      </c>
      <c r="S41" s="462">
        <f>VLOOKUP($E41,'5.1 Budget'!$A$4:$G$729,5,0)</f>
        <v>200000</v>
      </c>
      <c r="T41" s="462">
        <f>VLOOKUP($E41,'5.1 Budget'!$A$4:$G$729,6,0)</f>
        <v>0</v>
      </c>
      <c r="U41" s="462">
        <f>VLOOKUP($E41,'5.1 Budget'!$A$4:$G$729,7,0)</f>
        <v>0</v>
      </c>
      <c r="V41" s="462">
        <f t="shared" si="0"/>
        <v>200000</v>
      </c>
    </row>
    <row r="42" spans="1:22" ht="26.25" x14ac:dyDescent="0.25">
      <c r="A42" s="464">
        <v>1</v>
      </c>
      <c r="B42" s="459" t="s">
        <v>52</v>
      </c>
      <c r="C42" s="459" t="s">
        <v>53</v>
      </c>
      <c r="D42" s="459" t="s">
        <v>2</v>
      </c>
      <c r="E42" s="460" t="s">
        <v>775</v>
      </c>
      <c r="F42" s="469" t="str">
        <f>VLOOKUP(E42,'5. Consolidation'!$E$3:$F$715,2,0)</f>
        <v>Réaliser une étude de faisabilité pour l’aménagement d’une 1ère série d’obstacles sur la Woluwe (4 obstacles dans partie aval) et la Senne (action C12_1 Belini pour la Senne)</v>
      </c>
      <c r="G42" s="469" t="str">
        <f>VLOOKUP(E42,'5.2 Actions'!$A$3:$D$720,4,0)</f>
        <v>WOL</v>
      </c>
      <c r="H42" s="459"/>
      <c r="I42" s="459"/>
      <c r="J42" s="459"/>
      <c r="K42" s="459"/>
      <c r="L42" s="459" t="s">
        <v>2715</v>
      </c>
      <c r="M42" s="461">
        <v>0</v>
      </c>
      <c r="N42" s="459">
        <v>2022</v>
      </c>
      <c r="O42" s="459">
        <v>2024</v>
      </c>
      <c r="P42" s="462">
        <f>VLOOKUP($E42,'5.1 Budget'!$A$4:$G$729,2,0)</f>
        <v>50000</v>
      </c>
      <c r="Q42" s="462">
        <f>VLOOKUP($E42,'5.1 Budget'!$A$4:$G$729,3,0)</f>
        <v>0</v>
      </c>
      <c r="R42" s="462">
        <f>VLOOKUP($E42,'5.1 Budget'!$A$4:$G$729,4,0)</f>
        <v>0</v>
      </c>
      <c r="S42" s="462">
        <f>VLOOKUP($E42,'5.1 Budget'!$A$4:$G$729,5,0)</f>
        <v>0</v>
      </c>
      <c r="T42" s="462">
        <f>VLOOKUP($E42,'5.1 Budget'!$A$4:$G$729,6,0)</f>
        <v>0</v>
      </c>
      <c r="U42" s="462">
        <f>VLOOKUP($E42,'5.1 Budget'!$A$4:$G$729,7,0)</f>
        <v>0</v>
      </c>
      <c r="V42" s="462">
        <f t="shared" si="0"/>
        <v>50000</v>
      </c>
    </row>
    <row r="43" spans="1:22" ht="26.25" x14ac:dyDescent="0.25">
      <c r="A43" s="464">
        <v>1</v>
      </c>
      <c r="B43" s="459" t="s">
        <v>52</v>
      </c>
      <c r="C43" s="459" t="s">
        <v>53</v>
      </c>
      <c r="D43" s="459" t="s">
        <v>2</v>
      </c>
      <c r="E43" s="460" t="s">
        <v>776</v>
      </c>
      <c r="F43" s="469" t="str">
        <f>VLOOKUP(E43,'5. Consolidation'!$E$3:$F$715,2,0)</f>
        <v>Mener une étude de projet pour l’aménagement d’une 1ère série de 4 obstacles sur la Woluwe (partie aval) + 1 obstacle sur la Senne</v>
      </c>
      <c r="G43" s="469" t="str">
        <f>VLOOKUP(E43,'5.2 Actions'!$A$3:$D$720,4,0)</f>
        <v>WOL</v>
      </c>
      <c r="H43" s="459"/>
      <c r="I43" s="459"/>
      <c r="J43" s="459"/>
      <c r="K43" s="459"/>
      <c r="L43" s="459" t="s">
        <v>2715</v>
      </c>
      <c r="M43" s="461">
        <v>0</v>
      </c>
      <c r="N43" s="459">
        <v>2024</v>
      </c>
      <c r="O43" s="459">
        <v>2025</v>
      </c>
      <c r="P43" s="462">
        <f>VLOOKUP($E43,'5.1 Budget'!$A$4:$G$729,2,0)</f>
        <v>0</v>
      </c>
      <c r="Q43" s="462">
        <f>VLOOKUP($E43,'5.1 Budget'!$A$4:$G$729,3,0)</f>
        <v>0</v>
      </c>
      <c r="R43" s="462">
        <f>VLOOKUP($E43,'5.1 Budget'!$A$4:$G$729,4,0)</f>
        <v>50000</v>
      </c>
      <c r="S43" s="462">
        <f>VLOOKUP($E43,'5.1 Budget'!$A$4:$G$729,5,0)</f>
        <v>0</v>
      </c>
      <c r="T43" s="462">
        <f>VLOOKUP($E43,'5.1 Budget'!$A$4:$G$729,6,0)</f>
        <v>0</v>
      </c>
      <c r="U43" s="462">
        <f>VLOOKUP($E43,'5.1 Budget'!$A$4:$G$729,7,0)</f>
        <v>0</v>
      </c>
      <c r="V43" s="462">
        <f t="shared" si="0"/>
        <v>50000</v>
      </c>
    </row>
    <row r="44" spans="1:22" x14ac:dyDescent="0.25">
      <c r="A44" s="464">
        <v>1</v>
      </c>
      <c r="B44" s="459" t="s">
        <v>52</v>
      </c>
      <c r="C44" s="459" t="s">
        <v>53</v>
      </c>
      <c r="D44" s="459" t="s">
        <v>2</v>
      </c>
      <c r="E44" s="460" t="s">
        <v>777</v>
      </c>
      <c r="F44" s="469" t="str">
        <f>VLOOKUP(E44,'5. Consolidation'!$E$3:$F$715,2,0)</f>
        <v>Travaux d’aménagement de 2 obstacles parmi la 1ère série de 4 sur la Woluwe (partie aval)</v>
      </c>
      <c r="G44" s="469" t="str">
        <f>VLOOKUP(E44,'5.2 Actions'!$A$3:$D$720,4,0)</f>
        <v>WOL</v>
      </c>
      <c r="H44" s="459"/>
      <c r="I44" s="459"/>
      <c r="J44" s="459"/>
      <c r="K44" s="459"/>
      <c r="L44" s="459" t="s">
        <v>2715</v>
      </c>
      <c r="M44" s="461">
        <v>0</v>
      </c>
      <c r="N44" s="459">
        <v>2026</v>
      </c>
      <c r="O44" s="459">
        <v>2022</v>
      </c>
      <c r="P44" s="462">
        <f>VLOOKUP($E44,'5.1 Budget'!$A$4:$G$729,2,0)</f>
        <v>0</v>
      </c>
      <c r="Q44" s="462">
        <f>VLOOKUP($E44,'5.1 Budget'!$A$4:$G$729,3,0)</f>
        <v>0</v>
      </c>
      <c r="R44" s="462">
        <f>VLOOKUP($E44,'5.1 Budget'!$A$4:$G$729,4,0)</f>
        <v>0</v>
      </c>
      <c r="S44" s="462">
        <f>VLOOKUP($E44,'5.1 Budget'!$A$4:$G$729,5,0)</f>
        <v>0</v>
      </c>
      <c r="T44" s="462">
        <f>VLOOKUP($E44,'5.1 Budget'!$A$4:$G$729,6,0)</f>
        <v>100000</v>
      </c>
      <c r="U44" s="462">
        <f>VLOOKUP($E44,'5.1 Budget'!$A$4:$G$729,7,0)</f>
        <v>0</v>
      </c>
      <c r="V44" s="462">
        <f t="shared" si="0"/>
        <v>100000</v>
      </c>
    </row>
    <row r="45" spans="1:22" x14ac:dyDescent="0.25">
      <c r="A45" s="464">
        <v>1</v>
      </c>
      <c r="B45" s="459" t="s">
        <v>52</v>
      </c>
      <c r="C45" s="459" t="s">
        <v>53</v>
      </c>
      <c r="D45" s="459" t="s">
        <v>2</v>
      </c>
      <c r="E45" s="460" t="s">
        <v>778</v>
      </c>
      <c r="F45" s="469" t="str">
        <f>VLOOKUP(E45,'5. Consolidation'!$E$3:$F$715,2,0)</f>
        <v>Travaux d’aménagement des 2 derniers obstacles parmi la 1ère série de 4 sur la Woluwe (partie aval)</v>
      </c>
      <c r="G45" s="469" t="str">
        <f>VLOOKUP(E45,'5.2 Actions'!$A$3:$D$720,4,0)</f>
        <v>WOL</v>
      </c>
      <c r="H45" s="459"/>
      <c r="I45" s="459"/>
      <c r="J45" s="459"/>
      <c r="K45" s="459"/>
      <c r="L45" s="459" t="s">
        <v>2715</v>
      </c>
      <c r="M45" s="461">
        <v>0</v>
      </c>
      <c r="N45" s="459">
        <v>2024</v>
      </c>
      <c r="O45" s="459">
        <v>2024</v>
      </c>
      <c r="P45" s="462">
        <f>VLOOKUP($E45,'5.1 Budget'!$A$4:$G$729,2,0)</f>
        <v>0</v>
      </c>
      <c r="Q45" s="462">
        <f>VLOOKUP($E45,'5.1 Budget'!$A$4:$G$729,3,0)</f>
        <v>0</v>
      </c>
      <c r="R45" s="462">
        <f>VLOOKUP($E45,'5.1 Budget'!$A$4:$G$729,4,0)</f>
        <v>0</v>
      </c>
      <c r="S45" s="462">
        <f>VLOOKUP($E45,'5.1 Budget'!$A$4:$G$729,5,0)</f>
        <v>0</v>
      </c>
      <c r="T45" s="462">
        <f>VLOOKUP($E45,'5.1 Budget'!$A$4:$G$729,6,0)</f>
        <v>0</v>
      </c>
      <c r="U45" s="462">
        <f>VLOOKUP($E45,'5.1 Budget'!$A$4:$G$729,7,0)</f>
        <v>0</v>
      </c>
      <c r="V45" s="462">
        <f t="shared" si="0"/>
        <v>0</v>
      </c>
    </row>
    <row r="46" spans="1:22" x14ac:dyDescent="0.25">
      <c r="A46" s="464">
        <v>1</v>
      </c>
      <c r="B46" s="459" t="s">
        <v>52</v>
      </c>
      <c r="C46" s="459" t="s">
        <v>53</v>
      </c>
      <c r="D46" s="459" t="s">
        <v>2</v>
      </c>
      <c r="E46" s="460" t="s">
        <v>779</v>
      </c>
      <c r="F46" s="469" t="str">
        <f>VLOOKUP(E46,'5. Consolidation'!$E$3:$F$715,2,0)</f>
        <v>Travaux d’aménagement de l’obstacle sur la Senne</v>
      </c>
      <c r="G46" s="469" t="str">
        <f>VLOOKUP(E46,'5.2 Actions'!$A$3:$D$720,4,0)</f>
        <v>SEN</v>
      </c>
      <c r="H46" s="459"/>
      <c r="I46" s="459"/>
      <c r="J46" s="459"/>
      <c r="K46" s="459"/>
      <c r="L46" s="459" t="s">
        <v>2715</v>
      </c>
      <c r="M46" s="461">
        <v>0</v>
      </c>
      <c r="N46" s="459">
        <v>2026</v>
      </c>
      <c r="O46" s="459">
        <v>2026</v>
      </c>
      <c r="P46" s="462">
        <f>VLOOKUP($E46,'5.1 Budget'!$A$4:$G$729,2,0)</f>
        <v>0</v>
      </c>
      <c r="Q46" s="462">
        <f>VLOOKUP($E46,'5.1 Budget'!$A$4:$G$729,3,0)</f>
        <v>0</v>
      </c>
      <c r="R46" s="462">
        <f>VLOOKUP($E46,'5.1 Budget'!$A$4:$G$729,4,0)</f>
        <v>0</v>
      </c>
      <c r="S46" s="462">
        <f>VLOOKUP($E46,'5.1 Budget'!$A$4:$G$729,5,0)</f>
        <v>0</v>
      </c>
      <c r="T46" s="462">
        <f>VLOOKUP($E46,'5.1 Budget'!$A$4:$G$729,6,0)</f>
        <v>250000</v>
      </c>
      <c r="U46" s="462">
        <f>VLOOKUP($E46,'5.1 Budget'!$A$4:$G$729,7,0)</f>
        <v>0</v>
      </c>
      <c r="V46" s="462">
        <f t="shared" si="0"/>
        <v>250000</v>
      </c>
    </row>
    <row r="47" spans="1:22" x14ac:dyDescent="0.25">
      <c r="A47" s="464">
        <v>1</v>
      </c>
      <c r="B47" s="459" t="s">
        <v>52</v>
      </c>
      <c r="C47" s="459" t="s">
        <v>53</v>
      </c>
      <c r="D47" s="459" t="s">
        <v>2</v>
      </c>
      <c r="E47" s="460" t="s">
        <v>780</v>
      </c>
      <c r="F47" s="469" t="str">
        <f>VLOOKUP(E47,'5. Consolidation'!$E$3:$F$715,2,0)</f>
        <v>Réaliser une étude de faisabilité pour l’aménagement d’une 2ème série de 5 obstacles sur la Woluwe (partie amont)</v>
      </c>
      <c r="G47" s="469" t="str">
        <f>VLOOKUP(E47,'5.2 Actions'!$A$3:$D$720,4,0)</f>
        <v>WOL</v>
      </c>
      <c r="H47" s="459"/>
      <c r="I47" s="459"/>
      <c r="J47" s="459"/>
      <c r="K47" s="459"/>
      <c r="L47" s="459" t="s">
        <v>2715</v>
      </c>
      <c r="M47" s="461">
        <v>0</v>
      </c>
      <c r="N47" s="459"/>
      <c r="O47" s="459"/>
      <c r="P47" s="462">
        <f>VLOOKUP($E47,'5.1 Budget'!$A$4:$G$729,2,0)</f>
        <v>0</v>
      </c>
      <c r="Q47" s="462">
        <f>VLOOKUP($E47,'5.1 Budget'!$A$4:$G$729,3,0)</f>
        <v>0</v>
      </c>
      <c r="R47" s="462">
        <f>VLOOKUP($E47,'5.1 Budget'!$A$4:$G$729,4,0)</f>
        <v>0</v>
      </c>
      <c r="S47" s="462">
        <f>VLOOKUP($E47,'5.1 Budget'!$A$4:$G$729,5,0)</f>
        <v>0</v>
      </c>
      <c r="T47" s="462">
        <f>VLOOKUP($E47,'5.1 Budget'!$A$4:$G$729,6,0)</f>
        <v>0</v>
      </c>
      <c r="U47" s="462">
        <f>VLOOKUP($E47,'5.1 Budget'!$A$4:$G$729,7,0)</f>
        <v>0</v>
      </c>
      <c r="V47" s="462">
        <f t="shared" si="0"/>
        <v>0</v>
      </c>
    </row>
    <row r="48" spans="1:22" x14ac:dyDescent="0.25">
      <c r="A48" s="464">
        <v>1</v>
      </c>
      <c r="B48" s="459" t="s">
        <v>52</v>
      </c>
      <c r="C48" s="459" t="s">
        <v>53</v>
      </c>
      <c r="D48" s="459" t="s">
        <v>2</v>
      </c>
      <c r="E48" s="460" t="s">
        <v>781</v>
      </c>
      <c r="F48" s="469" t="str">
        <f>VLOOKUP(E48,'5. Consolidation'!$E$3:$F$715,2,0)</f>
        <v>Réaliser une étude de projet pour l’aménagement d’une 2ème série de 5 obstacles sur la Woluwe (partie amont)</v>
      </c>
      <c r="G48" s="469" t="str">
        <f>VLOOKUP(E48,'5.2 Actions'!$A$3:$D$720,4,0)</f>
        <v>WOL</v>
      </c>
      <c r="H48" s="459"/>
      <c r="I48" s="459"/>
      <c r="J48" s="459"/>
      <c r="K48" s="459"/>
      <c r="L48" s="459" t="s">
        <v>2715</v>
      </c>
      <c r="M48" s="461">
        <v>0</v>
      </c>
      <c r="N48" s="459">
        <v>2026</v>
      </c>
      <c r="O48" s="459">
        <v>2026</v>
      </c>
      <c r="P48" s="462">
        <f>VLOOKUP($E48,'5.1 Budget'!$A$4:$G$729,2,0)</f>
        <v>0</v>
      </c>
      <c r="Q48" s="462">
        <f>VLOOKUP($E48,'5.1 Budget'!$A$4:$G$729,3,0)</f>
        <v>0</v>
      </c>
      <c r="R48" s="462">
        <f>VLOOKUP($E48,'5.1 Budget'!$A$4:$G$729,4,0)</f>
        <v>0</v>
      </c>
      <c r="S48" s="462">
        <f>VLOOKUP($E48,'5.1 Budget'!$A$4:$G$729,5,0)</f>
        <v>0</v>
      </c>
      <c r="T48" s="462">
        <f>VLOOKUP($E48,'5.1 Budget'!$A$4:$G$729,6,0)</f>
        <v>0</v>
      </c>
      <c r="U48" s="462">
        <f>VLOOKUP($E48,'5.1 Budget'!$A$4:$G$729,7,0)</f>
        <v>0</v>
      </c>
      <c r="V48" s="462">
        <f t="shared" si="0"/>
        <v>0</v>
      </c>
    </row>
    <row r="49" spans="1:22" x14ac:dyDescent="0.25">
      <c r="A49" s="464">
        <v>1</v>
      </c>
      <c r="B49" s="459" t="s">
        <v>52</v>
      </c>
      <c r="C49" s="459" t="s">
        <v>53</v>
      </c>
      <c r="D49" s="459" t="s">
        <v>2</v>
      </c>
      <c r="E49" s="460" t="s">
        <v>782</v>
      </c>
      <c r="F49" s="469" t="str">
        <f>VLOOKUP(E49,'5. Consolidation'!$E$3:$F$715,2,0)</f>
        <v>Travaux d’aménagement des 5 obstacles de la 2ème série sur la Woluwe (partie amont)</v>
      </c>
      <c r="G49" s="469" t="str">
        <f>VLOOKUP(E49,'5.2 Actions'!$A$3:$D$720,4,0)</f>
        <v>WOL</v>
      </c>
      <c r="H49" s="459"/>
      <c r="I49" s="459"/>
      <c r="J49" s="459"/>
      <c r="K49" s="459"/>
      <c r="L49" s="459" t="s">
        <v>2715</v>
      </c>
      <c r="M49" s="461">
        <v>0</v>
      </c>
      <c r="N49" s="459"/>
      <c r="O49" s="459"/>
      <c r="P49" s="462">
        <f>VLOOKUP($E49,'5.1 Budget'!$A$4:$G$729,2,0)</f>
        <v>0</v>
      </c>
      <c r="Q49" s="462">
        <f>VLOOKUP($E49,'5.1 Budget'!$A$4:$G$729,3,0)</f>
        <v>0</v>
      </c>
      <c r="R49" s="462">
        <f>VLOOKUP($E49,'5.1 Budget'!$A$4:$G$729,4,0)</f>
        <v>0</v>
      </c>
      <c r="S49" s="462">
        <f>VLOOKUP($E49,'5.1 Budget'!$A$4:$G$729,5,0)</f>
        <v>0</v>
      </c>
      <c r="T49" s="462">
        <f>VLOOKUP($E49,'5.1 Budget'!$A$4:$G$729,6,0)</f>
        <v>0</v>
      </c>
      <c r="U49" s="462">
        <f>VLOOKUP($E49,'5.1 Budget'!$A$4:$G$729,7,0)</f>
        <v>0</v>
      </c>
      <c r="V49" s="462">
        <f t="shared" si="0"/>
        <v>0</v>
      </c>
    </row>
    <row r="50" spans="1:22" x14ac:dyDescent="0.25">
      <c r="A50" s="464">
        <v>1</v>
      </c>
      <c r="B50" s="459" t="s">
        <v>52</v>
      </c>
      <c r="C50" s="459" t="s">
        <v>53</v>
      </c>
      <c r="D50" s="459" t="s">
        <v>2</v>
      </c>
      <c r="E50" s="460" t="s">
        <v>783</v>
      </c>
      <c r="F50" s="469" t="str">
        <f>VLOOKUP(E50,'5. Consolidation'!$E$3:$F$715,2,0)</f>
        <v>Aménager les écluses du Canal de passes à poissons</v>
      </c>
      <c r="G50" s="469" t="str">
        <f>VLOOKUP(E50,'5.2 Actions'!$A$3:$D$720,4,0)</f>
        <v>CAN</v>
      </c>
      <c r="H50" s="459"/>
      <c r="I50" s="459"/>
      <c r="J50" s="459"/>
      <c r="K50" s="459"/>
      <c r="L50" s="459" t="s">
        <v>2715</v>
      </c>
      <c r="M50" s="461">
        <v>0</v>
      </c>
      <c r="N50" s="459"/>
      <c r="O50" s="459"/>
      <c r="P50" s="462">
        <f>VLOOKUP($E50,'5.1 Budget'!$A$4:$G$729,2,0)</f>
        <v>0</v>
      </c>
      <c r="Q50" s="462">
        <f>VLOOKUP($E50,'5.1 Budget'!$A$4:$G$729,3,0)</f>
        <v>0</v>
      </c>
      <c r="R50" s="462">
        <f>VLOOKUP($E50,'5.1 Budget'!$A$4:$G$729,4,0)</f>
        <v>0</v>
      </c>
      <c r="S50" s="462">
        <f>VLOOKUP($E50,'5.1 Budget'!$A$4:$G$729,5,0)</f>
        <v>0</v>
      </c>
      <c r="T50" s="462">
        <f>VLOOKUP($E50,'5.1 Budget'!$A$4:$G$729,6,0)</f>
        <v>0</v>
      </c>
      <c r="U50" s="462">
        <f>VLOOKUP($E50,'5.1 Budget'!$A$4:$G$729,7,0)</f>
        <v>0</v>
      </c>
      <c r="V50" s="462">
        <f t="shared" si="0"/>
        <v>0</v>
      </c>
    </row>
    <row r="51" spans="1:22" ht="153.75" x14ac:dyDescent="0.25">
      <c r="A51" s="464">
        <v>1</v>
      </c>
      <c r="B51" s="459" t="s">
        <v>52</v>
      </c>
      <c r="C51" s="459" t="s">
        <v>53</v>
      </c>
      <c r="D51" s="459" t="s">
        <v>3</v>
      </c>
      <c r="E51" s="460" t="s">
        <v>784</v>
      </c>
      <c r="F51" s="469" t="str">
        <f>VLOOKUP(E51,'5. Consolidation'!$E$3:$F$715,2,0)</f>
        <v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v>
      </c>
      <c r="G51" s="469" t="str">
        <f>VLOOKUP(E51,'5.2 Actions'!$A$3:$D$720,4,0)</f>
        <v>SEN / WOL / CAN</v>
      </c>
      <c r="H51" s="459"/>
      <c r="I51" s="459"/>
      <c r="J51" s="459"/>
      <c r="K51" s="459"/>
      <c r="L51" s="459" t="s">
        <v>2715</v>
      </c>
      <c r="M51" s="461">
        <v>0</v>
      </c>
      <c r="N51" s="459"/>
      <c r="O51" s="459"/>
      <c r="P51" s="462">
        <f>VLOOKUP($E51,'5.1 Budget'!$A$4:$G$729,2,0)</f>
        <v>0</v>
      </c>
      <c r="Q51" s="462">
        <f>VLOOKUP($E51,'5.1 Budget'!$A$4:$G$729,3,0)</f>
        <v>0</v>
      </c>
      <c r="R51" s="462">
        <f>VLOOKUP($E51,'5.1 Budget'!$A$4:$G$729,4,0)</f>
        <v>0</v>
      </c>
      <c r="S51" s="462">
        <f>VLOOKUP($E51,'5.1 Budget'!$A$4:$G$729,5,0)</f>
        <v>0</v>
      </c>
      <c r="T51" s="462">
        <f>VLOOKUP($E51,'5.1 Budget'!$A$4:$G$729,6,0)</f>
        <v>0</v>
      </c>
      <c r="U51" s="462">
        <f>VLOOKUP($E51,'5.1 Budget'!$A$4:$G$729,7,0)</f>
        <v>0</v>
      </c>
      <c r="V51" s="462">
        <f t="shared" si="0"/>
        <v>0</v>
      </c>
    </row>
    <row r="52" spans="1:22" ht="166.5" x14ac:dyDescent="0.25">
      <c r="A52" s="465">
        <v>1</v>
      </c>
      <c r="B52" s="12" t="s">
        <v>52</v>
      </c>
      <c r="C52" s="12" t="s">
        <v>53</v>
      </c>
      <c r="D52" s="12" t="s">
        <v>3</v>
      </c>
      <c r="E52" s="12" t="s">
        <v>789</v>
      </c>
      <c r="F52" s="469" t="str">
        <f>VLOOKUP(E52,'5. Consolidation'!$E$3:$F$715,2,0)</f>
        <v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v>
      </c>
      <c r="G52" s="469" t="str">
        <f>VLOOKUP(E52,'5.2 Actions'!$A$3:$D$720,4,0)</f>
        <v>SEN / WOL / CAN</v>
      </c>
      <c r="H52" s="12"/>
      <c r="I52" s="12"/>
      <c r="J52" s="12"/>
      <c r="K52" s="12"/>
      <c r="L52" s="12"/>
      <c r="M52" s="12"/>
      <c r="N52" s="12"/>
      <c r="O52" s="12"/>
      <c r="P52" s="462">
        <f>VLOOKUP($E52,'5.1 Budget'!$A$4:$G$729,2,0)</f>
        <v>0</v>
      </c>
      <c r="Q52" s="462">
        <f>VLOOKUP($E52,'5.1 Budget'!$A$4:$G$729,3,0)</f>
        <v>0</v>
      </c>
      <c r="R52" s="462">
        <f>VLOOKUP($E52,'5.1 Budget'!$A$4:$G$729,4,0)</f>
        <v>0</v>
      </c>
      <c r="S52" s="462">
        <f>VLOOKUP($E52,'5.1 Budget'!$A$4:$G$729,5,0)</f>
        <v>0</v>
      </c>
      <c r="T52" s="462">
        <f>VLOOKUP($E52,'5.1 Budget'!$A$4:$G$729,6,0)</f>
        <v>0</v>
      </c>
      <c r="U52" s="462">
        <f>VLOOKUP($E52,'5.1 Budget'!$A$4:$G$729,7,0)</f>
        <v>0</v>
      </c>
      <c r="V52" s="462">
        <f t="shared" si="0"/>
        <v>0</v>
      </c>
    </row>
    <row r="53" spans="1:22" ht="166.5" x14ac:dyDescent="0.25">
      <c r="A53" s="465">
        <v>1</v>
      </c>
      <c r="B53" s="12" t="s">
        <v>52</v>
      </c>
      <c r="C53" s="12" t="s">
        <v>53</v>
      </c>
      <c r="D53" s="12" t="s">
        <v>3</v>
      </c>
      <c r="E53" s="12" t="s">
        <v>790</v>
      </c>
      <c r="F53" s="469" t="str">
        <f>VLOOKUP(E53,'5. Consolidation'!$E$3:$F$715,2,0)</f>
        <v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v>
      </c>
      <c r="G53" s="469" t="str">
        <f>VLOOKUP(E53,'5.2 Actions'!$A$3:$D$720,4,0)</f>
        <v>SEN / WOL / CAN</v>
      </c>
      <c r="H53" s="12"/>
      <c r="I53" s="12"/>
      <c r="J53" s="12"/>
      <c r="K53" s="12"/>
      <c r="L53" s="12"/>
      <c r="M53" s="12"/>
      <c r="N53" s="12"/>
      <c r="O53" s="12"/>
      <c r="P53" s="462">
        <f>VLOOKUP($E53,'5.1 Budget'!$A$4:$G$729,2,0)</f>
        <v>0</v>
      </c>
      <c r="Q53" s="462">
        <f>VLOOKUP($E53,'5.1 Budget'!$A$4:$G$729,3,0)</f>
        <v>0</v>
      </c>
      <c r="R53" s="462">
        <f>VLOOKUP($E53,'5.1 Budget'!$A$4:$G$729,4,0)</f>
        <v>0</v>
      </c>
      <c r="S53" s="462">
        <f>VLOOKUP($E53,'5.1 Budget'!$A$4:$G$729,5,0)</f>
        <v>0</v>
      </c>
      <c r="T53" s="462">
        <f>VLOOKUP($E53,'5.1 Budget'!$A$4:$G$729,6,0)</f>
        <v>0</v>
      </c>
      <c r="U53" s="462">
        <f>VLOOKUP($E53,'5.1 Budget'!$A$4:$G$729,7,0)</f>
        <v>0</v>
      </c>
      <c r="V53" s="462">
        <f t="shared" si="0"/>
        <v>0</v>
      </c>
    </row>
    <row r="54" spans="1:22" ht="64.5" x14ac:dyDescent="0.25">
      <c r="A54" s="465">
        <v>1</v>
      </c>
      <c r="B54" s="12" t="s">
        <v>52</v>
      </c>
      <c r="C54" s="12" t="s">
        <v>53</v>
      </c>
      <c r="D54" s="12" t="s">
        <v>3</v>
      </c>
      <c r="E54" s="12" t="s">
        <v>791</v>
      </c>
      <c r="F54" s="469" t="str">
        <f>VLOOKUP(E54,'5. Consolidation'!$E$3:$F$715,2,0)</f>
        <v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v>
      </c>
      <c r="G54" s="469" t="str">
        <f>VLOOKUP(E54,'5.2 Actions'!$A$3:$D$720,4,0)</f>
        <v>SEN / WOL / CAN</v>
      </c>
      <c r="H54" s="12"/>
      <c r="I54" s="12"/>
      <c r="J54" s="12"/>
      <c r="K54" s="12"/>
      <c r="L54" s="12"/>
      <c r="M54" s="12"/>
      <c r="N54" s="12"/>
      <c r="O54" s="12"/>
      <c r="P54" s="462">
        <f>VLOOKUP($E54,'5.1 Budget'!$A$4:$G$729,2,0)</f>
        <v>0</v>
      </c>
      <c r="Q54" s="462">
        <f>VLOOKUP($E54,'5.1 Budget'!$A$4:$G$729,3,0)</f>
        <v>0</v>
      </c>
      <c r="R54" s="462">
        <f>VLOOKUP($E54,'5.1 Budget'!$A$4:$G$729,4,0)</f>
        <v>0</v>
      </c>
      <c r="S54" s="462">
        <f>VLOOKUP($E54,'5.1 Budget'!$A$4:$G$729,5,0)</f>
        <v>0</v>
      </c>
      <c r="T54" s="462">
        <f>VLOOKUP($E54,'5.1 Budget'!$A$4:$G$729,6,0)</f>
        <v>0</v>
      </c>
      <c r="U54" s="462">
        <f>VLOOKUP($E54,'5.1 Budget'!$A$4:$G$729,7,0)</f>
        <v>0</v>
      </c>
      <c r="V54" s="462">
        <f t="shared" si="0"/>
        <v>0</v>
      </c>
    </row>
    <row r="55" spans="1:22" ht="77.25" x14ac:dyDescent="0.25">
      <c r="A55" s="465">
        <v>1</v>
      </c>
      <c r="B55" s="12" t="s">
        <v>52</v>
      </c>
      <c r="C55" s="12" t="s">
        <v>53</v>
      </c>
      <c r="D55" s="12" t="s">
        <v>3</v>
      </c>
      <c r="E55" s="12" t="s">
        <v>792</v>
      </c>
      <c r="F55" s="469" t="str">
        <f>VLOOKUP(E55,'5. Consolidation'!$E$3:$F$715,2,0)</f>
        <v xml:space="preserve">Développer et valider des « zones-tests » afin d’expérimenter des techniques nouvelles :
- d’éradication précoce,
- de contrôle (notamment biologique),
- de confinement.
Ex : pièges à écrevisses, plantation de plantes indigènes compétitrices, éco-pâturage
</v>
      </c>
      <c r="G55" s="469" t="str">
        <f>VLOOKUP(E55,'5.2 Actions'!$A$3:$D$720,4,0)</f>
        <v>SEN / WOL / CAN</v>
      </c>
      <c r="H55" s="12"/>
      <c r="I55" s="12"/>
      <c r="J55" s="12"/>
      <c r="K55" s="12"/>
      <c r="L55" s="12"/>
      <c r="M55" s="12"/>
      <c r="N55" s="12"/>
      <c r="O55" s="12"/>
      <c r="P55" s="462">
        <f>VLOOKUP($E55,'5.1 Budget'!$A$4:$G$729,2,0)</f>
        <v>0</v>
      </c>
      <c r="Q55" s="462">
        <f>VLOOKUP($E55,'5.1 Budget'!$A$4:$G$729,3,0)</f>
        <v>0</v>
      </c>
      <c r="R55" s="462">
        <f>VLOOKUP($E55,'5.1 Budget'!$A$4:$G$729,4,0)</f>
        <v>0</v>
      </c>
      <c r="S55" s="462">
        <f>VLOOKUP($E55,'5.1 Budget'!$A$4:$G$729,5,0)</f>
        <v>0</v>
      </c>
      <c r="T55" s="462">
        <f>VLOOKUP($E55,'5.1 Budget'!$A$4:$G$729,6,0)</f>
        <v>0</v>
      </c>
      <c r="U55" s="462">
        <f>VLOOKUP($E55,'5.1 Budget'!$A$4:$G$729,7,0)</f>
        <v>0</v>
      </c>
      <c r="V55" s="462">
        <f t="shared" si="0"/>
        <v>0</v>
      </c>
    </row>
    <row r="56" spans="1:22" ht="39" x14ac:dyDescent="0.25">
      <c r="A56" s="465">
        <v>1</v>
      </c>
      <c r="B56" s="12" t="s">
        <v>52</v>
      </c>
      <c r="C56" s="12" t="s">
        <v>53</v>
      </c>
      <c r="D56" s="12" t="s">
        <v>3</v>
      </c>
      <c r="E56" s="12" t="s">
        <v>793</v>
      </c>
      <c r="F56" s="469" t="str">
        <f>VLOOKUP(E56,'5. Consolidation'!$E$3:$F$715,2,0)</f>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v>
      </c>
      <c r="G56" s="469" t="str">
        <f>VLOOKUP(E56,'5.2 Actions'!$A$3:$D$720,4,0)</f>
        <v>SEN / WOL / CAN</v>
      </c>
      <c r="H56" s="12"/>
      <c r="I56" s="12"/>
      <c r="J56" s="12"/>
      <c r="K56" s="12"/>
      <c r="L56" s="12"/>
      <c r="M56" s="12"/>
      <c r="N56" s="12"/>
      <c r="O56" s="12"/>
      <c r="P56" s="462">
        <f>VLOOKUP($E56,'5.1 Budget'!$A$4:$G$729,2,0)</f>
        <v>0</v>
      </c>
      <c r="Q56" s="462">
        <f>VLOOKUP($E56,'5.1 Budget'!$A$4:$G$729,3,0)</f>
        <v>0</v>
      </c>
      <c r="R56" s="462">
        <f>VLOOKUP($E56,'5.1 Budget'!$A$4:$G$729,4,0)</f>
        <v>0</v>
      </c>
      <c r="S56" s="462">
        <f>VLOOKUP($E56,'5.1 Budget'!$A$4:$G$729,5,0)</f>
        <v>0</v>
      </c>
      <c r="T56" s="462">
        <f>VLOOKUP($E56,'5.1 Budget'!$A$4:$G$729,6,0)</f>
        <v>0</v>
      </c>
      <c r="U56" s="462">
        <f>VLOOKUP($E56,'5.1 Budget'!$A$4:$G$729,7,0)</f>
        <v>0</v>
      </c>
      <c r="V56" s="462">
        <f t="shared" si="0"/>
        <v>0</v>
      </c>
    </row>
    <row r="57" spans="1:22" ht="64.5" x14ac:dyDescent="0.25">
      <c r="A57" s="465">
        <v>1</v>
      </c>
      <c r="B57" s="12" t="s">
        <v>52</v>
      </c>
      <c r="C57" s="12" t="s">
        <v>53</v>
      </c>
      <c r="D57" s="12" t="s">
        <v>3</v>
      </c>
      <c r="E57" s="12" t="s">
        <v>794</v>
      </c>
      <c r="F57" s="469" t="str">
        <f>VLOOKUP(E57,'5. Consolidation'!$E$3:$F$715,2,0)</f>
        <v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v>
      </c>
      <c r="G57" s="469" t="str">
        <f>VLOOKUP(E57,'5.2 Actions'!$A$3:$D$720,4,0)</f>
        <v>SEN / WOL / CAN</v>
      </c>
      <c r="H57" s="12"/>
      <c r="I57" s="12"/>
      <c r="J57" s="12"/>
      <c r="K57" s="12"/>
      <c r="L57" s="12"/>
      <c r="M57" s="12"/>
      <c r="N57" s="12"/>
      <c r="O57" s="12"/>
      <c r="P57" s="462">
        <f>VLOOKUP($E57,'5.1 Budget'!$A$4:$G$729,2,0)</f>
        <v>0</v>
      </c>
      <c r="Q57" s="462">
        <f>VLOOKUP($E57,'5.1 Budget'!$A$4:$G$729,3,0)</f>
        <v>0</v>
      </c>
      <c r="R57" s="462">
        <f>VLOOKUP($E57,'5.1 Budget'!$A$4:$G$729,4,0)</f>
        <v>0</v>
      </c>
      <c r="S57" s="462">
        <f>VLOOKUP($E57,'5.1 Budget'!$A$4:$G$729,5,0)</f>
        <v>0</v>
      </c>
      <c r="T57" s="462">
        <f>VLOOKUP($E57,'5.1 Budget'!$A$4:$G$729,6,0)</f>
        <v>0</v>
      </c>
      <c r="U57" s="462">
        <f>VLOOKUP($E57,'5.1 Budget'!$A$4:$G$729,7,0)</f>
        <v>0</v>
      </c>
      <c r="V57" s="462">
        <f t="shared" si="0"/>
        <v>0</v>
      </c>
    </row>
    <row r="58" spans="1:22" ht="26.25" x14ac:dyDescent="0.25">
      <c r="A58" s="465">
        <v>1</v>
      </c>
      <c r="B58" s="12" t="s">
        <v>52</v>
      </c>
      <c r="C58" s="12" t="s">
        <v>53</v>
      </c>
      <c r="D58" s="12" t="s">
        <v>3</v>
      </c>
      <c r="E58" s="12" t="s">
        <v>795</v>
      </c>
      <c r="F58" s="469" t="str">
        <f>VLOOKUP(E58,'5. Consolidation'!$E$3:$F$715,2,0)</f>
        <v>Etendre les mesures de lutte contre les EEE aquatiques sur le territoire de la région en fonction des résultats des zones-tests</v>
      </c>
      <c r="G58" s="469" t="str">
        <f>VLOOKUP(E58,'5.2 Actions'!$A$3:$D$720,4,0)</f>
        <v>SEN / WOL / CAN</v>
      </c>
      <c r="H58" s="12"/>
      <c r="I58" s="12"/>
      <c r="J58" s="12"/>
      <c r="K58" s="12"/>
      <c r="L58" s="12"/>
      <c r="M58" s="12"/>
      <c r="N58" s="459">
        <v>2022</v>
      </c>
      <c r="O58" s="12"/>
      <c r="P58" s="462">
        <f>VLOOKUP($E58,'5.1 Budget'!$A$4:$G$729,2,0)</f>
        <v>40000</v>
      </c>
      <c r="Q58" s="462">
        <f>VLOOKUP($E58,'5.1 Budget'!$A$4:$G$729,3,0)</f>
        <v>40000</v>
      </c>
      <c r="R58" s="462">
        <f>VLOOKUP($E58,'5.1 Budget'!$A$4:$G$729,4,0)</f>
        <v>40000</v>
      </c>
      <c r="S58" s="462">
        <f>VLOOKUP($E58,'5.1 Budget'!$A$4:$G$729,5,0)</f>
        <v>45000</v>
      </c>
      <c r="T58" s="462">
        <f>VLOOKUP($E58,'5.1 Budget'!$A$4:$G$729,6,0)</f>
        <v>0</v>
      </c>
      <c r="U58" s="462">
        <f>VLOOKUP($E58,'5.1 Budget'!$A$4:$G$729,7,0)</f>
        <v>0</v>
      </c>
      <c r="V58" s="462">
        <f t="shared" si="0"/>
        <v>165000</v>
      </c>
    </row>
    <row r="59" spans="1:22" ht="39" x14ac:dyDescent="0.25">
      <c r="A59" s="465">
        <v>1</v>
      </c>
      <c r="B59" s="12" t="s">
        <v>52</v>
      </c>
      <c r="C59" s="12" t="s">
        <v>53</v>
      </c>
      <c r="D59" s="12" t="s">
        <v>3</v>
      </c>
      <c r="E59" s="12" t="s">
        <v>796</v>
      </c>
      <c r="F59" s="469" t="str">
        <f>VLOOKUP(E59,'5. Consolidation'!$E$3:$F$715,2,0)</f>
        <v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v>
      </c>
      <c r="G59" s="469" t="str">
        <f>VLOOKUP(E59,'5.2 Actions'!$A$3:$D$720,4,0)</f>
        <v>SEN / WOL / CAN</v>
      </c>
      <c r="H59" s="12"/>
      <c r="I59" s="12"/>
      <c r="J59" s="12"/>
      <c r="K59" s="12"/>
      <c r="L59" s="12"/>
      <c r="M59" s="12"/>
      <c r="N59" s="12"/>
      <c r="O59" s="12"/>
      <c r="P59" s="462">
        <f>VLOOKUP($E59,'5.1 Budget'!$A$4:$G$729,2,0)</f>
        <v>0</v>
      </c>
      <c r="Q59" s="462">
        <f>VLOOKUP($E59,'5.1 Budget'!$A$4:$G$729,3,0)</f>
        <v>0</v>
      </c>
      <c r="R59" s="462">
        <f>VLOOKUP($E59,'5.1 Budget'!$A$4:$G$729,4,0)</f>
        <v>0</v>
      </c>
      <c r="S59" s="462">
        <f>VLOOKUP($E59,'5.1 Budget'!$A$4:$G$729,5,0)</f>
        <v>0</v>
      </c>
      <c r="T59" s="462">
        <f>VLOOKUP($E59,'5.1 Budget'!$A$4:$G$729,6,0)</f>
        <v>0</v>
      </c>
      <c r="U59" s="462">
        <f>VLOOKUP($E59,'5.1 Budget'!$A$4:$G$729,7,0)</f>
        <v>0</v>
      </c>
      <c r="V59" s="462">
        <f t="shared" si="0"/>
        <v>0</v>
      </c>
    </row>
    <row r="60" spans="1:22" ht="39" x14ac:dyDescent="0.25">
      <c r="A60" s="465">
        <v>1</v>
      </c>
      <c r="B60" s="12" t="s">
        <v>52</v>
      </c>
      <c r="C60" s="12" t="s">
        <v>53</v>
      </c>
      <c r="D60" s="12" t="s">
        <v>3</v>
      </c>
      <c r="E60" s="12" t="s">
        <v>785</v>
      </c>
      <c r="F60" s="469" t="str">
        <f>VLOOKUP(E60,'5. Consolidation'!$E$3:$F$715,2,0)</f>
        <v>Porter  auprès des instances compétentes la problématique de la vente des EEE (pépinières, animaleries, etc.) de la liste européenne pour réaliser les contrôles nécessaires à faire appliquer l’interdiction. Sensibiliser les commerces quant à cette interdiction</v>
      </c>
      <c r="G60" s="469" t="str">
        <f>VLOOKUP(E60,'5.2 Actions'!$A$3:$D$720,4,0)</f>
        <v>SEN / WOL / CAN</v>
      </c>
      <c r="H60" s="12"/>
      <c r="I60" s="12"/>
      <c r="J60" s="12"/>
      <c r="K60" s="12"/>
      <c r="L60" s="12"/>
      <c r="M60" s="12"/>
      <c r="N60" s="12"/>
      <c r="O60" s="12"/>
      <c r="P60" s="462">
        <f>VLOOKUP($E60,'5.1 Budget'!$A$4:$G$729,2,0)</f>
        <v>0</v>
      </c>
      <c r="Q60" s="462">
        <f>VLOOKUP($E60,'5.1 Budget'!$A$4:$G$729,3,0)</f>
        <v>0</v>
      </c>
      <c r="R60" s="462">
        <f>VLOOKUP($E60,'5.1 Budget'!$A$4:$G$729,4,0)</f>
        <v>0</v>
      </c>
      <c r="S60" s="462">
        <f>VLOOKUP($E60,'5.1 Budget'!$A$4:$G$729,5,0)</f>
        <v>0</v>
      </c>
      <c r="T60" s="462">
        <f>VLOOKUP($E60,'5.1 Budget'!$A$4:$G$729,6,0)</f>
        <v>0</v>
      </c>
      <c r="U60" s="462">
        <f>VLOOKUP($E60,'5.1 Budget'!$A$4:$G$729,7,0)</f>
        <v>0</v>
      </c>
      <c r="V60" s="462">
        <f t="shared" si="0"/>
        <v>0</v>
      </c>
    </row>
    <row r="61" spans="1:22" ht="64.5" x14ac:dyDescent="0.25">
      <c r="A61" s="465">
        <v>1</v>
      </c>
      <c r="B61" s="12" t="s">
        <v>52</v>
      </c>
      <c r="C61" s="12" t="s">
        <v>53</v>
      </c>
      <c r="D61" s="12" t="s">
        <v>3</v>
      </c>
      <c r="E61" s="12" t="s">
        <v>786</v>
      </c>
      <c r="F61" s="469" t="str">
        <f>VLOOKUP(E61,'5. Consolidation'!$E$3:$F$715,2,0)</f>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v>
      </c>
      <c r="G61" s="469" t="str">
        <f>VLOOKUP(E61,'5.2 Actions'!$A$3:$D$720,4,0)</f>
        <v>SEN / WOL / CAN</v>
      </c>
      <c r="H61" s="12"/>
      <c r="I61" s="12"/>
      <c r="J61" s="12"/>
      <c r="K61" s="12"/>
      <c r="L61" s="12"/>
      <c r="M61" s="12"/>
      <c r="N61" s="12"/>
      <c r="O61" s="12"/>
      <c r="P61" s="462">
        <f>VLOOKUP($E61,'5.1 Budget'!$A$4:$G$729,2,0)</f>
        <v>0</v>
      </c>
      <c r="Q61" s="462">
        <f>VLOOKUP($E61,'5.1 Budget'!$A$4:$G$729,3,0)</f>
        <v>0</v>
      </c>
      <c r="R61" s="462">
        <f>VLOOKUP($E61,'5.1 Budget'!$A$4:$G$729,4,0)</f>
        <v>0</v>
      </c>
      <c r="S61" s="462">
        <f>VLOOKUP($E61,'5.1 Budget'!$A$4:$G$729,5,0)</f>
        <v>0</v>
      </c>
      <c r="T61" s="462">
        <f>VLOOKUP($E61,'5.1 Budget'!$A$4:$G$729,6,0)</f>
        <v>0</v>
      </c>
      <c r="U61" s="462">
        <f>VLOOKUP($E61,'5.1 Budget'!$A$4:$G$729,7,0)</f>
        <v>0</v>
      </c>
      <c r="V61" s="462">
        <f t="shared" si="0"/>
        <v>0</v>
      </c>
    </row>
    <row r="62" spans="1:22" ht="51.75" x14ac:dyDescent="0.25">
      <c r="A62" s="465">
        <v>1</v>
      </c>
      <c r="B62" s="12" t="s">
        <v>52</v>
      </c>
      <c r="C62" s="12" t="s">
        <v>53</v>
      </c>
      <c r="D62" s="12" t="s">
        <v>3</v>
      </c>
      <c r="E62" s="12" t="s">
        <v>787</v>
      </c>
      <c r="F62" s="469" t="str">
        <f>VLOOKUP(E62,'5. Consolidation'!$E$3:$F$715,2,0)</f>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v>
      </c>
      <c r="G62" s="469" t="str">
        <f>VLOOKUP(E62,'5.2 Actions'!$A$3:$D$720,4,0)</f>
        <v>SEN / WOL / CAN</v>
      </c>
      <c r="H62" s="12"/>
      <c r="I62" s="12"/>
      <c r="J62" s="12"/>
      <c r="K62" s="12"/>
      <c r="L62" s="12"/>
      <c r="M62" s="12"/>
      <c r="N62" s="12"/>
      <c r="O62" s="12"/>
      <c r="P62" s="462">
        <f>VLOOKUP($E62,'5.1 Budget'!$A$4:$G$729,2,0)</f>
        <v>0</v>
      </c>
      <c r="Q62" s="462">
        <f>VLOOKUP($E62,'5.1 Budget'!$A$4:$G$729,3,0)</f>
        <v>0</v>
      </c>
      <c r="R62" s="462">
        <f>VLOOKUP($E62,'5.1 Budget'!$A$4:$G$729,4,0)</f>
        <v>0</v>
      </c>
      <c r="S62" s="462">
        <f>VLOOKUP($E62,'5.1 Budget'!$A$4:$G$729,5,0)</f>
        <v>0</v>
      </c>
      <c r="T62" s="462">
        <f>VLOOKUP($E62,'5.1 Budget'!$A$4:$G$729,6,0)</f>
        <v>0</v>
      </c>
      <c r="U62" s="462">
        <f>VLOOKUP($E62,'5.1 Budget'!$A$4:$G$729,7,0)</f>
        <v>0</v>
      </c>
      <c r="V62" s="462">
        <f t="shared" si="0"/>
        <v>0</v>
      </c>
    </row>
    <row r="63" spans="1:22" x14ac:dyDescent="0.25">
      <c r="A63" s="465">
        <v>1</v>
      </c>
      <c r="B63" s="12" t="s">
        <v>52</v>
      </c>
      <c r="C63" s="12" t="s">
        <v>53</v>
      </c>
      <c r="D63" s="12" t="s">
        <v>3</v>
      </c>
      <c r="E63" s="12" t="s">
        <v>788</v>
      </c>
      <c r="F63" s="469" t="str">
        <f>VLOOKUP(E63,'5. Consolidation'!$E$3:$F$715,2,0)</f>
        <v xml:space="preserve">Actions de confinement de certaines plantes aquatiques et ripicoles envahissantes dans des zones spécifiques </v>
      </c>
      <c r="G63" s="469" t="str">
        <f>VLOOKUP(E63,'5.2 Actions'!$A$3:$D$720,4,0)</f>
        <v>SEN / WOL / CAN</v>
      </c>
      <c r="H63" s="12"/>
      <c r="I63" s="12"/>
      <c r="J63" s="12"/>
      <c r="K63" s="12"/>
      <c r="L63" s="12"/>
      <c r="M63" s="12"/>
      <c r="N63" s="459">
        <v>2023</v>
      </c>
      <c r="O63" s="12"/>
      <c r="P63" s="462">
        <f>VLOOKUP($E63,'5.1 Budget'!$A$4:$G$729,2,0)</f>
        <v>0</v>
      </c>
      <c r="Q63" s="462">
        <f>VLOOKUP($E63,'5.1 Budget'!$A$4:$G$729,3,0)</f>
        <v>55000</v>
      </c>
      <c r="R63" s="462">
        <f>VLOOKUP($E63,'5.1 Budget'!$A$4:$G$729,4,0)</f>
        <v>55000</v>
      </c>
      <c r="S63" s="462">
        <f>VLOOKUP($E63,'5.1 Budget'!$A$4:$G$729,5,0)</f>
        <v>55000</v>
      </c>
      <c r="T63" s="462">
        <f>VLOOKUP($E63,'5.1 Budget'!$A$4:$G$729,6,0)</f>
        <v>0</v>
      </c>
      <c r="U63" s="462">
        <f>VLOOKUP($E63,'5.1 Budget'!$A$4:$G$729,7,0)</f>
        <v>0</v>
      </c>
      <c r="V63" s="462">
        <f t="shared" si="0"/>
        <v>165000</v>
      </c>
    </row>
    <row r="64" spans="1:22" ht="26.25" x14ac:dyDescent="0.25">
      <c r="A64" s="465">
        <v>1</v>
      </c>
      <c r="B64" s="12" t="s">
        <v>52</v>
      </c>
      <c r="C64" s="12" t="s">
        <v>53</v>
      </c>
      <c r="D64" s="12" t="s">
        <v>3</v>
      </c>
      <c r="E64" s="12" t="s">
        <v>797</v>
      </c>
      <c r="F64" s="469" t="str">
        <f>VLOOKUP(E64,'5. Consolidation'!$E$3:$F$715,2,0)</f>
        <v>Sensibiliser et contrôler l’interdiction de nourrissage des animaux sauvages (oiseaux, poissons) à proximité des étangs et du Canal, car le nourrissage favorise les espèces invasives (= M 5.22.2)</v>
      </c>
      <c r="G64" s="469" t="str">
        <f>VLOOKUP(E64,'5.2 Actions'!$A$3:$D$720,4,0)</f>
        <v>SEN / WOL / CAN</v>
      </c>
      <c r="H64" s="12"/>
      <c r="I64" s="12"/>
      <c r="J64" s="12"/>
      <c r="K64" s="12"/>
      <c r="L64" s="12"/>
      <c r="M64" s="12"/>
      <c r="N64" s="12"/>
      <c r="O64" s="12"/>
      <c r="P64" s="462">
        <f>VLOOKUP($E64,'5.1 Budget'!$A$4:$G$729,2,0)</f>
        <v>0</v>
      </c>
      <c r="Q64" s="462">
        <f>VLOOKUP($E64,'5.1 Budget'!$A$4:$G$729,3,0)</f>
        <v>0</v>
      </c>
      <c r="R64" s="462">
        <f>VLOOKUP($E64,'5.1 Budget'!$A$4:$G$729,4,0)</f>
        <v>0</v>
      </c>
      <c r="S64" s="462">
        <f>VLOOKUP($E64,'5.1 Budget'!$A$4:$G$729,5,0)</f>
        <v>0</v>
      </c>
      <c r="T64" s="462">
        <f>VLOOKUP($E64,'5.1 Budget'!$A$4:$G$729,6,0)</f>
        <v>0</v>
      </c>
      <c r="U64" s="462">
        <f>VLOOKUP($E64,'5.1 Budget'!$A$4:$G$729,7,0)</f>
        <v>0</v>
      </c>
      <c r="V64" s="462">
        <f t="shared" si="0"/>
        <v>0</v>
      </c>
    </row>
    <row r="65" spans="1:22" ht="26.25" x14ac:dyDescent="0.25">
      <c r="A65" s="465">
        <v>1</v>
      </c>
      <c r="B65" s="12" t="s">
        <v>52</v>
      </c>
      <c r="C65" s="12" t="s">
        <v>55</v>
      </c>
      <c r="D65" s="12" t="s">
        <v>4</v>
      </c>
      <c r="E65" s="12" t="s">
        <v>798</v>
      </c>
      <c r="F65" s="469" t="str">
        <f>VLOOKUP(E65,'5. Consolidation'!$E$3:$F$715,2,0)</f>
        <v xml:space="preserve">Définir les informations à récolter par point de rejet et créer un format permettant l’encodage dans la base de données géographique BE des rejets </v>
      </c>
      <c r="G65" s="469" t="str">
        <f>VLOOKUP(E65,'5.2 Actions'!$A$3:$D$720,4,0)</f>
        <v>SEN / WOL / CAN</v>
      </c>
      <c r="H65" s="12"/>
      <c r="I65" s="12"/>
      <c r="J65" s="12"/>
      <c r="K65" s="12"/>
      <c r="L65" s="12"/>
      <c r="M65" s="12"/>
      <c r="N65" s="12"/>
      <c r="O65" s="12"/>
      <c r="P65" s="462">
        <f>VLOOKUP($E65,'5.1 Budget'!$A$4:$G$729,2,0)</f>
        <v>0</v>
      </c>
      <c r="Q65" s="462">
        <f>VLOOKUP($E65,'5.1 Budget'!$A$4:$G$729,3,0)</f>
        <v>0</v>
      </c>
      <c r="R65" s="462">
        <f>VLOOKUP($E65,'5.1 Budget'!$A$4:$G$729,4,0)</f>
        <v>0</v>
      </c>
      <c r="S65" s="462">
        <f>VLOOKUP($E65,'5.1 Budget'!$A$4:$G$729,5,0)</f>
        <v>0</v>
      </c>
      <c r="T65" s="462">
        <f>VLOOKUP($E65,'5.1 Budget'!$A$4:$G$729,6,0)</f>
        <v>0</v>
      </c>
      <c r="U65" s="462">
        <f>VLOOKUP($E65,'5.1 Budget'!$A$4:$G$729,7,0)</f>
        <v>0</v>
      </c>
      <c r="V65" s="462">
        <f t="shared" si="0"/>
        <v>0</v>
      </c>
    </row>
    <row r="66" spans="1:22" x14ac:dyDescent="0.25">
      <c r="A66" s="465">
        <v>1</v>
      </c>
      <c r="B66" s="12" t="s">
        <v>52</v>
      </c>
      <c r="C66" s="12" t="s">
        <v>55</v>
      </c>
      <c r="D66" s="12" t="s">
        <v>4</v>
      </c>
      <c r="E66" s="12" t="s">
        <v>809</v>
      </c>
      <c r="F66" s="469" t="str">
        <f>VLOOKUP(E66,'5. Consolidation'!$E$3:$F$715,2,0)</f>
        <v>Récupérer les données complémentaires disponibles auprès des opérateurs (chainons manquants, zones non raccordées…)</v>
      </c>
      <c r="G66" s="469" t="str">
        <f>VLOOKUP(E66,'5.2 Actions'!$A$3:$D$720,4,0)</f>
        <v>SEN / WOL / CAN</v>
      </c>
      <c r="H66" s="12"/>
      <c r="I66" s="12"/>
      <c r="J66" s="12"/>
      <c r="K66" s="12"/>
      <c r="L66" s="12"/>
      <c r="M66" s="12"/>
      <c r="N66" s="12"/>
      <c r="O66" s="12"/>
      <c r="P66" s="462">
        <f>VLOOKUP($E66,'5.1 Budget'!$A$4:$G$729,2,0)</f>
        <v>0</v>
      </c>
      <c r="Q66" s="462">
        <f>VLOOKUP($E66,'5.1 Budget'!$A$4:$G$729,3,0)</f>
        <v>0</v>
      </c>
      <c r="R66" s="462">
        <f>VLOOKUP($E66,'5.1 Budget'!$A$4:$G$729,4,0)</f>
        <v>0</v>
      </c>
      <c r="S66" s="462">
        <f>VLOOKUP($E66,'5.1 Budget'!$A$4:$G$729,5,0)</f>
        <v>0</v>
      </c>
      <c r="T66" s="462">
        <f>VLOOKUP($E66,'5.1 Budget'!$A$4:$G$729,6,0)</f>
        <v>0</v>
      </c>
      <c r="U66" s="462">
        <f>VLOOKUP($E66,'5.1 Budget'!$A$4:$G$729,7,0)</f>
        <v>0</v>
      </c>
      <c r="V66" s="462">
        <f t="shared" si="0"/>
        <v>0</v>
      </c>
    </row>
    <row r="67" spans="1:22" x14ac:dyDescent="0.25">
      <c r="A67" s="465">
        <v>1</v>
      </c>
      <c r="B67" s="12" t="s">
        <v>52</v>
      </c>
      <c r="C67" s="12" t="s">
        <v>55</v>
      </c>
      <c r="D67" s="12" t="s">
        <v>4</v>
      </c>
      <c r="E67" s="12" t="s">
        <v>814</v>
      </c>
      <c r="F67" s="469" t="str">
        <f>VLOOKUP(E67,'5. Consolidation'!$E$3:$F$715,2,0)</f>
        <v xml:space="preserve">Dresser une carte des rejets avec les informations de la base de données </v>
      </c>
      <c r="G67" s="469" t="str">
        <f>VLOOKUP(E67,'5.2 Actions'!$A$3:$D$720,4,0)</f>
        <v>SEN / WOL / CAN</v>
      </c>
      <c r="H67" s="12"/>
      <c r="I67" s="12"/>
      <c r="J67" s="12"/>
      <c r="K67" s="12"/>
      <c r="L67" s="12"/>
      <c r="M67" s="12"/>
      <c r="N67" s="12"/>
      <c r="O67" s="12"/>
      <c r="P67" s="462">
        <f>VLOOKUP($E67,'5.1 Budget'!$A$4:$G$729,2,0)</f>
        <v>0</v>
      </c>
      <c r="Q67" s="462">
        <f>VLOOKUP($E67,'5.1 Budget'!$A$4:$G$729,3,0)</f>
        <v>0</v>
      </c>
      <c r="R67" s="462">
        <f>VLOOKUP($E67,'5.1 Budget'!$A$4:$G$729,4,0)</f>
        <v>0</v>
      </c>
      <c r="S67" s="462">
        <f>VLOOKUP($E67,'5.1 Budget'!$A$4:$G$729,5,0)</f>
        <v>0</v>
      </c>
      <c r="T67" s="462">
        <f>VLOOKUP($E67,'5.1 Budget'!$A$4:$G$729,6,0)</f>
        <v>0</v>
      </c>
      <c r="U67" s="462">
        <f>VLOOKUP($E67,'5.1 Budget'!$A$4:$G$729,7,0)</f>
        <v>0</v>
      </c>
      <c r="V67" s="462">
        <f t="shared" ref="V67:V130" si="1">SUM(P67:U67)</f>
        <v>0</v>
      </c>
    </row>
    <row r="68" spans="1:22" x14ac:dyDescent="0.25">
      <c r="A68" s="465">
        <v>1</v>
      </c>
      <c r="B68" s="12" t="s">
        <v>52</v>
      </c>
      <c r="C68" s="12" t="s">
        <v>55</v>
      </c>
      <c r="D68" s="12" t="s">
        <v>4</v>
      </c>
      <c r="E68" s="12" t="s">
        <v>815</v>
      </c>
      <c r="F68" s="469" t="str">
        <f>VLOOKUP(E68,'5. Consolidation'!$E$3:$F$715,2,0)</f>
        <v>Mettre la carte des rejets et les résultats à disposition du Port, de VVQ et de la SBGE</v>
      </c>
      <c r="G68" s="469" t="str">
        <f>VLOOKUP(E68,'5.2 Actions'!$A$3:$D$720,4,0)</f>
        <v>SEN / WOL / CAN</v>
      </c>
      <c r="H68" s="12"/>
      <c r="I68" s="12"/>
      <c r="J68" s="12"/>
      <c r="K68" s="12"/>
      <c r="L68" s="12"/>
      <c r="M68" s="12"/>
      <c r="N68" s="12"/>
      <c r="O68" s="12"/>
      <c r="P68" s="462">
        <f>VLOOKUP($E68,'5.1 Budget'!$A$4:$G$729,2,0)</f>
        <v>0</v>
      </c>
      <c r="Q68" s="462">
        <f>VLOOKUP($E68,'5.1 Budget'!$A$4:$G$729,3,0)</f>
        <v>0</v>
      </c>
      <c r="R68" s="462">
        <f>VLOOKUP($E68,'5.1 Budget'!$A$4:$G$729,4,0)</f>
        <v>0</v>
      </c>
      <c r="S68" s="462">
        <f>VLOOKUP($E68,'5.1 Budget'!$A$4:$G$729,5,0)</f>
        <v>0</v>
      </c>
      <c r="T68" s="462">
        <f>VLOOKUP($E68,'5.1 Budget'!$A$4:$G$729,6,0)</f>
        <v>0</v>
      </c>
      <c r="U68" s="462">
        <f>VLOOKUP($E68,'5.1 Budget'!$A$4:$G$729,7,0)</f>
        <v>0</v>
      </c>
      <c r="V68" s="462">
        <f t="shared" si="1"/>
        <v>0</v>
      </c>
    </row>
    <row r="69" spans="1:22" ht="39" x14ac:dyDescent="0.25">
      <c r="A69" s="465">
        <v>1</v>
      </c>
      <c r="B69" s="12" t="s">
        <v>52</v>
      </c>
      <c r="C69" s="12" t="s">
        <v>55</v>
      </c>
      <c r="D69" s="12" t="s">
        <v>4</v>
      </c>
      <c r="E69" s="12" t="s">
        <v>816</v>
      </c>
      <c r="F69" s="469" t="str">
        <f>VLOOKUP(E69,'5. Consolidation'!$E$3:$F$715,2,0)</f>
        <v>Mettre à disposition les données pertinentes (masse d’eau réceptrice, localisation du point de rejet, source/propriétaire, éléments permettant d’estimer la charge et le débit de rejet, traitement d’épuration éventuel) des autorisations de rejet vers les eaux de surface</v>
      </c>
      <c r="G69" s="469" t="str">
        <f>VLOOKUP(E69,'5.2 Actions'!$A$3:$D$720,4,0)</f>
        <v>SEN / WOL / CAN</v>
      </c>
      <c r="H69" s="12"/>
      <c r="I69" s="12"/>
      <c r="J69" s="12"/>
      <c r="K69" s="12"/>
      <c r="L69" s="12"/>
      <c r="M69" s="12"/>
      <c r="N69" s="12"/>
      <c r="O69" s="12"/>
      <c r="P69" s="462">
        <f>VLOOKUP($E69,'5.1 Budget'!$A$4:$G$729,2,0)</f>
        <v>0</v>
      </c>
      <c r="Q69" s="462">
        <f>VLOOKUP($E69,'5.1 Budget'!$A$4:$G$729,3,0)</f>
        <v>0</v>
      </c>
      <c r="R69" s="462">
        <f>VLOOKUP($E69,'5.1 Budget'!$A$4:$G$729,4,0)</f>
        <v>0</v>
      </c>
      <c r="S69" s="462">
        <f>VLOOKUP($E69,'5.1 Budget'!$A$4:$G$729,5,0)</f>
        <v>0</v>
      </c>
      <c r="T69" s="462">
        <f>VLOOKUP($E69,'5.1 Budget'!$A$4:$G$729,6,0)</f>
        <v>0</v>
      </c>
      <c r="U69" s="462">
        <f>VLOOKUP($E69,'5.1 Budget'!$A$4:$G$729,7,0)</f>
        <v>0</v>
      </c>
      <c r="V69" s="462">
        <f t="shared" si="1"/>
        <v>0</v>
      </c>
    </row>
    <row r="70" spans="1:22" x14ac:dyDescent="0.25">
      <c r="A70" s="465">
        <v>1</v>
      </c>
      <c r="B70" s="12" t="s">
        <v>52</v>
      </c>
      <c r="C70" s="12" t="s">
        <v>55</v>
      </c>
      <c r="D70" s="12" t="s">
        <v>4</v>
      </c>
      <c r="E70" s="12" t="s">
        <v>817</v>
      </c>
      <c r="F70" s="469" t="str">
        <f>VLOOKUP(E70,'5. Consolidation'!$E$3:$F$715,2,0)</f>
        <v>Mener des investigations sur l’origine des rejets non identifiés en remontant les tuyaux</v>
      </c>
      <c r="G70" s="469" t="str">
        <f>VLOOKUP(E70,'5.2 Actions'!$A$3:$D$720,4,0)</f>
        <v>SEN / WOL / CAN</v>
      </c>
      <c r="H70" s="12"/>
      <c r="I70" s="12"/>
      <c r="J70" s="12"/>
      <c r="K70" s="12"/>
      <c r="L70" s="12"/>
      <c r="M70" s="12"/>
      <c r="N70" s="12"/>
      <c r="O70" s="12"/>
      <c r="P70" s="462">
        <f>VLOOKUP($E70,'5.1 Budget'!$A$4:$G$729,2,0)</f>
        <v>0</v>
      </c>
      <c r="Q70" s="462">
        <f>VLOOKUP($E70,'5.1 Budget'!$A$4:$G$729,3,0)</f>
        <v>0</v>
      </c>
      <c r="R70" s="462">
        <f>VLOOKUP($E70,'5.1 Budget'!$A$4:$G$729,4,0)</f>
        <v>0</v>
      </c>
      <c r="S70" s="462">
        <f>VLOOKUP($E70,'5.1 Budget'!$A$4:$G$729,5,0)</f>
        <v>0</v>
      </c>
      <c r="T70" s="462">
        <f>VLOOKUP($E70,'5.1 Budget'!$A$4:$G$729,6,0)</f>
        <v>0</v>
      </c>
      <c r="U70" s="462">
        <f>VLOOKUP($E70,'5.1 Budget'!$A$4:$G$729,7,0)</f>
        <v>0</v>
      </c>
      <c r="V70" s="462">
        <f t="shared" si="1"/>
        <v>0</v>
      </c>
    </row>
    <row r="71" spans="1:22" x14ac:dyDescent="0.25">
      <c r="A71" s="465">
        <v>1</v>
      </c>
      <c r="B71" s="12" t="s">
        <v>52</v>
      </c>
      <c r="C71" s="12" t="s">
        <v>55</v>
      </c>
      <c r="D71" s="12" t="s">
        <v>4</v>
      </c>
      <c r="E71" s="12" t="s">
        <v>818</v>
      </c>
      <c r="F71" s="469" t="str">
        <f>VLOOKUP(E71,'5. Consolidation'!$E$3:$F$715,2,0)</f>
        <v>Caractériser la qualité d'effluents/rejets quand cela s’avère nécessaire pour déterminer la solution à privilégier pour le traiter</v>
      </c>
      <c r="G71" s="469" t="str">
        <f>VLOOKUP(E71,'5.2 Actions'!$A$3:$D$720,4,0)</f>
        <v>SEN / WOL / CAN</v>
      </c>
      <c r="H71" s="12"/>
      <c r="I71" s="12"/>
      <c r="J71" s="12"/>
      <c r="K71" s="12"/>
      <c r="L71" s="12"/>
      <c r="M71" s="12"/>
      <c r="N71" s="12"/>
      <c r="O71" s="12"/>
      <c r="P71" s="462">
        <f>VLOOKUP($E71,'5.1 Budget'!$A$4:$G$729,2,0)</f>
        <v>0</v>
      </c>
      <c r="Q71" s="462">
        <f>VLOOKUP($E71,'5.1 Budget'!$A$4:$G$729,3,0)</f>
        <v>0</v>
      </c>
      <c r="R71" s="462">
        <f>VLOOKUP($E71,'5.1 Budget'!$A$4:$G$729,4,0)</f>
        <v>0</v>
      </c>
      <c r="S71" s="462">
        <f>VLOOKUP($E71,'5.1 Budget'!$A$4:$G$729,5,0)</f>
        <v>0</v>
      </c>
      <c r="T71" s="462">
        <f>VLOOKUP($E71,'5.1 Budget'!$A$4:$G$729,6,0)</f>
        <v>0</v>
      </c>
      <c r="U71" s="462">
        <f>VLOOKUP($E71,'5.1 Budget'!$A$4:$G$729,7,0)</f>
        <v>0</v>
      </c>
      <c r="V71" s="462">
        <f t="shared" si="1"/>
        <v>0</v>
      </c>
    </row>
    <row r="72" spans="1:22" ht="64.5" x14ac:dyDescent="0.25">
      <c r="A72" s="465">
        <v>1</v>
      </c>
      <c r="B72" s="12" t="s">
        <v>52</v>
      </c>
      <c r="C72" s="12" t="s">
        <v>55</v>
      </c>
      <c r="D72" s="12" t="s">
        <v>4</v>
      </c>
      <c r="E72" s="12" t="s">
        <v>819</v>
      </c>
      <c r="F72" s="469" t="str">
        <f>VLOOKUP(E72,'5. Consolidation'!$E$3:$F$715,2,0)</f>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
      <c r="G72" s="469" t="str">
        <f>VLOOKUP(E72,'5.2 Actions'!$A$3:$D$720,4,0)</f>
        <v>SEN / WOL / CAN</v>
      </c>
      <c r="H72" s="12"/>
      <c r="I72" s="12"/>
      <c r="J72" s="12"/>
      <c r="K72" s="12"/>
      <c r="L72" s="12"/>
      <c r="M72" s="12"/>
      <c r="N72" s="12"/>
      <c r="O72" s="12"/>
      <c r="P72" s="462">
        <f>VLOOKUP($E72,'5.1 Budget'!$A$4:$G$729,2,0)</f>
        <v>0</v>
      </c>
      <c r="Q72" s="462">
        <f>VLOOKUP($E72,'5.1 Budget'!$A$4:$G$729,3,0)</f>
        <v>0</v>
      </c>
      <c r="R72" s="462">
        <f>VLOOKUP($E72,'5.1 Budget'!$A$4:$G$729,4,0)</f>
        <v>0</v>
      </c>
      <c r="S72" s="462">
        <f>VLOOKUP($E72,'5.1 Budget'!$A$4:$G$729,5,0)</f>
        <v>0</v>
      </c>
      <c r="T72" s="462">
        <f>VLOOKUP($E72,'5.1 Budget'!$A$4:$G$729,6,0)</f>
        <v>0</v>
      </c>
      <c r="U72" s="462">
        <f>VLOOKUP($E72,'5.1 Budget'!$A$4:$G$729,7,0)</f>
        <v>0</v>
      </c>
      <c r="V72" s="462">
        <f t="shared" si="1"/>
        <v>0</v>
      </c>
    </row>
    <row r="73" spans="1:22" ht="51.75" x14ac:dyDescent="0.25">
      <c r="A73" s="465">
        <v>1</v>
      </c>
      <c r="B73" s="12" t="s">
        <v>52</v>
      </c>
      <c r="C73" s="12" t="s">
        <v>55</v>
      </c>
      <c r="D73" s="12" t="s">
        <v>4</v>
      </c>
      <c r="E73" s="12" t="s">
        <v>820</v>
      </c>
      <c r="F73" s="469" t="str">
        <f>VLOOKUP(E73,'5. Consolidation'!$E$3:$F$715,2,0)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
      <c r="G73" s="469" t="str">
        <f>VLOOKUP(E73,'5.2 Actions'!$A$3:$D$720,4,0)</f>
        <v>SEN</v>
      </c>
      <c r="H73" s="12"/>
      <c r="I73" s="12"/>
      <c r="J73" s="12"/>
      <c r="K73" s="12"/>
      <c r="L73" s="12"/>
      <c r="M73" s="12"/>
      <c r="N73" s="459">
        <v>2022</v>
      </c>
      <c r="O73" s="12"/>
      <c r="P73" s="462">
        <f>VLOOKUP($E73,'5.1 Budget'!$A$4:$G$729,2,0)</f>
        <v>25000</v>
      </c>
      <c r="Q73" s="462">
        <f>VLOOKUP($E73,'5.1 Budget'!$A$4:$G$729,3,0)</f>
        <v>0</v>
      </c>
      <c r="R73" s="462">
        <f>VLOOKUP($E73,'5.1 Budget'!$A$4:$G$729,4,0)</f>
        <v>0</v>
      </c>
      <c r="S73" s="462">
        <f>VLOOKUP($E73,'5.1 Budget'!$A$4:$G$729,5,0)</f>
        <v>0</v>
      </c>
      <c r="T73" s="462">
        <f>VLOOKUP($E73,'5.1 Budget'!$A$4:$G$729,6,0)</f>
        <v>0</v>
      </c>
      <c r="U73" s="462">
        <f>VLOOKUP($E73,'5.1 Budget'!$A$4:$G$729,7,0)</f>
        <v>0</v>
      </c>
      <c r="V73" s="462">
        <f t="shared" si="1"/>
        <v>25000</v>
      </c>
    </row>
    <row r="74" spans="1:22" ht="26.25" x14ac:dyDescent="0.25">
      <c r="A74" s="465">
        <v>1</v>
      </c>
      <c r="B74" s="12" t="s">
        <v>52</v>
      </c>
      <c r="C74" s="12" t="s">
        <v>55</v>
      </c>
      <c r="D74" s="12" t="s">
        <v>4</v>
      </c>
      <c r="E74" s="12" t="s">
        <v>799</v>
      </c>
      <c r="F74" s="469" t="str">
        <f>VLOOKUP(E74,'5. Consolidation'!$E$3:$F$715,2,0)</f>
        <v xml:space="preserve">Compiler les données relatives au réseau d’écoulement des parcelles privées du domaine portuaire et les fournir à BE afin qu’elles soient intégrées dans la base de données BE des rejets </v>
      </c>
      <c r="G74" s="469" t="str">
        <f>VLOOKUP(E74,'5.2 Actions'!$A$3:$D$720,4,0)</f>
        <v>SEN</v>
      </c>
      <c r="H74" s="12"/>
      <c r="I74" s="12"/>
      <c r="J74" s="12"/>
      <c r="K74" s="12"/>
      <c r="L74" s="12"/>
      <c r="M74" s="12"/>
      <c r="N74" s="12"/>
      <c r="O74" s="12"/>
      <c r="P74" s="462">
        <f>VLOOKUP($E74,'5.1 Budget'!$A$4:$G$729,2,0)</f>
        <v>0</v>
      </c>
      <c r="Q74" s="462">
        <f>VLOOKUP($E74,'5.1 Budget'!$A$4:$G$729,3,0)</f>
        <v>0</v>
      </c>
      <c r="R74" s="462">
        <f>VLOOKUP($E74,'5.1 Budget'!$A$4:$G$729,4,0)</f>
        <v>0</v>
      </c>
      <c r="S74" s="462">
        <f>VLOOKUP($E74,'5.1 Budget'!$A$4:$G$729,5,0)</f>
        <v>0</v>
      </c>
      <c r="T74" s="462">
        <f>VLOOKUP($E74,'5.1 Budget'!$A$4:$G$729,6,0)</f>
        <v>0</v>
      </c>
      <c r="U74" s="462">
        <f>VLOOKUP($E74,'5.1 Budget'!$A$4:$G$729,7,0)</f>
        <v>0</v>
      </c>
      <c r="V74" s="462">
        <f t="shared" si="1"/>
        <v>0</v>
      </c>
    </row>
    <row r="75" spans="1:22" x14ac:dyDescent="0.25">
      <c r="A75" s="465">
        <v>1</v>
      </c>
      <c r="B75" s="12" t="s">
        <v>52</v>
      </c>
      <c r="C75" s="12" t="s">
        <v>55</v>
      </c>
      <c r="D75" s="12" t="s">
        <v>4</v>
      </c>
      <c r="E75" s="12" t="s">
        <v>800</v>
      </c>
      <c r="F75" s="469" t="str">
        <f>VLOOKUP(E75,'5. Consolidation'!$E$3:$F$715,2,0)</f>
        <v>Étudier la possibilité de caractériser un point noir (débit, charge EH, sources potentielles, photos…)</v>
      </c>
      <c r="G75" s="469" t="str">
        <f>VLOOKUP(E75,'5.2 Actions'!$A$3:$D$720,4,0)</f>
        <v>SEN</v>
      </c>
      <c r="H75" s="12"/>
      <c r="I75" s="12"/>
      <c r="J75" s="12"/>
      <c r="K75" s="12"/>
      <c r="L75" s="12"/>
      <c r="M75" s="12"/>
      <c r="N75" s="12"/>
      <c r="O75" s="12"/>
      <c r="P75" s="462">
        <f>VLOOKUP($E75,'5.1 Budget'!$A$4:$G$729,2,0)</f>
        <v>0</v>
      </c>
      <c r="Q75" s="462">
        <f>VLOOKUP($E75,'5.1 Budget'!$A$4:$G$729,3,0)</f>
        <v>0</v>
      </c>
      <c r="R75" s="462">
        <f>VLOOKUP($E75,'5.1 Budget'!$A$4:$G$729,4,0)</f>
        <v>0</v>
      </c>
      <c r="S75" s="462">
        <f>VLOOKUP($E75,'5.1 Budget'!$A$4:$G$729,5,0)</f>
        <v>0</v>
      </c>
      <c r="T75" s="462">
        <f>VLOOKUP($E75,'5.1 Budget'!$A$4:$G$729,6,0)</f>
        <v>0</v>
      </c>
      <c r="U75" s="462">
        <f>VLOOKUP($E75,'5.1 Budget'!$A$4:$G$729,7,0)</f>
        <v>0</v>
      </c>
      <c r="V75" s="462">
        <f t="shared" si="1"/>
        <v>0</v>
      </c>
    </row>
    <row r="76" spans="1:22" ht="26.25" x14ac:dyDescent="0.25">
      <c r="A76" s="465">
        <v>1</v>
      </c>
      <c r="B76" s="12" t="s">
        <v>52</v>
      </c>
      <c r="C76" s="12" t="s">
        <v>55</v>
      </c>
      <c r="D76" s="12" t="s">
        <v>4</v>
      </c>
      <c r="E76" s="12" t="s">
        <v>801</v>
      </c>
      <c r="F76" s="469" t="str">
        <f>VLOOKUP(E76,'5. Consolidation'!$E$3:$F$715,2,0)</f>
        <v>Mise à jour du relevé sur terrain des rejets vers la Senne, notamment en s’aidant des connaissances déjà disponibles, et les compiler dans la base de données BE des rejets</v>
      </c>
      <c r="G76" s="469" t="str">
        <f>VLOOKUP(E76,'5.2 Actions'!$A$3:$D$720,4,0)</f>
        <v>SEN</v>
      </c>
      <c r="H76" s="12"/>
      <c r="I76" s="12"/>
      <c r="J76" s="12"/>
      <c r="K76" s="12"/>
      <c r="L76" s="12"/>
      <c r="M76" s="12"/>
      <c r="N76" s="12"/>
      <c r="O76" s="12"/>
      <c r="P76" s="462">
        <f>VLOOKUP($E76,'5.1 Budget'!$A$4:$G$729,2,0)</f>
        <v>0</v>
      </c>
      <c r="Q76" s="462">
        <f>VLOOKUP($E76,'5.1 Budget'!$A$4:$G$729,3,0)</f>
        <v>0</v>
      </c>
      <c r="R76" s="462">
        <f>VLOOKUP($E76,'5.1 Budget'!$A$4:$G$729,4,0)</f>
        <v>0</v>
      </c>
      <c r="S76" s="462">
        <f>VLOOKUP($E76,'5.1 Budget'!$A$4:$G$729,5,0)</f>
        <v>0</v>
      </c>
      <c r="T76" s="462">
        <f>VLOOKUP($E76,'5.1 Budget'!$A$4:$G$729,6,0)</f>
        <v>0</v>
      </c>
      <c r="U76" s="462">
        <f>VLOOKUP($E76,'5.1 Budget'!$A$4:$G$729,7,0)</f>
        <v>0</v>
      </c>
      <c r="V76" s="462">
        <f t="shared" si="1"/>
        <v>0</v>
      </c>
    </row>
    <row r="77" spans="1:22" ht="26.25" x14ac:dyDescent="0.25">
      <c r="A77" s="465">
        <v>1</v>
      </c>
      <c r="B77" s="12" t="s">
        <v>52</v>
      </c>
      <c r="C77" s="12" t="s">
        <v>55</v>
      </c>
      <c r="D77" s="12" t="s">
        <v>4</v>
      </c>
      <c r="E77" s="12" t="s">
        <v>802</v>
      </c>
      <c r="F77" s="469" t="str">
        <f>VLOOKUP(E77,'5. Consolidation'!$E$3:$F$715,2,0)</f>
        <v>Faire un relevé sur terrain des rejets vers le Hollebeek, notamment en s’aidant des connaissances déjà disponibles, et les compiler dans la base de données BE des rejets</v>
      </c>
      <c r="G77" s="469" t="str">
        <f>VLOOKUP(E77,'5.2 Actions'!$A$3:$D$720,4,0)</f>
        <v>SEN</v>
      </c>
      <c r="H77" s="12"/>
      <c r="I77" s="12"/>
      <c r="J77" s="12"/>
      <c r="K77" s="12"/>
      <c r="L77" s="12"/>
      <c r="M77" s="12"/>
      <c r="N77" s="12"/>
      <c r="O77" s="12"/>
      <c r="P77" s="462">
        <f>VLOOKUP($E77,'5.1 Budget'!$A$4:$G$729,2,0)</f>
        <v>0</v>
      </c>
      <c r="Q77" s="462">
        <f>VLOOKUP($E77,'5.1 Budget'!$A$4:$G$729,3,0)</f>
        <v>0</v>
      </c>
      <c r="R77" s="462">
        <f>VLOOKUP($E77,'5.1 Budget'!$A$4:$G$729,4,0)</f>
        <v>0</v>
      </c>
      <c r="S77" s="462">
        <f>VLOOKUP($E77,'5.1 Budget'!$A$4:$G$729,5,0)</f>
        <v>0</v>
      </c>
      <c r="T77" s="462">
        <f>VLOOKUP($E77,'5.1 Budget'!$A$4:$G$729,6,0)</f>
        <v>0</v>
      </c>
      <c r="U77" s="462">
        <f>VLOOKUP($E77,'5.1 Budget'!$A$4:$G$729,7,0)</f>
        <v>0</v>
      </c>
      <c r="V77" s="462">
        <f t="shared" si="1"/>
        <v>0</v>
      </c>
    </row>
    <row r="78" spans="1:22" ht="26.25" x14ac:dyDescent="0.25">
      <c r="A78" s="465">
        <v>1</v>
      </c>
      <c r="B78" s="12" t="s">
        <v>52</v>
      </c>
      <c r="C78" s="12" t="s">
        <v>55</v>
      </c>
      <c r="D78" s="12" t="s">
        <v>4</v>
      </c>
      <c r="E78" s="12" t="s">
        <v>803</v>
      </c>
      <c r="F78" s="469" t="str">
        <f>VLOOKUP(E78,'5. Consolidation'!$E$3:$F$715,2,0)</f>
        <v>Faire un relevé sur terrain des rejets vers le Vogelzangbeek, notamment en s’aidant des connaissances déjà disponibles, et les compiler dans la base de données BE des rejets</v>
      </c>
      <c r="G78" s="469" t="str">
        <f>VLOOKUP(E78,'5.2 Actions'!$A$3:$D$720,4,0)</f>
        <v>SEN</v>
      </c>
      <c r="H78" s="12"/>
      <c r="I78" s="12"/>
      <c r="J78" s="12"/>
      <c r="K78" s="12"/>
      <c r="L78" s="12"/>
      <c r="M78" s="12"/>
      <c r="N78" s="12"/>
      <c r="O78" s="12"/>
      <c r="P78" s="462">
        <f>VLOOKUP($E78,'5.1 Budget'!$A$4:$G$729,2,0)</f>
        <v>0</v>
      </c>
      <c r="Q78" s="462">
        <f>VLOOKUP($E78,'5.1 Budget'!$A$4:$G$729,3,0)</f>
        <v>0</v>
      </c>
      <c r="R78" s="462">
        <f>VLOOKUP($E78,'5.1 Budget'!$A$4:$G$729,4,0)</f>
        <v>0</v>
      </c>
      <c r="S78" s="462">
        <f>VLOOKUP($E78,'5.1 Budget'!$A$4:$G$729,5,0)</f>
        <v>0</v>
      </c>
      <c r="T78" s="462">
        <f>VLOOKUP($E78,'5.1 Budget'!$A$4:$G$729,6,0)</f>
        <v>0</v>
      </c>
      <c r="U78" s="462">
        <f>VLOOKUP($E78,'5.1 Budget'!$A$4:$G$729,7,0)</f>
        <v>0</v>
      </c>
      <c r="V78" s="462">
        <f t="shared" si="1"/>
        <v>0</v>
      </c>
    </row>
    <row r="79" spans="1:22" ht="26.25" x14ac:dyDescent="0.25">
      <c r="A79" s="465">
        <v>1</v>
      </c>
      <c r="B79" s="12" t="s">
        <v>52</v>
      </c>
      <c r="C79" s="12" t="s">
        <v>55</v>
      </c>
      <c r="D79" s="12" t="s">
        <v>4</v>
      </c>
      <c r="E79" s="12" t="s">
        <v>804</v>
      </c>
      <c r="F79" s="469" t="str">
        <f>VLOOKUP(E79,'5. Consolidation'!$E$3:$F$715,2,0)</f>
        <v>Faire un relevé sur terrain des rejets vers le Verrewinkelbeek, notamment en s’aidant des connaissances déjà disponibles, et les compiler dans la base de données BE des rejets</v>
      </c>
      <c r="G79" s="469" t="str">
        <f>VLOOKUP(E79,'5.2 Actions'!$A$3:$D$720,4,0)</f>
        <v>SEN</v>
      </c>
      <c r="H79" s="12"/>
      <c r="I79" s="12"/>
      <c r="J79" s="12"/>
      <c r="K79" s="12"/>
      <c r="L79" s="12"/>
      <c r="M79" s="12"/>
      <c r="N79" s="12"/>
      <c r="O79" s="12"/>
      <c r="P79" s="462">
        <f>VLOOKUP($E79,'5.1 Budget'!$A$4:$G$729,2,0)</f>
        <v>0</v>
      </c>
      <c r="Q79" s="462">
        <f>VLOOKUP($E79,'5.1 Budget'!$A$4:$G$729,3,0)</f>
        <v>0</v>
      </c>
      <c r="R79" s="462">
        <f>VLOOKUP($E79,'5.1 Budget'!$A$4:$G$729,4,0)</f>
        <v>0</v>
      </c>
      <c r="S79" s="462">
        <f>VLOOKUP($E79,'5.1 Budget'!$A$4:$G$729,5,0)</f>
        <v>0</v>
      </c>
      <c r="T79" s="462">
        <f>VLOOKUP($E79,'5.1 Budget'!$A$4:$G$729,6,0)</f>
        <v>0</v>
      </c>
      <c r="U79" s="462">
        <f>VLOOKUP($E79,'5.1 Budget'!$A$4:$G$729,7,0)</f>
        <v>0</v>
      </c>
      <c r="V79" s="462">
        <f t="shared" si="1"/>
        <v>0</v>
      </c>
    </row>
    <row r="80" spans="1:22" ht="26.25" x14ac:dyDescent="0.25">
      <c r="A80" s="465">
        <v>1</v>
      </c>
      <c r="B80" s="12" t="s">
        <v>52</v>
      </c>
      <c r="C80" s="12" t="s">
        <v>55</v>
      </c>
      <c r="D80" s="12" t="s">
        <v>4</v>
      </c>
      <c r="E80" s="12" t="s">
        <v>805</v>
      </c>
      <c r="F80" s="469" t="str">
        <f>VLOOKUP(E80,'5. Consolidation'!$E$3:$F$715,2,0)</f>
        <v>Mise à jour du relevé sur terrain des rejets vers le Neerpedebeek, notamment en s’aidant des connaissances déjà disponibles, et les compiler dans la base de données BE des rejets</v>
      </c>
      <c r="G80" s="469" t="str">
        <f>VLOOKUP(E80,'5.2 Actions'!$A$3:$D$720,4,0)</f>
        <v>SEN</v>
      </c>
      <c r="H80" s="12"/>
      <c r="I80" s="12"/>
      <c r="J80" s="12"/>
      <c r="K80" s="12"/>
      <c r="L80" s="12"/>
      <c r="M80" s="12"/>
      <c r="N80" s="12"/>
      <c r="O80" s="12"/>
      <c r="P80" s="462">
        <f>VLOOKUP($E80,'5.1 Budget'!$A$4:$G$729,2,0)</f>
        <v>0</v>
      </c>
      <c r="Q80" s="462">
        <f>VLOOKUP($E80,'5.1 Budget'!$A$4:$G$729,3,0)</f>
        <v>0</v>
      </c>
      <c r="R80" s="462">
        <f>VLOOKUP($E80,'5.1 Budget'!$A$4:$G$729,4,0)</f>
        <v>0</v>
      </c>
      <c r="S80" s="462">
        <f>VLOOKUP($E80,'5.1 Budget'!$A$4:$G$729,5,0)</f>
        <v>0</v>
      </c>
      <c r="T80" s="462">
        <f>VLOOKUP($E80,'5.1 Budget'!$A$4:$G$729,6,0)</f>
        <v>0</v>
      </c>
      <c r="U80" s="462">
        <f>VLOOKUP($E80,'5.1 Budget'!$A$4:$G$729,7,0)</f>
        <v>0</v>
      </c>
      <c r="V80" s="462">
        <f t="shared" si="1"/>
        <v>0</v>
      </c>
    </row>
    <row r="81" spans="1:22" ht="141" x14ac:dyDescent="0.25">
      <c r="A81" s="465">
        <v>1</v>
      </c>
      <c r="B81" s="12" t="s">
        <v>52</v>
      </c>
      <c r="C81" s="12" t="s">
        <v>55</v>
      </c>
      <c r="D81" s="12" t="s">
        <v>4</v>
      </c>
      <c r="E81" s="12" t="s">
        <v>806</v>
      </c>
      <c r="F81" s="469" t="str">
        <f>VLOOKUP(E81,'5. Consolidation'!$E$3:$F$715,2,0)</f>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
      <c r="G81" s="469" t="str">
        <f>VLOOKUP(E81,'5.2 Actions'!$A$3:$D$720,4,0)</f>
        <v>CAN</v>
      </c>
      <c r="H81" s="12"/>
      <c r="I81" s="12"/>
      <c r="J81" s="12"/>
      <c r="K81" s="12"/>
      <c r="L81" s="12"/>
      <c r="M81" s="12"/>
      <c r="N81" s="459">
        <v>2022</v>
      </c>
      <c r="O81" s="12"/>
      <c r="P81" s="462">
        <f>VLOOKUP($E81,'5.1 Budget'!$A$4:$G$729,2,0)</f>
        <v>17000</v>
      </c>
      <c r="Q81" s="462">
        <f>VLOOKUP($E81,'5.1 Budget'!$A$4:$G$729,3,0)</f>
        <v>0</v>
      </c>
      <c r="R81" s="462">
        <f>VLOOKUP($E81,'5.1 Budget'!$A$4:$G$729,4,0)</f>
        <v>0</v>
      </c>
      <c r="S81" s="462">
        <f>VLOOKUP($E81,'5.1 Budget'!$A$4:$G$729,5,0)</f>
        <v>0</v>
      </c>
      <c r="T81" s="462">
        <f>VLOOKUP($E81,'5.1 Budget'!$A$4:$G$729,6,0)</f>
        <v>0</v>
      </c>
      <c r="U81" s="462">
        <f>VLOOKUP($E81,'5.1 Budget'!$A$4:$G$729,7,0)</f>
        <v>0</v>
      </c>
      <c r="V81" s="462">
        <f t="shared" si="1"/>
        <v>17000</v>
      </c>
    </row>
    <row r="82" spans="1:22" x14ac:dyDescent="0.25">
      <c r="A82" s="465">
        <v>1</v>
      </c>
      <c r="B82" s="12" t="s">
        <v>52</v>
      </c>
      <c r="C82" s="12" t="s">
        <v>55</v>
      </c>
      <c r="D82" s="12" t="s">
        <v>4</v>
      </c>
      <c r="E82" s="12" t="s">
        <v>807</v>
      </c>
      <c r="F82" s="469" t="str">
        <f>VLOOKUP(E82,'5. Consolidation'!$E$3:$F$715,2,0)</f>
        <v xml:space="preserve">Compiler les données des points de rejets des bateaux/navires permanents dans la base de données BE des rejets </v>
      </c>
      <c r="G82" s="469" t="str">
        <f>VLOOKUP(E82,'5.2 Actions'!$A$3:$D$720,4,0)</f>
        <v>CAN</v>
      </c>
      <c r="H82" s="12"/>
      <c r="I82" s="12"/>
      <c r="J82" s="12"/>
      <c r="K82" s="12"/>
      <c r="L82" s="12"/>
      <c r="M82" s="12"/>
      <c r="N82" s="12"/>
      <c r="O82" s="12"/>
      <c r="P82" s="462">
        <f>VLOOKUP($E82,'5.1 Budget'!$A$4:$G$729,2,0)</f>
        <v>0</v>
      </c>
      <c r="Q82" s="462">
        <f>VLOOKUP($E82,'5.1 Budget'!$A$4:$G$729,3,0)</f>
        <v>0</v>
      </c>
      <c r="R82" s="462">
        <f>VLOOKUP($E82,'5.1 Budget'!$A$4:$G$729,4,0)</f>
        <v>0</v>
      </c>
      <c r="S82" s="462">
        <f>VLOOKUP($E82,'5.1 Budget'!$A$4:$G$729,5,0)</f>
        <v>0</v>
      </c>
      <c r="T82" s="462">
        <f>VLOOKUP($E82,'5.1 Budget'!$A$4:$G$729,6,0)</f>
        <v>0</v>
      </c>
      <c r="U82" s="462">
        <f>VLOOKUP($E82,'5.1 Budget'!$A$4:$G$729,7,0)</f>
        <v>0</v>
      </c>
      <c r="V82" s="462">
        <f t="shared" si="1"/>
        <v>0</v>
      </c>
    </row>
    <row r="83" spans="1:22" ht="51.75" x14ac:dyDescent="0.25">
      <c r="A83" s="465">
        <v>1</v>
      </c>
      <c r="B83" s="12" t="s">
        <v>52</v>
      </c>
      <c r="C83" s="12" t="s">
        <v>55</v>
      </c>
      <c r="D83" s="12" t="s">
        <v>4</v>
      </c>
      <c r="E83" s="12" t="s">
        <v>808</v>
      </c>
      <c r="F83" s="469" t="str">
        <f>VLOOKUP(E83,'5. Consolidation'!$E$3:$F$715,2,0)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
      <c r="G83" s="469" t="str">
        <f>VLOOKUP(E83,'5.2 Actions'!$A$3:$D$720,4,0)</f>
        <v>CAN</v>
      </c>
      <c r="H83" s="12"/>
      <c r="I83" s="12"/>
      <c r="J83" s="12"/>
      <c r="K83" s="12"/>
      <c r="L83" s="12"/>
      <c r="M83" s="12"/>
      <c r="N83" s="459">
        <v>2022</v>
      </c>
      <c r="O83" s="12"/>
      <c r="P83" s="462">
        <f>VLOOKUP($E83,'5.1 Budget'!$A$4:$G$729,2,0)</f>
        <v>25000</v>
      </c>
      <c r="Q83" s="462">
        <f>VLOOKUP($E83,'5.1 Budget'!$A$4:$G$729,3,0)</f>
        <v>0</v>
      </c>
      <c r="R83" s="462">
        <f>VLOOKUP($E83,'5.1 Budget'!$A$4:$G$729,4,0)</f>
        <v>0</v>
      </c>
      <c r="S83" s="462">
        <f>VLOOKUP($E83,'5.1 Budget'!$A$4:$G$729,5,0)</f>
        <v>0</v>
      </c>
      <c r="T83" s="462">
        <f>VLOOKUP($E83,'5.1 Budget'!$A$4:$G$729,6,0)</f>
        <v>0</v>
      </c>
      <c r="U83" s="462">
        <f>VLOOKUP($E83,'5.1 Budget'!$A$4:$G$729,7,0)</f>
        <v>0</v>
      </c>
      <c r="V83" s="462">
        <f t="shared" si="1"/>
        <v>25000</v>
      </c>
    </row>
    <row r="84" spans="1:22" ht="26.25" x14ac:dyDescent="0.25">
      <c r="A84" s="465">
        <v>1</v>
      </c>
      <c r="B84" s="12" t="s">
        <v>52</v>
      </c>
      <c r="C84" s="12" t="s">
        <v>55</v>
      </c>
      <c r="D84" s="12" t="s">
        <v>4</v>
      </c>
      <c r="E84" s="12" t="s">
        <v>810</v>
      </c>
      <c r="F84" s="469" t="str">
        <f>VLOOKUP(E84,'5. Consolidation'!$E$3:$F$715,2,0)</f>
        <v xml:space="preserve">Compiler les données relatives au réseau d’écoulement des parcelles privées du domaine portuaire dans la base de données BE des rejets </v>
      </c>
      <c r="G84" s="469" t="str">
        <f>VLOOKUP(E84,'5.2 Actions'!$A$3:$D$720,4,0)</f>
        <v>CAN</v>
      </c>
      <c r="H84" s="12"/>
      <c r="I84" s="12"/>
      <c r="J84" s="12"/>
      <c r="K84" s="12"/>
      <c r="L84" s="12"/>
      <c r="M84" s="12"/>
      <c r="N84" s="12"/>
      <c r="O84" s="12"/>
      <c r="P84" s="462">
        <f>VLOOKUP($E84,'5.1 Budget'!$A$4:$G$729,2,0)</f>
        <v>0</v>
      </c>
      <c r="Q84" s="462">
        <f>VLOOKUP($E84,'5.1 Budget'!$A$4:$G$729,3,0)</f>
        <v>0</v>
      </c>
      <c r="R84" s="462">
        <f>VLOOKUP($E84,'5.1 Budget'!$A$4:$G$729,4,0)</f>
        <v>0</v>
      </c>
      <c r="S84" s="462">
        <f>VLOOKUP($E84,'5.1 Budget'!$A$4:$G$729,5,0)</f>
        <v>0</v>
      </c>
      <c r="T84" s="462">
        <f>VLOOKUP($E84,'5.1 Budget'!$A$4:$G$729,6,0)</f>
        <v>0</v>
      </c>
      <c r="U84" s="462">
        <f>VLOOKUP($E84,'5.1 Budget'!$A$4:$G$729,7,0)</f>
        <v>0</v>
      </c>
      <c r="V84" s="462">
        <f t="shared" si="1"/>
        <v>0</v>
      </c>
    </row>
    <row r="85" spans="1:22" x14ac:dyDescent="0.25">
      <c r="A85" s="465">
        <v>1</v>
      </c>
      <c r="B85" s="12" t="s">
        <v>52</v>
      </c>
      <c r="C85" s="12" t="s">
        <v>55</v>
      </c>
      <c r="D85" s="12" t="s">
        <v>4</v>
      </c>
      <c r="E85" s="12" t="s">
        <v>811</v>
      </c>
      <c r="F85" s="469" t="str">
        <f>VLOOKUP(E85,'5. Consolidation'!$E$3:$F$715,2,0)</f>
        <v>Compiler les données du Port relatives aux autorisations de rejet dans le Canal dans la base de données BE des rejets</v>
      </c>
      <c r="G85" s="469" t="str">
        <f>VLOOKUP(E85,'5.2 Actions'!$A$3:$D$720,4,0)</f>
        <v>CAN</v>
      </c>
      <c r="H85" s="12"/>
      <c r="I85" s="12"/>
      <c r="J85" s="12"/>
      <c r="K85" s="12"/>
      <c r="L85" s="12"/>
      <c r="M85" s="12"/>
      <c r="N85" s="12"/>
      <c r="O85" s="12"/>
      <c r="P85" s="462">
        <f>VLOOKUP($E85,'5.1 Budget'!$A$4:$G$729,2,0)</f>
        <v>0</v>
      </c>
      <c r="Q85" s="462">
        <f>VLOOKUP($E85,'5.1 Budget'!$A$4:$G$729,3,0)</f>
        <v>0</v>
      </c>
      <c r="R85" s="462">
        <f>VLOOKUP($E85,'5.1 Budget'!$A$4:$G$729,4,0)</f>
        <v>0</v>
      </c>
      <c r="S85" s="462">
        <f>VLOOKUP($E85,'5.1 Budget'!$A$4:$G$729,5,0)</f>
        <v>0</v>
      </c>
      <c r="T85" s="462">
        <f>VLOOKUP($E85,'5.1 Budget'!$A$4:$G$729,6,0)</f>
        <v>0</v>
      </c>
      <c r="U85" s="462">
        <f>VLOOKUP($E85,'5.1 Budget'!$A$4:$G$729,7,0)</f>
        <v>0</v>
      </c>
      <c r="V85" s="462">
        <f t="shared" si="1"/>
        <v>0</v>
      </c>
    </row>
    <row r="86" spans="1:22" ht="39" x14ac:dyDescent="0.25">
      <c r="A86" s="465">
        <v>1</v>
      </c>
      <c r="B86" s="12" t="s">
        <v>52</v>
      </c>
      <c r="C86" s="12" t="s">
        <v>55</v>
      </c>
      <c r="D86" s="12" t="s">
        <v>4</v>
      </c>
      <c r="E86" s="12" t="s">
        <v>812</v>
      </c>
      <c r="F86" s="469" t="str">
        <f>VLOOKUP(E86,'5. Consolidation'!$E$3:$F$715,2,0)</f>
        <v>Faire un relevé sur terrain des rejets vers la Woluwe et les étangs de la Woluwe (y compris l’égout qui déborderait ponctuellement au Parc des Sources), notamment en s’aidant des connaissances déjà disponibles, et les compiler dans la base de données BE des rejets</v>
      </c>
      <c r="G86" s="469" t="str">
        <f>VLOOKUP(E86,'5.2 Actions'!$A$3:$D$720,4,0)</f>
        <v>WOL</v>
      </c>
      <c r="H86" s="12"/>
      <c r="I86" s="12"/>
      <c r="J86" s="12"/>
      <c r="K86" s="12"/>
      <c r="L86" s="12"/>
      <c r="M86" s="12"/>
      <c r="N86" s="12"/>
      <c r="O86" s="12"/>
      <c r="P86" s="462">
        <f>VLOOKUP($E86,'5.1 Budget'!$A$4:$G$729,2,0)</f>
        <v>0</v>
      </c>
      <c r="Q86" s="462">
        <f>VLOOKUP($E86,'5.1 Budget'!$A$4:$G$729,3,0)</f>
        <v>0</v>
      </c>
      <c r="R86" s="462">
        <f>VLOOKUP($E86,'5.1 Budget'!$A$4:$G$729,4,0)</f>
        <v>0</v>
      </c>
      <c r="S86" s="462">
        <f>VLOOKUP($E86,'5.1 Budget'!$A$4:$G$729,5,0)</f>
        <v>0</v>
      </c>
      <c r="T86" s="462">
        <f>VLOOKUP($E86,'5.1 Budget'!$A$4:$G$729,6,0)</f>
        <v>0</v>
      </c>
      <c r="U86" s="462">
        <f>VLOOKUP($E86,'5.1 Budget'!$A$4:$G$729,7,0)</f>
        <v>0</v>
      </c>
      <c r="V86" s="462">
        <f t="shared" si="1"/>
        <v>0</v>
      </c>
    </row>
    <row r="87" spans="1:22" ht="26.25" x14ac:dyDescent="0.25">
      <c r="A87" s="465">
        <v>1</v>
      </c>
      <c r="B87" s="12" t="s">
        <v>52</v>
      </c>
      <c r="C87" s="12" t="s">
        <v>55</v>
      </c>
      <c r="D87" s="12" t="s">
        <v>4</v>
      </c>
      <c r="E87" s="12" t="s">
        <v>813</v>
      </c>
      <c r="F87" s="469" t="str">
        <f>VLOOKUP(E87,'5. Consolidation'!$E$3:$F$715,2,0)</f>
        <v>Finir les investigations des sources des rejets vers le Zwanewijdebeek qui ont été relevés sur terrain et les compiler dans la base de données BE des rejets</v>
      </c>
      <c r="G87" s="469" t="str">
        <f>VLOOKUP(E87,'5.2 Actions'!$A$3:$D$720,4,0)</f>
        <v>WOL</v>
      </c>
      <c r="H87" s="12"/>
      <c r="I87" s="12"/>
      <c r="J87" s="12"/>
      <c r="K87" s="12"/>
      <c r="L87" s="12"/>
      <c r="M87" s="12"/>
      <c r="N87" s="12"/>
      <c r="O87" s="12"/>
      <c r="P87" s="462">
        <f>VLOOKUP($E87,'5.1 Budget'!$A$4:$G$729,2,0)</f>
        <v>0</v>
      </c>
      <c r="Q87" s="462">
        <f>VLOOKUP($E87,'5.1 Budget'!$A$4:$G$729,3,0)</f>
        <v>0</v>
      </c>
      <c r="R87" s="462">
        <f>VLOOKUP($E87,'5.1 Budget'!$A$4:$G$729,4,0)</f>
        <v>0</v>
      </c>
      <c r="S87" s="462">
        <f>VLOOKUP($E87,'5.1 Budget'!$A$4:$G$729,5,0)</f>
        <v>0</v>
      </c>
      <c r="T87" s="462">
        <f>VLOOKUP($E87,'5.1 Budget'!$A$4:$G$729,6,0)</f>
        <v>0</v>
      </c>
      <c r="U87" s="462">
        <f>VLOOKUP($E87,'5.1 Budget'!$A$4:$G$729,7,0)</f>
        <v>0</v>
      </c>
      <c r="V87" s="462">
        <f t="shared" si="1"/>
        <v>0</v>
      </c>
    </row>
    <row r="88" spans="1:22" ht="26.25" x14ac:dyDescent="0.25">
      <c r="A88" s="465">
        <v>1</v>
      </c>
      <c r="B88" s="12" t="s">
        <v>52</v>
      </c>
      <c r="C88" s="12" t="s">
        <v>55</v>
      </c>
      <c r="D88" s="12" t="s">
        <v>5</v>
      </c>
      <c r="E88" s="12" t="s">
        <v>821</v>
      </c>
      <c r="F88" s="469" t="str">
        <f>VLOOKUP(E88,'5. Consolidation'!$E$3:$F$715,2,0)</f>
        <v xml:space="preserve">Identifier et prioriser les travaux d’extension et de raccordement au réseau d’égouttage sur base de l’inventaire visé par la M  1.5 et de la cartographie des zones égouttables et des opportunités </v>
      </c>
      <c r="G88" s="469" t="str">
        <f>VLOOKUP(E88,'5.2 Actions'!$A$3:$D$720,4,0)</f>
        <v>SEN / WOL / CAN</v>
      </c>
      <c r="H88" s="12"/>
      <c r="I88" s="12"/>
      <c r="J88" s="12"/>
      <c r="K88" s="12"/>
      <c r="L88" s="12"/>
      <c r="M88" s="12"/>
      <c r="N88" s="12"/>
      <c r="O88" s="12"/>
      <c r="P88" s="462">
        <f>VLOOKUP($E88,'5.1 Budget'!$A$4:$G$729,2,0)</f>
        <v>0</v>
      </c>
      <c r="Q88" s="462">
        <f>VLOOKUP($E88,'5.1 Budget'!$A$4:$G$729,3,0)</f>
        <v>0</v>
      </c>
      <c r="R88" s="462">
        <f>VLOOKUP($E88,'5.1 Budget'!$A$4:$G$729,4,0)</f>
        <v>0</v>
      </c>
      <c r="S88" s="462">
        <f>VLOOKUP($E88,'5.1 Budget'!$A$4:$G$729,5,0)</f>
        <v>0</v>
      </c>
      <c r="T88" s="462">
        <f>VLOOKUP($E88,'5.1 Budget'!$A$4:$G$729,6,0)</f>
        <v>0</v>
      </c>
      <c r="U88" s="462">
        <f>VLOOKUP($E88,'5.1 Budget'!$A$4:$G$729,7,0)</f>
        <v>0</v>
      </c>
      <c r="V88" s="462">
        <f t="shared" si="1"/>
        <v>0</v>
      </c>
    </row>
    <row r="89" spans="1:22" ht="26.25" x14ac:dyDescent="0.25">
      <c r="A89" s="465">
        <v>1</v>
      </c>
      <c r="B89" s="12" t="s">
        <v>52</v>
      </c>
      <c r="C89" s="12" t="s">
        <v>55</v>
      </c>
      <c r="D89" s="12" t="s">
        <v>5</v>
      </c>
      <c r="E89" s="12" t="s">
        <v>822</v>
      </c>
      <c r="F89" s="469" t="str">
        <f>VLOOKUP(E89,'5. Consolidation'!$E$3:$F$715,2,0)</f>
        <v>Identifier et prioriser les travaux d’extension et de raccordement au réseau d’égouttage  sur les parcelles privées du domaine portuaire sur base de l’inventaire visé par la M  1.5 pour les concessions du Port de Bruxelles</v>
      </c>
      <c r="G89" s="469" t="str">
        <f>VLOOKUP(E89,'5.2 Actions'!$A$3:$D$720,4,0)</f>
        <v>CAN</v>
      </c>
      <c r="H89" s="12"/>
      <c r="I89" s="12"/>
      <c r="J89" s="12"/>
      <c r="K89" s="12"/>
      <c r="L89" s="12"/>
      <c r="M89" s="12"/>
      <c r="N89" s="459">
        <v>2022</v>
      </c>
      <c r="O89" s="12"/>
      <c r="P89" s="462">
        <f>VLOOKUP($E89,'5.1 Budget'!$A$4:$G$729,2,0)</f>
        <v>100000</v>
      </c>
      <c r="Q89" s="462">
        <f>VLOOKUP($E89,'5.1 Budget'!$A$4:$G$729,3,0)</f>
        <v>0</v>
      </c>
      <c r="R89" s="462">
        <f>VLOOKUP($E89,'5.1 Budget'!$A$4:$G$729,4,0)</f>
        <v>0</v>
      </c>
      <c r="S89" s="462">
        <f>VLOOKUP($E89,'5.1 Budget'!$A$4:$G$729,5,0)</f>
        <v>100000</v>
      </c>
      <c r="T89" s="462">
        <f>VLOOKUP($E89,'5.1 Budget'!$A$4:$G$729,6,0)</f>
        <v>0</v>
      </c>
      <c r="U89" s="462">
        <f>VLOOKUP($E89,'5.1 Budget'!$A$4:$G$729,7,0)</f>
        <v>0</v>
      </c>
      <c r="V89" s="462">
        <f t="shared" si="1"/>
        <v>200000</v>
      </c>
    </row>
    <row r="90" spans="1:22" ht="26.25" x14ac:dyDescent="0.25">
      <c r="A90" s="465">
        <v>1</v>
      </c>
      <c r="B90" s="12" t="s">
        <v>52</v>
      </c>
      <c r="C90" s="12" t="s">
        <v>55</v>
      </c>
      <c r="D90" s="12" t="s">
        <v>5</v>
      </c>
      <c r="E90" s="12" t="s">
        <v>823</v>
      </c>
      <c r="F90" s="469" t="str">
        <f>VLOOKUP(E90,'5. Consolidation'!$E$3:$F$715,2,0)</f>
        <v>Sur base de la DB reprenant les rejets directs d’eaux usées dans les cours d’eau (M1.5) procéder, lorsque c’est possible au niveau du cours d’eau, aux correctifs pour remédier à ces mauvaises connexions</v>
      </c>
      <c r="G90" s="469" t="str">
        <f>VLOOKUP(E90,'5.2 Actions'!$A$3:$D$720,4,0)</f>
        <v>SEN / WOL / CAN</v>
      </c>
      <c r="H90" s="12"/>
      <c r="I90" s="12"/>
      <c r="J90" s="12"/>
      <c r="K90" s="12"/>
      <c r="L90" s="12"/>
      <c r="M90" s="12"/>
      <c r="N90" s="12"/>
      <c r="O90" s="12"/>
      <c r="P90" s="462">
        <f>VLOOKUP($E90,'5.1 Budget'!$A$4:$G$729,2,0)</f>
        <v>0</v>
      </c>
      <c r="Q90" s="462">
        <f>VLOOKUP($E90,'5.1 Budget'!$A$4:$G$729,3,0)</f>
        <v>0</v>
      </c>
      <c r="R90" s="462">
        <f>VLOOKUP($E90,'5.1 Budget'!$A$4:$G$729,4,0)</f>
        <v>0</v>
      </c>
      <c r="S90" s="462">
        <f>VLOOKUP($E90,'5.1 Budget'!$A$4:$G$729,5,0)</f>
        <v>0</v>
      </c>
      <c r="T90" s="462">
        <f>VLOOKUP($E90,'5.1 Budget'!$A$4:$G$729,6,0)</f>
        <v>0</v>
      </c>
      <c r="U90" s="462">
        <f>VLOOKUP($E90,'5.1 Budget'!$A$4:$G$729,7,0)</f>
        <v>0</v>
      </c>
      <c r="V90" s="462">
        <f t="shared" si="1"/>
        <v>0</v>
      </c>
    </row>
    <row r="91" spans="1:22" ht="26.25" x14ac:dyDescent="0.25">
      <c r="A91" s="465">
        <v>1</v>
      </c>
      <c r="B91" s="12" t="s">
        <v>52</v>
      </c>
      <c r="C91" s="12" t="s">
        <v>55</v>
      </c>
      <c r="D91" s="12" t="s">
        <v>5</v>
      </c>
      <c r="E91" s="12" t="s">
        <v>824</v>
      </c>
      <c r="F91" s="469" t="str">
        <f>VLOOKUP(E91,'5. Consolidation'!$E$3:$F$715,2,0)</f>
        <v>Définir et mettre en place une procédure de « raccordement »  permettant de coordonner les actions de chaque acteur et d’en clarifier les responsabilités</v>
      </c>
      <c r="G91" s="469" t="str">
        <f>VLOOKUP(E91,'5.2 Actions'!$A$3:$D$720,4,0)</f>
        <v>SEN / WOL / CAN</v>
      </c>
      <c r="H91" s="12"/>
      <c r="I91" s="12"/>
      <c r="J91" s="12"/>
      <c r="K91" s="12"/>
      <c r="L91" s="12"/>
      <c r="M91" s="12"/>
      <c r="N91" s="12"/>
      <c r="O91" s="12"/>
      <c r="P91" s="462">
        <f>VLOOKUP($E91,'5.1 Budget'!$A$4:$G$729,2,0)</f>
        <v>0</v>
      </c>
      <c r="Q91" s="462">
        <f>VLOOKUP($E91,'5.1 Budget'!$A$4:$G$729,3,0)</f>
        <v>0</v>
      </c>
      <c r="R91" s="462">
        <f>VLOOKUP($E91,'5.1 Budget'!$A$4:$G$729,4,0)</f>
        <v>0</v>
      </c>
      <c r="S91" s="462">
        <f>VLOOKUP($E91,'5.1 Budget'!$A$4:$G$729,5,0)</f>
        <v>0</v>
      </c>
      <c r="T91" s="462">
        <f>VLOOKUP($E91,'5.1 Budget'!$A$4:$G$729,6,0)</f>
        <v>0</v>
      </c>
      <c r="U91" s="462">
        <f>VLOOKUP($E91,'5.1 Budget'!$A$4:$G$729,7,0)</f>
        <v>0</v>
      </c>
      <c r="V91" s="462">
        <f t="shared" si="1"/>
        <v>0</v>
      </c>
    </row>
    <row r="92" spans="1:22" ht="39" x14ac:dyDescent="0.25">
      <c r="A92" s="465">
        <v>1</v>
      </c>
      <c r="B92" s="12" t="s">
        <v>52</v>
      </c>
      <c r="C92" s="12" t="s">
        <v>55</v>
      </c>
      <c r="D92" s="12" t="s">
        <v>5</v>
      </c>
      <c r="E92" s="12" t="s">
        <v>825</v>
      </c>
      <c r="F92" s="469" t="str">
        <f>VLOOKUP(E92,'5. Consolidation'!$E$3:$F$715,2,0)</f>
        <v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v>
      </c>
      <c r="G92" s="469" t="str">
        <f>VLOOKUP(E92,'5.2 Actions'!$A$3:$D$720,4,0)</f>
        <v>SEN / CAN</v>
      </c>
      <c r="H92" s="12"/>
      <c r="I92" s="12"/>
      <c r="J92" s="12"/>
      <c r="K92" s="12"/>
      <c r="L92" s="12"/>
      <c r="M92" s="12"/>
      <c r="N92" s="12"/>
      <c r="O92" s="12"/>
      <c r="P92" s="462">
        <f>VLOOKUP($E92,'5.1 Budget'!$A$4:$G$729,2,0)</f>
        <v>0</v>
      </c>
      <c r="Q92" s="462">
        <f>VLOOKUP($E92,'5.1 Budget'!$A$4:$G$729,3,0)</f>
        <v>0</v>
      </c>
      <c r="R92" s="462">
        <f>VLOOKUP($E92,'5.1 Budget'!$A$4:$G$729,4,0)</f>
        <v>0</v>
      </c>
      <c r="S92" s="462">
        <f>VLOOKUP($E92,'5.1 Budget'!$A$4:$G$729,5,0)</f>
        <v>0</v>
      </c>
      <c r="T92" s="462">
        <f>VLOOKUP($E92,'5.1 Budget'!$A$4:$G$729,6,0)</f>
        <v>0</v>
      </c>
      <c r="U92" s="462">
        <f>VLOOKUP($E92,'5.1 Budget'!$A$4:$G$729,7,0)</f>
        <v>0</v>
      </c>
      <c r="V92" s="462">
        <f t="shared" si="1"/>
        <v>0</v>
      </c>
    </row>
    <row r="93" spans="1:22" ht="26.25" x14ac:dyDescent="0.25">
      <c r="A93" s="465">
        <v>1</v>
      </c>
      <c r="B93" s="12" t="s">
        <v>52</v>
      </c>
      <c r="C93" s="12" t="s">
        <v>55</v>
      </c>
      <c r="D93" s="12" t="s">
        <v>5</v>
      </c>
      <c r="E93" s="12" t="s">
        <v>826</v>
      </c>
      <c r="F93" s="469" t="str">
        <f>VLOOKUP(E93,'5. Consolidation'!$E$3:$F$715,2,0)</f>
        <v>Actualiser la carte des zones égouttées raccordées aux stations d’épuration dans l’inventaire des émissions polluantes vers les eaux de surface (WEISS)</v>
      </c>
      <c r="G93" s="469" t="str">
        <f>VLOOKUP(E93,'5.2 Actions'!$A$3:$D$720,4,0)</f>
        <v>SEN / WOL / CAN</v>
      </c>
      <c r="H93" s="12"/>
      <c r="I93" s="12"/>
      <c r="J93" s="12"/>
      <c r="K93" s="12"/>
      <c r="L93" s="12"/>
      <c r="M93" s="12"/>
      <c r="N93" s="12"/>
      <c r="O93" s="12"/>
      <c r="P93" s="462">
        <f>VLOOKUP($E93,'5.1 Budget'!$A$4:$G$729,2,0)</f>
        <v>0</v>
      </c>
      <c r="Q93" s="462">
        <f>VLOOKUP($E93,'5.1 Budget'!$A$4:$G$729,3,0)</f>
        <v>0</v>
      </c>
      <c r="R93" s="462">
        <f>VLOOKUP($E93,'5.1 Budget'!$A$4:$G$729,4,0)</f>
        <v>0</v>
      </c>
      <c r="S93" s="462">
        <f>VLOOKUP($E93,'5.1 Budget'!$A$4:$G$729,5,0)</f>
        <v>0</v>
      </c>
      <c r="T93" s="462">
        <f>VLOOKUP($E93,'5.1 Budget'!$A$4:$G$729,6,0)</f>
        <v>0</v>
      </c>
      <c r="U93" s="462">
        <f>VLOOKUP($E93,'5.1 Budget'!$A$4:$G$729,7,0)</f>
        <v>0</v>
      </c>
      <c r="V93" s="462">
        <f t="shared" si="1"/>
        <v>0</v>
      </c>
    </row>
    <row r="94" spans="1:22" ht="26.25" x14ac:dyDescent="0.25">
      <c r="A94" s="465">
        <v>1</v>
      </c>
      <c r="B94" s="12" t="s">
        <v>52</v>
      </c>
      <c r="C94" s="12" t="s">
        <v>55</v>
      </c>
      <c r="D94" s="12" t="s">
        <v>5</v>
      </c>
      <c r="E94" s="12" t="s">
        <v>827</v>
      </c>
      <c r="F94" s="469" t="str">
        <f>VLOOKUP(E94,'5. Consolidation'!$E$3:$F$715,2,0)</f>
        <v xml:space="preserve">Etudier l’opportunité de mettre en place un système de certification des installations privées à l’instar du système PEB existant pour l’énergie </v>
      </c>
      <c r="G94" s="469" t="str">
        <f>VLOOKUP(E94,'5.2 Actions'!$A$3:$D$720,4,0)</f>
        <v>SEN / WOL / CAN</v>
      </c>
      <c r="H94" s="12"/>
      <c r="I94" s="12"/>
      <c r="J94" s="12"/>
      <c r="K94" s="12"/>
      <c r="L94" s="12"/>
      <c r="M94" s="12"/>
      <c r="N94" s="12"/>
      <c r="O94" s="12"/>
      <c r="P94" s="462">
        <f>VLOOKUP($E94,'5.1 Budget'!$A$4:$G$729,2,0)</f>
        <v>0</v>
      </c>
      <c r="Q94" s="462">
        <f>VLOOKUP($E94,'5.1 Budget'!$A$4:$G$729,3,0)</f>
        <v>0</v>
      </c>
      <c r="R94" s="462">
        <f>VLOOKUP($E94,'5.1 Budget'!$A$4:$G$729,4,0)</f>
        <v>0</v>
      </c>
      <c r="S94" s="462">
        <f>VLOOKUP($E94,'5.1 Budget'!$A$4:$G$729,5,0)</f>
        <v>0</v>
      </c>
      <c r="T94" s="462">
        <f>VLOOKUP($E94,'5.1 Budget'!$A$4:$G$729,6,0)</f>
        <v>0</v>
      </c>
      <c r="U94" s="462">
        <f>VLOOKUP($E94,'5.1 Budget'!$A$4:$G$729,7,0)</f>
        <v>0</v>
      </c>
      <c r="V94" s="462">
        <f t="shared" si="1"/>
        <v>0</v>
      </c>
    </row>
    <row r="95" spans="1:22" ht="39" x14ac:dyDescent="0.25">
      <c r="A95" s="465">
        <v>1</v>
      </c>
      <c r="B95" s="12" t="s">
        <v>52</v>
      </c>
      <c r="C95" s="12" t="s">
        <v>55</v>
      </c>
      <c r="D95" s="12" t="s">
        <v>6</v>
      </c>
      <c r="E95" s="12" t="s">
        <v>828</v>
      </c>
      <c r="F95" s="469" t="str">
        <f>VLOOKUP(E95,'5. Consolidation'!$E$3:$F$715,2,0)</f>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v>
      </c>
      <c r="G95" s="469" t="str">
        <f>VLOOKUP(E95,'5.2 Actions'!$A$3:$D$720,4,0)</f>
        <v>SEN / WOL / CAN</v>
      </c>
      <c r="H95" s="12"/>
      <c r="I95" s="12"/>
      <c r="J95" s="12"/>
      <c r="K95" s="12"/>
      <c r="L95" s="12"/>
      <c r="M95" s="12"/>
      <c r="N95" s="12"/>
      <c r="O95" s="12"/>
      <c r="P95" s="462">
        <f>VLOOKUP($E95,'5.1 Budget'!$A$4:$G$729,2,0)</f>
        <v>0</v>
      </c>
      <c r="Q95" s="462">
        <f>VLOOKUP($E95,'5.1 Budget'!$A$4:$G$729,3,0)</f>
        <v>0</v>
      </c>
      <c r="R95" s="462">
        <f>VLOOKUP($E95,'5.1 Budget'!$A$4:$G$729,4,0)</f>
        <v>0</v>
      </c>
      <c r="S95" s="462">
        <f>VLOOKUP($E95,'5.1 Budget'!$A$4:$G$729,5,0)</f>
        <v>0</v>
      </c>
      <c r="T95" s="462">
        <f>VLOOKUP($E95,'5.1 Budget'!$A$4:$G$729,6,0)</f>
        <v>0</v>
      </c>
      <c r="U95" s="462">
        <f>VLOOKUP($E95,'5.1 Budget'!$A$4:$G$729,7,0)</f>
        <v>0</v>
      </c>
      <c r="V95" s="462">
        <f t="shared" si="1"/>
        <v>0</v>
      </c>
    </row>
    <row r="96" spans="1:22" ht="64.5" x14ac:dyDescent="0.25">
      <c r="A96" s="465">
        <v>1</v>
      </c>
      <c r="B96" s="12" t="s">
        <v>52</v>
      </c>
      <c r="C96" s="12" t="s">
        <v>55</v>
      </c>
      <c r="D96" s="12" t="s">
        <v>6</v>
      </c>
      <c r="E96" s="12" t="s">
        <v>829</v>
      </c>
      <c r="F96" s="469" t="str">
        <f>VLOOKUP(E96,'5. Consolidation'!$E$3:$F$715,2,0)</f>
        <v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v>
      </c>
      <c r="G96" s="469" t="str">
        <f>VLOOKUP(E96,'5.2 Actions'!$A$3:$D$720,4,0)</f>
        <v>SEN / WOL / CAN</v>
      </c>
      <c r="H96" s="12"/>
      <c r="I96" s="12"/>
      <c r="J96" s="12"/>
      <c r="K96" s="12"/>
      <c r="L96" s="12"/>
      <c r="M96" s="12"/>
      <c r="N96" s="12"/>
      <c r="O96" s="12"/>
      <c r="P96" s="462">
        <f>VLOOKUP($E96,'5.1 Budget'!$A$4:$G$729,2,0)</f>
        <v>0</v>
      </c>
      <c r="Q96" s="462">
        <f>VLOOKUP($E96,'5.1 Budget'!$A$4:$G$729,3,0)</f>
        <v>0</v>
      </c>
      <c r="R96" s="462">
        <f>VLOOKUP($E96,'5.1 Budget'!$A$4:$G$729,4,0)</f>
        <v>0</v>
      </c>
      <c r="S96" s="462">
        <f>VLOOKUP($E96,'5.1 Budget'!$A$4:$G$729,5,0)</f>
        <v>0</v>
      </c>
      <c r="T96" s="462">
        <f>VLOOKUP($E96,'5.1 Budget'!$A$4:$G$729,6,0)</f>
        <v>0</v>
      </c>
      <c r="U96" s="462">
        <f>VLOOKUP($E96,'5.1 Budget'!$A$4:$G$729,7,0)</f>
        <v>0</v>
      </c>
      <c r="V96" s="462">
        <f t="shared" si="1"/>
        <v>0</v>
      </c>
    </row>
    <row r="97" spans="1:22" x14ac:dyDescent="0.25">
      <c r="A97" s="465">
        <v>1</v>
      </c>
      <c r="B97" s="12" t="s">
        <v>52</v>
      </c>
      <c r="C97" s="12" t="s">
        <v>55</v>
      </c>
      <c r="D97" s="12" t="s">
        <v>6</v>
      </c>
      <c r="E97" s="12" t="s">
        <v>830</v>
      </c>
      <c r="F97" s="469" t="str">
        <f>VLOOKUP(E97,'5. Consolidation'!$E$3:$F$715,2,0)</f>
        <v>Assurer le contrôle des systèmes d’épuration individuels</v>
      </c>
      <c r="G97" s="469" t="str">
        <f>VLOOKUP(E97,'5.2 Actions'!$A$3:$D$720,4,0)</f>
        <v>SEN / WOL / CAN</v>
      </c>
      <c r="H97" s="12"/>
      <c r="I97" s="12"/>
      <c r="J97" s="12"/>
      <c r="K97" s="12"/>
      <c r="L97" s="12"/>
      <c r="M97" s="12"/>
      <c r="N97" s="12"/>
      <c r="O97" s="12"/>
      <c r="P97" s="462">
        <f>VLOOKUP($E97,'5.1 Budget'!$A$4:$G$729,2,0)</f>
        <v>0</v>
      </c>
      <c r="Q97" s="462">
        <f>VLOOKUP($E97,'5.1 Budget'!$A$4:$G$729,3,0)</f>
        <v>0</v>
      </c>
      <c r="R97" s="462">
        <f>VLOOKUP($E97,'5.1 Budget'!$A$4:$G$729,4,0)</f>
        <v>0</v>
      </c>
      <c r="S97" s="462">
        <f>VLOOKUP($E97,'5.1 Budget'!$A$4:$G$729,5,0)</f>
        <v>0</v>
      </c>
      <c r="T97" s="462">
        <f>VLOOKUP($E97,'5.1 Budget'!$A$4:$G$729,6,0)</f>
        <v>0</v>
      </c>
      <c r="U97" s="462">
        <f>VLOOKUP($E97,'5.1 Budget'!$A$4:$G$729,7,0)</f>
        <v>0</v>
      </c>
      <c r="V97" s="462">
        <f t="shared" si="1"/>
        <v>0</v>
      </c>
    </row>
    <row r="98" spans="1:22" x14ac:dyDescent="0.25">
      <c r="A98" s="465">
        <v>1</v>
      </c>
      <c r="B98" s="12" t="s">
        <v>52</v>
      </c>
      <c r="C98" s="12" t="s">
        <v>55</v>
      </c>
      <c r="D98" s="12" t="s">
        <v>6</v>
      </c>
      <c r="E98" s="12" t="s">
        <v>831</v>
      </c>
      <c r="F98" s="469" t="str">
        <f>VLOOKUP(E98,'5. Consolidation'!$E$3:$F$715,2,0)</f>
        <v>Offrir un soutien technique aux communes dans le cadre de la mise en œuvre de cette mesure M1.7</v>
      </c>
      <c r="G98" s="469" t="str">
        <f>VLOOKUP(E98,'5.2 Actions'!$A$3:$D$720,4,0)</f>
        <v>SEN / WOL / CAN</v>
      </c>
      <c r="H98" s="12"/>
      <c r="I98" s="12"/>
      <c r="J98" s="12"/>
      <c r="K98" s="12"/>
      <c r="L98" s="12"/>
      <c r="M98" s="12"/>
      <c r="N98" s="12"/>
      <c r="O98" s="12"/>
      <c r="P98" s="462">
        <f>VLOOKUP($E98,'5.1 Budget'!$A$4:$G$729,2,0)</f>
        <v>0</v>
      </c>
      <c r="Q98" s="462">
        <f>VLOOKUP($E98,'5.1 Budget'!$A$4:$G$729,3,0)</f>
        <v>0</v>
      </c>
      <c r="R98" s="462">
        <f>VLOOKUP($E98,'5.1 Budget'!$A$4:$G$729,4,0)</f>
        <v>0</v>
      </c>
      <c r="S98" s="462">
        <f>VLOOKUP($E98,'5.1 Budget'!$A$4:$G$729,5,0)</f>
        <v>0</v>
      </c>
      <c r="T98" s="462">
        <f>VLOOKUP($E98,'5.1 Budget'!$A$4:$G$729,6,0)</f>
        <v>0</v>
      </c>
      <c r="U98" s="462">
        <f>VLOOKUP($E98,'5.1 Budget'!$A$4:$G$729,7,0)</f>
        <v>0</v>
      </c>
      <c r="V98" s="462">
        <f t="shared" si="1"/>
        <v>0</v>
      </c>
    </row>
    <row r="99" spans="1:22" ht="51.75" x14ac:dyDescent="0.25">
      <c r="A99" s="465">
        <v>1</v>
      </c>
      <c r="B99" s="12" t="s">
        <v>52</v>
      </c>
      <c r="C99" s="12" t="s">
        <v>55</v>
      </c>
      <c r="D99" s="12" t="s">
        <v>6</v>
      </c>
      <c r="E99" s="12" t="s">
        <v>832</v>
      </c>
      <c r="F99" s="469" t="str">
        <f>VLOOKUP(E99,'5. Consolidation'!$E$3:$F$715,2,0)</f>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v>
      </c>
      <c r="G99" s="469" t="str">
        <f>VLOOKUP(E99,'5.2 Actions'!$A$3:$D$720,4,0)</f>
        <v>CAN</v>
      </c>
      <c r="H99" s="12"/>
      <c r="I99" s="12"/>
      <c r="J99" s="12"/>
      <c r="K99" s="12"/>
      <c r="L99" s="12"/>
      <c r="M99" s="12"/>
      <c r="N99" s="459">
        <v>2023</v>
      </c>
      <c r="O99" s="12"/>
      <c r="P99" s="462">
        <f>VLOOKUP($E99,'5.1 Budget'!$A$4:$G$729,2,0)</f>
        <v>0</v>
      </c>
      <c r="Q99" s="462">
        <f>VLOOKUP($E99,'5.1 Budget'!$A$4:$G$729,3,0)</f>
        <v>40000</v>
      </c>
      <c r="R99" s="462">
        <f>VLOOKUP($E99,'5.1 Budget'!$A$4:$G$729,4,0)</f>
        <v>35000</v>
      </c>
      <c r="S99" s="462">
        <f>VLOOKUP($E99,'5.1 Budget'!$A$4:$G$729,5,0)</f>
        <v>0</v>
      </c>
      <c r="T99" s="462">
        <f>VLOOKUP($E99,'5.1 Budget'!$A$4:$G$729,6,0)</f>
        <v>0</v>
      </c>
      <c r="U99" s="462">
        <f>VLOOKUP($E99,'5.1 Budget'!$A$4:$G$729,7,0)</f>
        <v>0</v>
      </c>
      <c r="V99" s="462">
        <f t="shared" si="1"/>
        <v>75000</v>
      </c>
    </row>
    <row r="100" spans="1:22" ht="26.25" x14ac:dyDescent="0.25">
      <c r="A100" s="465">
        <v>1</v>
      </c>
      <c r="B100" s="12" t="s">
        <v>52</v>
      </c>
      <c r="C100" s="12" t="s">
        <v>55</v>
      </c>
      <c r="D100" s="12" t="s">
        <v>6</v>
      </c>
      <c r="E100" s="12" t="s">
        <v>833</v>
      </c>
      <c r="F100" s="469" t="str">
        <f>VLOOKUP(E100,'5. Consolidation'!$E$3:$F$715,2,0)</f>
        <v>Actualiser la carte des zones non égouttées soumises à épuration autonome dans l’inventaire BE des émissions polluantes vers les eaux de surface (WEISS), y compris les rejets ponctuels des bateaux/navires</v>
      </c>
      <c r="G100" s="469" t="str">
        <f>VLOOKUP(E100,'5.2 Actions'!$A$3:$D$720,4,0)</f>
        <v>SEN / WOL / CAN</v>
      </c>
      <c r="H100" s="12"/>
      <c r="I100" s="12"/>
      <c r="J100" s="12"/>
      <c r="K100" s="12"/>
      <c r="L100" s="12"/>
      <c r="M100" s="12"/>
      <c r="N100" s="12"/>
      <c r="O100" s="12"/>
      <c r="P100" s="462">
        <f>VLOOKUP($E100,'5.1 Budget'!$A$4:$G$729,2,0)</f>
        <v>0</v>
      </c>
      <c r="Q100" s="462">
        <f>VLOOKUP($E100,'5.1 Budget'!$A$4:$G$729,3,0)</f>
        <v>0</v>
      </c>
      <c r="R100" s="462">
        <f>VLOOKUP($E100,'5.1 Budget'!$A$4:$G$729,4,0)</f>
        <v>0</v>
      </c>
      <c r="S100" s="462">
        <f>VLOOKUP($E100,'5.1 Budget'!$A$4:$G$729,5,0)</f>
        <v>0</v>
      </c>
      <c r="T100" s="462">
        <f>VLOOKUP($E100,'5.1 Budget'!$A$4:$G$729,6,0)</f>
        <v>0</v>
      </c>
      <c r="U100" s="462">
        <f>VLOOKUP($E100,'5.1 Budget'!$A$4:$G$729,7,0)</f>
        <v>0</v>
      </c>
      <c r="V100" s="462">
        <f t="shared" si="1"/>
        <v>0</v>
      </c>
    </row>
    <row r="101" spans="1:22" x14ac:dyDescent="0.25">
      <c r="A101" s="465">
        <v>1</v>
      </c>
      <c r="B101" s="12" t="s">
        <v>52</v>
      </c>
      <c r="C101" s="12" t="s">
        <v>56</v>
      </c>
      <c r="D101" s="12" t="s">
        <v>7</v>
      </c>
      <c r="E101" s="12" t="s">
        <v>834</v>
      </c>
      <c r="F101" s="469" t="str">
        <f>VLOOKUP(E101,'5. Consolidation'!$E$3:$F$715,2,0)</f>
        <v>Réaliser les plans des déversoirs d’orage principaux sous gestion de Vivaqua</v>
      </c>
      <c r="G101" s="469" t="str">
        <f>VLOOKUP(E101,'5.2 Actions'!$A$3:$D$720,4,0)</f>
        <v>SEN / WOL / CAN</v>
      </c>
      <c r="H101" s="12"/>
      <c r="I101" s="12"/>
      <c r="J101" s="12"/>
      <c r="K101" s="12"/>
      <c r="L101" s="12"/>
      <c r="M101" s="12"/>
      <c r="N101" s="459">
        <v>2022</v>
      </c>
      <c r="O101" s="12"/>
      <c r="P101" s="462">
        <f>VLOOKUP($E101,'5.1 Budget'!$A$4:$G$729,2,0)</f>
        <v>15000</v>
      </c>
      <c r="Q101" s="462">
        <f>VLOOKUP($E101,'5.1 Budget'!$A$4:$G$729,3,0)</f>
        <v>0</v>
      </c>
      <c r="R101" s="462">
        <f>VLOOKUP($E101,'5.1 Budget'!$A$4:$G$729,4,0)</f>
        <v>0</v>
      </c>
      <c r="S101" s="462">
        <f>VLOOKUP($E101,'5.1 Budget'!$A$4:$G$729,5,0)</f>
        <v>0</v>
      </c>
      <c r="T101" s="462">
        <f>VLOOKUP($E101,'5.1 Budget'!$A$4:$G$729,6,0)</f>
        <v>0</v>
      </c>
      <c r="U101" s="462">
        <f>VLOOKUP($E101,'5.1 Budget'!$A$4:$G$729,7,0)</f>
        <v>0</v>
      </c>
      <c r="V101" s="462">
        <f t="shared" si="1"/>
        <v>15000</v>
      </c>
    </row>
    <row r="102" spans="1:22" x14ac:dyDescent="0.25">
      <c r="A102" s="465">
        <v>1</v>
      </c>
      <c r="B102" s="12" t="s">
        <v>52</v>
      </c>
      <c r="C102" s="12" t="s">
        <v>56</v>
      </c>
      <c r="D102" s="12" t="s">
        <v>7</v>
      </c>
      <c r="E102" s="12" t="s">
        <v>835</v>
      </c>
      <c r="F102" s="469" t="str">
        <f>VLOOKUP(E102,'5. Consolidation'!$E$3:$F$715,2,0)</f>
        <v>Réaliser les plans des déversoirs d’orage principaux sous gestion de la SBGE</v>
      </c>
      <c r="G102" s="469" t="str">
        <f>VLOOKUP(E102,'5.2 Actions'!$A$3:$D$720,4,0)</f>
        <v>SEN / WOL / CAN</v>
      </c>
      <c r="H102" s="12"/>
      <c r="I102" s="12"/>
      <c r="J102" s="12"/>
      <c r="K102" s="12"/>
      <c r="L102" s="12"/>
      <c r="M102" s="12"/>
      <c r="N102" s="459">
        <v>2022</v>
      </c>
      <c r="O102" s="12"/>
      <c r="P102" s="462">
        <f>VLOOKUP($E102,'5.1 Budget'!$A$4:$G$729,2,0)</f>
        <v>15000</v>
      </c>
      <c r="Q102" s="462">
        <f>VLOOKUP($E102,'5.1 Budget'!$A$4:$G$729,3,0)</f>
        <v>0</v>
      </c>
      <c r="R102" s="462">
        <f>VLOOKUP($E102,'5.1 Budget'!$A$4:$G$729,4,0)</f>
        <v>0</v>
      </c>
      <c r="S102" s="462">
        <f>VLOOKUP($E102,'5.1 Budget'!$A$4:$G$729,5,0)</f>
        <v>0</v>
      </c>
      <c r="T102" s="462">
        <f>VLOOKUP($E102,'5.1 Budget'!$A$4:$G$729,6,0)</f>
        <v>0</v>
      </c>
      <c r="U102" s="462">
        <f>VLOOKUP($E102,'5.1 Budget'!$A$4:$G$729,7,0)</f>
        <v>0</v>
      </c>
      <c r="V102" s="462">
        <f t="shared" si="1"/>
        <v>15000</v>
      </c>
    </row>
    <row r="103" spans="1:22" x14ac:dyDescent="0.25">
      <c r="A103" s="465">
        <v>1</v>
      </c>
      <c r="B103" s="12" t="s">
        <v>52</v>
      </c>
      <c r="C103" s="12" t="s">
        <v>56</v>
      </c>
      <c r="D103" s="12" t="s">
        <v>7</v>
      </c>
      <c r="E103" s="12" t="s">
        <v>836</v>
      </c>
      <c r="F103" s="469" t="str">
        <f>VLOOKUP(E103,'5. Consolidation'!$E$3:$F$715,2,0)</f>
        <v>Installer des capteurs de fréquence ou de débit sur les déversoirs principaux et les ajouter à Flowbru (voir la mesure M1.22)</v>
      </c>
      <c r="G103" s="469" t="str">
        <f>VLOOKUP(E103,'5.2 Actions'!$A$3:$D$720,4,0)</f>
        <v>SEN / WOL / CAN</v>
      </c>
      <c r="H103" s="12"/>
      <c r="I103" s="12"/>
      <c r="J103" s="12"/>
      <c r="K103" s="12"/>
      <c r="L103" s="12"/>
      <c r="M103" s="12"/>
      <c r="N103" s="12"/>
      <c r="O103" s="12"/>
      <c r="P103" s="462">
        <f>VLOOKUP($E103,'5.1 Budget'!$A$4:$G$729,2,0)</f>
        <v>0</v>
      </c>
      <c r="Q103" s="462">
        <f>VLOOKUP($E103,'5.1 Budget'!$A$4:$G$729,3,0)</f>
        <v>0</v>
      </c>
      <c r="R103" s="462">
        <f>VLOOKUP($E103,'5.1 Budget'!$A$4:$G$729,4,0)</f>
        <v>0</v>
      </c>
      <c r="S103" s="462">
        <f>VLOOKUP($E103,'5.1 Budget'!$A$4:$G$729,5,0)</f>
        <v>0</v>
      </c>
      <c r="T103" s="462">
        <f>VLOOKUP($E103,'5.1 Budget'!$A$4:$G$729,6,0)</f>
        <v>0</v>
      </c>
      <c r="U103" s="462">
        <f>VLOOKUP($E103,'5.1 Budget'!$A$4:$G$729,7,0)</f>
        <v>0</v>
      </c>
      <c r="V103" s="462">
        <f t="shared" si="1"/>
        <v>0</v>
      </c>
    </row>
    <row r="104" spans="1:22" x14ac:dyDescent="0.25">
      <c r="A104" s="465">
        <v>1</v>
      </c>
      <c r="B104" s="12" t="s">
        <v>52</v>
      </c>
      <c r="C104" s="12" t="s">
        <v>56</v>
      </c>
      <c r="D104" s="12" t="s">
        <v>7</v>
      </c>
      <c r="E104" s="12" t="s">
        <v>837</v>
      </c>
      <c r="F104" s="469" t="str">
        <f>VLOOKUP(E104,'5. Consolidation'!$E$3:$F$715,2,0)</f>
        <v>Calculer les fréquences et débit de déversements</v>
      </c>
      <c r="G104" s="469" t="str">
        <f>VLOOKUP(E104,'5.2 Actions'!$A$3:$D$720,4,0)</f>
        <v>SEN / WOL / CAN</v>
      </c>
      <c r="H104" s="12"/>
      <c r="I104" s="12"/>
      <c r="J104" s="12"/>
      <c r="K104" s="12"/>
      <c r="L104" s="12"/>
      <c r="M104" s="12"/>
      <c r="N104" s="459">
        <v>2023</v>
      </c>
      <c r="O104" s="12"/>
      <c r="P104" s="462">
        <f>VLOOKUP($E104,'5.1 Budget'!$A$4:$G$729,2,0)</f>
        <v>0</v>
      </c>
      <c r="Q104" s="462">
        <f>VLOOKUP($E104,'5.1 Budget'!$A$4:$G$729,3,0)</f>
        <v>10000</v>
      </c>
      <c r="R104" s="462">
        <f>VLOOKUP($E104,'5.1 Budget'!$A$4:$G$729,4,0)</f>
        <v>0</v>
      </c>
      <c r="S104" s="462">
        <f>VLOOKUP($E104,'5.1 Budget'!$A$4:$G$729,5,0)</f>
        <v>0</v>
      </c>
      <c r="T104" s="462">
        <f>VLOOKUP($E104,'5.1 Budget'!$A$4:$G$729,6,0)</f>
        <v>0</v>
      </c>
      <c r="U104" s="462">
        <f>VLOOKUP($E104,'5.1 Budget'!$A$4:$G$729,7,0)</f>
        <v>0</v>
      </c>
      <c r="V104" s="462">
        <f t="shared" si="1"/>
        <v>10000</v>
      </c>
    </row>
    <row r="105" spans="1:22" ht="26.25" x14ac:dyDescent="0.25">
      <c r="A105" s="465">
        <v>1</v>
      </c>
      <c r="B105" s="12" t="s">
        <v>52</v>
      </c>
      <c r="C105" s="12" t="s">
        <v>56</v>
      </c>
      <c r="D105" s="12" t="s">
        <v>7</v>
      </c>
      <c r="E105" s="12" t="s">
        <v>838</v>
      </c>
      <c r="F105" s="469" t="str">
        <f>VLOOKUP(E105,'5. Consolidation'!$E$3:$F$715,2,0)</f>
        <v>Déterminer les niveaux idéaux des seuils de déversements des déversoirs sous gestion de Vivaqua et procéder à leur rehausse et/ou optimisation par la mise en place de vannes modulables et siphons/barrières aux flottants</v>
      </c>
      <c r="G105" s="469" t="str">
        <f>VLOOKUP(E105,'5.2 Actions'!$A$3:$D$720,4,0)</f>
        <v>SEN</v>
      </c>
      <c r="H105" s="12"/>
      <c r="I105" s="12"/>
      <c r="J105" s="12"/>
      <c r="K105" s="12"/>
      <c r="L105" s="12"/>
      <c r="M105" s="12"/>
      <c r="N105" s="459">
        <v>2023</v>
      </c>
      <c r="O105" s="12"/>
      <c r="P105" s="462">
        <f>VLOOKUP($E105,'5.1 Budget'!$A$4:$G$729,2,0)</f>
        <v>0</v>
      </c>
      <c r="Q105" s="462">
        <f>VLOOKUP($E105,'5.1 Budget'!$A$4:$G$729,3,0)</f>
        <v>200000</v>
      </c>
      <c r="R105" s="462">
        <f>VLOOKUP($E105,'5.1 Budget'!$A$4:$G$729,4,0)</f>
        <v>200000</v>
      </c>
      <c r="S105" s="462">
        <f>VLOOKUP($E105,'5.1 Budget'!$A$4:$G$729,5,0)</f>
        <v>200000</v>
      </c>
      <c r="T105" s="462">
        <f>VLOOKUP($E105,'5.1 Budget'!$A$4:$G$729,6,0)</f>
        <v>200000</v>
      </c>
      <c r="U105" s="462">
        <f>VLOOKUP($E105,'5.1 Budget'!$A$4:$G$729,7,0)</f>
        <v>200000</v>
      </c>
      <c r="V105" s="462">
        <f t="shared" si="1"/>
        <v>1000000</v>
      </c>
    </row>
    <row r="106" spans="1:22" ht="26.25" x14ac:dyDescent="0.25">
      <c r="A106" s="465">
        <v>1</v>
      </c>
      <c r="B106" s="12" t="s">
        <v>52</v>
      </c>
      <c r="C106" s="12" t="s">
        <v>56</v>
      </c>
      <c r="D106" s="12" t="s">
        <v>7</v>
      </c>
      <c r="E106" s="12" t="s">
        <v>839</v>
      </c>
      <c r="F106" s="469" t="str">
        <f>VLOOKUP(E106,'5. Consolidation'!$E$3:$F$715,2,0)</f>
        <v>Déterminer les niveaux idéaux des seuils de déversements des déversoirs sous gestion de SBGE  et procéder à leur rehausse  et/ou optimisation par la mise en place de vannes modulables et  siphons/barrières aux flottants</v>
      </c>
      <c r="G106" s="469" t="str">
        <f>VLOOKUP(E106,'5.2 Actions'!$A$3:$D$720,4,0)</f>
        <v>SEN</v>
      </c>
      <c r="H106" s="12"/>
      <c r="I106" s="12"/>
      <c r="J106" s="12"/>
      <c r="K106" s="12"/>
      <c r="L106" s="12"/>
      <c r="M106" s="12"/>
      <c r="N106" s="459">
        <v>2024</v>
      </c>
      <c r="O106" s="12"/>
      <c r="P106" s="462">
        <f>VLOOKUP($E106,'5.1 Budget'!$A$4:$G$729,2,0)</f>
        <v>0</v>
      </c>
      <c r="Q106" s="462">
        <f>VLOOKUP($E106,'5.1 Budget'!$A$4:$G$729,3,0)</f>
        <v>0</v>
      </c>
      <c r="R106" s="462">
        <f>VLOOKUP($E106,'5.1 Budget'!$A$4:$G$729,4,0)</f>
        <v>200000</v>
      </c>
      <c r="S106" s="462">
        <f>VLOOKUP($E106,'5.1 Budget'!$A$4:$G$729,5,0)</f>
        <v>200000</v>
      </c>
      <c r="T106" s="462">
        <f>VLOOKUP($E106,'5.1 Budget'!$A$4:$G$729,6,0)</f>
        <v>200000</v>
      </c>
      <c r="U106" s="462">
        <f>VLOOKUP($E106,'5.1 Budget'!$A$4:$G$729,7,0)</f>
        <v>200000</v>
      </c>
      <c r="V106" s="462">
        <f t="shared" si="1"/>
        <v>800000</v>
      </c>
    </row>
    <row r="107" spans="1:22" ht="26.25" x14ac:dyDescent="0.25">
      <c r="A107" s="465">
        <v>1</v>
      </c>
      <c r="B107" s="12" t="s">
        <v>52</v>
      </c>
      <c r="C107" s="12" t="s">
        <v>56</v>
      </c>
      <c r="D107" s="12" t="s">
        <v>7</v>
      </c>
      <c r="E107" s="12" t="s">
        <v>840</v>
      </c>
      <c r="F107" s="469" t="str">
        <f>VLOOKUP(E107,'5. Consolidation'!$E$3:$F$715,2,0)</f>
        <v>Adaptation des interceptions orifices limitant l’évacuation des flux vers les STEPS  dans le cadre de l’optimisation des déversoirs.</v>
      </c>
      <c r="G107" s="469" t="str">
        <f>VLOOKUP(E107,'5.2 Actions'!$A$3:$D$720,4,0)</f>
        <v>SEN</v>
      </c>
      <c r="H107" s="12"/>
      <c r="I107" s="12"/>
      <c r="J107" s="12"/>
      <c r="K107" s="12"/>
      <c r="L107" s="12"/>
      <c r="M107" s="12"/>
      <c r="N107" s="459">
        <v>2022</v>
      </c>
      <c r="O107" s="12">
        <v>2027</v>
      </c>
      <c r="P107" s="462">
        <f>VLOOKUP($E107,'5.1 Budget'!$A$4:$G$729,2,0)</f>
        <v>50000</v>
      </c>
      <c r="Q107" s="462">
        <f>VLOOKUP($E107,'5.1 Budget'!$A$4:$G$729,3,0)</f>
        <v>50000</v>
      </c>
      <c r="R107" s="462">
        <f>VLOOKUP($E107,'5.1 Budget'!$A$4:$G$729,4,0)</f>
        <v>50000</v>
      </c>
      <c r="S107" s="462">
        <f>VLOOKUP($E107,'5.1 Budget'!$A$4:$G$729,5,0)</f>
        <v>50000</v>
      </c>
      <c r="T107" s="462">
        <f>VLOOKUP($E107,'5.1 Budget'!$A$4:$G$729,6,0)</f>
        <v>50000</v>
      </c>
      <c r="U107" s="462">
        <f>VLOOKUP($E107,'5.1 Budget'!$A$4:$G$729,7,0)</f>
        <v>50000</v>
      </c>
      <c r="V107" s="462">
        <f t="shared" si="1"/>
        <v>300000</v>
      </c>
    </row>
    <row r="108" spans="1:22" ht="39" x14ac:dyDescent="0.25">
      <c r="A108" s="465">
        <v>1</v>
      </c>
      <c r="B108" s="12" t="s">
        <v>52</v>
      </c>
      <c r="C108" s="12" t="s">
        <v>56</v>
      </c>
      <c r="D108" s="12" t="s">
        <v>7</v>
      </c>
      <c r="E108" s="12" t="s">
        <v>841</v>
      </c>
      <c r="F108" s="469" t="str">
        <f>VLOOKUP(E108,'5. Consolidation'!$E$3:$F$715,2,0)</f>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v>
      </c>
      <c r="G108" s="469" t="str">
        <f>VLOOKUP(E108,'5.2 Actions'!$A$3:$D$720,4,0)</f>
        <v>SEN</v>
      </c>
      <c r="H108" s="12"/>
      <c r="I108" s="12"/>
      <c r="J108" s="12"/>
      <c r="K108" s="12"/>
      <c r="L108" s="12"/>
      <c r="M108" s="12"/>
      <c r="N108" s="459">
        <v>2022</v>
      </c>
      <c r="O108" s="12">
        <v>2027</v>
      </c>
      <c r="P108" s="462">
        <f>VLOOKUP($E108,'5.1 Budget'!$A$4:$G$729,2,0)</f>
        <v>20000</v>
      </c>
      <c r="Q108" s="462">
        <f>VLOOKUP($E108,'5.1 Budget'!$A$4:$G$729,3,0)</f>
        <v>20000</v>
      </c>
      <c r="R108" s="462">
        <f>VLOOKUP($E108,'5.1 Budget'!$A$4:$G$729,4,0)</f>
        <v>20000</v>
      </c>
      <c r="S108" s="462">
        <f>VLOOKUP($E108,'5.1 Budget'!$A$4:$G$729,5,0)</f>
        <v>20000</v>
      </c>
      <c r="T108" s="462">
        <f>VLOOKUP($E108,'5.1 Budget'!$A$4:$G$729,6,0)</f>
        <v>20000</v>
      </c>
      <c r="U108" s="462">
        <f>VLOOKUP($E108,'5.1 Budget'!$A$4:$G$729,7,0)</f>
        <v>20000</v>
      </c>
      <c r="V108" s="462">
        <f t="shared" si="1"/>
        <v>120000</v>
      </c>
    </row>
    <row r="109" spans="1:22" ht="26.25" x14ac:dyDescent="0.25">
      <c r="A109" s="465">
        <v>1</v>
      </c>
      <c r="B109" s="12" t="s">
        <v>52</v>
      </c>
      <c r="C109" s="12" t="s">
        <v>56</v>
      </c>
      <c r="D109" s="12" t="s">
        <v>7</v>
      </c>
      <c r="E109" s="12" t="s">
        <v>842</v>
      </c>
      <c r="F109" s="469" t="str">
        <f>VLOOKUP(E109,'5. Consolidation'!$E$3:$F$715,2,0)</f>
        <v>Réaménager les déversoirs en "déversoirs améliorés" pour retenir le maximum de charge polluante à l’aval des  déversoirs (création de zone de rétention des sédiments et des flottants).   Scénario maximaliste</v>
      </c>
      <c r="G109" s="469" t="str">
        <f>VLOOKUP(E109,'5.2 Actions'!$A$3:$D$720,4,0)</f>
        <v>SEN / CAN</v>
      </c>
      <c r="H109" s="12"/>
      <c r="I109" s="12"/>
      <c r="J109" s="12"/>
      <c r="K109" s="12"/>
      <c r="L109" s="12"/>
      <c r="M109" s="12"/>
      <c r="N109" s="12"/>
      <c r="O109" s="12"/>
      <c r="P109" s="462">
        <f>VLOOKUP($E109,'5.1 Budget'!$A$4:$G$729,2,0)</f>
        <v>0</v>
      </c>
      <c r="Q109" s="462">
        <f>VLOOKUP($E109,'5.1 Budget'!$A$4:$G$729,3,0)</f>
        <v>0</v>
      </c>
      <c r="R109" s="462">
        <f>VLOOKUP($E109,'5.1 Budget'!$A$4:$G$729,4,0)</f>
        <v>0</v>
      </c>
      <c r="S109" s="462">
        <f>VLOOKUP($E109,'5.1 Budget'!$A$4:$G$729,5,0)</f>
        <v>0</v>
      </c>
      <c r="T109" s="462">
        <f>VLOOKUP($E109,'5.1 Budget'!$A$4:$G$729,6,0)</f>
        <v>0</v>
      </c>
      <c r="U109" s="462">
        <f>VLOOKUP($E109,'5.1 Budget'!$A$4:$G$729,7,0)</f>
        <v>0</v>
      </c>
      <c r="V109" s="462">
        <f t="shared" si="1"/>
        <v>0</v>
      </c>
    </row>
    <row r="110" spans="1:22" x14ac:dyDescent="0.25">
      <c r="A110" s="465">
        <v>1</v>
      </c>
      <c r="B110" s="12" t="s">
        <v>52</v>
      </c>
      <c r="C110" s="12" t="s">
        <v>56</v>
      </c>
      <c r="D110" s="12" t="s">
        <v>8</v>
      </c>
      <c r="E110" s="12" t="s">
        <v>843</v>
      </c>
      <c r="F110" s="469" t="str">
        <f>VLOOKUP(E110,'5. Consolidation'!$E$3:$F$715,2,0)</f>
        <v xml:space="preserve">Coordonner les acteurs de l'eau autour de cette thématique </v>
      </c>
      <c r="G110" s="469" t="str">
        <f>VLOOKUP(E110,'5.2 Actions'!$A$3:$D$720,4,0)</f>
        <v>SEN / WOL / CAN</v>
      </c>
      <c r="H110" s="12"/>
      <c r="I110" s="12"/>
      <c r="J110" s="12"/>
      <c r="K110" s="12"/>
      <c r="L110" s="12"/>
      <c r="M110" s="12"/>
      <c r="N110" s="12"/>
      <c r="O110" s="12"/>
      <c r="P110" s="462">
        <f>VLOOKUP($E110,'5.1 Budget'!$A$4:$G$729,2,0)</f>
        <v>0</v>
      </c>
      <c r="Q110" s="462">
        <f>VLOOKUP($E110,'5.1 Budget'!$A$4:$G$729,3,0)</f>
        <v>0</v>
      </c>
      <c r="R110" s="462">
        <f>VLOOKUP($E110,'5.1 Budget'!$A$4:$G$729,4,0)</f>
        <v>0</v>
      </c>
      <c r="S110" s="462">
        <f>VLOOKUP($E110,'5.1 Budget'!$A$4:$G$729,5,0)</f>
        <v>0</v>
      </c>
      <c r="T110" s="462">
        <f>VLOOKUP($E110,'5.1 Budget'!$A$4:$G$729,6,0)</f>
        <v>0</v>
      </c>
      <c r="U110" s="462">
        <f>VLOOKUP($E110,'5.1 Budget'!$A$4:$G$729,7,0)</f>
        <v>0</v>
      </c>
      <c r="V110" s="462">
        <f t="shared" si="1"/>
        <v>0</v>
      </c>
    </row>
    <row r="111" spans="1:22" x14ac:dyDescent="0.25">
      <c r="A111" s="465">
        <v>1</v>
      </c>
      <c r="B111" s="12" t="s">
        <v>52</v>
      </c>
      <c r="C111" s="12" t="s">
        <v>56</v>
      </c>
      <c r="D111" s="12" t="s">
        <v>8</v>
      </c>
      <c r="E111" s="12" t="s">
        <v>844</v>
      </c>
      <c r="F111" s="469" t="str">
        <f>VLOOKUP(E111,'5. Consolidation'!$E$3:$F$715,2,0)</f>
        <v>Analyser les modifications des règles de fonctionnement des bassins d'orage</v>
      </c>
      <c r="G111" s="469" t="str">
        <f>VLOOKUP(E111,'5.2 Actions'!$A$3:$D$720,4,0)</f>
        <v>SEN / WOL</v>
      </c>
      <c r="H111" s="12"/>
      <c r="I111" s="12"/>
      <c r="J111" s="12"/>
      <c r="K111" s="12"/>
      <c r="L111" s="12"/>
      <c r="M111" s="12"/>
      <c r="N111" s="12"/>
      <c r="O111" s="12"/>
      <c r="P111" s="462">
        <f>VLOOKUP($E111,'5.1 Budget'!$A$4:$G$729,2,0)</f>
        <v>0</v>
      </c>
      <c r="Q111" s="462">
        <f>VLOOKUP($E111,'5.1 Budget'!$A$4:$G$729,3,0)</f>
        <v>0</v>
      </c>
      <c r="R111" s="462">
        <f>VLOOKUP($E111,'5.1 Budget'!$A$4:$G$729,4,0)</f>
        <v>0</v>
      </c>
      <c r="S111" s="462">
        <f>VLOOKUP($E111,'5.1 Budget'!$A$4:$G$729,5,0)</f>
        <v>0</v>
      </c>
      <c r="T111" s="462">
        <f>VLOOKUP($E111,'5.1 Budget'!$A$4:$G$729,6,0)</f>
        <v>0</v>
      </c>
      <c r="U111" s="462">
        <f>VLOOKUP($E111,'5.1 Budget'!$A$4:$G$729,7,0)</f>
        <v>0</v>
      </c>
      <c r="V111" s="462">
        <f t="shared" si="1"/>
        <v>0</v>
      </c>
    </row>
    <row r="112" spans="1:22" x14ac:dyDescent="0.25">
      <c r="A112" s="465">
        <v>1</v>
      </c>
      <c r="B112" s="12" t="s">
        <v>52</v>
      </c>
      <c r="C112" s="12" t="s">
        <v>56</v>
      </c>
      <c r="D112" s="12" t="s">
        <v>8</v>
      </c>
      <c r="E112" s="12" t="s">
        <v>845</v>
      </c>
      <c r="F112" s="469" t="str">
        <f>VLOOKUP(E112,'5. Consolidation'!$E$3:$F$715,2,0)</f>
        <v xml:space="preserve">Procéder à la mise en œuvre d’un projet-pilote dans la vallée du Maelbeek </v>
      </c>
      <c r="G112" s="469" t="str">
        <f>VLOOKUP(E112,'5.2 Actions'!$A$3:$D$720,4,0)</f>
        <v>SEN</v>
      </c>
      <c r="H112" s="12"/>
      <c r="I112" s="12"/>
      <c r="J112" s="12"/>
      <c r="K112" s="12"/>
      <c r="L112" s="12"/>
      <c r="M112" s="12"/>
      <c r="N112" s="459">
        <v>2022</v>
      </c>
      <c r="O112" s="12"/>
      <c r="P112" s="462">
        <f>VLOOKUP($E112,'5.1 Budget'!$A$4:$G$729,2,0)</f>
        <v>500000</v>
      </c>
      <c r="Q112" s="462">
        <f>VLOOKUP($E112,'5.1 Budget'!$A$4:$G$729,3,0)</f>
        <v>900000</v>
      </c>
      <c r="R112" s="462">
        <f>VLOOKUP($E112,'5.1 Budget'!$A$4:$G$729,4,0)</f>
        <v>0</v>
      </c>
      <c r="S112" s="462">
        <f>VLOOKUP($E112,'5.1 Budget'!$A$4:$G$729,5,0)</f>
        <v>0</v>
      </c>
      <c r="T112" s="462">
        <f>VLOOKUP($E112,'5.1 Budget'!$A$4:$G$729,6,0)</f>
        <v>0</v>
      </c>
      <c r="U112" s="462">
        <f>VLOOKUP($E112,'5.1 Budget'!$A$4:$G$729,7,0)</f>
        <v>0</v>
      </c>
      <c r="V112" s="462">
        <f t="shared" si="1"/>
        <v>1400000</v>
      </c>
    </row>
    <row r="113" spans="1:22" ht="26.25" x14ac:dyDescent="0.25">
      <c r="A113" s="465">
        <v>1</v>
      </c>
      <c r="B113" s="12" t="s">
        <v>52</v>
      </c>
      <c r="C113" s="12" t="s">
        <v>56</v>
      </c>
      <c r="D113" s="12" t="s">
        <v>8</v>
      </c>
      <c r="E113" s="12" t="s">
        <v>846</v>
      </c>
      <c r="F113" s="469" t="str">
        <f>VLOOKUP(E113,'5. Consolidation'!$E$3:$F$715,2,0)</f>
        <v>Assurer la surveillance et le bon fonctionnement du système mis place (1.9.4), établir un retour d’expérience pour l’élargir à d’autres vallées</v>
      </c>
      <c r="G113" s="469" t="str">
        <f>VLOOKUP(E113,'5.2 Actions'!$A$3:$D$720,4,0)</f>
        <v>SEN</v>
      </c>
      <c r="H113" s="12"/>
      <c r="I113" s="12"/>
      <c r="J113" s="12"/>
      <c r="K113" s="12"/>
      <c r="L113" s="12"/>
      <c r="M113" s="12"/>
      <c r="N113" s="459">
        <v>2023</v>
      </c>
      <c r="O113" s="12"/>
      <c r="P113" s="462">
        <f>VLOOKUP($E113,'5.1 Budget'!$A$4:$G$729,2,0)</f>
        <v>0</v>
      </c>
      <c r="Q113" s="462">
        <f>VLOOKUP($E113,'5.1 Budget'!$A$4:$G$729,3,0)</f>
        <v>100000</v>
      </c>
      <c r="R113" s="462">
        <f>VLOOKUP($E113,'5.1 Budget'!$A$4:$G$729,4,0)</f>
        <v>0</v>
      </c>
      <c r="S113" s="462">
        <f>VLOOKUP($E113,'5.1 Budget'!$A$4:$G$729,5,0)</f>
        <v>0</v>
      </c>
      <c r="T113" s="462">
        <f>VLOOKUP($E113,'5.1 Budget'!$A$4:$G$729,6,0)</f>
        <v>0</v>
      </c>
      <c r="U113" s="462">
        <f>VLOOKUP($E113,'5.1 Budget'!$A$4:$G$729,7,0)</f>
        <v>0</v>
      </c>
      <c r="V113" s="462">
        <f t="shared" si="1"/>
        <v>100000</v>
      </c>
    </row>
    <row r="114" spans="1:22" ht="26.25" x14ac:dyDescent="0.25">
      <c r="A114" s="465">
        <v>1</v>
      </c>
      <c r="B114" s="12" t="s">
        <v>52</v>
      </c>
      <c r="C114" s="12" t="s">
        <v>56</v>
      </c>
      <c r="D114" s="12" t="s">
        <v>8</v>
      </c>
      <c r="E114" s="12" t="s">
        <v>847</v>
      </c>
      <c r="F114" s="469" t="str">
        <f>VLOOKUP(E114,'5. Consolidation'!$E$3:$F$715,2,0)</f>
        <v>Etudier et élaborer un système de prévisions du comportement du réseau et une stratégie de régulation des débits dans la vallée de la Senne (Bruxelles-centre)</v>
      </c>
      <c r="G114" s="469" t="str">
        <f>VLOOKUP(E114,'5.2 Actions'!$A$3:$D$720,4,0)</f>
        <v>SEN</v>
      </c>
      <c r="H114" s="12"/>
      <c r="I114" s="12"/>
      <c r="J114" s="12"/>
      <c r="K114" s="12"/>
      <c r="L114" s="12"/>
      <c r="M114" s="12"/>
      <c r="N114" s="459">
        <v>2022</v>
      </c>
      <c r="O114" s="12"/>
      <c r="P114" s="462">
        <f>VLOOKUP($E114,'5.1 Budget'!$A$4:$G$729,2,0)</f>
        <v>100000</v>
      </c>
      <c r="Q114" s="462">
        <f>VLOOKUP($E114,'5.1 Budget'!$A$4:$G$729,3,0)</f>
        <v>0</v>
      </c>
      <c r="R114" s="462">
        <f>VLOOKUP($E114,'5.1 Budget'!$A$4:$G$729,4,0)</f>
        <v>0</v>
      </c>
      <c r="S114" s="462">
        <f>VLOOKUP($E114,'5.1 Budget'!$A$4:$G$729,5,0)</f>
        <v>0</v>
      </c>
      <c r="T114" s="462">
        <f>VLOOKUP($E114,'5.1 Budget'!$A$4:$G$729,6,0)</f>
        <v>0</v>
      </c>
      <c r="U114" s="462">
        <f>VLOOKUP($E114,'5.1 Budget'!$A$4:$G$729,7,0)</f>
        <v>0</v>
      </c>
      <c r="V114" s="462">
        <f t="shared" si="1"/>
        <v>100000</v>
      </c>
    </row>
    <row r="115" spans="1:22" x14ac:dyDescent="0.25">
      <c r="A115" s="465">
        <v>1</v>
      </c>
      <c r="B115" s="12" t="s">
        <v>52</v>
      </c>
      <c r="C115" s="12" t="s">
        <v>56</v>
      </c>
      <c r="D115" s="12" t="s">
        <v>8</v>
      </c>
      <c r="E115" s="12" t="s">
        <v>848</v>
      </c>
      <c r="F115" s="469" t="str">
        <f>VLOOKUP(E115,'5. Consolidation'!$E$3:$F$715,2,0)</f>
        <v>Mettre en place des dispositifs de contrôle des débits  (Projet-pilote dans la vallée de la Senne (Bruxelles-centre)</v>
      </c>
      <c r="G115" s="469" t="str">
        <f>VLOOKUP(E115,'5.2 Actions'!$A$3:$D$720,4,0)</f>
        <v>SEN</v>
      </c>
      <c r="H115" s="12"/>
      <c r="I115" s="12"/>
      <c r="J115" s="12"/>
      <c r="K115" s="12"/>
      <c r="L115" s="12"/>
      <c r="M115" s="12"/>
      <c r="N115" s="459">
        <v>2023</v>
      </c>
      <c r="O115" s="12"/>
      <c r="P115" s="462">
        <f>VLOOKUP($E115,'5.1 Budget'!$A$4:$G$729,2,0)</f>
        <v>0</v>
      </c>
      <c r="Q115" s="462">
        <f>VLOOKUP($E115,'5.1 Budget'!$A$4:$G$729,3,0)</f>
        <v>150000</v>
      </c>
      <c r="R115" s="462">
        <f>VLOOKUP($E115,'5.1 Budget'!$A$4:$G$729,4,0)</f>
        <v>150000</v>
      </c>
      <c r="S115" s="462">
        <f>VLOOKUP($E115,'5.1 Budget'!$A$4:$G$729,5,0)</f>
        <v>0</v>
      </c>
      <c r="T115" s="462">
        <f>VLOOKUP($E115,'5.1 Budget'!$A$4:$G$729,6,0)</f>
        <v>0</v>
      </c>
      <c r="U115" s="462">
        <f>VLOOKUP($E115,'5.1 Budget'!$A$4:$G$729,7,0)</f>
        <v>0</v>
      </c>
      <c r="V115" s="462">
        <f t="shared" si="1"/>
        <v>300000</v>
      </c>
    </row>
    <row r="116" spans="1:22" ht="26.25" x14ac:dyDescent="0.25">
      <c r="A116" s="465">
        <v>1</v>
      </c>
      <c r="B116" s="12" t="s">
        <v>52</v>
      </c>
      <c r="C116" s="12" t="s">
        <v>56</v>
      </c>
      <c r="D116" s="12" t="s">
        <v>8</v>
      </c>
      <c r="E116" s="12" t="s">
        <v>849</v>
      </c>
      <c r="F116" s="469" t="str">
        <f>VLOOKUP(E116,'5. Consolidation'!$E$3:$F$715,2,0)</f>
        <v>Assurer la surveillance et le bon fonctionnement du système mis en place (1.9.7), établir un retour d’expérience pour l’élargir à d’autres vallées</v>
      </c>
      <c r="G116" s="469" t="str">
        <f>VLOOKUP(E116,'5.2 Actions'!$A$3:$D$720,4,0)</f>
        <v>SEN</v>
      </c>
      <c r="H116" s="12"/>
      <c r="I116" s="12"/>
      <c r="J116" s="12"/>
      <c r="K116" s="12"/>
      <c r="L116" s="12"/>
      <c r="M116" s="12"/>
      <c r="N116" s="459">
        <v>2025</v>
      </c>
      <c r="O116" s="12"/>
      <c r="P116" s="462">
        <f>VLOOKUP($E116,'5.1 Budget'!$A$4:$G$729,2,0)</f>
        <v>0</v>
      </c>
      <c r="Q116" s="462">
        <f>VLOOKUP($E116,'5.1 Budget'!$A$4:$G$729,3,0)</f>
        <v>0</v>
      </c>
      <c r="R116" s="462">
        <f>VLOOKUP($E116,'5.1 Budget'!$A$4:$G$729,4,0)</f>
        <v>0</v>
      </c>
      <c r="S116" s="462">
        <f>VLOOKUP($E116,'5.1 Budget'!$A$4:$G$729,5,0)</f>
        <v>20000</v>
      </c>
      <c r="T116" s="462">
        <f>VLOOKUP($E116,'5.1 Budget'!$A$4:$G$729,6,0)</f>
        <v>0</v>
      </c>
      <c r="U116" s="462">
        <f>VLOOKUP($E116,'5.1 Budget'!$A$4:$G$729,7,0)</f>
        <v>0</v>
      </c>
      <c r="V116" s="462">
        <f t="shared" si="1"/>
        <v>20000</v>
      </c>
    </row>
    <row r="117" spans="1:22" x14ac:dyDescent="0.25">
      <c r="A117" s="465">
        <v>1</v>
      </c>
      <c r="B117" s="12" t="s">
        <v>52</v>
      </c>
      <c r="C117" s="12" t="s">
        <v>56</v>
      </c>
      <c r="D117" s="12" t="s">
        <v>8</v>
      </c>
      <c r="E117" s="12" t="s">
        <v>850</v>
      </c>
      <c r="F117" s="469" t="str">
        <f>VLOOKUP(E117,'5. Consolidation'!$E$3:$F$715,2,0)</f>
        <v>Procéder à la mise en œuvre dans d’autres vallées sur base du retour d’expérience dans la vallée du Maelbeek (si pertinent)</v>
      </c>
      <c r="G117" s="469" t="str">
        <f>VLOOKUP(E117,'5.2 Actions'!$A$3:$D$720,4,0)</f>
        <v>SEN / WOL</v>
      </c>
      <c r="H117" s="12"/>
      <c r="I117" s="12"/>
      <c r="J117" s="12"/>
      <c r="K117" s="12"/>
      <c r="L117" s="12"/>
      <c r="M117" s="12"/>
      <c r="N117" s="459">
        <v>2024</v>
      </c>
      <c r="O117" s="12"/>
      <c r="P117" s="462">
        <f>VLOOKUP($E117,'5.1 Budget'!$A$4:$G$729,2,0)</f>
        <v>0</v>
      </c>
      <c r="Q117" s="462">
        <f>VLOOKUP($E117,'5.1 Budget'!$A$4:$G$729,3,0)</f>
        <v>0</v>
      </c>
      <c r="R117" s="462">
        <f>VLOOKUP($E117,'5.1 Budget'!$A$4:$G$729,4,0)</f>
        <v>1500000</v>
      </c>
      <c r="S117" s="462">
        <f>VLOOKUP($E117,'5.1 Budget'!$A$4:$G$729,5,0)</f>
        <v>1150000</v>
      </c>
      <c r="T117" s="462">
        <f>VLOOKUP($E117,'5.1 Budget'!$A$4:$G$729,6,0)</f>
        <v>150000</v>
      </c>
      <c r="U117" s="462">
        <f>VLOOKUP($E117,'5.1 Budget'!$A$4:$G$729,7,0)</f>
        <v>150000</v>
      </c>
      <c r="V117" s="462">
        <f t="shared" si="1"/>
        <v>2950000</v>
      </c>
    </row>
    <row r="118" spans="1:22" x14ac:dyDescent="0.25">
      <c r="A118" s="465">
        <v>1</v>
      </c>
      <c r="B118" s="12" t="s">
        <v>52</v>
      </c>
      <c r="C118" s="12" t="s">
        <v>56</v>
      </c>
      <c r="D118" s="12" t="s">
        <v>8</v>
      </c>
      <c r="E118" s="12" t="s">
        <v>851</v>
      </c>
      <c r="F118" s="469" t="str">
        <f>VLOOKUP(E118,'5. Consolidation'!$E$3:$F$715,2,0)</f>
        <v>Etudier le fonctionnement des réseaux et leurs interactions, par le biais d’actions de modélisation (cf. M 5.29)</v>
      </c>
      <c r="G118" s="469" t="str">
        <f>VLOOKUP(E118,'5.2 Actions'!$A$3:$D$720,4,0)</f>
        <v>SEN / WOL / CAN</v>
      </c>
      <c r="H118" s="12"/>
      <c r="I118" s="12"/>
      <c r="J118" s="12"/>
      <c r="K118" s="12"/>
      <c r="L118" s="12"/>
      <c r="M118" s="12"/>
      <c r="N118" s="12"/>
      <c r="O118" s="12"/>
      <c r="P118" s="462">
        <f>VLOOKUP($E118,'5.1 Budget'!$A$4:$G$729,2,0)</f>
        <v>0</v>
      </c>
      <c r="Q118" s="462">
        <f>VLOOKUP($E118,'5.1 Budget'!$A$4:$G$729,3,0)</f>
        <v>0</v>
      </c>
      <c r="R118" s="462">
        <f>VLOOKUP($E118,'5.1 Budget'!$A$4:$G$729,4,0)</f>
        <v>0</v>
      </c>
      <c r="S118" s="462">
        <f>VLOOKUP($E118,'5.1 Budget'!$A$4:$G$729,5,0)</f>
        <v>0</v>
      </c>
      <c r="T118" s="462">
        <f>VLOOKUP($E118,'5.1 Budget'!$A$4:$G$729,6,0)</f>
        <v>0</v>
      </c>
      <c r="U118" s="462">
        <f>VLOOKUP($E118,'5.1 Budget'!$A$4:$G$729,7,0)</f>
        <v>0</v>
      </c>
      <c r="V118" s="462">
        <f t="shared" si="1"/>
        <v>0</v>
      </c>
    </row>
    <row r="119" spans="1:22" ht="26.25" x14ac:dyDescent="0.25">
      <c r="A119" s="465">
        <v>1</v>
      </c>
      <c r="B119" s="12" t="s">
        <v>52</v>
      </c>
      <c r="C119" s="12" t="s">
        <v>56</v>
      </c>
      <c r="D119" s="12" t="s">
        <v>9</v>
      </c>
      <c r="E119" s="12" t="s">
        <v>650</v>
      </c>
      <c r="F119" s="469" t="str">
        <f>VLOOKUP(E119,'5. Consolidation'!$E$3:$F$715,2,0)</f>
        <v>Pour les 4 points de rejets identifiés, procéder à la finalisation des études, à l’obtention des autorisations et aux travaux de raccordement de ces égouts orphelins aux réseaux d’égouttage connectés aux STEPs</v>
      </c>
      <c r="G119" s="469" t="str">
        <f>VLOOKUP(E119,'5.2 Actions'!$A$3:$D$720,4,0)</f>
        <v>SEN</v>
      </c>
      <c r="H119" s="12"/>
      <c r="I119" s="12"/>
      <c r="J119" s="12"/>
      <c r="K119" s="12"/>
      <c r="L119" s="12"/>
      <c r="M119" s="12"/>
      <c r="N119" s="459">
        <v>2022</v>
      </c>
      <c r="O119" s="12"/>
      <c r="P119" s="462">
        <f>VLOOKUP($E119,'5.1 Budget'!$A$4:$G$729,2,0)</f>
        <v>800000</v>
      </c>
      <c r="Q119" s="462">
        <f>VLOOKUP($E119,'5.1 Budget'!$A$4:$G$729,3,0)</f>
        <v>300000</v>
      </c>
      <c r="R119" s="462">
        <f>VLOOKUP($E119,'5.1 Budget'!$A$4:$G$729,4,0)</f>
        <v>300000</v>
      </c>
      <c r="S119" s="462">
        <f>VLOOKUP($E119,'5.1 Budget'!$A$4:$G$729,5,0)</f>
        <v>0</v>
      </c>
      <c r="T119" s="462">
        <f>VLOOKUP($E119,'5.1 Budget'!$A$4:$G$729,6,0)</f>
        <v>0</v>
      </c>
      <c r="U119" s="462">
        <f>VLOOKUP($E119,'5.1 Budget'!$A$4:$G$729,7,0)</f>
        <v>0</v>
      </c>
      <c r="V119" s="462">
        <f t="shared" si="1"/>
        <v>1400000</v>
      </c>
    </row>
    <row r="120" spans="1:22" ht="26.25" x14ac:dyDescent="0.25">
      <c r="A120" s="465">
        <v>1</v>
      </c>
      <c r="B120" s="12" t="s">
        <v>52</v>
      </c>
      <c r="C120" s="12" t="s">
        <v>56</v>
      </c>
      <c r="D120" s="12" t="s">
        <v>9</v>
      </c>
      <c r="E120" s="12" t="s">
        <v>651</v>
      </c>
      <c r="F120" s="469" t="str">
        <f>VLOOKUP(E120,'5. Consolidation'!$E$3:$F$715,2,0)</f>
        <v xml:space="preserve"> Identifier d’autres chainons manquants du réseau d’assainissement public (« égouts orphelins ») sur base de pollution éventuelle et de la mesure M1.5</v>
      </c>
      <c r="G120" s="469" t="str">
        <f>VLOOKUP(E120,'5.2 Actions'!$A$3:$D$720,4,0)</f>
        <v>SEN / CAN</v>
      </c>
      <c r="H120" s="12"/>
      <c r="I120" s="12"/>
      <c r="J120" s="12"/>
      <c r="K120" s="12"/>
      <c r="L120" s="12"/>
      <c r="M120" s="12"/>
      <c r="N120" s="12"/>
      <c r="O120" s="12"/>
      <c r="P120" s="462">
        <f>VLOOKUP($E120,'5.1 Budget'!$A$4:$G$729,2,0)</f>
        <v>0</v>
      </c>
      <c r="Q120" s="462">
        <f>VLOOKUP($E120,'5.1 Budget'!$A$4:$G$729,3,0)</f>
        <v>0</v>
      </c>
      <c r="R120" s="462">
        <f>VLOOKUP($E120,'5.1 Budget'!$A$4:$G$729,4,0)</f>
        <v>0</v>
      </c>
      <c r="S120" s="462">
        <f>VLOOKUP($E120,'5.1 Budget'!$A$4:$G$729,5,0)</f>
        <v>0</v>
      </c>
      <c r="T120" s="462">
        <f>VLOOKUP($E120,'5.1 Budget'!$A$4:$G$729,6,0)</f>
        <v>0</v>
      </c>
      <c r="U120" s="462">
        <f>VLOOKUP($E120,'5.1 Budget'!$A$4:$G$729,7,0)</f>
        <v>0</v>
      </c>
      <c r="V120" s="462">
        <f t="shared" si="1"/>
        <v>0</v>
      </c>
    </row>
    <row r="121" spans="1:22" ht="26.25" x14ac:dyDescent="0.25">
      <c r="A121" s="465">
        <v>1</v>
      </c>
      <c r="B121" s="12" t="s">
        <v>52</v>
      </c>
      <c r="C121" s="12" t="s">
        <v>56</v>
      </c>
      <c r="D121" s="12" t="s">
        <v>9</v>
      </c>
      <c r="E121" s="12" t="s">
        <v>652</v>
      </c>
      <c r="F121" s="469" t="str">
        <f>VLOOKUP(E121,'5. Consolidation'!$E$3:$F$715,2,0)</f>
        <v>Procéder aux études et travaux de raccordement  aux réseaux d’égouttage connectés aux STEPs d’autres égouts orphelins qui auraient été identifiés</v>
      </c>
      <c r="G121" s="469" t="str">
        <f>VLOOKUP(E121,'5.2 Actions'!$A$3:$D$720,4,0)</f>
        <v>SEN / CAN</v>
      </c>
      <c r="H121" s="12"/>
      <c r="I121" s="12"/>
      <c r="J121" s="12"/>
      <c r="K121" s="12"/>
      <c r="L121" s="12"/>
      <c r="M121" s="12"/>
      <c r="N121" s="459">
        <v>2025</v>
      </c>
      <c r="O121" s="12"/>
      <c r="P121" s="462">
        <f>VLOOKUP($E121,'5.1 Budget'!$A$4:$G$729,2,0)</f>
        <v>0</v>
      </c>
      <c r="Q121" s="462">
        <f>VLOOKUP($E121,'5.1 Budget'!$A$4:$G$729,3,0)</f>
        <v>0</v>
      </c>
      <c r="R121" s="462">
        <f>VLOOKUP($E121,'5.1 Budget'!$A$4:$G$729,4,0)</f>
        <v>0</v>
      </c>
      <c r="S121" s="462">
        <f>VLOOKUP($E121,'5.1 Budget'!$A$4:$G$729,5,0)</f>
        <v>300000</v>
      </c>
      <c r="T121" s="462">
        <f>VLOOKUP($E121,'5.1 Budget'!$A$4:$G$729,6,0)</f>
        <v>300000</v>
      </c>
      <c r="U121" s="462">
        <f>VLOOKUP($E121,'5.1 Budget'!$A$4:$G$729,7,0)</f>
        <v>300000</v>
      </c>
      <c r="V121" s="462">
        <f t="shared" si="1"/>
        <v>900000</v>
      </c>
    </row>
    <row r="122" spans="1:22" ht="26.25" x14ac:dyDescent="0.25">
      <c r="A122" s="465">
        <v>1</v>
      </c>
      <c r="B122" s="12" t="s">
        <v>52</v>
      </c>
      <c r="C122" s="12" t="s">
        <v>56</v>
      </c>
      <c r="D122" s="12" t="s">
        <v>9</v>
      </c>
      <c r="E122" s="12" t="s">
        <v>653</v>
      </c>
      <c r="F122" s="469" t="str">
        <f>VLOOKUP(E122,'5. Consolidation'!$E$3:$F$715,2,0)</f>
        <v>Actualiser la carte des zones égouttées, mais non raccordées aux stations d’épuration dans l’inventaire BE des émissions polluantes vers les eaux de surface (WEISS)</v>
      </c>
      <c r="G122" s="469" t="str">
        <f>VLOOKUP(E122,'5.2 Actions'!$A$3:$D$720,4,0)</f>
        <v>SEN / WOL / CAN</v>
      </c>
      <c r="H122" s="12"/>
      <c r="I122" s="12"/>
      <c r="J122" s="12"/>
      <c r="K122" s="12"/>
      <c r="L122" s="12"/>
      <c r="M122" s="12"/>
      <c r="N122" s="12"/>
      <c r="O122" s="12"/>
      <c r="P122" s="462">
        <f>VLOOKUP($E122,'5.1 Budget'!$A$4:$G$729,2,0)</f>
        <v>0</v>
      </c>
      <c r="Q122" s="462">
        <f>VLOOKUP($E122,'5.1 Budget'!$A$4:$G$729,3,0)</f>
        <v>0</v>
      </c>
      <c r="R122" s="462">
        <f>VLOOKUP($E122,'5.1 Budget'!$A$4:$G$729,4,0)</f>
        <v>0</v>
      </c>
      <c r="S122" s="462">
        <f>VLOOKUP($E122,'5.1 Budget'!$A$4:$G$729,5,0)</f>
        <v>0</v>
      </c>
      <c r="T122" s="462">
        <f>VLOOKUP($E122,'5.1 Budget'!$A$4:$G$729,6,0)</f>
        <v>0</v>
      </c>
      <c r="U122" s="462">
        <f>VLOOKUP($E122,'5.1 Budget'!$A$4:$G$729,7,0)</f>
        <v>0</v>
      </c>
      <c r="V122" s="462">
        <f t="shared" si="1"/>
        <v>0</v>
      </c>
    </row>
    <row r="123" spans="1:22" ht="26.25" x14ac:dyDescent="0.25">
      <c r="A123" s="465">
        <v>1</v>
      </c>
      <c r="B123" s="12" t="s">
        <v>52</v>
      </c>
      <c r="C123" s="12" t="s">
        <v>56</v>
      </c>
      <c r="D123" s="12" t="s">
        <v>10</v>
      </c>
      <c r="E123" s="12" t="s">
        <v>654</v>
      </c>
      <c r="F123" s="469" t="str">
        <f>VLOOKUP(E123,'5. Consolidation'!$E$3:$F$715,2,0)</f>
        <v>Poursuivre le nettoyage régulier des macro-déchets flottants du Canal au moyen des bateaux et des litter traps, et des éventuels nouveaux dispositifs installés au niveau du Canal</v>
      </c>
      <c r="G123" s="469" t="str">
        <f>VLOOKUP(E123,'5.2 Actions'!$A$3:$D$720,4,0)</f>
        <v>CAN</v>
      </c>
      <c r="H123" s="12"/>
      <c r="I123" s="12"/>
      <c r="J123" s="12"/>
      <c r="K123" s="12"/>
      <c r="L123" s="12"/>
      <c r="M123" s="12"/>
      <c r="N123" s="12"/>
      <c r="O123" s="12"/>
      <c r="P123" s="462">
        <f>VLOOKUP($E123,'5.1 Budget'!$A$4:$G$729,2,0)</f>
        <v>0</v>
      </c>
      <c r="Q123" s="462">
        <f>VLOOKUP($E123,'5.1 Budget'!$A$4:$G$729,3,0)</f>
        <v>0</v>
      </c>
      <c r="R123" s="462">
        <f>VLOOKUP($E123,'5.1 Budget'!$A$4:$G$729,4,0)</f>
        <v>0</v>
      </c>
      <c r="S123" s="462">
        <f>VLOOKUP($E123,'5.1 Budget'!$A$4:$G$729,5,0)</f>
        <v>0</v>
      </c>
      <c r="T123" s="462">
        <f>VLOOKUP($E123,'5.1 Budget'!$A$4:$G$729,6,0)</f>
        <v>0</v>
      </c>
      <c r="U123" s="462">
        <f>VLOOKUP($E123,'5.1 Budget'!$A$4:$G$729,7,0)</f>
        <v>0</v>
      </c>
      <c r="V123" s="462">
        <f t="shared" si="1"/>
        <v>0</v>
      </c>
    </row>
    <row r="124" spans="1:22" x14ac:dyDescent="0.25">
      <c r="A124" s="465">
        <v>1</v>
      </c>
      <c r="B124" s="12" t="s">
        <v>52</v>
      </c>
      <c r="C124" s="12" t="s">
        <v>56</v>
      </c>
      <c r="D124" s="12" t="s">
        <v>10</v>
      </c>
      <c r="E124" s="12" t="s">
        <v>657</v>
      </c>
      <c r="F124" s="469" t="str">
        <f>VLOOKUP(E124,'5. Consolidation'!$E$3:$F$715,2,0)</f>
        <v>Identifier les zones d’accumulation de macro-déchets flottants dans le Canal, et des conditions et voies d’entrée principales</v>
      </c>
      <c r="G124" s="469" t="str">
        <f>VLOOKUP(E124,'5.2 Actions'!$A$3:$D$720,4,0)</f>
        <v>CAN</v>
      </c>
      <c r="H124" s="12"/>
      <c r="I124" s="12"/>
      <c r="J124" s="12"/>
      <c r="K124" s="12"/>
      <c r="L124" s="12"/>
      <c r="M124" s="12"/>
      <c r="N124" s="12"/>
      <c r="O124" s="12"/>
      <c r="P124" s="462">
        <f>VLOOKUP($E124,'5.1 Budget'!$A$4:$G$729,2,0)</f>
        <v>0</v>
      </c>
      <c r="Q124" s="462">
        <f>VLOOKUP($E124,'5.1 Budget'!$A$4:$G$729,3,0)</f>
        <v>0</v>
      </c>
      <c r="R124" s="462">
        <f>VLOOKUP($E124,'5.1 Budget'!$A$4:$G$729,4,0)</f>
        <v>0</v>
      </c>
      <c r="S124" s="462">
        <f>VLOOKUP($E124,'5.1 Budget'!$A$4:$G$729,5,0)</f>
        <v>0</v>
      </c>
      <c r="T124" s="462">
        <f>VLOOKUP($E124,'5.1 Budget'!$A$4:$G$729,6,0)</f>
        <v>0</v>
      </c>
      <c r="U124" s="462">
        <f>VLOOKUP($E124,'5.1 Budget'!$A$4:$G$729,7,0)</f>
        <v>0</v>
      </c>
      <c r="V124" s="462">
        <f t="shared" si="1"/>
        <v>0</v>
      </c>
    </row>
    <row r="125" spans="1:22" ht="26.25" x14ac:dyDescent="0.25">
      <c r="A125" s="465">
        <v>1</v>
      </c>
      <c r="B125" s="12" t="s">
        <v>52</v>
      </c>
      <c r="C125" s="12" t="s">
        <v>56</v>
      </c>
      <c r="D125" s="12" t="s">
        <v>10</v>
      </c>
      <c r="E125" s="12" t="s">
        <v>658</v>
      </c>
      <c r="F125" s="469" t="str">
        <f>VLOOKUP(E125,'5. Consolidation'!$E$3:$F$715,2,0)</f>
        <v>Réaliser une étude sur la gestion actuelle des macro-déchets flottants dans le Canal (évaluation sur une éventuelle optimisation de cette gestion par de nouveaux dispositifs et le choix de ceux-ci)</v>
      </c>
      <c r="G125" s="469" t="str">
        <f>VLOOKUP(E125,'5.2 Actions'!$A$3:$D$720,4,0)</f>
        <v>CAN</v>
      </c>
      <c r="H125" s="12"/>
      <c r="I125" s="12"/>
      <c r="J125" s="12"/>
      <c r="K125" s="12"/>
      <c r="L125" s="12"/>
      <c r="M125" s="12"/>
      <c r="N125" s="459">
        <v>2022</v>
      </c>
      <c r="O125" s="12"/>
      <c r="P125" s="462">
        <f>VLOOKUP($E125,'5.1 Budget'!$A$4:$G$729,2,0)</f>
        <v>22000</v>
      </c>
      <c r="Q125" s="462">
        <f>VLOOKUP($E125,'5.1 Budget'!$A$4:$G$729,3,0)</f>
        <v>0</v>
      </c>
      <c r="R125" s="462">
        <f>VLOOKUP($E125,'5.1 Budget'!$A$4:$G$729,4,0)</f>
        <v>0</v>
      </c>
      <c r="S125" s="462">
        <f>VLOOKUP($E125,'5.1 Budget'!$A$4:$G$729,5,0)</f>
        <v>0</v>
      </c>
      <c r="T125" s="462">
        <f>VLOOKUP($E125,'5.1 Budget'!$A$4:$G$729,6,0)</f>
        <v>0</v>
      </c>
      <c r="U125" s="462">
        <f>VLOOKUP($E125,'5.1 Budget'!$A$4:$G$729,7,0)</f>
        <v>0</v>
      </c>
      <c r="V125" s="462">
        <f t="shared" si="1"/>
        <v>22000</v>
      </c>
    </row>
    <row r="126" spans="1:22" ht="26.25" x14ac:dyDescent="0.25">
      <c r="A126" s="465">
        <v>1</v>
      </c>
      <c r="B126" s="12" t="s">
        <v>52</v>
      </c>
      <c r="C126" s="12" t="s">
        <v>56</v>
      </c>
      <c r="D126" s="12" t="s">
        <v>10</v>
      </c>
      <c r="E126" s="12" t="s">
        <v>659</v>
      </c>
      <c r="F126" s="469" t="str">
        <f>VLOOKUP(E126,'5. Consolidation'!$E$3:$F$715,2,0)</f>
        <v>Installer de nouveaux dispositifs de capture des macro-déchets flottants au niveau du Canal et mettre en œuvre de nouvelles mesures de gestion, suivant les recommandations de l’étude (1.11.3)</v>
      </c>
      <c r="G126" s="469" t="str">
        <f>VLOOKUP(E126,'5.2 Actions'!$A$3:$D$720,4,0)</f>
        <v>CAN</v>
      </c>
      <c r="H126" s="12"/>
      <c r="I126" s="12"/>
      <c r="J126" s="12"/>
      <c r="K126" s="12"/>
      <c r="L126" s="12"/>
      <c r="M126" s="12"/>
      <c r="N126" s="459">
        <v>2023</v>
      </c>
      <c r="O126" s="12"/>
      <c r="P126" s="462">
        <f>VLOOKUP($E126,'5.1 Budget'!$A$4:$G$729,2,0)</f>
        <v>0</v>
      </c>
      <c r="Q126" s="462">
        <f>VLOOKUP($E126,'5.1 Budget'!$A$4:$G$729,3,0)</f>
        <v>200000</v>
      </c>
      <c r="R126" s="462">
        <f>VLOOKUP($E126,'5.1 Budget'!$A$4:$G$729,4,0)</f>
        <v>0</v>
      </c>
      <c r="S126" s="462">
        <f>VLOOKUP($E126,'5.1 Budget'!$A$4:$G$729,5,0)</f>
        <v>0</v>
      </c>
      <c r="T126" s="462">
        <f>VLOOKUP($E126,'5.1 Budget'!$A$4:$G$729,6,0)</f>
        <v>0</v>
      </c>
      <c r="U126" s="462">
        <f>VLOOKUP($E126,'5.1 Budget'!$A$4:$G$729,7,0)</f>
        <v>0</v>
      </c>
      <c r="V126" s="462">
        <f t="shared" si="1"/>
        <v>200000</v>
      </c>
    </row>
    <row r="127" spans="1:22" x14ac:dyDescent="0.25">
      <c r="A127" s="465">
        <v>1</v>
      </c>
      <c r="B127" s="12" t="s">
        <v>52</v>
      </c>
      <c r="C127" s="12" t="s">
        <v>56</v>
      </c>
      <c r="D127" s="12" t="s">
        <v>10</v>
      </c>
      <c r="E127" s="12" t="s">
        <v>660</v>
      </c>
      <c r="F127" s="469" t="str">
        <f>VLOOKUP(E127,'5. Consolidation'!$E$3:$F$715,2,0)</f>
        <v>Faire l’acquisition d’un troisième bateau de ramassage de déchets</v>
      </c>
      <c r="G127" s="469" t="str">
        <f>VLOOKUP(E127,'5.2 Actions'!$A$3:$D$720,4,0)</f>
        <v>CAN</v>
      </c>
      <c r="H127" s="12"/>
      <c r="I127" s="12"/>
      <c r="J127" s="12"/>
      <c r="K127" s="12"/>
      <c r="L127" s="12"/>
      <c r="M127" s="12"/>
      <c r="N127" s="12"/>
      <c r="O127" s="12"/>
      <c r="P127" s="462">
        <f>VLOOKUP($E127,'5.1 Budget'!$A$4:$G$729,2,0)</f>
        <v>0</v>
      </c>
      <c r="Q127" s="462">
        <f>VLOOKUP($E127,'5.1 Budget'!$A$4:$G$729,3,0)</f>
        <v>0</v>
      </c>
      <c r="R127" s="462">
        <f>VLOOKUP($E127,'5.1 Budget'!$A$4:$G$729,4,0)</f>
        <v>0</v>
      </c>
      <c r="S127" s="462">
        <f>VLOOKUP($E127,'5.1 Budget'!$A$4:$G$729,5,0)</f>
        <v>0</v>
      </c>
      <c r="T127" s="462">
        <f>VLOOKUP($E127,'5.1 Budget'!$A$4:$G$729,6,0)</f>
        <v>0</v>
      </c>
      <c r="U127" s="462">
        <f>VLOOKUP($E127,'5.1 Budget'!$A$4:$G$729,7,0)</f>
        <v>0</v>
      </c>
      <c r="V127" s="462">
        <f t="shared" si="1"/>
        <v>0</v>
      </c>
    </row>
    <row r="128" spans="1:22" x14ac:dyDescent="0.25">
      <c r="A128" s="465">
        <v>1</v>
      </c>
      <c r="B128" s="12" t="s">
        <v>52</v>
      </c>
      <c r="C128" s="12" t="s">
        <v>56</v>
      </c>
      <c r="D128" s="12" t="s">
        <v>10</v>
      </c>
      <c r="E128" s="12" t="s">
        <v>661</v>
      </c>
      <c r="F128" s="469" t="str">
        <f>VLOOKUP(E128,'5. Consolidation'!$E$3:$F$715,2,0)</f>
        <v>Créer un pool de nettoyage à l’écluse d’Anderlecht</v>
      </c>
      <c r="G128" s="469" t="str">
        <f>VLOOKUP(E128,'5.2 Actions'!$A$3:$D$720,4,0)</f>
        <v>CAN</v>
      </c>
      <c r="H128" s="12"/>
      <c r="I128" s="12"/>
      <c r="J128" s="12"/>
      <c r="K128" s="12"/>
      <c r="L128" s="12"/>
      <c r="M128" s="12"/>
      <c r="N128" s="12"/>
      <c r="O128" s="12"/>
      <c r="P128" s="462">
        <f>VLOOKUP($E128,'5.1 Budget'!$A$4:$G$729,2,0)</f>
        <v>0</v>
      </c>
      <c r="Q128" s="462">
        <f>VLOOKUP($E128,'5.1 Budget'!$A$4:$G$729,3,0)</f>
        <v>0</v>
      </c>
      <c r="R128" s="462">
        <f>VLOOKUP($E128,'5.1 Budget'!$A$4:$G$729,4,0)</f>
        <v>0</v>
      </c>
      <c r="S128" s="462">
        <f>VLOOKUP($E128,'5.1 Budget'!$A$4:$G$729,5,0)</f>
        <v>0</v>
      </c>
      <c r="T128" s="462">
        <f>VLOOKUP($E128,'5.1 Budget'!$A$4:$G$729,6,0)</f>
        <v>0</v>
      </c>
      <c r="U128" s="462">
        <f>VLOOKUP($E128,'5.1 Budget'!$A$4:$G$729,7,0)</f>
        <v>0</v>
      </c>
      <c r="V128" s="462">
        <f t="shared" si="1"/>
        <v>0</v>
      </c>
    </row>
    <row r="129" spans="1:22" x14ac:dyDescent="0.25">
      <c r="A129" s="465">
        <v>1</v>
      </c>
      <c r="B129" s="12" t="s">
        <v>52</v>
      </c>
      <c r="C129" s="12" t="s">
        <v>56</v>
      </c>
      <c r="D129" s="12" t="s">
        <v>10</v>
      </c>
      <c r="E129" s="12" t="s">
        <v>662</v>
      </c>
      <c r="F129" s="469" t="str">
        <f>VLOOKUP(E129,'5. Consolidation'!$E$3:$F$715,2,0)</f>
        <v>Assurer le dégrillage des eaux du Neerpedebeek en amont de sa confluence avec le Canal</v>
      </c>
      <c r="G129" s="469" t="str">
        <f>VLOOKUP(E129,'5.2 Actions'!$A$3:$D$720,4,0)</f>
        <v>CAN</v>
      </c>
      <c r="H129" s="12"/>
      <c r="I129" s="12"/>
      <c r="J129" s="12"/>
      <c r="K129" s="12"/>
      <c r="L129" s="12"/>
      <c r="M129" s="12"/>
      <c r="N129" s="12"/>
      <c r="O129" s="12"/>
      <c r="P129" s="462">
        <f>VLOOKUP($E129,'5.1 Budget'!$A$4:$G$729,2,0)</f>
        <v>0</v>
      </c>
      <c r="Q129" s="462">
        <f>VLOOKUP($E129,'5.1 Budget'!$A$4:$G$729,3,0)</f>
        <v>0</v>
      </c>
      <c r="R129" s="462">
        <f>VLOOKUP($E129,'5.1 Budget'!$A$4:$G$729,4,0)</f>
        <v>0</v>
      </c>
      <c r="S129" s="462">
        <f>VLOOKUP($E129,'5.1 Budget'!$A$4:$G$729,5,0)</f>
        <v>0</v>
      </c>
      <c r="T129" s="462">
        <f>VLOOKUP($E129,'5.1 Budget'!$A$4:$G$729,6,0)</f>
        <v>0</v>
      </c>
      <c r="U129" s="462">
        <f>VLOOKUP($E129,'5.1 Budget'!$A$4:$G$729,7,0)</f>
        <v>0</v>
      </c>
      <c r="V129" s="462">
        <f t="shared" si="1"/>
        <v>0</v>
      </c>
    </row>
    <row r="130" spans="1:22" x14ac:dyDescent="0.25">
      <c r="A130" s="465">
        <v>1</v>
      </c>
      <c r="B130" s="12" t="s">
        <v>52</v>
      </c>
      <c r="C130" s="12" t="s">
        <v>56</v>
      </c>
      <c r="D130" s="12" t="s">
        <v>10</v>
      </c>
      <c r="E130" s="12" t="s">
        <v>665</v>
      </c>
      <c r="F130" s="469" t="str">
        <f>VLOOKUP(E130,'5. Consolidation'!$E$3:$F$715,2,0)</f>
        <v>Etudier la possibilité de reconnecter le Neerpedebeek à la Senne via un siphon existant (cf. M 1.27).</v>
      </c>
      <c r="G130" s="469" t="str">
        <f>VLOOKUP(E130,'5.2 Actions'!$A$3:$D$720,4,0)</f>
        <v>SEN</v>
      </c>
      <c r="H130" s="12"/>
      <c r="I130" s="12"/>
      <c r="J130" s="12"/>
      <c r="K130" s="12"/>
      <c r="L130" s="12"/>
      <c r="M130" s="12"/>
      <c r="N130" s="12"/>
      <c r="O130" s="12"/>
      <c r="P130" s="462">
        <f>VLOOKUP($E130,'5.1 Budget'!$A$4:$G$729,2,0)</f>
        <v>0</v>
      </c>
      <c r="Q130" s="462">
        <f>VLOOKUP($E130,'5.1 Budget'!$A$4:$G$729,3,0)</f>
        <v>0</v>
      </c>
      <c r="R130" s="462">
        <f>VLOOKUP($E130,'5.1 Budget'!$A$4:$G$729,4,0)</f>
        <v>0</v>
      </c>
      <c r="S130" s="462">
        <f>VLOOKUP($E130,'5.1 Budget'!$A$4:$G$729,5,0)</f>
        <v>0</v>
      </c>
      <c r="T130" s="462">
        <f>VLOOKUP($E130,'5.1 Budget'!$A$4:$G$729,6,0)</f>
        <v>0</v>
      </c>
      <c r="U130" s="462">
        <f>VLOOKUP($E130,'5.1 Budget'!$A$4:$G$729,7,0)</f>
        <v>0</v>
      </c>
      <c r="V130" s="462">
        <f t="shared" si="1"/>
        <v>0</v>
      </c>
    </row>
    <row r="131" spans="1:22" x14ac:dyDescent="0.25">
      <c r="A131" s="465">
        <v>1</v>
      </c>
      <c r="B131" s="12" t="s">
        <v>52</v>
      </c>
      <c r="C131" s="12" t="s">
        <v>56</v>
      </c>
      <c r="D131" s="12" t="s">
        <v>10</v>
      </c>
      <c r="E131" s="12" t="s">
        <v>663</v>
      </c>
      <c r="F131" s="469" t="str">
        <f>VLOOKUP(E131,'5. Consolidation'!$E$3:$F$715,2,0)</f>
        <v>Etudier les meilleures solutions de rétention ou de collecte des macro-déchets flottants au niveau des déversoirs</v>
      </c>
      <c r="G131" s="469" t="str">
        <f>VLOOKUP(E131,'5.2 Actions'!$A$3:$D$720,4,0)</f>
        <v>SEN / CAN</v>
      </c>
      <c r="H131" s="12"/>
      <c r="I131" s="12"/>
      <c r="J131" s="12"/>
      <c r="K131" s="12"/>
      <c r="L131" s="12"/>
      <c r="M131" s="12"/>
      <c r="N131" s="12"/>
      <c r="O131" s="12"/>
      <c r="P131" s="462">
        <f>VLOOKUP($E131,'5.1 Budget'!$A$4:$G$729,2,0)</f>
        <v>0</v>
      </c>
      <c r="Q131" s="462">
        <f>VLOOKUP($E131,'5.1 Budget'!$A$4:$G$729,3,0)</f>
        <v>0</v>
      </c>
      <c r="R131" s="462">
        <f>VLOOKUP($E131,'5.1 Budget'!$A$4:$G$729,4,0)</f>
        <v>0</v>
      </c>
      <c r="S131" s="462">
        <f>VLOOKUP($E131,'5.1 Budget'!$A$4:$G$729,5,0)</f>
        <v>0</v>
      </c>
      <c r="T131" s="462">
        <f>VLOOKUP($E131,'5.1 Budget'!$A$4:$G$729,6,0)</f>
        <v>0</v>
      </c>
      <c r="U131" s="462">
        <f>VLOOKUP($E131,'5.1 Budget'!$A$4:$G$729,7,0)</f>
        <v>0</v>
      </c>
      <c r="V131" s="462">
        <f t="shared" ref="V131:V194" si="2">SUM(P131:U131)</f>
        <v>0</v>
      </c>
    </row>
    <row r="132" spans="1:22" x14ac:dyDescent="0.25">
      <c r="A132" s="465">
        <v>1</v>
      </c>
      <c r="B132" s="12" t="s">
        <v>52</v>
      </c>
      <c r="C132" s="12" t="s">
        <v>56</v>
      </c>
      <c r="D132" s="12" t="s">
        <v>10</v>
      </c>
      <c r="E132" s="12" t="s">
        <v>664</v>
      </c>
      <c r="F132" s="469" t="str">
        <f>VLOOKUP(E132,'5. Consolidation'!$E$3:$F$715,2,0)</f>
        <v>Équiper les déversoirs des dispositifs retenus (lien vers la mesure M 1.8)</v>
      </c>
      <c r="G132" s="469" t="str">
        <f>VLOOKUP(E132,'5.2 Actions'!$A$3:$D$720,4,0)</f>
        <v>SEN / CAN</v>
      </c>
      <c r="H132" s="12"/>
      <c r="I132" s="12"/>
      <c r="J132" s="12"/>
      <c r="K132" s="12"/>
      <c r="L132" s="12"/>
      <c r="M132" s="12"/>
      <c r="N132" s="12"/>
      <c r="O132" s="12"/>
      <c r="P132" s="462">
        <f>VLOOKUP($E132,'5.1 Budget'!$A$4:$G$729,2,0)</f>
        <v>0</v>
      </c>
      <c r="Q132" s="462">
        <f>VLOOKUP($E132,'5.1 Budget'!$A$4:$G$729,3,0)</f>
        <v>0</v>
      </c>
      <c r="R132" s="462">
        <f>VLOOKUP($E132,'5.1 Budget'!$A$4:$G$729,4,0)</f>
        <v>0</v>
      </c>
      <c r="S132" s="462">
        <f>VLOOKUP($E132,'5.1 Budget'!$A$4:$G$729,5,0)</f>
        <v>0</v>
      </c>
      <c r="T132" s="462">
        <f>VLOOKUP($E132,'5.1 Budget'!$A$4:$G$729,6,0)</f>
        <v>0</v>
      </c>
      <c r="U132" s="462">
        <f>VLOOKUP($E132,'5.1 Budget'!$A$4:$G$729,7,0)</f>
        <v>0</v>
      </c>
      <c r="V132" s="462">
        <f t="shared" si="2"/>
        <v>0</v>
      </c>
    </row>
    <row r="133" spans="1:22" x14ac:dyDescent="0.25">
      <c r="A133" s="465">
        <v>1</v>
      </c>
      <c r="B133" s="12" t="s">
        <v>52</v>
      </c>
      <c r="C133" s="12" t="s">
        <v>56</v>
      </c>
      <c r="D133" s="12" t="s">
        <v>10</v>
      </c>
      <c r="E133" s="12" t="s">
        <v>655</v>
      </c>
      <c r="F133" s="469" t="str">
        <f>VLOOKUP(E133,'5. Consolidation'!$E$3:$F$715,2,0)</f>
        <v>Entretenir le système de dégrillage de la Senne au niveau de la rue des Vétérinaires à Anderlecht</v>
      </c>
      <c r="G133" s="469" t="str">
        <f>VLOOKUP(E133,'5.2 Actions'!$A$3:$D$720,4,0)</f>
        <v>SEN</v>
      </c>
      <c r="H133" s="12"/>
      <c r="I133" s="12"/>
      <c r="J133" s="12"/>
      <c r="K133" s="12"/>
      <c r="L133" s="12"/>
      <c r="M133" s="12"/>
      <c r="N133" s="459">
        <v>2022</v>
      </c>
      <c r="O133" s="12">
        <v>2027</v>
      </c>
      <c r="P133" s="462">
        <f>VLOOKUP($E133,'5.1 Budget'!$A$4:$G$729,2,0)</f>
        <v>35000</v>
      </c>
      <c r="Q133" s="462">
        <f>VLOOKUP($E133,'5.1 Budget'!$A$4:$G$729,3,0)</f>
        <v>35000</v>
      </c>
      <c r="R133" s="462">
        <f>VLOOKUP($E133,'5.1 Budget'!$A$4:$G$729,4,0)</f>
        <v>35000</v>
      </c>
      <c r="S133" s="462">
        <f>VLOOKUP($E133,'5.1 Budget'!$A$4:$G$729,5,0)</f>
        <v>35000</v>
      </c>
      <c r="T133" s="462">
        <f>VLOOKUP($E133,'5.1 Budget'!$A$4:$G$729,6,0)</f>
        <v>35000</v>
      </c>
      <c r="U133" s="462">
        <f>VLOOKUP($E133,'5.1 Budget'!$A$4:$G$729,7,0)</f>
        <v>35000</v>
      </c>
      <c r="V133" s="462">
        <f t="shared" si="2"/>
        <v>210000</v>
      </c>
    </row>
    <row r="134" spans="1:22" ht="26.25" x14ac:dyDescent="0.25">
      <c r="A134" s="465">
        <v>1</v>
      </c>
      <c r="B134" s="12" t="s">
        <v>52</v>
      </c>
      <c r="C134" s="12" t="s">
        <v>56</v>
      </c>
      <c r="D134" s="12" t="s">
        <v>10</v>
      </c>
      <c r="E134" s="12" t="s">
        <v>656</v>
      </c>
      <c r="F134" s="469" t="str">
        <f>VLOOKUP(E134,'5. Consolidation'!$E$3:$F$715,2,0)</f>
        <v xml:space="preserve">Etudier et expérimenter la mise en place de systèmes de rétention des macro-déchets flottants sur les affluents de la Senne, en coordination avec les éco-cantonniers de BE </v>
      </c>
      <c r="G134" s="469" t="str">
        <f>VLOOKUP(E134,'5.2 Actions'!$A$3:$D$720,4,0)</f>
        <v>SEN</v>
      </c>
      <c r="H134" s="12"/>
      <c r="I134" s="12"/>
      <c r="J134" s="12"/>
      <c r="K134" s="12"/>
      <c r="L134" s="12"/>
      <c r="M134" s="12"/>
      <c r="N134" s="459">
        <v>2023</v>
      </c>
      <c r="O134" s="12"/>
      <c r="P134" s="462">
        <f>VLOOKUP($E134,'5.1 Budget'!$A$4:$G$729,2,0)</f>
        <v>0</v>
      </c>
      <c r="Q134" s="462">
        <f>VLOOKUP($E134,'5.1 Budget'!$A$4:$G$729,3,0)</f>
        <v>5000</v>
      </c>
      <c r="R134" s="462">
        <f>VLOOKUP($E134,'5.1 Budget'!$A$4:$G$729,4,0)</f>
        <v>5000</v>
      </c>
      <c r="S134" s="462">
        <f>VLOOKUP($E134,'5.1 Budget'!$A$4:$G$729,5,0)</f>
        <v>5000</v>
      </c>
      <c r="T134" s="462">
        <f>VLOOKUP($E134,'5.1 Budget'!$A$4:$G$729,6,0)</f>
        <v>5000</v>
      </c>
      <c r="U134" s="462">
        <f>VLOOKUP($E134,'5.1 Budget'!$A$4:$G$729,7,0)</f>
        <v>5000</v>
      </c>
      <c r="V134" s="462">
        <f t="shared" si="2"/>
        <v>25000</v>
      </c>
    </row>
    <row r="135" spans="1:22" ht="26.25" x14ac:dyDescent="0.25">
      <c r="A135" s="465">
        <v>1</v>
      </c>
      <c r="B135" s="12" t="s">
        <v>52</v>
      </c>
      <c r="C135" s="12" t="s">
        <v>56</v>
      </c>
      <c r="D135" s="12" t="s">
        <v>10</v>
      </c>
      <c r="E135" s="12" t="s">
        <v>666</v>
      </c>
      <c r="F135" s="469" t="str">
        <f>VLOOKUP(E135,'5. Consolidation'!$E$3:$F$715,2,0)</f>
        <v>Installer un système de dégrillage en aval de la Senne (au niveau de la STEP Nord) pour diminuer la quantité de macro-déchets flottants sur la Senne en aval des déversoirs principaux de la région</v>
      </c>
      <c r="G135" s="469" t="str">
        <f>VLOOKUP(E135,'5.2 Actions'!$A$3:$D$720,4,0)</f>
        <v>SEN</v>
      </c>
      <c r="H135" s="12"/>
      <c r="I135" s="12"/>
      <c r="J135" s="12"/>
      <c r="K135" s="12"/>
      <c r="L135" s="12"/>
      <c r="M135" s="12"/>
      <c r="N135" s="12"/>
      <c r="O135" s="12"/>
      <c r="P135" s="462">
        <f>VLOOKUP($E135,'5.1 Budget'!$A$4:$G$729,2,0)</f>
        <v>0</v>
      </c>
      <c r="Q135" s="462">
        <f>VLOOKUP($E135,'5.1 Budget'!$A$4:$G$729,3,0)</f>
        <v>0</v>
      </c>
      <c r="R135" s="462">
        <f>VLOOKUP($E135,'5.1 Budget'!$A$4:$G$729,4,0)</f>
        <v>0</v>
      </c>
      <c r="S135" s="462">
        <f>VLOOKUP($E135,'5.1 Budget'!$A$4:$G$729,5,0)</f>
        <v>0</v>
      </c>
      <c r="T135" s="462">
        <f>VLOOKUP($E135,'5.1 Budget'!$A$4:$G$729,6,0)</f>
        <v>0</v>
      </c>
      <c r="U135" s="462">
        <f>VLOOKUP($E135,'5.1 Budget'!$A$4:$G$729,7,0)</f>
        <v>0</v>
      </c>
      <c r="V135" s="462">
        <f t="shared" si="2"/>
        <v>0</v>
      </c>
    </row>
    <row r="136" spans="1:22" x14ac:dyDescent="0.25">
      <c r="A136" s="465">
        <v>1</v>
      </c>
      <c r="B136" s="12" t="s">
        <v>52</v>
      </c>
      <c r="C136" s="12" t="s">
        <v>56</v>
      </c>
      <c r="D136" s="12" t="s">
        <v>10</v>
      </c>
      <c r="E136" s="12" t="s">
        <v>667</v>
      </c>
      <c r="F136" s="469" t="str">
        <f>VLOOKUP(E136,'5. Consolidation'!$E$3:$F$715,2,0)</f>
        <v>Continuer la sensibilisation des citoyens pour limiter l’abandon des déchets (cf. M 1.25)</v>
      </c>
      <c r="G136" s="469" t="str">
        <f>VLOOKUP(E136,'5.2 Actions'!$A$3:$D$720,4,0)</f>
        <v>SEN / WOL / CAN</v>
      </c>
      <c r="H136" s="12"/>
      <c r="I136" s="12"/>
      <c r="J136" s="12"/>
      <c r="K136" s="12"/>
      <c r="L136" s="12"/>
      <c r="M136" s="12"/>
      <c r="N136" s="12"/>
      <c r="O136" s="12"/>
      <c r="P136" s="462">
        <f>VLOOKUP($E136,'5.1 Budget'!$A$4:$G$729,2,0)</f>
        <v>0</v>
      </c>
      <c r="Q136" s="462">
        <f>VLOOKUP($E136,'5.1 Budget'!$A$4:$G$729,3,0)</f>
        <v>0</v>
      </c>
      <c r="R136" s="462">
        <f>VLOOKUP($E136,'5.1 Budget'!$A$4:$G$729,4,0)</f>
        <v>0</v>
      </c>
      <c r="S136" s="462">
        <f>VLOOKUP($E136,'5.1 Budget'!$A$4:$G$729,5,0)</f>
        <v>0</v>
      </c>
      <c r="T136" s="462">
        <f>VLOOKUP($E136,'5.1 Budget'!$A$4:$G$729,6,0)</f>
        <v>0</v>
      </c>
      <c r="U136" s="462">
        <f>VLOOKUP($E136,'5.1 Budget'!$A$4:$G$729,7,0)</f>
        <v>0</v>
      </c>
      <c r="V136" s="462">
        <f t="shared" si="2"/>
        <v>0</v>
      </c>
    </row>
    <row r="137" spans="1:22" ht="39" x14ac:dyDescent="0.25">
      <c r="A137" s="465">
        <v>1</v>
      </c>
      <c r="B137" s="12" t="s">
        <v>52</v>
      </c>
      <c r="C137" s="12" t="s">
        <v>56</v>
      </c>
      <c r="D137" s="12" t="s">
        <v>11</v>
      </c>
      <c r="E137" s="12" t="s">
        <v>668</v>
      </c>
      <c r="F137" s="469" t="str">
        <f>VLOOKUP(E137,'5. Consolidation'!$E$3:$F$715,2,0)</f>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
      <c r="G137" s="469" t="str">
        <f>VLOOKUP(E137,'5.2 Actions'!$A$3:$D$720,4,0)</f>
        <v>SEN</v>
      </c>
      <c r="H137" s="12"/>
      <c r="I137" s="12"/>
      <c r="J137" s="12"/>
      <c r="K137" s="12"/>
      <c r="L137" s="12"/>
      <c r="M137" s="12"/>
      <c r="N137" s="12"/>
      <c r="O137" s="12"/>
      <c r="P137" s="462">
        <f>VLOOKUP($E137,'5.1 Budget'!$A$4:$G$729,2,0)</f>
        <v>0</v>
      </c>
      <c r="Q137" s="462">
        <f>VLOOKUP($E137,'5.1 Budget'!$A$4:$G$729,3,0)</f>
        <v>0</v>
      </c>
      <c r="R137" s="462">
        <f>VLOOKUP($E137,'5.1 Budget'!$A$4:$G$729,4,0)</f>
        <v>0</v>
      </c>
      <c r="S137" s="462">
        <f>VLOOKUP($E137,'5.1 Budget'!$A$4:$G$729,5,0)</f>
        <v>0</v>
      </c>
      <c r="T137" s="462">
        <f>VLOOKUP($E137,'5.1 Budget'!$A$4:$G$729,6,0)</f>
        <v>0</v>
      </c>
      <c r="U137" s="462">
        <f>VLOOKUP($E137,'5.1 Budget'!$A$4:$G$729,7,0)</f>
        <v>0</v>
      </c>
      <c r="V137" s="462">
        <f t="shared" si="2"/>
        <v>0</v>
      </c>
    </row>
    <row r="138" spans="1:22" ht="39" x14ac:dyDescent="0.25">
      <c r="A138" s="465">
        <v>1</v>
      </c>
      <c r="B138" s="12" t="s">
        <v>52</v>
      </c>
      <c r="C138" s="12" t="s">
        <v>56</v>
      </c>
      <c r="D138" s="12" t="s">
        <v>11</v>
      </c>
      <c r="E138" s="12" t="s">
        <v>668</v>
      </c>
      <c r="F138" s="469" t="str">
        <f>VLOOKUP(E138,'5. Consolidation'!$E$3:$F$715,2,0)</f>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
      <c r="G138" s="469" t="str">
        <f>VLOOKUP(E138,'5.2 Actions'!$A$3:$D$720,4,0)</f>
        <v>SEN</v>
      </c>
      <c r="H138" s="12"/>
      <c r="I138" s="12"/>
      <c r="J138" s="12"/>
      <c r="K138" s="12"/>
      <c r="L138" s="12"/>
      <c r="M138" s="12"/>
      <c r="N138" s="12"/>
      <c r="O138" s="12"/>
      <c r="P138" s="462">
        <f>VLOOKUP($E138,'5.1 Budget'!$A$4:$G$729,2,0)</f>
        <v>0</v>
      </c>
      <c r="Q138" s="462">
        <f>VLOOKUP($E138,'5.1 Budget'!$A$4:$G$729,3,0)</f>
        <v>0</v>
      </c>
      <c r="R138" s="462">
        <f>VLOOKUP($E138,'5.1 Budget'!$A$4:$G$729,4,0)</f>
        <v>0</v>
      </c>
      <c r="S138" s="462">
        <f>VLOOKUP($E138,'5.1 Budget'!$A$4:$G$729,5,0)</f>
        <v>0</v>
      </c>
      <c r="T138" s="462">
        <f>VLOOKUP($E138,'5.1 Budget'!$A$4:$G$729,6,0)</f>
        <v>0</v>
      </c>
      <c r="U138" s="462">
        <f>VLOOKUP($E138,'5.1 Budget'!$A$4:$G$729,7,0)</f>
        <v>0</v>
      </c>
      <c r="V138" s="462">
        <f t="shared" si="2"/>
        <v>0</v>
      </c>
    </row>
    <row r="139" spans="1:22" ht="77.25" x14ac:dyDescent="0.25">
      <c r="A139" s="465">
        <v>1</v>
      </c>
      <c r="B139" s="12" t="s">
        <v>52</v>
      </c>
      <c r="C139" s="12" t="s">
        <v>56</v>
      </c>
      <c r="D139" s="12" t="s">
        <v>11</v>
      </c>
      <c r="E139" s="12" t="s">
        <v>669</v>
      </c>
      <c r="F139" s="469" t="str">
        <f>VLOOKUP(E139,'5. Consolidation'!$E$3:$F$715,2,0)</f>
        <v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v>
      </c>
      <c r="G139" s="469" t="str">
        <f>VLOOKUP(E139,'5.2 Actions'!$A$3:$D$720,4,0)</f>
        <v>SEN</v>
      </c>
      <c r="H139" s="12"/>
      <c r="I139" s="12"/>
      <c r="J139" s="12"/>
      <c r="K139" s="12"/>
      <c r="L139" s="12"/>
      <c r="M139" s="12"/>
      <c r="N139" s="12"/>
      <c r="O139" s="12"/>
      <c r="P139" s="462">
        <f>VLOOKUP($E139,'5.1 Budget'!$A$4:$G$729,2,0)</f>
        <v>0</v>
      </c>
      <c r="Q139" s="462">
        <f>VLOOKUP($E139,'5.1 Budget'!$A$4:$G$729,3,0)</f>
        <v>0</v>
      </c>
      <c r="R139" s="462">
        <f>VLOOKUP($E139,'5.1 Budget'!$A$4:$G$729,4,0)</f>
        <v>0</v>
      </c>
      <c r="S139" s="462">
        <f>VLOOKUP($E139,'5.1 Budget'!$A$4:$G$729,5,0)</f>
        <v>0</v>
      </c>
      <c r="T139" s="462">
        <f>VLOOKUP($E139,'5.1 Budget'!$A$4:$G$729,6,0)</f>
        <v>0</v>
      </c>
      <c r="U139" s="462">
        <f>VLOOKUP($E139,'5.1 Budget'!$A$4:$G$729,7,0)</f>
        <v>0</v>
      </c>
      <c r="V139" s="462">
        <f t="shared" si="2"/>
        <v>0</v>
      </c>
    </row>
    <row r="140" spans="1:22" x14ac:dyDescent="0.25">
      <c r="A140" s="465">
        <v>1</v>
      </c>
      <c r="B140" s="12" t="s">
        <v>52</v>
      </c>
      <c r="C140" s="12" t="s">
        <v>56</v>
      </c>
      <c r="D140" s="12" t="s">
        <v>11</v>
      </c>
      <c r="E140" s="12" t="s">
        <v>670</v>
      </c>
      <c r="F140" s="469" t="str">
        <f>VLOOKUP(E140,'5. Consolidation'!$E$3:$F$715,2,0)</f>
        <v>Evaluer l’impact de la mise en œuvre des solutions proposées sur le prix de l’eau</v>
      </c>
      <c r="G140" s="469" t="str">
        <f>VLOOKUP(E140,'5.2 Actions'!$A$3:$D$720,4,0)</f>
        <v>SEN</v>
      </c>
      <c r="H140" s="12"/>
      <c r="I140" s="12"/>
      <c r="J140" s="12"/>
      <c r="K140" s="12"/>
      <c r="L140" s="12"/>
      <c r="M140" s="12"/>
      <c r="N140" s="12"/>
      <c r="O140" s="12"/>
      <c r="P140" s="462">
        <f>VLOOKUP($E140,'5.1 Budget'!$A$4:$G$729,2,0)</f>
        <v>0</v>
      </c>
      <c r="Q140" s="462">
        <f>VLOOKUP($E140,'5.1 Budget'!$A$4:$G$729,3,0)</f>
        <v>0</v>
      </c>
      <c r="R140" s="462">
        <f>VLOOKUP($E140,'5.1 Budget'!$A$4:$G$729,4,0)</f>
        <v>0</v>
      </c>
      <c r="S140" s="462">
        <f>VLOOKUP($E140,'5.1 Budget'!$A$4:$G$729,5,0)</f>
        <v>0</v>
      </c>
      <c r="T140" s="462">
        <f>VLOOKUP($E140,'5.1 Budget'!$A$4:$G$729,6,0)</f>
        <v>0</v>
      </c>
      <c r="U140" s="462">
        <f>VLOOKUP($E140,'5.1 Budget'!$A$4:$G$729,7,0)</f>
        <v>0</v>
      </c>
      <c r="V140" s="462">
        <f t="shared" si="2"/>
        <v>0</v>
      </c>
    </row>
    <row r="141" spans="1:22" x14ac:dyDescent="0.25">
      <c r="A141" s="465">
        <v>1</v>
      </c>
      <c r="B141" s="12" t="s">
        <v>52</v>
      </c>
      <c r="C141" s="12" t="s">
        <v>56</v>
      </c>
      <c r="D141" s="12" t="s">
        <v>11</v>
      </c>
      <c r="E141" s="12" t="s">
        <v>671</v>
      </c>
      <c r="F141" s="469" t="str">
        <f>VLOOKUP(E141,'5. Consolidation'!$E$3:$F$715,2,0)</f>
        <v>Etude de définition de détails et rédaction du cahier des charges des travaux</v>
      </c>
      <c r="G141" s="469" t="str">
        <f>VLOOKUP(E141,'5.2 Actions'!$A$3:$D$720,4,0)</f>
        <v>SEN</v>
      </c>
      <c r="H141" s="12"/>
      <c r="I141" s="12"/>
      <c r="J141" s="12"/>
      <c r="K141" s="12"/>
      <c r="L141" s="12"/>
      <c r="M141" s="12"/>
      <c r="N141" s="12"/>
      <c r="O141" s="12"/>
      <c r="P141" s="462">
        <f>VLOOKUP($E141,'5.1 Budget'!$A$4:$G$729,2,0)</f>
        <v>0</v>
      </c>
      <c r="Q141" s="462">
        <f>VLOOKUP($E141,'5.1 Budget'!$A$4:$G$729,3,0)</f>
        <v>0</v>
      </c>
      <c r="R141" s="462">
        <f>VLOOKUP($E141,'5.1 Budget'!$A$4:$G$729,4,0)</f>
        <v>0</v>
      </c>
      <c r="S141" s="462">
        <f>VLOOKUP($E141,'5.1 Budget'!$A$4:$G$729,5,0)</f>
        <v>0</v>
      </c>
      <c r="T141" s="462">
        <f>VLOOKUP($E141,'5.1 Budget'!$A$4:$G$729,6,0)</f>
        <v>0</v>
      </c>
      <c r="U141" s="462">
        <f>VLOOKUP($E141,'5.1 Budget'!$A$4:$G$729,7,0)</f>
        <v>0</v>
      </c>
      <c r="V141" s="462">
        <f t="shared" si="2"/>
        <v>0</v>
      </c>
    </row>
    <row r="142" spans="1:22" x14ac:dyDescent="0.25">
      <c r="A142" s="465">
        <v>1</v>
      </c>
      <c r="B142" s="12" t="s">
        <v>52</v>
      </c>
      <c r="C142" s="12" t="s">
        <v>56</v>
      </c>
      <c r="D142" s="12" t="s">
        <v>11</v>
      </c>
      <c r="E142" s="12" t="s">
        <v>672</v>
      </c>
      <c r="F142" s="469" t="str">
        <f>VLOOKUP(E142,'5. Consolidation'!$E$3:$F$715,2,0)</f>
        <v>Procédure d’obtention des permis d’environnement et d’urbanisme associés au projet</v>
      </c>
      <c r="G142" s="469" t="str">
        <f>VLOOKUP(E142,'5.2 Actions'!$A$3:$D$720,4,0)</f>
        <v>SEN</v>
      </c>
      <c r="H142" s="12"/>
      <c r="I142" s="12"/>
      <c r="J142" s="12"/>
      <c r="K142" s="12"/>
      <c r="L142" s="12"/>
      <c r="M142" s="12"/>
      <c r="N142" s="12"/>
      <c r="O142" s="12"/>
      <c r="P142" s="462">
        <f>VLOOKUP($E142,'5.1 Budget'!$A$4:$G$729,2,0)</f>
        <v>0</v>
      </c>
      <c r="Q142" s="462">
        <f>VLOOKUP($E142,'5.1 Budget'!$A$4:$G$729,3,0)</f>
        <v>0</v>
      </c>
      <c r="R142" s="462">
        <f>VLOOKUP($E142,'5.1 Budget'!$A$4:$G$729,4,0)</f>
        <v>0</v>
      </c>
      <c r="S142" s="462">
        <f>VLOOKUP($E142,'5.1 Budget'!$A$4:$G$729,5,0)</f>
        <v>0</v>
      </c>
      <c r="T142" s="462">
        <f>VLOOKUP($E142,'5.1 Budget'!$A$4:$G$729,6,0)</f>
        <v>0</v>
      </c>
      <c r="U142" s="462">
        <f>VLOOKUP($E142,'5.1 Budget'!$A$4:$G$729,7,0)</f>
        <v>0</v>
      </c>
      <c r="V142" s="462">
        <f t="shared" si="2"/>
        <v>0</v>
      </c>
    </row>
    <row r="143" spans="1:22" x14ac:dyDescent="0.25">
      <c r="A143" s="465">
        <v>1</v>
      </c>
      <c r="B143" s="12" t="s">
        <v>52</v>
      </c>
      <c r="C143" s="12" t="s">
        <v>56</v>
      </c>
      <c r="D143" s="12" t="s">
        <v>11</v>
      </c>
      <c r="E143" s="12" t="s">
        <v>673</v>
      </c>
      <c r="F143" s="469" t="str">
        <f>VLOOKUP(E143,'5. Consolidation'!$E$3:$F$715,2,0)</f>
        <v>Attribution du marché de travaux</v>
      </c>
      <c r="G143" s="469" t="str">
        <f>VLOOKUP(E143,'5.2 Actions'!$A$3:$D$720,4,0)</f>
        <v>SEN</v>
      </c>
      <c r="H143" s="12"/>
      <c r="I143" s="12"/>
      <c r="J143" s="12"/>
      <c r="K143" s="12"/>
      <c r="L143" s="12"/>
      <c r="M143" s="12"/>
      <c r="N143" s="12"/>
      <c r="O143" s="12"/>
      <c r="P143" s="462">
        <f>VLOOKUP($E143,'5.1 Budget'!$A$4:$G$729,2,0)</f>
        <v>0</v>
      </c>
      <c r="Q143" s="462">
        <f>VLOOKUP($E143,'5.1 Budget'!$A$4:$G$729,3,0)</f>
        <v>0</v>
      </c>
      <c r="R143" s="462">
        <f>VLOOKUP($E143,'5.1 Budget'!$A$4:$G$729,4,0)</f>
        <v>0</v>
      </c>
      <c r="S143" s="462">
        <f>VLOOKUP($E143,'5.1 Budget'!$A$4:$G$729,5,0)</f>
        <v>0</v>
      </c>
      <c r="T143" s="462">
        <f>VLOOKUP($E143,'5.1 Budget'!$A$4:$G$729,6,0)</f>
        <v>0</v>
      </c>
      <c r="U143" s="462">
        <f>VLOOKUP($E143,'5.1 Budget'!$A$4:$G$729,7,0)</f>
        <v>0</v>
      </c>
      <c r="V143" s="462">
        <f t="shared" si="2"/>
        <v>0</v>
      </c>
    </row>
    <row r="144" spans="1:22" x14ac:dyDescent="0.25">
      <c r="A144" s="465">
        <v>1</v>
      </c>
      <c r="B144" s="12" t="s">
        <v>52</v>
      </c>
      <c r="C144" s="12" t="s">
        <v>56</v>
      </c>
      <c r="D144" s="12" t="s">
        <v>11</v>
      </c>
      <c r="E144" s="12" t="s">
        <v>674</v>
      </c>
      <c r="F144" s="469" t="str">
        <f>VLOOKUP(E144,'5. Consolidation'!$E$3:$F$715,2,0)</f>
        <v>Réalisation des travaux sur l’usine en fonctionnement</v>
      </c>
      <c r="G144" s="469" t="str">
        <f>VLOOKUP(E144,'5.2 Actions'!$A$3:$D$720,4,0)</f>
        <v>SEN</v>
      </c>
      <c r="H144" s="12"/>
      <c r="I144" s="12"/>
      <c r="J144" s="12"/>
      <c r="K144" s="12"/>
      <c r="L144" s="12"/>
      <c r="M144" s="12"/>
      <c r="N144" s="12"/>
      <c r="O144" s="12"/>
      <c r="P144" s="462">
        <f>VLOOKUP($E144,'5.1 Budget'!$A$4:$G$729,2,0)</f>
        <v>0</v>
      </c>
      <c r="Q144" s="462">
        <f>VLOOKUP($E144,'5.1 Budget'!$A$4:$G$729,3,0)</f>
        <v>0</v>
      </c>
      <c r="R144" s="462">
        <f>VLOOKUP($E144,'5.1 Budget'!$A$4:$G$729,4,0)</f>
        <v>0</v>
      </c>
      <c r="S144" s="462">
        <f>VLOOKUP($E144,'5.1 Budget'!$A$4:$G$729,5,0)</f>
        <v>0</v>
      </c>
      <c r="T144" s="462">
        <f>VLOOKUP($E144,'5.1 Budget'!$A$4:$G$729,6,0)</f>
        <v>0</v>
      </c>
      <c r="U144" s="462">
        <f>VLOOKUP($E144,'5.1 Budget'!$A$4:$G$729,7,0)</f>
        <v>0</v>
      </c>
      <c r="V144" s="462">
        <f t="shared" si="2"/>
        <v>0</v>
      </c>
    </row>
    <row r="145" spans="1:22" x14ac:dyDescent="0.25">
      <c r="A145" s="465">
        <v>1</v>
      </c>
      <c r="B145" s="12" t="s">
        <v>52</v>
      </c>
      <c r="C145" s="12" t="s">
        <v>57</v>
      </c>
      <c r="D145" s="12" t="s">
        <v>12</v>
      </c>
      <c r="E145" s="12" t="s">
        <v>2572</v>
      </c>
      <c r="F145" s="469" t="str">
        <f>VLOOKUP(E145,'5. Consolidation'!$E$3:$F$715,2,0)</f>
        <v>Réaliser un benchmarking des conditions générales et sectorielles de déversement d’eaux usées en Flandre et en Wallonie</v>
      </c>
      <c r="G145" s="469" t="str">
        <f>VLOOKUP(E145,'5.2 Actions'!$A$3:$D$720,4,0)</f>
        <v>?</v>
      </c>
      <c r="H145" s="12"/>
      <c r="I145" s="12"/>
      <c r="J145" s="12"/>
      <c r="K145" s="12"/>
      <c r="L145" s="12"/>
      <c r="M145" s="12"/>
      <c r="N145" s="12"/>
      <c r="O145" s="12"/>
      <c r="P145" s="462">
        <v>0</v>
      </c>
      <c r="Q145" s="462">
        <v>0</v>
      </c>
      <c r="R145" s="462">
        <v>0</v>
      </c>
      <c r="S145" s="462">
        <v>0</v>
      </c>
      <c r="T145" s="462">
        <v>0</v>
      </c>
      <c r="U145" s="462">
        <v>0</v>
      </c>
      <c r="V145" s="462">
        <f t="shared" si="2"/>
        <v>0</v>
      </c>
    </row>
    <row r="146" spans="1:22" ht="39" x14ac:dyDescent="0.25">
      <c r="A146" s="465">
        <v>1</v>
      </c>
      <c r="B146" s="12" t="s">
        <v>52</v>
      </c>
      <c r="C146" s="12" t="s">
        <v>57</v>
      </c>
      <c r="D146" s="12" t="s">
        <v>12</v>
      </c>
      <c r="E146" s="12" t="s">
        <v>2574</v>
      </c>
      <c r="F146" s="469" t="str">
        <f>VLOOKUP(E146,'5. Consolidation'!$E$3:$F$715,2,0)</f>
        <v xml:space="preserve">Réaliser une campagne de mesures des polluants problématiques (pour une large gamme de paramètres, connus et potentiels) émis dans les eaux usées par les principaux secteurs d’activités de la Région, dont les secteurs industriels et les hôpitaux. </v>
      </c>
      <c r="G146" s="469" t="str">
        <f>VLOOKUP(E146,'5.2 Actions'!$A$3:$D$720,4,0)</f>
        <v>?</v>
      </c>
      <c r="H146" s="12"/>
      <c r="I146" s="12"/>
      <c r="J146" s="12"/>
      <c r="K146" s="12"/>
      <c r="L146" s="12"/>
      <c r="M146" s="12"/>
      <c r="N146" s="459">
        <v>2022</v>
      </c>
      <c r="O146" s="12"/>
      <c r="P146" s="462">
        <f>VLOOKUP($E146,'5.1 Budget'!$A$4:$G$729,2,0)</f>
        <v>100000</v>
      </c>
      <c r="Q146" s="462">
        <f>VLOOKUP($E146,'5.1 Budget'!$A$4:$G$729,3,0)</f>
        <v>0</v>
      </c>
      <c r="R146" s="462">
        <f>VLOOKUP($E146,'5.1 Budget'!$A$4:$G$729,4,0)</f>
        <v>0</v>
      </c>
      <c r="S146" s="462">
        <f>VLOOKUP($E146,'5.1 Budget'!$A$4:$G$729,5,0)</f>
        <v>0</v>
      </c>
      <c r="T146" s="462">
        <f>VLOOKUP($E146,'5.1 Budget'!$A$4:$G$729,6,0)</f>
        <v>0</v>
      </c>
      <c r="U146" s="462">
        <f>VLOOKUP($E146,'5.1 Budget'!$A$4:$G$729,7,0)</f>
        <v>0</v>
      </c>
      <c r="V146" s="462">
        <f t="shared" si="2"/>
        <v>100000</v>
      </c>
    </row>
    <row r="147" spans="1:22" ht="39" x14ac:dyDescent="0.25">
      <c r="A147" s="465">
        <v>1</v>
      </c>
      <c r="B147" s="12" t="s">
        <v>52</v>
      </c>
      <c r="C147" s="12" t="s">
        <v>57</v>
      </c>
      <c r="D147" s="12" t="s">
        <v>12</v>
      </c>
      <c r="E147" s="12" t="s">
        <v>2576</v>
      </c>
      <c r="F147" s="469" t="str">
        <f>VLOOKUP(E147,'5. Consolidation'!$E$3:$F$715,2,0)</f>
        <v xml:space="preserve">Sur base des résultats de l’action 1.13.2, analyser les possibilités de réduction à la source pour l’utilisation et le rejet de certaines substances et évaluer les améliorations possibles de leur traitement  pour fixer des normes acceptables environnementalement et pouvant être respectées techniquement </v>
      </c>
      <c r="G147" s="469" t="str">
        <f>VLOOKUP(E147,'5.2 Actions'!$A$3:$D$720,4,0)</f>
        <v>?</v>
      </c>
      <c r="H147" s="12"/>
      <c r="I147" s="12"/>
      <c r="J147" s="12"/>
      <c r="K147" s="12"/>
      <c r="L147" s="12"/>
      <c r="M147" s="12"/>
      <c r="N147" s="459">
        <v>2023</v>
      </c>
      <c r="O147" s="12"/>
      <c r="P147" s="462">
        <f>VLOOKUP($E147,'5.1 Budget'!$A$4:$G$729,2,0)</f>
        <v>0</v>
      </c>
      <c r="Q147" s="462">
        <f>VLOOKUP($E147,'5.1 Budget'!$A$4:$G$729,3,0)</f>
        <v>100000</v>
      </c>
      <c r="R147" s="462">
        <f>VLOOKUP($E147,'5.1 Budget'!$A$4:$G$729,4,0)</f>
        <v>0</v>
      </c>
      <c r="S147" s="462">
        <f>VLOOKUP($E147,'5.1 Budget'!$A$4:$G$729,5,0)</f>
        <v>0</v>
      </c>
      <c r="T147" s="462">
        <f>VLOOKUP($E147,'5.1 Budget'!$A$4:$G$729,6,0)</f>
        <v>0</v>
      </c>
      <c r="U147" s="462">
        <f>VLOOKUP($E147,'5.1 Budget'!$A$4:$G$729,7,0)</f>
        <v>0</v>
      </c>
      <c r="V147" s="462">
        <f t="shared" si="2"/>
        <v>100000</v>
      </c>
    </row>
    <row r="148" spans="1:22" ht="26.25" x14ac:dyDescent="0.25">
      <c r="A148" s="465">
        <v>1</v>
      </c>
      <c r="B148" s="12" t="s">
        <v>52</v>
      </c>
      <c r="C148" s="12" t="s">
        <v>57</v>
      </c>
      <c r="D148" s="12" t="s">
        <v>12</v>
      </c>
      <c r="E148" s="12" t="s">
        <v>2578</v>
      </c>
      <c r="F148" s="469" t="str">
        <f>VLOOKUP(E148,'5. Consolidation'!$E$3:$F$715,2,0)</f>
        <v>Proposer un arrêté du Gouvernement actualisant les conditions générales de déversement d’eaux usées, en établissant un lien avec les objectifs de qualité des eaux de surface lorsque le rejet a lieu dans une eau de surface</v>
      </c>
      <c r="G148" s="469" t="str">
        <f>VLOOKUP(E148,'5.2 Actions'!$A$3:$D$720,4,0)</f>
        <v>?</v>
      </c>
      <c r="H148" s="12"/>
      <c r="I148" s="12"/>
      <c r="J148" s="12"/>
      <c r="K148" s="12"/>
      <c r="L148" s="12"/>
      <c r="M148" s="12"/>
      <c r="N148" s="12"/>
      <c r="O148" s="12"/>
      <c r="P148" s="462">
        <v>0</v>
      </c>
      <c r="Q148" s="462">
        <v>0</v>
      </c>
      <c r="R148" s="462">
        <v>0</v>
      </c>
      <c r="S148" s="462">
        <v>0</v>
      </c>
      <c r="T148" s="462">
        <v>0</v>
      </c>
      <c r="U148" s="462">
        <v>0</v>
      </c>
      <c r="V148" s="462">
        <f t="shared" ref="V148:V149" si="3">SUM(P148:U148)</f>
        <v>0</v>
      </c>
    </row>
    <row r="149" spans="1:22" ht="39" x14ac:dyDescent="0.25">
      <c r="A149" s="465">
        <v>1</v>
      </c>
      <c r="B149" s="12" t="s">
        <v>52</v>
      </c>
      <c r="C149" s="12" t="s">
        <v>57</v>
      </c>
      <c r="D149" s="12" t="s">
        <v>12</v>
      </c>
      <c r="E149" s="12" t="s">
        <v>2580</v>
      </c>
      <c r="F149" s="469" t="str">
        <f>VLOOKUP(E149,'5. Consolidation'!$E$3:$F$715,2,0)</f>
        <v>Actualiser les normes de rejet spécifiques dans le cadre des permis d’environnement et inclure l’obligation d’un automonitoring des eaux usées déversées dans les permis d’environnement pour certaines substances et industries pertinentes</v>
      </c>
      <c r="G149" s="469" t="str">
        <f>VLOOKUP(E149,'5.2 Actions'!$A$3:$D$720,4,0)</f>
        <v>?</v>
      </c>
      <c r="H149" s="12"/>
      <c r="I149" s="12"/>
      <c r="J149" s="12"/>
      <c r="K149" s="12"/>
      <c r="L149" s="12"/>
      <c r="M149" s="12"/>
      <c r="N149" s="12"/>
      <c r="O149" s="12"/>
      <c r="P149" s="462">
        <v>0</v>
      </c>
      <c r="Q149" s="462">
        <v>0</v>
      </c>
      <c r="R149" s="462">
        <v>0</v>
      </c>
      <c r="S149" s="462">
        <v>0</v>
      </c>
      <c r="T149" s="462">
        <v>0</v>
      </c>
      <c r="U149" s="462">
        <v>0</v>
      </c>
      <c r="V149" s="462">
        <f t="shared" si="3"/>
        <v>0</v>
      </c>
    </row>
    <row r="150" spans="1:22" ht="26.25" x14ac:dyDescent="0.25">
      <c r="A150" s="465">
        <v>1</v>
      </c>
      <c r="B150" s="12" t="s">
        <v>52</v>
      </c>
      <c r="C150" s="12" t="s">
        <v>57</v>
      </c>
      <c r="D150" s="12" t="s">
        <v>13</v>
      </c>
      <c r="E150" s="12" t="s">
        <v>675</v>
      </c>
      <c r="F150" s="469" t="str">
        <f>VLOOKUP(E150,'5. Consolidation'!$E$3:$F$715,2,0)</f>
        <v>Identifier les entreprises qui rejettent directement des eaux non domestiques dans les eaux de surface et encoder l’information dans la base de données des permis d’environnement</v>
      </c>
      <c r="G150" s="469" t="str">
        <f>VLOOKUP(E150,'5.2 Actions'!$A$3:$D$720,4,0)</f>
        <v>SEN / WOL / CAN</v>
      </c>
      <c r="H150" s="12"/>
      <c r="I150" s="12"/>
      <c r="J150" s="12"/>
      <c r="K150" s="12"/>
      <c r="L150" s="12"/>
      <c r="M150" s="12"/>
      <c r="N150" s="12"/>
      <c r="O150" s="12"/>
      <c r="P150" s="462">
        <f>VLOOKUP($E150,'5.1 Budget'!$A$4:$G$729,2,0)</f>
        <v>0</v>
      </c>
      <c r="Q150" s="462">
        <f>VLOOKUP($E150,'5.1 Budget'!$A$4:$G$729,3,0)</f>
        <v>0</v>
      </c>
      <c r="R150" s="462">
        <f>VLOOKUP($E150,'5.1 Budget'!$A$4:$G$729,4,0)</f>
        <v>0</v>
      </c>
      <c r="S150" s="462">
        <f>VLOOKUP($E150,'5.1 Budget'!$A$4:$G$729,5,0)</f>
        <v>0</v>
      </c>
      <c r="T150" s="462">
        <f>VLOOKUP($E150,'5.1 Budget'!$A$4:$G$729,6,0)</f>
        <v>0</v>
      </c>
      <c r="U150" s="462">
        <f>VLOOKUP($E150,'5.1 Budget'!$A$4:$G$729,7,0)</f>
        <v>0</v>
      </c>
      <c r="V150" s="462">
        <f t="shared" si="2"/>
        <v>0</v>
      </c>
    </row>
    <row r="151" spans="1:22" ht="26.25" x14ac:dyDescent="0.25">
      <c r="A151" s="465">
        <v>1</v>
      </c>
      <c r="B151" s="12" t="s">
        <v>52</v>
      </c>
      <c r="C151" s="12" t="s">
        <v>57</v>
      </c>
      <c r="D151" s="12" t="s">
        <v>13</v>
      </c>
      <c r="E151" s="12" t="s">
        <v>678</v>
      </c>
      <c r="F151" s="469" t="str">
        <f>VLOOKUP(E151,'5. Consolidation'!$E$3:$F$715,2,0)</f>
        <v>Sur base des résultats de l’analyse de secteurs (mesure 1.13.2), sélection des secteurs les plus problématiques et proposition de priorisation par secteur</v>
      </c>
      <c r="G151" s="469" t="str">
        <f>VLOOKUP(E151,'5.2 Actions'!$A$3:$D$720,4,0)</f>
        <v>SEN / WOL / CAN</v>
      </c>
      <c r="H151" s="12"/>
      <c r="I151" s="12"/>
      <c r="J151" s="12"/>
      <c r="K151" s="12"/>
      <c r="L151" s="12"/>
      <c r="M151" s="12"/>
      <c r="N151" s="12"/>
      <c r="O151" s="12"/>
      <c r="P151" s="462">
        <f>VLOOKUP($E151,'5.1 Budget'!$A$4:$G$729,2,0)</f>
        <v>0</v>
      </c>
      <c r="Q151" s="462">
        <f>VLOOKUP($E151,'5.1 Budget'!$A$4:$G$729,3,0)</f>
        <v>0</v>
      </c>
      <c r="R151" s="462">
        <f>VLOOKUP($E151,'5.1 Budget'!$A$4:$G$729,4,0)</f>
        <v>0</v>
      </c>
      <c r="S151" s="462">
        <f>VLOOKUP($E151,'5.1 Budget'!$A$4:$G$729,5,0)</f>
        <v>0</v>
      </c>
      <c r="T151" s="462">
        <f>VLOOKUP($E151,'5.1 Budget'!$A$4:$G$729,6,0)</f>
        <v>0</v>
      </c>
      <c r="U151" s="462">
        <f>VLOOKUP($E151,'5.1 Budget'!$A$4:$G$729,7,0)</f>
        <v>0</v>
      </c>
      <c r="V151" s="462">
        <f t="shared" si="2"/>
        <v>0</v>
      </c>
    </row>
    <row r="152" spans="1:22" ht="39" x14ac:dyDescent="0.25">
      <c r="A152" s="465">
        <v>1</v>
      </c>
      <c r="B152" s="12" t="s">
        <v>52</v>
      </c>
      <c r="C152" s="12" t="s">
        <v>57</v>
      </c>
      <c r="D152" s="12" t="s">
        <v>13</v>
      </c>
      <c r="E152" s="12" t="s">
        <v>676</v>
      </c>
      <c r="F152" s="469" t="str">
        <f>VLOOKUP(E152,'5. Consolidation'!$E$3:$F$715,2,0)</f>
        <v xml:space="preserve">Recenser, dans la base de données des permis d’environnement, les installations classées dont les rejets sont potentiellement problématiques au regard des objectifs de qualité des eaux de surface afin de permettre un contrôle ciblé de celles-ci.  </v>
      </c>
      <c r="G152" s="469" t="str">
        <f>VLOOKUP(E152,'5.2 Actions'!$A$3:$D$720,4,0)</f>
        <v>SEN / WOL / CAN</v>
      </c>
      <c r="H152" s="12"/>
      <c r="I152" s="12"/>
      <c r="J152" s="12"/>
      <c r="K152" s="12"/>
      <c r="L152" s="12"/>
      <c r="M152" s="12"/>
      <c r="N152" s="12"/>
      <c r="O152" s="12"/>
      <c r="P152" s="462">
        <f>VLOOKUP($E152,'5.1 Budget'!$A$4:$G$729,2,0)</f>
        <v>0</v>
      </c>
      <c r="Q152" s="462">
        <f>VLOOKUP($E152,'5.1 Budget'!$A$4:$G$729,3,0)</f>
        <v>0</v>
      </c>
      <c r="R152" s="462">
        <f>VLOOKUP($E152,'5.1 Budget'!$A$4:$G$729,4,0)</f>
        <v>0</v>
      </c>
      <c r="S152" s="462">
        <f>VLOOKUP($E152,'5.1 Budget'!$A$4:$G$729,5,0)</f>
        <v>0</v>
      </c>
      <c r="T152" s="462">
        <f>VLOOKUP($E152,'5.1 Budget'!$A$4:$G$729,6,0)</f>
        <v>0</v>
      </c>
      <c r="U152" s="462">
        <f>VLOOKUP($E152,'5.1 Budget'!$A$4:$G$729,7,0)</f>
        <v>0</v>
      </c>
      <c r="V152" s="462">
        <f t="shared" si="2"/>
        <v>0</v>
      </c>
    </row>
    <row r="153" spans="1:22" ht="26.25" x14ac:dyDescent="0.25">
      <c r="A153" s="465">
        <v>1</v>
      </c>
      <c r="B153" s="12" t="s">
        <v>52</v>
      </c>
      <c r="C153" s="12" t="s">
        <v>57</v>
      </c>
      <c r="D153" s="12" t="s">
        <v>13</v>
      </c>
      <c r="E153" s="12" t="s">
        <v>677</v>
      </c>
      <c r="F153" s="469" t="str">
        <f>VLOOKUP(E153,'5. Consolidation'!$E$3:$F$715,2,0)</f>
        <v>Etablissement d’un programme d’inspection spécifique pour ces installations classées en tenant compte des priorités proposées et réalise progressivement le contrôle les rejets.</v>
      </c>
      <c r="G153" s="469" t="str">
        <f>VLOOKUP(E153,'5.2 Actions'!$A$3:$D$720,4,0)</f>
        <v>SEN / WOL / CAN</v>
      </c>
      <c r="H153" s="12"/>
      <c r="I153" s="12"/>
      <c r="J153" s="12"/>
      <c r="K153" s="12"/>
      <c r="L153" s="12"/>
      <c r="M153" s="12"/>
      <c r="N153" s="459">
        <v>2022</v>
      </c>
      <c r="O153" s="12">
        <v>2027</v>
      </c>
      <c r="P153" s="462">
        <f>VLOOKUP($E153,'5.1 Budget'!$A$4:$G$729,2,0)</f>
        <v>15000</v>
      </c>
      <c r="Q153" s="462">
        <f>VLOOKUP($E153,'5.1 Budget'!$A$4:$G$729,3,0)</f>
        <v>15000</v>
      </c>
      <c r="R153" s="462">
        <f>VLOOKUP($E153,'5.1 Budget'!$A$4:$G$729,4,0)</f>
        <v>15000</v>
      </c>
      <c r="S153" s="462">
        <f>VLOOKUP($E153,'5.1 Budget'!$A$4:$G$729,5,0)</f>
        <v>15000</v>
      </c>
      <c r="T153" s="462">
        <f>VLOOKUP($E153,'5.1 Budget'!$A$4:$G$729,6,0)</f>
        <v>15000</v>
      </c>
      <c r="U153" s="462">
        <f>VLOOKUP($E153,'5.1 Budget'!$A$4:$G$729,7,0)</f>
        <v>15000</v>
      </c>
      <c r="V153" s="462">
        <f t="shared" si="2"/>
        <v>90000</v>
      </c>
    </row>
    <row r="154" spans="1:22" ht="102.75" x14ac:dyDescent="0.25">
      <c r="A154" s="465">
        <v>1</v>
      </c>
      <c r="B154" s="12" t="s">
        <v>52</v>
      </c>
      <c r="C154" s="12" t="s">
        <v>57</v>
      </c>
      <c r="D154" s="12" t="s">
        <v>14</v>
      </c>
      <c r="E154" s="12" t="s">
        <v>2797</v>
      </c>
      <c r="F154" s="469" t="str">
        <f>VLOOKUP(E154,'5. Consolidation'!$E$3:$F$715,2,0)</f>
        <v xml:space="preserve">Dans le cadre de REACH : 
• Mise en œuvre de la législation REACH : Contrôle et encadrement de l’utilisation/stockage des substances reprises à l’annexe 14 de REACH dans le cadre des permis d’environnement ;
• Identifier les données des permis d’environnement, notamment pour les substances suivantes : Anthracène ; Benzo(a)pyrène ; Benzo(g,h,i)perylène ; Fluoranthène ; Pyrène ; Plomb ; 4-n-nonylphénol ;Di(2-ethylhexyle)-phthalate ; Cadmium ; 1,2,5,6,9,10-hexabromocyclododécane (= alpha- + bêta- + gamma-HBCDD) ; procéder systématiquement à une analyse de risque et fixer les conditions adéquates dans les nouveaux permis ou prolongation de permis.
</v>
      </c>
      <c r="G154" s="469" t="str">
        <f>VLOOKUP(E154,'5.2 Actions'!$A$3:$D$720,4,0)</f>
        <v>?</v>
      </c>
      <c r="H154" s="12"/>
      <c r="I154" s="12"/>
      <c r="J154" s="12"/>
      <c r="K154" s="12"/>
      <c r="L154" s="12"/>
      <c r="M154" s="12"/>
      <c r="N154" s="12"/>
      <c r="O154" s="12"/>
      <c r="P154" s="462">
        <f>VLOOKUP($E154,'5.1 Budget'!$A$4:$G$729,2,0)</f>
        <v>0</v>
      </c>
      <c r="Q154" s="462">
        <f>VLOOKUP($E154,'5.1 Budget'!$A$4:$G$729,3,0)</f>
        <v>0</v>
      </c>
      <c r="R154" s="462">
        <f>VLOOKUP($E154,'5.1 Budget'!$A$4:$G$729,4,0)</f>
        <v>0</v>
      </c>
      <c r="S154" s="462">
        <f>VLOOKUP($E154,'5.1 Budget'!$A$4:$G$729,5,0)</f>
        <v>0</v>
      </c>
      <c r="T154" s="462">
        <f>VLOOKUP($E154,'5.1 Budget'!$A$4:$G$729,6,0)</f>
        <v>0</v>
      </c>
      <c r="U154" s="462">
        <f>VLOOKUP($E154,'5.1 Budget'!$A$4:$G$729,7,0)</f>
        <v>0</v>
      </c>
      <c r="V154" s="462">
        <f t="shared" si="2"/>
        <v>0</v>
      </c>
    </row>
    <row r="155" spans="1:22" ht="51.75" x14ac:dyDescent="0.25">
      <c r="A155" s="465">
        <v>1</v>
      </c>
      <c r="B155" s="12" t="s">
        <v>52</v>
      </c>
      <c r="C155" s="12" t="s">
        <v>57</v>
      </c>
      <c r="D155" s="12" t="s">
        <v>14</v>
      </c>
      <c r="E155" s="12" t="s">
        <v>2799</v>
      </c>
      <c r="F155" s="469" t="str">
        <f>VLOOKUP(E155,'5. Consolidation'!$E$3:$F$715,2,0)</f>
        <v xml:space="preserve">Dans le cadre du NAPED : 
• Mise en œuvre des mesures du NAPED qui sont du ressort de la Région (lorsqu’il sera adopté). 
• Veiller plus précisément à celles concernant le nonylphénols et le di(2-ethylhexyle)-phthalate 
</v>
      </c>
      <c r="G155" s="469" t="str">
        <f>VLOOKUP(E155,'5.2 Actions'!$A$3:$D$720,4,0)</f>
        <v>?</v>
      </c>
      <c r="H155" s="12"/>
      <c r="I155" s="12"/>
      <c r="J155" s="12"/>
      <c r="K155" s="12"/>
      <c r="L155" s="12"/>
      <c r="M155" s="12"/>
      <c r="N155" s="12"/>
      <c r="O155" s="12"/>
      <c r="P155" s="462">
        <f>VLOOKUP($E155,'5.1 Budget'!$A$4:$G$729,2,0)</f>
        <v>0</v>
      </c>
      <c r="Q155" s="462">
        <f>VLOOKUP($E155,'5.1 Budget'!$A$4:$G$729,3,0)</f>
        <v>0</v>
      </c>
      <c r="R155" s="462">
        <f>VLOOKUP($E155,'5.1 Budget'!$A$4:$G$729,4,0)</f>
        <v>0</v>
      </c>
      <c r="S155" s="462">
        <f>VLOOKUP($E155,'5.1 Budget'!$A$4:$G$729,5,0)</f>
        <v>0</v>
      </c>
      <c r="T155" s="462">
        <f>VLOOKUP($E155,'5.1 Budget'!$A$4:$G$729,6,0)</f>
        <v>0</v>
      </c>
      <c r="U155" s="462">
        <f>VLOOKUP($E155,'5.1 Budget'!$A$4:$G$729,7,0)</f>
        <v>0</v>
      </c>
      <c r="V155" s="462">
        <f t="shared" si="2"/>
        <v>0</v>
      </c>
    </row>
    <row r="156" spans="1:22" ht="102.75" x14ac:dyDescent="0.25">
      <c r="A156" s="465">
        <v>1</v>
      </c>
      <c r="B156" s="12" t="s">
        <v>52</v>
      </c>
      <c r="C156" s="12" t="s">
        <v>57</v>
      </c>
      <c r="D156" s="12" t="s">
        <v>14</v>
      </c>
      <c r="E156" s="12" t="s">
        <v>2801</v>
      </c>
      <c r="F156" s="469" t="str">
        <f>VLOOKUP(E156,'5. Consolidation'!$E$3:$F$715,2,0)</f>
        <v xml:space="preserve">Dans le cadre de la Convention de Stockholm et du règlement UE en matière de POP et du NIP belge : 
• Soutenir et appliquer les mesures de la convention par le biais des permis d’environnement et des inventaires des émissions (E-PRTR). 
• Veiller plus précisément à celles concernant l’heptachlore et époxyde d’heptachlore ; l’acide perfluorooctane-sulfonique et ses dérivés PCB ; les diphényléthers bromés (= PBDE28 + 47 + 99 + 100 + 153 + 154) ; 1,2,5,6,9,10-l’hexabromocyclododécane (= alpha- + bêta- + gamma-HBCDD) et les dioxines et composés de type dioxine.
</v>
      </c>
      <c r="G156" s="469" t="str">
        <f>VLOOKUP(E156,'5.2 Actions'!$A$3:$D$720,4,0)</f>
        <v>?</v>
      </c>
      <c r="H156" s="12"/>
      <c r="I156" s="12"/>
      <c r="J156" s="12"/>
      <c r="K156" s="12"/>
      <c r="L156" s="12"/>
      <c r="M156" s="12"/>
      <c r="N156" s="12"/>
      <c r="O156" s="12"/>
      <c r="P156" s="462">
        <f>VLOOKUP($E156,'5.1 Budget'!$A$4:$G$729,2,0)</f>
        <v>0</v>
      </c>
      <c r="Q156" s="462">
        <f>VLOOKUP($E156,'5.1 Budget'!$A$4:$G$729,3,0)</f>
        <v>0</v>
      </c>
      <c r="R156" s="462">
        <f>VLOOKUP($E156,'5.1 Budget'!$A$4:$G$729,4,0)</f>
        <v>0</v>
      </c>
      <c r="S156" s="462">
        <f>VLOOKUP($E156,'5.1 Budget'!$A$4:$G$729,5,0)</f>
        <v>0</v>
      </c>
      <c r="T156" s="462">
        <f>VLOOKUP($E156,'5.1 Budget'!$A$4:$G$729,6,0)</f>
        <v>0</v>
      </c>
      <c r="U156" s="462">
        <f>VLOOKUP($E156,'5.1 Budget'!$A$4:$G$729,7,0)</f>
        <v>0</v>
      </c>
      <c r="V156" s="462">
        <f t="shared" si="2"/>
        <v>0</v>
      </c>
    </row>
    <row r="157" spans="1:22" ht="39" x14ac:dyDescent="0.25">
      <c r="A157" s="465">
        <v>1</v>
      </c>
      <c r="B157" s="12" t="s">
        <v>52</v>
      </c>
      <c r="C157" s="12" t="s">
        <v>57</v>
      </c>
      <c r="D157" s="12" t="s">
        <v>14</v>
      </c>
      <c r="E157" s="12" t="s">
        <v>2803</v>
      </c>
      <c r="F157" s="469" t="str">
        <f>VLOOKUP(E157,'5. Consolidation'!$E$3:$F$715,2,0)</f>
        <v xml:space="preserve">Dans le cadre du NAP-AMR : 
• Mise en œuvre des mesures du NAP-AMR. 
</v>
      </c>
      <c r="G157" s="469" t="str">
        <f>VLOOKUP(E157,'5.2 Actions'!$A$3:$D$720,4,0)</f>
        <v>?</v>
      </c>
      <c r="H157" s="12"/>
      <c r="I157" s="12"/>
      <c r="J157" s="12"/>
      <c r="K157" s="12"/>
      <c r="L157" s="12"/>
      <c r="M157" s="12"/>
      <c r="N157" s="12"/>
      <c r="O157" s="12"/>
      <c r="P157" s="462">
        <f>VLOOKUP($E157,'5.1 Budget'!$A$4:$G$729,2,0)</f>
        <v>0</v>
      </c>
      <c r="Q157" s="462">
        <f>VLOOKUP($E157,'5.1 Budget'!$A$4:$G$729,3,0)</f>
        <v>0</v>
      </c>
      <c r="R157" s="462">
        <f>VLOOKUP($E157,'5.1 Budget'!$A$4:$G$729,4,0)</f>
        <v>0</v>
      </c>
      <c r="S157" s="462">
        <f>VLOOKUP($E157,'5.1 Budget'!$A$4:$G$729,5,0)</f>
        <v>0</v>
      </c>
      <c r="T157" s="462">
        <f>VLOOKUP($E157,'5.1 Budget'!$A$4:$G$729,6,0)</f>
        <v>0</v>
      </c>
      <c r="U157" s="462">
        <f>VLOOKUP($E157,'5.1 Budget'!$A$4:$G$729,7,0)</f>
        <v>0</v>
      </c>
      <c r="V157" s="462">
        <f t="shared" si="2"/>
        <v>0</v>
      </c>
    </row>
    <row r="158" spans="1:22" ht="141" x14ac:dyDescent="0.25">
      <c r="A158" s="465">
        <v>1</v>
      </c>
      <c r="B158" s="12" t="s">
        <v>52</v>
      </c>
      <c r="C158" s="12" t="s">
        <v>57</v>
      </c>
      <c r="D158" s="12" t="s">
        <v>14</v>
      </c>
      <c r="E158" s="12" t="s">
        <v>2805</v>
      </c>
      <c r="F158" s="469" t="str">
        <f>VLOOKUP(E158,'5. Consolidation'!$E$3:$F$715,2,0)</f>
        <v xml:space="preserve">Dans le cadre du PRRP et du NAPAN : 
• Mise en œuvre des mesures du PRRP et NAPAN (cf. aussi M 3.6)
• Définition d’une stratégie de monitoring et mise en œuvre d’une campagne de mesure spécifique:
• Définition d’une liste de substances à analyser, au-delà des listes de substances prioritaires et de vigilance européennes faisant déjà l’objet de monitoring, notamment au regard des données disponibles dans les autres régions ;
• Définition des sites les plus à risque (proximité des zones agricoles, proximité des voies ferrées, proximité de terrains de sport engazonnés, etc.)
• Définition du protocole d’échantillonnage (périodes de prélèvement, répétition dans le temps,…)
En cas de pollutions constatées dans les eaux souterraines ou de surface, les causes de celles-ci seront recherchées afin de proposer d’éventuelles mesures de remédiation.
</v>
      </c>
      <c r="G158" s="469" t="str">
        <f>VLOOKUP(E158,'5.2 Actions'!$A$3:$D$720,4,0)</f>
        <v>?</v>
      </c>
      <c r="H158" s="12"/>
      <c r="I158" s="12"/>
      <c r="J158" s="12"/>
      <c r="K158" s="12"/>
      <c r="L158" s="12"/>
      <c r="M158" s="12"/>
      <c r="N158" s="12"/>
      <c r="O158" s="12"/>
      <c r="P158" s="462">
        <f>VLOOKUP($E158,'5.1 Budget'!$A$4:$G$729,2,0)</f>
        <v>0</v>
      </c>
      <c r="Q158" s="462">
        <f>VLOOKUP($E158,'5.1 Budget'!$A$4:$G$729,3,0)</f>
        <v>0</v>
      </c>
      <c r="R158" s="462">
        <f>VLOOKUP($E158,'5.1 Budget'!$A$4:$G$729,4,0)</f>
        <v>0</v>
      </c>
      <c r="S158" s="462">
        <f>VLOOKUP($E158,'5.1 Budget'!$A$4:$G$729,5,0)</f>
        <v>0</v>
      </c>
      <c r="T158" s="462">
        <f>VLOOKUP($E158,'5.1 Budget'!$A$4:$G$729,6,0)</f>
        <v>0</v>
      </c>
      <c r="U158" s="462">
        <f>VLOOKUP($E158,'5.1 Budget'!$A$4:$G$729,7,0)</f>
        <v>0</v>
      </c>
      <c r="V158" s="462">
        <f t="shared" si="2"/>
        <v>0</v>
      </c>
    </row>
    <row r="159" spans="1:22" ht="64.5" x14ac:dyDescent="0.25">
      <c r="A159" s="465">
        <v>1</v>
      </c>
      <c r="B159" s="12" t="s">
        <v>52</v>
      </c>
      <c r="C159" s="12" t="s">
        <v>57</v>
      </c>
      <c r="D159" s="12" t="s">
        <v>14</v>
      </c>
      <c r="E159" s="12" t="s">
        <v>2807</v>
      </c>
      <c r="F159" s="469" t="str">
        <f>VLOOKUP(E159,'5. Consolidation'!$E$3:$F$715,2,0)</f>
        <v xml:space="preserve">Dans le cadre du PRRP et du NAPAN : 
• Géolocaliser les données d’utilisation des pesticides 
• Analyser ces données avec celles des concentrations dans les eaux
</v>
      </c>
      <c r="G159" s="469" t="str">
        <f>VLOOKUP(E159,'5.2 Actions'!$A$3:$D$720,4,0)</f>
        <v>?</v>
      </c>
      <c r="H159" s="12"/>
      <c r="I159" s="12"/>
      <c r="J159" s="12"/>
      <c r="K159" s="12"/>
      <c r="L159" s="12"/>
      <c r="M159" s="12"/>
      <c r="N159" s="12"/>
      <c r="O159" s="12"/>
      <c r="P159" s="462">
        <f>VLOOKUP($E159,'5.1 Budget'!$A$4:$G$729,2,0)</f>
        <v>0</v>
      </c>
      <c r="Q159" s="462">
        <f>VLOOKUP($E159,'5.1 Budget'!$A$4:$G$729,3,0)</f>
        <v>0</v>
      </c>
      <c r="R159" s="462">
        <f>VLOOKUP($E159,'5.1 Budget'!$A$4:$G$729,4,0)</f>
        <v>0</v>
      </c>
      <c r="S159" s="462">
        <f>VLOOKUP($E159,'5.1 Budget'!$A$4:$G$729,5,0)</f>
        <v>0</v>
      </c>
      <c r="T159" s="462">
        <f>VLOOKUP($E159,'5.1 Budget'!$A$4:$G$729,6,0)</f>
        <v>0</v>
      </c>
      <c r="U159" s="462">
        <f>VLOOKUP($E159,'5.1 Budget'!$A$4:$G$729,7,0)</f>
        <v>0</v>
      </c>
      <c r="V159" s="462">
        <f t="shared" si="2"/>
        <v>0</v>
      </c>
    </row>
    <row r="160" spans="1:22" ht="153.75" x14ac:dyDescent="0.25">
      <c r="A160" s="465">
        <v>1</v>
      </c>
      <c r="B160" s="12" t="s">
        <v>52</v>
      </c>
      <c r="C160" s="12" t="s">
        <v>57</v>
      </c>
      <c r="D160" s="12" t="s">
        <v>14</v>
      </c>
      <c r="E160" s="12" t="s">
        <v>2809</v>
      </c>
      <c r="F160" s="469" t="str">
        <f>VLOOKUP(E160,'5. Consolidation'!$E$3:$F$715,2,0)</f>
        <v xml:space="preserve">Dans le cadre du PRRP et du NAPAN : 
• Analyser des données scientifiques récentes sur l’efficacité de différentes modalités de zones tampons pour la protection du milieu aquatique ;
• Evaluer des mesures applicables dans d’autres pays et régions ; 
• Uniformiser, dans la mesure du possible, les mesures de réduction du risque pour les organismes aquatiques non cibles à l’échelle du pays, conformément à l’action belge 3.6.1 du NAPAN (Charte pour la lutte contre les dépassements des valeurs de référence des produits phytopharmaceutiques dans les eaux de surface en Belgique, mise en œuvre par le secteur de plans de réduction des émissions (PRE) pour certaines substances actives ;
• Évaluer la pertinence des zones tampons régionales actuellement d’application pour la protection du milieu aquatique pour les adapter, le cas échéant. (en complément de l’action belge 3.6.2 du NAPAN)
</v>
      </c>
      <c r="G160" s="469" t="str">
        <f>VLOOKUP(E160,'5.2 Actions'!$A$3:$D$720,4,0)</f>
        <v>?</v>
      </c>
      <c r="H160" s="12"/>
      <c r="I160" s="12"/>
      <c r="J160" s="12"/>
      <c r="K160" s="12"/>
      <c r="L160" s="12"/>
      <c r="M160" s="12"/>
      <c r="N160" s="12"/>
      <c r="O160" s="12"/>
      <c r="P160" s="462">
        <f>VLOOKUP($E160,'5.1 Budget'!$A$4:$G$729,2,0)</f>
        <v>0</v>
      </c>
      <c r="Q160" s="462">
        <f>VLOOKUP($E160,'5.1 Budget'!$A$4:$G$729,3,0)</f>
        <v>0</v>
      </c>
      <c r="R160" s="462">
        <f>VLOOKUP($E160,'5.1 Budget'!$A$4:$G$729,4,0)</f>
        <v>0</v>
      </c>
      <c r="S160" s="462">
        <f>VLOOKUP($E160,'5.1 Budget'!$A$4:$G$729,5,0)</f>
        <v>0</v>
      </c>
      <c r="T160" s="462">
        <f>VLOOKUP($E160,'5.1 Budget'!$A$4:$G$729,6,0)</f>
        <v>0</v>
      </c>
      <c r="U160" s="462">
        <f>VLOOKUP($E160,'5.1 Budget'!$A$4:$G$729,7,0)</f>
        <v>0</v>
      </c>
      <c r="V160" s="462">
        <f t="shared" si="2"/>
        <v>0</v>
      </c>
    </row>
    <row r="161" spans="1:22" ht="128.25" x14ac:dyDescent="0.25">
      <c r="A161" s="465">
        <v>1</v>
      </c>
      <c r="B161" s="12" t="s">
        <v>52</v>
      </c>
      <c r="C161" s="12" t="s">
        <v>57</v>
      </c>
      <c r="D161" s="12" t="s">
        <v>14</v>
      </c>
      <c r="E161" s="12" t="s">
        <v>2811</v>
      </c>
      <c r="F161" s="469" t="str">
        <f>VLOOKUP(E161,'5. Consolidation'!$E$3:$F$715,2,0)</f>
        <v xml:space="preserve">Dans le cadre du Plan Climat Energie bruxellois:
• Faire le suivi de la mise en œuvre quant à l’impact sur la qualité des masses d’eau
• Réduire sur le territoire régional la combustion de pétrole (essence, diesel, mazout), de charbon et de bois ou encore l’incinération de déchets - contribuera à réduire les émissions de substances déclassant l’état chimique : les HAPs (Benzo(g,h,i)perylène, le fluoranthène, le benzo(a)pyrène, l'anthracène et le pyrène) et les métaux lourds (cadmium, plomb, nickel, cadmium, zinc) 
En addition de ce Plan Climat Energie, une analyse croisée des données de l’inventaire des émissions atmosphériques couvrant la période 1990-2019 réalisé par le département Evaluation Air Climat Energie et de celles de la qualité des eaux de surface pourrait être réalisée.
</v>
      </c>
      <c r="G161" s="469" t="str">
        <f>VLOOKUP(E161,'5.2 Actions'!$A$3:$D$720,4,0)</f>
        <v>?</v>
      </c>
      <c r="H161" s="12"/>
      <c r="I161" s="12"/>
      <c r="J161" s="12"/>
      <c r="K161" s="12"/>
      <c r="L161" s="12"/>
      <c r="M161" s="12"/>
      <c r="N161" s="12"/>
      <c r="O161" s="12"/>
      <c r="P161" s="462">
        <f>VLOOKUP($E161,'5.1 Budget'!$A$4:$G$729,2,0)</f>
        <v>0</v>
      </c>
      <c r="Q161" s="462">
        <f>VLOOKUP($E161,'5.1 Budget'!$A$4:$G$729,3,0)</f>
        <v>0</v>
      </c>
      <c r="R161" s="462">
        <f>VLOOKUP($E161,'5.1 Budget'!$A$4:$G$729,4,0)</f>
        <v>0</v>
      </c>
      <c r="S161" s="462">
        <f>VLOOKUP($E161,'5.1 Budget'!$A$4:$G$729,5,0)</f>
        <v>0</v>
      </c>
      <c r="T161" s="462">
        <f>VLOOKUP($E161,'5.1 Budget'!$A$4:$G$729,6,0)</f>
        <v>0</v>
      </c>
      <c r="U161" s="462">
        <f>VLOOKUP($E161,'5.1 Budget'!$A$4:$G$729,7,0)</f>
        <v>0</v>
      </c>
      <c r="V161" s="462">
        <f t="shared" si="2"/>
        <v>0</v>
      </c>
    </row>
    <row r="162" spans="1:22" ht="64.5" x14ac:dyDescent="0.25">
      <c r="A162" s="465">
        <v>1</v>
      </c>
      <c r="B162" s="12" t="s">
        <v>52</v>
      </c>
      <c r="C162" s="12" t="s">
        <v>57</v>
      </c>
      <c r="D162" s="12" t="s">
        <v>14</v>
      </c>
      <c r="E162" s="12" t="s">
        <v>2813</v>
      </c>
      <c r="F162" s="469" t="str">
        <f>VLOOKUP(E162,'5. Consolidation'!$E$3:$F$715,2,0)</f>
        <v xml:space="preserve">Dans le cadre du règlement UE sur le mercure
Si à ce jour, aucune activité industrielle présente sur le territoire bruxellois n’est sujette au règlement UE, il y a lieu de suivre l’exploitation de l’incinérateur de déchets urbains au niveau des émissions et des meilleures techniques disponibles au sens de l’article 8 de la Convention de Minamata.
</v>
      </c>
      <c r="G162" s="469" t="str">
        <f>VLOOKUP(E162,'5.2 Actions'!$A$3:$D$720,4,0)</f>
        <v>?</v>
      </c>
      <c r="H162" s="12"/>
      <c r="I162" s="12"/>
      <c r="J162" s="12"/>
      <c r="K162" s="12"/>
      <c r="L162" s="12"/>
      <c r="M162" s="12"/>
      <c r="N162" s="12"/>
      <c r="O162" s="12"/>
      <c r="P162" s="462">
        <f>VLOOKUP($E162,'5.1 Budget'!$A$4:$G$729,2,0)</f>
        <v>0</v>
      </c>
      <c r="Q162" s="462">
        <f>VLOOKUP($E162,'5.1 Budget'!$A$4:$G$729,3,0)</f>
        <v>0</v>
      </c>
      <c r="R162" s="462">
        <f>VLOOKUP($E162,'5.1 Budget'!$A$4:$G$729,4,0)</f>
        <v>0</v>
      </c>
      <c r="S162" s="462">
        <f>VLOOKUP($E162,'5.1 Budget'!$A$4:$G$729,5,0)</f>
        <v>0</v>
      </c>
      <c r="T162" s="462">
        <f>VLOOKUP($E162,'5.1 Budget'!$A$4:$G$729,6,0)</f>
        <v>0</v>
      </c>
      <c r="U162" s="462">
        <f>VLOOKUP($E162,'5.1 Budget'!$A$4:$G$729,7,0)</f>
        <v>0</v>
      </c>
      <c r="V162" s="462">
        <f t="shared" si="2"/>
        <v>0</v>
      </c>
    </row>
    <row r="163" spans="1:22" ht="26.25" x14ac:dyDescent="0.25">
      <c r="A163" s="465">
        <v>1</v>
      </c>
      <c r="B163" s="12" t="s">
        <v>52</v>
      </c>
      <c r="C163" s="12" t="s">
        <v>57</v>
      </c>
      <c r="D163" s="12" t="s">
        <v>15</v>
      </c>
      <c r="E163" s="12" t="s">
        <v>679</v>
      </c>
      <c r="F163" s="469" t="str">
        <f>VLOOKUP(E163,'5. Consolidation'!$E$3:$F$715,2,0)</f>
        <v>Mener une étude des sédiments présents sur les 2 tronçons de la Senne qui n’ont pas encore été curés : Aquiris et Buda (bathymétrie et qualité des sédiments)</v>
      </c>
      <c r="G163" s="469" t="str">
        <f>VLOOKUP(E163,'5.2 Actions'!$A$3:$D$720,4,0)</f>
        <v>SEN</v>
      </c>
      <c r="H163" s="12"/>
      <c r="I163" s="12"/>
      <c r="J163" s="12"/>
      <c r="K163" s="12"/>
      <c r="L163" s="12"/>
      <c r="M163" s="12"/>
      <c r="N163" s="459">
        <v>2025</v>
      </c>
      <c r="O163" s="12"/>
      <c r="P163" s="462">
        <f>VLOOKUP($E163,'5.1 Budget'!$A$4:$G$729,2,0)</f>
        <v>0</v>
      </c>
      <c r="Q163" s="462">
        <f>VLOOKUP($E163,'5.1 Budget'!$A$4:$G$729,3,0)</f>
        <v>0</v>
      </c>
      <c r="R163" s="462">
        <f>VLOOKUP($E163,'5.1 Budget'!$A$4:$G$729,4,0)</f>
        <v>0</v>
      </c>
      <c r="S163" s="462">
        <f>VLOOKUP($E163,'5.1 Budget'!$A$4:$G$729,5,0)</f>
        <v>50000</v>
      </c>
      <c r="T163" s="462">
        <f>VLOOKUP($E163,'5.1 Budget'!$A$4:$G$729,6,0)</f>
        <v>0</v>
      </c>
      <c r="U163" s="462">
        <f>VLOOKUP($E163,'5.1 Budget'!$A$4:$G$729,7,0)</f>
        <v>0</v>
      </c>
      <c r="V163" s="462">
        <f t="shared" si="2"/>
        <v>50000</v>
      </c>
    </row>
    <row r="164" spans="1:22" x14ac:dyDescent="0.25">
      <c r="A164" s="465">
        <v>1</v>
      </c>
      <c r="B164" s="12" t="s">
        <v>52</v>
      </c>
      <c r="C164" s="12" t="s">
        <v>57</v>
      </c>
      <c r="D164" s="12" t="s">
        <v>15</v>
      </c>
      <c r="E164" s="12" t="s">
        <v>680</v>
      </c>
      <c r="F164" s="469" t="str">
        <f>VLOOKUP(E164,'5. Consolidation'!$E$3:$F$715,2,0)</f>
        <v>Curer le tronçon ‘Aquiris’ et éliminer les boues polluées (Senne)</v>
      </c>
      <c r="G164" s="469" t="str">
        <f>VLOOKUP(E164,'5.2 Actions'!$A$3:$D$720,4,0)</f>
        <v>SEN</v>
      </c>
      <c r="H164" s="12"/>
      <c r="I164" s="12"/>
      <c r="J164" s="12"/>
      <c r="K164" s="12"/>
      <c r="L164" s="12"/>
      <c r="M164" s="12"/>
      <c r="N164" s="459">
        <v>2026</v>
      </c>
      <c r="O164" s="12"/>
      <c r="P164" s="462">
        <f>VLOOKUP($E164,'5.1 Budget'!$A$4:$G$729,2,0)</f>
        <v>0</v>
      </c>
      <c r="Q164" s="462">
        <f>VLOOKUP($E164,'5.1 Budget'!$A$4:$G$729,3,0)</f>
        <v>0</v>
      </c>
      <c r="R164" s="462">
        <f>VLOOKUP($E164,'5.1 Budget'!$A$4:$G$729,4,0)</f>
        <v>0</v>
      </c>
      <c r="S164" s="462">
        <f>VLOOKUP($E164,'5.1 Budget'!$A$4:$G$729,5,0)</f>
        <v>0</v>
      </c>
      <c r="T164" s="462">
        <f>VLOOKUP($E164,'5.1 Budget'!$A$4:$G$729,6,0)</f>
        <v>750000</v>
      </c>
      <c r="U164" s="462">
        <f>VLOOKUP($E164,'5.1 Budget'!$A$4:$G$729,7,0)</f>
        <v>0</v>
      </c>
      <c r="V164" s="462">
        <f t="shared" si="2"/>
        <v>750000</v>
      </c>
    </row>
    <row r="165" spans="1:22" x14ac:dyDescent="0.25">
      <c r="A165" s="465">
        <v>1</v>
      </c>
      <c r="B165" s="12" t="s">
        <v>52</v>
      </c>
      <c r="C165" s="12" t="s">
        <v>57</v>
      </c>
      <c r="D165" s="12" t="s">
        <v>15</v>
      </c>
      <c r="E165" s="12" t="s">
        <v>681</v>
      </c>
      <c r="F165" s="469" t="str">
        <f>VLOOKUP(E165,'5. Consolidation'!$E$3:$F$715,2,0)</f>
        <v>Curer le tronçon ‘Buda’ et éliminer les boues polluées (Senne)</v>
      </c>
      <c r="G165" s="469" t="str">
        <f>VLOOKUP(E165,'5.2 Actions'!$A$3:$D$720,4,0)</f>
        <v>SEN</v>
      </c>
      <c r="H165" s="12"/>
      <c r="I165" s="12"/>
      <c r="J165" s="12"/>
      <c r="K165" s="12"/>
      <c r="L165" s="12"/>
      <c r="M165" s="12"/>
      <c r="N165" s="459">
        <v>2026</v>
      </c>
      <c r="O165" s="12"/>
      <c r="P165" s="462">
        <f>VLOOKUP($E165,'5.1 Budget'!$A$4:$G$729,2,0)</f>
        <v>0</v>
      </c>
      <c r="Q165" s="462">
        <f>VLOOKUP($E165,'5.1 Budget'!$A$4:$G$729,3,0)</f>
        <v>0</v>
      </c>
      <c r="R165" s="462">
        <f>VLOOKUP($E165,'5.1 Budget'!$A$4:$G$729,4,0)</f>
        <v>0</v>
      </c>
      <c r="S165" s="462">
        <f>VLOOKUP($E165,'5.1 Budget'!$A$4:$G$729,5,0)</f>
        <v>0</v>
      </c>
      <c r="T165" s="462">
        <f>VLOOKUP($E165,'5.1 Budget'!$A$4:$G$729,6,0)</f>
        <v>850000</v>
      </c>
      <c r="U165" s="462">
        <f>VLOOKUP($E165,'5.1 Budget'!$A$4:$G$729,7,0)</f>
        <v>0</v>
      </c>
      <c r="V165" s="462">
        <f t="shared" si="2"/>
        <v>850000</v>
      </c>
    </row>
    <row r="166" spans="1:22" x14ac:dyDescent="0.25">
      <c r="A166" s="465">
        <v>1</v>
      </c>
      <c r="B166" s="12" t="s">
        <v>52</v>
      </c>
      <c r="C166" s="12" t="s">
        <v>57</v>
      </c>
      <c r="D166" s="12" t="s">
        <v>15</v>
      </c>
      <c r="E166" s="12" t="s">
        <v>682</v>
      </c>
      <c r="F166" s="469" t="str">
        <f>VLOOKUP(E166,'5. Consolidation'!$E$3:$F$715,2,0)</f>
        <v>Etablir une base de données des curages réalisés (en tant qu’outil de planification future)</v>
      </c>
      <c r="G166" s="469" t="str">
        <f>VLOOKUP(E166,'5.2 Actions'!$A$3:$D$720,4,0)</f>
        <v>SEN / WOL / CAN</v>
      </c>
      <c r="H166" s="12"/>
      <c r="I166" s="12"/>
      <c r="J166" s="12"/>
      <c r="K166" s="12"/>
      <c r="L166" s="12"/>
      <c r="M166" s="12"/>
      <c r="N166" s="12"/>
      <c r="O166" s="12"/>
      <c r="P166" s="462">
        <f>VLOOKUP($E166,'5.1 Budget'!$A$4:$G$729,2,0)</f>
        <v>0</v>
      </c>
      <c r="Q166" s="462">
        <f>VLOOKUP($E166,'5.1 Budget'!$A$4:$G$729,3,0)</f>
        <v>0</v>
      </c>
      <c r="R166" s="462">
        <f>VLOOKUP($E166,'5.1 Budget'!$A$4:$G$729,4,0)</f>
        <v>0</v>
      </c>
      <c r="S166" s="462">
        <f>VLOOKUP($E166,'5.1 Budget'!$A$4:$G$729,5,0)</f>
        <v>0</v>
      </c>
      <c r="T166" s="462">
        <f>VLOOKUP($E166,'5.1 Budget'!$A$4:$G$729,6,0)</f>
        <v>0</v>
      </c>
      <c r="U166" s="462">
        <f>VLOOKUP($E166,'5.1 Budget'!$A$4:$G$729,7,0)</f>
        <v>0</v>
      </c>
      <c r="V166" s="462">
        <f t="shared" si="2"/>
        <v>0</v>
      </c>
    </row>
    <row r="167" spans="1:22" ht="26.25" x14ac:dyDescent="0.25">
      <c r="A167" s="465">
        <v>1</v>
      </c>
      <c r="B167" s="12" t="s">
        <v>52</v>
      </c>
      <c r="C167" s="12" t="s">
        <v>57</v>
      </c>
      <c r="D167" s="12" t="s">
        <v>16</v>
      </c>
      <c r="E167" s="12" t="s">
        <v>683</v>
      </c>
      <c r="F167" s="469" t="str">
        <f>VLOOKUP(E167,'5. Consolidation'!$E$3:$F$715,2,0)</f>
        <v>Évaluer le besoin réel de déviation d’eau de la Senne vers le Canal, déterminer les règles d’activation des vannes en tenant compte des risques d’inondation (lien avec la M5.8) et de la surveillance des paramètres principaux (niveau d’eau)</v>
      </c>
      <c r="G167" s="469" t="str">
        <f>VLOOKUP(E167,'5.2 Actions'!$A$3:$D$720,4,0)</f>
        <v>CAN</v>
      </c>
      <c r="H167" s="12"/>
      <c r="I167" s="12"/>
      <c r="J167" s="12"/>
      <c r="K167" s="12"/>
      <c r="L167" s="12"/>
      <c r="M167" s="12"/>
      <c r="N167" s="459">
        <v>2022</v>
      </c>
      <c r="O167" s="12"/>
      <c r="P167" s="462">
        <f>VLOOKUP($E167,'5.1 Budget'!$A$4:$G$729,2,0)</f>
        <v>10000</v>
      </c>
      <c r="Q167" s="462">
        <f>VLOOKUP($E167,'5.1 Budget'!$A$4:$G$729,3,0)</f>
        <v>10000</v>
      </c>
      <c r="R167" s="462">
        <f>VLOOKUP($E167,'5.1 Budget'!$A$4:$G$729,4,0)</f>
        <v>0</v>
      </c>
      <c r="S167" s="462">
        <f>VLOOKUP($E167,'5.1 Budget'!$A$4:$G$729,5,0)</f>
        <v>0</v>
      </c>
      <c r="T167" s="462">
        <f>VLOOKUP($E167,'5.1 Budget'!$A$4:$G$729,6,0)</f>
        <v>0</v>
      </c>
      <c r="U167" s="462">
        <f>VLOOKUP($E167,'5.1 Budget'!$A$4:$G$729,7,0)</f>
        <v>0</v>
      </c>
      <c r="V167" s="462">
        <f t="shared" si="2"/>
        <v>20000</v>
      </c>
    </row>
    <row r="168" spans="1:22" x14ac:dyDescent="0.25">
      <c r="A168" s="465">
        <v>1</v>
      </c>
      <c r="B168" s="12" t="s">
        <v>52</v>
      </c>
      <c r="C168" s="12" t="s">
        <v>57</v>
      </c>
      <c r="D168" s="12" t="s">
        <v>16</v>
      </c>
      <c r="E168" s="12" t="s">
        <v>684</v>
      </c>
      <c r="F168" s="469" t="str">
        <f>VLOOKUP(E168,'5. Consolidation'!$E$3:$F$715,2,0)</f>
        <v>Remplacer les vannes en bois par des vannes métalliques</v>
      </c>
      <c r="G168" s="469" t="str">
        <f>VLOOKUP(E168,'5.2 Actions'!$A$3:$D$720,4,0)</f>
        <v>CAN</v>
      </c>
      <c r="H168" s="12"/>
      <c r="I168" s="12"/>
      <c r="J168" s="12"/>
      <c r="K168" s="12"/>
      <c r="L168" s="12"/>
      <c r="M168" s="12"/>
      <c r="N168" s="459">
        <v>2022</v>
      </c>
      <c r="O168" s="12"/>
      <c r="P168" s="462">
        <f>VLOOKUP($E168,'5.1 Budget'!$A$4:$G$729,2,0)</f>
        <v>40000</v>
      </c>
      <c r="Q168" s="462">
        <f>VLOOKUP($E168,'5.1 Budget'!$A$4:$G$729,3,0)</f>
        <v>0</v>
      </c>
      <c r="R168" s="462">
        <f>VLOOKUP($E168,'5.1 Budget'!$A$4:$G$729,4,0)</f>
        <v>0</v>
      </c>
      <c r="S168" s="462">
        <f>VLOOKUP($E168,'5.1 Budget'!$A$4:$G$729,5,0)</f>
        <v>0</v>
      </c>
      <c r="T168" s="462">
        <f>VLOOKUP($E168,'5.1 Budget'!$A$4:$G$729,6,0)</f>
        <v>0</v>
      </c>
      <c r="U168" s="462">
        <f>VLOOKUP($E168,'5.1 Budget'!$A$4:$G$729,7,0)</f>
        <v>0</v>
      </c>
      <c r="V168" s="462">
        <f t="shared" si="2"/>
        <v>40000</v>
      </c>
    </row>
    <row r="169" spans="1:22" ht="77.25" x14ac:dyDescent="0.25">
      <c r="A169" s="465">
        <v>1</v>
      </c>
      <c r="B169" s="12" t="s">
        <v>52</v>
      </c>
      <c r="C169" s="12" t="s">
        <v>57</v>
      </c>
      <c r="D169" s="12" t="s">
        <v>16</v>
      </c>
      <c r="E169" s="12" t="s">
        <v>685</v>
      </c>
      <c r="F169" s="469" t="str">
        <f>VLOOKUP(E169,'5. Consolidation'!$E$3:$F$715,2,0)</f>
        <v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v>
      </c>
      <c r="G169" s="469" t="str">
        <f>VLOOKUP(E169,'5.2 Actions'!$A$3:$D$720,4,0)</f>
        <v>CAN</v>
      </c>
      <c r="H169" s="12"/>
      <c r="I169" s="12"/>
      <c r="J169" s="12"/>
      <c r="K169" s="12"/>
      <c r="L169" s="12"/>
      <c r="M169" s="12"/>
      <c r="N169" s="459">
        <v>2023</v>
      </c>
      <c r="O169" s="12"/>
      <c r="P169" s="462">
        <f>VLOOKUP($E169,'5.1 Budget'!$A$4:$G$729,2,0)</f>
        <v>0</v>
      </c>
      <c r="Q169" s="462">
        <f>VLOOKUP($E169,'5.1 Budget'!$A$4:$G$729,3,0)</f>
        <v>50000</v>
      </c>
      <c r="R169" s="462">
        <f>VLOOKUP($E169,'5.1 Budget'!$A$4:$G$729,4,0)</f>
        <v>0</v>
      </c>
      <c r="S169" s="462">
        <f>VLOOKUP($E169,'5.1 Budget'!$A$4:$G$729,5,0)</f>
        <v>0</v>
      </c>
      <c r="T169" s="462">
        <f>VLOOKUP($E169,'5.1 Budget'!$A$4:$G$729,6,0)</f>
        <v>0</v>
      </c>
      <c r="U169" s="462">
        <f>VLOOKUP($E169,'5.1 Budget'!$A$4:$G$729,7,0)</f>
        <v>0</v>
      </c>
      <c r="V169" s="462">
        <f t="shared" si="2"/>
        <v>50000</v>
      </c>
    </row>
    <row r="170" spans="1:22" x14ac:dyDescent="0.25">
      <c r="A170" s="465">
        <v>1</v>
      </c>
      <c r="B170" s="12" t="s">
        <v>52</v>
      </c>
      <c r="C170" s="12" t="s">
        <v>57</v>
      </c>
      <c r="D170" s="12" t="s">
        <v>16</v>
      </c>
      <c r="E170" s="12" t="s">
        <v>686</v>
      </c>
      <c r="F170" s="469" t="str">
        <f>VLOOKUP(E170,'5. Consolidation'!$E$3:$F$715,2,0)</f>
        <v>Aménager les vannes et implémenter les nouvelles règles de déviation d’eaux en fonction des étapes M 1.17.1 à M1.17.3</v>
      </c>
      <c r="G170" s="469" t="str">
        <f>VLOOKUP(E170,'5.2 Actions'!$A$3:$D$720,4,0)</f>
        <v>CAN</v>
      </c>
      <c r="H170" s="12"/>
      <c r="I170" s="12"/>
      <c r="J170" s="12"/>
      <c r="K170" s="12"/>
      <c r="L170" s="12"/>
      <c r="M170" s="12"/>
      <c r="N170" s="459">
        <v>2024</v>
      </c>
      <c r="O170" s="12"/>
      <c r="P170" s="462">
        <f>VLOOKUP($E170,'5.1 Budget'!$A$4:$G$729,2,0)</f>
        <v>0</v>
      </c>
      <c r="Q170" s="462">
        <f>VLOOKUP($E170,'5.1 Budget'!$A$4:$G$729,3,0)</f>
        <v>0</v>
      </c>
      <c r="R170" s="462">
        <f>VLOOKUP($E170,'5.1 Budget'!$A$4:$G$729,4,0)</f>
        <v>100000</v>
      </c>
      <c r="S170" s="462">
        <f>VLOOKUP($E170,'5.1 Budget'!$A$4:$G$729,5,0)</f>
        <v>0</v>
      </c>
      <c r="T170" s="462">
        <f>VLOOKUP($E170,'5.1 Budget'!$A$4:$G$729,6,0)</f>
        <v>0</v>
      </c>
      <c r="U170" s="462">
        <f>VLOOKUP($E170,'5.1 Budget'!$A$4:$G$729,7,0)</f>
        <v>0</v>
      </c>
      <c r="V170" s="462">
        <f t="shared" si="2"/>
        <v>100000</v>
      </c>
    </row>
    <row r="171" spans="1:22" ht="26.25" x14ac:dyDescent="0.25">
      <c r="A171" s="465">
        <v>1</v>
      </c>
      <c r="B171" s="12" t="s">
        <v>52</v>
      </c>
      <c r="C171" s="12" t="s">
        <v>57</v>
      </c>
      <c r="D171" s="12" t="s">
        <v>16</v>
      </c>
      <c r="E171" s="12" t="s">
        <v>687</v>
      </c>
      <c r="F171" s="469" t="str">
        <f>VLOOKUP(E171,'5. Consolidation'!$E$3:$F$715,2,0)</f>
        <v>Assurer la veille des niveaux d’eau
Mesures de sécurité additionnelle à prendre en compte</v>
      </c>
      <c r="G171" s="469" t="str">
        <f>VLOOKUP(E171,'5.2 Actions'!$A$3:$D$720,4,0)</f>
        <v>SEN</v>
      </c>
      <c r="H171" s="12"/>
      <c r="I171" s="12"/>
      <c r="J171" s="12"/>
      <c r="K171" s="12"/>
      <c r="L171" s="12"/>
      <c r="M171" s="12"/>
      <c r="N171" s="459">
        <v>2022</v>
      </c>
      <c r="O171" s="12">
        <v>2027</v>
      </c>
      <c r="P171" s="462">
        <f>VLOOKUP($E171,'5.1 Budget'!$A$4:$G$729,2,0)</f>
        <v>3000</v>
      </c>
      <c r="Q171" s="462">
        <f>VLOOKUP($E171,'5.1 Budget'!$A$4:$G$729,3,0)</f>
        <v>3000</v>
      </c>
      <c r="R171" s="462">
        <f>VLOOKUP($E171,'5.1 Budget'!$A$4:$G$729,4,0)</f>
        <v>3000</v>
      </c>
      <c r="S171" s="462">
        <f>VLOOKUP($E171,'5.1 Budget'!$A$4:$G$729,5,0)</f>
        <v>3000</v>
      </c>
      <c r="T171" s="462">
        <f>VLOOKUP($E171,'5.1 Budget'!$A$4:$G$729,6,0)</f>
        <v>3000</v>
      </c>
      <c r="U171" s="462">
        <f>VLOOKUP($E171,'5.1 Budget'!$A$4:$G$729,7,0)</f>
        <v>3000</v>
      </c>
      <c r="V171" s="462">
        <f t="shared" si="2"/>
        <v>18000</v>
      </c>
    </row>
    <row r="172" spans="1:22" x14ac:dyDescent="0.25">
      <c r="A172" s="465">
        <v>1</v>
      </c>
      <c r="B172" s="12" t="s">
        <v>52</v>
      </c>
      <c r="C172" s="12" t="s">
        <v>57</v>
      </c>
      <c r="D172" s="12" t="s">
        <v>16</v>
      </c>
      <c r="E172" s="12" t="s">
        <v>688</v>
      </c>
      <c r="F172" s="469" t="str">
        <f>VLOOKUP(E172,'5. Consolidation'!$E$3:$F$715,2,0)</f>
        <v>Assurer le fonctionnement des vannes</v>
      </c>
      <c r="G172" s="469" t="str">
        <f>VLOOKUP(E172,'5.2 Actions'!$A$3:$D$720,4,0)</f>
        <v>SEN / CAN</v>
      </c>
      <c r="H172" s="12"/>
      <c r="I172" s="12"/>
      <c r="J172" s="12"/>
      <c r="K172" s="12"/>
      <c r="L172" s="12"/>
      <c r="M172" s="12"/>
      <c r="N172" s="12"/>
      <c r="O172" s="12"/>
      <c r="P172" s="462">
        <f>VLOOKUP($E172,'5.1 Budget'!$A$4:$G$729,2,0)</f>
        <v>0</v>
      </c>
      <c r="Q172" s="462">
        <f>VLOOKUP($E172,'5.1 Budget'!$A$4:$G$729,3,0)</f>
        <v>0</v>
      </c>
      <c r="R172" s="462">
        <f>VLOOKUP($E172,'5.1 Budget'!$A$4:$G$729,4,0)</f>
        <v>0</v>
      </c>
      <c r="S172" s="462">
        <f>VLOOKUP($E172,'5.1 Budget'!$A$4:$G$729,5,0)</f>
        <v>0</v>
      </c>
      <c r="T172" s="462">
        <f>VLOOKUP($E172,'5.1 Budget'!$A$4:$G$729,6,0)</f>
        <v>0</v>
      </c>
      <c r="U172" s="462">
        <f>VLOOKUP($E172,'5.1 Budget'!$A$4:$G$729,7,0)</f>
        <v>0</v>
      </c>
      <c r="V172" s="462">
        <f t="shared" si="2"/>
        <v>0</v>
      </c>
    </row>
    <row r="173" spans="1:22" x14ac:dyDescent="0.25">
      <c r="A173" s="465">
        <v>1</v>
      </c>
      <c r="B173" s="12" t="s">
        <v>52</v>
      </c>
      <c r="C173" s="12" t="s">
        <v>57</v>
      </c>
      <c r="D173" s="12" t="s">
        <v>18</v>
      </c>
      <c r="E173" s="12" t="s">
        <v>689</v>
      </c>
      <c r="F173" s="469" t="str">
        <f>VLOOKUP(E173,'5. Consolidation'!$E$3:$F$715,2,0)</f>
        <v>Bathymétrie, localisation et mesure du volume de boue</v>
      </c>
      <c r="G173" s="469" t="str">
        <f>VLOOKUP(E173,'5.2 Actions'!$A$3:$D$720,4,0)</f>
        <v>CAN</v>
      </c>
      <c r="H173" s="12"/>
      <c r="I173" s="12"/>
      <c r="J173" s="12"/>
      <c r="K173" s="12"/>
      <c r="L173" s="12"/>
      <c r="M173" s="12"/>
      <c r="N173" s="459">
        <v>2022</v>
      </c>
      <c r="O173" s="12">
        <v>2027</v>
      </c>
      <c r="P173" s="462">
        <f>VLOOKUP($E173,'5.1 Budget'!$A$4:$G$729,2,0)</f>
        <v>25580</v>
      </c>
      <c r="Q173" s="462">
        <f>VLOOKUP($E173,'5.1 Budget'!$A$4:$G$729,3,0)</f>
        <v>25580</v>
      </c>
      <c r="R173" s="462">
        <f>VLOOKUP($E173,'5.1 Budget'!$A$4:$G$729,4,0)</f>
        <v>25580</v>
      </c>
      <c r="S173" s="462">
        <f>VLOOKUP($E173,'5.1 Budget'!$A$4:$G$729,5,0)</f>
        <v>25580</v>
      </c>
      <c r="T173" s="462">
        <f>VLOOKUP($E173,'5.1 Budget'!$A$4:$G$729,6,0)</f>
        <v>25580</v>
      </c>
      <c r="U173" s="462">
        <f>VLOOKUP($E173,'5.1 Budget'!$A$4:$G$729,7,0)</f>
        <v>25580</v>
      </c>
      <c r="V173" s="462">
        <f t="shared" si="2"/>
        <v>153480</v>
      </c>
    </row>
    <row r="174" spans="1:22" x14ac:dyDescent="0.25">
      <c r="A174" s="465">
        <v>1</v>
      </c>
      <c r="B174" s="12" t="s">
        <v>52</v>
      </c>
      <c r="C174" s="12" t="s">
        <v>57</v>
      </c>
      <c r="D174" s="12" t="s">
        <v>18</v>
      </c>
      <c r="E174" s="12" t="s">
        <v>691</v>
      </c>
      <c r="F174" s="469" t="str">
        <f>VLOOKUP(E174,'5. Consolidation'!$E$3:$F$715,2,0)</f>
        <v>Poursuivre le dragage mécanique et l'élimination des sédiments pollués du Canal</v>
      </c>
      <c r="G174" s="469" t="str">
        <f>VLOOKUP(E174,'5.2 Actions'!$A$3:$D$720,4,0)</f>
        <v>CAN</v>
      </c>
      <c r="H174" s="12"/>
      <c r="I174" s="12"/>
      <c r="J174" s="12"/>
      <c r="K174" s="12"/>
      <c r="L174" s="12"/>
      <c r="M174" s="12"/>
      <c r="N174" s="459">
        <v>2022</v>
      </c>
      <c r="O174" s="12">
        <v>2027</v>
      </c>
      <c r="P174" s="462">
        <f>VLOOKUP($E174,'5.1 Budget'!$A$4:$G$729,2,0)</f>
        <v>1816000</v>
      </c>
      <c r="Q174" s="462">
        <f>VLOOKUP($E174,'5.1 Budget'!$A$4:$G$729,3,0)</f>
        <v>1816000</v>
      </c>
      <c r="R174" s="462">
        <f>VLOOKUP($E174,'5.1 Budget'!$A$4:$G$729,4,0)</f>
        <v>1816000</v>
      </c>
      <c r="S174" s="462">
        <f>VLOOKUP($E174,'5.1 Budget'!$A$4:$G$729,5,0)</f>
        <v>1816000</v>
      </c>
      <c r="T174" s="462">
        <f>VLOOKUP($E174,'5.1 Budget'!$A$4:$G$729,6,0)</f>
        <v>1816000</v>
      </c>
      <c r="U174" s="462">
        <f>VLOOKUP($E174,'5.1 Budget'!$A$4:$G$729,7,0)</f>
        <v>1816000</v>
      </c>
      <c r="V174" s="462">
        <f t="shared" si="2"/>
        <v>10896000</v>
      </c>
    </row>
    <row r="175" spans="1:22" ht="39" x14ac:dyDescent="0.25">
      <c r="A175" s="465">
        <v>1</v>
      </c>
      <c r="B175" s="12" t="s">
        <v>52</v>
      </c>
      <c r="C175" s="12" t="s">
        <v>57</v>
      </c>
      <c r="D175" s="12" t="s">
        <v>18</v>
      </c>
      <c r="E175" s="12" t="s">
        <v>692</v>
      </c>
      <c r="F175" s="469" t="str">
        <f>VLOOKUP(E175,'5. Consolidation'!$E$3:$F$715,2,0)</f>
        <v>Mettre en évidence des zones préférentielles d’accumulation des sédiments pour en faciliter le curage, et pour alimenter l’étude des zones privilégiées d’accumulation des pollutions afin d’aider à identifier les sources et voies d’entrée des polluants dans le Canal</v>
      </c>
      <c r="G175" s="469" t="str">
        <f>VLOOKUP(E175,'5.2 Actions'!$A$3:$D$720,4,0)</f>
        <v>CAN</v>
      </c>
      <c r="H175" s="12"/>
      <c r="I175" s="12"/>
      <c r="J175" s="12"/>
      <c r="K175" s="12"/>
      <c r="L175" s="12"/>
      <c r="M175" s="12"/>
      <c r="N175" s="12"/>
      <c r="O175" s="12"/>
      <c r="P175" s="462">
        <f>VLOOKUP($E175,'5.1 Budget'!$A$4:$G$729,2,0)</f>
        <v>0</v>
      </c>
      <c r="Q175" s="462">
        <f>VLOOKUP($E175,'5.1 Budget'!$A$4:$G$729,3,0)</f>
        <v>0</v>
      </c>
      <c r="R175" s="462">
        <f>VLOOKUP($E175,'5.1 Budget'!$A$4:$G$729,4,0)</f>
        <v>0</v>
      </c>
      <c r="S175" s="462">
        <f>VLOOKUP($E175,'5.1 Budget'!$A$4:$G$729,5,0)</f>
        <v>0</v>
      </c>
      <c r="T175" s="462">
        <f>VLOOKUP($E175,'5.1 Budget'!$A$4:$G$729,6,0)</f>
        <v>0</v>
      </c>
      <c r="U175" s="462">
        <f>VLOOKUP($E175,'5.1 Budget'!$A$4:$G$729,7,0)</f>
        <v>0</v>
      </c>
      <c r="V175" s="462">
        <f t="shared" si="2"/>
        <v>0</v>
      </c>
    </row>
    <row r="176" spans="1:22" ht="26.25" x14ac:dyDescent="0.25">
      <c r="A176" s="465">
        <v>1</v>
      </c>
      <c r="B176" s="12" t="s">
        <v>52</v>
      </c>
      <c r="C176" s="12" t="s">
        <v>57</v>
      </c>
      <c r="D176" s="12" t="s">
        <v>18</v>
      </c>
      <c r="E176" s="12" t="s">
        <v>693</v>
      </c>
      <c r="F176" s="469" t="str">
        <f>VLOOKUP(E176,'5. Consolidation'!$E$3:$F$715,2,0)</f>
        <v>Suivre la problématique des sédiments et de leur curage dans la voie navigable du Canal Bruxelles-Escaut avec les régions flamande et wallonne pour une gestion cohérente de part et d’autre des frontières</v>
      </c>
      <c r="G176" s="469" t="str">
        <f>VLOOKUP(E176,'5.2 Actions'!$A$3:$D$720,4,0)</f>
        <v>CAN</v>
      </c>
      <c r="H176" s="12"/>
      <c r="I176" s="12"/>
      <c r="J176" s="12"/>
      <c r="K176" s="12"/>
      <c r="L176" s="12"/>
      <c r="M176" s="12"/>
      <c r="N176" s="12"/>
      <c r="O176" s="12"/>
      <c r="P176" s="462">
        <f>VLOOKUP($E176,'5.1 Budget'!$A$4:$G$729,2,0)</f>
        <v>0</v>
      </c>
      <c r="Q176" s="462">
        <f>VLOOKUP($E176,'5.1 Budget'!$A$4:$G$729,3,0)</f>
        <v>0</v>
      </c>
      <c r="R176" s="462">
        <f>VLOOKUP($E176,'5.1 Budget'!$A$4:$G$729,4,0)</f>
        <v>0</v>
      </c>
      <c r="S176" s="462">
        <f>VLOOKUP($E176,'5.1 Budget'!$A$4:$G$729,5,0)</f>
        <v>0</v>
      </c>
      <c r="T176" s="462">
        <f>VLOOKUP($E176,'5.1 Budget'!$A$4:$G$729,6,0)</f>
        <v>0</v>
      </c>
      <c r="U176" s="462">
        <f>VLOOKUP($E176,'5.1 Budget'!$A$4:$G$729,7,0)</f>
        <v>0</v>
      </c>
      <c r="V176" s="462">
        <f t="shared" si="2"/>
        <v>0</v>
      </c>
    </row>
    <row r="177" spans="1:22" ht="39" x14ac:dyDescent="0.25">
      <c r="A177" s="465">
        <v>1</v>
      </c>
      <c r="B177" s="12" t="s">
        <v>52</v>
      </c>
      <c r="C177" s="12" t="s">
        <v>57</v>
      </c>
      <c r="D177" s="12" t="s">
        <v>18</v>
      </c>
      <c r="E177" s="12" t="s">
        <v>694</v>
      </c>
      <c r="F177" s="469" t="str">
        <f>VLOOKUP(E177,'5. Consolidation'!$E$3:$F$715,2,0)</f>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v>
      </c>
      <c r="G177" s="469" t="str">
        <f>VLOOKUP(E177,'5.2 Actions'!$A$3:$D$720,4,0)</f>
        <v>CAN</v>
      </c>
      <c r="H177" s="12"/>
      <c r="I177" s="12"/>
      <c r="J177" s="12"/>
      <c r="K177" s="12"/>
      <c r="L177" s="12"/>
      <c r="M177" s="12"/>
      <c r="N177" s="459">
        <v>2023</v>
      </c>
      <c r="O177" s="12"/>
      <c r="P177" s="462">
        <f>VLOOKUP($E177,'5.1 Budget'!$A$4:$G$729,2,0)</f>
        <v>0</v>
      </c>
      <c r="Q177" s="462">
        <f>VLOOKUP($E177,'5.1 Budget'!$A$4:$G$729,3,0)</f>
        <v>30000</v>
      </c>
      <c r="R177" s="462">
        <f>VLOOKUP($E177,'5.1 Budget'!$A$4:$G$729,4,0)</f>
        <v>0</v>
      </c>
      <c r="S177" s="462">
        <f>VLOOKUP($E177,'5.1 Budget'!$A$4:$G$729,5,0)</f>
        <v>0</v>
      </c>
      <c r="T177" s="462">
        <f>VLOOKUP($E177,'5.1 Budget'!$A$4:$G$729,6,0)</f>
        <v>0</v>
      </c>
      <c r="U177" s="462">
        <f>VLOOKUP($E177,'5.1 Budget'!$A$4:$G$729,7,0)</f>
        <v>0</v>
      </c>
      <c r="V177" s="462">
        <f t="shared" si="2"/>
        <v>30000</v>
      </c>
    </row>
    <row r="178" spans="1:22" ht="64.5" x14ac:dyDescent="0.25">
      <c r="A178" s="465">
        <v>1</v>
      </c>
      <c r="B178" s="12" t="s">
        <v>52</v>
      </c>
      <c r="C178" s="12" t="s">
        <v>57</v>
      </c>
      <c r="D178" s="12" t="s">
        <v>18</v>
      </c>
      <c r="E178" s="12" t="s">
        <v>695</v>
      </c>
      <c r="F178" s="469" t="str">
        <f>VLOOKUP(E178,'5. Consolidation'!$E$3:$F$715,2,0)</f>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v>
      </c>
      <c r="G178" s="469" t="str">
        <f>VLOOKUP(E178,'5.2 Actions'!$A$3:$D$720,4,0)</f>
        <v>CAN</v>
      </c>
      <c r="H178" s="12"/>
      <c r="I178" s="12"/>
      <c r="J178" s="12"/>
      <c r="K178" s="12"/>
      <c r="L178" s="12"/>
      <c r="M178" s="12"/>
      <c r="N178" s="459">
        <v>2024</v>
      </c>
      <c r="O178" s="12"/>
      <c r="P178" s="462">
        <f>VLOOKUP($E178,'5.1 Budget'!$A$4:$G$729,2,0)</f>
        <v>0</v>
      </c>
      <c r="Q178" s="462">
        <f>VLOOKUP($E178,'5.1 Budget'!$A$4:$G$729,3,0)</f>
        <v>0</v>
      </c>
      <c r="R178" s="462">
        <f>VLOOKUP($E178,'5.1 Budget'!$A$4:$G$729,4,0)</f>
        <v>15000</v>
      </c>
      <c r="S178" s="462">
        <f>VLOOKUP($E178,'5.1 Budget'!$A$4:$G$729,5,0)</f>
        <v>15000</v>
      </c>
      <c r="T178" s="462">
        <f>VLOOKUP($E178,'5.1 Budget'!$A$4:$G$729,6,0)</f>
        <v>0</v>
      </c>
      <c r="U178" s="462">
        <f>VLOOKUP($E178,'5.1 Budget'!$A$4:$G$729,7,0)</f>
        <v>0</v>
      </c>
      <c r="V178" s="462">
        <f t="shared" si="2"/>
        <v>30000</v>
      </c>
    </row>
    <row r="179" spans="1:22" x14ac:dyDescent="0.25">
      <c r="A179" s="465">
        <v>1</v>
      </c>
      <c r="B179" s="12" t="s">
        <v>52</v>
      </c>
      <c r="C179" s="12" t="s">
        <v>57</v>
      </c>
      <c r="D179" s="12" t="s">
        <v>18</v>
      </c>
      <c r="E179" s="12" t="s">
        <v>699</v>
      </c>
      <c r="F179" s="469" t="str">
        <f>VLOOKUP(E179,'5. Consolidation'!$E$3:$F$715,2,0)</f>
        <v>Curer la totalité des sédiments du Canal pour retirer la pollution historique. Scénario Maximaliste</v>
      </c>
      <c r="G179" s="469" t="str">
        <f>VLOOKUP(E179,'5.2 Actions'!$A$3:$D$720,4,0)</f>
        <v>CAN</v>
      </c>
      <c r="H179" s="12"/>
      <c r="I179" s="12"/>
      <c r="J179" s="12"/>
      <c r="K179" s="12"/>
      <c r="L179" s="12"/>
      <c r="M179" s="12"/>
      <c r="N179" s="12"/>
      <c r="O179" s="12"/>
      <c r="P179" s="462">
        <f>VLOOKUP($E179,'5.1 Budget'!$A$4:$G$729,2,0)</f>
        <v>0</v>
      </c>
      <c r="Q179" s="462">
        <f>VLOOKUP($E179,'5.1 Budget'!$A$4:$G$729,3,0)</f>
        <v>0</v>
      </c>
      <c r="R179" s="462">
        <f>VLOOKUP($E179,'5.1 Budget'!$A$4:$G$729,4,0)</f>
        <v>0</v>
      </c>
      <c r="S179" s="462">
        <f>VLOOKUP($E179,'5.1 Budget'!$A$4:$G$729,5,0)</f>
        <v>0</v>
      </c>
      <c r="T179" s="462">
        <f>VLOOKUP($E179,'5.1 Budget'!$A$4:$G$729,6,0)</f>
        <v>0</v>
      </c>
      <c r="U179" s="462">
        <f>VLOOKUP($E179,'5.1 Budget'!$A$4:$G$729,7,0)</f>
        <v>0</v>
      </c>
      <c r="V179" s="462">
        <f t="shared" si="2"/>
        <v>0</v>
      </c>
    </row>
    <row r="180" spans="1:22" x14ac:dyDescent="0.25">
      <c r="A180" s="465">
        <v>1</v>
      </c>
      <c r="B180" s="12" t="s">
        <v>52</v>
      </c>
      <c r="C180" s="12" t="s">
        <v>57</v>
      </c>
      <c r="D180" s="12" t="s">
        <v>18</v>
      </c>
      <c r="E180" s="12" t="s">
        <v>696</v>
      </c>
      <c r="F180" s="469" t="str">
        <f>VLOOKUP(E180,'5. Consolidation'!$E$3:$F$715,2,0)</f>
        <v>Sensibiliser les usagers quant aux pollutions diffuses des navires et bateaux caractérisées dans la mesure M1.5</v>
      </c>
      <c r="G180" s="469" t="str">
        <f>VLOOKUP(E180,'5.2 Actions'!$A$3:$D$720,4,0)</f>
        <v>CAN</v>
      </c>
      <c r="H180" s="12"/>
      <c r="I180" s="12"/>
      <c r="J180" s="12"/>
      <c r="K180" s="12"/>
      <c r="L180" s="12"/>
      <c r="M180" s="12"/>
      <c r="N180" s="12"/>
      <c r="O180" s="12"/>
      <c r="P180" s="462">
        <f>VLOOKUP($E180,'5.1 Budget'!$A$4:$G$729,2,0)</f>
        <v>0</v>
      </c>
      <c r="Q180" s="462">
        <f>VLOOKUP($E180,'5.1 Budget'!$A$4:$G$729,3,0)</f>
        <v>0</v>
      </c>
      <c r="R180" s="462">
        <f>VLOOKUP($E180,'5.1 Budget'!$A$4:$G$729,4,0)</f>
        <v>0</v>
      </c>
      <c r="S180" s="462">
        <f>VLOOKUP($E180,'5.1 Budget'!$A$4:$G$729,5,0)</f>
        <v>0</v>
      </c>
      <c r="T180" s="462">
        <f>VLOOKUP($E180,'5.1 Budget'!$A$4:$G$729,6,0)</f>
        <v>0</v>
      </c>
      <c r="U180" s="462">
        <f>VLOOKUP($E180,'5.1 Budget'!$A$4:$G$729,7,0)</f>
        <v>0</v>
      </c>
      <c r="V180" s="462">
        <f t="shared" si="2"/>
        <v>0</v>
      </c>
    </row>
    <row r="181" spans="1:22" x14ac:dyDescent="0.25">
      <c r="A181" s="465">
        <v>1</v>
      </c>
      <c r="B181" s="12" t="s">
        <v>52</v>
      </c>
      <c r="C181" s="12" t="s">
        <v>57</v>
      </c>
      <c r="D181" s="12" t="s">
        <v>18</v>
      </c>
      <c r="E181" s="12" t="s">
        <v>697</v>
      </c>
      <c r="F181" s="469" t="str">
        <f>VLOOKUP(E181,'5. Consolidation'!$E$3:$F$715,2,0)</f>
        <v>Émettre des recommandations pour limiter les pollutions diffuses des navires et bateaux caractérisées dans la mesure M1.5</v>
      </c>
      <c r="G181" s="469" t="str">
        <f>VLOOKUP(E181,'5.2 Actions'!$A$3:$D$720,4,0)</f>
        <v>CAN</v>
      </c>
      <c r="H181" s="12"/>
      <c r="I181" s="12"/>
      <c r="J181" s="12"/>
      <c r="K181" s="12"/>
      <c r="L181" s="12"/>
      <c r="M181" s="12"/>
      <c r="N181" s="12"/>
      <c r="O181" s="12"/>
      <c r="P181" s="462">
        <f>VLOOKUP($E181,'5.1 Budget'!$A$4:$G$729,2,0)</f>
        <v>0</v>
      </c>
      <c r="Q181" s="462">
        <f>VLOOKUP($E181,'5.1 Budget'!$A$4:$G$729,3,0)</f>
        <v>0</v>
      </c>
      <c r="R181" s="462">
        <f>VLOOKUP($E181,'5.1 Budget'!$A$4:$G$729,4,0)</f>
        <v>0</v>
      </c>
      <c r="S181" s="462">
        <f>VLOOKUP($E181,'5.1 Budget'!$A$4:$G$729,5,0)</f>
        <v>0</v>
      </c>
      <c r="T181" s="462">
        <f>VLOOKUP($E181,'5.1 Budget'!$A$4:$G$729,6,0)</f>
        <v>0</v>
      </c>
      <c r="U181" s="462">
        <f>VLOOKUP($E181,'5.1 Budget'!$A$4:$G$729,7,0)</f>
        <v>0</v>
      </c>
      <c r="V181" s="462">
        <f t="shared" si="2"/>
        <v>0</v>
      </c>
    </row>
    <row r="182" spans="1:22" x14ac:dyDescent="0.25">
      <c r="A182" s="465">
        <v>1</v>
      </c>
      <c r="B182" s="12" t="s">
        <v>52</v>
      </c>
      <c r="C182" s="12" t="s">
        <v>57</v>
      </c>
      <c r="D182" s="12" t="s">
        <v>18</v>
      </c>
      <c r="E182" s="12" t="s">
        <v>698</v>
      </c>
      <c r="F182" s="469" t="str">
        <f>VLOOKUP(E182,'5. Consolidation'!$E$3:$F$715,2,0)</f>
        <v>Contrôler le respect de l'arrêté pour le transport et la manutention des marchandises dangereuses ou non dans le Canal</v>
      </c>
      <c r="G182" s="469" t="str">
        <f>VLOOKUP(E182,'5.2 Actions'!$A$3:$D$720,4,0)</f>
        <v>CAN</v>
      </c>
      <c r="H182" s="12"/>
      <c r="I182" s="12"/>
      <c r="J182" s="12"/>
      <c r="K182" s="12"/>
      <c r="L182" s="12"/>
      <c r="M182" s="12"/>
      <c r="N182" s="12"/>
      <c r="O182" s="12"/>
      <c r="P182" s="462">
        <f>VLOOKUP($E182,'5.1 Budget'!$A$4:$G$729,2,0)</f>
        <v>0</v>
      </c>
      <c r="Q182" s="462">
        <f>VLOOKUP($E182,'5.1 Budget'!$A$4:$G$729,3,0)</f>
        <v>0</v>
      </c>
      <c r="R182" s="462">
        <f>VLOOKUP($E182,'5.1 Budget'!$A$4:$G$729,4,0)</f>
        <v>0</v>
      </c>
      <c r="S182" s="462">
        <f>VLOOKUP($E182,'5.1 Budget'!$A$4:$G$729,5,0)</f>
        <v>0</v>
      </c>
      <c r="T182" s="462">
        <f>VLOOKUP($E182,'5.1 Budget'!$A$4:$G$729,6,0)</f>
        <v>0</v>
      </c>
      <c r="U182" s="462">
        <f>VLOOKUP($E182,'5.1 Budget'!$A$4:$G$729,7,0)</f>
        <v>0</v>
      </c>
      <c r="V182" s="462">
        <f t="shared" si="2"/>
        <v>0</v>
      </c>
    </row>
    <row r="183" spans="1:22" ht="26.25" x14ac:dyDescent="0.25">
      <c r="A183" s="465">
        <v>1</v>
      </c>
      <c r="B183" s="12" t="s">
        <v>52</v>
      </c>
      <c r="C183" s="12" t="s">
        <v>57</v>
      </c>
      <c r="D183" s="12" t="s">
        <v>18</v>
      </c>
      <c r="E183" s="12" t="s">
        <v>690</v>
      </c>
      <c r="F183" s="469" t="str">
        <f>VLOOKUP(E183,'5. Consolidation'!$E$3:$F$715,2,0)</f>
        <v>Identifier les décharges clandestines le long du canal, les éliminer et poursuivre les auteurs, et prévenir ces décharges (ex : surveillance des zones fortement sujettes, affichages)</v>
      </c>
      <c r="G183" s="469" t="str">
        <f>VLOOKUP(E183,'5.2 Actions'!$A$3:$D$720,4,0)</f>
        <v>CAN</v>
      </c>
      <c r="H183" s="12"/>
      <c r="I183" s="12"/>
      <c r="J183" s="12"/>
      <c r="K183" s="12"/>
      <c r="L183" s="12"/>
      <c r="M183" s="12"/>
      <c r="N183" s="12"/>
      <c r="O183" s="12"/>
      <c r="P183" s="462">
        <f>VLOOKUP($E183,'5.1 Budget'!$A$4:$G$729,2,0)</f>
        <v>0</v>
      </c>
      <c r="Q183" s="462">
        <f>VLOOKUP($E183,'5.1 Budget'!$A$4:$G$729,3,0)</f>
        <v>0</v>
      </c>
      <c r="R183" s="462">
        <f>VLOOKUP($E183,'5.1 Budget'!$A$4:$G$729,4,0)</f>
        <v>0</v>
      </c>
      <c r="S183" s="462">
        <f>VLOOKUP($E183,'5.1 Budget'!$A$4:$G$729,5,0)</f>
        <v>0</v>
      </c>
      <c r="T183" s="462">
        <f>VLOOKUP($E183,'5.1 Budget'!$A$4:$G$729,6,0)</f>
        <v>0</v>
      </c>
      <c r="U183" s="462">
        <f>VLOOKUP($E183,'5.1 Budget'!$A$4:$G$729,7,0)</f>
        <v>0</v>
      </c>
      <c r="V183" s="462">
        <f t="shared" si="2"/>
        <v>0</v>
      </c>
    </row>
    <row r="184" spans="1:22" ht="26.25" x14ac:dyDescent="0.25">
      <c r="A184" s="465">
        <v>1</v>
      </c>
      <c r="B184" s="12" t="s">
        <v>52</v>
      </c>
      <c r="C184" s="12" t="s">
        <v>58</v>
      </c>
      <c r="D184" s="12" t="s">
        <v>19</v>
      </c>
      <c r="E184" s="12" t="s">
        <v>2815</v>
      </c>
      <c r="F184" s="469" t="str">
        <f>VLOOKUP(E184,'5. Consolidation'!$E$3:$F$715,2,0)</f>
        <v xml:space="preserve">Analyser les paramètres et normes de l’arrêté NQE devant être actualisés ou inclus (paramètres chimiques et physico-chimiques) </v>
      </c>
      <c r="G184" s="469" t="str">
        <f>VLOOKUP(E184,'5.2 Actions'!$A$3:$D$720,4,0)</f>
        <v>SEN / WOL / CAN</v>
      </c>
      <c r="H184" s="12"/>
      <c r="I184" s="12"/>
      <c r="J184" s="12"/>
      <c r="K184" s="12"/>
      <c r="L184" s="12"/>
      <c r="M184" s="12"/>
      <c r="N184" s="12"/>
      <c r="O184" s="12"/>
      <c r="P184" s="462">
        <f>VLOOKUP($E184,'5.1 Budget'!$A$4:$G$729,2,0)</f>
        <v>0</v>
      </c>
      <c r="Q184" s="462">
        <f>VLOOKUP($E184,'5.1 Budget'!$A$4:$G$729,3,0)</f>
        <v>0</v>
      </c>
      <c r="R184" s="462">
        <f>VLOOKUP($E184,'5.1 Budget'!$A$4:$G$729,4,0)</f>
        <v>0</v>
      </c>
      <c r="S184" s="462">
        <f>VLOOKUP($E184,'5.1 Budget'!$A$4:$G$729,5,0)</f>
        <v>0</v>
      </c>
      <c r="T184" s="462">
        <f>VLOOKUP($E184,'5.1 Budget'!$A$4:$G$729,6,0)</f>
        <v>0</v>
      </c>
      <c r="U184" s="462">
        <f>VLOOKUP($E184,'5.1 Budget'!$A$4:$G$729,7,0)</f>
        <v>0</v>
      </c>
      <c r="V184" s="462">
        <f t="shared" si="2"/>
        <v>0</v>
      </c>
    </row>
    <row r="185" spans="1:22" ht="26.25" x14ac:dyDescent="0.25">
      <c r="A185" s="465">
        <v>1</v>
      </c>
      <c r="B185" s="12" t="s">
        <v>52</v>
      </c>
      <c r="C185" s="12" t="s">
        <v>58</v>
      </c>
      <c r="D185" s="12" t="s">
        <v>19</v>
      </c>
      <c r="E185" s="12" t="s">
        <v>2817</v>
      </c>
      <c r="F185" s="469" t="str">
        <f>VLOOKUP(E185,'5. Consolidation'!$E$3:$F$715,2,0)</f>
        <v>Identifier les polluants spécifiques au bassin versant (‘river basin specific pollutants’) dans l’arrêté NQE et les normes qui leur sont applicables</v>
      </c>
      <c r="G185" s="469" t="str">
        <f>VLOOKUP(E185,'5.2 Actions'!$A$3:$D$720,4,0)</f>
        <v>SEN / WOL / CAN</v>
      </c>
      <c r="H185" s="12"/>
      <c r="I185" s="12"/>
      <c r="J185" s="12"/>
      <c r="K185" s="12"/>
      <c r="L185" s="12"/>
      <c r="M185" s="12"/>
      <c r="N185" s="12"/>
      <c r="O185" s="12"/>
      <c r="P185" s="462">
        <f>VLOOKUP($E185,'5.1 Budget'!$A$4:$G$729,2,0)</f>
        <v>0</v>
      </c>
      <c r="Q185" s="462">
        <f>VLOOKUP($E185,'5.1 Budget'!$A$4:$G$729,3,0)</f>
        <v>0</v>
      </c>
      <c r="R185" s="462">
        <f>VLOOKUP($E185,'5.1 Budget'!$A$4:$G$729,4,0)</f>
        <v>0</v>
      </c>
      <c r="S185" s="462">
        <f>VLOOKUP($E185,'5.1 Budget'!$A$4:$G$729,5,0)</f>
        <v>0</v>
      </c>
      <c r="T185" s="462">
        <f>VLOOKUP($E185,'5.1 Budget'!$A$4:$G$729,6,0)</f>
        <v>0</v>
      </c>
      <c r="U185" s="462">
        <f>VLOOKUP($E185,'5.1 Budget'!$A$4:$G$729,7,0)</f>
        <v>0</v>
      </c>
      <c r="V185" s="462">
        <f t="shared" si="2"/>
        <v>0</v>
      </c>
    </row>
    <row r="186" spans="1:22" ht="26.25" x14ac:dyDescent="0.25">
      <c r="A186" s="465">
        <v>1</v>
      </c>
      <c r="B186" s="12" t="s">
        <v>52</v>
      </c>
      <c r="C186" s="12" t="s">
        <v>58</v>
      </c>
      <c r="D186" s="12" t="s">
        <v>19</v>
      </c>
      <c r="E186" s="12" t="s">
        <v>2819</v>
      </c>
      <c r="F186" s="469" t="str">
        <f>VLOOKUP(E186,'5. Consolidation'!$E$3:$F$715,2,0)</f>
        <v>Intégrer les objectifs de qualité écologique dans l’arrêté NQE (en ce compris les objectifs de potentiel hydromorphologique) et y expliciter la méthode d’évaluation du potentiel écologique</v>
      </c>
      <c r="G186" s="469" t="str">
        <f>VLOOKUP(E186,'5.2 Actions'!$A$3:$D$720,4,0)</f>
        <v>SEN / WOL / CAN</v>
      </c>
      <c r="H186" s="12"/>
      <c r="I186" s="12"/>
      <c r="J186" s="12"/>
      <c r="K186" s="12"/>
      <c r="L186" s="12"/>
      <c r="M186" s="12"/>
      <c r="N186" s="12"/>
      <c r="O186" s="12"/>
      <c r="P186" s="462">
        <f>VLOOKUP($E186,'5.1 Budget'!$A$4:$G$729,2,0)</f>
        <v>0</v>
      </c>
      <c r="Q186" s="462">
        <f>VLOOKUP($E186,'5.1 Budget'!$A$4:$G$729,3,0)</f>
        <v>0</v>
      </c>
      <c r="R186" s="462">
        <f>VLOOKUP($E186,'5.1 Budget'!$A$4:$G$729,4,0)</f>
        <v>0</v>
      </c>
      <c r="S186" s="462">
        <f>VLOOKUP($E186,'5.1 Budget'!$A$4:$G$729,5,0)</f>
        <v>0</v>
      </c>
      <c r="T186" s="462">
        <f>VLOOKUP($E186,'5.1 Budget'!$A$4:$G$729,6,0)</f>
        <v>0</v>
      </c>
      <c r="U186" s="462">
        <f>VLOOKUP($E186,'5.1 Budget'!$A$4:$G$729,7,0)</f>
        <v>0</v>
      </c>
      <c r="V186" s="462">
        <f t="shared" si="2"/>
        <v>0</v>
      </c>
    </row>
    <row r="187" spans="1:22" ht="26.25" x14ac:dyDescent="0.25">
      <c r="A187" s="465">
        <v>1</v>
      </c>
      <c r="B187" s="12" t="s">
        <v>52</v>
      </c>
      <c r="C187" s="12" t="s">
        <v>58</v>
      </c>
      <c r="D187" s="12" t="s">
        <v>19</v>
      </c>
      <c r="E187" s="12" t="s">
        <v>2821</v>
      </c>
      <c r="F187" s="469" t="str">
        <f>VLOOKUP(E187,'5. Consolidation'!$E$3:$F$715,2,0)</f>
        <v>Rédiger un projet d’arrêté actualisant l’ensemble des objectifs de qualité applicables aux masses d’eau de surface et le soumettre aux autres régions (consultations transfrontalières au sein du CCPIE) et le faire adopter</v>
      </c>
      <c r="G187" s="469" t="str">
        <f>VLOOKUP(E187,'5.2 Actions'!$A$3:$D$720,4,0)</f>
        <v>SEN / WOL / CAN</v>
      </c>
      <c r="H187" s="12"/>
      <c r="I187" s="12"/>
      <c r="J187" s="12"/>
      <c r="K187" s="12"/>
      <c r="L187" s="12"/>
      <c r="M187" s="12"/>
      <c r="N187" s="12"/>
      <c r="O187" s="12"/>
      <c r="P187" s="462">
        <f>VLOOKUP($E187,'5.1 Budget'!$A$4:$G$729,2,0)</f>
        <v>0</v>
      </c>
      <c r="Q187" s="462">
        <f>VLOOKUP($E187,'5.1 Budget'!$A$4:$G$729,3,0)</f>
        <v>0</v>
      </c>
      <c r="R187" s="462">
        <f>VLOOKUP($E187,'5.1 Budget'!$A$4:$G$729,4,0)</f>
        <v>0</v>
      </c>
      <c r="S187" s="462">
        <f>VLOOKUP($E187,'5.1 Budget'!$A$4:$G$729,5,0)</f>
        <v>0</v>
      </c>
      <c r="T187" s="462">
        <f>VLOOKUP($E187,'5.1 Budget'!$A$4:$G$729,6,0)</f>
        <v>0</v>
      </c>
      <c r="U187" s="462">
        <f>VLOOKUP($E187,'5.1 Budget'!$A$4:$G$729,7,0)</f>
        <v>0</v>
      </c>
      <c r="V187" s="462">
        <f t="shared" si="2"/>
        <v>0</v>
      </c>
    </row>
    <row r="188" spans="1:22" ht="51.75" x14ac:dyDescent="0.25">
      <c r="A188" s="465">
        <v>1</v>
      </c>
      <c r="B188" s="12" t="s">
        <v>52</v>
      </c>
      <c r="C188" s="12" t="s">
        <v>58</v>
      </c>
      <c r="D188" s="12" t="s">
        <v>20</v>
      </c>
      <c r="E188" s="12" t="s">
        <v>2823</v>
      </c>
      <c r="F188" s="469" t="str">
        <f>VLOOKUP(E188,'5. Consolidation'!$E$3:$F$715,2,0)</f>
        <v xml:space="preserve">Rassembler dans une base de données les informations renseignées dans les permis d’environnement (entre autre via les directives et législations comme REACH ou IED) et les inventaires sols et de pollution de l’air concernant les sources et les quantités émises de chaque substance déclassant l’état des masses d’eau pour alimenter l’inventaire des émissions, pertes et rejets des substances prioritaires et prioritaires dangereuses et d’autres polluants.  </v>
      </c>
      <c r="G188" s="469" t="str">
        <f>VLOOKUP(E188,'5.2 Actions'!$A$3:$D$720,4,0)</f>
        <v>SEN / WOL / CAN</v>
      </c>
      <c r="H188" s="12"/>
      <c r="I188" s="12"/>
      <c r="J188" s="12"/>
      <c r="K188" s="12"/>
      <c r="L188" s="12"/>
      <c r="M188" s="12"/>
      <c r="N188" s="12"/>
      <c r="O188" s="12"/>
      <c r="P188" s="462">
        <f>VLOOKUP($E188,'5.1 Budget'!$A$4:$G$729,2,0)</f>
        <v>0</v>
      </c>
      <c r="Q188" s="462">
        <f>VLOOKUP($E188,'5.1 Budget'!$A$4:$G$729,3,0)</f>
        <v>0</v>
      </c>
      <c r="R188" s="462">
        <f>VLOOKUP($E188,'5.1 Budget'!$A$4:$G$729,4,0)</f>
        <v>0</v>
      </c>
      <c r="S188" s="462">
        <f>VLOOKUP($E188,'5.1 Budget'!$A$4:$G$729,5,0)</f>
        <v>0</v>
      </c>
      <c r="T188" s="462">
        <f>VLOOKUP($E188,'5.1 Budget'!$A$4:$G$729,6,0)</f>
        <v>0</v>
      </c>
      <c r="U188" s="462">
        <f>VLOOKUP($E188,'5.1 Budget'!$A$4:$G$729,7,0)</f>
        <v>0</v>
      </c>
      <c r="V188" s="462">
        <f t="shared" si="2"/>
        <v>0</v>
      </c>
    </row>
    <row r="189" spans="1:22" ht="26.25" x14ac:dyDescent="0.25">
      <c r="A189" s="465">
        <v>1</v>
      </c>
      <c r="B189" s="12" t="s">
        <v>52</v>
      </c>
      <c r="C189" s="12" t="s">
        <v>58</v>
      </c>
      <c r="D189" s="12" t="s">
        <v>20</v>
      </c>
      <c r="E189" s="12" t="s">
        <v>2825</v>
      </c>
      <c r="F189" s="469" t="str">
        <f>VLOOKUP(E189,'5. Consolidation'!$E$3:$F$715,2,0)</f>
        <v xml:space="preserve">Faire une analyse comparative des résultats des campagnes de mesures prévues aux M 1.12 et M 1.13 au regard de données d’E-PRTR afin de valider les émissions prédites dans WEISS </v>
      </c>
      <c r="G189" s="469" t="str">
        <f>VLOOKUP(E189,'5.2 Actions'!$A$3:$D$720,4,0)</f>
        <v>SEN / WOL / CAN</v>
      </c>
      <c r="H189" s="12"/>
      <c r="I189" s="12"/>
      <c r="J189" s="12"/>
      <c r="K189" s="12"/>
      <c r="L189" s="12"/>
      <c r="M189" s="12"/>
      <c r="N189" s="12"/>
      <c r="O189" s="12"/>
      <c r="P189" s="462">
        <f>VLOOKUP($E189,'5.1 Budget'!$A$4:$G$729,2,0)</f>
        <v>0</v>
      </c>
      <c r="Q189" s="462">
        <f>VLOOKUP($E189,'5.1 Budget'!$A$4:$G$729,3,0)</f>
        <v>0</v>
      </c>
      <c r="R189" s="462">
        <f>VLOOKUP($E189,'5.1 Budget'!$A$4:$G$729,4,0)</f>
        <v>0</v>
      </c>
      <c r="S189" s="462">
        <f>VLOOKUP($E189,'5.1 Budget'!$A$4:$G$729,5,0)</f>
        <v>0</v>
      </c>
      <c r="T189" s="462">
        <f>VLOOKUP($E189,'5.1 Budget'!$A$4:$G$729,6,0)</f>
        <v>0</v>
      </c>
      <c r="U189" s="462">
        <f>VLOOKUP($E189,'5.1 Budget'!$A$4:$G$729,7,0)</f>
        <v>0</v>
      </c>
      <c r="V189" s="462">
        <f t="shared" si="2"/>
        <v>0</v>
      </c>
    </row>
    <row r="190" spans="1:22" x14ac:dyDescent="0.25">
      <c r="A190" s="465">
        <v>1</v>
      </c>
      <c r="B190" s="12" t="s">
        <v>52</v>
      </c>
      <c r="C190" s="12" t="s">
        <v>58</v>
      </c>
      <c r="D190" s="12" t="s">
        <v>20</v>
      </c>
      <c r="E190" s="12" t="s">
        <v>2827</v>
      </c>
      <c r="F190" s="469" t="str">
        <f>VLOOKUP(E190,'5. Consolidation'!$E$3:$F$715,2,0)</f>
        <v>Identifier les sources lacunaires et estimer les émissions des paramètres déclassant  via une revue de la littérature</v>
      </c>
      <c r="G190" s="469" t="str">
        <f>VLOOKUP(E190,'5.2 Actions'!$A$3:$D$720,4,0)</f>
        <v>SEN / WOL / CAN</v>
      </c>
      <c r="H190" s="12"/>
      <c r="I190" s="12"/>
      <c r="J190" s="12"/>
      <c r="K190" s="12"/>
      <c r="L190" s="12"/>
      <c r="M190" s="12"/>
      <c r="N190" s="12"/>
      <c r="O190" s="12"/>
      <c r="P190" s="462">
        <f>VLOOKUP($E190,'5.1 Budget'!$A$4:$G$729,2,0)</f>
        <v>0</v>
      </c>
      <c r="Q190" s="462">
        <f>VLOOKUP($E190,'5.1 Budget'!$A$4:$G$729,3,0)</f>
        <v>0</v>
      </c>
      <c r="R190" s="462">
        <f>VLOOKUP($E190,'5.1 Budget'!$A$4:$G$729,4,0)</f>
        <v>0</v>
      </c>
      <c r="S190" s="462">
        <f>VLOOKUP($E190,'5.1 Budget'!$A$4:$G$729,5,0)</f>
        <v>0</v>
      </c>
      <c r="T190" s="462">
        <f>VLOOKUP($E190,'5.1 Budget'!$A$4:$G$729,6,0)</f>
        <v>0</v>
      </c>
      <c r="U190" s="462">
        <f>VLOOKUP($E190,'5.1 Budget'!$A$4:$G$729,7,0)</f>
        <v>0</v>
      </c>
      <c r="V190" s="462">
        <f t="shared" si="2"/>
        <v>0</v>
      </c>
    </row>
    <row r="191" spans="1:22" ht="64.5" x14ac:dyDescent="0.25">
      <c r="A191" s="465">
        <v>1</v>
      </c>
      <c r="B191" s="12" t="s">
        <v>52</v>
      </c>
      <c r="C191" s="12" t="s">
        <v>58</v>
      </c>
      <c r="D191" s="12" t="s">
        <v>20</v>
      </c>
      <c r="E191" s="12" t="s">
        <v>2829</v>
      </c>
      <c r="F191" s="469" t="str">
        <f>VLOOKUP(E191,'5. Consolidation'!$E$3:$F$715,2,0)</f>
        <v xml:space="preserve">Identifier les sources lacunaires et estimer les émissions des métaux déclassant l’état chimique de la Senne et du Canal (plomb, nickel, mercure, cadmium, zinc) via une campagne de mesures.
Cette campagne s’intéressera à l’apport de polluants via les affluents ainsi qu’aux rejets diffus issus du lessivage des parcelles portuaires.
</v>
      </c>
      <c r="G191" s="469" t="str">
        <f>VLOOKUP(E191,'5.2 Actions'!$A$3:$D$720,4,0)</f>
        <v>SEN / WOL / CAN</v>
      </c>
      <c r="H191" s="12"/>
      <c r="I191" s="12"/>
      <c r="J191" s="12"/>
      <c r="K191" s="12"/>
      <c r="L191" s="12"/>
      <c r="M191" s="12"/>
      <c r="N191" s="12"/>
      <c r="O191" s="12"/>
      <c r="P191" s="462">
        <f>VLOOKUP($E191,'5.1 Budget'!$A$4:$G$729,2,0)</f>
        <v>0</v>
      </c>
      <c r="Q191" s="462">
        <f>VLOOKUP($E191,'5.1 Budget'!$A$4:$G$729,3,0)</f>
        <v>0</v>
      </c>
      <c r="R191" s="462">
        <f>VLOOKUP($E191,'5.1 Budget'!$A$4:$G$729,4,0)</f>
        <v>0</v>
      </c>
      <c r="S191" s="462">
        <f>VLOOKUP($E191,'5.1 Budget'!$A$4:$G$729,5,0)</f>
        <v>0</v>
      </c>
      <c r="T191" s="462">
        <f>VLOOKUP($E191,'5.1 Budget'!$A$4:$G$729,6,0)</f>
        <v>0</v>
      </c>
      <c r="U191" s="462">
        <f>VLOOKUP($E191,'5.1 Budget'!$A$4:$G$729,7,0)</f>
        <v>0</v>
      </c>
      <c r="V191" s="462">
        <f t="shared" si="2"/>
        <v>0</v>
      </c>
    </row>
    <row r="192" spans="1:22" ht="26.25" x14ac:dyDescent="0.25">
      <c r="A192" s="465">
        <v>1</v>
      </c>
      <c r="B192" s="12" t="s">
        <v>52</v>
      </c>
      <c r="C192" s="12" t="s">
        <v>58</v>
      </c>
      <c r="D192" s="12" t="s">
        <v>20</v>
      </c>
      <c r="E192" s="12" t="s">
        <v>2832</v>
      </c>
      <c r="F192" s="469" t="str">
        <f>VLOOKUP(E192,'5. Consolidation'!$E$3:$F$715,2,0)</f>
        <v>Comprendre la dynamique des nutriments et plus spécifiquement, du phosphore dans la vallée de la Woluwe via une campagne de mesures</v>
      </c>
      <c r="G192" s="469" t="str">
        <f>VLOOKUP(E192,'5.2 Actions'!$A$3:$D$720,4,0)</f>
        <v>SEN / WOL / CAN</v>
      </c>
      <c r="H192" s="12"/>
      <c r="I192" s="12"/>
      <c r="J192" s="12"/>
      <c r="K192" s="12"/>
      <c r="L192" s="12"/>
      <c r="M192" s="12"/>
      <c r="N192" s="12"/>
      <c r="O192" s="12"/>
      <c r="P192" s="462">
        <f>VLOOKUP($E192,'5.1 Budget'!$A$4:$G$729,2,0)</f>
        <v>0</v>
      </c>
      <c r="Q192" s="462">
        <f>VLOOKUP($E192,'5.1 Budget'!$A$4:$G$729,3,0)</f>
        <v>0</v>
      </c>
      <c r="R192" s="462">
        <f>VLOOKUP($E192,'5.1 Budget'!$A$4:$G$729,4,0)</f>
        <v>0</v>
      </c>
      <c r="S192" s="462">
        <f>VLOOKUP($E192,'5.1 Budget'!$A$4:$G$729,5,0)</f>
        <v>0</v>
      </c>
      <c r="T192" s="462">
        <f>VLOOKUP($E192,'5.1 Budget'!$A$4:$G$729,6,0)</f>
        <v>0</v>
      </c>
      <c r="U192" s="462">
        <f>VLOOKUP($E192,'5.1 Budget'!$A$4:$G$729,7,0)</f>
        <v>0</v>
      </c>
      <c r="V192" s="462">
        <f t="shared" si="2"/>
        <v>0</v>
      </c>
    </row>
    <row r="193" spans="1:22" x14ac:dyDescent="0.25">
      <c r="A193" s="465">
        <v>1</v>
      </c>
      <c r="B193" s="12" t="s">
        <v>52</v>
      </c>
      <c r="C193" s="12" t="s">
        <v>58</v>
      </c>
      <c r="D193" s="12" t="s">
        <v>20</v>
      </c>
      <c r="E193" s="12" t="s">
        <v>2835</v>
      </c>
      <c r="F193" s="469" t="str">
        <f>VLOOKUP(E193,'5. Consolidation'!$E$3:$F$715,2,0)</f>
        <v>Actualiser er améliorer l’outil de modélisation des émissions « WEISS »</v>
      </c>
      <c r="G193" s="469" t="str">
        <f>VLOOKUP(E193,'5.2 Actions'!$A$3:$D$720,4,0)</f>
        <v>SEN / WOL / CAN</v>
      </c>
      <c r="H193" s="12"/>
      <c r="I193" s="12"/>
      <c r="J193" s="12"/>
      <c r="K193" s="12"/>
      <c r="L193" s="12"/>
      <c r="M193" s="12"/>
      <c r="N193" s="459">
        <v>2024</v>
      </c>
      <c r="O193" s="12"/>
      <c r="P193" s="462">
        <f>VLOOKUP($E193,'5.1 Budget'!$A$4:$G$729,2,0)</f>
        <v>0</v>
      </c>
      <c r="Q193" s="462">
        <f>VLOOKUP($E193,'5.1 Budget'!$A$4:$G$729,3,0)</f>
        <v>0</v>
      </c>
      <c r="R193" s="462">
        <f>VLOOKUP($E193,'5.1 Budget'!$A$4:$G$729,4,0)</f>
        <v>60000</v>
      </c>
      <c r="S193" s="462">
        <f>VLOOKUP($E193,'5.1 Budget'!$A$4:$G$729,5,0)</f>
        <v>60000</v>
      </c>
      <c r="T193" s="462">
        <f>VLOOKUP($E193,'5.1 Budget'!$A$4:$G$729,6,0)</f>
        <v>0</v>
      </c>
      <c r="U193" s="462">
        <f>VLOOKUP($E193,'5.1 Budget'!$A$4:$G$729,7,0)</f>
        <v>0</v>
      </c>
      <c r="V193" s="462">
        <f t="shared" si="2"/>
        <v>120000</v>
      </c>
    </row>
    <row r="194" spans="1:22" ht="26.25" x14ac:dyDescent="0.25">
      <c r="A194" s="465">
        <v>1</v>
      </c>
      <c r="B194" s="12" t="s">
        <v>52</v>
      </c>
      <c r="C194" s="12" t="s">
        <v>58</v>
      </c>
      <c r="D194" s="12" t="s">
        <v>20</v>
      </c>
      <c r="E194" s="12" t="s">
        <v>2837</v>
      </c>
      <c r="F194" s="469" t="str">
        <f>VLOOKUP(E194,'5. Consolidation'!$E$3:$F$715,2,0)</f>
        <v>Valider les données physico-chimiques et chimiques des eaux de surface de 2000 à 2027 et les analyser spatio-temporellement</v>
      </c>
      <c r="G194" s="469" t="str">
        <f>VLOOKUP(E194,'5.2 Actions'!$A$3:$D$720,4,0)</f>
        <v>SEN / WOL / CAN</v>
      </c>
      <c r="H194" s="12"/>
      <c r="I194" s="12"/>
      <c r="J194" s="12"/>
      <c r="K194" s="12"/>
      <c r="L194" s="12"/>
      <c r="M194" s="12"/>
      <c r="N194" s="12"/>
      <c r="O194" s="12"/>
      <c r="P194" s="462">
        <f>VLOOKUP($E194,'5.1 Budget'!$A$4:$G$729,2,0)</f>
        <v>0</v>
      </c>
      <c r="Q194" s="462">
        <f>VLOOKUP($E194,'5.1 Budget'!$A$4:$G$729,3,0)</f>
        <v>0</v>
      </c>
      <c r="R194" s="462">
        <f>VLOOKUP($E194,'5.1 Budget'!$A$4:$G$729,4,0)</f>
        <v>0</v>
      </c>
      <c r="S194" s="462">
        <f>VLOOKUP($E194,'5.1 Budget'!$A$4:$G$729,5,0)</f>
        <v>0</v>
      </c>
      <c r="T194" s="462">
        <f>VLOOKUP($E194,'5.1 Budget'!$A$4:$G$729,6,0)</f>
        <v>0</v>
      </c>
      <c r="U194" s="462">
        <f>VLOOKUP($E194,'5.1 Budget'!$A$4:$G$729,7,0)</f>
        <v>0</v>
      </c>
      <c r="V194" s="462">
        <f t="shared" si="2"/>
        <v>0</v>
      </c>
    </row>
    <row r="195" spans="1:22" ht="26.25" x14ac:dyDescent="0.25">
      <c r="A195" s="465">
        <v>1</v>
      </c>
      <c r="B195" s="12" t="s">
        <v>52</v>
      </c>
      <c r="C195" s="12" t="s">
        <v>58</v>
      </c>
      <c r="D195" s="12" t="s">
        <v>20</v>
      </c>
      <c r="E195" s="12" t="s">
        <v>2839</v>
      </c>
      <c r="F195" s="469" t="str">
        <f>VLOOKUP(E195,'5. Consolidation'!$E$3:$F$715,2,0)</f>
        <v>Identifier les leviers d’action afin de diminuer les concentrations des paramètres déclassant l’état physico-chimique et chimique des masses d’eau de surface</v>
      </c>
      <c r="G195" s="469" t="str">
        <f>VLOOKUP(E195,'5.2 Actions'!$A$3:$D$720,4,0)</f>
        <v>SEN / WOL / CAN</v>
      </c>
      <c r="H195" s="12"/>
      <c r="I195" s="12"/>
      <c r="J195" s="12"/>
      <c r="K195" s="12"/>
      <c r="L195" s="12"/>
      <c r="M195" s="12"/>
      <c r="N195" s="12"/>
      <c r="O195" s="12"/>
      <c r="P195" s="462">
        <f>VLOOKUP($E195,'5.1 Budget'!$A$4:$G$729,2,0)</f>
        <v>0</v>
      </c>
      <c r="Q195" s="462">
        <f>VLOOKUP($E195,'5.1 Budget'!$A$4:$G$729,3,0)</f>
        <v>0</v>
      </c>
      <c r="R195" s="462">
        <f>VLOOKUP($E195,'5.1 Budget'!$A$4:$G$729,4,0)</f>
        <v>0</v>
      </c>
      <c r="S195" s="462">
        <f>VLOOKUP($E195,'5.1 Budget'!$A$4:$G$729,5,0)</f>
        <v>0</v>
      </c>
      <c r="T195" s="462">
        <f>VLOOKUP($E195,'5.1 Budget'!$A$4:$G$729,6,0)</f>
        <v>0</v>
      </c>
      <c r="U195" s="462">
        <f>VLOOKUP($E195,'5.1 Budget'!$A$4:$G$729,7,0)</f>
        <v>0</v>
      </c>
      <c r="V195" s="462">
        <f t="shared" ref="V195:V258" si="4">SUM(P195:U195)</f>
        <v>0</v>
      </c>
    </row>
    <row r="196" spans="1:22" ht="26.25" x14ac:dyDescent="0.25">
      <c r="A196" s="465">
        <v>1</v>
      </c>
      <c r="B196" s="12" t="s">
        <v>52</v>
      </c>
      <c r="C196" s="12" t="s">
        <v>58</v>
      </c>
      <c r="D196" s="12" t="s">
        <v>20</v>
      </c>
      <c r="E196" s="12" t="s">
        <v>2841</v>
      </c>
      <c r="F196" s="469" t="str">
        <f>VLOOKUP(E196,'5. Consolidation'!$E$3:$F$715,2,0)</f>
        <v>Valoriser l’étude réalisée durant le PGE 2016-2021 portant sur la qualité des eaux de ruissellement (voiries, chemins de fer, trams, toitures)</v>
      </c>
      <c r="G196" s="469" t="str">
        <f>VLOOKUP(E196,'5.2 Actions'!$A$3:$D$720,4,0)</f>
        <v>SEN / WOL / CAN</v>
      </c>
      <c r="H196" s="12"/>
      <c r="I196" s="12"/>
      <c r="J196" s="12"/>
      <c r="K196" s="12"/>
      <c r="L196" s="12"/>
      <c r="M196" s="12"/>
      <c r="N196" s="12"/>
      <c r="O196" s="12"/>
      <c r="P196" s="462">
        <f>VLOOKUP($E196,'5.1 Budget'!$A$4:$G$729,2,0)</f>
        <v>0</v>
      </c>
      <c r="Q196" s="462">
        <f>VLOOKUP($E196,'5.1 Budget'!$A$4:$G$729,3,0)</f>
        <v>0</v>
      </c>
      <c r="R196" s="462">
        <f>VLOOKUP($E196,'5.1 Budget'!$A$4:$G$729,4,0)</f>
        <v>0</v>
      </c>
      <c r="S196" s="462">
        <f>VLOOKUP($E196,'5.1 Budget'!$A$4:$G$729,5,0)</f>
        <v>0</v>
      </c>
      <c r="T196" s="462">
        <f>VLOOKUP($E196,'5.1 Budget'!$A$4:$G$729,6,0)</f>
        <v>0</v>
      </c>
      <c r="U196" s="462">
        <f>VLOOKUP($E196,'5.1 Budget'!$A$4:$G$729,7,0)</f>
        <v>0</v>
      </c>
      <c r="V196" s="462">
        <f t="shared" si="4"/>
        <v>0</v>
      </c>
    </row>
    <row r="197" spans="1:22" x14ac:dyDescent="0.25">
      <c r="A197" s="465">
        <v>1</v>
      </c>
      <c r="B197" s="12" t="s">
        <v>52</v>
      </c>
      <c r="C197" s="12" t="s">
        <v>58</v>
      </c>
      <c r="D197" s="12" t="s">
        <v>21</v>
      </c>
      <c r="E197" s="12" t="s">
        <v>728</v>
      </c>
      <c r="F197" s="469" t="str">
        <f>VLOOKUP(E197,'5. Consolidation'!$E$3:$F$715,2,0)</f>
        <v>Monitoring biologique dans les cours d'eau et étangs</v>
      </c>
      <c r="G197" s="469" t="str">
        <f>VLOOKUP(E197,'5.2 Actions'!$A$3:$D$720,4,0)</f>
        <v>SEN / WOL / CAN</v>
      </c>
      <c r="H197" s="12"/>
      <c r="I197" s="12"/>
      <c r="J197" s="12"/>
      <c r="K197" s="12"/>
      <c r="L197" s="12"/>
      <c r="M197" s="12"/>
      <c r="N197" s="459">
        <v>2023</v>
      </c>
      <c r="O197" s="12"/>
      <c r="P197" s="462">
        <f>VLOOKUP($E197,'5.1 Budget'!$A$4:$G$729,2,0)</f>
        <v>0</v>
      </c>
      <c r="Q197" s="462">
        <f>VLOOKUP($E197,'5.1 Budget'!$A$4:$G$729,3,0)</f>
        <v>169000</v>
      </c>
      <c r="R197" s="462">
        <f>VLOOKUP($E197,'5.1 Budget'!$A$4:$G$729,4,0)</f>
        <v>0</v>
      </c>
      <c r="S197" s="462">
        <f>VLOOKUP($E197,'5.1 Budget'!$A$4:$G$729,5,0)</f>
        <v>0</v>
      </c>
      <c r="T197" s="462">
        <f>VLOOKUP($E197,'5.1 Budget'!$A$4:$G$729,6,0)</f>
        <v>163500</v>
      </c>
      <c r="U197" s="462">
        <f>VLOOKUP($E197,'5.1 Budget'!$A$4:$G$729,7,0)</f>
        <v>0</v>
      </c>
      <c r="V197" s="462">
        <f t="shared" si="4"/>
        <v>332500</v>
      </c>
    </row>
    <row r="198" spans="1:22" x14ac:dyDescent="0.25">
      <c r="A198" s="465">
        <v>1</v>
      </c>
      <c r="B198" s="12" t="s">
        <v>52</v>
      </c>
      <c r="C198" s="12" t="s">
        <v>58</v>
      </c>
      <c r="D198" s="12" t="s">
        <v>21</v>
      </c>
      <c r="E198" s="12" t="s">
        <v>730</v>
      </c>
      <c r="F198" s="469" t="str">
        <f>VLOOKUP(E198,'5. Consolidation'!$E$3:$F$715,2,0)</f>
        <v>Monitoring mensuel de la qualité de la colonne d'eau des eaux de surface</v>
      </c>
      <c r="G198" s="469" t="str">
        <f>VLOOKUP(E198,'5.2 Actions'!$A$3:$D$720,4,0)</f>
        <v>SEN / WOL / CAN</v>
      </c>
      <c r="H198" s="12"/>
      <c r="I198" s="12"/>
      <c r="J198" s="12"/>
      <c r="K198" s="12"/>
      <c r="L198" s="12"/>
      <c r="M198" s="12"/>
      <c r="N198" s="459">
        <v>2022</v>
      </c>
      <c r="O198" s="12">
        <v>2027</v>
      </c>
      <c r="P198" s="462">
        <f>VLOOKUP($E198,'5.1 Budget'!$A$4:$G$729,2,0)</f>
        <v>262000</v>
      </c>
      <c r="Q198" s="462">
        <f>VLOOKUP($E198,'5.1 Budget'!$A$4:$G$729,3,0)</f>
        <v>262000</v>
      </c>
      <c r="R198" s="462">
        <f>VLOOKUP($E198,'5.1 Budget'!$A$4:$G$729,4,0)</f>
        <v>192000</v>
      </c>
      <c r="S198" s="462">
        <f>VLOOKUP($E198,'5.1 Budget'!$A$4:$G$729,5,0)</f>
        <v>192000</v>
      </c>
      <c r="T198" s="462">
        <f>VLOOKUP($E198,'5.1 Budget'!$A$4:$G$729,6,0)</f>
        <v>192000</v>
      </c>
      <c r="U198" s="462">
        <f>VLOOKUP($E198,'5.1 Budget'!$A$4:$G$729,7,0)</f>
        <v>192000</v>
      </c>
      <c r="V198" s="462">
        <f t="shared" si="4"/>
        <v>1292000</v>
      </c>
    </row>
    <row r="199" spans="1:22" x14ac:dyDescent="0.25">
      <c r="A199" s="465">
        <v>1</v>
      </c>
      <c r="B199" s="12" t="s">
        <v>52</v>
      </c>
      <c r="C199" s="12" t="s">
        <v>58</v>
      </c>
      <c r="D199" s="12" t="s">
        <v>21</v>
      </c>
      <c r="E199" s="12" t="s">
        <v>731</v>
      </c>
      <c r="F199" s="469" t="str">
        <f>VLOOKUP(E199,'5. Consolidation'!$E$3:$F$715,2,0)</f>
        <v xml:space="preserve">Monitoring de la qualité des sédiments des eaux de surface </v>
      </c>
      <c r="G199" s="469" t="str">
        <f>VLOOKUP(E199,'5.2 Actions'!$A$3:$D$720,4,0)</f>
        <v>SEN / WOL / CAN</v>
      </c>
      <c r="H199" s="12"/>
      <c r="I199" s="12"/>
      <c r="J199" s="12"/>
      <c r="K199" s="12"/>
      <c r="L199" s="12"/>
      <c r="M199" s="12"/>
      <c r="N199" s="459">
        <v>2023</v>
      </c>
      <c r="O199" s="12"/>
      <c r="P199" s="462">
        <f>VLOOKUP($E199,'5.1 Budget'!$A$4:$G$729,2,0)</f>
        <v>0</v>
      </c>
      <c r="Q199" s="462">
        <f>VLOOKUP($E199,'5.1 Budget'!$A$4:$G$729,3,0)</f>
        <v>95000</v>
      </c>
      <c r="R199" s="462">
        <f>VLOOKUP($E199,'5.1 Budget'!$A$4:$G$729,4,0)</f>
        <v>0</v>
      </c>
      <c r="S199" s="462">
        <f>VLOOKUP($E199,'5.1 Budget'!$A$4:$G$729,5,0)</f>
        <v>0</v>
      </c>
      <c r="T199" s="462">
        <f>VLOOKUP($E199,'5.1 Budget'!$A$4:$G$729,6,0)</f>
        <v>0</v>
      </c>
      <c r="U199" s="462">
        <f>VLOOKUP($E199,'5.1 Budget'!$A$4:$G$729,7,0)</f>
        <v>0</v>
      </c>
      <c r="V199" s="462">
        <f t="shared" si="4"/>
        <v>95000</v>
      </c>
    </row>
    <row r="200" spans="1:22" x14ac:dyDescent="0.25">
      <c r="A200" s="465">
        <v>1</v>
      </c>
      <c r="B200" s="12" t="s">
        <v>52</v>
      </c>
      <c r="C200" s="12" t="s">
        <v>58</v>
      </c>
      <c r="D200" s="12" t="s">
        <v>21</v>
      </c>
      <c r="E200" s="12" t="s">
        <v>732</v>
      </c>
      <c r="F200" s="469" t="str">
        <f>VLOOKUP(E200,'5. Consolidation'!$E$3:$F$715,2,0)</f>
        <v>Monitoring de la qualité du biote des eaux de surface</v>
      </c>
      <c r="G200" s="469" t="str">
        <f>VLOOKUP(E200,'5.2 Actions'!$A$3:$D$720,4,0)</f>
        <v>SEN / WOL / CAN</v>
      </c>
      <c r="H200" s="12"/>
      <c r="I200" s="12"/>
      <c r="J200" s="12"/>
      <c r="K200" s="12"/>
      <c r="L200" s="12"/>
      <c r="M200" s="12"/>
      <c r="N200" s="459">
        <v>2024</v>
      </c>
      <c r="O200" s="12"/>
      <c r="P200" s="462">
        <f>VLOOKUP($E200,'5.1 Budget'!$A$4:$G$729,2,0)</f>
        <v>0</v>
      </c>
      <c r="Q200" s="462">
        <f>VLOOKUP($E200,'5.1 Budget'!$A$4:$G$729,3,0)</f>
        <v>0</v>
      </c>
      <c r="R200" s="462">
        <f>VLOOKUP($E200,'5.1 Budget'!$A$4:$G$729,4,0)</f>
        <v>50000</v>
      </c>
      <c r="S200" s="462">
        <f>VLOOKUP($E200,'5.1 Budget'!$A$4:$G$729,5,0)</f>
        <v>0</v>
      </c>
      <c r="T200" s="462">
        <f>VLOOKUP($E200,'5.1 Budget'!$A$4:$G$729,6,0)</f>
        <v>0</v>
      </c>
      <c r="U200" s="462">
        <f>VLOOKUP($E200,'5.1 Budget'!$A$4:$G$729,7,0)</f>
        <v>0</v>
      </c>
      <c r="V200" s="462">
        <f t="shared" si="4"/>
        <v>50000</v>
      </c>
    </row>
    <row r="201" spans="1:22" ht="26.25" x14ac:dyDescent="0.25">
      <c r="A201" s="465">
        <v>1</v>
      </c>
      <c r="B201" s="12" t="s">
        <v>52</v>
      </c>
      <c r="C201" s="12" t="s">
        <v>58</v>
      </c>
      <c r="D201" s="12" t="s">
        <v>21</v>
      </c>
      <c r="E201" s="12" t="s">
        <v>733</v>
      </c>
      <c r="F201" s="469" t="str">
        <f>VLOOKUP(E201,'5. Consolidation'!$E$3:$F$715,2,0)</f>
        <v>Intégrer et valider les données de chaque nouvelle année de qualité de la colonne d'eau dans la base de données des eaux de surface</v>
      </c>
      <c r="G201" s="469" t="str">
        <f>VLOOKUP(E201,'5.2 Actions'!$A$3:$D$720,4,0)</f>
        <v>SEN / WOL / CAN</v>
      </c>
      <c r="H201" s="12"/>
      <c r="I201" s="12"/>
      <c r="J201" s="12"/>
      <c r="K201" s="12"/>
      <c r="L201" s="12"/>
      <c r="M201" s="12"/>
      <c r="N201" s="12"/>
      <c r="O201" s="12"/>
      <c r="P201" s="462">
        <f>VLOOKUP($E201,'5.1 Budget'!$A$4:$G$729,2,0)</f>
        <v>0</v>
      </c>
      <c r="Q201" s="462">
        <f>VLOOKUP($E201,'5.1 Budget'!$A$4:$G$729,3,0)</f>
        <v>0</v>
      </c>
      <c r="R201" s="462">
        <f>VLOOKUP($E201,'5.1 Budget'!$A$4:$G$729,4,0)</f>
        <v>0</v>
      </c>
      <c r="S201" s="462">
        <f>VLOOKUP($E201,'5.1 Budget'!$A$4:$G$729,5,0)</f>
        <v>0</v>
      </c>
      <c r="T201" s="462">
        <f>VLOOKUP($E201,'5.1 Budget'!$A$4:$G$729,6,0)</f>
        <v>0</v>
      </c>
      <c r="U201" s="462">
        <f>VLOOKUP($E201,'5.1 Budget'!$A$4:$G$729,7,0)</f>
        <v>0</v>
      </c>
      <c r="V201" s="462">
        <f t="shared" si="4"/>
        <v>0</v>
      </c>
    </row>
    <row r="202" spans="1:22" ht="26.25" x14ac:dyDescent="0.25">
      <c r="A202" s="465">
        <v>1</v>
      </c>
      <c r="B202" s="12" t="s">
        <v>52</v>
      </c>
      <c r="C202" s="12" t="s">
        <v>58</v>
      </c>
      <c r="D202" s="12" t="s">
        <v>21</v>
      </c>
      <c r="E202" s="12" t="s">
        <v>734</v>
      </c>
      <c r="F202" s="469" t="str">
        <f>VLOOKUP(E202,'5. Consolidation'!$E$3:$F$715,2,0)</f>
        <v>Intégrer les données de qualité des sédiments et les données de qualité du biote dans la base de données des eaux de surface</v>
      </c>
      <c r="G202" s="469" t="str">
        <f>VLOOKUP(E202,'5.2 Actions'!$A$3:$D$720,4,0)</f>
        <v>SEN / WOL / CAN</v>
      </c>
      <c r="H202" s="12"/>
      <c r="I202" s="12"/>
      <c r="J202" s="12"/>
      <c r="K202" s="12"/>
      <c r="L202" s="12"/>
      <c r="M202" s="12"/>
      <c r="N202" s="12"/>
      <c r="O202" s="12"/>
      <c r="P202" s="462">
        <f>VLOOKUP($E202,'5.1 Budget'!$A$4:$G$729,2,0)</f>
        <v>0</v>
      </c>
      <c r="Q202" s="462">
        <f>VLOOKUP($E202,'5.1 Budget'!$A$4:$G$729,3,0)</f>
        <v>0</v>
      </c>
      <c r="R202" s="462">
        <f>VLOOKUP($E202,'5.1 Budget'!$A$4:$G$729,4,0)</f>
        <v>0</v>
      </c>
      <c r="S202" s="462">
        <f>VLOOKUP($E202,'5.1 Budget'!$A$4:$G$729,5,0)</f>
        <v>0</v>
      </c>
      <c r="T202" s="462">
        <f>VLOOKUP($E202,'5.1 Budget'!$A$4:$G$729,6,0)</f>
        <v>0</v>
      </c>
      <c r="U202" s="462">
        <f>VLOOKUP($E202,'5.1 Budget'!$A$4:$G$729,7,0)</f>
        <v>0</v>
      </c>
      <c r="V202" s="462">
        <f t="shared" si="4"/>
        <v>0</v>
      </c>
    </row>
    <row r="203" spans="1:22" x14ac:dyDescent="0.25">
      <c r="A203" s="465">
        <v>1</v>
      </c>
      <c r="B203" s="12" t="s">
        <v>52</v>
      </c>
      <c r="C203" s="12" t="s">
        <v>58</v>
      </c>
      <c r="D203" s="12" t="s">
        <v>21</v>
      </c>
      <c r="E203" s="12" t="s">
        <v>735</v>
      </c>
      <c r="F203" s="469" t="str">
        <f>VLOOKUP(E203,'5. Consolidation'!$E$3:$F$715,2,0)</f>
        <v>Diffuser librement les données de surveillance de la qualité de l'eau</v>
      </c>
      <c r="G203" s="469" t="str">
        <f>VLOOKUP(E203,'5.2 Actions'!$A$3:$D$720,4,0)</f>
        <v>SEN / WOL / CAN</v>
      </c>
      <c r="H203" s="12"/>
      <c r="I203" s="12"/>
      <c r="J203" s="12"/>
      <c r="K203" s="12"/>
      <c r="L203" s="12"/>
      <c r="M203" s="12"/>
      <c r="N203" s="12"/>
      <c r="O203" s="12"/>
      <c r="P203" s="462">
        <f>VLOOKUP($E203,'5.1 Budget'!$A$4:$G$729,2,0)</f>
        <v>0</v>
      </c>
      <c r="Q203" s="462">
        <f>VLOOKUP($E203,'5.1 Budget'!$A$4:$G$729,3,0)</f>
        <v>0</v>
      </c>
      <c r="R203" s="462">
        <f>VLOOKUP($E203,'5.1 Budget'!$A$4:$G$729,4,0)</f>
        <v>0</v>
      </c>
      <c r="S203" s="462">
        <f>VLOOKUP($E203,'5.1 Budget'!$A$4:$G$729,5,0)</f>
        <v>0</v>
      </c>
      <c r="T203" s="462">
        <f>VLOOKUP($E203,'5.1 Budget'!$A$4:$G$729,6,0)</f>
        <v>0</v>
      </c>
      <c r="U203" s="462">
        <f>VLOOKUP($E203,'5.1 Budget'!$A$4:$G$729,7,0)</f>
        <v>0</v>
      </c>
      <c r="V203" s="462">
        <f t="shared" si="4"/>
        <v>0</v>
      </c>
    </row>
    <row r="204" spans="1:22" x14ac:dyDescent="0.25">
      <c r="A204" s="465">
        <v>1</v>
      </c>
      <c r="B204" s="12" t="s">
        <v>52</v>
      </c>
      <c r="C204" s="12" t="s">
        <v>58</v>
      </c>
      <c r="D204" s="12" t="s">
        <v>21</v>
      </c>
      <c r="E204" s="12" t="s">
        <v>736</v>
      </c>
      <c r="F204" s="469" t="str">
        <f>VLOOKUP(E204,'5. Consolidation'!$E$3:$F$715,2,0)</f>
        <v>Inventorier les modifications hydromorphologiques des eaux de surface</v>
      </c>
      <c r="G204" s="469" t="str">
        <f>VLOOKUP(E204,'5.2 Actions'!$A$3:$D$720,4,0)</f>
        <v>SEN / WOL / CAN</v>
      </c>
      <c r="H204" s="12"/>
      <c r="I204" s="12"/>
      <c r="J204" s="12"/>
      <c r="K204" s="12"/>
      <c r="L204" s="12"/>
      <c r="M204" s="12"/>
      <c r="N204" s="12"/>
      <c r="O204" s="12"/>
      <c r="P204" s="462">
        <f>VLOOKUP($E204,'5.1 Budget'!$A$4:$G$729,2,0)</f>
        <v>0</v>
      </c>
      <c r="Q204" s="462">
        <f>VLOOKUP($E204,'5.1 Budget'!$A$4:$G$729,3,0)</f>
        <v>0</v>
      </c>
      <c r="R204" s="462">
        <f>VLOOKUP($E204,'5.1 Budget'!$A$4:$G$729,4,0)</f>
        <v>0</v>
      </c>
      <c r="S204" s="462">
        <f>VLOOKUP($E204,'5.1 Budget'!$A$4:$G$729,5,0)</f>
        <v>0</v>
      </c>
      <c r="T204" s="462">
        <f>VLOOKUP($E204,'5.1 Budget'!$A$4:$G$729,6,0)</f>
        <v>0</v>
      </c>
      <c r="U204" s="462">
        <f>VLOOKUP($E204,'5.1 Budget'!$A$4:$G$729,7,0)</f>
        <v>0</v>
      </c>
      <c r="V204" s="462">
        <f t="shared" si="4"/>
        <v>0</v>
      </c>
    </row>
    <row r="205" spans="1:22" x14ac:dyDescent="0.25">
      <c r="A205" s="465">
        <v>1</v>
      </c>
      <c r="B205" s="12" t="s">
        <v>52</v>
      </c>
      <c r="C205" s="12" t="s">
        <v>58</v>
      </c>
      <c r="D205" s="12" t="s">
        <v>21</v>
      </c>
      <c r="E205" s="12" t="s">
        <v>737</v>
      </c>
      <c r="F205" s="469" t="str">
        <f>VLOOKUP(E205,'5. Consolidation'!$E$3:$F$715,2,0)</f>
        <v>Communiquer sur les états biologiques et hydromorphologiques via des publications de l'état de l'environnement</v>
      </c>
      <c r="G205" s="469" t="str">
        <f>VLOOKUP(E205,'5.2 Actions'!$A$3:$D$720,4,0)</f>
        <v>SEN / WOL / CAN</v>
      </c>
      <c r="H205" s="12"/>
      <c r="I205" s="12"/>
      <c r="J205" s="12"/>
      <c r="K205" s="12"/>
      <c r="L205" s="12"/>
      <c r="M205" s="12"/>
      <c r="N205" s="12"/>
      <c r="O205" s="12"/>
      <c r="P205" s="462">
        <f>VLOOKUP($E205,'5.1 Budget'!$A$4:$G$729,2,0)</f>
        <v>0</v>
      </c>
      <c r="Q205" s="462">
        <f>VLOOKUP($E205,'5.1 Budget'!$A$4:$G$729,3,0)</f>
        <v>0</v>
      </c>
      <c r="R205" s="462">
        <f>VLOOKUP($E205,'5.1 Budget'!$A$4:$G$729,4,0)</f>
        <v>0</v>
      </c>
      <c r="S205" s="462">
        <f>VLOOKUP($E205,'5.1 Budget'!$A$4:$G$729,5,0)</f>
        <v>0</v>
      </c>
      <c r="T205" s="462">
        <f>VLOOKUP($E205,'5.1 Budget'!$A$4:$G$729,6,0)</f>
        <v>0</v>
      </c>
      <c r="U205" s="462">
        <f>VLOOKUP($E205,'5.1 Budget'!$A$4:$G$729,7,0)</f>
        <v>0</v>
      </c>
      <c r="V205" s="462">
        <f t="shared" si="4"/>
        <v>0</v>
      </c>
    </row>
    <row r="206" spans="1:22" x14ac:dyDescent="0.25">
      <c r="A206" s="465">
        <v>1</v>
      </c>
      <c r="B206" s="12" t="s">
        <v>52</v>
      </c>
      <c r="C206" s="12" t="s">
        <v>58</v>
      </c>
      <c r="D206" s="12" t="s">
        <v>21</v>
      </c>
      <c r="E206" s="12" t="s">
        <v>729</v>
      </c>
      <c r="F206" s="469" t="str">
        <f>VLOOKUP(E206,'5. Consolidation'!$E$3:$F$715,2,0)</f>
        <v>Actualisation du potentiel écologique et de l'état chimique des eaux de surface</v>
      </c>
      <c r="G206" s="469" t="str">
        <f>VLOOKUP(E206,'5.2 Actions'!$A$3:$D$720,4,0)</f>
        <v>SEN / WOL / CAN</v>
      </c>
      <c r="H206" s="12"/>
      <c r="I206" s="12"/>
      <c r="J206" s="12"/>
      <c r="K206" s="12"/>
      <c r="L206" s="12"/>
      <c r="M206" s="12"/>
      <c r="N206" s="12"/>
      <c r="O206" s="12"/>
      <c r="P206" s="462">
        <f>VLOOKUP($E206,'5.1 Budget'!$A$4:$G$729,2,0)</f>
        <v>0</v>
      </c>
      <c r="Q206" s="462">
        <f>VLOOKUP($E206,'5.1 Budget'!$A$4:$G$729,3,0)</f>
        <v>0</v>
      </c>
      <c r="R206" s="462">
        <f>VLOOKUP($E206,'5.1 Budget'!$A$4:$G$729,4,0)</f>
        <v>0</v>
      </c>
      <c r="S206" s="462">
        <f>VLOOKUP($E206,'5.1 Budget'!$A$4:$G$729,5,0)</f>
        <v>0</v>
      </c>
      <c r="T206" s="462">
        <f>VLOOKUP($E206,'5.1 Budget'!$A$4:$G$729,6,0)</f>
        <v>0</v>
      </c>
      <c r="U206" s="462">
        <f>VLOOKUP($E206,'5.1 Budget'!$A$4:$G$729,7,0)</f>
        <v>0</v>
      </c>
      <c r="V206" s="462">
        <f t="shared" si="4"/>
        <v>0</v>
      </c>
    </row>
    <row r="207" spans="1:22" x14ac:dyDescent="0.25">
      <c r="A207" s="465">
        <v>1</v>
      </c>
      <c r="B207" s="12" t="s">
        <v>52</v>
      </c>
      <c r="C207" s="12" t="s">
        <v>58</v>
      </c>
      <c r="D207" s="12" t="s">
        <v>22</v>
      </c>
      <c r="E207" s="12" t="s">
        <v>738</v>
      </c>
      <c r="F207" s="469" t="str">
        <f>VLOOKUP(E207,'5. Consolidation'!$E$3:$F$715,2,0)</f>
        <v>Entretien et réparation/remplacement des sondes du réseau Flowbru existantes et nouvellement installées</v>
      </c>
      <c r="G207" s="469" t="str">
        <f>VLOOKUP(E207,'5.2 Actions'!$A$3:$D$720,4,0)</f>
        <v>SEN / WOL / CAN</v>
      </c>
      <c r="H207" s="12"/>
      <c r="I207" s="12"/>
      <c r="J207" s="12"/>
      <c r="K207" s="12"/>
      <c r="L207" s="12"/>
      <c r="M207" s="12"/>
      <c r="N207" s="459">
        <v>2022</v>
      </c>
      <c r="O207" s="12">
        <v>2027</v>
      </c>
      <c r="P207" s="462">
        <f>VLOOKUP($E207,'5.1 Budget'!$A$4:$G$729,2,0)</f>
        <v>250000</v>
      </c>
      <c r="Q207" s="462">
        <f>VLOOKUP($E207,'5.1 Budget'!$A$4:$G$729,3,0)</f>
        <v>350000</v>
      </c>
      <c r="R207" s="462">
        <f>VLOOKUP($E207,'5.1 Budget'!$A$4:$G$729,4,0)</f>
        <v>350000</v>
      </c>
      <c r="S207" s="462">
        <f>VLOOKUP($E207,'5.1 Budget'!$A$4:$G$729,5,0)</f>
        <v>350000</v>
      </c>
      <c r="T207" s="462">
        <f>VLOOKUP($E207,'5.1 Budget'!$A$4:$G$729,6,0)</f>
        <v>350000</v>
      </c>
      <c r="U207" s="462">
        <f>VLOOKUP($E207,'5.1 Budget'!$A$4:$G$729,7,0)</f>
        <v>350000</v>
      </c>
      <c r="V207" s="462">
        <f t="shared" si="4"/>
        <v>2000000</v>
      </c>
    </row>
    <row r="208" spans="1:22" ht="51.75" x14ac:dyDescent="0.25">
      <c r="A208" s="465">
        <v>1</v>
      </c>
      <c r="B208" s="12" t="s">
        <v>52</v>
      </c>
      <c r="C208" s="12" t="s">
        <v>58</v>
      </c>
      <c r="D208" s="12" t="s">
        <v>22</v>
      </c>
      <c r="E208" s="12" t="s">
        <v>742</v>
      </c>
      <c r="F208" s="469" t="str">
        <f>VLOOKUP(E208,'5. Consolidation'!$E$3:$F$715,2,0)</f>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v>
      </c>
      <c r="G208" s="469" t="str">
        <f>VLOOKUP(E208,'5.2 Actions'!$A$3:$D$720,4,0)</f>
        <v>SEN / WOL / CAN</v>
      </c>
      <c r="H208" s="12"/>
      <c r="I208" s="12"/>
      <c r="J208" s="12"/>
      <c r="K208" s="12"/>
      <c r="L208" s="12"/>
      <c r="M208" s="12"/>
      <c r="N208" s="459">
        <v>2022</v>
      </c>
      <c r="O208" s="12"/>
      <c r="P208" s="462">
        <f>VLOOKUP($E208,'5.1 Budget'!$A$4:$G$729,2,0)</f>
        <v>125000</v>
      </c>
      <c r="Q208" s="462">
        <f>VLOOKUP($E208,'5.1 Budget'!$A$4:$G$729,3,0)</f>
        <v>125000</v>
      </c>
      <c r="R208" s="462">
        <f>VLOOKUP($E208,'5.1 Budget'!$A$4:$G$729,4,0)</f>
        <v>85000</v>
      </c>
      <c r="S208" s="462">
        <f>VLOOKUP($E208,'5.1 Budget'!$A$4:$G$729,5,0)</f>
        <v>0</v>
      </c>
      <c r="T208" s="462">
        <f>VLOOKUP($E208,'5.1 Budget'!$A$4:$G$729,6,0)</f>
        <v>0</v>
      </c>
      <c r="U208" s="462">
        <f>VLOOKUP($E208,'5.1 Budget'!$A$4:$G$729,7,0)</f>
        <v>0</v>
      </c>
      <c r="V208" s="462">
        <f t="shared" si="4"/>
        <v>335000</v>
      </c>
    </row>
    <row r="209" spans="1:22" ht="39" x14ac:dyDescent="0.25">
      <c r="A209" s="465">
        <v>1</v>
      </c>
      <c r="B209" s="12" t="s">
        <v>52</v>
      </c>
      <c r="C209" s="12" t="s">
        <v>58</v>
      </c>
      <c r="D209" s="12" t="s">
        <v>22</v>
      </c>
      <c r="E209" s="12" t="s">
        <v>743</v>
      </c>
      <c r="F209" s="469" t="str">
        <f>VLOOKUP(E209,'5. Consolidation'!$E$3:$F$715,2,0)</f>
        <v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v>
      </c>
      <c r="G209" s="469" t="str">
        <f>VLOOKUP(E209,'5.2 Actions'!$A$3:$D$720,4,0)</f>
        <v>SEN / CAN</v>
      </c>
      <c r="H209" s="12"/>
      <c r="I209" s="12"/>
      <c r="J209" s="12"/>
      <c r="K209" s="12"/>
      <c r="L209" s="12"/>
      <c r="M209" s="12"/>
      <c r="N209" s="459">
        <v>2022</v>
      </c>
      <c r="O209" s="12"/>
      <c r="P209" s="462">
        <f>VLOOKUP($E209,'5.1 Budget'!$A$4:$G$729,2,0)</f>
        <v>140000</v>
      </c>
      <c r="Q209" s="462">
        <f>VLOOKUP($E209,'5.1 Budget'!$A$4:$G$729,3,0)</f>
        <v>70000</v>
      </c>
      <c r="R209" s="462">
        <f>VLOOKUP($E209,'5.1 Budget'!$A$4:$G$729,4,0)</f>
        <v>70000</v>
      </c>
      <c r="S209" s="462">
        <f>VLOOKUP($E209,'5.1 Budget'!$A$4:$G$729,5,0)</f>
        <v>0</v>
      </c>
      <c r="T209" s="462">
        <f>VLOOKUP($E209,'5.1 Budget'!$A$4:$G$729,6,0)</f>
        <v>0</v>
      </c>
      <c r="U209" s="462">
        <f>VLOOKUP($E209,'5.1 Budget'!$A$4:$G$729,7,0)</f>
        <v>0</v>
      </c>
      <c r="V209" s="462">
        <f t="shared" si="4"/>
        <v>280000</v>
      </c>
    </row>
    <row r="210" spans="1:22" ht="26.25" x14ac:dyDescent="0.25">
      <c r="A210" s="465">
        <v>1</v>
      </c>
      <c r="B210" s="12" t="s">
        <v>52</v>
      </c>
      <c r="C210" s="12" t="s">
        <v>58</v>
      </c>
      <c r="D210" s="12" t="s">
        <v>22</v>
      </c>
      <c r="E210" s="12" t="s">
        <v>744</v>
      </c>
      <c r="F210" s="469" t="str">
        <f>VLOOKUP(E210,'5. Consolidation'!$E$3:$F$715,2,0)</f>
        <v>Intégration des sondes déployées dans le site web de diffusion des données Flowbru et diffusion des données de toutes les sondes</v>
      </c>
      <c r="G210" s="469" t="str">
        <f>VLOOKUP(E210,'5.2 Actions'!$A$3:$D$720,4,0)</f>
        <v>SEN / WOL / CAN</v>
      </c>
      <c r="H210" s="12"/>
      <c r="I210" s="12"/>
      <c r="J210" s="12"/>
      <c r="K210" s="12"/>
      <c r="L210" s="12"/>
      <c r="M210" s="12"/>
      <c r="N210" s="459">
        <v>2022</v>
      </c>
      <c r="O210" s="12">
        <v>2027</v>
      </c>
      <c r="P210" s="462">
        <f>VLOOKUP($E210,'5.1 Budget'!$A$4:$G$729,2,0)</f>
        <v>5000</v>
      </c>
      <c r="Q210" s="462">
        <f>VLOOKUP($E210,'5.1 Budget'!$A$4:$G$729,3,0)</f>
        <v>5000</v>
      </c>
      <c r="R210" s="462">
        <f>VLOOKUP($E210,'5.1 Budget'!$A$4:$G$729,4,0)</f>
        <v>5000</v>
      </c>
      <c r="S210" s="462">
        <f>VLOOKUP($E210,'5.1 Budget'!$A$4:$G$729,5,0)</f>
        <v>5000</v>
      </c>
      <c r="T210" s="462">
        <f>VLOOKUP($E210,'5.1 Budget'!$A$4:$G$729,6,0)</f>
        <v>5000</v>
      </c>
      <c r="U210" s="462">
        <f>VLOOKUP($E210,'5.1 Budget'!$A$4:$G$729,7,0)</f>
        <v>5000</v>
      </c>
      <c r="V210" s="462">
        <f t="shared" si="4"/>
        <v>30000</v>
      </c>
    </row>
    <row r="211" spans="1:22" x14ac:dyDescent="0.25">
      <c r="A211" s="465">
        <v>1</v>
      </c>
      <c r="B211" s="12" t="s">
        <v>52</v>
      </c>
      <c r="C211" s="12" t="s">
        <v>58</v>
      </c>
      <c r="D211" s="12" t="s">
        <v>22</v>
      </c>
      <c r="E211" s="12" t="s">
        <v>745</v>
      </c>
      <c r="F211" s="469" t="str">
        <f>VLOOKUP(E211,'5. Consolidation'!$E$3:$F$715,2,0)</f>
        <v>Poursuivre la validation des nouvelles données pluviométriques, poursuivre la validation des données</v>
      </c>
      <c r="G211" s="469" t="str">
        <f>VLOOKUP(E211,'5.2 Actions'!$A$3:$D$720,4,0)</f>
        <v>SEN / WOL / CAN</v>
      </c>
      <c r="H211" s="12"/>
      <c r="I211" s="12"/>
      <c r="J211" s="12"/>
      <c r="K211" s="12"/>
      <c r="L211" s="12"/>
      <c r="M211" s="12"/>
      <c r="N211" s="459">
        <v>2022</v>
      </c>
      <c r="O211" s="12">
        <v>2027</v>
      </c>
      <c r="P211" s="462">
        <f>VLOOKUP($E211,'5.1 Budget'!$A$4:$G$729,2,0)</f>
        <v>5000</v>
      </c>
      <c r="Q211" s="462">
        <f>VLOOKUP($E211,'5.1 Budget'!$A$4:$G$729,3,0)</f>
        <v>5000</v>
      </c>
      <c r="R211" s="462">
        <f>VLOOKUP($E211,'5.1 Budget'!$A$4:$G$729,4,0)</f>
        <v>5000</v>
      </c>
      <c r="S211" s="462">
        <f>VLOOKUP($E211,'5.1 Budget'!$A$4:$G$729,5,0)</f>
        <v>5000</v>
      </c>
      <c r="T211" s="462">
        <f>VLOOKUP($E211,'5.1 Budget'!$A$4:$G$729,6,0)</f>
        <v>5000</v>
      </c>
      <c r="U211" s="462">
        <f>VLOOKUP($E211,'5.1 Budget'!$A$4:$G$729,7,0)</f>
        <v>5000</v>
      </c>
      <c r="V211" s="462">
        <f t="shared" si="4"/>
        <v>30000</v>
      </c>
    </row>
    <row r="212" spans="1:22" ht="51.75" x14ac:dyDescent="0.25">
      <c r="A212" s="465">
        <v>1</v>
      </c>
      <c r="B212" s="12" t="s">
        <v>52</v>
      </c>
      <c r="C212" s="12" t="s">
        <v>58</v>
      </c>
      <c r="D212" s="12" t="s">
        <v>22</v>
      </c>
      <c r="E212" s="12" t="s">
        <v>746</v>
      </c>
      <c r="F212" s="469" t="str">
        <f>VLOOKUP(E212,'5. Consolidation'!$E$3:$F$715,2,0)</f>
        <v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v>
      </c>
      <c r="G212" s="469" t="str">
        <f>VLOOKUP(E212,'5.2 Actions'!$A$3:$D$720,4,0)</f>
        <v>SEN / CAN</v>
      </c>
      <c r="H212" s="12"/>
      <c r="I212" s="12"/>
      <c r="J212" s="12"/>
      <c r="K212" s="12"/>
      <c r="L212" s="12"/>
      <c r="M212" s="12"/>
      <c r="N212" s="12"/>
      <c r="O212" s="12"/>
      <c r="P212" s="462">
        <f>VLOOKUP($E212,'5.1 Budget'!$A$4:$G$729,2,0)</f>
        <v>0</v>
      </c>
      <c r="Q212" s="462">
        <f>VLOOKUP($E212,'5.1 Budget'!$A$4:$G$729,3,0)</f>
        <v>0</v>
      </c>
      <c r="R212" s="462">
        <f>VLOOKUP($E212,'5.1 Budget'!$A$4:$G$729,4,0)</f>
        <v>0</v>
      </c>
      <c r="S212" s="462">
        <f>VLOOKUP($E212,'5.1 Budget'!$A$4:$G$729,5,0)</f>
        <v>0</v>
      </c>
      <c r="T212" s="462">
        <f>VLOOKUP($E212,'5.1 Budget'!$A$4:$G$729,6,0)</f>
        <v>0</v>
      </c>
      <c r="U212" s="462">
        <f>VLOOKUP($E212,'5.1 Budget'!$A$4:$G$729,7,0)</f>
        <v>0</v>
      </c>
      <c r="V212" s="462">
        <f t="shared" si="4"/>
        <v>0</v>
      </c>
    </row>
    <row r="213" spans="1:22" ht="26.25" x14ac:dyDescent="0.25">
      <c r="A213" s="465">
        <v>1</v>
      </c>
      <c r="B213" s="12" t="s">
        <v>52</v>
      </c>
      <c r="C213" s="12" t="s">
        <v>58</v>
      </c>
      <c r="D213" s="12" t="s">
        <v>22</v>
      </c>
      <c r="E213" s="12" t="s">
        <v>747</v>
      </c>
      <c r="F213" s="469" t="str">
        <f>VLOOKUP(E213,'5. Consolidation'!$E$3:$F$715,2,0)</f>
        <v>Etude d'utilisation des données du réseau Flowbru afin d'améliorer la prédiction de la maintenance des sondes et la gestion dynamique.</v>
      </c>
      <c r="G213" s="469" t="str">
        <f>VLOOKUP(E213,'5.2 Actions'!$A$3:$D$720,4,0)</f>
        <v>SEN / WOL / CAN</v>
      </c>
      <c r="H213" s="12"/>
      <c r="I213" s="12"/>
      <c r="J213" s="12"/>
      <c r="K213" s="12"/>
      <c r="L213" s="12"/>
      <c r="M213" s="12"/>
      <c r="N213" s="459">
        <v>2022</v>
      </c>
      <c r="O213" s="12"/>
      <c r="P213" s="462">
        <f>VLOOKUP($E213,'5.1 Budget'!$A$4:$G$729,2,0)</f>
        <v>105000</v>
      </c>
      <c r="Q213" s="462">
        <f>VLOOKUP($E213,'5.1 Budget'!$A$4:$G$729,3,0)</f>
        <v>105000</v>
      </c>
      <c r="R213" s="462">
        <f>VLOOKUP($E213,'5.1 Budget'!$A$4:$G$729,4,0)</f>
        <v>105000</v>
      </c>
      <c r="S213" s="462">
        <f>VLOOKUP($E213,'5.1 Budget'!$A$4:$G$729,5,0)</f>
        <v>0</v>
      </c>
      <c r="T213" s="462">
        <f>VLOOKUP($E213,'5.1 Budget'!$A$4:$G$729,6,0)</f>
        <v>0</v>
      </c>
      <c r="U213" s="462">
        <f>VLOOKUP($E213,'5.1 Budget'!$A$4:$G$729,7,0)</f>
        <v>0</v>
      </c>
      <c r="V213" s="462">
        <f t="shared" si="4"/>
        <v>315000</v>
      </c>
    </row>
    <row r="214" spans="1:22" ht="26.25" x14ac:dyDescent="0.25">
      <c r="A214" s="465">
        <v>1</v>
      </c>
      <c r="B214" s="12" t="s">
        <v>52</v>
      </c>
      <c r="C214" s="12" t="s">
        <v>58</v>
      </c>
      <c r="D214" s="12" t="s">
        <v>22</v>
      </c>
      <c r="E214" s="12" t="s">
        <v>748</v>
      </c>
      <c r="F214" s="469" t="str">
        <f>VLOOKUP(E214,'5. Consolidation'!$E$3:$F$715,2,0)</f>
        <v>Amélioration du site web de diffusion des données mesurées Flowbru (https://www.Flowbru.be/fr) et développement d'une application mobile.</v>
      </c>
      <c r="G214" s="469" t="str">
        <f>VLOOKUP(E214,'5.2 Actions'!$A$3:$D$720,4,0)</f>
        <v>SEN / WOL / CAN</v>
      </c>
      <c r="H214" s="12"/>
      <c r="I214" s="12"/>
      <c r="J214" s="12"/>
      <c r="K214" s="12"/>
      <c r="L214" s="12"/>
      <c r="M214" s="12"/>
      <c r="N214" s="459">
        <v>2022</v>
      </c>
      <c r="O214" s="12"/>
      <c r="P214" s="462">
        <f>VLOOKUP($E214,'5.1 Budget'!$A$4:$G$729,2,0)</f>
        <v>20000</v>
      </c>
      <c r="Q214" s="462">
        <f>VLOOKUP($E214,'5.1 Budget'!$A$4:$G$729,3,0)</f>
        <v>20000</v>
      </c>
      <c r="R214" s="462">
        <f>VLOOKUP($E214,'5.1 Budget'!$A$4:$G$729,4,0)</f>
        <v>20000</v>
      </c>
      <c r="S214" s="462">
        <f>VLOOKUP($E214,'5.1 Budget'!$A$4:$G$729,5,0)</f>
        <v>0</v>
      </c>
      <c r="T214" s="462">
        <f>VLOOKUP($E214,'5.1 Budget'!$A$4:$G$729,6,0)</f>
        <v>0</v>
      </c>
      <c r="U214" s="462">
        <f>VLOOKUP($E214,'5.1 Budget'!$A$4:$G$729,7,0)</f>
        <v>0</v>
      </c>
      <c r="V214" s="462">
        <f t="shared" si="4"/>
        <v>60000</v>
      </c>
    </row>
    <row r="215" spans="1:22" x14ac:dyDescent="0.25">
      <c r="A215" s="465">
        <v>1</v>
      </c>
      <c r="B215" s="12" t="s">
        <v>52</v>
      </c>
      <c r="C215" s="12" t="s">
        <v>58</v>
      </c>
      <c r="D215" s="12" t="s">
        <v>22</v>
      </c>
      <c r="E215" s="12" t="s">
        <v>749</v>
      </c>
      <c r="F215" s="469" t="str">
        <f>VLOOKUP(E215,'5. Consolidation'!$E$3:$F$715,2,0)</f>
        <v>Développement d'une API du site Flowbru pour faciliter la diffusion des données</v>
      </c>
      <c r="G215" s="469" t="str">
        <f>VLOOKUP(E215,'5.2 Actions'!$A$3:$D$720,4,0)</f>
        <v>SEN / WOL / CAN</v>
      </c>
      <c r="H215" s="12"/>
      <c r="I215" s="12"/>
      <c r="J215" s="12"/>
      <c r="K215" s="12"/>
      <c r="L215" s="12"/>
      <c r="M215" s="12"/>
      <c r="N215" s="459">
        <v>2022</v>
      </c>
      <c r="O215" s="12"/>
      <c r="P215" s="462">
        <f>VLOOKUP($E215,'5.1 Budget'!$A$4:$G$729,2,0)</f>
        <v>20000</v>
      </c>
      <c r="Q215" s="462">
        <f>VLOOKUP($E215,'5.1 Budget'!$A$4:$G$729,3,0)</f>
        <v>0</v>
      </c>
      <c r="R215" s="462">
        <f>VLOOKUP($E215,'5.1 Budget'!$A$4:$G$729,4,0)</f>
        <v>0</v>
      </c>
      <c r="S215" s="462">
        <f>VLOOKUP($E215,'5.1 Budget'!$A$4:$G$729,5,0)</f>
        <v>0</v>
      </c>
      <c r="T215" s="462">
        <f>VLOOKUP($E215,'5.1 Budget'!$A$4:$G$729,6,0)</f>
        <v>0</v>
      </c>
      <c r="U215" s="462">
        <f>VLOOKUP($E215,'5.1 Budget'!$A$4:$G$729,7,0)</f>
        <v>0</v>
      </c>
      <c r="V215" s="462">
        <f t="shared" si="4"/>
        <v>20000</v>
      </c>
    </row>
    <row r="216" spans="1:22" ht="39" x14ac:dyDescent="0.25">
      <c r="A216" s="465">
        <v>1</v>
      </c>
      <c r="B216" s="12" t="s">
        <v>52</v>
      </c>
      <c r="C216" s="12" t="s">
        <v>58</v>
      </c>
      <c r="D216" s="12" t="s">
        <v>22</v>
      </c>
      <c r="E216" s="12" t="s">
        <v>739</v>
      </c>
      <c r="F216" s="469" t="str">
        <f>VLOOKUP(E216,'5. Consolidation'!$E$3:$F$715,2,0)</f>
        <v>Développer des alertes automatiques pour une liste de contacts (dont SBGE, Port, BE) en cas de modification alarmante de paramètres mesurés par les sondes Flowbru, en particulier concernant des chutes d'oxygène, ou hausses de conductivité ou de pigments de cyanobactéries</v>
      </c>
      <c r="G216" s="469" t="str">
        <f>VLOOKUP(E216,'5.2 Actions'!$A$3:$D$720,4,0)</f>
        <v>SEN / CAN</v>
      </c>
      <c r="H216" s="12"/>
      <c r="I216" s="12"/>
      <c r="J216" s="12"/>
      <c r="K216" s="12"/>
      <c r="L216" s="12"/>
      <c r="M216" s="12"/>
      <c r="N216" s="12"/>
      <c r="O216" s="12"/>
      <c r="P216" s="462">
        <f>VLOOKUP($E216,'5.1 Budget'!$A$4:$G$729,2,0)</f>
        <v>0</v>
      </c>
      <c r="Q216" s="462">
        <f>VLOOKUP($E216,'5.1 Budget'!$A$4:$G$729,3,0)</f>
        <v>0</v>
      </c>
      <c r="R216" s="462">
        <f>VLOOKUP($E216,'5.1 Budget'!$A$4:$G$729,4,0)</f>
        <v>0</v>
      </c>
      <c r="S216" s="462">
        <f>VLOOKUP($E216,'5.1 Budget'!$A$4:$G$729,5,0)</f>
        <v>0</v>
      </c>
      <c r="T216" s="462">
        <f>VLOOKUP($E216,'5.1 Budget'!$A$4:$G$729,6,0)</f>
        <v>0</v>
      </c>
      <c r="U216" s="462">
        <f>VLOOKUP($E216,'5.1 Budget'!$A$4:$G$729,7,0)</f>
        <v>0</v>
      </c>
      <c r="V216" s="462">
        <f t="shared" si="4"/>
        <v>0</v>
      </c>
    </row>
    <row r="217" spans="1:22" ht="26.25" x14ac:dyDescent="0.25">
      <c r="A217" s="465">
        <v>1</v>
      </c>
      <c r="B217" s="12" t="s">
        <v>52</v>
      </c>
      <c r="C217" s="12" t="s">
        <v>58</v>
      </c>
      <c r="D217" s="12" t="s">
        <v>22</v>
      </c>
      <c r="E217" s="12" t="s">
        <v>740</v>
      </c>
      <c r="F217" s="469" t="str">
        <f>VLOOKUP(E217,'5. Consolidation'!$E$3:$F$715,2,0)</f>
        <v>Déployer 1-2 sondes supplémentaires, en amont/aval de la première sonde (prévue au niveau du bassin Béco), si celle-ci démontre que cela s'avère utile (dans la M 1.22.3)</v>
      </c>
      <c r="G217" s="469" t="str">
        <f>VLOOKUP(E217,'5.2 Actions'!$A$3:$D$720,4,0)</f>
        <v>CAN</v>
      </c>
      <c r="H217" s="12"/>
      <c r="I217" s="12"/>
      <c r="J217" s="12"/>
      <c r="K217" s="12"/>
      <c r="L217" s="12"/>
      <c r="M217" s="12"/>
      <c r="N217" s="459">
        <v>2023</v>
      </c>
      <c r="O217" s="12"/>
      <c r="P217" s="462">
        <f>VLOOKUP($E217,'5.1 Budget'!$A$4:$G$729,2,0)</f>
        <v>0</v>
      </c>
      <c r="Q217" s="462">
        <f>VLOOKUP($E217,'5.1 Budget'!$A$4:$G$729,3,0)</f>
        <v>20000</v>
      </c>
      <c r="R217" s="462">
        <f>VLOOKUP($E217,'5.1 Budget'!$A$4:$G$729,4,0)</f>
        <v>0</v>
      </c>
      <c r="S217" s="462">
        <f>VLOOKUP($E217,'5.1 Budget'!$A$4:$G$729,5,0)</f>
        <v>0</v>
      </c>
      <c r="T217" s="462">
        <f>VLOOKUP($E217,'5.1 Budget'!$A$4:$G$729,6,0)</f>
        <v>0</v>
      </c>
      <c r="U217" s="462">
        <f>VLOOKUP($E217,'5.1 Budget'!$A$4:$G$729,7,0)</f>
        <v>0</v>
      </c>
      <c r="V217" s="462">
        <f t="shared" si="4"/>
        <v>20000</v>
      </c>
    </row>
    <row r="218" spans="1:22" x14ac:dyDescent="0.25">
      <c r="A218" s="465">
        <v>1</v>
      </c>
      <c r="B218" s="12" t="s">
        <v>52</v>
      </c>
      <c r="C218" s="12" t="s">
        <v>58</v>
      </c>
      <c r="D218" s="12" t="s">
        <v>22</v>
      </c>
      <c r="E218" s="12" t="s">
        <v>741</v>
      </c>
      <c r="F218" s="469" t="e">
        <f>VLOOKUP(E218,'5. Consolidation'!$E$3:$F$715,2,0)</f>
        <v>#N/A</v>
      </c>
      <c r="G218" s="469" t="s">
        <v>414</v>
      </c>
      <c r="H218" s="12"/>
      <c r="I218" s="12"/>
      <c r="J218" s="12"/>
      <c r="K218" s="12"/>
      <c r="L218" s="12"/>
      <c r="M218" s="12"/>
      <c r="N218" s="12"/>
      <c r="O218" s="12"/>
      <c r="P218" s="462">
        <v>0</v>
      </c>
      <c r="Q218" s="462">
        <v>0</v>
      </c>
      <c r="R218" s="462">
        <v>0</v>
      </c>
      <c r="S218" s="462">
        <v>0</v>
      </c>
      <c r="T218" s="462">
        <v>0</v>
      </c>
      <c r="U218" s="462">
        <v>0</v>
      </c>
      <c r="V218" s="462">
        <f t="shared" si="4"/>
        <v>0</v>
      </c>
    </row>
    <row r="219" spans="1:22" x14ac:dyDescent="0.25">
      <c r="A219" s="465">
        <v>1</v>
      </c>
      <c r="B219" s="12" t="s">
        <v>52</v>
      </c>
      <c r="C219" s="12" t="s">
        <v>58</v>
      </c>
      <c r="D219" s="12" t="s">
        <v>24</v>
      </c>
      <c r="E219" s="12" t="s">
        <v>2599</v>
      </c>
      <c r="F219" s="469" t="str">
        <f>VLOOKUP(E219,'5. Consolidation'!$E$3:$F$715,2,0)</f>
        <v>Réaliser une caractérisation fine des entrées de polluants physico-chimique dans la Senne</v>
      </c>
      <c r="G219" s="469" t="str">
        <f>VLOOKUP(E219,'5.2 Actions'!$A$3:$D$720,4,0)</f>
        <v xml:space="preserve">SEN </v>
      </c>
      <c r="H219" s="12"/>
      <c r="I219" s="12"/>
      <c r="J219" s="12"/>
      <c r="K219" s="12"/>
      <c r="L219" s="12"/>
      <c r="M219" s="12"/>
      <c r="N219" s="12"/>
      <c r="O219" s="12"/>
      <c r="P219" s="462">
        <f>VLOOKUP($E219,'5.1 Budget'!$A$4:$G$729,2,0)</f>
        <v>0</v>
      </c>
      <c r="Q219" s="462">
        <f>VLOOKUP($E219,'5.1 Budget'!$A$4:$G$729,3,0)</f>
        <v>0</v>
      </c>
      <c r="R219" s="462">
        <f>VLOOKUP($E219,'5.1 Budget'!$A$4:$G$729,4,0)</f>
        <v>0</v>
      </c>
      <c r="S219" s="462">
        <f>VLOOKUP($E219,'5.1 Budget'!$A$4:$G$729,5,0)</f>
        <v>0</v>
      </c>
      <c r="T219" s="462">
        <f>VLOOKUP($E219,'5.1 Budget'!$A$4:$G$729,6,0)</f>
        <v>0</v>
      </c>
      <c r="U219" s="462">
        <f>VLOOKUP($E219,'5.1 Budget'!$A$4:$G$729,7,0)</f>
        <v>0</v>
      </c>
      <c r="V219" s="462">
        <f t="shared" si="4"/>
        <v>0</v>
      </c>
    </row>
    <row r="220" spans="1:22" x14ac:dyDescent="0.25">
      <c r="A220" s="465">
        <v>1</v>
      </c>
      <c r="B220" s="12" t="s">
        <v>52</v>
      </c>
      <c r="C220" s="12" t="s">
        <v>58</v>
      </c>
      <c r="D220" s="12" t="s">
        <v>24</v>
      </c>
      <c r="E220" s="12" t="s">
        <v>2600</v>
      </c>
      <c r="F220" s="469" t="str">
        <f>VLOOKUP(E220,'5. Consolidation'!$E$3:$F$715,2,0)</f>
        <v>Utiliser un modèle biogéochimique adapté pour la Senne en collaboration avec la VMM</v>
      </c>
      <c r="G220" s="469" t="str">
        <f>VLOOKUP(E220,'5.2 Actions'!$A$3:$D$720,4,0)</f>
        <v xml:space="preserve">SEN </v>
      </c>
      <c r="H220" s="12"/>
      <c r="I220" s="12"/>
      <c r="J220" s="12"/>
      <c r="K220" s="12"/>
      <c r="L220" s="12"/>
      <c r="M220" s="12"/>
      <c r="N220" s="12"/>
      <c r="O220" s="12"/>
      <c r="P220" s="462">
        <f>VLOOKUP($E220,'5.1 Budget'!$A$4:$G$729,2,0)</f>
        <v>0</v>
      </c>
      <c r="Q220" s="462">
        <f>VLOOKUP($E220,'5.1 Budget'!$A$4:$G$729,3,0)</f>
        <v>0</v>
      </c>
      <c r="R220" s="462">
        <f>VLOOKUP($E220,'5.1 Budget'!$A$4:$G$729,4,0)</f>
        <v>0</v>
      </c>
      <c r="S220" s="462">
        <f>VLOOKUP($E220,'5.1 Budget'!$A$4:$G$729,5,0)</f>
        <v>0</v>
      </c>
      <c r="T220" s="462">
        <f>VLOOKUP($E220,'5.1 Budget'!$A$4:$G$729,6,0)</f>
        <v>0</v>
      </c>
      <c r="U220" s="462">
        <f>VLOOKUP($E220,'5.1 Budget'!$A$4:$G$729,7,0)</f>
        <v>0</v>
      </c>
      <c r="V220" s="462">
        <f t="shared" si="4"/>
        <v>0</v>
      </c>
    </row>
    <row r="221" spans="1:22" ht="26.25" x14ac:dyDescent="0.25">
      <c r="A221" s="465">
        <v>1</v>
      </c>
      <c r="B221" s="12" t="s">
        <v>52</v>
      </c>
      <c r="C221" s="12" t="s">
        <v>58</v>
      </c>
      <c r="D221" s="12" t="s">
        <v>24</v>
      </c>
      <c r="E221" s="12" t="s">
        <v>2601</v>
      </c>
      <c r="F221" s="469" t="str">
        <f>VLOOKUP(E221,'5. Consolidation'!$E$3:$F$715,2,0)</f>
        <v>Analyser les scénarios permettant d’améliorer la qualité physico-chimique de la Senne en collaboration avec la VMM et, le cas échéant, entamer l’argumentaire pour la formulation d’éventuels objectifs moins stricts)</v>
      </c>
      <c r="G221" s="469" t="str">
        <f>VLOOKUP(E221,'5.2 Actions'!$A$3:$D$720,4,0)</f>
        <v xml:space="preserve">SEN </v>
      </c>
      <c r="H221" s="12"/>
      <c r="I221" s="12"/>
      <c r="J221" s="12"/>
      <c r="K221" s="12"/>
      <c r="L221" s="12"/>
      <c r="M221" s="12"/>
      <c r="N221" s="12"/>
      <c r="O221" s="12"/>
      <c r="P221" s="462">
        <f>VLOOKUP($E221,'5.1 Budget'!$A$4:$G$729,2,0)</f>
        <v>0</v>
      </c>
      <c r="Q221" s="462">
        <f>VLOOKUP($E221,'5.1 Budget'!$A$4:$G$729,3,0)</f>
        <v>0</v>
      </c>
      <c r="R221" s="462">
        <f>VLOOKUP($E221,'5.1 Budget'!$A$4:$G$729,4,0)</f>
        <v>0</v>
      </c>
      <c r="S221" s="462">
        <f>VLOOKUP($E221,'5.1 Budget'!$A$4:$G$729,5,0)</f>
        <v>0</v>
      </c>
      <c r="T221" s="462">
        <f>VLOOKUP($E221,'5.1 Budget'!$A$4:$G$729,6,0)</f>
        <v>0</v>
      </c>
      <c r="U221" s="462">
        <f>VLOOKUP($E221,'5.1 Budget'!$A$4:$G$729,7,0)</f>
        <v>0</v>
      </c>
      <c r="V221" s="462">
        <f t="shared" si="4"/>
        <v>0</v>
      </c>
    </row>
    <row r="222" spans="1:22" ht="64.5" x14ac:dyDescent="0.25">
      <c r="A222" s="465">
        <v>1</v>
      </c>
      <c r="B222" s="12" t="s">
        <v>52</v>
      </c>
      <c r="C222" s="12" t="s">
        <v>58</v>
      </c>
      <c r="D222" s="12" t="s">
        <v>25</v>
      </c>
      <c r="E222" s="12" t="s">
        <v>750</v>
      </c>
      <c r="F222" s="469" t="str">
        <f>VLOOKUP(E222,'5. Consolidation'!$E$3:$F$715,2,0)</f>
        <v>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v>
      </c>
      <c r="G222" s="469" t="str">
        <f>VLOOKUP(E222,'5.2 Actions'!$A$3:$D$720,4,0)</f>
        <v>SEN / WOL / CAN</v>
      </c>
      <c r="H222" s="12"/>
      <c r="I222" s="12"/>
      <c r="J222" s="12"/>
      <c r="K222" s="12"/>
      <c r="L222" s="12"/>
      <c r="M222" s="12"/>
      <c r="N222" s="12"/>
      <c r="O222" s="12"/>
      <c r="P222" s="462" t="str">
        <f>VLOOKUP($E222,'5.1 Budget'!$A$4:$G$729,2,0)</f>
        <v>-</v>
      </c>
      <c r="Q222" s="462" t="str">
        <f>VLOOKUP($E222,'5.1 Budget'!$A$4:$G$729,3,0)</f>
        <v>-</v>
      </c>
      <c r="R222" s="462" t="str">
        <f>VLOOKUP($E222,'5.1 Budget'!$A$4:$G$729,4,0)</f>
        <v>-</v>
      </c>
      <c r="S222" s="462" t="str">
        <f>VLOOKUP($E222,'5.1 Budget'!$A$4:$G$729,5,0)</f>
        <v>-</v>
      </c>
      <c r="T222" s="462" t="str">
        <f>VLOOKUP($E222,'5.1 Budget'!$A$4:$G$729,6,0)</f>
        <v>-</v>
      </c>
      <c r="U222" s="462" t="str">
        <f>VLOOKUP($E222,'5.1 Budget'!$A$4:$G$729,7,0)</f>
        <v>-</v>
      </c>
      <c r="V222" s="462">
        <f t="shared" si="4"/>
        <v>0</v>
      </c>
    </row>
    <row r="223" spans="1:22" ht="39" x14ac:dyDescent="0.25">
      <c r="A223" s="465">
        <v>1</v>
      </c>
      <c r="B223" s="12" t="s">
        <v>52</v>
      </c>
      <c r="C223" s="12" t="s">
        <v>58</v>
      </c>
      <c r="D223" s="12" t="s">
        <v>25</v>
      </c>
      <c r="E223" s="12" t="s">
        <v>751</v>
      </c>
      <c r="F223" s="469" t="str">
        <f>VLOOKUP(E223,'5. Consolidation'!$E$3:$F$715,2,0)</f>
        <v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v>
      </c>
      <c r="G223" s="469" t="str">
        <f>VLOOKUP(E223,'5.2 Actions'!$A$3:$D$720,4,0)</f>
        <v>SEN / WOL / CAN</v>
      </c>
      <c r="H223" s="12"/>
      <c r="I223" s="12"/>
      <c r="J223" s="12"/>
      <c r="K223" s="12"/>
      <c r="L223" s="12"/>
      <c r="M223" s="12"/>
      <c r="N223" s="12"/>
      <c r="O223" s="12"/>
      <c r="P223" s="462" t="str">
        <f>VLOOKUP($E223,'5.1 Budget'!$A$4:$G$729,2,0)</f>
        <v>-</v>
      </c>
      <c r="Q223" s="462" t="str">
        <f>VLOOKUP($E223,'5.1 Budget'!$A$4:$G$729,3,0)</f>
        <v>-</v>
      </c>
      <c r="R223" s="462" t="str">
        <f>VLOOKUP($E223,'5.1 Budget'!$A$4:$G$729,4,0)</f>
        <v>-</v>
      </c>
      <c r="S223" s="462" t="str">
        <f>VLOOKUP($E223,'5.1 Budget'!$A$4:$G$729,5,0)</f>
        <v>-</v>
      </c>
      <c r="T223" s="462" t="str">
        <f>VLOOKUP($E223,'5.1 Budget'!$A$4:$G$729,6,0)</f>
        <v>-</v>
      </c>
      <c r="U223" s="462" t="str">
        <f>VLOOKUP($E223,'5.1 Budget'!$A$4:$G$729,7,0)</f>
        <v>-</v>
      </c>
      <c r="V223" s="462">
        <f t="shared" si="4"/>
        <v>0</v>
      </c>
    </row>
    <row r="224" spans="1:22" ht="26.25" x14ac:dyDescent="0.25">
      <c r="A224" s="465">
        <v>1</v>
      </c>
      <c r="B224" s="12" t="s">
        <v>52</v>
      </c>
      <c r="C224" s="12" t="s">
        <v>58</v>
      </c>
      <c r="D224" s="12" t="s">
        <v>25</v>
      </c>
      <c r="E224" s="12" t="s">
        <v>752</v>
      </c>
      <c r="F224" s="469" t="str">
        <f>VLOOKUP(E224,'5. Consolidation'!$E$3:$F$715,2,0)</f>
        <v>Fournir des informations au Musée des égouts (et autres lieux culturels relayant la préservation de l’environnement) en tant que lieu de sensibilisation</v>
      </c>
      <c r="G224" s="469" t="str">
        <f>VLOOKUP(E224,'5.2 Actions'!$A$3:$D$720,4,0)</f>
        <v>SEN / WOL / CAN</v>
      </c>
      <c r="H224" s="12"/>
      <c r="I224" s="12"/>
      <c r="J224" s="12"/>
      <c r="K224" s="12"/>
      <c r="L224" s="12"/>
      <c r="M224" s="12"/>
      <c r="N224" s="12"/>
      <c r="O224" s="12"/>
      <c r="P224" s="462" t="str">
        <f>VLOOKUP($E224,'5.1 Budget'!$A$4:$G$729,2,0)</f>
        <v>-</v>
      </c>
      <c r="Q224" s="462" t="str">
        <f>VLOOKUP($E224,'5.1 Budget'!$A$4:$G$729,3,0)</f>
        <v>-</v>
      </c>
      <c r="R224" s="462" t="str">
        <f>VLOOKUP($E224,'5.1 Budget'!$A$4:$G$729,4,0)</f>
        <v>-</v>
      </c>
      <c r="S224" s="462" t="str">
        <f>VLOOKUP($E224,'5.1 Budget'!$A$4:$G$729,5,0)</f>
        <v>-</v>
      </c>
      <c r="T224" s="462" t="str">
        <f>VLOOKUP($E224,'5.1 Budget'!$A$4:$G$729,6,0)</f>
        <v>-</v>
      </c>
      <c r="U224" s="462" t="str">
        <f>VLOOKUP($E224,'5.1 Budget'!$A$4:$G$729,7,0)</f>
        <v>-</v>
      </c>
      <c r="V224" s="462">
        <f t="shared" si="4"/>
        <v>0</v>
      </c>
    </row>
    <row r="225" spans="1:22" ht="51.75" x14ac:dyDescent="0.25">
      <c r="A225" s="465">
        <v>1</v>
      </c>
      <c r="B225" s="12" t="s">
        <v>52</v>
      </c>
      <c r="C225" s="12" t="s">
        <v>58</v>
      </c>
      <c r="D225" s="12" t="s">
        <v>25</v>
      </c>
      <c r="E225" s="12" t="s">
        <v>753</v>
      </c>
      <c r="F225" s="469" t="str">
        <f>VLOOKUP(E225,'5. Consolidation'!$E$3:$F$715,2,0)</f>
        <v>Promouvoir l’interdiction d’utilisation des objets en plastique à usage unique et favoriser les alternatives réutilisables/durables.
Cette mesure s’établira en synergie également avec la M.7.2 sur la promotion de l’eau de distribution pour les besoins potables.</v>
      </c>
      <c r="G225" s="469" t="str">
        <f>VLOOKUP(E225,'5.2 Actions'!$A$3:$D$720,4,0)</f>
        <v>SEN / WOL / CAN</v>
      </c>
      <c r="H225" s="12"/>
      <c r="I225" s="12"/>
      <c r="J225" s="12"/>
      <c r="K225" s="12"/>
      <c r="L225" s="12"/>
      <c r="M225" s="12"/>
      <c r="N225" s="459">
        <v>2022</v>
      </c>
      <c r="O225" s="12"/>
      <c r="P225" s="462" t="str">
        <f>VLOOKUP($E225,'5.1 Budget'!$A$4:$G$729,2,0)</f>
        <v>-</v>
      </c>
      <c r="Q225" s="462" t="str">
        <f>VLOOKUP($E225,'5.1 Budget'!$A$4:$G$729,3,0)</f>
        <v>-</v>
      </c>
      <c r="R225" s="462" t="str">
        <f>VLOOKUP($E225,'5.1 Budget'!$A$4:$G$729,4,0)</f>
        <v>-</v>
      </c>
      <c r="S225" s="462" t="str">
        <f>VLOOKUP($E225,'5.1 Budget'!$A$4:$G$729,5,0)</f>
        <v>-</v>
      </c>
      <c r="T225" s="462" t="str">
        <f>VLOOKUP($E225,'5.1 Budget'!$A$4:$G$729,6,0)</f>
        <v>-</v>
      </c>
      <c r="U225" s="462" t="str">
        <f>VLOOKUP($E225,'5.1 Budget'!$A$4:$G$729,7,0)</f>
        <v>-</v>
      </c>
      <c r="V225" s="462">
        <f t="shared" si="4"/>
        <v>0</v>
      </c>
    </row>
    <row r="226" spans="1:22" x14ac:dyDescent="0.25">
      <c r="A226" s="465">
        <v>1</v>
      </c>
      <c r="B226" s="12" t="s">
        <v>52</v>
      </c>
      <c r="C226" s="12" t="s">
        <v>58</v>
      </c>
      <c r="D226" s="12" t="s">
        <v>25</v>
      </c>
      <c r="E226" s="12" t="s">
        <v>754</v>
      </c>
      <c r="F226" s="469" t="str">
        <f>VLOOKUP(E226,'5. Consolidation'!$E$3:$F$715,2,0)</f>
        <v xml:space="preserve">Renforcer les campagnes existantes sur la promotion de la propreté urbaine via différents outils et canaux de communication </v>
      </c>
      <c r="G226" s="469" t="str">
        <f>VLOOKUP(E226,'5.2 Actions'!$A$3:$D$720,4,0)</f>
        <v>SEN / WOL / CAN</v>
      </c>
      <c r="H226" s="12"/>
      <c r="I226" s="12"/>
      <c r="J226" s="12"/>
      <c r="K226" s="12"/>
      <c r="L226" s="12"/>
      <c r="M226" s="12"/>
      <c r="N226" s="459">
        <v>2022</v>
      </c>
      <c r="O226" s="12"/>
      <c r="P226" s="462" t="str">
        <f>VLOOKUP($E226,'5.1 Budget'!$A$4:$G$729,2,0)</f>
        <v>-</v>
      </c>
      <c r="Q226" s="462" t="str">
        <f>VLOOKUP($E226,'5.1 Budget'!$A$4:$G$729,3,0)</f>
        <v>-</v>
      </c>
      <c r="R226" s="462" t="str">
        <f>VLOOKUP($E226,'5.1 Budget'!$A$4:$G$729,4,0)</f>
        <v>-</v>
      </c>
      <c r="S226" s="462" t="str">
        <f>VLOOKUP($E226,'5.1 Budget'!$A$4:$G$729,5,0)</f>
        <v>-</v>
      </c>
      <c r="T226" s="462" t="str">
        <f>VLOOKUP($E226,'5.1 Budget'!$A$4:$G$729,6,0)</f>
        <v>-</v>
      </c>
      <c r="U226" s="462" t="str">
        <f>VLOOKUP($E226,'5.1 Budget'!$A$4:$G$729,7,0)</f>
        <v>-</v>
      </c>
      <c r="V226" s="462">
        <f t="shared" si="4"/>
        <v>0</v>
      </c>
    </row>
    <row r="227" spans="1:22" ht="26.25" x14ac:dyDescent="0.25">
      <c r="A227" s="465">
        <v>1</v>
      </c>
      <c r="B227" s="12" t="s">
        <v>52</v>
      </c>
      <c r="C227" s="12" t="s">
        <v>58</v>
      </c>
      <c r="D227" s="12" t="s">
        <v>26</v>
      </c>
      <c r="E227" s="12" t="s">
        <v>755</v>
      </c>
      <c r="F227" s="469" t="str">
        <f>VLOOKUP(E227,'5. Consolidation'!$E$3:$F$715,2,0)</f>
        <v>Intégrer les principes de gestion développés au niveau de la CIE dans les procédures de gestion de pollution au niveau bruxellois (Voir plan faitier CIE)</v>
      </c>
      <c r="G227" s="469" t="str">
        <f>VLOOKUP(E227,'5.2 Actions'!$A$3:$D$720,4,0)</f>
        <v>SEN / WOL / CAN</v>
      </c>
      <c r="H227" s="12"/>
      <c r="I227" s="12"/>
      <c r="J227" s="12"/>
      <c r="K227" s="12"/>
      <c r="L227" s="12"/>
      <c r="M227" s="12"/>
      <c r="N227" s="459">
        <v>2022</v>
      </c>
      <c r="O227" s="12">
        <v>2027</v>
      </c>
      <c r="P227" s="462" t="str">
        <f>VLOOKUP($E227,'5.1 Budget'!$A$4:$G$729,2,0)</f>
        <v>-</v>
      </c>
      <c r="Q227" s="462" t="str">
        <f>VLOOKUP($E227,'5.1 Budget'!$A$4:$G$729,3,0)</f>
        <v>-</v>
      </c>
      <c r="R227" s="462" t="str">
        <f>VLOOKUP($E227,'5.1 Budget'!$A$4:$G$729,4,0)</f>
        <v>-</v>
      </c>
      <c r="S227" s="462" t="str">
        <f>VLOOKUP($E227,'5.1 Budget'!$A$4:$G$729,5,0)</f>
        <v>-</v>
      </c>
      <c r="T227" s="462" t="str">
        <f>VLOOKUP($E227,'5.1 Budget'!$A$4:$G$729,6,0)</f>
        <v>-</v>
      </c>
      <c r="U227" s="462" t="str">
        <f>VLOOKUP($E227,'5.1 Budget'!$A$4:$G$729,7,0)</f>
        <v>-</v>
      </c>
      <c r="V227" s="462">
        <f t="shared" si="4"/>
        <v>0</v>
      </c>
    </row>
    <row r="228" spans="1:22" ht="26.25" x14ac:dyDescent="0.25">
      <c r="A228" s="465">
        <v>1</v>
      </c>
      <c r="B228" s="12" t="s">
        <v>52</v>
      </c>
      <c r="C228" s="12" t="s">
        <v>58</v>
      </c>
      <c r="D228" s="12" t="s">
        <v>26</v>
      </c>
      <c r="E228" s="12" t="s">
        <v>756</v>
      </c>
      <c r="F228" s="469" t="str">
        <f>VLOOKUP(E228,'5. Consolidation'!$E$3:$F$715,2,0)</f>
        <v>Appliquer les recommandations délivrées par la CIE en vue d’améliorer le fonctionnement et la communication au sein du SAAE (Voir plan faitier CIE)</v>
      </c>
      <c r="G228" s="469" t="str">
        <f>VLOOKUP(E228,'5.2 Actions'!$A$3:$D$720,4,0)</f>
        <v>SEN / WOL / CAN</v>
      </c>
      <c r="H228" s="12"/>
      <c r="I228" s="12"/>
      <c r="J228" s="12"/>
      <c r="K228" s="12"/>
      <c r="L228" s="12"/>
      <c r="M228" s="12"/>
      <c r="N228" s="459">
        <v>2022</v>
      </c>
      <c r="O228" s="12">
        <v>2027</v>
      </c>
      <c r="P228" s="462" t="str">
        <f>VLOOKUP($E228,'5.1 Budget'!$A$4:$G$729,2,0)</f>
        <v>-</v>
      </c>
      <c r="Q228" s="462" t="str">
        <f>VLOOKUP($E228,'5.1 Budget'!$A$4:$G$729,3,0)</f>
        <v>-</v>
      </c>
      <c r="R228" s="462" t="str">
        <f>VLOOKUP($E228,'5.1 Budget'!$A$4:$G$729,4,0)</f>
        <v>-</v>
      </c>
      <c r="S228" s="462" t="str">
        <f>VLOOKUP($E228,'5.1 Budget'!$A$4:$G$729,5,0)</f>
        <v>-</v>
      </c>
      <c r="T228" s="462" t="str">
        <f>VLOOKUP($E228,'5.1 Budget'!$A$4:$G$729,6,0)</f>
        <v>-</v>
      </c>
      <c r="U228" s="462" t="str">
        <f>VLOOKUP($E228,'5.1 Budget'!$A$4:$G$729,7,0)</f>
        <v>-</v>
      </c>
      <c r="V228" s="462">
        <f t="shared" si="4"/>
        <v>0</v>
      </c>
    </row>
    <row r="229" spans="1:22" ht="26.25" x14ac:dyDescent="0.25">
      <c r="A229" s="465">
        <v>1</v>
      </c>
      <c r="B229" s="12" t="s">
        <v>52</v>
      </c>
      <c r="C229" s="12" t="s">
        <v>58</v>
      </c>
      <c r="D229" s="12" t="s">
        <v>26</v>
      </c>
      <c r="E229" s="12" t="s">
        <v>757</v>
      </c>
      <c r="F229" s="469" t="str">
        <f>VLOOKUP(E229,'5. Consolidation'!$E$3:$F$715,2,0)</f>
        <v>Intégrer le Port de Bruxelles dans le marché de Bruxelles Environnement pour le CPA du Système d’alarme et d’alerte pour le district hydrographique de l’Escaut (Voir plan faitier CIE)</v>
      </c>
      <c r="G229" s="469" t="str">
        <f>VLOOKUP(E229,'5.2 Actions'!$A$3:$D$720,4,0)</f>
        <v>SEN / WOL / CAN</v>
      </c>
      <c r="H229" s="12"/>
      <c r="I229" s="12"/>
      <c r="J229" s="12"/>
      <c r="K229" s="12"/>
      <c r="L229" s="12"/>
      <c r="M229" s="12"/>
      <c r="N229" s="12"/>
      <c r="O229" s="12"/>
      <c r="P229" s="462">
        <f>VLOOKUP($E229,'5.1 Budget'!$A$4:$G$729,2,0)</f>
        <v>3750</v>
      </c>
      <c r="Q229" s="462">
        <f>VLOOKUP($E229,'5.1 Budget'!$A$4:$G$729,3,0)</f>
        <v>3800</v>
      </c>
      <c r="R229" s="462">
        <f>VLOOKUP($E229,'5.1 Budget'!$A$4:$G$729,4,0)</f>
        <v>3800</v>
      </c>
      <c r="S229" s="462">
        <f>VLOOKUP($E229,'5.1 Budget'!$A$4:$G$729,5,0)</f>
        <v>3800</v>
      </c>
      <c r="T229" s="462">
        <f>VLOOKUP($E229,'5.1 Budget'!$A$4:$G$729,6,0)</f>
        <v>3800</v>
      </c>
      <c r="U229" s="462">
        <f>VLOOKUP($E229,'5.1 Budget'!$A$4:$G$729,7,0)</f>
        <v>3850</v>
      </c>
      <c r="V229" s="462">
        <f t="shared" si="4"/>
        <v>22800</v>
      </c>
    </row>
    <row r="230" spans="1:22" ht="26.25" x14ac:dyDescent="0.25">
      <c r="A230" s="465">
        <v>1</v>
      </c>
      <c r="B230" s="12" t="s">
        <v>52</v>
      </c>
      <c r="C230" s="12" t="s">
        <v>58</v>
      </c>
      <c r="D230" s="12" t="s">
        <v>26</v>
      </c>
      <c r="E230" s="12" t="s">
        <v>758</v>
      </c>
      <c r="F230" s="469" t="str">
        <f>VLOOKUP(E230,'5. Consolidation'!$E$3:$F$715,2,0)</f>
        <v>Clarifier la procédure de gestion de crise pour prendre les mesures rapides et efficaces en cas de pollution, notamment via la Protection civile</v>
      </c>
      <c r="G230" s="469" t="str">
        <f>VLOOKUP(E230,'5.2 Actions'!$A$3:$D$720,4,0)</f>
        <v>SEN / WOL / CAN</v>
      </c>
      <c r="H230" s="12"/>
      <c r="I230" s="12"/>
      <c r="J230" s="12"/>
      <c r="K230" s="12"/>
      <c r="L230" s="12"/>
      <c r="M230" s="12"/>
      <c r="N230" s="12"/>
      <c r="O230" s="12"/>
      <c r="P230" s="462" t="str">
        <f>VLOOKUP($E230,'5.1 Budget'!$A$4:$G$729,2,0)</f>
        <v>-</v>
      </c>
      <c r="Q230" s="462" t="str">
        <f>VLOOKUP($E230,'5.1 Budget'!$A$4:$G$729,3,0)</f>
        <v>-</v>
      </c>
      <c r="R230" s="462" t="str">
        <f>VLOOKUP($E230,'5.1 Budget'!$A$4:$G$729,4,0)</f>
        <v>-</v>
      </c>
      <c r="S230" s="462" t="str">
        <f>VLOOKUP($E230,'5.1 Budget'!$A$4:$G$729,5,0)</f>
        <v>-</v>
      </c>
      <c r="T230" s="462" t="str">
        <f>VLOOKUP($E230,'5.1 Budget'!$A$4:$G$729,6,0)</f>
        <v>-</v>
      </c>
      <c r="U230" s="462" t="str">
        <f>VLOOKUP($E230,'5.1 Budget'!$A$4:$G$729,7,0)</f>
        <v>-</v>
      </c>
      <c r="V230" s="462">
        <f t="shared" si="4"/>
        <v>0</v>
      </c>
    </row>
    <row r="231" spans="1:22" ht="26.25" x14ac:dyDescent="0.25">
      <c r="A231" s="465">
        <v>1</v>
      </c>
      <c r="B231" s="12" t="s">
        <v>52</v>
      </c>
      <c r="C231" s="12" t="s">
        <v>58</v>
      </c>
      <c r="D231" s="12" t="s">
        <v>26</v>
      </c>
      <c r="E231" s="12" t="s">
        <v>759</v>
      </c>
      <c r="F231" s="469" t="str">
        <f>VLOOKUP(E231,'5. Consolidation'!$E$3:$F$715,2,0)</f>
        <v>Etudier la faisabilité et définir les besoins de Bruxelles Environnement en vue de basculer vers un système de garde 24h/24 et 7j/7 commun aux thématiques de l’Eau et Seveso</v>
      </c>
      <c r="G231" s="469" t="str">
        <f>VLOOKUP(E231,'5.2 Actions'!$A$3:$D$720,4,0)</f>
        <v>SEN / WOL / CAN</v>
      </c>
      <c r="H231" s="12"/>
      <c r="I231" s="12"/>
      <c r="J231" s="12"/>
      <c r="K231" s="12"/>
      <c r="L231" s="12"/>
      <c r="M231" s="12"/>
      <c r="N231" s="12"/>
      <c r="O231" s="12"/>
      <c r="P231" s="462" t="str">
        <f>VLOOKUP($E231,'5.1 Budget'!$A$4:$G$729,2,0)</f>
        <v>-</v>
      </c>
      <c r="Q231" s="462" t="str">
        <f>VLOOKUP($E231,'5.1 Budget'!$A$4:$G$729,3,0)</f>
        <v>-</v>
      </c>
      <c r="R231" s="462" t="str">
        <f>VLOOKUP($E231,'5.1 Budget'!$A$4:$G$729,4,0)</f>
        <v>-</v>
      </c>
      <c r="S231" s="462" t="str">
        <f>VLOOKUP($E231,'5.1 Budget'!$A$4:$G$729,5,0)</f>
        <v>-</v>
      </c>
      <c r="T231" s="462" t="str">
        <f>VLOOKUP($E231,'5.1 Budget'!$A$4:$G$729,6,0)</f>
        <v>-</v>
      </c>
      <c r="U231" s="462" t="str">
        <f>VLOOKUP($E231,'5.1 Budget'!$A$4:$G$729,7,0)</f>
        <v>-</v>
      </c>
      <c r="V231" s="462">
        <f t="shared" si="4"/>
        <v>0</v>
      </c>
    </row>
    <row r="232" spans="1:22" x14ac:dyDescent="0.25">
      <c r="A232" s="465">
        <v>1</v>
      </c>
      <c r="B232" s="12" t="s">
        <v>52</v>
      </c>
      <c r="C232" s="12" t="s">
        <v>58</v>
      </c>
      <c r="D232" s="12" t="s">
        <v>26</v>
      </c>
      <c r="E232" s="12" t="s">
        <v>760</v>
      </c>
      <c r="F232" s="469" t="str">
        <f>VLOOKUP(E232,'5. Consolidation'!$E$3:$F$715,2,0)</f>
        <v>Définir le cadre du service de garde en lien avec la thématique de l'eau et en coordination avec les opérateurs de l'eau</v>
      </c>
      <c r="G232" s="469" t="str">
        <f>VLOOKUP(E232,'5.2 Actions'!$A$3:$D$720,4,0)</f>
        <v>SEN / WOL / CAN</v>
      </c>
      <c r="H232" s="12"/>
      <c r="I232" s="12"/>
      <c r="J232" s="12"/>
      <c r="K232" s="12"/>
      <c r="L232" s="12"/>
      <c r="M232" s="12"/>
      <c r="N232" s="459">
        <v>2022</v>
      </c>
      <c r="O232" s="12">
        <v>2027</v>
      </c>
      <c r="P232" s="462" t="str">
        <f>VLOOKUP($E232,'5.1 Budget'!$A$4:$G$729,2,0)</f>
        <v>-</v>
      </c>
      <c r="Q232" s="462" t="str">
        <f>VLOOKUP($E232,'5.1 Budget'!$A$4:$G$729,3,0)</f>
        <v>-</v>
      </c>
      <c r="R232" s="462" t="str">
        <f>VLOOKUP($E232,'5.1 Budget'!$A$4:$G$729,4,0)</f>
        <v>-</v>
      </c>
      <c r="S232" s="462" t="str">
        <f>VLOOKUP($E232,'5.1 Budget'!$A$4:$G$729,5,0)</f>
        <v>-</v>
      </c>
      <c r="T232" s="462" t="str">
        <f>VLOOKUP($E232,'5.1 Budget'!$A$4:$G$729,6,0)</f>
        <v>-</v>
      </c>
      <c r="U232" s="462" t="str">
        <f>VLOOKUP($E232,'5.1 Budget'!$A$4:$G$729,7,0)</f>
        <v>-</v>
      </c>
      <c r="V232" s="462">
        <f t="shared" si="4"/>
        <v>0</v>
      </c>
    </row>
    <row r="233" spans="1:22" x14ac:dyDescent="0.25">
      <c r="A233" s="465">
        <v>1</v>
      </c>
      <c r="B233" s="12" t="s">
        <v>52</v>
      </c>
      <c r="C233" s="12" t="s">
        <v>58</v>
      </c>
      <c r="D233" s="12" t="s">
        <v>26</v>
      </c>
      <c r="E233" s="12" t="s">
        <v>761</v>
      </c>
      <c r="F233" s="469" t="str">
        <f>VLOOKUP(E233,'5. Consolidation'!$E$3:$F$715,2,0)</f>
        <v>Organiser les procédures et contacts avec les services d’urgence en collaboration avec Bruxelles Prévention et Sécurité</v>
      </c>
      <c r="G233" s="469" t="str">
        <f>VLOOKUP(E233,'5.2 Actions'!$A$3:$D$720,4,0)</f>
        <v>SEN / WOL / CAN</v>
      </c>
      <c r="H233" s="12"/>
      <c r="I233" s="12"/>
      <c r="J233" s="12"/>
      <c r="K233" s="12"/>
      <c r="L233" s="12"/>
      <c r="M233" s="12"/>
      <c r="N233" s="459">
        <v>2022</v>
      </c>
      <c r="O233" s="12"/>
      <c r="P233" s="462" t="str">
        <f>VLOOKUP($E233,'5.1 Budget'!$A$4:$G$729,2,0)</f>
        <v>-</v>
      </c>
      <c r="Q233" s="462" t="str">
        <f>VLOOKUP($E233,'5.1 Budget'!$A$4:$G$729,3,0)</f>
        <v>-</v>
      </c>
      <c r="R233" s="462" t="str">
        <f>VLOOKUP($E233,'5.1 Budget'!$A$4:$G$729,4,0)</f>
        <v>-</v>
      </c>
      <c r="S233" s="462" t="str">
        <f>VLOOKUP($E233,'5.1 Budget'!$A$4:$G$729,5,0)</f>
        <v>-</v>
      </c>
      <c r="T233" s="462" t="str">
        <f>VLOOKUP($E233,'5.1 Budget'!$A$4:$G$729,6,0)</f>
        <v>-</v>
      </c>
      <c r="U233" s="462" t="str">
        <f>VLOOKUP($E233,'5.1 Budget'!$A$4:$G$729,7,0)</f>
        <v>-</v>
      </c>
      <c r="V233" s="462">
        <f t="shared" si="4"/>
        <v>0</v>
      </c>
    </row>
    <row r="234" spans="1:22" ht="77.25" x14ac:dyDescent="0.25">
      <c r="A234" s="465">
        <v>1</v>
      </c>
      <c r="B234" s="12" t="s">
        <v>52</v>
      </c>
      <c r="C234" s="12" t="s">
        <v>58</v>
      </c>
      <c r="D234" s="12" t="s">
        <v>26</v>
      </c>
      <c r="E234" s="12" t="s">
        <v>762</v>
      </c>
      <c r="F234" s="469" t="str">
        <f>VLOOKUP(E234,'5. Consolidation'!$E$3:$F$715,2,0)</f>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
      <c r="G234" s="469" t="str">
        <f>VLOOKUP(E234,'5.2 Actions'!$A$3:$D$720,4,0)</f>
        <v>SEN / WOL / CAN</v>
      </c>
      <c r="H234" s="12"/>
      <c r="I234" s="12"/>
      <c r="J234" s="12"/>
      <c r="K234" s="12"/>
      <c r="L234" s="12"/>
      <c r="M234" s="12"/>
      <c r="N234" s="459">
        <v>2022</v>
      </c>
      <c r="O234" s="12">
        <v>2027</v>
      </c>
      <c r="P234" s="462" t="str">
        <f>VLOOKUP($E234,'5.1 Budget'!$A$4:$G$729,2,0)</f>
        <v>-</v>
      </c>
      <c r="Q234" s="462" t="str">
        <f>VLOOKUP($E234,'5.1 Budget'!$A$4:$G$729,3,0)</f>
        <v>-</v>
      </c>
      <c r="R234" s="462" t="str">
        <f>VLOOKUP($E234,'5.1 Budget'!$A$4:$G$729,4,0)</f>
        <v>-</v>
      </c>
      <c r="S234" s="462" t="str">
        <f>VLOOKUP($E234,'5.1 Budget'!$A$4:$G$729,5,0)</f>
        <v>-</v>
      </c>
      <c r="T234" s="462" t="str">
        <f>VLOOKUP($E234,'5.1 Budget'!$A$4:$G$729,6,0)</f>
        <v>-</v>
      </c>
      <c r="U234" s="462" t="str">
        <f>VLOOKUP($E234,'5.1 Budget'!$A$4:$G$729,7,0)</f>
        <v>-</v>
      </c>
      <c r="V234" s="462">
        <f t="shared" si="4"/>
        <v>0</v>
      </c>
    </row>
    <row r="235" spans="1:22" ht="26.25" x14ac:dyDescent="0.25">
      <c r="A235" s="465">
        <v>1</v>
      </c>
      <c r="B235" s="12" t="s">
        <v>52</v>
      </c>
      <c r="C235" s="12" t="s">
        <v>58</v>
      </c>
      <c r="D235" s="12" t="s">
        <v>26</v>
      </c>
      <c r="E235" s="12" t="s">
        <v>755</v>
      </c>
      <c r="F235" s="469" t="str">
        <f>VLOOKUP(E235,'5. Consolidation'!$E$3:$F$715,2,0)</f>
        <v>Intégrer les principes de gestion développés au niveau de la CIE dans les procédures de gestion de pollution au niveau bruxellois (Voir plan faitier CIE)</v>
      </c>
      <c r="G235" s="469" t="str">
        <f>VLOOKUP(E235,'5.2 Actions'!$A$3:$D$720,4,0)</f>
        <v>SEN / WOL / CAN</v>
      </c>
      <c r="H235" s="12"/>
      <c r="I235" s="12"/>
      <c r="J235" s="12"/>
      <c r="K235" s="12"/>
      <c r="L235" s="12"/>
      <c r="M235" s="12"/>
      <c r="N235" s="459">
        <v>2022</v>
      </c>
      <c r="O235" s="12">
        <v>2027</v>
      </c>
      <c r="P235" s="462" t="str">
        <f>VLOOKUP($E235,'5.1 Budget'!$A$4:$G$729,2,0)</f>
        <v>-</v>
      </c>
      <c r="Q235" s="462" t="str">
        <f>VLOOKUP($E235,'5.1 Budget'!$A$4:$G$729,3,0)</f>
        <v>-</v>
      </c>
      <c r="R235" s="462" t="str">
        <f>VLOOKUP($E235,'5.1 Budget'!$A$4:$G$729,4,0)</f>
        <v>-</v>
      </c>
      <c r="S235" s="462" t="str">
        <f>VLOOKUP($E235,'5.1 Budget'!$A$4:$G$729,5,0)</f>
        <v>-</v>
      </c>
      <c r="T235" s="462" t="str">
        <f>VLOOKUP($E235,'5.1 Budget'!$A$4:$G$729,6,0)</f>
        <v>-</v>
      </c>
      <c r="U235" s="462" t="str">
        <f>VLOOKUP($E235,'5.1 Budget'!$A$4:$G$729,7,0)</f>
        <v>-</v>
      </c>
      <c r="V235" s="462">
        <f t="shared" si="4"/>
        <v>0</v>
      </c>
    </row>
    <row r="236" spans="1:22" ht="26.25" x14ac:dyDescent="0.25">
      <c r="A236" s="465">
        <v>1</v>
      </c>
      <c r="B236" s="12" t="s">
        <v>52</v>
      </c>
      <c r="C236" s="12" t="s">
        <v>58</v>
      </c>
      <c r="D236" s="12" t="s">
        <v>26</v>
      </c>
      <c r="E236" s="12" t="s">
        <v>756</v>
      </c>
      <c r="F236" s="469" t="str">
        <f>VLOOKUP(E236,'5. Consolidation'!$E$3:$F$715,2,0)</f>
        <v>Appliquer les recommandations délivrées par la CIE en vue d’améliorer le fonctionnement et la communication au sein du SAAE (Voir plan faitier CIE)</v>
      </c>
      <c r="G236" s="469" t="str">
        <f>VLOOKUP(E236,'5.2 Actions'!$A$3:$D$720,4,0)</f>
        <v>SEN / WOL / CAN</v>
      </c>
      <c r="H236" s="12"/>
      <c r="I236" s="12"/>
      <c r="J236" s="12"/>
      <c r="K236" s="12"/>
      <c r="L236" s="12"/>
      <c r="M236" s="12"/>
      <c r="N236" s="459">
        <v>2022</v>
      </c>
      <c r="O236" s="12">
        <v>2027</v>
      </c>
      <c r="P236" s="462" t="str">
        <f>VLOOKUP($E236,'5.1 Budget'!$A$4:$G$729,2,0)</f>
        <v>-</v>
      </c>
      <c r="Q236" s="462" t="str">
        <f>VLOOKUP($E236,'5.1 Budget'!$A$4:$G$729,3,0)</f>
        <v>-</v>
      </c>
      <c r="R236" s="462" t="str">
        <f>VLOOKUP($E236,'5.1 Budget'!$A$4:$G$729,4,0)</f>
        <v>-</v>
      </c>
      <c r="S236" s="462" t="str">
        <f>VLOOKUP($E236,'5.1 Budget'!$A$4:$G$729,5,0)</f>
        <v>-</v>
      </c>
      <c r="T236" s="462" t="str">
        <f>VLOOKUP($E236,'5.1 Budget'!$A$4:$G$729,6,0)</f>
        <v>-</v>
      </c>
      <c r="U236" s="462" t="str">
        <f>VLOOKUP($E236,'5.1 Budget'!$A$4:$G$729,7,0)</f>
        <v>-</v>
      </c>
      <c r="V236" s="462">
        <f t="shared" si="4"/>
        <v>0</v>
      </c>
    </row>
    <row r="237" spans="1:22" ht="26.25" x14ac:dyDescent="0.25">
      <c r="A237" s="465">
        <v>1</v>
      </c>
      <c r="B237" s="12" t="s">
        <v>52</v>
      </c>
      <c r="C237" s="12" t="s">
        <v>58</v>
      </c>
      <c r="D237" s="12" t="s">
        <v>26</v>
      </c>
      <c r="E237" s="12" t="s">
        <v>757</v>
      </c>
      <c r="F237" s="469" t="str">
        <f>VLOOKUP(E237,'5. Consolidation'!$E$3:$F$715,2,0)</f>
        <v>Intégrer le Port de Bruxelles dans le marché de Bruxelles Environnement pour le CPA du Système d’alarme et d’alerte pour le district hydrographique de l’Escaut (Voir plan faitier CIE)</v>
      </c>
      <c r="G237" s="469" t="str">
        <f>VLOOKUP(E237,'5.2 Actions'!$A$3:$D$720,4,0)</f>
        <v>SEN / WOL / CAN</v>
      </c>
      <c r="H237" s="12"/>
      <c r="I237" s="12"/>
      <c r="J237" s="12"/>
      <c r="K237" s="12"/>
      <c r="L237" s="12"/>
      <c r="M237" s="12"/>
      <c r="N237" s="12"/>
      <c r="O237" s="12"/>
      <c r="P237" s="462">
        <f>VLOOKUP($E237,'5.1 Budget'!$A$4:$G$729,2,0)</f>
        <v>3750</v>
      </c>
      <c r="Q237" s="462">
        <f>VLOOKUP($E237,'5.1 Budget'!$A$4:$G$729,3,0)</f>
        <v>3800</v>
      </c>
      <c r="R237" s="462">
        <f>VLOOKUP($E237,'5.1 Budget'!$A$4:$G$729,4,0)</f>
        <v>3800</v>
      </c>
      <c r="S237" s="462">
        <f>VLOOKUP($E237,'5.1 Budget'!$A$4:$G$729,5,0)</f>
        <v>3800</v>
      </c>
      <c r="T237" s="462">
        <f>VLOOKUP($E237,'5.1 Budget'!$A$4:$G$729,6,0)</f>
        <v>3800</v>
      </c>
      <c r="U237" s="462">
        <f>VLOOKUP($E237,'5.1 Budget'!$A$4:$G$729,7,0)</f>
        <v>3850</v>
      </c>
      <c r="V237" s="462">
        <f t="shared" si="4"/>
        <v>22800</v>
      </c>
    </row>
    <row r="238" spans="1:22" ht="26.25" x14ac:dyDescent="0.25">
      <c r="A238" s="465">
        <v>1</v>
      </c>
      <c r="B238" s="12" t="s">
        <v>52</v>
      </c>
      <c r="C238" s="12" t="s">
        <v>58</v>
      </c>
      <c r="D238" s="12" t="s">
        <v>26</v>
      </c>
      <c r="E238" s="12" t="s">
        <v>758</v>
      </c>
      <c r="F238" s="469" t="str">
        <f>VLOOKUP(E238,'5. Consolidation'!$E$3:$F$715,2,0)</f>
        <v>Clarifier la procédure de gestion de crise pour prendre les mesures rapides et efficaces en cas de pollution, notamment via la Protection civile</v>
      </c>
      <c r="G238" s="469" t="str">
        <f>VLOOKUP(E238,'5.2 Actions'!$A$3:$D$720,4,0)</f>
        <v>SEN / WOL / CAN</v>
      </c>
      <c r="H238" s="12"/>
      <c r="I238" s="12"/>
      <c r="J238" s="12"/>
      <c r="K238" s="12"/>
      <c r="L238" s="12"/>
      <c r="M238" s="12"/>
      <c r="N238" s="12"/>
      <c r="O238" s="12"/>
      <c r="P238" s="462" t="str">
        <f>VLOOKUP($E238,'5.1 Budget'!$A$4:$G$729,2,0)</f>
        <v>-</v>
      </c>
      <c r="Q238" s="462" t="str">
        <f>VLOOKUP($E238,'5.1 Budget'!$A$4:$G$729,3,0)</f>
        <v>-</v>
      </c>
      <c r="R238" s="462" t="str">
        <f>VLOOKUP($E238,'5.1 Budget'!$A$4:$G$729,4,0)</f>
        <v>-</v>
      </c>
      <c r="S238" s="462" t="str">
        <f>VLOOKUP($E238,'5.1 Budget'!$A$4:$G$729,5,0)</f>
        <v>-</v>
      </c>
      <c r="T238" s="462" t="str">
        <f>VLOOKUP($E238,'5.1 Budget'!$A$4:$G$729,6,0)</f>
        <v>-</v>
      </c>
      <c r="U238" s="462" t="str">
        <f>VLOOKUP($E238,'5.1 Budget'!$A$4:$G$729,7,0)</f>
        <v>-</v>
      </c>
      <c r="V238" s="462">
        <f t="shared" si="4"/>
        <v>0</v>
      </c>
    </row>
    <row r="239" spans="1:22" ht="26.25" x14ac:dyDescent="0.25">
      <c r="A239" s="465">
        <v>1</v>
      </c>
      <c r="B239" s="12" t="s">
        <v>52</v>
      </c>
      <c r="C239" s="12" t="s">
        <v>58</v>
      </c>
      <c r="D239" s="12" t="s">
        <v>26</v>
      </c>
      <c r="E239" s="12" t="s">
        <v>759</v>
      </c>
      <c r="F239" s="469" t="str">
        <f>VLOOKUP(E239,'5. Consolidation'!$E$3:$F$715,2,0)</f>
        <v>Etudier la faisabilité et définir les besoins de Bruxelles Environnement en vue de basculer vers un système de garde 24h/24 et 7j/7 commun aux thématiques de l’Eau et Seveso</v>
      </c>
      <c r="G239" s="469" t="str">
        <f>VLOOKUP(E239,'5.2 Actions'!$A$3:$D$720,4,0)</f>
        <v>SEN / WOL / CAN</v>
      </c>
      <c r="H239" s="12"/>
      <c r="I239" s="12"/>
      <c r="J239" s="12"/>
      <c r="K239" s="12"/>
      <c r="L239" s="12"/>
      <c r="M239" s="12"/>
      <c r="N239" s="12"/>
      <c r="O239" s="12"/>
      <c r="P239" s="462" t="str">
        <f>VLOOKUP($E239,'5.1 Budget'!$A$4:$G$729,2,0)</f>
        <v>-</v>
      </c>
      <c r="Q239" s="462" t="str">
        <f>VLOOKUP($E239,'5.1 Budget'!$A$4:$G$729,3,0)</f>
        <v>-</v>
      </c>
      <c r="R239" s="462" t="str">
        <f>VLOOKUP($E239,'5.1 Budget'!$A$4:$G$729,4,0)</f>
        <v>-</v>
      </c>
      <c r="S239" s="462" t="str">
        <f>VLOOKUP($E239,'5.1 Budget'!$A$4:$G$729,5,0)</f>
        <v>-</v>
      </c>
      <c r="T239" s="462" t="str">
        <f>VLOOKUP($E239,'5.1 Budget'!$A$4:$G$729,6,0)</f>
        <v>-</v>
      </c>
      <c r="U239" s="462" t="str">
        <f>VLOOKUP($E239,'5.1 Budget'!$A$4:$G$729,7,0)</f>
        <v>-</v>
      </c>
      <c r="V239" s="462">
        <f t="shared" si="4"/>
        <v>0</v>
      </c>
    </row>
    <row r="240" spans="1:22" x14ac:dyDescent="0.25">
      <c r="A240" s="465">
        <v>1</v>
      </c>
      <c r="B240" s="12" t="s">
        <v>52</v>
      </c>
      <c r="C240" s="12" t="s">
        <v>58</v>
      </c>
      <c r="D240" s="12" t="s">
        <v>26</v>
      </c>
      <c r="E240" s="12" t="s">
        <v>760</v>
      </c>
      <c r="F240" s="469" t="str">
        <f>VLOOKUP(E240,'5. Consolidation'!$E$3:$F$715,2,0)</f>
        <v>Définir le cadre du service de garde en lien avec la thématique de l'eau et en coordination avec les opérateurs de l'eau</v>
      </c>
      <c r="G240" s="469" t="str">
        <f>VLOOKUP(E240,'5.2 Actions'!$A$3:$D$720,4,0)</f>
        <v>SEN / WOL / CAN</v>
      </c>
      <c r="H240" s="12"/>
      <c r="I240" s="12"/>
      <c r="J240" s="12"/>
      <c r="K240" s="12"/>
      <c r="L240" s="12"/>
      <c r="M240" s="12"/>
      <c r="N240" s="459">
        <v>2022</v>
      </c>
      <c r="O240" s="12">
        <v>2027</v>
      </c>
      <c r="P240" s="462" t="str">
        <f>VLOOKUP($E240,'5.1 Budget'!$A$4:$G$729,2,0)</f>
        <v>-</v>
      </c>
      <c r="Q240" s="462" t="str">
        <f>VLOOKUP($E240,'5.1 Budget'!$A$4:$G$729,3,0)</f>
        <v>-</v>
      </c>
      <c r="R240" s="462" t="str">
        <f>VLOOKUP($E240,'5.1 Budget'!$A$4:$G$729,4,0)</f>
        <v>-</v>
      </c>
      <c r="S240" s="462" t="str">
        <f>VLOOKUP($E240,'5.1 Budget'!$A$4:$G$729,5,0)</f>
        <v>-</v>
      </c>
      <c r="T240" s="462" t="str">
        <f>VLOOKUP($E240,'5.1 Budget'!$A$4:$G$729,6,0)</f>
        <v>-</v>
      </c>
      <c r="U240" s="462" t="str">
        <f>VLOOKUP($E240,'5.1 Budget'!$A$4:$G$729,7,0)</f>
        <v>-</v>
      </c>
      <c r="V240" s="462">
        <f t="shared" si="4"/>
        <v>0</v>
      </c>
    </row>
    <row r="241" spans="1:22" x14ac:dyDescent="0.25">
      <c r="A241" s="465">
        <v>1</v>
      </c>
      <c r="B241" s="12" t="s">
        <v>52</v>
      </c>
      <c r="C241" s="12" t="s">
        <v>58</v>
      </c>
      <c r="D241" s="12" t="s">
        <v>26</v>
      </c>
      <c r="E241" s="12" t="s">
        <v>761</v>
      </c>
      <c r="F241" s="469" t="str">
        <f>VLOOKUP(E241,'5. Consolidation'!$E$3:$F$715,2,0)</f>
        <v>Organiser les procédures et contacts avec les services d’urgence en collaboration avec Bruxelles Prévention et Sécurité</v>
      </c>
      <c r="G241" s="469" t="str">
        <f>VLOOKUP(E241,'5.2 Actions'!$A$3:$D$720,4,0)</f>
        <v>SEN / WOL / CAN</v>
      </c>
      <c r="H241" s="12"/>
      <c r="I241" s="12"/>
      <c r="J241" s="12"/>
      <c r="K241" s="12"/>
      <c r="L241" s="12"/>
      <c r="M241" s="12"/>
      <c r="N241" s="459">
        <v>2022</v>
      </c>
      <c r="O241" s="12"/>
      <c r="P241" s="462" t="str">
        <f>VLOOKUP($E241,'5.1 Budget'!$A$4:$G$729,2,0)</f>
        <v>-</v>
      </c>
      <c r="Q241" s="462" t="str">
        <f>VLOOKUP($E241,'5.1 Budget'!$A$4:$G$729,3,0)</f>
        <v>-</v>
      </c>
      <c r="R241" s="462" t="str">
        <f>VLOOKUP($E241,'5.1 Budget'!$A$4:$G$729,4,0)</f>
        <v>-</v>
      </c>
      <c r="S241" s="462" t="str">
        <f>VLOOKUP($E241,'5.1 Budget'!$A$4:$G$729,5,0)</f>
        <v>-</v>
      </c>
      <c r="T241" s="462" t="str">
        <f>VLOOKUP($E241,'5.1 Budget'!$A$4:$G$729,6,0)</f>
        <v>-</v>
      </c>
      <c r="U241" s="462" t="str">
        <f>VLOOKUP($E241,'5.1 Budget'!$A$4:$G$729,7,0)</f>
        <v>-</v>
      </c>
      <c r="V241" s="462">
        <f t="shared" si="4"/>
        <v>0</v>
      </c>
    </row>
    <row r="242" spans="1:22" ht="77.25" x14ac:dyDescent="0.25">
      <c r="A242" s="465">
        <v>1</v>
      </c>
      <c r="B242" s="12" t="s">
        <v>52</v>
      </c>
      <c r="C242" s="12" t="s">
        <v>58</v>
      </c>
      <c r="D242" s="12" t="s">
        <v>26</v>
      </c>
      <c r="E242" s="12" t="s">
        <v>762</v>
      </c>
      <c r="F242" s="469" t="str">
        <f>VLOOKUP(E242,'5. Consolidation'!$E$3:$F$715,2,0)</f>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
      <c r="G242" s="469" t="str">
        <f>VLOOKUP(E242,'5.2 Actions'!$A$3:$D$720,4,0)</f>
        <v>SEN / WOL / CAN</v>
      </c>
      <c r="H242" s="12"/>
      <c r="I242" s="12"/>
      <c r="J242" s="12"/>
      <c r="K242" s="12"/>
      <c r="L242" s="12"/>
      <c r="M242" s="12"/>
      <c r="N242" s="459">
        <v>2022</v>
      </c>
      <c r="O242" s="12">
        <v>2027</v>
      </c>
      <c r="P242" s="462" t="str">
        <f>VLOOKUP($E242,'5.1 Budget'!$A$4:$G$729,2,0)</f>
        <v>-</v>
      </c>
      <c r="Q242" s="462" t="str">
        <f>VLOOKUP($E242,'5.1 Budget'!$A$4:$G$729,3,0)</f>
        <v>-</v>
      </c>
      <c r="R242" s="462" t="str">
        <f>VLOOKUP($E242,'5.1 Budget'!$A$4:$G$729,4,0)</f>
        <v>-</v>
      </c>
      <c r="S242" s="462" t="str">
        <f>VLOOKUP($E242,'5.1 Budget'!$A$4:$G$729,5,0)</f>
        <v>-</v>
      </c>
      <c r="T242" s="462" t="str">
        <f>VLOOKUP($E242,'5.1 Budget'!$A$4:$G$729,6,0)</f>
        <v>-</v>
      </c>
      <c r="U242" s="462" t="str">
        <f>VLOOKUP($E242,'5.1 Budget'!$A$4:$G$729,7,0)</f>
        <v>-</v>
      </c>
      <c r="V242" s="462">
        <f t="shared" si="4"/>
        <v>0</v>
      </c>
    </row>
    <row r="243" spans="1:22" x14ac:dyDescent="0.25">
      <c r="A243" s="465">
        <v>1</v>
      </c>
      <c r="B243" s="12" t="s">
        <v>52</v>
      </c>
      <c r="C243" s="12" t="s">
        <v>58</v>
      </c>
      <c r="D243" s="12" t="s">
        <v>26</v>
      </c>
      <c r="E243" s="12" t="s">
        <v>2605</v>
      </c>
      <c r="F243" s="469" t="str">
        <f>VLOOKUP(E243,'5. Consolidation'!$E$3:$F$715,2,0)</f>
        <v xml:space="preserve">Mener des actions contre la récurrence des pollutions aux hydrocarbures dans les égouts. </v>
      </c>
      <c r="G243" s="469" t="str">
        <f>VLOOKUP(E243,'5.2 Actions'!$A$3:$D$720,4,0)</f>
        <v>SEN / CAN</v>
      </c>
      <c r="H243" s="12"/>
      <c r="I243" s="12"/>
      <c r="J243" s="12"/>
      <c r="K243" s="12"/>
      <c r="L243" s="12"/>
      <c r="M243" s="12"/>
      <c r="N243" s="459">
        <v>2022</v>
      </c>
      <c r="O243" s="12">
        <v>2027</v>
      </c>
      <c r="P243" s="462" t="str">
        <f>VLOOKUP($E243,'5.1 Budget'!$A$4:$G$729,2,0)</f>
        <v>-</v>
      </c>
      <c r="Q243" s="462" t="str">
        <f>VLOOKUP($E243,'5.1 Budget'!$A$4:$G$729,3,0)</f>
        <v>-</v>
      </c>
      <c r="R243" s="462" t="str">
        <f>VLOOKUP($E243,'5.1 Budget'!$A$4:$G$729,4,0)</f>
        <v>-</v>
      </c>
      <c r="S243" s="462" t="str">
        <f>VLOOKUP($E243,'5.1 Budget'!$A$4:$G$729,5,0)</f>
        <v>-</v>
      </c>
      <c r="T243" s="462" t="str">
        <f>VLOOKUP($E243,'5.1 Budget'!$A$4:$G$729,6,0)</f>
        <v>-</v>
      </c>
      <c r="U243" s="462" t="str">
        <f>VLOOKUP($E243,'5.1 Budget'!$A$4:$G$729,7,0)</f>
        <v>-</v>
      </c>
      <c r="V243" s="462">
        <f t="shared" si="4"/>
        <v>0</v>
      </c>
    </row>
    <row r="244" spans="1:22" x14ac:dyDescent="0.25">
      <c r="A244" s="465">
        <v>1</v>
      </c>
      <c r="B244" s="12" t="s">
        <v>52</v>
      </c>
      <c r="C244" s="12" t="s">
        <v>58</v>
      </c>
      <c r="D244" s="12" t="s">
        <v>26</v>
      </c>
      <c r="E244" s="12" t="s">
        <v>2606</v>
      </c>
      <c r="F244" s="469" t="e">
        <f>VLOOKUP(E244,'5. Consolidation'!$E$3:$F$715,2,0)</f>
        <v>#N/A</v>
      </c>
      <c r="G244" s="469" t="str">
        <f>VLOOKUP(E244,'5.2 Actions'!$A$3:$D$720,4,0)</f>
        <v>SEN / CAN</v>
      </c>
      <c r="H244" s="12"/>
      <c r="I244" s="12"/>
      <c r="J244" s="12"/>
      <c r="K244" s="12"/>
      <c r="L244" s="12"/>
      <c r="M244" s="12"/>
      <c r="N244" s="459">
        <v>2022</v>
      </c>
      <c r="O244" s="12">
        <v>2027</v>
      </c>
      <c r="P244" s="462">
        <v>0</v>
      </c>
      <c r="Q244" s="462">
        <v>0</v>
      </c>
      <c r="R244" s="462">
        <v>0</v>
      </c>
      <c r="S244" s="462">
        <v>0</v>
      </c>
      <c r="T244" s="462">
        <v>0</v>
      </c>
      <c r="U244" s="462">
        <v>0</v>
      </c>
      <c r="V244" s="462">
        <f t="shared" si="4"/>
        <v>0</v>
      </c>
    </row>
    <row r="245" spans="1:22" ht="141" x14ac:dyDescent="0.25">
      <c r="A245" s="465">
        <v>1</v>
      </c>
      <c r="B245" s="12" t="s">
        <v>52</v>
      </c>
      <c r="C245" s="12" t="s">
        <v>58</v>
      </c>
      <c r="D245" s="12" t="s">
        <v>26</v>
      </c>
      <c r="E245" s="12" t="s">
        <v>2861</v>
      </c>
      <c r="F245" s="469" t="str">
        <f>VLOOKUP(E245,'5. Consolidation'!$E$3:$F$715,2,0)</f>
        <v>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v>
      </c>
      <c r="G245" s="469" t="str">
        <f>VLOOKUP(E245,'5.2 Actions'!$A$3:$D$720,4,0)</f>
        <v>SEN / WOL / CAN</v>
      </c>
      <c r="H245" s="12"/>
      <c r="I245" s="12"/>
      <c r="J245" s="12"/>
      <c r="K245" s="12"/>
      <c r="L245" s="12"/>
      <c r="M245" s="12"/>
      <c r="N245" s="459">
        <v>2022</v>
      </c>
      <c r="O245" s="12">
        <v>2027</v>
      </c>
      <c r="P245" s="462" t="str">
        <f>VLOOKUP($E245,'5.1 Budget'!$A$4:$G$729,2,0)</f>
        <v>-</v>
      </c>
      <c r="Q245" s="462" t="str">
        <f>VLOOKUP($E245,'5.1 Budget'!$A$4:$G$729,3,0)</f>
        <v>-</v>
      </c>
      <c r="R245" s="462" t="str">
        <f>VLOOKUP($E245,'5.1 Budget'!$A$4:$G$729,4,0)</f>
        <v>-</v>
      </c>
      <c r="S245" s="462" t="str">
        <f>VLOOKUP($E245,'5.1 Budget'!$A$4:$G$729,5,0)</f>
        <v>-</v>
      </c>
      <c r="T245" s="462" t="str">
        <f>VLOOKUP($E245,'5.1 Budget'!$A$4:$G$729,6,0)</f>
        <v>-</v>
      </c>
      <c r="U245" s="462" t="str">
        <f>VLOOKUP($E245,'5.1 Budget'!$A$4:$G$729,7,0)</f>
        <v>-</v>
      </c>
      <c r="V245" s="462">
        <f t="shared" si="4"/>
        <v>0</v>
      </c>
    </row>
    <row r="246" spans="1:22" ht="39" x14ac:dyDescent="0.25">
      <c r="A246" s="465">
        <v>1</v>
      </c>
      <c r="B246" s="12" t="s">
        <v>52</v>
      </c>
      <c r="C246" s="12" t="s">
        <v>58</v>
      </c>
      <c r="D246" s="12" t="s">
        <v>26</v>
      </c>
      <c r="E246" s="12" t="s">
        <v>2607</v>
      </c>
      <c r="F246" s="469" t="str">
        <f>VLOOKUP(E246,'5. Consolidation'!$E$3:$F$715,2,0)</f>
        <v>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v>
      </c>
      <c r="G246" s="469" t="str">
        <f>VLOOKUP(E246,'5.2 Actions'!$A$3:$D$720,4,0)</f>
        <v>SEN / WOL / CAN</v>
      </c>
      <c r="H246" s="12"/>
      <c r="I246" s="12"/>
      <c r="J246" s="12"/>
      <c r="K246" s="12"/>
      <c r="L246" s="12"/>
      <c r="M246" s="12"/>
      <c r="N246" s="459">
        <v>2022</v>
      </c>
      <c r="O246" s="12">
        <v>2027</v>
      </c>
      <c r="P246" s="462" t="str">
        <f>VLOOKUP($E246,'5.1 Budget'!$A$4:$G$729,2,0)</f>
        <v>-</v>
      </c>
      <c r="Q246" s="462" t="str">
        <f>VLOOKUP($E246,'5.1 Budget'!$A$4:$G$729,3,0)</f>
        <v>-</v>
      </c>
      <c r="R246" s="462" t="str">
        <f>VLOOKUP($E246,'5.1 Budget'!$A$4:$G$729,4,0)</f>
        <v>-</v>
      </c>
      <c r="S246" s="462" t="str">
        <f>VLOOKUP($E246,'5.1 Budget'!$A$4:$G$729,5,0)</f>
        <v>-</v>
      </c>
      <c r="T246" s="462" t="str">
        <f>VLOOKUP($E246,'5.1 Budget'!$A$4:$G$729,6,0)</f>
        <v>-</v>
      </c>
      <c r="U246" s="462" t="str">
        <f>VLOOKUP($E246,'5.1 Budget'!$A$4:$G$729,7,0)</f>
        <v>-</v>
      </c>
      <c r="V246" s="462">
        <f t="shared" si="4"/>
        <v>0</v>
      </c>
    </row>
    <row r="247" spans="1:22" ht="26.25" x14ac:dyDescent="0.25">
      <c r="A247" s="465">
        <v>1</v>
      </c>
      <c r="B247" s="12" t="s">
        <v>52</v>
      </c>
      <c r="C247" s="12" t="s">
        <v>58</v>
      </c>
      <c r="D247" s="12" t="s">
        <v>26</v>
      </c>
      <c r="E247" s="12" t="s">
        <v>2608</v>
      </c>
      <c r="F247" s="469" t="str">
        <f>VLOOKUP(E247,'5. Consolidation'!$E$3:$F$715,2,0)</f>
        <v xml:space="preserve">Mise en œuvre des mesures définies (voir 1.25.11)
</v>
      </c>
      <c r="G247" s="469" t="str">
        <f>VLOOKUP(E247,'5.2 Actions'!$A$3:$D$720,4,0)</f>
        <v>SEN / WOL / CAN</v>
      </c>
      <c r="H247" s="12"/>
      <c r="I247" s="12"/>
      <c r="J247" s="12"/>
      <c r="K247" s="12"/>
      <c r="L247" s="12"/>
      <c r="M247" s="12"/>
      <c r="N247" s="459">
        <v>2022</v>
      </c>
      <c r="O247" s="12">
        <v>2027</v>
      </c>
      <c r="P247" s="462" t="str">
        <f>VLOOKUP($E247,'5.1 Budget'!$A$4:$G$729,2,0)</f>
        <v>-</v>
      </c>
      <c r="Q247" s="462" t="str">
        <f>VLOOKUP($E247,'5.1 Budget'!$A$4:$G$729,3,0)</f>
        <v>-</v>
      </c>
      <c r="R247" s="462" t="str">
        <f>VLOOKUP($E247,'5.1 Budget'!$A$4:$G$729,4,0)</f>
        <v>-</v>
      </c>
      <c r="S247" s="462" t="str">
        <f>VLOOKUP($E247,'5.1 Budget'!$A$4:$G$729,5,0)</f>
        <v>-</v>
      </c>
      <c r="T247" s="462" t="str">
        <f>VLOOKUP($E247,'5.1 Budget'!$A$4:$G$729,6,0)</f>
        <v>-</v>
      </c>
      <c r="U247" s="462" t="str">
        <f>VLOOKUP($E247,'5.1 Budget'!$A$4:$G$729,7,0)</f>
        <v>-</v>
      </c>
      <c r="V247" s="462">
        <f t="shared" si="4"/>
        <v>0</v>
      </c>
    </row>
    <row r="248" spans="1:22" ht="26.25" x14ac:dyDescent="0.25">
      <c r="A248" s="465">
        <v>1</v>
      </c>
      <c r="B248" s="12" t="s">
        <v>59</v>
      </c>
      <c r="C248" s="12" t="s">
        <v>60</v>
      </c>
      <c r="D248" s="12" t="s">
        <v>27</v>
      </c>
      <c r="E248" s="12" t="s">
        <v>763</v>
      </c>
      <c r="F248" s="469" t="str">
        <f>VLOOKUP(E248,'5. Consolidation'!$E$3:$F$715,2,0)</f>
        <v>Développer par vallée une vision des offres potentielles d'eau supplémentaire actuellement perdues à l'égout et des besoins des milieux récepteurs en aval qui pourraient bénéficier de ces eaux supplémentaires</v>
      </c>
      <c r="G248" s="469" t="str">
        <f>VLOOKUP(E248,'5.2 Actions'!$A$3:$D$720,4,0)</f>
        <v>SEN / WOL / CAN</v>
      </c>
      <c r="H248" s="12"/>
      <c r="I248" s="12"/>
      <c r="J248" s="12"/>
      <c r="K248" s="12"/>
      <c r="L248" s="12"/>
      <c r="M248" s="12"/>
      <c r="N248" s="12"/>
      <c r="O248" s="12"/>
      <c r="P248" s="462">
        <f>VLOOKUP($E248,'5.1 Budget'!$A$4:$G$729,2,0)</f>
        <v>0</v>
      </c>
      <c r="Q248" s="462">
        <f>VLOOKUP($E248,'5.1 Budget'!$A$4:$G$729,3,0)</f>
        <v>0</v>
      </c>
      <c r="R248" s="462">
        <f>VLOOKUP($E248,'5.1 Budget'!$A$4:$G$729,4,0)</f>
        <v>0</v>
      </c>
      <c r="S248" s="462">
        <f>VLOOKUP($E248,'5.1 Budget'!$A$4:$G$729,5,0)</f>
        <v>0</v>
      </c>
      <c r="T248" s="462">
        <f>VLOOKUP($E248,'5.1 Budget'!$A$4:$G$729,6,0)</f>
        <v>0</v>
      </c>
      <c r="U248" s="462">
        <f>VLOOKUP($E248,'5.1 Budget'!$A$4:$G$729,7,0)</f>
        <v>0</v>
      </c>
      <c r="V248" s="462">
        <f t="shared" si="4"/>
        <v>0</v>
      </c>
    </row>
    <row r="249" spans="1:22" x14ac:dyDescent="0.25">
      <c r="A249" s="465">
        <v>1</v>
      </c>
      <c r="B249" s="12" t="s">
        <v>59</v>
      </c>
      <c r="C249" s="12" t="s">
        <v>60</v>
      </c>
      <c r="D249" s="12" t="s">
        <v>27</v>
      </c>
      <c r="E249" s="12" t="s">
        <v>767</v>
      </c>
      <c r="F249" s="469" t="str">
        <f>VLOOKUP(E249,'5. Consolidation'!$E$3:$F$715,2,0)</f>
        <v>Etude de faisabilité de reconnexion du Molenbeek à la Senne (action C13_1 Belini) + analyse du coûts-bénéfices</v>
      </c>
      <c r="G249" s="469" t="str">
        <f>VLOOKUP(E249,'5.2 Actions'!$A$3:$D$720,4,0)</f>
        <v>SEN</v>
      </c>
      <c r="H249" s="12"/>
      <c r="I249" s="12"/>
      <c r="J249" s="12"/>
      <c r="K249" s="12"/>
      <c r="L249" s="12"/>
      <c r="M249" s="12"/>
      <c r="N249" s="12"/>
      <c r="O249" s="12"/>
      <c r="P249" s="462">
        <f>VLOOKUP($E249,'5.1 Budget'!$A$4:$G$729,2,0)</f>
        <v>77000</v>
      </c>
      <c r="Q249" s="462">
        <f>VLOOKUP($E249,'5.1 Budget'!$A$4:$G$729,3,0)</f>
        <v>0</v>
      </c>
      <c r="R249" s="462">
        <f>VLOOKUP($E249,'5.1 Budget'!$A$4:$G$729,4,0)</f>
        <v>0</v>
      </c>
      <c r="S249" s="462">
        <f>VLOOKUP($E249,'5.1 Budget'!$A$4:$G$729,5,0)</f>
        <v>0</v>
      </c>
      <c r="T249" s="462">
        <f>VLOOKUP($E249,'5.1 Budget'!$A$4:$G$729,6,0)</f>
        <v>0</v>
      </c>
      <c r="U249" s="462">
        <f>VLOOKUP($E249,'5.1 Budget'!$A$4:$G$729,7,0)</f>
        <v>0</v>
      </c>
      <c r="V249" s="462">
        <f t="shared" si="4"/>
        <v>77000</v>
      </c>
    </row>
    <row r="250" spans="1:22" x14ac:dyDescent="0.25">
      <c r="A250" s="465">
        <v>1</v>
      </c>
      <c r="B250" s="12" t="s">
        <v>59</v>
      </c>
      <c r="C250" s="12" t="s">
        <v>60</v>
      </c>
      <c r="D250" s="12" t="s">
        <v>27</v>
      </c>
      <c r="E250" s="12" t="s">
        <v>768</v>
      </c>
      <c r="F250" s="469" t="str">
        <f>VLOOKUP(E250,'5. Consolidation'!$E$3:$F$715,2,0)</f>
        <v>Etude de faisabilité de reconnexion du Neerpedebeek à la Senne + analyse du coûts-bénéfices</v>
      </c>
      <c r="G250" s="469" t="str">
        <f>VLOOKUP(E250,'5.2 Actions'!$A$3:$D$720,4,0)</f>
        <v>SEN</v>
      </c>
      <c r="H250" s="12"/>
      <c r="I250" s="12"/>
      <c r="J250" s="12"/>
      <c r="K250" s="12"/>
      <c r="L250" s="12"/>
      <c r="M250" s="12"/>
      <c r="N250" s="459">
        <v>2022</v>
      </c>
      <c r="O250" s="12">
        <v>2027</v>
      </c>
      <c r="P250" s="462">
        <f>VLOOKUP($E250,'5.1 Budget'!$A$4:$G$729,2,0)</f>
        <v>50000</v>
      </c>
      <c r="Q250" s="462">
        <f>VLOOKUP($E250,'5.1 Budget'!$A$4:$G$729,3,0)</f>
        <v>0</v>
      </c>
      <c r="R250" s="462">
        <f>VLOOKUP($E250,'5.1 Budget'!$A$4:$G$729,4,0)</f>
        <v>0</v>
      </c>
      <c r="S250" s="462">
        <f>VLOOKUP($E250,'5.1 Budget'!$A$4:$G$729,5,0)</f>
        <v>0</v>
      </c>
      <c r="T250" s="462">
        <f>VLOOKUP($E250,'5.1 Budget'!$A$4:$G$729,6,0)</f>
        <v>0</v>
      </c>
      <c r="U250" s="462">
        <f>VLOOKUP($E250,'5.1 Budget'!$A$4:$G$729,7,0)</f>
        <v>0</v>
      </c>
      <c r="V250" s="462">
        <f t="shared" si="4"/>
        <v>50000</v>
      </c>
    </row>
    <row r="251" spans="1:22" x14ac:dyDescent="0.25">
      <c r="A251" s="465">
        <v>1</v>
      </c>
      <c r="B251" s="12" t="s">
        <v>59</v>
      </c>
      <c r="C251" s="12" t="s">
        <v>60</v>
      </c>
      <c r="D251" s="12" t="s">
        <v>27</v>
      </c>
      <c r="E251" s="12" t="s">
        <v>769</v>
      </c>
      <c r="F251" s="469" t="str">
        <f>VLOOKUP(E251,'5. Consolidation'!$E$3:$F$715,2,0)</f>
        <v>Réflexions sur la reconnexion du Watermaelbeek à la Woluwe + analyse du coûts-bénéfices</v>
      </c>
      <c r="G251" s="469" t="str">
        <f>VLOOKUP(E251,'5.2 Actions'!$A$3:$D$720,4,0)</f>
        <v>WOL</v>
      </c>
      <c r="H251" s="12"/>
      <c r="I251" s="12"/>
      <c r="J251" s="12"/>
      <c r="K251" s="12"/>
      <c r="L251" s="12"/>
      <c r="M251" s="12"/>
      <c r="N251" s="12"/>
      <c r="O251" s="12"/>
      <c r="P251" s="462">
        <f>VLOOKUP($E251,'5.1 Budget'!$A$4:$G$729,2,0)</f>
        <v>0</v>
      </c>
      <c r="Q251" s="462">
        <f>VLOOKUP($E251,'5.1 Budget'!$A$4:$G$729,3,0)</f>
        <v>0</v>
      </c>
      <c r="R251" s="462">
        <f>VLOOKUP($E251,'5.1 Budget'!$A$4:$G$729,4,0)</f>
        <v>40000</v>
      </c>
      <c r="S251" s="462">
        <f>VLOOKUP($E251,'5.1 Budget'!$A$4:$G$729,5,0)</f>
        <v>0</v>
      </c>
      <c r="T251" s="462">
        <f>VLOOKUP($E251,'5.1 Budget'!$A$4:$G$729,6,0)</f>
        <v>0</v>
      </c>
      <c r="U251" s="462">
        <f>VLOOKUP($E251,'5.1 Budget'!$A$4:$G$729,7,0)</f>
        <v>0</v>
      </c>
      <c r="V251" s="462">
        <f t="shared" si="4"/>
        <v>40000</v>
      </c>
    </row>
    <row r="252" spans="1:22" ht="26.25" x14ac:dyDescent="0.25">
      <c r="A252" s="465">
        <v>1</v>
      </c>
      <c r="B252" s="12" t="s">
        <v>59</v>
      </c>
      <c r="C252" s="12" t="s">
        <v>60</v>
      </c>
      <c r="D252" s="12" t="s">
        <v>27</v>
      </c>
      <c r="E252" s="12" t="s">
        <v>770</v>
      </c>
      <c r="F252" s="469" t="str">
        <f>VLOOKUP(E252,'5. Consolidation'!$E$3:$F$715,2,0)</f>
        <v>Etude de faisabilité de reconnexion du Ru du Zeyp à Ganshoren (étang Rivieren et Clos des tarins) au Marais de Jette et au Molenbeek + analyse du coûts-bénéfices</v>
      </c>
      <c r="G252" s="469" t="str">
        <f>VLOOKUP(E252,'5.2 Actions'!$A$3:$D$720,4,0)</f>
        <v>SEN</v>
      </c>
      <c r="H252" s="12"/>
      <c r="I252" s="12"/>
      <c r="J252" s="12"/>
      <c r="K252" s="12"/>
      <c r="L252" s="12"/>
      <c r="M252" s="12"/>
      <c r="N252" s="12"/>
      <c r="O252" s="12"/>
      <c r="P252" s="462">
        <f>VLOOKUP($E252,'5.1 Budget'!$A$4:$G$729,2,0)</f>
        <v>0</v>
      </c>
      <c r="Q252" s="462">
        <f>VLOOKUP($E252,'5.1 Budget'!$A$4:$G$729,3,0)</f>
        <v>0</v>
      </c>
      <c r="R252" s="462">
        <f>VLOOKUP($E252,'5.1 Budget'!$A$4:$G$729,4,0)</f>
        <v>0</v>
      </c>
      <c r="S252" s="462">
        <f>VLOOKUP($E252,'5.1 Budget'!$A$4:$G$729,5,0)</f>
        <v>50000</v>
      </c>
      <c r="T252" s="462">
        <f>VLOOKUP($E252,'5.1 Budget'!$A$4:$G$729,6,0)</f>
        <v>0</v>
      </c>
      <c r="U252" s="462">
        <f>VLOOKUP($E252,'5.1 Budget'!$A$4:$G$729,7,0)</f>
        <v>0</v>
      </c>
      <c r="V252" s="462">
        <f t="shared" si="4"/>
        <v>50000</v>
      </c>
    </row>
    <row r="253" spans="1:22" x14ac:dyDescent="0.25">
      <c r="A253" s="465">
        <v>1</v>
      </c>
      <c r="B253" s="12" t="s">
        <v>59</v>
      </c>
      <c r="C253" s="12" t="s">
        <v>60</v>
      </c>
      <c r="D253" s="12" t="s">
        <v>27</v>
      </c>
      <c r="E253" s="12" t="s">
        <v>771</v>
      </c>
      <c r="F253" s="469" t="str">
        <f>VLOOKUP(E253,'5. Consolidation'!$E$3:$F$715,2,0)</f>
        <v>Investigation et Etude de faisabilité de reconnexion de l'Ukkelbeek à la Senne + analyse du coûts-bénéfices</v>
      </c>
      <c r="G253" s="469" t="str">
        <f>VLOOKUP(E253,'5.2 Actions'!$A$3:$D$720,4,0)</f>
        <v>SEN</v>
      </c>
      <c r="H253" s="12"/>
      <c r="I253" s="12"/>
      <c r="J253" s="12"/>
      <c r="K253" s="12"/>
      <c r="L253" s="12"/>
      <c r="M253" s="12"/>
      <c r="N253" s="12"/>
      <c r="O253" s="12"/>
      <c r="P253" s="462">
        <f>VLOOKUP($E253,'5.1 Budget'!$A$4:$G$729,2,0)</f>
        <v>30000</v>
      </c>
      <c r="Q253" s="462">
        <f>VLOOKUP($E253,'5.1 Budget'!$A$4:$G$729,3,0)</f>
        <v>50000</v>
      </c>
      <c r="R253" s="462">
        <f>VLOOKUP($E253,'5.1 Budget'!$A$4:$G$729,4,0)</f>
        <v>0</v>
      </c>
      <c r="S253" s="462">
        <f>VLOOKUP($E253,'5.1 Budget'!$A$4:$G$729,5,0)</f>
        <v>0</v>
      </c>
      <c r="T253" s="462">
        <f>VLOOKUP($E253,'5.1 Budget'!$A$4:$G$729,6,0)</f>
        <v>0</v>
      </c>
      <c r="U253" s="462">
        <f>VLOOKUP($E253,'5.1 Budget'!$A$4:$G$729,7,0)</f>
        <v>0</v>
      </c>
      <c r="V253" s="462">
        <f t="shared" si="4"/>
        <v>80000</v>
      </c>
    </row>
    <row r="254" spans="1:22" ht="26.25" x14ac:dyDescent="0.25">
      <c r="A254" s="465">
        <v>1</v>
      </c>
      <c r="B254" s="12" t="s">
        <v>59</v>
      </c>
      <c r="C254" s="12" t="s">
        <v>60</v>
      </c>
      <c r="D254" s="12" t="s">
        <v>27</v>
      </c>
      <c r="E254" s="12" t="s">
        <v>772</v>
      </c>
      <c r="F254" s="469" t="str">
        <f>VLOOKUP(E254,'5. Consolidation'!$E$3:$F$715,2,0)</f>
        <v>Réflexions sur la récupération vers le réseau hydrographique des eaux claires de drainage s'infiltrant dans les collecteurs + analyse du coûts-bénéfices. (dont le collecteur passant dans le marais de Jette et Ganshoren)</v>
      </c>
      <c r="G254" s="469" t="str">
        <f>VLOOKUP(E254,'5.2 Actions'!$A$3:$D$720,4,0)</f>
        <v>SEN</v>
      </c>
      <c r="H254" s="12"/>
      <c r="I254" s="12"/>
      <c r="J254" s="12"/>
      <c r="K254" s="12"/>
      <c r="L254" s="12"/>
      <c r="M254" s="12"/>
      <c r="N254" s="12"/>
      <c r="O254" s="12"/>
      <c r="P254" s="462">
        <f>VLOOKUP($E254,'5.1 Budget'!$A$4:$G$729,2,0)</f>
        <v>0</v>
      </c>
      <c r="Q254" s="462">
        <f>VLOOKUP($E254,'5.1 Budget'!$A$4:$G$729,3,0)</f>
        <v>0</v>
      </c>
      <c r="R254" s="462">
        <f>VLOOKUP($E254,'5.1 Budget'!$A$4:$G$729,4,0)</f>
        <v>0</v>
      </c>
      <c r="S254" s="462">
        <f>VLOOKUP($E254,'5.1 Budget'!$A$4:$G$729,5,0)</f>
        <v>0</v>
      </c>
      <c r="T254" s="462">
        <f>VLOOKUP($E254,'5.1 Budget'!$A$4:$G$729,6,0)</f>
        <v>0</v>
      </c>
      <c r="U254" s="462">
        <f>VLOOKUP($E254,'5.1 Budget'!$A$4:$G$729,7,0)</f>
        <v>0</v>
      </c>
      <c r="V254" s="462">
        <f t="shared" si="4"/>
        <v>0</v>
      </c>
    </row>
    <row r="255" spans="1:22" ht="26.25" x14ac:dyDescent="0.25">
      <c r="A255" s="465">
        <v>1</v>
      </c>
      <c r="B255" s="12" t="s">
        <v>59</v>
      </c>
      <c r="C255" s="12" t="s">
        <v>60</v>
      </c>
      <c r="D255" s="12" t="s">
        <v>27</v>
      </c>
      <c r="E255" s="12" t="s">
        <v>773</v>
      </c>
      <c r="F255" s="469" t="str">
        <f>VLOOKUP(E255,'5. Consolidation'!$E$3:$F$715,2,0)</f>
        <v>Travaux de reconnexion du Molenbeek à la Senne : 
Ces travaux ne pourront être envisagés qu'après les résultats de l'étude de faisabilité (1.26.2)</v>
      </c>
      <c r="G255" s="469" t="str">
        <f>VLOOKUP(E255,'5.2 Actions'!$A$3:$D$720,4,0)</f>
        <v>SEN</v>
      </c>
      <c r="H255" s="12"/>
      <c r="I255" s="12"/>
      <c r="J255" s="12"/>
      <c r="K255" s="12"/>
      <c r="L255" s="12"/>
      <c r="M255" s="12"/>
      <c r="N255" s="12"/>
      <c r="O255" s="12"/>
      <c r="P255" s="462">
        <f>VLOOKUP($E255,'5.1 Budget'!$A$4:$G$729,2,0)</f>
        <v>0</v>
      </c>
      <c r="Q255" s="462">
        <f>VLOOKUP($E255,'5.1 Budget'!$A$4:$G$729,3,0)</f>
        <v>0</v>
      </c>
      <c r="R255" s="462">
        <f>VLOOKUP($E255,'5.1 Budget'!$A$4:$G$729,4,0)</f>
        <v>500000</v>
      </c>
      <c r="S255" s="462">
        <f>VLOOKUP($E255,'5.1 Budget'!$A$4:$G$729,5,0)</f>
        <v>500000</v>
      </c>
      <c r="T255" s="462">
        <f>VLOOKUP($E255,'5.1 Budget'!$A$4:$G$729,6,0)</f>
        <v>500000</v>
      </c>
      <c r="U255" s="462">
        <f>VLOOKUP($E255,'5.1 Budget'!$A$4:$G$729,7,0)</f>
        <v>500000</v>
      </c>
      <c r="V255" s="462">
        <f t="shared" si="4"/>
        <v>2000000</v>
      </c>
    </row>
    <row r="256" spans="1:22" ht="26.25" x14ac:dyDescent="0.25">
      <c r="A256" s="465">
        <v>1</v>
      </c>
      <c r="B256" s="12" t="s">
        <v>59</v>
      </c>
      <c r="C256" s="12" t="s">
        <v>60</v>
      </c>
      <c r="D256" s="12" t="s">
        <v>27</v>
      </c>
      <c r="E256" s="12" t="s">
        <v>774</v>
      </c>
      <c r="F256" s="469" t="str">
        <f>VLOOKUP(E256,'5. Consolidation'!$E$3:$F$715,2,0)</f>
        <v>Travaux de reconnexion du Neerpedebeek à la Senne :
Ces travaux ne pourront être envisagés qu'après les résultats de l'étude de faisabilité (1.26.3)</v>
      </c>
      <c r="G256" s="469" t="str">
        <f>VLOOKUP(E256,'5.2 Actions'!$A$3:$D$720,4,0)</f>
        <v>SEN</v>
      </c>
      <c r="H256" s="12"/>
      <c r="I256" s="12"/>
      <c r="J256" s="12"/>
      <c r="K256" s="12"/>
      <c r="L256" s="12"/>
      <c r="M256" s="12"/>
      <c r="N256" s="12"/>
      <c r="O256" s="12"/>
      <c r="P256" s="462">
        <f>VLOOKUP($E256,'5.1 Budget'!$A$4:$G$729,2,0)</f>
        <v>0</v>
      </c>
      <c r="Q256" s="462">
        <f>VLOOKUP($E256,'5.1 Budget'!$A$4:$G$729,3,0)</f>
        <v>300000</v>
      </c>
      <c r="R256" s="462">
        <f>VLOOKUP($E256,'5.1 Budget'!$A$4:$G$729,4,0)</f>
        <v>0</v>
      </c>
      <c r="S256" s="462">
        <f>VLOOKUP($E256,'5.1 Budget'!$A$4:$G$729,5,0)</f>
        <v>0</v>
      </c>
      <c r="T256" s="462">
        <f>VLOOKUP($E256,'5.1 Budget'!$A$4:$G$729,6,0)</f>
        <v>0</v>
      </c>
      <c r="U256" s="462">
        <f>VLOOKUP($E256,'5.1 Budget'!$A$4:$G$729,7,0)</f>
        <v>0</v>
      </c>
      <c r="V256" s="462">
        <f t="shared" si="4"/>
        <v>300000</v>
      </c>
    </row>
    <row r="257" spans="1:22" ht="26.25" x14ac:dyDescent="0.25">
      <c r="A257" s="465">
        <v>1</v>
      </c>
      <c r="B257" s="12" t="s">
        <v>59</v>
      </c>
      <c r="C257" s="12" t="s">
        <v>60</v>
      </c>
      <c r="D257" s="12" t="s">
        <v>27</v>
      </c>
      <c r="E257" s="12" t="s">
        <v>764</v>
      </c>
      <c r="F257" s="469" t="str">
        <f>VLOOKUP(E257,'5. Consolidation'!$E$3:$F$715,2,0)</f>
        <v>Travaux de reconnexion de l'Ukkelbeek à la Senne :
Ces travaux ne pourront être envisagés qu'après les résultats de l'étude de faisabilité (1.26.6)</v>
      </c>
      <c r="G257" s="469" t="str">
        <f>VLOOKUP(E257,'5.2 Actions'!$A$3:$D$720,4,0)</f>
        <v>SEN</v>
      </c>
      <c r="H257" s="12"/>
      <c r="I257" s="12"/>
      <c r="J257" s="12"/>
      <c r="K257" s="12"/>
      <c r="L257" s="12"/>
      <c r="M257" s="12"/>
      <c r="N257" s="12"/>
      <c r="O257" s="12"/>
      <c r="P257" s="462">
        <f>VLOOKUP($E257,'5.1 Budget'!$A$4:$G$729,2,0)</f>
        <v>0</v>
      </c>
      <c r="Q257" s="462">
        <f>VLOOKUP($E257,'5.1 Budget'!$A$4:$G$729,3,0)</f>
        <v>0</v>
      </c>
      <c r="R257" s="462">
        <f>VLOOKUP($E257,'5.1 Budget'!$A$4:$G$729,4,0)</f>
        <v>0</v>
      </c>
      <c r="S257" s="462">
        <f>VLOOKUP($E257,'5.1 Budget'!$A$4:$G$729,5,0)</f>
        <v>0</v>
      </c>
      <c r="T257" s="462">
        <f>VLOOKUP($E257,'5.1 Budget'!$A$4:$G$729,6,0)</f>
        <v>0</v>
      </c>
      <c r="U257" s="462">
        <f>VLOOKUP($E257,'5.1 Budget'!$A$4:$G$729,7,0)</f>
        <v>0</v>
      </c>
      <c r="V257" s="462">
        <f t="shared" si="4"/>
        <v>0</v>
      </c>
    </row>
    <row r="258" spans="1:22" x14ac:dyDescent="0.25">
      <c r="A258" s="465">
        <v>1</v>
      </c>
      <c r="B258" s="12" t="s">
        <v>59</v>
      </c>
      <c r="C258" s="12" t="s">
        <v>60</v>
      </c>
      <c r="D258" s="12" t="s">
        <v>27</v>
      </c>
      <c r="E258" s="12" t="s">
        <v>765</v>
      </c>
      <c r="F258" s="469" t="str">
        <f>VLOOKUP(E258,'5. Consolidation'!$E$3:$F$715,2,0)</f>
        <v>Programme Brusseau-Bis dans la vallée du Molenbeek</v>
      </c>
      <c r="G258" s="469" t="str">
        <f>VLOOKUP(E258,'5.2 Actions'!$A$3:$D$720,4,0)</f>
        <v>SEN</v>
      </c>
      <c r="H258" s="12"/>
      <c r="I258" s="12"/>
      <c r="J258" s="12"/>
      <c r="K258" s="12"/>
      <c r="L258" s="12"/>
      <c r="M258" s="12"/>
      <c r="N258" s="12"/>
      <c r="O258" s="12"/>
      <c r="P258" s="462">
        <f>VLOOKUP($E258,'5.1 Budget'!$A$4:$G$729,2,0)</f>
        <v>0</v>
      </c>
      <c r="Q258" s="462">
        <f>VLOOKUP($E258,'5.1 Budget'!$A$4:$G$729,3,0)</f>
        <v>0</v>
      </c>
      <c r="R258" s="462">
        <f>VLOOKUP($E258,'5.1 Budget'!$A$4:$G$729,4,0)</f>
        <v>0</v>
      </c>
      <c r="S258" s="462">
        <f>VLOOKUP($E258,'5.1 Budget'!$A$4:$G$729,5,0)</f>
        <v>0</v>
      </c>
      <c r="T258" s="462">
        <f>VLOOKUP($E258,'5.1 Budget'!$A$4:$G$729,6,0)</f>
        <v>0</v>
      </c>
      <c r="U258" s="462">
        <f>VLOOKUP($E258,'5.1 Budget'!$A$4:$G$729,7,0)</f>
        <v>0</v>
      </c>
      <c r="V258" s="462">
        <f t="shared" si="4"/>
        <v>0</v>
      </c>
    </row>
    <row r="259" spans="1:22" x14ac:dyDescent="0.25">
      <c r="A259" s="465">
        <v>1</v>
      </c>
      <c r="B259" s="12" t="s">
        <v>59</v>
      </c>
      <c r="C259" s="12" t="s">
        <v>60</v>
      </c>
      <c r="D259" s="12" t="s">
        <v>27</v>
      </c>
      <c r="E259" s="12" t="s">
        <v>766</v>
      </c>
      <c r="F259" s="469" t="str">
        <f>VLOOKUP(E259,'5. Consolidation'!$E$3:$F$715,2,0)</f>
        <v>Vérifier l'étanchéité des moines vers les collecteurs présents sur certains étangs spécifiques</v>
      </c>
      <c r="G259" s="469" t="str">
        <f>VLOOKUP(E259,'5.2 Actions'!$A$3:$D$720,4,0)</f>
        <v>WOL</v>
      </c>
      <c r="H259" s="12"/>
      <c r="I259" s="12"/>
      <c r="J259" s="12"/>
      <c r="K259" s="12"/>
      <c r="L259" s="12"/>
      <c r="M259" s="12"/>
      <c r="N259" s="12"/>
      <c r="O259" s="12"/>
      <c r="P259" s="462">
        <f>VLOOKUP($E259,'5.1 Budget'!$A$4:$G$729,2,0)</f>
        <v>0</v>
      </c>
      <c r="Q259" s="462">
        <f>VLOOKUP($E259,'5.1 Budget'!$A$4:$G$729,3,0)</f>
        <v>0</v>
      </c>
      <c r="R259" s="462">
        <f>VLOOKUP($E259,'5.1 Budget'!$A$4:$G$729,4,0)</f>
        <v>0</v>
      </c>
      <c r="S259" s="462">
        <f>VLOOKUP($E259,'5.1 Budget'!$A$4:$G$729,5,0)</f>
        <v>0</v>
      </c>
      <c r="T259" s="462">
        <f>VLOOKUP($E259,'5.1 Budget'!$A$4:$G$729,6,0)</f>
        <v>0</v>
      </c>
      <c r="U259" s="462">
        <f>VLOOKUP($E259,'5.1 Budget'!$A$4:$G$729,7,0)</f>
        <v>0</v>
      </c>
      <c r="V259" s="462">
        <f t="shared" ref="V259:V322" si="5">SUM(P259:U259)</f>
        <v>0</v>
      </c>
    </row>
    <row r="260" spans="1:22" ht="26.25" x14ac:dyDescent="0.25">
      <c r="A260" s="465">
        <v>1</v>
      </c>
      <c r="B260" s="12" t="s">
        <v>59</v>
      </c>
      <c r="C260" s="12" t="s">
        <v>60</v>
      </c>
      <c r="D260" s="12" t="s">
        <v>27</v>
      </c>
      <c r="E260" s="12" t="s">
        <v>1599</v>
      </c>
      <c r="F260" s="469" t="str">
        <f>VLOOKUP(E260,'5. Consolidation'!$E$3:$F$715,2,0)</f>
        <v>Établir une méthodologie de calcul des débits minimums écologiques (ecological flows), l'appliquer aux différents tronçons du réseau hydrographique</v>
      </c>
      <c r="G260" s="469" t="str">
        <f>VLOOKUP(E260,'5.2 Actions'!$A$3:$D$720,4,0)</f>
        <v>SEN / CAN / WOL</v>
      </c>
      <c r="H260" s="12"/>
      <c r="I260" s="12"/>
      <c r="J260" s="12"/>
      <c r="K260" s="12"/>
      <c r="L260" s="12"/>
      <c r="M260" s="12"/>
      <c r="N260" s="459">
        <v>2022</v>
      </c>
      <c r="O260" s="12">
        <v>2027</v>
      </c>
      <c r="P260" s="462">
        <f>VLOOKUP($E260,'5.1 Budget'!$A$4:$G$729,2,0)</f>
        <v>0</v>
      </c>
      <c r="Q260" s="462">
        <f>VLOOKUP($E260,'5.1 Budget'!$A$4:$G$729,3,0)</f>
        <v>0</v>
      </c>
      <c r="R260" s="462">
        <f>VLOOKUP($E260,'5.1 Budget'!$A$4:$G$729,4,0)</f>
        <v>0</v>
      </c>
      <c r="S260" s="462">
        <f>VLOOKUP($E260,'5.1 Budget'!$A$4:$G$729,5,0)</f>
        <v>0</v>
      </c>
      <c r="T260" s="462">
        <f>VLOOKUP($E260,'5.1 Budget'!$A$4:$G$729,6,0)</f>
        <v>0</v>
      </c>
      <c r="U260" s="462">
        <f>VLOOKUP($E260,'5.1 Budget'!$A$4:$G$729,7,0)</f>
        <v>0</v>
      </c>
      <c r="V260" s="462">
        <f t="shared" si="5"/>
        <v>0</v>
      </c>
    </row>
    <row r="261" spans="1:22" ht="26.25" x14ac:dyDescent="0.25">
      <c r="A261" s="465">
        <v>2</v>
      </c>
      <c r="B261" s="12" t="s">
        <v>140</v>
      </c>
      <c r="C261" s="12" t="s">
        <v>141</v>
      </c>
      <c r="D261" s="12" t="s">
        <v>36</v>
      </c>
      <c r="E261" s="12" t="s">
        <v>852</v>
      </c>
      <c r="F261" s="469" t="str">
        <f>VLOOKUP(E261,'5. Consolidation'!$E$3:$F$715,2,0)</f>
        <v>Poursuivre et élargir les programmes qualitatifs  de surveillance des eaux souterraines à d’autres sites de surveillance et à d’autres paramètres</v>
      </c>
      <c r="G261" s="12"/>
      <c r="H261" s="12"/>
      <c r="I261" s="12"/>
      <c r="J261" s="12"/>
      <c r="K261" s="12"/>
      <c r="L261" s="12"/>
      <c r="M261" s="12"/>
      <c r="N261" s="12"/>
      <c r="O261" s="12"/>
      <c r="P261" s="462">
        <f>VLOOKUP($E261,'5.1 Budget'!$A$4:$G$729,2,0)</f>
        <v>0</v>
      </c>
      <c r="Q261" s="462">
        <f>VLOOKUP($E261,'5.1 Budget'!$A$4:$G$729,3,0)</f>
        <v>0</v>
      </c>
      <c r="R261" s="462">
        <f>VLOOKUP($E261,'5.1 Budget'!$A$4:$G$729,4,0)</f>
        <v>0</v>
      </c>
      <c r="S261" s="462">
        <f>VLOOKUP($E261,'5.1 Budget'!$A$4:$G$729,5,0)</f>
        <v>0</v>
      </c>
      <c r="T261" s="462">
        <f>VLOOKUP($E261,'5.1 Budget'!$A$4:$G$729,6,0)</f>
        <v>0</v>
      </c>
      <c r="U261" s="462">
        <f>VLOOKUP($E261,'5.1 Budget'!$A$4:$G$729,7,0)</f>
        <v>0</v>
      </c>
      <c r="V261" s="462">
        <f t="shared" si="5"/>
        <v>0</v>
      </c>
    </row>
    <row r="262" spans="1:22" ht="51.75" x14ac:dyDescent="0.25">
      <c r="A262" s="465">
        <v>2</v>
      </c>
      <c r="B262" s="12" t="s">
        <v>140</v>
      </c>
      <c r="C262" s="12" t="s">
        <v>141</v>
      </c>
      <c r="D262" s="12" t="s">
        <v>36</v>
      </c>
      <c r="E262" s="12" t="s">
        <v>860</v>
      </c>
      <c r="F262" s="469" t="str">
        <f>VLOOKUP(E262,'5. Consolidation'!$E$3:$F$715,2,0)</f>
        <v>Améliorer l’estimation des concentrations de référence des paramètres présents naturellement dans les eaux souterraines et la compréhension aux processus chimiques influençant la composition géochimique de chacune des masses d’eau et de la présence de certains paramètres présents dans les masses d’eau souterraine, notamment pour l’ammonium, les chlorures et les sulfates des masses d’eau concernées</v>
      </c>
      <c r="G262" s="12"/>
      <c r="H262" s="12"/>
      <c r="I262" s="12"/>
      <c r="J262" s="12"/>
      <c r="K262" s="12"/>
      <c r="L262" s="12"/>
      <c r="M262" s="12"/>
      <c r="N262" s="12"/>
      <c r="O262" s="12"/>
      <c r="P262" s="462">
        <f>VLOOKUP($E262,'5.1 Budget'!$A$4:$G$729,2,0)</f>
        <v>0</v>
      </c>
      <c r="Q262" s="462">
        <f>VLOOKUP($E262,'5.1 Budget'!$A$4:$G$729,3,0)</f>
        <v>0</v>
      </c>
      <c r="R262" s="462">
        <f>VLOOKUP($E262,'5.1 Budget'!$A$4:$G$729,4,0)</f>
        <v>0</v>
      </c>
      <c r="S262" s="462">
        <f>VLOOKUP($E262,'5.1 Budget'!$A$4:$G$729,5,0)</f>
        <v>0</v>
      </c>
      <c r="T262" s="462">
        <f>VLOOKUP($E262,'5.1 Budget'!$A$4:$G$729,6,0)</f>
        <v>0</v>
      </c>
      <c r="U262" s="462">
        <f>VLOOKUP($E262,'5.1 Budget'!$A$4:$G$729,7,0)</f>
        <v>0</v>
      </c>
      <c r="V262" s="462">
        <f t="shared" si="5"/>
        <v>0</v>
      </c>
    </row>
    <row r="263" spans="1:22" ht="51.75" x14ac:dyDescent="0.25">
      <c r="A263" s="465">
        <v>2</v>
      </c>
      <c r="B263" s="12" t="s">
        <v>140</v>
      </c>
      <c r="C263" s="12" t="s">
        <v>141</v>
      </c>
      <c r="D263" s="12" t="s">
        <v>36</v>
      </c>
      <c r="E263" s="12" t="s">
        <v>861</v>
      </c>
      <c r="F263" s="469" t="str">
        <f>VLOOKUP(E263,'5. Consolidation'!$E$3:$F$715,2,0)</f>
        <v>Suite à l’acquisition de nouvelles données, renforcer les conclusions de l’étude réalisée sur l’identification des sources de pollution nitrique quant aux facteurs de pollution exerçant une pression sur la masse d’eau des sables du Bruxellien et renforcer la capacité de discrimination des sources de pollution nitriques provenant des eaux usées et des fertilisants organiques.</v>
      </c>
      <c r="G263" s="12"/>
      <c r="H263" s="12"/>
      <c r="I263" s="12"/>
      <c r="J263" s="12"/>
      <c r="K263" s="12"/>
      <c r="L263" s="12"/>
      <c r="M263" s="12"/>
      <c r="N263" s="12"/>
      <c r="O263" s="12"/>
      <c r="P263" s="462">
        <f>VLOOKUP($E263,'5.1 Budget'!$A$4:$G$729,2,0)</f>
        <v>0</v>
      </c>
      <c r="Q263" s="462">
        <f>VLOOKUP($E263,'5.1 Budget'!$A$4:$G$729,3,0)</f>
        <v>0</v>
      </c>
      <c r="R263" s="462">
        <f>VLOOKUP($E263,'5.1 Budget'!$A$4:$G$729,4,0)</f>
        <v>0</v>
      </c>
      <c r="S263" s="462">
        <f>VLOOKUP($E263,'5.1 Budget'!$A$4:$G$729,5,0)</f>
        <v>0</v>
      </c>
      <c r="T263" s="462">
        <f>VLOOKUP($E263,'5.1 Budget'!$A$4:$G$729,6,0)</f>
        <v>0</v>
      </c>
      <c r="U263" s="462">
        <f>VLOOKUP($E263,'5.1 Budget'!$A$4:$G$729,7,0)</f>
        <v>0</v>
      </c>
      <c r="V263" s="462">
        <f t="shared" si="5"/>
        <v>0</v>
      </c>
    </row>
    <row r="264" spans="1:22" ht="26.25" x14ac:dyDescent="0.25">
      <c r="A264" s="465">
        <v>2</v>
      </c>
      <c r="B264" s="12" t="s">
        <v>140</v>
      </c>
      <c r="C264" s="12" t="s">
        <v>141</v>
      </c>
      <c r="D264" s="12" t="s">
        <v>36</v>
      </c>
      <c r="E264" s="12" t="s">
        <v>862</v>
      </c>
      <c r="F264" s="469" t="str">
        <f>VLOOKUP(E264,'5. Consolidation'!$E$3:$F$715,2,0)</f>
        <v>Identifier les sources de pollution des sites présentant des contaminations aux pesticides, en particulier ceux qui présentent des tendances à la hausse de pesticides interdits d’usage</v>
      </c>
      <c r="G264" s="12"/>
      <c r="H264" s="12"/>
      <c r="I264" s="12"/>
      <c r="J264" s="12"/>
      <c r="K264" s="12"/>
      <c r="L264" s="12"/>
      <c r="M264" s="12"/>
      <c r="N264" s="12"/>
      <c r="O264" s="12"/>
      <c r="P264" s="462">
        <f>VLOOKUP($E264,'5.1 Budget'!$A$4:$G$729,2,0)</f>
        <v>0</v>
      </c>
      <c r="Q264" s="462">
        <f>VLOOKUP($E264,'5.1 Budget'!$A$4:$G$729,3,0)</f>
        <v>0</v>
      </c>
      <c r="R264" s="462">
        <f>VLOOKUP($E264,'5.1 Budget'!$A$4:$G$729,4,0)</f>
        <v>0</v>
      </c>
      <c r="S264" s="462">
        <f>VLOOKUP($E264,'5.1 Budget'!$A$4:$G$729,5,0)</f>
        <v>0</v>
      </c>
      <c r="T264" s="462">
        <f>VLOOKUP($E264,'5.1 Budget'!$A$4:$G$729,6,0)</f>
        <v>0</v>
      </c>
      <c r="U264" s="462">
        <f>VLOOKUP($E264,'5.1 Budget'!$A$4:$G$729,7,0)</f>
        <v>0</v>
      </c>
      <c r="V264" s="462">
        <f t="shared" si="5"/>
        <v>0</v>
      </c>
    </row>
    <row r="265" spans="1:22" ht="26.25" x14ac:dyDescent="0.25">
      <c r="A265" s="465">
        <v>2</v>
      </c>
      <c r="B265" s="12" t="s">
        <v>140</v>
      </c>
      <c r="C265" s="12" t="s">
        <v>141</v>
      </c>
      <c r="D265" s="12" t="s">
        <v>36</v>
      </c>
      <c r="E265" s="12" t="s">
        <v>863</v>
      </c>
      <c r="F265" s="469" t="str">
        <f>VLOOKUP(E265,'5. Consolidation'!$E$3:$F$715,2,0)</f>
        <v>Identification les sources de la pollution au tétrachloroéthylène et autres composés organochlorés volatils (trichloroéthylène, chloroforme et chlorure de vinyl) (cf. aussi M.2.6 et M.3.2)</v>
      </c>
      <c r="G265" s="12"/>
      <c r="H265" s="12"/>
      <c r="I265" s="12"/>
      <c r="J265" s="12"/>
      <c r="K265" s="12"/>
      <c r="L265" s="12"/>
      <c r="M265" s="12"/>
      <c r="N265" s="12"/>
      <c r="O265" s="12"/>
      <c r="P265" s="462">
        <f>VLOOKUP($E265,'5.1 Budget'!$A$4:$G$729,2,0)</f>
        <v>0</v>
      </c>
      <c r="Q265" s="462">
        <f>VLOOKUP($E265,'5.1 Budget'!$A$4:$G$729,3,0)</f>
        <v>0</v>
      </c>
      <c r="R265" s="462">
        <f>VLOOKUP($E265,'5.1 Budget'!$A$4:$G$729,4,0)</f>
        <v>0</v>
      </c>
      <c r="S265" s="462">
        <f>VLOOKUP($E265,'5.1 Budget'!$A$4:$G$729,5,0)</f>
        <v>0</v>
      </c>
      <c r="T265" s="462">
        <f>VLOOKUP($E265,'5.1 Budget'!$A$4:$G$729,6,0)</f>
        <v>0</v>
      </c>
      <c r="U265" s="462">
        <f>VLOOKUP($E265,'5.1 Budget'!$A$4:$G$729,7,0)</f>
        <v>0</v>
      </c>
      <c r="V265" s="462">
        <f t="shared" si="5"/>
        <v>0</v>
      </c>
    </row>
    <row r="266" spans="1:22" x14ac:dyDescent="0.25">
      <c r="A266" s="465">
        <v>2</v>
      </c>
      <c r="B266" s="12" t="s">
        <v>140</v>
      </c>
      <c r="C266" s="12" t="s">
        <v>141</v>
      </c>
      <c r="D266" s="12" t="s">
        <v>36</v>
      </c>
      <c r="E266" s="12" t="s">
        <v>864</v>
      </c>
      <c r="F266" s="469" t="str">
        <f>VLOOKUP(E266,'5. Consolidation'!$E$3:$F$715,2,0)</f>
        <v>Identifier les pressions ayant un impact sur la salinisation de la masse d’eau souterraine des sables du Bruxellien</v>
      </c>
      <c r="G266" s="12"/>
      <c r="H266" s="12"/>
      <c r="I266" s="12"/>
      <c r="J266" s="12"/>
      <c r="K266" s="12"/>
      <c r="L266" s="12"/>
      <c r="M266" s="12"/>
      <c r="N266" s="12"/>
      <c r="O266" s="12"/>
      <c r="P266" s="462">
        <f>VLOOKUP($E266,'5.1 Budget'!$A$4:$G$729,2,0)</f>
        <v>0</v>
      </c>
      <c r="Q266" s="462">
        <f>VLOOKUP($E266,'5.1 Budget'!$A$4:$G$729,3,0)</f>
        <v>0</v>
      </c>
      <c r="R266" s="462">
        <f>VLOOKUP($E266,'5.1 Budget'!$A$4:$G$729,4,0)</f>
        <v>0</v>
      </c>
      <c r="S266" s="462">
        <f>VLOOKUP($E266,'5.1 Budget'!$A$4:$G$729,5,0)</f>
        <v>0</v>
      </c>
      <c r="T266" s="462">
        <f>VLOOKUP($E266,'5.1 Budget'!$A$4:$G$729,6,0)</f>
        <v>0</v>
      </c>
      <c r="U266" s="462">
        <f>VLOOKUP($E266,'5.1 Budget'!$A$4:$G$729,7,0)</f>
        <v>0</v>
      </c>
      <c r="V266" s="462">
        <f t="shared" si="5"/>
        <v>0</v>
      </c>
    </row>
    <row r="267" spans="1:22" ht="39" x14ac:dyDescent="0.25">
      <c r="A267" s="465">
        <v>2</v>
      </c>
      <c r="B267" s="12" t="s">
        <v>140</v>
      </c>
      <c r="C267" s="12" t="s">
        <v>141</v>
      </c>
      <c r="D267" s="12" t="s">
        <v>36</v>
      </c>
      <c r="E267" s="12" t="s">
        <v>865</v>
      </c>
      <c r="F267" s="469" t="str">
        <f>VLOOKUP(E267,'5. Consolidation'!$E$3:$F$715,2,0)</f>
        <v>En cas de contamination mise en évidence dans les résultats des programmes de surveillance, croiser la cartographie des sols pollués avec les résultats des analyses des programmes de surveillance et identifier les activités à risque actuelles ou passées dans les zones d’influence des sites de surveillance contaminés en vue d’identifier les sources de pollutioni</v>
      </c>
      <c r="G267" s="12"/>
      <c r="H267" s="12"/>
      <c r="I267" s="12"/>
      <c r="J267" s="12"/>
      <c r="K267" s="12"/>
      <c r="L267" s="12"/>
      <c r="M267" s="12"/>
      <c r="N267" s="12"/>
      <c r="O267" s="12"/>
      <c r="P267" s="462">
        <f>VLOOKUP($E267,'5.1 Budget'!$A$4:$G$729,2,0)</f>
        <v>0</v>
      </c>
      <c r="Q267" s="462">
        <f>VLOOKUP($E267,'5.1 Budget'!$A$4:$G$729,3,0)</f>
        <v>0</v>
      </c>
      <c r="R267" s="462">
        <f>VLOOKUP($E267,'5.1 Budget'!$A$4:$G$729,4,0)</f>
        <v>0</v>
      </c>
      <c r="S267" s="462">
        <f>VLOOKUP($E267,'5.1 Budget'!$A$4:$G$729,5,0)</f>
        <v>0</v>
      </c>
      <c r="T267" s="462">
        <f>VLOOKUP($E267,'5.1 Budget'!$A$4:$G$729,6,0)</f>
        <v>0</v>
      </c>
      <c r="U267" s="462">
        <f>VLOOKUP($E267,'5.1 Budget'!$A$4:$G$729,7,0)</f>
        <v>0</v>
      </c>
      <c r="V267" s="462">
        <f t="shared" si="5"/>
        <v>0</v>
      </c>
    </row>
    <row r="268" spans="1:22" ht="26.25" x14ac:dyDescent="0.25">
      <c r="A268" s="465">
        <v>2</v>
      </c>
      <c r="B268" s="12" t="s">
        <v>140</v>
      </c>
      <c r="C268" s="12" t="s">
        <v>141</v>
      </c>
      <c r="D268" s="12" t="s">
        <v>36</v>
      </c>
      <c r="E268" s="12" t="s">
        <v>866</v>
      </c>
      <c r="F268" s="469" t="str">
        <f>VLOOKUP(E268,'5. Consolidation'!$E$3:$F$715,2,0)</f>
        <v>Poursuivre les études d’évaluation des risques de transfert de polluants sur sols pollués ou potentiellement non pollués par lessivage et transport latéral lors de réaffectation des sols dans le cadre de la gestion des sols pollués</v>
      </c>
      <c r="G268" s="12"/>
      <c r="H268" s="12"/>
      <c r="I268" s="12"/>
      <c r="J268" s="12"/>
      <c r="K268" s="12"/>
      <c r="L268" s="12"/>
      <c r="M268" s="12"/>
      <c r="N268" s="12"/>
      <c r="O268" s="12"/>
      <c r="P268" s="462">
        <f>VLOOKUP($E268,'5.1 Budget'!$A$4:$G$729,2,0)</f>
        <v>0</v>
      </c>
      <c r="Q268" s="462">
        <f>VLOOKUP($E268,'5.1 Budget'!$A$4:$G$729,3,0)</f>
        <v>0</v>
      </c>
      <c r="R268" s="462">
        <f>VLOOKUP($E268,'5.1 Budget'!$A$4:$G$729,4,0)</f>
        <v>0</v>
      </c>
      <c r="S268" s="462">
        <f>VLOOKUP($E268,'5.1 Budget'!$A$4:$G$729,5,0)</f>
        <v>0</v>
      </c>
      <c r="T268" s="462">
        <f>VLOOKUP($E268,'5.1 Budget'!$A$4:$G$729,6,0)</f>
        <v>0</v>
      </c>
      <c r="U268" s="462">
        <f>VLOOKUP($E268,'5.1 Budget'!$A$4:$G$729,7,0)</f>
        <v>0</v>
      </c>
      <c r="V268" s="462">
        <f t="shared" si="5"/>
        <v>0</v>
      </c>
    </row>
    <row r="269" spans="1:22" ht="26.25" x14ac:dyDescent="0.25">
      <c r="A269" s="465">
        <v>2</v>
      </c>
      <c r="B269" s="12" t="s">
        <v>140</v>
      </c>
      <c r="C269" s="12" t="s">
        <v>141</v>
      </c>
      <c r="D269" s="12" t="s">
        <v>36</v>
      </c>
      <c r="E269" s="12" t="s">
        <v>867</v>
      </c>
      <c r="F269" s="469" t="str">
        <f>VLOOKUP(E269,'5. Consolidation'!$E$3:$F$715,2,0)</f>
        <v xml:space="preserve">Poursuivre la caractérisation de l’état physico-chimique des eaux pluviales et de ruissellement en l’étendant à d’autres polluants et d’autres types de surface de ruissellement, notamment les toitures </v>
      </c>
      <c r="G269" s="12"/>
      <c r="H269" s="12"/>
      <c r="I269" s="12"/>
      <c r="J269" s="12"/>
      <c r="K269" s="12"/>
      <c r="L269" s="12"/>
      <c r="M269" s="12"/>
      <c r="N269" s="12"/>
      <c r="O269" s="12"/>
      <c r="P269" s="462">
        <f>VLOOKUP($E269,'5.1 Budget'!$A$4:$G$729,2,0)</f>
        <v>0</v>
      </c>
      <c r="Q269" s="462">
        <f>VLOOKUP($E269,'5.1 Budget'!$A$4:$G$729,3,0)</f>
        <v>0</v>
      </c>
      <c r="R269" s="462">
        <f>VLOOKUP($E269,'5.1 Budget'!$A$4:$G$729,4,0)</f>
        <v>0</v>
      </c>
      <c r="S269" s="462">
        <f>VLOOKUP($E269,'5.1 Budget'!$A$4:$G$729,5,0)</f>
        <v>0</v>
      </c>
      <c r="T269" s="462">
        <f>VLOOKUP($E269,'5.1 Budget'!$A$4:$G$729,6,0)</f>
        <v>0</v>
      </c>
      <c r="U269" s="462">
        <f>VLOOKUP($E269,'5.1 Budget'!$A$4:$G$729,7,0)</f>
        <v>0</v>
      </c>
      <c r="V269" s="462">
        <f t="shared" si="5"/>
        <v>0</v>
      </c>
    </row>
    <row r="270" spans="1:22" ht="39" x14ac:dyDescent="0.25">
      <c r="A270" s="465">
        <v>2</v>
      </c>
      <c r="B270" s="12" t="s">
        <v>140</v>
      </c>
      <c r="C270" s="12" t="s">
        <v>141</v>
      </c>
      <c r="D270" s="12" t="s">
        <v>36</v>
      </c>
      <c r="E270" s="12" t="s">
        <v>853</v>
      </c>
      <c r="F270" s="469" t="str">
        <f>VLOOKUP(E270,'5. Consolidation'!$E$3:$F$715,2,0)</f>
        <v>Poursuivre la cartographie de la vulnérabilité intrinsèque et spécifique du système phréatique bruxellois pour les polluants pertinents pour les eaux souterraines ayant été caractérisés dans les eaux pluviales de ruissellement et dans les eaux usées domestiques</v>
      </c>
      <c r="G270" s="12"/>
      <c r="H270" s="12"/>
      <c r="I270" s="12"/>
      <c r="J270" s="12"/>
      <c r="K270" s="12"/>
      <c r="L270" s="12"/>
      <c r="M270" s="12"/>
      <c r="N270" s="12"/>
      <c r="O270" s="12"/>
      <c r="P270" s="462">
        <f>VLOOKUP($E270,'5.1 Budget'!$A$4:$G$729,2,0)</f>
        <v>0</v>
      </c>
      <c r="Q270" s="462">
        <f>VLOOKUP($E270,'5.1 Budget'!$A$4:$G$729,3,0)</f>
        <v>0</v>
      </c>
      <c r="R270" s="462">
        <f>VLOOKUP($E270,'5.1 Budget'!$A$4:$G$729,4,0)</f>
        <v>0</v>
      </c>
      <c r="S270" s="462">
        <f>VLOOKUP($E270,'5.1 Budget'!$A$4:$G$729,5,0)</f>
        <v>0</v>
      </c>
      <c r="T270" s="462">
        <f>VLOOKUP($E270,'5.1 Budget'!$A$4:$G$729,6,0)</f>
        <v>0</v>
      </c>
      <c r="U270" s="462">
        <f>VLOOKUP($E270,'5.1 Budget'!$A$4:$G$729,7,0)</f>
        <v>0</v>
      </c>
      <c r="V270" s="462">
        <f t="shared" si="5"/>
        <v>0</v>
      </c>
    </row>
    <row r="271" spans="1:22" ht="39" x14ac:dyDescent="0.25">
      <c r="A271" s="465">
        <v>2</v>
      </c>
      <c r="B271" s="12" t="s">
        <v>140</v>
      </c>
      <c r="C271" s="12" t="s">
        <v>141</v>
      </c>
      <c r="D271" s="12" t="s">
        <v>36</v>
      </c>
      <c r="E271" s="12" t="s">
        <v>854</v>
      </c>
      <c r="F271" s="469" t="str">
        <f>VLOOKUP(E271,'5. Consolidation'!$E$3:$F$715,2,0)</f>
        <v>Développer un modèle de transfert de risques de dissémination de la pollution par lessivage et transport latéral vers les eaux souterraines phréatiques et les écosystèmes associés pour tout dispositif d’infiltration des eaux tant des eaux pluviales que des eaux usées domestiques</v>
      </c>
      <c r="G271" s="12"/>
      <c r="H271" s="12"/>
      <c r="I271" s="12"/>
      <c r="J271" s="12"/>
      <c r="K271" s="12"/>
      <c r="L271" s="12"/>
      <c r="M271" s="12"/>
      <c r="N271" s="12"/>
      <c r="O271" s="12"/>
      <c r="P271" s="462">
        <f>VLOOKUP($E271,'5.1 Budget'!$A$4:$G$729,2,0)</f>
        <v>0</v>
      </c>
      <c r="Q271" s="462">
        <f>VLOOKUP($E271,'5.1 Budget'!$A$4:$G$729,3,0)</f>
        <v>0</v>
      </c>
      <c r="R271" s="462">
        <f>VLOOKUP($E271,'5.1 Budget'!$A$4:$G$729,4,0)</f>
        <v>0</v>
      </c>
      <c r="S271" s="462">
        <f>VLOOKUP($E271,'5.1 Budget'!$A$4:$G$729,5,0)</f>
        <v>0</v>
      </c>
      <c r="T271" s="462">
        <f>VLOOKUP($E271,'5.1 Budget'!$A$4:$G$729,6,0)</f>
        <v>0</v>
      </c>
      <c r="U271" s="462">
        <f>VLOOKUP($E271,'5.1 Budget'!$A$4:$G$729,7,0)</f>
        <v>0</v>
      </c>
      <c r="V271" s="462">
        <f t="shared" si="5"/>
        <v>0</v>
      </c>
    </row>
    <row r="272" spans="1:22" x14ac:dyDescent="0.25">
      <c r="A272" s="465">
        <v>2</v>
      </c>
      <c r="B272" s="12" t="s">
        <v>140</v>
      </c>
      <c r="C272" s="12" t="s">
        <v>141</v>
      </c>
      <c r="D272" s="12" t="s">
        <v>36</v>
      </c>
      <c r="E272" s="12" t="s">
        <v>855</v>
      </c>
      <c r="F272" s="469" t="str">
        <f>VLOOKUP(E272,'5. Consolidation'!$E$3:$F$715,2,0)</f>
        <v>Développer la carte des sols bruxellois en tenant compte de la teneur en matière organique des sols</v>
      </c>
      <c r="G272" s="12"/>
      <c r="H272" s="12"/>
      <c r="I272" s="12"/>
      <c r="J272" s="12"/>
      <c r="K272" s="12"/>
      <c r="L272" s="12"/>
      <c r="M272" s="12"/>
      <c r="N272" s="12"/>
      <c r="O272" s="12"/>
      <c r="P272" s="462">
        <f>VLOOKUP($E272,'5.1 Budget'!$A$4:$G$729,2,0)</f>
        <v>0</v>
      </c>
      <c r="Q272" s="462">
        <f>VLOOKUP($E272,'5.1 Budget'!$A$4:$G$729,3,0)</f>
        <v>0</v>
      </c>
      <c r="R272" s="462">
        <f>VLOOKUP($E272,'5.1 Budget'!$A$4:$G$729,4,0)</f>
        <v>0</v>
      </c>
      <c r="S272" s="462">
        <f>VLOOKUP($E272,'5.1 Budget'!$A$4:$G$729,5,0)</f>
        <v>0</v>
      </c>
      <c r="T272" s="462">
        <f>VLOOKUP($E272,'5.1 Budget'!$A$4:$G$729,6,0)</f>
        <v>0</v>
      </c>
      <c r="U272" s="462">
        <f>VLOOKUP($E272,'5.1 Budget'!$A$4:$G$729,7,0)</f>
        <v>0</v>
      </c>
      <c r="V272" s="462">
        <f t="shared" si="5"/>
        <v>0</v>
      </c>
    </row>
    <row r="273" spans="1:22" ht="26.25" x14ac:dyDescent="0.25">
      <c r="A273" s="465">
        <v>2</v>
      </c>
      <c r="B273" s="12" t="s">
        <v>140</v>
      </c>
      <c r="C273" s="12" t="s">
        <v>141</v>
      </c>
      <c r="D273" s="12" t="s">
        <v>36</v>
      </c>
      <c r="E273" s="12" t="s">
        <v>856</v>
      </c>
      <c r="F273" s="469" t="str">
        <f>VLOOKUP(E273,'5. Consolidation'!$E$3:$F$715,2,0)</f>
        <v>Mettre à jour l’inventaire des sources des émissions de la pollution, l’élargir à d’autres polluants pertinents pour les eaux souterraines et modéliser leur cheminement vers les eaux souterraines</v>
      </c>
      <c r="G273" s="12"/>
      <c r="H273" s="12"/>
      <c r="I273" s="12"/>
      <c r="J273" s="12"/>
      <c r="K273" s="12"/>
      <c r="L273" s="12"/>
      <c r="M273" s="12"/>
      <c r="N273" s="12"/>
      <c r="O273" s="12"/>
      <c r="P273" s="462">
        <f>VLOOKUP($E273,'5.1 Budget'!$A$4:$G$729,2,0)</f>
        <v>0</v>
      </c>
      <c r="Q273" s="462">
        <f>VLOOKUP($E273,'5.1 Budget'!$A$4:$G$729,3,0)</f>
        <v>0</v>
      </c>
      <c r="R273" s="462">
        <f>VLOOKUP($E273,'5.1 Budget'!$A$4:$G$729,4,0)</f>
        <v>0</v>
      </c>
      <c r="S273" s="462">
        <f>VLOOKUP($E273,'5.1 Budget'!$A$4:$G$729,5,0)</f>
        <v>0</v>
      </c>
      <c r="T273" s="462">
        <f>VLOOKUP($E273,'5.1 Budget'!$A$4:$G$729,6,0)</f>
        <v>0</v>
      </c>
      <c r="U273" s="462">
        <f>VLOOKUP($E273,'5.1 Budget'!$A$4:$G$729,7,0)</f>
        <v>0</v>
      </c>
      <c r="V273" s="462">
        <f t="shared" si="5"/>
        <v>0</v>
      </c>
    </row>
    <row r="274" spans="1:22" ht="39" x14ac:dyDescent="0.25">
      <c r="A274" s="465">
        <v>2</v>
      </c>
      <c r="B274" s="12" t="s">
        <v>140</v>
      </c>
      <c r="C274" s="12" t="s">
        <v>141</v>
      </c>
      <c r="D274" s="12" t="s">
        <v>36</v>
      </c>
      <c r="E274" s="12" t="s">
        <v>857</v>
      </c>
      <c r="F274" s="469" t="str">
        <f>VLOOKUP(E274,'5. Consolidation'!$E$3:$F$715,2,0)</f>
        <v xml:space="preserve">Evaluer les impacts d’une variation de température des eaux souterraines résultant de la présence de forte densité d’exploitations géothermiques en milieu urbain sur la qualité des eaux souterraines et les conflits d’usage susceptibles d’être engendrés. </v>
      </c>
      <c r="G274" s="12"/>
      <c r="H274" s="12"/>
      <c r="I274" s="12"/>
      <c r="J274" s="12"/>
      <c r="K274" s="12"/>
      <c r="L274" s="12"/>
      <c r="M274" s="12"/>
      <c r="N274" s="12"/>
      <c r="O274" s="12"/>
      <c r="P274" s="462">
        <f>VLOOKUP($E274,'5.1 Budget'!$A$4:$G$729,2,0)</f>
        <v>0</v>
      </c>
      <c r="Q274" s="462">
        <f>VLOOKUP($E274,'5.1 Budget'!$A$4:$G$729,3,0)</f>
        <v>0</v>
      </c>
      <c r="R274" s="462">
        <f>VLOOKUP($E274,'5.1 Budget'!$A$4:$G$729,4,0)</f>
        <v>0</v>
      </c>
      <c r="S274" s="462">
        <f>VLOOKUP($E274,'5.1 Budget'!$A$4:$G$729,5,0)</f>
        <v>0</v>
      </c>
      <c r="T274" s="462">
        <f>VLOOKUP($E274,'5.1 Budget'!$A$4:$G$729,6,0)</f>
        <v>0</v>
      </c>
      <c r="U274" s="462">
        <f>VLOOKUP($E274,'5.1 Budget'!$A$4:$G$729,7,0)</f>
        <v>0</v>
      </c>
      <c r="V274" s="462">
        <f t="shared" si="5"/>
        <v>0</v>
      </c>
    </row>
    <row r="275" spans="1:22" ht="26.25" x14ac:dyDescent="0.25">
      <c r="A275" s="465">
        <v>2</v>
      </c>
      <c r="B275" s="12" t="s">
        <v>140</v>
      </c>
      <c r="C275" s="12" t="s">
        <v>141</v>
      </c>
      <c r="D275" s="12" t="s">
        <v>36</v>
      </c>
      <c r="E275" s="12" t="s">
        <v>858</v>
      </c>
      <c r="F275" s="469" t="str">
        <f>VLOOKUP(E275,'5. Consolidation'!$E$3:$F$715,2,0)</f>
        <v>Renforcer les programmes de surveillance par l’extension des réseaux à de nouveaux sites de contrôle au sein des 5 masses d’eau et plus particulièrement au sein de la masse d’eau du système du Socle et des craies du Crétacé</v>
      </c>
      <c r="G275" s="12"/>
      <c r="H275" s="12"/>
      <c r="I275" s="12"/>
      <c r="J275" s="12"/>
      <c r="K275" s="12"/>
      <c r="L275" s="12"/>
      <c r="M275" s="12"/>
      <c r="N275" s="12"/>
      <c r="O275" s="12"/>
      <c r="P275" s="462">
        <f>VLOOKUP($E275,'5.1 Budget'!$A$4:$G$729,2,0)</f>
        <v>0</v>
      </c>
      <c r="Q275" s="462">
        <f>VLOOKUP($E275,'5.1 Budget'!$A$4:$G$729,3,0)</f>
        <v>0</v>
      </c>
      <c r="R275" s="462">
        <f>VLOOKUP($E275,'5.1 Budget'!$A$4:$G$729,4,0)</f>
        <v>0</v>
      </c>
      <c r="S275" s="462">
        <f>VLOOKUP($E275,'5.1 Budget'!$A$4:$G$729,5,0)</f>
        <v>0</v>
      </c>
      <c r="T275" s="462">
        <f>VLOOKUP($E275,'5.1 Budget'!$A$4:$G$729,6,0)</f>
        <v>0</v>
      </c>
      <c r="U275" s="462">
        <f>VLOOKUP($E275,'5.1 Budget'!$A$4:$G$729,7,0)</f>
        <v>0</v>
      </c>
      <c r="V275" s="462">
        <f t="shared" si="5"/>
        <v>0</v>
      </c>
    </row>
    <row r="276" spans="1:22" ht="26.25" x14ac:dyDescent="0.25">
      <c r="A276" s="465">
        <v>2</v>
      </c>
      <c r="B276" s="12" t="s">
        <v>140</v>
      </c>
      <c r="C276" s="12" t="s">
        <v>141</v>
      </c>
      <c r="D276" s="12" t="s">
        <v>36</v>
      </c>
      <c r="E276" s="12" t="s">
        <v>859</v>
      </c>
      <c r="F276" s="469" t="str">
        <f>VLOOKUP(E276,'5. Consolidation'!$E$3:$F$715,2,0)</f>
        <v>Renforcer la pérennité des sites de contrôle existants et futurs faisant partie des programmes de surveillance de l’état chimique</v>
      </c>
      <c r="G276" s="12"/>
      <c r="H276" s="12"/>
      <c r="I276" s="12"/>
      <c r="J276" s="12"/>
      <c r="K276" s="12"/>
      <c r="L276" s="12"/>
      <c r="M276" s="12"/>
      <c r="N276" s="12"/>
      <c r="O276" s="12"/>
      <c r="P276" s="462">
        <f>VLOOKUP($E276,'5.1 Budget'!$A$4:$G$729,2,0)</f>
        <v>0</v>
      </c>
      <c r="Q276" s="462">
        <f>VLOOKUP($E276,'5.1 Budget'!$A$4:$G$729,3,0)</f>
        <v>0</v>
      </c>
      <c r="R276" s="462">
        <f>VLOOKUP($E276,'5.1 Budget'!$A$4:$G$729,4,0)</f>
        <v>0</v>
      </c>
      <c r="S276" s="462">
        <f>VLOOKUP($E276,'5.1 Budget'!$A$4:$G$729,5,0)</f>
        <v>0</v>
      </c>
      <c r="T276" s="462">
        <f>VLOOKUP($E276,'5.1 Budget'!$A$4:$G$729,6,0)</f>
        <v>0</v>
      </c>
      <c r="U276" s="462">
        <f>VLOOKUP($E276,'5.1 Budget'!$A$4:$G$729,7,0)</f>
        <v>0</v>
      </c>
      <c r="V276" s="462">
        <f t="shared" si="5"/>
        <v>0</v>
      </c>
    </row>
    <row r="277" spans="1:22" ht="26.25" x14ac:dyDescent="0.25">
      <c r="A277" s="465">
        <v>2</v>
      </c>
      <c r="B277" s="12" t="s">
        <v>140</v>
      </c>
      <c r="C277" s="12" t="s">
        <v>141</v>
      </c>
      <c r="D277" s="12" t="s">
        <v>37</v>
      </c>
      <c r="E277" s="12" t="s">
        <v>886</v>
      </c>
      <c r="F277" s="469" t="str">
        <f>VLOOKUP(E277,'5. Consolidation'!$E$3:$F$715,2,0)</f>
        <v>Réviser les critères d’évaluation de l’état chimique des masses d’eau souterraine de l’annexe II de l’AGRBC du 10 juin 2010 en ce qui concerne les paramètres à risque et leurs valeurs</v>
      </c>
      <c r="G277" s="12"/>
      <c r="H277" s="12"/>
      <c r="I277" s="12"/>
      <c r="J277" s="12"/>
      <c r="K277" s="12"/>
      <c r="L277" s="12"/>
      <c r="M277" s="12"/>
      <c r="N277" s="12"/>
      <c r="O277" s="12"/>
      <c r="P277" s="462">
        <f>VLOOKUP($E277,'5.1 Budget'!$A$4:$G$729,2,0)</f>
        <v>0</v>
      </c>
      <c r="Q277" s="462">
        <f>VLOOKUP($E277,'5.1 Budget'!$A$4:$G$729,3,0)</f>
        <v>0</v>
      </c>
      <c r="R277" s="462">
        <f>VLOOKUP($E277,'5.1 Budget'!$A$4:$G$729,4,0)</f>
        <v>0</v>
      </c>
      <c r="S277" s="462">
        <f>VLOOKUP($E277,'5.1 Budget'!$A$4:$G$729,5,0)</f>
        <v>0</v>
      </c>
      <c r="T277" s="462">
        <f>VLOOKUP($E277,'5.1 Budget'!$A$4:$G$729,6,0)</f>
        <v>0</v>
      </c>
      <c r="U277" s="462">
        <f>VLOOKUP($E277,'5.1 Budget'!$A$4:$G$729,7,0)</f>
        <v>0</v>
      </c>
      <c r="V277" s="462">
        <f t="shared" si="5"/>
        <v>0</v>
      </c>
    </row>
    <row r="278" spans="1:22" ht="39" x14ac:dyDescent="0.25">
      <c r="A278" s="465">
        <v>2</v>
      </c>
      <c r="B278" s="12" t="s">
        <v>140</v>
      </c>
      <c r="C278" s="12" t="s">
        <v>141</v>
      </c>
      <c r="D278" s="12" t="s">
        <v>37</v>
      </c>
      <c r="E278" s="12" t="s">
        <v>887</v>
      </c>
      <c r="F278" s="469" t="str">
        <f>VLOOKUP(E278,'5. Consolidation'!$E$3:$F$715,2,0)</f>
        <v>Réviser l’annexe II de l’AGRBC du 10 juin 2010 en y précisant les valeurs seuils des critères d’évaluation de qualité plus stricts considérés au sein des zones d’alimentation hydrogéologiques des écosystèmes aquatiques et terrestres associés à la masse d’eau souterraine des sables du Bruxellien pour les nitrates, chlorures et sulfates (cf. aussi M 3.8)</v>
      </c>
      <c r="G278" s="12"/>
      <c r="H278" s="12"/>
      <c r="I278" s="12"/>
      <c r="J278" s="12"/>
      <c r="K278" s="12"/>
      <c r="L278" s="12"/>
      <c r="M278" s="12"/>
      <c r="N278" s="12"/>
      <c r="O278" s="12"/>
      <c r="P278" s="462">
        <f>VLOOKUP($E278,'5.1 Budget'!$A$4:$G$729,2,0)</f>
        <v>0</v>
      </c>
      <c r="Q278" s="462">
        <f>VLOOKUP($E278,'5.1 Budget'!$A$4:$G$729,3,0)</f>
        <v>0</v>
      </c>
      <c r="R278" s="462">
        <f>VLOOKUP($E278,'5.1 Budget'!$A$4:$G$729,4,0)</f>
        <v>0</v>
      </c>
      <c r="S278" s="462">
        <f>VLOOKUP($E278,'5.1 Budget'!$A$4:$G$729,5,0)</f>
        <v>0</v>
      </c>
      <c r="T278" s="462">
        <f>VLOOKUP($E278,'5.1 Budget'!$A$4:$G$729,6,0)</f>
        <v>0</v>
      </c>
      <c r="U278" s="462">
        <f>VLOOKUP($E278,'5.1 Budget'!$A$4:$G$729,7,0)</f>
        <v>0</v>
      </c>
      <c r="V278" s="462">
        <f t="shared" si="5"/>
        <v>0</v>
      </c>
    </row>
    <row r="279" spans="1:22" ht="26.25" x14ac:dyDescent="0.25">
      <c r="A279" s="465">
        <v>2</v>
      </c>
      <c r="B279" s="12" t="s">
        <v>140</v>
      </c>
      <c r="C279" s="12" t="s">
        <v>141</v>
      </c>
      <c r="D279" s="12" t="s">
        <v>37</v>
      </c>
      <c r="E279" s="12" t="s">
        <v>888</v>
      </c>
      <c r="F279" s="469" t="str">
        <f>VLOOKUP(E279,'5. Consolidation'!$E$3:$F$715,2,0)</f>
        <v>Compléter l’annexe II de l’AGRBC du 10 juin 2010 en y joignant les valeurs des concentrations de référence des paramètres présents naturellement dans les masses d’eau souterraine par paramètre et par masse d’eau</v>
      </c>
      <c r="G279" s="12"/>
      <c r="H279" s="12"/>
      <c r="I279" s="12"/>
      <c r="J279" s="12"/>
      <c r="K279" s="12"/>
      <c r="L279" s="12"/>
      <c r="M279" s="12"/>
      <c r="N279" s="12"/>
      <c r="O279" s="12"/>
      <c r="P279" s="462">
        <f>VLOOKUP($E279,'5.1 Budget'!$A$4:$G$729,2,0)</f>
        <v>0</v>
      </c>
      <c r="Q279" s="462">
        <f>VLOOKUP($E279,'5.1 Budget'!$A$4:$G$729,3,0)</f>
        <v>0</v>
      </c>
      <c r="R279" s="462">
        <f>VLOOKUP($E279,'5.1 Budget'!$A$4:$G$729,4,0)</f>
        <v>0</v>
      </c>
      <c r="S279" s="462">
        <f>VLOOKUP($E279,'5.1 Budget'!$A$4:$G$729,5,0)</f>
        <v>0</v>
      </c>
      <c r="T279" s="462">
        <f>VLOOKUP($E279,'5.1 Budget'!$A$4:$G$729,6,0)</f>
        <v>0</v>
      </c>
      <c r="U279" s="462">
        <f>VLOOKUP($E279,'5.1 Budget'!$A$4:$G$729,7,0)</f>
        <v>0</v>
      </c>
      <c r="V279" s="462">
        <f t="shared" si="5"/>
        <v>0</v>
      </c>
    </row>
    <row r="280" spans="1:22" ht="26.25" x14ac:dyDescent="0.25">
      <c r="A280" s="465">
        <v>2</v>
      </c>
      <c r="B280" s="12" t="s">
        <v>140</v>
      </c>
      <c r="C280" s="12" t="s">
        <v>141</v>
      </c>
      <c r="D280" s="12" t="s">
        <v>37</v>
      </c>
      <c r="E280" s="12" t="s">
        <v>889</v>
      </c>
      <c r="F280" s="469" t="str">
        <f>VLOOKUP(E280,'5. Consolidation'!$E$3:$F$715,2,0)</f>
        <v>Compléter l’annexe II de l’AGRBC du 10 juin 2010 en y joignant la liste des métabolites considérés comme pertinents et non-pertinents suivis dans le cadre du programme de surveillance mené au cours du Plan de Gestion (2016-2021)</v>
      </c>
      <c r="G280" s="12"/>
      <c r="H280" s="12"/>
      <c r="I280" s="12"/>
      <c r="J280" s="12"/>
      <c r="K280" s="12"/>
      <c r="L280" s="12"/>
      <c r="M280" s="12"/>
      <c r="N280" s="12"/>
      <c r="O280" s="12"/>
      <c r="P280" s="462">
        <f>VLOOKUP($E280,'5.1 Budget'!$A$4:$G$729,2,0)</f>
        <v>0</v>
      </c>
      <c r="Q280" s="462">
        <f>VLOOKUP($E280,'5.1 Budget'!$A$4:$G$729,3,0)</f>
        <v>0</v>
      </c>
      <c r="R280" s="462">
        <f>VLOOKUP($E280,'5.1 Budget'!$A$4:$G$729,4,0)</f>
        <v>0</v>
      </c>
      <c r="S280" s="462">
        <f>VLOOKUP($E280,'5.1 Budget'!$A$4:$G$729,5,0)</f>
        <v>0</v>
      </c>
      <c r="T280" s="462">
        <f>VLOOKUP($E280,'5.1 Budget'!$A$4:$G$729,6,0)</f>
        <v>0</v>
      </c>
      <c r="U280" s="462">
        <f>VLOOKUP($E280,'5.1 Budget'!$A$4:$G$729,7,0)</f>
        <v>0</v>
      </c>
      <c r="V280" s="462">
        <f t="shared" si="5"/>
        <v>0</v>
      </c>
    </row>
    <row r="281" spans="1:22" ht="39" x14ac:dyDescent="0.25">
      <c r="A281" s="465">
        <v>2</v>
      </c>
      <c r="B281" s="12" t="s">
        <v>140</v>
      </c>
      <c r="C281" s="12" t="s">
        <v>141</v>
      </c>
      <c r="D281" s="12" t="s">
        <v>37</v>
      </c>
      <c r="E281" s="12" t="s">
        <v>890</v>
      </c>
      <c r="F281" s="469" t="str">
        <f>VLOOKUP(E281,'5. Consolidation'!$E$3:$F$715,2,0)</f>
        <v>Réaliser une veille juridique et transposer en droit bruxellois, le cas échéant, les révisions qui seraient aux annexes I et/ou II de la Directive 2006/118/CE en ce qui concerne notamment l’ajout de polluants émergents (PFAS, substances pharmaceutiques, métabolites de pesticides non pertinents) et leurs valeurs</v>
      </c>
      <c r="G281" s="12"/>
      <c r="H281" s="12"/>
      <c r="I281" s="12"/>
      <c r="J281" s="12"/>
      <c r="K281" s="12"/>
      <c r="L281" s="12"/>
      <c r="M281" s="12"/>
      <c r="N281" s="12"/>
      <c r="O281" s="12"/>
      <c r="P281" s="462">
        <f>VLOOKUP($E281,'5.1 Budget'!$A$4:$G$729,2,0)</f>
        <v>0</v>
      </c>
      <c r="Q281" s="462">
        <f>VLOOKUP($E281,'5.1 Budget'!$A$4:$G$729,3,0)</f>
        <v>0</v>
      </c>
      <c r="R281" s="462">
        <f>VLOOKUP($E281,'5.1 Budget'!$A$4:$G$729,4,0)</f>
        <v>0</v>
      </c>
      <c r="S281" s="462">
        <f>VLOOKUP($E281,'5.1 Budget'!$A$4:$G$729,5,0)</f>
        <v>0</v>
      </c>
      <c r="T281" s="462">
        <f>VLOOKUP($E281,'5.1 Budget'!$A$4:$G$729,6,0)</f>
        <v>0</v>
      </c>
      <c r="U281" s="462">
        <f>VLOOKUP($E281,'5.1 Budget'!$A$4:$G$729,7,0)</f>
        <v>0</v>
      </c>
      <c r="V281" s="462">
        <f t="shared" si="5"/>
        <v>0</v>
      </c>
    </row>
    <row r="282" spans="1:22" ht="39" x14ac:dyDescent="0.25">
      <c r="A282" s="465">
        <v>2</v>
      </c>
      <c r="B282" s="12" t="s">
        <v>140</v>
      </c>
      <c r="C282" s="12" t="s">
        <v>141</v>
      </c>
      <c r="D282" s="12" t="s">
        <v>37</v>
      </c>
      <c r="E282" s="12" t="s">
        <v>891</v>
      </c>
      <c r="F282" s="469" t="str">
        <f>VLOOKUP(E282,'5. Consolidation'!$E$3:$F$715,2,0)</f>
        <v>Réviser la liste et les valeurs seuils des critères d’évaluation de la qualité des masses d’eau de l’annexe II de l’AGRBC du 10 juin 2010 compte tenu de la révision des exigences minimales relatives aux valeurs paramétriques utilisées pour évaluer la qualité des eaux destinées à la consommation humaine</v>
      </c>
      <c r="G282" s="12"/>
      <c r="H282" s="12"/>
      <c r="I282" s="12"/>
      <c r="J282" s="12"/>
      <c r="K282" s="12"/>
      <c r="L282" s="12"/>
      <c r="M282" s="12"/>
      <c r="N282" s="12"/>
      <c r="O282" s="12"/>
      <c r="P282" s="462">
        <f>VLOOKUP($E282,'5.1 Budget'!$A$4:$G$729,2,0)</f>
        <v>0</v>
      </c>
      <c r="Q282" s="462">
        <f>VLOOKUP($E282,'5.1 Budget'!$A$4:$G$729,3,0)</f>
        <v>0</v>
      </c>
      <c r="R282" s="462">
        <f>VLOOKUP($E282,'5.1 Budget'!$A$4:$G$729,4,0)</f>
        <v>0</v>
      </c>
      <c r="S282" s="462">
        <f>VLOOKUP($E282,'5.1 Budget'!$A$4:$G$729,5,0)</f>
        <v>0</v>
      </c>
      <c r="T282" s="462">
        <f>VLOOKUP($E282,'5.1 Budget'!$A$4:$G$729,6,0)</f>
        <v>0</v>
      </c>
      <c r="U282" s="462">
        <f>VLOOKUP($E282,'5.1 Budget'!$A$4:$G$729,7,0)</f>
        <v>0</v>
      </c>
      <c r="V282" s="462">
        <f t="shared" si="5"/>
        <v>0</v>
      </c>
    </row>
    <row r="283" spans="1:22" ht="26.25" x14ac:dyDescent="0.25">
      <c r="A283" s="465">
        <v>2</v>
      </c>
      <c r="B283" s="12" t="s">
        <v>140</v>
      </c>
      <c r="C283" s="12" t="s">
        <v>142</v>
      </c>
      <c r="D283" s="12" t="s">
        <v>38</v>
      </c>
      <c r="E283" s="12" t="s">
        <v>892</v>
      </c>
      <c r="F283" s="469" t="str">
        <f>VLOOKUP(E283,'5. Consolidation'!$E$3:$F$715,2,0)</f>
        <v>Finaliser et adopter la cartographie des zones égouttables et non égouttables prévue par l’article 40/1 de l’Ordonnance Cadre Eau</v>
      </c>
      <c r="G283" s="12" t="s">
        <v>1290</v>
      </c>
      <c r="H283" s="12"/>
      <c r="I283" s="12"/>
      <c r="J283" s="12"/>
      <c r="K283" s="12"/>
      <c r="L283" s="12"/>
      <c r="M283" s="12"/>
      <c r="N283" s="12"/>
      <c r="O283" s="12"/>
      <c r="P283" s="462">
        <f>VLOOKUP($E283,'5.1 Budget'!$A$4:$G$729,2,0)</f>
        <v>0</v>
      </c>
      <c r="Q283" s="462">
        <f>VLOOKUP($E283,'5.1 Budget'!$A$4:$G$729,3,0)</f>
        <v>0</v>
      </c>
      <c r="R283" s="462">
        <f>VLOOKUP($E283,'5.1 Budget'!$A$4:$G$729,4,0)</f>
        <v>0</v>
      </c>
      <c r="S283" s="462">
        <f>VLOOKUP($E283,'5.1 Budget'!$A$4:$G$729,5,0)</f>
        <v>0</v>
      </c>
      <c r="T283" s="462">
        <f>VLOOKUP($E283,'5.1 Budget'!$A$4:$G$729,6,0)</f>
        <v>0</v>
      </c>
      <c r="U283" s="462">
        <f>VLOOKUP($E283,'5.1 Budget'!$A$4:$G$729,7,0)</f>
        <v>0</v>
      </c>
      <c r="V283" s="462">
        <f t="shared" si="5"/>
        <v>0</v>
      </c>
    </row>
    <row r="284" spans="1:22" x14ac:dyDescent="0.25">
      <c r="A284" s="465">
        <v>2</v>
      </c>
      <c r="B284" s="12" t="s">
        <v>140</v>
      </c>
      <c r="C284" s="12" t="s">
        <v>142</v>
      </c>
      <c r="D284" s="12" t="s">
        <v>38</v>
      </c>
      <c r="E284" s="12" t="s">
        <v>893</v>
      </c>
      <c r="F284" s="469" t="str">
        <f>VLOOKUP(E284,'5. Consolidation'!$E$3:$F$715,2,0)</f>
        <v>Poursuivre l’inventaire de l’état des lieux et le cartographier (projet ETAL)</v>
      </c>
      <c r="G284" s="12" t="s">
        <v>1290</v>
      </c>
      <c r="H284" s="12"/>
      <c r="I284" s="12"/>
      <c r="J284" s="12"/>
      <c r="K284" s="12"/>
      <c r="L284" s="12"/>
      <c r="M284" s="12"/>
      <c r="N284" s="459">
        <v>2022</v>
      </c>
      <c r="O284" s="12">
        <v>2027</v>
      </c>
      <c r="P284" s="462">
        <f>VLOOKUP($E284,'5.1 Budget'!$A$4:$G$729,2,0)</f>
        <v>1768900</v>
      </c>
      <c r="Q284" s="462">
        <f>VLOOKUP($E284,'5.1 Budget'!$A$4:$G$729,3,0)</f>
        <v>1955100</v>
      </c>
      <c r="R284" s="462">
        <f>VLOOKUP($E284,'5.1 Budget'!$A$4:$G$729,4,0)</f>
        <v>2048200</v>
      </c>
      <c r="S284" s="462">
        <f>VLOOKUP($E284,'5.1 Budget'!$A$4:$G$729,5,0)</f>
        <v>2048200</v>
      </c>
      <c r="T284" s="462">
        <f>VLOOKUP($E284,'5.1 Budget'!$A$4:$G$729,6,0)</f>
        <v>2048200</v>
      </c>
      <c r="U284" s="462">
        <f>VLOOKUP($E284,'5.1 Budget'!$A$4:$G$729,7,0)</f>
        <v>2048200</v>
      </c>
      <c r="V284" s="462">
        <f t="shared" si="5"/>
        <v>11916800</v>
      </c>
    </row>
    <row r="285" spans="1:22" ht="39" x14ac:dyDescent="0.25">
      <c r="A285" s="465">
        <v>2</v>
      </c>
      <c r="B285" s="12" t="s">
        <v>140</v>
      </c>
      <c r="C285" s="12" t="s">
        <v>142</v>
      </c>
      <c r="D285" s="12" t="s">
        <v>38</v>
      </c>
      <c r="E285" s="12" t="s">
        <v>894</v>
      </c>
      <c r="F285" s="469" t="str">
        <f>VLOOKUP(E285,'5. Consolidation'!$E$3:$F$715,2,0)</f>
        <v>Planifier les travaux de rénovation du réseau d’égouttage à l’horizon 2027 en maintenant un objectif de taux de rénovation entre 0.8% et 1.1% par an en priorisant la rénovation dans les zones de vulnérabilité élevée de la masse d’eau des sables du Bruxellien fortement urbanisée et dans les zones de protection des captages d’eau destinée à la consommation humaine</v>
      </c>
      <c r="G285" s="12" t="s">
        <v>1290</v>
      </c>
      <c r="H285" s="12"/>
      <c r="I285" s="12"/>
      <c r="J285" s="12"/>
      <c r="K285" s="12"/>
      <c r="L285" s="12"/>
      <c r="M285" s="12"/>
      <c r="N285" s="12"/>
      <c r="O285" s="12"/>
      <c r="P285" s="462">
        <f>VLOOKUP($E285,'5.1 Budget'!$A$4:$G$729,2,0)</f>
        <v>0</v>
      </c>
      <c r="Q285" s="462">
        <f>VLOOKUP($E285,'5.1 Budget'!$A$4:$G$729,3,0)</f>
        <v>0</v>
      </c>
      <c r="R285" s="462">
        <f>VLOOKUP($E285,'5.1 Budget'!$A$4:$G$729,4,0)</f>
        <v>0</v>
      </c>
      <c r="S285" s="462">
        <f>VLOOKUP($E285,'5.1 Budget'!$A$4:$G$729,5,0)</f>
        <v>0</v>
      </c>
      <c r="T285" s="462">
        <f>VLOOKUP($E285,'5.1 Budget'!$A$4:$G$729,6,0)</f>
        <v>0</v>
      </c>
      <c r="U285" s="462">
        <f>VLOOKUP($E285,'5.1 Budget'!$A$4:$G$729,7,0)</f>
        <v>0</v>
      </c>
      <c r="V285" s="462">
        <f t="shared" si="5"/>
        <v>0</v>
      </c>
    </row>
    <row r="286" spans="1:22" x14ac:dyDescent="0.25">
      <c r="A286" s="465">
        <v>2</v>
      </c>
      <c r="B286" s="12" t="s">
        <v>140</v>
      </c>
      <c r="C286" s="12" t="s">
        <v>142</v>
      </c>
      <c r="D286" s="12" t="s">
        <v>38</v>
      </c>
      <c r="E286" s="12" t="s">
        <v>895</v>
      </c>
      <c r="F286" s="469" t="str">
        <f>VLOOKUP(E286,'5. Consolidation'!$E$3:$F$715,2,0)</f>
        <v>Réaliser les travaux de rénovation du réseau d’égouttage (à concurrence de 0.8 à 1.1% /an)</v>
      </c>
      <c r="G286" s="12" t="s">
        <v>1290</v>
      </c>
      <c r="H286" s="12"/>
      <c r="I286" s="12"/>
      <c r="J286" s="12"/>
      <c r="K286" s="12"/>
      <c r="L286" s="12"/>
      <c r="M286" s="12"/>
      <c r="N286" s="459">
        <v>2022</v>
      </c>
      <c r="O286" s="12">
        <v>2027</v>
      </c>
      <c r="P286" s="462">
        <f>VLOOKUP($E286,'5.1 Budget'!$A$4:$G$729,2,0)</f>
        <v>50540000</v>
      </c>
      <c r="Q286" s="462">
        <f>VLOOKUP($E286,'5.1 Budget'!$A$4:$G$729,3,0)</f>
        <v>55860000</v>
      </c>
      <c r="R286" s="462">
        <f>VLOOKUP($E286,'5.1 Budget'!$A$4:$G$729,4,0)</f>
        <v>58520000</v>
      </c>
      <c r="S286" s="462">
        <f>VLOOKUP($E286,'5.1 Budget'!$A$4:$G$729,5,0)</f>
        <v>58520000</v>
      </c>
      <c r="T286" s="462">
        <f>VLOOKUP($E286,'5.1 Budget'!$A$4:$G$729,6,0)</f>
        <v>58520000</v>
      </c>
      <c r="U286" s="462">
        <f>VLOOKUP($E286,'5.1 Budget'!$A$4:$G$729,7,0)</f>
        <v>58520000</v>
      </c>
      <c r="V286" s="462">
        <f t="shared" si="5"/>
        <v>340480000</v>
      </c>
    </row>
    <row r="287" spans="1:22" x14ac:dyDescent="0.25">
      <c r="A287" s="465">
        <v>2</v>
      </c>
      <c r="B287" s="12" t="s">
        <v>140</v>
      </c>
      <c r="C287" s="12" t="s">
        <v>142</v>
      </c>
      <c r="D287" s="12" t="s">
        <v>38</v>
      </c>
      <c r="E287" s="12" t="s">
        <v>896</v>
      </c>
      <c r="F287" s="469" t="str">
        <f>VLOOKUP(E287,'5. Consolidation'!$E$3:$F$715,2,0)</f>
        <v>Etendre le réseau d’égouttage sur base de la cartographie des zones d’assainissement collectif et autonome.</v>
      </c>
      <c r="G287" s="12" t="s">
        <v>1290</v>
      </c>
      <c r="H287" s="12"/>
      <c r="I287" s="12"/>
      <c r="J287" s="12"/>
      <c r="K287" s="12"/>
      <c r="L287" s="12"/>
      <c r="M287" s="12"/>
      <c r="N287" s="459">
        <v>2022</v>
      </c>
      <c r="O287" s="12">
        <v>2027</v>
      </c>
      <c r="P287" s="462">
        <f>VLOOKUP($E287,'5.1 Budget'!$A$4:$G$729,2,0)</f>
        <v>2550000</v>
      </c>
      <c r="Q287" s="462">
        <f>VLOOKUP($E287,'5.1 Budget'!$A$4:$G$729,3,0)</f>
        <v>2550000</v>
      </c>
      <c r="R287" s="462">
        <f>VLOOKUP($E287,'5.1 Budget'!$A$4:$G$729,4,0)</f>
        <v>2550000</v>
      </c>
      <c r="S287" s="462">
        <f>VLOOKUP($E287,'5.1 Budget'!$A$4:$G$729,5,0)</f>
        <v>2550000</v>
      </c>
      <c r="T287" s="462">
        <f>VLOOKUP($E287,'5.1 Budget'!$A$4:$G$729,6,0)</f>
        <v>2550000</v>
      </c>
      <c r="U287" s="462">
        <f>VLOOKUP($E287,'5.1 Budget'!$A$4:$G$729,7,0)</f>
        <v>2550000</v>
      </c>
      <c r="V287" s="462">
        <f t="shared" si="5"/>
        <v>15300000</v>
      </c>
    </row>
    <row r="288" spans="1:22" ht="26.25" x14ac:dyDescent="0.25">
      <c r="A288" s="465">
        <v>2</v>
      </c>
      <c r="B288" s="12" t="s">
        <v>140</v>
      </c>
      <c r="C288" s="12" t="s">
        <v>142</v>
      </c>
      <c r="D288" s="12" t="s">
        <v>38</v>
      </c>
      <c r="E288" s="12" t="s">
        <v>897</v>
      </c>
      <c r="F288" s="469" t="str">
        <f>VLOOKUP(E288,'5. Consolidation'!$E$3:$F$715,2,0)</f>
        <v xml:space="preserve">Etablir une programmation des investissements pour la réhabilitation de certains collecteurs avec une priorisation dans les zones à enjeux environnementaux </v>
      </c>
      <c r="G288" s="12" t="s">
        <v>1290</v>
      </c>
      <c r="H288" s="12"/>
      <c r="I288" s="12"/>
      <c r="J288" s="12"/>
      <c r="K288" s="12"/>
      <c r="L288" s="12"/>
      <c r="M288" s="12"/>
      <c r="N288" s="459">
        <v>2022</v>
      </c>
      <c r="O288" s="12">
        <v>2027</v>
      </c>
      <c r="P288" s="462">
        <f>VLOOKUP($E288,'5.1 Budget'!$A$4:$G$729,2,0)</f>
        <v>330000</v>
      </c>
      <c r="Q288" s="462">
        <f>VLOOKUP($E288,'5.1 Budget'!$A$4:$G$729,3,0)</f>
        <v>330000</v>
      </c>
      <c r="R288" s="462">
        <f>VLOOKUP($E288,'5.1 Budget'!$A$4:$G$729,4,0)</f>
        <v>330000</v>
      </c>
      <c r="S288" s="462">
        <f>VLOOKUP($E288,'5.1 Budget'!$A$4:$G$729,5,0)</f>
        <v>330000</v>
      </c>
      <c r="T288" s="462">
        <f>VLOOKUP($E288,'5.1 Budget'!$A$4:$G$729,6,0)</f>
        <v>330000</v>
      </c>
      <c r="U288" s="462">
        <f>VLOOKUP($E288,'5.1 Budget'!$A$4:$G$729,7,0)</f>
        <v>330000</v>
      </c>
      <c r="V288" s="462">
        <f t="shared" si="5"/>
        <v>1980000</v>
      </c>
    </row>
    <row r="289" spans="1:22" ht="26.25" x14ac:dyDescent="0.25">
      <c r="A289" s="465">
        <v>2</v>
      </c>
      <c r="B289" s="12" t="s">
        <v>140</v>
      </c>
      <c r="C289" s="12" t="s">
        <v>142</v>
      </c>
      <c r="D289" s="12" t="s">
        <v>39</v>
      </c>
      <c r="E289" s="12" t="s">
        <v>898</v>
      </c>
      <c r="F289" s="469" t="str">
        <f>VLOOKUP(E289,'5. Consolidation'!$E$3:$F$715,2,0)</f>
        <v>(In)former et soutenir les communes dans leur mise à jour des règlements communaux relatifs à l’égouttage et assurer la cohérence régionale.</v>
      </c>
      <c r="G289" s="12" t="s">
        <v>1290</v>
      </c>
      <c r="H289" s="12"/>
      <c r="I289" s="12"/>
      <c r="J289" s="12"/>
      <c r="K289" s="12"/>
      <c r="L289" s="12"/>
      <c r="M289" s="12"/>
      <c r="N289" s="12"/>
      <c r="O289" s="12"/>
      <c r="P289" s="462">
        <f>VLOOKUP($E289,'5.1 Budget'!$A$4:$G$729,2,0)</f>
        <v>0</v>
      </c>
      <c r="Q289" s="462">
        <f>VLOOKUP($E289,'5.1 Budget'!$A$4:$G$729,3,0)</f>
        <v>0</v>
      </c>
      <c r="R289" s="462">
        <f>VLOOKUP($E289,'5.1 Budget'!$A$4:$G$729,4,0)</f>
        <v>0</v>
      </c>
      <c r="S289" s="462">
        <f>VLOOKUP($E289,'5.1 Budget'!$A$4:$G$729,5,0)</f>
        <v>0</v>
      </c>
      <c r="T289" s="462">
        <f>VLOOKUP($E289,'5.1 Budget'!$A$4:$G$729,6,0)</f>
        <v>0</v>
      </c>
      <c r="U289" s="462">
        <f>VLOOKUP($E289,'5.1 Budget'!$A$4:$G$729,7,0)</f>
        <v>0</v>
      </c>
      <c r="V289" s="462">
        <f t="shared" si="5"/>
        <v>0</v>
      </c>
    </row>
    <row r="290" spans="1:22" ht="26.25" x14ac:dyDescent="0.25">
      <c r="A290" s="465">
        <v>2</v>
      </c>
      <c r="B290" s="12" t="s">
        <v>140</v>
      </c>
      <c r="C290" s="12" t="s">
        <v>142</v>
      </c>
      <c r="D290" s="12" t="s">
        <v>39</v>
      </c>
      <c r="E290" s="12" t="s">
        <v>899</v>
      </c>
      <c r="F290" s="469" t="str">
        <f>VLOOKUP(E290,'5. Consolidation'!$E$3:$F$715,2,0)</f>
        <v>Informer les habitants de leur obligation de raccordement, en priorité là où des tronçons d’égouttage ont été récemment installés ou sont en cours de pose, et à terme, à toute la zone d’assainissement collectif</v>
      </c>
      <c r="G290" s="12" t="s">
        <v>1290</v>
      </c>
      <c r="H290" s="12"/>
      <c r="I290" s="12"/>
      <c r="J290" s="12"/>
      <c r="K290" s="12"/>
      <c r="L290" s="12"/>
      <c r="M290" s="12"/>
      <c r="N290" s="12"/>
      <c r="O290" s="12"/>
      <c r="P290" s="462">
        <f>VLOOKUP($E290,'5.1 Budget'!$A$4:$G$729,2,0)</f>
        <v>0</v>
      </c>
      <c r="Q290" s="462">
        <f>VLOOKUP($E290,'5.1 Budget'!$A$4:$G$729,3,0)</f>
        <v>0</v>
      </c>
      <c r="R290" s="462">
        <f>VLOOKUP($E290,'5.1 Budget'!$A$4:$G$729,4,0)</f>
        <v>0</v>
      </c>
      <c r="S290" s="462">
        <f>VLOOKUP($E290,'5.1 Budget'!$A$4:$G$729,5,0)</f>
        <v>0</v>
      </c>
      <c r="T290" s="462">
        <f>VLOOKUP($E290,'5.1 Budget'!$A$4:$G$729,6,0)</f>
        <v>0</v>
      </c>
      <c r="U290" s="462">
        <f>VLOOKUP($E290,'5.1 Budget'!$A$4:$G$729,7,0)</f>
        <v>0</v>
      </c>
      <c r="V290" s="462">
        <f t="shared" si="5"/>
        <v>0</v>
      </c>
    </row>
    <row r="291" spans="1:22" ht="26.25" x14ac:dyDescent="0.25">
      <c r="A291" s="465">
        <v>2</v>
      </c>
      <c r="B291" s="12" t="s">
        <v>140</v>
      </c>
      <c r="C291" s="12" t="s">
        <v>142</v>
      </c>
      <c r="D291" s="12" t="s">
        <v>39</v>
      </c>
      <c r="E291" s="12" t="s">
        <v>900</v>
      </c>
      <c r="F291" s="469" t="str">
        <f>VLOOKUP(E291,'5. Consolidation'!$E$3:$F$715,2,0)</f>
        <v>Contrôler le raccordement effectif au réseau d’égouttage en priorité pour les tronçons récemment égouttés et à terme pour l’ensemble du réseau d’assainissement collectif présent sur le territoire bruxellois</v>
      </c>
      <c r="G291" s="12" t="s">
        <v>1290</v>
      </c>
      <c r="H291" s="12"/>
      <c r="I291" s="12"/>
      <c r="J291" s="12"/>
      <c r="K291" s="12"/>
      <c r="L291" s="12"/>
      <c r="M291" s="12"/>
      <c r="N291" s="12"/>
      <c r="O291" s="12"/>
      <c r="P291" s="462">
        <f>VLOOKUP($E291,'5.1 Budget'!$A$4:$G$729,2,0)</f>
        <v>0</v>
      </c>
      <c r="Q291" s="462">
        <f>VLOOKUP($E291,'5.1 Budget'!$A$4:$G$729,3,0)</f>
        <v>0</v>
      </c>
      <c r="R291" s="462">
        <f>VLOOKUP($E291,'5.1 Budget'!$A$4:$G$729,4,0)</f>
        <v>0</v>
      </c>
      <c r="S291" s="462">
        <f>VLOOKUP($E291,'5.1 Budget'!$A$4:$G$729,5,0)</f>
        <v>0</v>
      </c>
      <c r="T291" s="462">
        <f>VLOOKUP($E291,'5.1 Budget'!$A$4:$G$729,6,0)</f>
        <v>0</v>
      </c>
      <c r="U291" s="462">
        <f>VLOOKUP($E291,'5.1 Budget'!$A$4:$G$729,7,0)</f>
        <v>0</v>
      </c>
      <c r="V291" s="462">
        <f t="shared" si="5"/>
        <v>0</v>
      </c>
    </row>
    <row r="292" spans="1:22" ht="26.25" x14ac:dyDescent="0.25">
      <c r="A292" s="465">
        <v>2</v>
      </c>
      <c r="B292" s="12" t="s">
        <v>140</v>
      </c>
      <c r="C292" s="12" t="s">
        <v>142</v>
      </c>
      <c r="D292" s="12" t="s">
        <v>39</v>
      </c>
      <c r="E292" s="12" t="s">
        <v>901</v>
      </c>
      <c r="F292" s="469" t="str">
        <f>VLOOKUP(E292,'5. Consolidation'!$E$3:$F$715,2,0)</f>
        <v>Etablir l’inventaire des systèmes d’épuration et de dispersion dans les zones non égouttées et non égouttables, faisant l’objet d’un permis d’environnement</v>
      </c>
      <c r="G292" s="12" t="s">
        <v>1290</v>
      </c>
      <c r="H292" s="12"/>
      <c r="I292" s="12"/>
      <c r="J292" s="12"/>
      <c r="K292" s="12"/>
      <c r="L292" s="12"/>
      <c r="M292" s="12"/>
      <c r="N292" s="12"/>
      <c r="O292" s="12"/>
      <c r="P292" s="462">
        <f>VLOOKUP($E292,'5.1 Budget'!$A$4:$G$729,2,0)</f>
        <v>0</v>
      </c>
      <c r="Q292" s="462">
        <f>VLOOKUP($E292,'5.1 Budget'!$A$4:$G$729,3,0)</f>
        <v>0</v>
      </c>
      <c r="R292" s="462">
        <f>VLOOKUP($E292,'5.1 Budget'!$A$4:$G$729,4,0)</f>
        <v>0</v>
      </c>
      <c r="S292" s="462">
        <f>VLOOKUP($E292,'5.1 Budget'!$A$4:$G$729,5,0)</f>
        <v>0</v>
      </c>
      <c r="T292" s="462">
        <f>VLOOKUP($E292,'5.1 Budget'!$A$4:$G$729,6,0)</f>
        <v>0</v>
      </c>
      <c r="U292" s="462">
        <f>VLOOKUP($E292,'5.1 Budget'!$A$4:$G$729,7,0)</f>
        <v>0</v>
      </c>
      <c r="V292" s="462">
        <f t="shared" si="5"/>
        <v>0</v>
      </c>
    </row>
    <row r="293" spans="1:22" ht="26.25" x14ac:dyDescent="0.25">
      <c r="A293" s="465">
        <v>2</v>
      </c>
      <c r="B293" s="12" t="s">
        <v>140</v>
      </c>
      <c r="C293" s="12" t="s">
        <v>142</v>
      </c>
      <c r="D293" s="12" t="s">
        <v>39</v>
      </c>
      <c r="E293" s="12" t="s">
        <v>902</v>
      </c>
      <c r="F293" s="469" t="str">
        <f>VLOOKUP(E293,'5. Consolidation'!$E$3:$F$715,2,0)</f>
        <v>Mettre en place un cadre règlementaire précis pour les systèmes d’épuration individuels et un système de contrôle et d’entretien de ces systèmes</v>
      </c>
      <c r="G293" s="12" t="s">
        <v>1290</v>
      </c>
      <c r="H293" s="12"/>
      <c r="I293" s="12"/>
      <c r="J293" s="12"/>
      <c r="K293" s="12"/>
      <c r="L293" s="12"/>
      <c r="M293" s="12"/>
      <c r="N293" s="12"/>
      <c r="O293" s="12"/>
      <c r="P293" s="462">
        <f>VLOOKUP($E293,'5.1 Budget'!$A$4:$G$729,2,0)</f>
        <v>0</v>
      </c>
      <c r="Q293" s="462">
        <f>VLOOKUP($E293,'5.1 Budget'!$A$4:$G$729,3,0)</f>
        <v>0</v>
      </c>
      <c r="R293" s="462">
        <f>VLOOKUP($E293,'5.1 Budget'!$A$4:$G$729,4,0)</f>
        <v>0</v>
      </c>
      <c r="S293" s="462">
        <f>VLOOKUP($E293,'5.1 Budget'!$A$4:$G$729,5,0)</f>
        <v>0</v>
      </c>
      <c r="T293" s="462">
        <f>VLOOKUP($E293,'5.1 Budget'!$A$4:$G$729,6,0)</f>
        <v>0</v>
      </c>
      <c r="U293" s="462">
        <f>VLOOKUP($E293,'5.1 Budget'!$A$4:$G$729,7,0)</f>
        <v>0</v>
      </c>
      <c r="V293" s="462">
        <f t="shared" si="5"/>
        <v>0</v>
      </c>
    </row>
    <row r="294" spans="1:22" ht="39" x14ac:dyDescent="0.25">
      <c r="A294" s="465">
        <v>2</v>
      </c>
      <c r="B294" s="12" t="s">
        <v>140</v>
      </c>
      <c r="C294" s="12" t="s">
        <v>142</v>
      </c>
      <c r="D294" s="12" t="s">
        <v>39</v>
      </c>
      <c r="E294" s="12" t="s">
        <v>903</v>
      </c>
      <c r="F294" s="469" t="str">
        <f>VLOOKUP(E294,'5. Consolidation'!$E$3:$F$715,2,0)</f>
        <v>Informer et contraindre tout habitant se trouvant dans la zone d’assainissement autonome à la mise en place d’un système d’épuration individuel performant et supprimer si possible les puits perdants, en priorité dans les zones de protection des captages destinées à la consommation humaine et où des écosystèmes aquatiques et terrestres sont présents</v>
      </c>
      <c r="G294" s="12" t="s">
        <v>1290</v>
      </c>
      <c r="H294" s="12"/>
      <c r="I294" s="12"/>
      <c r="J294" s="12"/>
      <c r="K294" s="12"/>
      <c r="L294" s="12"/>
      <c r="M294" s="12"/>
      <c r="N294" s="12"/>
      <c r="O294" s="12"/>
      <c r="P294" s="462">
        <f>VLOOKUP($E294,'5.1 Budget'!$A$4:$G$729,2,0)</f>
        <v>0</v>
      </c>
      <c r="Q294" s="462">
        <f>VLOOKUP($E294,'5.1 Budget'!$A$4:$G$729,3,0)</f>
        <v>0</v>
      </c>
      <c r="R294" s="462">
        <f>VLOOKUP($E294,'5.1 Budget'!$A$4:$G$729,4,0)</f>
        <v>0</v>
      </c>
      <c r="S294" s="462">
        <f>VLOOKUP($E294,'5.1 Budget'!$A$4:$G$729,5,0)</f>
        <v>0</v>
      </c>
      <c r="T294" s="462">
        <f>VLOOKUP($E294,'5.1 Budget'!$A$4:$G$729,6,0)</f>
        <v>0</v>
      </c>
      <c r="U294" s="462">
        <f>VLOOKUP($E294,'5.1 Budget'!$A$4:$G$729,7,0)</f>
        <v>0</v>
      </c>
      <c r="V294" s="462">
        <f t="shared" si="5"/>
        <v>0</v>
      </c>
    </row>
    <row r="295" spans="1:22" ht="26.25" x14ac:dyDescent="0.25">
      <c r="A295" s="465">
        <v>2</v>
      </c>
      <c r="B295" s="12" t="s">
        <v>140</v>
      </c>
      <c r="C295" s="12" t="s">
        <v>142</v>
      </c>
      <c r="D295" s="12" t="s">
        <v>40</v>
      </c>
      <c r="E295" s="12" t="s">
        <v>904</v>
      </c>
      <c r="F295" s="469" t="str">
        <f>VLOOKUP(E295,'5. Consolidation'!$E$3:$F$715,2,0)</f>
        <v xml:space="preserve">Approfondir l’analyse liée à la légère augmentation statistique en nitrates des zones faiblement urbanisée et analyser des pressions qui pourraient y être liées </v>
      </c>
      <c r="G295" s="12" t="s">
        <v>1290</v>
      </c>
      <c r="H295" s="12"/>
      <c r="I295" s="12"/>
      <c r="J295" s="12"/>
      <c r="K295" s="12"/>
      <c r="L295" s="12"/>
      <c r="M295" s="12"/>
      <c r="N295" s="459">
        <v>2024</v>
      </c>
      <c r="O295" s="12"/>
      <c r="P295" s="462">
        <f>VLOOKUP($E295,'5.1 Budget'!$A$4:$G$729,2,0)</f>
        <v>0</v>
      </c>
      <c r="Q295" s="462">
        <f>VLOOKUP($E295,'5.1 Budget'!$A$4:$G$729,3,0)</f>
        <v>0</v>
      </c>
      <c r="R295" s="462">
        <f>VLOOKUP($E295,'5.1 Budget'!$A$4:$G$729,4,0)</f>
        <v>50000</v>
      </c>
      <c r="S295" s="462">
        <f>VLOOKUP($E295,'5.1 Budget'!$A$4:$G$729,5,0)</f>
        <v>0</v>
      </c>
      <c r="T295" s="462">
        <f>VLOOKUP($E295,'5.1 Budget'!$A$4:$G$729,6,0)</f>
        <v>0</v>
      </c>
      <c r="U295" s="462">
        <f>VLOOKUP($E295,'5.1 Budget'!$A$4:$G$729,7,0)</f>
        <v>0</v>
      </c>
      <c r="V295" s="462">
        <f t="shared" si="5"/>
        <v>50000</v>
      </c>
    </row>
    <row r="296" spans="1:22" ht="26.25" x14ac:dyDescent="0.25">
      <c r="A296" s="465">
        <v>2</v>
      </c>
      <c r="B296" s="12" t="s">
        <v>140</v>
      </c>
      <c r="C296" s="12" t="s">
        <v>142</v>
      </c>
      <c r="D296" s="12" t="s">
        <v>40</v>
      </c>
      <c r="E296" s="12" t="s">
        <v>905</v>
      </c>
      <c r="F296" s="469" t="str">
        <f>VLOOKUP(E296,'5. Consolidation'!$E$3:$F$715,2,0)</f>
        <v>Si nécessaire sur base de l’analyse en 2.5.1, contrôler le respect des conditions d’exploiter pour les exploitations à risques nitriques autorisées par permis d’environnement</v>
      </c>
      <c r="G296" s="12" t="s">
        <v>1290</v>
      </c>
      <c r="H296" s="12"/>
      <c r="I296" s="12"/>
      <c r="J296" s="12"/>
      <c r="K296" s="12"/>
      <c r="L296" s="12"/>
      <c r="M296" s="12"/>
      <c r="N296" s="12"/>
      <c r="O296" s="12"/>
      <c r="P296" s="462">
        <f>VLOOKUP($E296,'5.1 Budget'!$A$4:$G$729,2,0)</f>
        <v>0</v>
      </c>
      <c r="Q296" s="462">
        <f>VLOOKUP($E296,'5.1 Budget'!$A$4:$G$729,3,0)</f>
        <v>0</v>
      </c>
      <c r="R296" s="462">
        <f>VLOOKUP($E296,'5.1 Budget'!$A$4:$G$729,4,0)</f>
        <v>0</v>
      </c>
      <c r="S296" s="462">
        <f>VLOOKUP($E296,'5.1 Budget'!$A$4:$G$729,5,0)</f>
        <v>0</v>
      </c>
      <c r="T296" s="462">
        <f>VLOOKUP($E296,'5.1 Budget'!$A$4:$G$729,6,0)</f>
        <v>0</v>
      </c>
      <c r="U296" s="462">
        <f>VLOOKUP($E296,'5.1 Budget'!$A$4:$G$729,7,0)</f>
        <v>0</v>
      </c>
      <c r="V296" s="462">
        <f t="shared" si="5"/>
        <v>0</v>
      </c>
    </row>
    <row r="297" spans="1:22" ht="26.25" x14ac:dyDescent="0.25">
      <c r="A297" s="465">
        <v>2</v>
      </c>
      <c r="B297" s="12" t="s">
        <v>140</v>
      </c>
      <c r="C297" s="12" t="s">
        <v>142</v>
      </c>
      <c r="D297" s="12" t="s">
        <v>40</v>
      </c>
      <c r="E297" s="12" t="s">
        <v>906</v>
      </c>
      <c r="F297" s="469" t="str">
        <f>VLOOKUP(E297,'5. Consolidation'!$E$3:$F$715,2,0)</f>
        <v>Si nécessaire, revoir l’AGRBC du 19 novembre afin d’en garantir une meilleure applicabilité par les activités agricoles présentes sur le territoire bruxellois et y adapter le code de Bonnes Pratiques</v>
      </c>
      <c r="G297" s="12" t="s">
        <v>1290</v>
      </c>
      <c r="H297" s="12"/>
      <c r="I297" s="12"/>
      <c r="J297" s="12"/>
      <c r="K297" s="12"/>
      <c r="L297" s="12"/>
      <c r="M297" s="12"/>
      <c r="N297" s="12"/>
      <c r="O297" s="12"/>
      <c r="P297" s="462">
        <f>VLOOKUP($E297,'5.1 Budget'!$A$4:$G$729,2,0)</f>
        <v>0</v>
      </c>
      <c r="Q297" s="462">
        <f>VLOOKUP($E297,'5.1 Budget'!$A$4:$G$729,3,0)</f>
        <v>0</v>
      </c>
      <c r="R297" s="462">
        <f>VLOOKUP($E297,'5.1 Budget'!$A$4:$G$729,4,0)</f>
        <v>0</v>
      </c>
      <c r="S297" s="462">
        <f>VLOOKUP($E297,'5.1 Budget'!$A$4:$G$729,5,0)</f>
        <v>0</v>
      </c>
      <c r="T297" s="462">
        <f>VLOOKUP($E297,'5.1 Budget'!$A$4:$G$729,6,0)</f>
        <v>0</v>
      </c>
      <c r="U297" s="462">
        <f>VLOOKUP($E297,'5.1 Budget'!$A$4:$G$729,7,0)</f>
        <v>0</v>
      </c>
      <c r="V297" s="462">
        <f t="shared" si="5"/>
        <v>0</v>
      </c>
    </row>
    <row r="298" spans="1:22" x14ac:dyDescent="0.25">
      <c r="A298" s="465">
        <v>2</v>
      </c>
      <c r="B298" s="12" t="s">
        <v>140</v>
      </c>
      <c r="C298" s="12" t="s">
        <v>142</v>
      </c>
      <c r="D298" s="12" t="s">
        <v>40</v>
      </c>
      <c r="E298" s="12" t="s">
        <v>907</v>
      </c>
      <c r="F298" s="469" t="str">
        <f>VLOOKUP(E298,'5. Consolidation'!$E$3:$F$715,2,0)</f>
        <v>Editer une brochure de sensibilisation à l’égard des exploitants, notamment sur base du Code de Bonnes Pratiques</v>
      </c>
      <c r="G298" s="12" t="s">
        <v>1290</v>
      </c>
      <c r="H298" s="12"/>
      <c r="I298" s="12"/>
      <c r="J298" s="12"/>
      <c r="K298" s="12"/>
      <c r="L298" s="12"/>
      <c r="M298" s="12"/>
      <c r="N298" s="459">
        <v>2025</v>
      </c>
      <c r="O298" s="12"/>
      <c r="P298" s="462">
        <f>VLOOKUP($E298,'5.1 Budget'!$A$4:$G$729,2,0)</f>
        <v>0</v>
      </c>
      <c r="Q298" s="462">
        <f>VLOOKUP($E298,'5.1 Budget'!$A$4:$G$729,3,0)</f>
        <v>0</v>
      </c>
      <c r="R298" s="462">
        <f>VLOOKUP($E298,'5.1 Budget'!$A$4:$G$729,4,0)</f>
        <v>0</v>
      </c>
      <c r="S298" s="462">
        <f>VLOOKUP($E298,'5.1 Budget'!$A$4:$G$729,5,0)</f>
        <v>50000</v>
      </c>
      <c r="T298" s="462">
        <f>VLOOKUP($E298,'5.1 Budget'!$A$4:$G$729,6,0)</f>
        <v>0</v>
      </c>
      <c r="U298" s="462">
        <f>VLOOKUP($E298,'5.1 Budget'!$A$4:$G$729,7,0)</f>
        <v>0</v>
      </c>
      <c r="V298" s="462">
        <f t="shared" si="5"/>
        <v>50000</v>
      </c>
    </row>
    <row r="299" spans="1:22" x14ac:dyDescent="0.25">
      <c r="A299" s="465">
        <v>2</v>
      </c>
      <c r="B299" s="12" t="s">
        <v>140</v>
      </c>
      <c r="C299" s="12" t="s">
        <v>143</v>
      </c>
      <c r="D299" s="12" t="s">
        <v>42</v>
      </c>
      <c r="E299" s="12" t="s">
        <v>911</v>
      </c>
      <c r="F299" s="469" t="str">
        <f>VLOOKUP(E299,'5. Consolidation'!$E$3:$F$715,2,0)</f>
        <v>Identifier les sources de la pollution au tétrachloroéthylène (cf. M.2.1 et M.3.3)</v>
      </c>
      <c r="G299" s="12" t="s">
        <v>1290</v>
      </c>
      <c r="H299" s="12"/>
      <c r="I299" s="12"/>
      <c r="J299" s="12"/>
      <c r="K299" s="12"/>
      <c r="L299" s="12"/>
      <c r="M299" s="12"/>
      <c r="N299" s="12"/>
      <c r="O299" s="12"/>
      <c r="P299" s="462">
        <f>VLOOKUP($E299,'5.1 Budget'!$A$4:$G$729,2,0)</f>
        <v>0</v>
      </c>
      <c r="Q299" s="462">
        <f>VLOOKUP($E299,'5.1 Budget'!$A$4:$G$729,3,0)</f>
        <v>0</v>
      </c>
      <c r="R299" s="462">
        <f>VLOOKUP($E299,'5.1 Budget'!$A$4:$G$729,4,0)</f>
        <v>0</v>
      </c>
      <c r="S299" s="462">
        <f>VLOOKUP($E299,'5.1 Budget'!$A$4:$G$729,5,0)</f>
        <v>0</v>
      </c>
      <c r="T299" s="462">
        <f>VLOOKUP($E299,'5.1 Budget'!$A$4:$G$729,6,0)</f>
        <v>0</v>
      </c>
      <c r="U299" s="462">
        <f>VLOOKUP($E299,'5.1 Budget'!$A$4:$G$729,7,0)</f>
        <v>0</v>
      </c>
      <c r="V299" s="462">
        <f t="shared" si="5"/>
        <v>0</v>
      </c>
    </row>
    <row r="300" spans="1:22" ht="26.25" x14ac:dyDescent="0.25">
      <c r="A300" s="465">
        <v>2</v>
      </c>
      <c r="B300" s="12" t="s">
        <v>140</v>
      </c>
      <c r="C300" s="12" t="s">
        <v>143</v>
      </c>
      <c r="D300" s="12" t="s">
        <v>42</v>
      </c>
      <c r="E300" s="12" t="s">
        <v>912</v>
      </c>
      <c r="F300" s="469" t="str">
        <f>VLOOKUP(E300,'5. Consolidation'!$E$3:$F$715,2,0)</f>
        <v>Poursuivre l’inventaire de l’état des sols pollués en matière de tétrachloroéthylène et les composés organochlorés volatils et le cartographier (cf. M.2.1 et M.3.3)</v>
      </c>
      <c r="G300" s="12" t="s">
        <v>1290</v>
      </c>
      <c r="H300" s="12"/>
      <c r="I300" s="12"/>
      <c r="J300" s="12"/>
      <c r="K300" s="12"/>
      <c r="L300" s="12"/>
      <c r="M300" s="12"/>
      <c r="N300" s="12"/>
      <c r="O300" s="12"/>
      <c r="P300" s="462">
        <f>VLOOKUP($E300,'5.1 Budget'!$A$4:$G$729,2,0)</f>
        <v>0</v>
      </c>
      <c r="Q300" s="462">
        <f>VLOOKUP($E300,'5.1 Budget'!$A$4:$G$729,3,0)</f>
        <v>0</v>
      </c>
      <c r="R300" s="462">
        <f>VLOOKUP($E300,'5.1 Budget'!$A$4:$G$729,4,0)</f>
        <v>0</v>
      </c>
      <c r="S300" s="462">
        <f>VLOOKUP($E300,'5.1 Budget'!$A$4:$G$729,5,0)</f>
        <v>0</v>
      </c>
      <c r="T300" s="462">
        <f>VLOOKUP($E300,'5.1 Budget'!$A$4:$G$729,6,0)</f>
        <v>0</v>
      </c>
      <c r="U300" s="462">
        <f>VLOOKUP($E300,'5.1 Budget'!$A$4:$G$729,7,0)</f>
        <v>0</v>
      </c>
      <c r="V300" s="462">
        <f t="shared" si="5"/>
        <v>0</v>
      </c>
    </row>
    <row r="301" spans="1:22" ht="26.25" x14ac:dyDescent="0.25">
      <c r="A301" s="465">
        <v>2</v>
      </c>
      <c r="B301" s="12" t="s">
        <v>140</v>
      </c>
      <c r="C301" s="12" t="s">
        <v>143</v>
      </c>
      <c r="D301" s="12" t="s">
        <v>42</v>
      </c>
      <c r="E301" s="12" t="s">
        <v>908</v>
      </c>
      <c r="F301" s="469" t="str">
        <f>VLOOKUP(E301,'5. Consolidation'!$E$3:$F$715,2,0)</f>
        <v>Poursuivre  l’assainissement des sols pollués au tétrachloroéthylène et des composés organochlorés tel que prévu à l’OSOL (cf.  M 2.13 et M 3.3)</v>
      </c>
      <c r="G301" s="12"/>
      <c r="H301" s="12"/>
      <c r="I301" s="12"/>
      <c r="J301" s="12"/>
      <c r="K301" s="12"/>
      <c r="L301" s="12"/>
      <c r="M301" s="12"/>
      <c r="N301" s="12"/>
      <c r="O301" s="12"/>
      <c r="P301" s="462">
        <f>VLOOKUP($E301,'5.1 Budget'!$A$4:$G$729,2,0)</f>
        <v>0</v>
      </c>
      <c r="Q301" s="462">
        <f>VLOOKUP($E301,'5.1 Budget'!$A$4:$G$729,3,0)</f>
        <v>0</v>
      </c>
      <c r="R301" s="462">
        <f>VLOOKUP($E301,'5.1 Budget'!$A$4:$G$729,4,0)</f>
        <v>0</v>
      </c>
      <c r="S301" s="462">
        <f>VLOOKUP($E301,'5.1 Budget'!$A$4:$G$729,5,0)</f>
        <v>0</v>
      </c>
      <c r="T301" s="462">
        <f>VLOOKUP($E301,'5.1 Budget'!$A$4:$G$729,6,0)</f>
        <v>0</v>
      </c>
      <c r="U301" s="462">
        <f>VLOOKUP($E301,'5.1 Budget'!$A$4:$G$729,7,0)</f>
        <v>0</v>
      </c>
      <c r="V301" s="462">
        <f t="shared" si="5"/>
        <v>0</v>
      </c>
    </row>
    <row r="302" spans="1:22" ht="26.25" x14ac:dyDescent="0.25">
      <c r="A302" s="465">
        <v>2</v>
      </c>
      <c r="B302" s="12" t="s">
        <v>140</v>
      </c>
      <c r="C302" s="12" t="s">
        <v>143</v>
      </c>
      <c r="D302" s="12" t="s">
        <v>42</v>
      </c>
      <c r="E302" s="12" t="s">
        <v>909</v>
      </c>
      <c r="F302" s="469" t="str">
        <f>VLOOKUP(E302,'5. Consolidation'!$E$3:$F$715,2,0)</f>
        <v>Contrôler les conditions d’exploiter des permis d’environnement liés à des activités  utilisant du tétrachloroéthylène (cf. aussi M. 3.3)</v>
      </c>
      <c r="G302" s="12"/>
      <c r="H302" s="12"/>
      <c r="I302" s="12"/>
      <c r="J302" s="12"/>
      <c r="K302" s="12"/>
      <c r="L302" s="12"/>
      <c r="M302" s="12"/>
      <c r="N302" s="12"/>
      <c r="O302" s="12"/>
      <c r="P302" s="462">
        <f>VLOOKUP($E302,'5.1 Budget'!$A$4:$G$729,2,0)</f>
        <v>0</v>
      </c>
      <c r="Q302" s="462">
        <f>VLOOKUP($E302,'5.1 Budget'!$A$4:$G$729,3,0)</f>
        <v>0</v>
      </c>
      <c r="R302" s="462">
        <f>VLOOKUP($E302,'5.1 Budget'!$A$4:$G$729,4,0)</f>
        <v>0</v>
      </c>
      <c r="S302" s="462">
        <f>VLOOKUP($E302,'5.1 Budget'!$A$4:$G$729,5,0)</f>
        <v>0</v>
      </c>
      <c r="T302" s="462">
        <f>VLOOKUP($E302,'5.1 Budget'!$A$4:$G$729,6,0)</f>
        <v>0</v>
      </c>
      <c r="U302" s="462">
        <f>VLOOKUP($E302,'5.1 Budget'!$A$4:$G$729,7,0)</f>
        <v>0</v>
      </c>
      <c r="V302" s="462">
        <f t="shared" si="5"/>
        <v>0</v>
      </c>
    </row>
    <row r="303" spans="1:22" x14ac:dyDescent="0.25">
      <c r="A303" s="465">
        <v>2</v>
      </c>
      <c r="B303" s="12" t="s">
        <v>140</v>
      </c>
      <c r="C303" s="12" t="s">
        <v>143</v>
      </c>
      <c r="D303" s="12" t="s">
        <v>42</v>
      </c>
      <c r="E303" s="12" t="s">
        <v>910</v>
      </c>
      <c r="F303" s="469" t="str">
        <f>VLOOKUP(E303,'5. Consolidation'!$E$3:$F$715,2,0)</f>
        <v>Promouvoir l’usage de substances alternatives au tétrachloroéthylène, pour en réduire l’usage et à terme l’interdire</v>
      </c>
      <c r="G303" s="12"/>
      <c r="H303" s="12"/>
      <c r="I303" s="12"/>
      <c r="J303" s="12"/>
      <c r="K303" s="12"/>
      <c r="L303" s="12"/>
      <c r="M303" s="12"/>
      <c r="N303" s="12"/>
      <c r="O303" s="12"/>
      <c r="P303" s="462">
        <f>VLOOKUP($E303,'5.1 Budget'!$A$4:$G$729,2,0)</f>
        <v>0</v>
      </c>
      <c r="Q303" s="462">
        <f>VLOOKUP($E303,'5.1 Budget'!$A$4:$G$729,3,0)</f>
        <v>0</v>
      </c>
      <c r="R303" s="462">
        <f>VLOOKUP($E303,'5.1 Budget'!$A$4:$G$729,4,0)</f>
        <v>0</v>
      </c>
      <c r="S303" s="462">
        <f>VLOOKUP($E303,'5.1 Budget'!$A$4:$G$729,5,0)</f>
        <v>0</v>
      </c>
      <c r="T303" s="462">
        <f>VLOOKUP($E303,'5.1 Budget'!$A$4:$G$729,6,0)</f>
        <v>0</v>
      </c>
      <c r="U303" s="462">
        <f>VLOOKUP($E303,'5.1 Budget'!$A$4:$G$729,7,0)</f>
        <v>0</v>
      </c>
      <c r="V303" s="462">
        <f t="shared" si="5"/>
        <v>0</v>
      </c>
    </row>
    <row r="304" spans="1:22" ht="26.25" x14ac:dyDescent="0.25">
      <c r="A304" s="465">
        <v>2</v>
      </c>
      <c r="B304" s="12" t="s">
        <v>140</v>
      </c>
      <c r="C304" s="12" t="s">
        <v>144</v>
      </c>
      <c r="D304" s="12" t="s">
        <v>43</v>
      </c>
      <c r="E304" s="12" t="s">
        <v>913</v>
      </c>
      <c r="F304" s="469" t="str">
        <f>VLOOKUP(E304,'5. Consolidation'!$E$3:$F$715,2,0)</f>
        <v>Contrôler l’absence de rejets directs dans les prises d’eau autorisées, en priorité pour les activités à risque de pollution autorisées et présentes à proximité des prises d’eau</v>
      </c>
      <c r="G304" s="12"/>
      <c r="H304" s="12"/>
      <c r="I304" s="12"/>
      <c r="J304" s="12"/>
      <c r="K304" s="12"/>
      <c r="L304" s="12"/>
      <c r="M304" s="12"/>
      <c r="N304" s="12"/>
      <c r="O304" s="12"/>
      <c r="P304" s="462">
        <f>VLOOKUP($E304,'5.1 Budget'!$A$4:$G$729,2,0)</f>
        <v>0</v>
      </c>
      <c r="Q304" s="462">
        <f>VLOOKUP($E304,'5.1 Budget'!$A$4:$G$729,3,0)</f>
        <v>0</v>
      </c>
      <c r="R304" s="462">
        <f>VLOOKUP($E304,'5.1 Budget'!$A$4:$G$729,4,0)</f>
        <v>0</v>
      </c>
      <c r="S304" s="462">
        <f>VLOOKUP($E304,'5.1 Budget'!$A$4:$G$729,5,0)</f>
        <v>0</v>
      </c>
      <c r="T304" s="462">
        <f>VLOOKUP($E304,'5.1 Budget'!$A$4:$G$729,6,0)</f>
        <v>0</v>
      </c>
      <c r="U304" s="462">
        <f>VLOOKUP($E304,'5.1 Budget'!$A$4:$G$729,7,0)</f>
        <v>0</v>
      </c>
      <c r="V304" s="462">
        <f t="shared" si="5"/>
        <v>0</v>
      </c>
    </row>
    <row r="305" spans="1:22" ht="39" x14ac:dyDescent="0.25">
      <c r="A305" s="465">
        <v>2</v>
      </c>
      <c r="B305" s="12" t="s">
        <v>140</v>
      </c>
      <c r="C305" s="12" t="s">
        <v>144</v>
      </c>
      <c r="D305" s="12" t="s">
        <v>43</v>
      </c>
      <c r="E305" s="12" t="s">
        <v>919</v>
      </c>
      <c r="F305" s="469" t="str">
        <f>VLOOKUP(E305,'5. Consolidation'!$E$3:$F$715,2,0)</f>
        <v>Contrôler l’application de l’interdiction d’usages des pesticides dans les zones à risque accrus délimités dans l’ordonnance du 20 juin 2013 relative à l’utilisation des pesticides compatible avec le développement durable, en particulier dans les zones de protection des zones de prises d’eau des installation de captages en activité ou non</v>
      </c>
      <c r="G305" s="12"/>
      <c r="H305" s="12"/>
      <c r="I305" s="12"/>
      <c r="J305" s="12"/>
      <c r="K305" s="12"/>
      <c r="L305" s="12"/>
      <c r="M305" s="12"/>
      <c r="N305" s="12"/>
      <c r="O305" s="12"/>
      <c r="P305" s="462">
        <f>VLOOKUP($E305,'5.1 Budget'!$A$4:$G$729,2,0)</f>
        <v>0</v>
      </c>
      <c r="Q305" s="462">
        <f>VLOOKUP($E305,'5.1 Budget'!$A$4:$G$729,3,0)</f>
        <v>0</v>
      </c>
      <c r="R305" s="462">
        <f>VLOOKUP($E305,'5.1 Budget'!$A$4:$G$729,4,0)</f>
        <v>0</v>
      </c>
      <c r="S305" s="462">
        <f>VLOOKUP($E305,'5.1 Budget'!$A$4:$G$729,5,0)</f>
        <v>0</v>
      </c>
      <c r="T305" s="462">
        <f>VLOOKUP($E305,'5.1 Budget'!$A$4:$G$729,6,0)</f>
        <v>0</v>
      </c>
      <c r="U305" s="462">
        <f>VLOOKUP($E305,'5.1 Budget'!$A$4:$G$729,7,0)</f>
        <v>0</v>
      </c>
      <c r="V305" s="462">
        <f t="shared" si="5"/>
        <v>0</v>
      </c>
    </row>
    <row r="306" spans="1:22" ht="39" x14ac:dyDescent="0.25">
      <c r="A306" s="465">
        <v>2</v>
      </c>
      <c r="B306" s="12" t="s">
        <v>140</v>
      </c>
      <c r="C306" s="12" t="s">
        <v>144</v>
      </c>
      <c r="D306" s="12" t="s">
        <v>43</v>
      </c>
      <c r="E306" s="12" t="s">
        <v>914</v>
      </c>
      <c r="F306" s="469" t="str">
        <f>VLOOKUP(E306,'5. Consolidation'!$E$3:$F$715,2,0)</f>
        <v>Contrôler la mise en œuvre des conditions imposées dans les permis lors de la réalisation de l’installation de prise d’eau et des piézomètres mis en place pour le suivi de chantiers (imposition d’une hauteur de l’ouvrage, d’une fermeture) et dans le cadre des études de reconnaissance de l’état des sols (M.2.8)</v>
      </c>
      <c r="G306" s="12"/>
      <c r="H306" s="12"/>
      <c r="I306" s="12"/>
      <c r="J306" s="12"/>
      <c r="K306" s="12"/>
      <c r="L306" s="12"/>
      <c r="M306" s="12"/>
      <c r="N306" s="12"/>
      <c r="O306" s="12"/>
      <c r="P306" s="462">
        <f>VLOOKUP($E306,'5.1 Budget'!$A$4:$G$729,2,0)</f>
        <v>0</v>
      </c>
      <c r="Q306" s="462">
        <f>VLOOKUP($E306,'5.1 Budget'!$A$4:$G$729,3,0)</f>
        <v>0</v>
      </c>
      <c r="R306" s="462">
        <f>VLOOKUP($E306,'5.1 Budget'!$A$4:$G$729,4,0)</f>
        <v>0</v>
      </c>
      <c r="S306" s="462">
        <f>VLOOKUP($E306,'5.1 Budget'!$A$4:$G$729,5,0)</f>
        <v>0</v>
      </c>
      <c r="T306" s="462">
        <f>VLOOKUP($E306,'5.1 Budget'!$A$4:$G$729,6,0)</f>
        <v>0</v>
      </c>
      <c r="U306" s="462">
        <f>VLOOKUP($E306,'5.1 Budget'!$A$4:$G$729,7,0)</f>
        <v>0</v>
      </c>
      <c r="V306" s="462">
        <f t="shared" si="5"/>
        <v>0</v>
      </c>
    </row>
    <row r="307" spans="1:22" ht="39" x14ac:dyDescent="0.25">
      <c r="A307" s="465">
        <v>2</v>
      </c>
      <c r="B307" s="12" t="s">
        <v>140</v>
      </c>
      <c r="C307" s="12" t="s">
        <v>144</v>
      </c>
      <c r="D307" s="12" t="s">
        <v>43</v>
      </c>
      <c r="E307" s="12" t="s">
        <v>915</v>
      </c>
      <c r="F307" s="469" t="str">
        <f>VLOOKUP(E307,'5. Consolidation'!$E$3:$F$715,2,0)</f>
        <v>Assurer une gestion appropriée des ouvrages soumis à permis d’environnement en contrôlant le respect des conditions liées à la cessation de l’activité, à savoir le rebouchage de l’ouvrage ou, le cas échéant, l’intégration dans un programme de surveillance tant pour les puits que pour les piézomètres (contrôle via attestation)</v>
      </c>
      <c r="G307" s="12"/>
      <c r="H307" s="12"/>
      <c r="I307" s="12"/>
      <c r="J307" s="12"/>
      <c r="K307" s="12"/>
      <c r="L307" s="12"/>
      <c r="M307" s="12"/>
      <c r="N307" s="12"/>
      <c r="O307" s="12"/>
      <c r="P307" s="462">
        <f>VLOOKUP($E307,'5.1 Budget'!$A$4:$G$729,2,0)</f>
        <v>0</v>
      </c>
      <c r="Q307" s="462">
        <f>VLOOKUP($E307,'5.1 Budget'!$A$4:$G$729,3,0)</f>
        <v>0</v>
      </c>
      <c r="R307" s="462">
        <f>VLOOKUP($E307,'5.1 Budget'!$A$4:$G$729,4,0)</f>
        <v>0</v>
      </c>
      <c r="S307" s="462">
        <f>VLOOKUP($E307,'5.1 Budget'!$A$4:$G$729,5,0)</f>
        <v>0</v>
      </c>
      <c r="T307" s="462">
        <f>VLOOKUP($E307,'5.1 Budget'!$A$4:$G$729,6,0)</f>
        <v>0</v>
      </c>
      <c r="U307" s="462">
        <f>VLOOKUP($E307,'5.1 Budget'!$A$4:$G$729,7,0)</f>
        <v>0</v>
      </c>
      <c r="V307" s="462">
        <f t="shared" si="5"/>
        <v>0</v>
      </c>
    </row>
    <row r="308" spans="1:22" ht="51.75" x14ac:dyDescent="0.25">
      <c r="A308" s="465">
        <v>2</v>
      </c>
      <c r="B308" s="12" t="s">
        <v>140</v>
      </c>
      <c r="C308" s="12" t="s">
        <v>144</v>
      </c>
      <c r="D308" s="12" t="s">
        <v>43</v>
      </c>
      <c r="E308" s="12" t="s">
        <v>916</v>
      </c>
      <c r="F308" s="469" t="str">
        <f>VLOOKUP(E308,'5. Consolidation'!$E$3:$F$715,2,0)</f>
        <v>Assurer un contrôle approprié des piézomètres mis en place lors d’ études de reconnaissance de l’état des sols dans le cadre de la gestion de l’assainissement des sols pollués, en fin de procédure, imposer et contrôler le rebouchage des piézomètre selon la procédure reprise à l’AR du 8 novembre 2018 – art 11 § 6 3° réglementant les captages dans les eaux souterraines</v>
      </c>
      <c r="G308" s="12"/>
      <c r="H308" s="12"/>
      <c r="I308" s="12"/>
      <c r="J308" s="12"/>
      <c r="K308" s="12"/>
      <c r="L308" s="12"/>
      <c r="M308" s="12"/>
      <c r="N308" s="12"/>
      <c r="O308" s="12"/>
      <c r="P308" s="462">
        <f>VLOOKUP($E308,'5.1 Budget'!$A$4:$G$729,2,0)</f>
        <v>0</v>
      </c>
      <c r="Q308" s="462">
        <f>VLOOKUP($E308,'5.1 Budget'!$A$4:$G$729,3,0)</f>
        <v>0</v>
      </c>
      <c r="R308" s="462">
        <f>VLOOKUP($E308,'5.1 Budget'!$A$4:$G$729,4,0)</f>
        <v>0</v>
      </c>
      <c r="S308" s="462">
        <f>VLOOKUP($E308,'5.1 Budget'!$A$4:$G$729,5,0)</f>
        <v>0</v>
      </c>
      <c r="T308" s="462">
        <f>VLOOKUP($E308,'5.1 Budget'!$A$4:$G$729,6,0)</f>
        <v>0</v>
      </c>
      <c r="U308" s="462">
        <f>VLOOKUP($E308,'5.1 Budget'!$A$4:$G$729,7,0)</f>
        <v>0</v>
      </c>
      <c r="V308" s="462">
        <f t="shared" si="5"/>
        <v>0</v>
      </c>
    </row>
    <row r="309" spans="1:22" ht="26.25" x14ac:dyDescent="0.25">
      <c r="A309" s="465">
        <v>2</v>
      </c>
      <c r="B309" s="12" t="s">
        <v>140</v>
      </c>
      <c r="C309" s="12" t="s">
        <v>144</v>
      </c>
      <c r="D309" s="12" t="s">
        <v>43</v>
      </c>
      <c r="E309" s="12" t="s">
        <v>917</v>
      </c>
      <c r="F309" s="469" t="str">
        <f>VLOOKUP(E309,'5. Consolidation'!$E$3:$F$715,2,0)</f>
        <v>Etablir un inventaire des ouvrages et des piézomètres dont le permis d’environnement est échu ou non autorisés sur le territoire bruxellois et contraindre leur rebouchage ou le cas échéant l’intégration dans un programme de surveillance</v>
      </c>
      <c r="G309" s="12"/>
      <c r="H309" s="12"/>
      <c r="I309" s="12"/>
      <c r="J309" s="12"/>
      <c r="K309" s="12"/>
      <c r="L309" s="12"/>
      <c r="M309" s="12"/>
      <c r="N309" s="459">
        <v>2025</v>
      </c>
      <c r="O309" s="12"/>
      <c r="P309" s="462">
        <f>VLOOKUP($E309,'5.1 Budget'!$A$4:$G$729,2,0)</f>
        <v>0</v>
      </c>
      <c r="Q309" s="462">
        <f>VLOOKUP($E309,'5.1 Budget'!$A$4:$G$729,3,0)</f>
        <v>0</v>
      </c>
      <c r="R309" s="462">
        <f>VLOOKUP($E309,'5.1 Budget'!$A$4:$G$729,4,0)</f>
        <v>0</v>
      </c>
      <c r="S309" s="462">
        <f>VLOOKUP($E309,'5.1 Budget'!$A$4:$G$729,5,0)</f>
        <v>50000</v>
      </c>
      <c r="T309" s="462">
        <f>VLOOKUP($E309,'5.1 Budget'!$A$4:$G$729,6,0)</f>
        <v>0</v>
      </c>
      <c r="U309" s="462">
        <f>VLOOKUP($E309,'5.1 Budget'!$A$4:$G$729,7,0)</f>
        <v>0</v>
      </c>
      <c r="V309" s="462">
        <f t="shared" si="5"/>
        <v>50000</v>
      </c>
    </row>
    <row r="310" spans="1:22" ht="26.25" x14ac:dyDescent="0.25">
      <c r="A310" s="465">
        <v>2</v>
      </c>
      <c r="B310" s="12" t="s">
        <v>140</v>
      </c>
      <c r="C310" s="12" t="s">
        <v>144</v>
      </c>
      <c r="D310" s="12" t="s">
        <v>43</v>
      </c>
      <c r="E310" s="12" t="s">
        <v>918</v>
      </c>
      <c r="F310" s="469" t="str">
        <f>VLOOKUP(E310,'5. Consolidation'!$E$3:$F$715,2,0)</f>
        <v>Évaluer les incidences particulièrement pour la réinjection d’eau utilisée à des fins géothermiques au sein d’une même masse d’eau</v>
      </c>
      <c r="G310" s="12"/>
      <c r="H310" s="12"/>
      <c r="I310" s="12"/>
      <c r="J310" s="12"/>
      <c r="K310" s="12"/>
      <c r="L310" s="12"/>
      <c r="M310" s="12"/>
      <c r="N310" s="459">
        <v>2025</v>
      </c>
      <c r="O310" s="12"/>
      <c r="P310" s="462">
        <f>VLOOKUP($E310,'5.1 Budget'!$A$4:$G$729,2,0)</f>
        <v>0</v>
      </c>
      <c r="Q310" s="462">
        <f>VLOOKUP($E310,'5.1 Budget'!$A$4:$G$729,3,0)</f>
        <v>0</v>
      </c>
      <c r="R310" s="462">
        <f>VLOOKUP($E310,'5.1 Budget'!$A$4:$G$729,4,0)</f>
        <v>0</v>
      </c>
      <c r="S310" s="462">
        <f>VLOOKUP($E310,'5.1 Budget'!$A$4:$G$729,5,0)</f>
        <v>50000</v>
      </c>
      <c r="T310" s="462">
        <f>VLOOKUP($E310,'5.1 Budget'!$A$4:$G$729,6,0)</f>
        <v>0</v>
      </c>
      <c r="U310" s="462">
        <f>VLOOKUP($E310,'5.1 Budget'!$A$4:$G$729,7,0)</f>
        <v>0</v>
      </c>
      <c r="V310" s="462">
        <f t="shared" si="5"/>
        <v>50000</v>
      </c>
    </row>
    <row r="311" spans="1:22" x14ac:dyDescent="0.25">
      <c r="A311" s="465">
        <v>2</v>
      </c>
      <c r="B311" s="12" t="s">
        <v>140</v>
      </c>
      <c r="C311" s="12" t="s">
        <v>144</v>
      </c>
      <c r="D311" s="12" t="s">
        <v>44</v>
      </c>
      <c r="E311" s="12" t="s">
        <v>920</v>
      </c>
      <c r="F311" s="469" t="str">
        <f>VLOOKUP(E311,'5. Consolidation'!$E$3:$F$715,2,0)</f>
        <v>Poursuivre la gestion et l’assainissement des sols pollués</v>
      </c>
      <c r="G311" s="12"/>
      <c r="H311" s="12"/>
      <c r="I311" s="12"/>
      <c r="J311" s="12"/>
      <c r="K311" s="12"/>
      <c r="L311" s="12"/>
      <c r="M311" s="12"/>
      <c r="N311" s="12"/>
      <c r="O311" s="12"/>
      <c r="P311" s="462">
        <f>VLOOKUP($E311,'5.1 Budget'!$A$4:$G$729,2,0)</f>
        <v>0</v>
      </c>
      <c r="Q311" s="462">
        <f>VLOOKUP($E311,'5.1 Budget'!$A$4:$G$729,3,0)</f>
        <v>0</v>
      </c>
      <c r="R311" s="462">
        <f>VLOOKUP($E311,'5.1 Budget'!$A$4:$G$729,4,0)</f>
        <v>0</v>
      </c>
      <c r="S311" s="462">
        <f>VLOOKUP($E311,'5.1 Budget'!$A$4:$G$729,5,0)</f>
        <v>0</v>
      </c>
      <c r="T311" s="462">
        <f>VLOOKUP($E311,'5.1 Budget'!$A$4:$G$729,6,0)</f>
        <v>0</v>
      </c>
      <c r="U311" s="462">
        <f>VLOOKUP($E311,'5.1 Budget'!$A$4:$G$729,7,0)</f>
        <v>0</v>
      </c>
      <c r="V311" s="462">
        <f t="shared" si="5"/>
        <v>0</v>
      </c>
    </row>
    <row r="312" spans="1:22" ht="26.25" x14ac:dyDescent="0.25">
      <c r="A312" s="465">
        <v>2</v>
      </c>
      <c r="B312" s="12" t="s">
        <v>140</v>
      </c>
      <c r="C312" s="12" t="s">
        <v>144</v>
      </c>
      <c r="D312" s="12" t="s">
        <v>44</v>
      </c>
      <c r="E312" s="12" t="s">
        <v>922</v>
      </c>
      <c r="F312" s="469" t="str">
        <f>VLOOKUP(E312,'5. Consolidation'!$E$3:$F$715,2,0)</f>
        <v>Assurer un contrôle approprié des piézomètres mis en place lors des études de reconnaissance de l’état des sols et suivi de leur assainissement ; imposer et contrôler en fin de procédure le rebouchage des piézomètres (cf M 2.7)</v>
      </c>
      <c r="G312" s="12"/>
      <c r="H312" s="12"/>
      <c r="I312" s="12"/>
      <c r="J312" s="12"/>
      <c r="K312" s="12"/>
      <c r="L312" s="12"/>
      <c r="M312" s="12"/>
      <c r="N312" s="12"/>
      <c r="O312" s="12"/>
      <c r="P312" s="462">
        <f>VLOOKUP($E312,'5.1 Budget'!$A$4:$G$729,2,0)</f>
        <v>0</v>
      </c>
      <c r="Q312" s="462">
        <f>VLOOKUP($E312,'5.1 Budget'!$A$4:$G$729,3,0)</f>
        <v>0</v>
      </c>
      <c r="R312" s="462">
        <f>VLOOKUP($E312,'5.1 Budget'!$A$4:$G$729,4,0)</f>
        <v>0</v>
      </c>
      <c r="S312" s="462">
        <f>VLOOKUP($E312,'5.1 Budget'!$A$4:$G$729,5,0)</f>
        <v>0</v>
      </c>
      <c r="T312" s="462">
        <f>VLOOKUP($E312,'5.1 Budget'!$A$4:$G$729,6,0)</f>
        <v>0</v>
      </c>
      <c r="U312" s="462">
        <f>VLOOKUP($E312,'5.1 Budget'!$A$4:$G$729,7,0)</f>
        <v>0</v>
      </c>
      <c r="V312" s="462">
        <f t="shared" si="5"/>
        <v>0</v>
      </c>
    </row>
    <row r="313" spans="1:22" ht="26.25" x14ac:dyDescent="0.25">
      <c r="A313" s="465">
        <v>2</v>
      </c>
      <c r="B313" s="12" t="s">
        <v>140</v>
      </c>
      <c r="C313" s="12" t="s">
        <v>144</v>
      </c>
      <c r="D313" s="12" t="s">
        <v>44</v>
      </c>
      <c r="E313" s="12" t="s">
        <v>921</v>
      </c>
      <c r="F313" s="469" t="str">
        <f>VLOOKUP(E313,'5. Consolidation'!$E$3:$F$715,2,0)</f>
        <v>Evaluer la pertinence de revoir les normes d’intervention de façon à l’adapter aux paramètres problématiques pour les masses d’eau souterraines, en lien avec la DCE</v>
      </c>
      <c r="G313" s="12"/>
      <c r="H313" s="12"/>
      <c r="I313" s="12"/>
      <c r="J313" s="12"/>
      <c r="K313" s="12"/>
      <c r="L313" s="12"/>
      <c r="M313" s="12"/>
      <c r="N313" s="12"/>
      <c r="O313" s="12"/>
      <c r="P313" s="462">
        <f>VLOOKUP($E313,'5.1 Budget'!$A$4:$G$729,2,0)</f>
        <v>0</v>
      </c>
      <c r="Q313" s="462">
        <f>VLOOKUP($E313,'5.1 Budget'!$A$4:$G$729,3,0)</f>
        <v>0</v>
      </c>
      <c r="R313" s="462">
        <f>VLOOKUP($E313,'5.1 Budget'!$A$4:$G$729,4,0)</f>
        <v>0</v>
      </c>
      <c r="S313" s="462">
        <f>VLOOKUP($E313,'5.1 Budget'!$A$4:$G$729,5,0)</f>
        <v>0</v>
      </c>
      <c r="T313" s="462">
        <f>VLOOKUP($E313,'5.1 Budget'!$A$4:$G$729,6,0)</f>
        <v>0</v>
      </c>
      <c r="U313" s="462">
        <f>VLOOKUP($E313,'5.1 Budget'!$A$4:$G$729,7,0)</f>
        <v>0</v>
      </c>
      <c r="V313" s="462">
        <f t="shared" si="5"/>
        <v>0</v>
      </c>
    </row>
    <row r="314" spans="1:22" ht="26.25" x14ac:dyDescent="0.25">
      <c r="A314" s="465">
        <v>2</v>
      </c>
      <c r="B314" s="12" t="s">
        <v>140</v>
      </c>
      <c r="C314" s="12" t="s">
        <v>144</v>
      </c>
      <c r="D314" s="12" t="s">
        <v>45</v>
      </c>
      <c r="E314" s="12" t="s">
        <v>923</v>
      </c>
      <c r="F314" s="469" t="str">
        <f>VLOOKUP(E314,'5. Consolidation'!$E$3:$F$715,2,0)</f>
        <v>Inventorier les activités critiques autour des zones de protection de captages d’eau, grader les risques, et procéder à des aménagements spécifiques pour les contrer</v>
      </c>
      <c r="G314" s="12"/>
      <c r="H314" s="12"/>
      <c r="I314" s="12"/>
      <c r="J314" s="12"/>
      <c r="K314" s="12"/>
      <c r="L314" s="12"/>
      <c r="M314" s="12"/>
      <c r="N314" s="12"/>
      <c r="O314" s="12"/>
      <c r="P314" s="462">
        <f>VLOOKUP($E314,'5.1 Budget'!$A$4:$G$729,2,0)</f>
        <v>0</v>
      </c>
      <c r="Q314" s="462">
        <f>VLOOKUP($E314,'5.1 Budget'!$A$4:$G$729,3,0)</f>
        <v>0</v>
      </c>
      <c r="R314" s="462">
        <f>VLOOKUP($E314,'5.1 Budget'!$A$4:$G$729,4,0)</f>
        <v>0</v>
      </c>
      <c r="S314" s="462">
        <f>VLOOKUP($E314,'5.1 Budget'!$A$4:$G$729,5,0)</f>
        <v>0</v>
      </c>
      <c r="T314" s="462">
        <f>VLOOKUP($E314,'5.1 Budget'!$A$4:$G$729,6,0)</f>
        <v>0</v>
      </c>
      <c r="U314" s="462">
        <f>VLOOKUP($E314,'5.1 Budget'!$A$4:$G$729,7,0)</f>
        <v>0</v>
      </c>
      <c r="V314" s="462">
        <f t="shared" si="5"/>
        <v>0</v>
      </c>
    </row>
    <row r="315" spans="1:22" x14ac:dyDescent="0.25">
      <c r="A315" s="465">
        <v>2</v>
      </c>
      <c r="B315" s="12" t="s">
        <v>140</v>
      </c>
      <c r="C315" s="12" t="s">
        <v>144</v>
      </c>
      <c r="D315" s="12" t="s">
        <v>45</v>
      </c>
      <c r="E315" s="12" t="s">
        <v>924</v>
      </c>
      <c r="F315" s="469" t="str">
        <f>VLOOKUP(E315,'5. Consolidation'!$E$3:$F$715,2,0)</f>
        <v>Renforcer les conditions d’exploiter des permis d’environnement proches de points critiques</v>
      </c>
      <c r="G315" s="12"/>
      <c r="H315" s="12"/>
      <c r="I315" s="12"/>
      <c r="J315" s="12"/>
      <c r="K315" s="12"/>
      <c r="L315" s="12"/>
      <c r="M315" s="12"/>
      <c r="N315" s="12"/>
      <c r="O315" s="12"/>
      <c r="P315" s="462">
        <f>VLOOKUP($E315,'5.1 Budget'!$A$4:$G$729,2,0)</f>
        <v>0</v>
      </c>
      <c r="Q315" s="462">
        <f>VLOOKUP($E315,'5.1 Budget'!$A$4:$G$729,3,0)</f>
        <v>0</v>
      </c>
      <c r="R315" s="462">
        <f>VLOOKUP($E315,'5.1 Budget'!$A$4:$G$729,4,0)</f>
        <v>0</v>
      </c>
      <c r="S315" s="462">
        <f>VLOOKUP($E315,'5.1 Budget'!$A$4:$G$729,5,0)</f>
        <v>0</v>
      </c>
      <c r="T315" s="462">
        <f>VLOOKUP($E315,'5.1 Budget'!$A$4:$G$729,6,0)</f>
        <v>0</v>
      </c>
      <c r="U315" s="462">
        <f>VLOOKUP($E315,'5.1 Budget'!$A$4:$G$729,7,0)</f>
        <v>0</v>
      </c>
      <c r="V315" s="462">
        <f t="shared" si="5"/>
        <v>0</v>
      </c>
    </row>
    <row r="316" spans="1:22" x14ac:dyDescent="0.25">
      <c r="A316" s="465">
        <v>2</v>
      </c>
      <c r="B316" s="12" t="s">
        <v>140</v>
      </c>
      <c r="C316" s="12" t="s">
        <v>144</v>
      </c>
      <c r="D316" s="12" t="s">
        <v>45</v>
      </c>
      <c r="E316" s="12" t="s">
        <v>925</v>
      </c>
      <c r="F316" s="469" t="str">
        <f>VLOOKUP(E316,'5. Consolidation'!$E$3:$F$715,2,0)</f>
        <v>Contrôler la mise en place des conditions d’exploitation renforcées dans les permis environnement</v>
      </c>
      <c r="G316" s="12"/>
      <c r="H316" s="12"/>
      <c r="I316" s="12"/>
      <c r="J316" s="12"/>
      <c r="K316" s="12"/>
      <c r="L316" s="12"/>
      <c r="M316" s="12"/>
      <c r="N316" s="12"/>
      <c r="O316" s="12"/>
      <c r="P316" s="462">
        <f>VLOOKUP($E316,'5.1 Budget'!$A$4:$G$729,2,0)</f>
        <v>0</v>
      </c>
      <c r="Q316" s="462">
        <f>VLOOKUP($E316,'5.1 Budget'!$A$4:$G$729,3,0)</f>
        <v>0</v>
      </c>
      <c r="R316" s="462">
        <f>VLOOKUP($E316,'5.1 Budget'!$A$4:$G$729,4,0)</f>
        <v>0</v>
      </c>
      <c r="S316" s="462">
        <f>VLOOKUP($E316,'5.1 Budget'!$A$4:$G$729,5,0)</f>
        <v>0</v>
      </c>
      <c r="T316" s="462">
        <f>VLOOKUP($E316,'5.1 Budget'!$A$4:$G$729,6,0)</f>
        <v>0</v>
      </c>
      <c r="U316" s="462">
        <f>VLOOKUP($E316,'5.1 Budget'!$A$4:$G$729,7,0)</f>
        <v>0</v>
      </c>
      <c r="V316" s="462">
        <f t="shared" si="5"/>
        <v>0</v>
      </c>
    </row>
    <row r="317" spans="1:22" x14ac:dyDescent="0.25">
      <c r="A317" s="465">
        <v>2</v>
      </c>
      <c r="B317" s="12" t="s">
        <v>140</v>
      </c>
      <c r="C317" s="12" t="s">
        <v>144</v>
      </c>
      <c r="D317" s="12" t="s">
        <v>45</v>
      </c>
      <c r="E317" s="12" t="s">
        <v>926</v>
      </c>
      <c r="F317" s="469" t="str">
        <f>VLOOKUP(E317,'5. Consolidation'!$E$3:$F$715,2,0)</f>
        <v>Développer un système de signalement de pollution accidentelle à usage de la population vers les acteurs concernés</v>
      </c>
      <c r="G317" s="12"/>
      <c r="H317" s="12"/>
      <c r="I317" s="12"/>
      <c r="J317" s="12"/>
      <c r="K317" s="12"/>
      <c r="L317" s="12"/>
      <c r="M317" s="12"/>
      <c r="N317" s="459">
        <v>2023</v>
      </c>
      <c r="O317" s="12"/>
      <c r="P317" s="462">
        <f>VLOOKUP($E317,'5.1 Budget'!$A$4:$G$729,2,0)</f>
        <v>0</v>
      </c>
      <c r="Q317" s="462">
        <f>VLOOKUP($E317,'5.1 Budget'!$A$4:$G$729,3,0)</f>
        <v>30000</v>
      </c>
      <c r="R317" s="462">
        <f>VLOOKUP($E317,'5.1 Budget'!$A$4:$G$729,4,0)</f>
        <v>0</v>
      </c>
      <c r="S317" s="462">
        <f>VLOOKUP($E317,'5.1 Budget'!$A$4:$G$729,5,0)</f>
        <v>0</v>
      </c>
      <c r="T317" s="462">
        <f>VLOOKUP($E317,'5.1 Budget'!$A$4:$G$729,6,0)</f>
        <v>0</v>
      </c>
      <c r="U317" s="462">
        <f>VLOOKUP($E317,'5.1 Budget'!$A$4:$G$729,7,0)</f>
        <v>0</v>
      </c>
      <c r="V317" s="462">
        <f t="shared" si="5"/>
        <v>30000</v>
      </c>
    </row>
    <row r="318" spans="1:22" x14ac:dyDescent="0.25">
      <c r="A318" s="465">
        <v>2</v>
      </c>
      <c r="B318" s="12" t="s">
        <v>140</v>
      </c>
      <c r="C318" s="12" t="s">
        <v>144</v>
      </c>
      <c r="D318" s="12" t="s">
        <v>45</v>
      </c>
      <c r="E318" s="12" t="s">
        <v>927</v>
      </c>
      <c r="F318" s="469" t="str">
        <f>VLOOKUP(E318,'5. Consolidation'!$E$3:$F$715,2,0)</f>
        <v>Mettre en place un plan d’intervention d’urgence de gestion de pollution avec tous les acteurs concernés</v>
      </c>
      <c r="G318" s="12"/>
      <c r="H318" s="12"/>
      <c r="I318" s="12"/>
      <c r="J318" s="12"/>
      <c r="K318" s="12"/>
      <c r="L318" s="12"/>
      <c r="M318" s="12"/>
      <c r="N318" s="12"/>
      <c r="O318" s="12"/>
      <c r="P318" s="462">
        <f>VLOOKUP($E318,'5.1 Budget'!$A$4:$G$729,2,0)</f>
        <v>0</v>
      </c>
      <c r="Q318" s="462">
        <f>VLOOKUP($E318,'5.1 Budget'!$A$4:$G$729,3,0)</f>
        <v>0</v>
      </c>
      <c r="R318" s="462">
        <f>VLOOKUP($E318,'5.1 Budget'!$A$4:$G$729,4,0)</f>
        <v>0</v>
      </c>
      <c r="S318" s="462">
        <f>VLOOKUP($E318,'5.1 Budget'!$A$4:$G$729,5,0)</f>
        <v>0</v>
      </c>
      <c r="T318" s="462">
        <f>VLOOKUP($E318,'5.1 Budget'!$A$4:$G$729,6,0)</f>
        <v>0</v>
      </c>
      <c r="U318" s="462">
        <f>VLOOKUP($E318,'5.1 Budget'!$A$4:$G$729,7,0)</f>
        <v>0</v>
      </c>
      <c r="V318" s="462">
        <f t="shared" si="5"/>
        <v>0</v>
      </c>
    </row>
    <row r="319" spans="1:22" x14ac:dyDescent="0.25">
      <c r="A319" s="465">
        <v>2</v>
      </c>
      <c r="B319" s="12" t="s">
        <v>145</v>
      </c>
      <c r="C319" s="12" t="s">
        <v>146</v>
      </c>
      <c r="D319" s="12" t="s">
        <v>46</v>
      </c>
      <c r="E319" s="12" t="s">
        <v>868</v>
      </c>
      <c r="F319" s="469" t="str">
        <f>VLOOKUP(E319,'5. Consolidation'!$E$3:$F$715,2,0)</f>
        <v>Poursuivre la surveillance quantitative (piézomètres et sources pérennes)</v>
      </c>
      <c r="G319" s="12"/>
      <c r="H319" s="12"/>
      <c r="I319" s="12"/>
      <c r="J319" s="12"/>
      <c r="K319" s="12"/>
      <c r="L319" s="12"/>
      <c r="M319" s="12"/>
      <c r="N319" s="12"/>
      <c r="O319" s="12"/>
      <c r="P319" s="462">
        <f>VLOOKUP($E319,'5.1 Budget'!$A$4:$G$729,2,0)</f>
        <v>0</v>
      </c>
      <c r="Q319" s="462">
        <f>VLOOKUP($E319,'5.1 Budget'!$A$4:$G$729,3,0)</f>
        <v>0</v>
      </c>
      <c r="R319" s="462">
        <f>VLOOKUP($E319,'5.1 Budget'!$A$4:$G$729,4,0)</f>
        <v>0</v>
      </c>
      <c r="S319" s="462">
        <f>VLOOKUP($E319,'5.1 Budget'!$A$4:$G$729,5,0)</f>
        <v>0</v>
      </c>
      <c r="T319" s="462">
        <f>VLOOKUP($E319,'5.1 Budget'!$A$4:$G$729,6,0)</f>
        <v>0</v>
      </c>
      <c r="U319" s="462">
        <f>VLOOKUP($E319,'5.1 Budget'!$A$4:$G$729,7,0)</f>
        <v>0</v>
      </c>
      <c r="V319" s="462">
        <f t="shared" si="5"/>
        <v>0</v>
      </c>
    </row>
    <row r="320" spans="1:22" x14ac:dyDescent="0.25">
      <c r="A320" s="465">
        <v>2</v>
      </c>
      <c r="B320" s="12" t="s">
        <v>145</v>
      </c>
      <c r="C320" s="12" t="s">
        <v>146</v>
      </c>
      <c r="D320" s="12" t="s">
        <v>46</v>
      </c>
      <c r="E320" s="12" t="s">
        <v>869</v>
      </c>
      <c r="F320" s="469" t="str">
        <f>VLOOKUP(E320,'5. Consolidation'!$E$3:$F$715,2,0)</f>
        <v>Améliorer la surveillance quantitative, en intégrant de nouveaux sites de surveillance piézométriques au réseau existant</v>
      </c>
      <c r="G320" s="12"/>
      <c r="H320" s="12"/>
      <c r="I320" s="12"/>
      <c r="J320" s="12"/>
      <c r="K320" s="12"/>
      <c r="L320" s="12"/>
      <c r="M320" s="12"/>
      <c r="N320" s="459">
        <v>2023</v>
      </c>
      <c r="O320" s="12"/>
      <c r="P320" s="462">
        <f>VLOOKUP($E320,'5.1 Budget'!$A$4:$G$729,2,0)</f>
        <v>0</v>
      </c>
      <c r="Q320" s="462">
        <f>VLOOKUP($E320,'5.1 Budget'!$A$4:$G$729,3,0)</f>
        <v>150000</v>
      </c>
      <c r="R320" s="462">
        <f>VLOOKUP($E320,'5.1 Budget'!$A$4:$G$729,4,0)</f>
        <v>0</v>
      </c>
      <c r="S320" s="462">
        <f>VLOOKUP($E320,'5.1 Budget'!$A$4:$G$729,5,0)</f>
        <v>0</v>
      </c>
      <c r="T320" s="462">
        <f>VLOOKUP($E320,'5.1 Budget'!$A$4:$G$729,6,0)</f>
        <v>0</v>
      </c>
      <c r="U320" s="462">
        <f>VLOOKUP($E320,'5.1 Budget'!$A$4:$G$729,7,0)</f>
        <v>0</v>
      </c>
      <c r="V320" s="462">
        <f t="shared" si="5"/>
        <v>150000</v>
      </c>
    </row>
    <row r="321" spans="1:22" x14ac:dyDescent="0.25">
      <c r="A321" s="465">
        <v>2</v>
      </c>
      <c r="B321" s="12" t="s">
        <v>145</v>
      </c>
      <c r="C321" s="12" t="s">
        <v>146</v>
      </c>
      <c r="D321" s="12" t="s">
        <v>46</v>
      </c>
      <c r="E321" s="12" t="s">
        <v>870</v>
      </c>
      <c r="F321" s="469" t="str">
        <f>VLOOKUP(E321,'5. Consolidation'!$E$3:$F$715,2,0)</f>
        <v>Assurer et renforcer la pérennité des sites de surveillance</v>
      </c>
      <c r="G321" s="12"/>
      <c r="H321" s="12"/>
      <c r="I321" s="12"/>
      <c r="J321" s="12"/>
      <c r="K321" s="12"/>
      <c r="L321" s="12"/>
      <c r="M321" s="12"/>
      <c r="N321" s="12"/>
      <c r="O321" s="12"/>
      <c r="P321" s="462">
        <f>VLOOKUP($E321,'5.1 Budget'!$A$4:$G$729,2,0)</f>
        <v>0</v>
      </c>
      <c r="Q321" s="462">
        <f>VLOOKUP($E321,'5.1 Budget'!$A$4:$G$729,3,0)</f>
        <v>0</v>
      </c>
      <c r="R321" s="462">
        <f>VLOOKUP($E321,'5.1 Budget'!$A$4:$G$729,4,0)</f>
        <v>0</v>
      </c>
      <c r="S321" s="462">
        <f>VLOOKUP($E321,'5.1 Budget'!$A$4:$G$729,5,0)</f>
        <v>0</v>
      </c>
      <c r="T321" s="462">
        <f>VLOOKUP($E321,'5.1 Budget'!$A$4:$G$729,6,0)</f>
        <v>0</v>
      </c>
      <c r="U321" s="462">
        <f>VLOOKUP($E321,'5.1 Budget'!$A$4:$G$729,7,0)</f>
        <v>0</v>
      </c>
      <c r="V321" s="462">
        <f t="shared" si="5"/>
        <v>0</v>
      </c>
    </row>
    <row r="322" spans="1:22" x14ac:dyDescent="0.25">
      <c r="A322" s="465">
        <v>2</v>
      </c>
      <c r="B322" s="12" t="s">
        <v>145</v>
      </c>
      <c r="C322" s="12" t="s">
        <v>146</v>
      </c>
      <c r="D322" s="12" t="s">
        <v>47</v>
      </c>
      <c r="E322" s="12" t="s">
        <v>871</v>
      </c>
      <c r="F322" s="469" t="str">
        <f>VLOOKUP(E322,'5. Consolidation'!$E$3:$F$715,2,0)</f>
        <v>Upgrade BrugeoTool (v2+)</v>
      </c>
      <c r="G322" s="12"/>
      <c r="H322" s="12"/>
      <c r="I322" s="12"/>
      <c r="J322" s="12"/>
      <c r="K322" s="12"/>
      <c r="L322" s="12"/>
      <c r="M322" s="12"/>
      <c r="N322" s="459">
        <v>2022</v>
      </c>
      <c r="O322" s="12"/>
      <c r="P322" s="462">
        <f>VLOOKUP($E322,'5.1 Budget'!$A$4:$G$729,2,0)</f>
        <v>30000</v>
      </c>
      <c r="Q322" s="462">
        <f>VLOOKUP($E322,'5.1 Budget'!$A$4:$G$729,3,0)</f>
        <v>0</v>
      </c>
      <c r="R322" s="462">
        <f>VLOOKUP($E322,'5.1 Budget'!$A$4:$G$729,4,0)</f>
        <v>0</v>
      </c>
      <c r="S322" s="462">
        <f>VLOOKUP($E322,'5.1 Budget'!$A$4:$G$729,5,0)</f>
        <v>30000</v>
      </c>
      <c r="T322" s="462">
        <f>VLOOKUP($E322,'5.1 Budget'!$A$4:$G$729,6,0)</f>
        <v>0</v>
      </c>
      <c r="U322" s="462">
        <f>VLOOKUP($E322,'5.1 Budget'!$A$4:$G$729,7,0)</f>
        <v>0</v>
      </c>
      <c r="V322" s="462">
        <f t="shared" si="5"/>
        <v>60000</v>
      </c>
    </row>
    <row r="323" spans="1:22" x14ac:dyDescent="0.25">
      <c r="A323" s="465">
        <v>2</v>
      </c>
      <c r="B323" s="12" t="s">
        <v>145</v>
      </c>
      <c r="C323" s="12" t="s">
        <v>146</v>
      </c>
      <c r="D323" s="12" t="s">
        <v>47</v>
      </c>
      <c r="E323" s="12" t="s">
        <v>872</v>
      </c>
      <c r="F323" s="469" t="str">
        <f>VLOOKUP(E323,'5. Consolidation'!$E$3:$F$715,2,0)</f>
        <v>Upgrade Brustrati3D (v2+)</v>
      </c>
      <c r="G323" s="12"/>
      <c r="H323" s="12"/>
      <c r="I323" s="12"/>
      <c r="J323" s="12"/>
      <c r="K323" s="12"/>
      <c r="L323" s="12"/>
      <c r="M323" s="12"/>
      <c r="N323" s="459">
        <v>2022</v>
      </c>
      <c r="O323" s="12"/>
      <c r="P323" s="462">
        <f>VLOOKUP($E323,'5.1 Budget'!$A$4:$G$729,2,0)</f>
        <v>50000</v>
      </c>
      <c r="Q323" s="462">
        <f>VLOOKUP($E323,'5.1 Budget'!$A$4:$G$729,3,0)</f>
        <v>0</v>
      </c>
      <c r="R323" s="462">
        <f>VLOOKUP($E323,'5.1 Budget'!$A$4:$G$729,4,0)</f>
        <v>0</v>
      </c>
      <c r="S323" s="462">
        <f>VLOOKUP($E323,'5.1 Budget'!$A$4:$G$729,5,0)</f>
        <v>50000</v>
      </c>
      <c r="T323" s="462">
        <f>VLOOKUP($E323,'5.1 Budget'!$A$4:$G$729,6,0)</f>
        <v>0</v>
      </c>
      <c r="U323" s="462">
        <f>VLOOKUP($E323,'5.1 Budget'!$A$4:$G$729,7,0)</f>
        <v>0</v>
      </c>
      <c r="V323" s="462">
        <f t="shared" ref="V323:V386" si="6">SUM(P323:U323)</f>
        <v>100000</v>
      </c>
    </row>
    <row r="324" spans="1:22" x14ac:dyDescent="0.25">
      <c r="A324" s="465">
        <v>2</v>
      </c>
      <c r="B324" s="12" t="s">
        <v>145</v>
      </c>
      <c r="C324" s="12" t="s">
        <v>146</v>
      </c>
      <c r="D324" s="12" t="s">
        <v>47</v>
      </c>
      <c r="E324" s="12" t="s">
        <v>873</v>
      </c>
      <c r="F324" s="469" t="str">
        <f>VLOOKUP(E324,'5. Consolidation'!$E$3:$F$715,2,0)</f>
        <v>Upgrade BPSM (v2+)</v>
      </c>
      <c r="G324" s="12"/>
      <c r="H324" s="12"/>
      <c r="I324" s="12"/>
      <c r="J324" s="12"/>
      <c r="K324" s="12"/>
      <c r="L324" s="12"/>
      <c r="M324" s="12"/>
      <c r="N324" s="12"/>
      <c r="O324" s="12"/>
      <c r="P324" s="462">
        <f>VLOOKUP($E324,'5.1 Budget'!$A$4:$G$729,2,0)</f>
        <v>0</v>
      </c>
      <c r="Q324" s="462">
        <f>VLOOKUP($E324,'5.1 Budget'!$A$4:$G$729,3,0)</f>
        <v>0</v>
      </c>
      <c r="R324" s="462">
        <f>VLOOKUP($E324,'5.1 Budget'!$A$4:$G$729,4,0)</f>
        <v>0</v>
      </c>
      <c r="S324" s="462">
        <f>VLOOKUP($E324,'5.1 Budget'!$A$4:$G$729,5,0)</f>
        <v>0</v>
      </c>
      <c r="T324" s="462">
        <f>VLOOKUP($E324,'5.1 Budget'!$A$4:$G$729,6,0)</f>
        <v>0</v>
      </c>
      <c r="U324" s="462">
        <f>VLOOKUP($E324,'5.1 Budget'!$A$4:$G$729,7,0)</f>
        <v>0</v>
      </c>
      <c r="V324" s="462">
        <f t="shared" si="6"/>
        <v>0</v>
      </c>
    </row>
    <row r="325" spans="1:22" x14ac:dyDescent="0.25">
      <c r="A325" s="465">
        <v>2</v>
      </c>
      <c r="B325" s="12" t="s">
        <v>145</v>
      </c>
      <c r="C325" s="12" t="s">
        <v>146</v>
      </c>
      <c r="D325" s="12" t="s">
        <v>47</v>
      </c>
      <c r="E325" s="12" t="s">
        <v>874</v>
      </c>
      <c r="F325" s="469" t="str">
        <f>VLOOKUP(E325,'5. Consolidation'!$E$3:$F$715,2,0)</f>
        <v>Upgrade Hydroland (v2+)</v>
      </c>
      <c r="G325" s="12"/>
      <c r="H325" s="12"/>
      <c r="I325" s="12"/>
      <c r="J325" s="12"/>
      <c r="K325" s="12"/>
      <c r="L325" s="12"/>
      <c r="M325" s="12"/>
      <c r="N325" s="12"/>
      <c r="O325" s="12"/>
      <c r="P325" s="462">
        <f>VLOOKUP($E325,'5.1 Budget'!$A$4:$G$729,2,0)</f>
        <v>0</v>
      </c>
      <c r="Q325" s="462">
        <f>VLOOKUP($E325,'5.1 Budget'!$A$4:$G$729,3,0)</f>
        <v>0</v>
      </c>
      <c r="R325" s="462">
        <f>VLOOKUP($E325,'5.1 Budget'!$A$4:$G$729,4,0)</f>
        <v>0</v>
      </c>
      <c r="S325" s="462">
        <f>VLOOKUP($E325,'5.1 Budget'!$A$4:$G$729,5,0)</f>
        <v>0</v>
      </c>
      <c r="T325" s="462">
        <f>VLOOKUP($E325,'5.1 Budget'!$A$4:$G$729,6,0)</f>
        <v>0</v>
      </c>
      <c r="U325" s="462">
        <f>VLOOKUP($E325,'5.1 Budget'!$A$4:$G$729,7,0)</f>
        <v>0</v>
      </c>
      <c r="V325" s="462">
        <f t="shared" si="6"/>
        <v>0</v>
      </c>
    </row>
    <row r="326" spans="1:22" x14ac:dyDescent="0.25">
      <c r="A326" s="465">
        <v>2</v>
      </c>
      <c r="B326" s="12" t="s">
        <v>145</v>
      </c>
      <c r="C326" s="12" t="s">
        <v>146</v>
      </c>
      <c r="D326" s="12" t="s">
        <v>47</v>
      </c>
      <c r="E326" s="12" t="s">
        <v>875</v>
      </c>
      <c r="F326" s="469" t="str">
        <f>VLOOKUP(E326,'5. Consolidation'!$E$3:$F$715,2,0)</f>
        <v>Simulations prédictives prioritaires (BPSM, Hydroland)</v>
      </c>
      <c r="G326" s="12"/>
      <c r="H326" s="12"/>
      <c r="I326" s="12"/>
      <c r="J326" s="12"/>
      <c r="K326" s="12"/>
      <c r="L326" s="12"/>
      <c r="M326" s="12"/>
      <c r="N326" s="12"/>
      <c r="O326" s="12"/>
      <c r="P326" s="462">
        <f>VLOOKUP($E326,'5.1 Budget'!$A$4:$G$729,2,0)</f>
        <v>0</v>
      </c>
      <c r="Q326" s="462">
        <f>VLOOKUP($E326,'5.1 Budget'!$A$4:$G$729,3,0)</f>
        <v>0</v>
      </c>
      <c r="R326" s="462">
        <f>VLOOKUP($E326,'5.1 Budget'!$A$4:$G$729,4,0)</f>
        <v>0</v>
      </c>
      <c r="S326" s="462">
        <f>VLOOKUP($E326,'5.1 Budget'!$A$4:$G$729,5,0)</f>
        <v>0</v>
      </c>
      <c r="T326" s="462">
        <f>VLOOKUP($E326,'5.1 Budget'!$A$4:$G$729,6,0)</f>
        <v>0</v>
      </c>
      <c r="U326" s="462">
        <f>VLOOKUP($E326,'5.1 Budget'!$A$4:$G$729,7,0)</f>
        <v>0</v>
      </c>
      <c r="V326" s="462">
        <f t="shared" si="6"/>
        <v>0</v>
      </c>
    </row>
    <row r="327" spans="1:22" x14ac:dyDescent="0.25">
      <c r="A327" s="465">
        <v>2</v>
      </c>
      <c r="B327" s="12" t="s">
        <v>145</v>
      </c>
      <c r="C327" s="12" t="s">
        <v>146</v>
      </c>
      <c r="D327" s="12" t="s">
        <v>48</v>
      </c>
      <c r="E327" s="12" t="s">
        <v>876</v>
      </c>
      <c r="F327" s="469" t="str">
        <f>VLOOKUP(E327,'5. Consolidation'!$E$3:$F$715,2,0)</f>
        <v>Développer une stratégie de gestion des captages d’eau souterraine</v>
      </c>
      <c r="G327" s="12"/>
      <c r="H327" s="12"/>
      <c r="I327" s="12"/>
      <c r="J327" s="12"/>
      <c r="K327" s="12"/>
      <c r="L327" s="12"/>
      <c r="M327" s="12"/>
      <c r="N327" s="12"/>
      <c r="O327" s="12"/>
      <c r="P327" s="462">
        <f>VLOOKUP($E327,'5.1 Budget'!$A$4:$G$729,2,0)</f>
        <v>0</v>
      </c>
      <c r="Q327" s="462">
        <f>VLOOKUP($E327,'5.1 Budget'!$A$4:$G$729,3,0)</f>
        <v>0</v>
      </c>
      <c r="R327" s="462">
        <f>VLOOKUP($E327,'5.1 Budget'!$A$4:$G$729,4,0)</f>
        <v>0</v>
      </c>
      <c r="S327" s="462">
        <f>VLOOKUP($E327,'5.1 Budget'!$A$4:$G$729,5,0)</f>
        <v>0</v>
      </c>
      <c r="T327" s="462">
        <f>VLOOKUP($E327,'5.1 Budget'!$A$4:$G$729,6,0)</f>
        <v>0</v>
      </c>
      <c r="U327" s="462">
        <f>VLOOKUP($E327,'5.1 Budget'!$A$4:$G$729,7,0)</f>
        <v>0</v>
      </c>
      <c r="V327" s="462">
        <f t="shared" si="6"/>
        <v>0</v>
      </c>
    </row>
    <row r="328" spans="1:22" x14ac:dyDescent="0.25">
      <c r="A328" s="465">
        <v>2</v>
      </c>
      <c r="B328" s="12" t="s">
        <v>145</v>
      </c>
      <c r="C328" s="12" t="s">
        <v>146</v>
      </c>
      <c r="D328" s="12" t="s">
        <v>48</v>
      </c>
      <c r="E328" s="12" t="s">
        <v>877</v>
      </c>
      <c r="F328" s="469" t="str">
        <f>VLOOKUP(E328,'5. Consolidation'!$E$3:$F$715,2,0)</f>
        <v>Opérationnaliser cette stratégie dans le cadre des futures autorisations de captage et révision d’autorisation.</v>
      </c>
      <c r="G328" s="12"/>
      <c r="H328" s="12"/>
      <c r="I328" s="12"/>
      <c r="J328" s="12"/>
      <c r="K328" s="12"/>
      <c r="L328" s="12"/>
      <c r="M328" s="12"/>
      <c r="N328" s="12"/>
      <c r="O328" s="12"/>
      <c r="P328" s="462">
        <f>VLOOKUP($E328,'5.1 Budget'!$A$4:$G$729,2,0)</f>
        <v>0</v>
      </c>
      <c r="Q328" s="462">
        <f>VLOOKUP($E328,'5.1 Budget'!$A$4:$G$729,3,0)</f>
        <v>0</v>
      </c>
      <c r="R328" s="462">
        <f>VLOOKUP($E328,'5.1 Budget'!$A$4:$G$729,4,0)</f>
        <v>0</v>
      </c>
      <c r="S328" s="462">
        <f>VLOOKUP($E328,'5.1 Budget'!$A$4:$G$729,5,0)</f>
        <v>0</v>
      </c>
      <c r="T328" s="462">
        <f>VLOOKUP($E328,'5.1 Budget'!$A$4:$G$729,6,0)</f>
        <v>0</v>
      </c>
      <c r="U328" s="462">
        <f>VLOOKUP($E328,'5.1 Budget'!$A$4:$G$729,7,0)</f>
        <v>0</v>
      </c>
      <c r="V328" s="462">
        <f t="shared" si="6"/>
        <v>0</v>
      </c>
    </row>
    <row r="329" spans="1:22" ht="26.25" x14ac:dyDescent="0.25">
      <c r="A329" s="465">
        <v>2</v>
      </c>
      <c r="B329" s="12" t="s">
        <v>145</v>
      </c>
      <c r="C329" s="12" t="s">
        <v>146</v>
      </c>
      <c r="D329" s="12" t="s">
        <v>49</v>
      </c>
      <c r="E329" s="12" t="s">
        <v>878</v>
      </c>
      <c r="F329" s="469" t="str">
        <f>VLOOKUP(E329,'5. Consolidation'!$E$3:$F$715,2,0)</f>
        <v>Effectuer un recensement annuel de tous les captages permanents et temporaires existants et dresser un état des lieux des captages actifs, inactifs et hors service</v>
      </c>
      <c r="G329" s="12"/>
      <c r="H329" s="12"/>
      <c r="I329" s="12"/>
      <c r="J329" s="12"/>
      <c r="K329" s="12"/>
      <c r="L329" s="12"/>
      <c r="M329" s="12"/>
      <c r="N329" s="12"/>
      <c r="O329" s="12"/>
      <c r="P329" s="462">
        <f>VLOOKUP($E329,'5.1 Budget'!$A$4:$G$729,2,0)</f>
        <v>0</v>
      </c>
      <c r="Q329" s="462">
        <f>VLOOKUP($E329,'5.1 Budget'!$A$4:$G$729,3,0)</f>
        <v>0</v>
      </c>
      <c r="R329" s="462">
        <f>VLOOKUP($E329,'5.1 Budget'!$A$4:$G$729,4,0)</f>
        <v>0</v>
      </c>
      <c r="S329" s="462">
        <f>VLOOKUP($E329,'5.1 Budget'!$A$4:$G$729,5,0)</f>
        <v>0</v>
      </c>
      <c r="T329" s="462">
        <f>VLOOKUP($E329,'5.1 Budget'!$A$4:$G$729,6,0)</f>
        <v>0</v>
      </c>
      <c r="U329" s="462">
        <f>VLOOKUP($E329,'5.1 Budget'!$A$4:$G$729,7,0)</f>
        <v>0</v>
      </c>
      <c r="V329" s="462">
        <f t="shared" si="6"/>
        <v>0</v>
      </c>
    </row>
    <row r="330" spans="1:22" ht="26.25" x14ac:dyDescent="0.25">
      <c r="A330" s="465">
        <v>2</v>
      </c>
      <c r="B330" s="12" t="s">
        <v>145</v>
      </c>
      <c r="C330" s="12" t="s">
        <v>146</v>
      </c>
      <c r="D330" s="12" t="s">
        <v>49</v>
      </c>
      <c r="E330" s="12" t="s">
        <v>879</v>
      </c>
      <c r="F330" s="469" t="str">
        <f>VLOOKUP(E330,'5. Consolidation'!$E$3:$F$715,2,0)</f>
        <v>Tenir à jour la base de données reprenant l’ensemble des données technico-administratives relatives aux captages et à leur autorisation</v>
      </c>
      <c r="G330" s="12"/>
      <c r="H330" s="12"/>
      <c r="I330" s="12"/>
      <c r="J330" s="12"/>
      <c r="K330" s="12"/>
      <c r="L330" s="12"/>
      <c r="M330" s="12"/>
      <c r="N330" s="12"/>
      <c r="O330" s="12"/>
      <c r="P330" s="462">
        <f>VLOOKUP($E330,'5.1 Budget'!$A$4:$G$729,2,0)</f>
        <v>0</v>
      </c>
      <c r="Q330" s="462">
        <f>VLOOKUP($E330,'5.1 Budget'!$A$4:$G$729,3,0)</f>
        <v>0</v>
      </c>
      <c r="R330" s="462">
        <f>VLOOKUP($E330,'5.1 Budget'!$A$4:$G$729,4,0)</f>
        <v>0</v>
      </c>
      <c r="S330" s="462">
        <f>VLOOKUP($E330,'5.1 Budget'!$A$4:$G$729,5,0)</f>
        <v>0</v>
      </c>
      <c r="T330" s="462">
        <f>VLOOKUP($E330,'5.1 Budget'!$A$4:$G$729,6,0)</f>
        <v>0</v>
      </c>
      <c r="U330" s="462">
        <f>VLOOKUP($E330,'5.1 Budget'!$A$4:$G$729,7,0)</f>
        <v>0</v>
      </c>
      <c r="V330" s="462">
        <f t="shared" si="6"/>
        <v>0</v>
      </c>
    </row>
    <row r="331" spans="1:22" ht="39" x14ac:dyDescent="0.25">
      <c r="A331" s="465">
        <v>2</v>
      </c>
      <c r="B331" s="12" t="s">
        <v>145</v>
      </c>
      <c r="C331" s="12" t="s">
        <v>146</v>
      </c>
      <c r="D331" s="12" t="s">
        <v>49</v>
      </c>
      <c r="E331" s="12" t="s">
        <v>880</v>
      </c>
      <c r="F331" s="469" t="str">
        <f>VLOOKUP(E331,'5. Consolidation'!$E$3:$F$715,2,0)</f>
        <v>Evaluer l’application de l’arrêté du Gouvernement de la Région de Bruxelles-Capitale du 8 novembre 2018 règlementant les captages d’eau souterraine et les systèmes géothermiques en circuit ouvert quant à sa mise en œuvre et son efficacité, proposer un agrément des entreprises de forage et faire référence à des conditions de type BATNEEC, le cas échéant.</v>
      </c>
      <c r="G331" s="12"/>
      <c r="H331" s="12"/>
      <c r="I331" s="12"/>
      <c r="J331" s="12"/>
      <c r="K331" s="12"/>
      <c r="L331" s="12"/>
      <c r="M331" s="12"/>
      <c r="N331" s="12"/>
      <c r="O331" s="12"/>
      <c r="P331" s="462">
        <f>VLOOKUP($E331,'5.1 Budget'!$A$4:$G$729,2,0)</f>
        <v>0</v>
      </c>
      <c r="Q331" s="462">
        <f>VLOOKUP($E331,'5.1 Budget'!$A$4:$G$729,3,0)</f>
        <v>0</v>
      </c>
      <c r="R331" s="462">
        <f>VLOOKUP($E331,'5.1 Budget'!$A$4:$G$729,4,0)</f>
        <v>0</v>
      </c>
      <c r="S331" s="462">
        <f>VLOOKUP($E331,'5.1 Budget'!$A$4:$G$729,5,0)</f>
        <v>0</v>
      </c>
      <c r="T331" s="462">
        <f>VLOOKUP($E331,'5.1 Budget'!$A$4:$G$729,6,0)</f>
        <v>0</v>
      </c>
      <c r="U331" s="462">
        <f>VLOOKUP($E331,'5.1 Budget'!$A$4:$G$729,7,0)</f>
        <v>0</v>
      </c>
      <c r="V331" s="462">
        <f t="shared" si="6"/>
        <v>0</v>
      </c>
    </row>
    <row r="332" spans="1:22" x14ac:dyDescent="0.25">
      <c r="A332" s="465">
        <v>2</v>
      </c>
      <c r="B332" s="12" t="s">
        <v>145</v>
      </c>
      <c r="C332" s="12" t="s">
        <v>146</v>
      </c>
      <c r="D332" s="12" t="s">
        <v>49</v>
      </c>
      <c r="E332" s="12" t="s">
        <v>881</v>
      </c>
      <c r="F332" s="469" t="str">
        <f>VLOOKUP(E332,'5. Consolidation'!$E$3:$F$715,2,0)</f>
        <v>Assurer un contrôle spécifique des exploitants de captage, en particulier les captages temporaires (rabattements de nappe)</v>
      </c>
      <c r="G332" s="12"/>
      <c r="H332" s="12"/>
      <c r="I332" s="12"/>
      <c r="J332" s="12"/>
      <c r="K332" s="12"/>
      <c r="L332" s="12"/>
      <c r="M332" s="12"/>
      <c r="N332" s="12"/>
      <c r="O332" s="12"/>
      <c r="P332" s="462">
        <f>VLOOKUP($E332,'5.1 Budget'!$A$4:$G$729,2,0)</f>
        <v>0</v>
      </c>
      <c r="Q332" s="462">
        <f>VLOOKUP($E332,'5.1 Budget'!$A$4:$G$729,3,0)</f>
        <v>0</v>
      </c>
      <c r="R332" s="462">
        <f>VLOOKUP($E332,'5.1 Budget'!$A$4:$G$729,4,0)</f>
        <v>0</v>
      </c>
      <c r="S332" s="462">
        <f>VLOOKUP($E332,'5.1 Budget'!$A$4:$G$729,5,0)</f>
        <v>0</v>
      </c>
      <c r="T332" s="462">
        <f>VLOOKUP($E332,'5.1 Budget'!$A$4:$G$729,6,0)</f>
        <v>0</v>
      </c>
      <c r="U332" s="462">
        <f>VLOOKUP($E332,'5.1 Budget'!$A$4:$G$729,7,0)</f>
        <v>0</v>
      </c>
      <c r="V332" s="462">
        <f t="shared" si="6"/>
        <v>0</v>
      </c>
    </row>
    <row r="333" spans="1:22" ht="26.25" x14ac:dyDescent="0.25">
      <c r="A333" s="465">
        <v>2</v>
      </c>
      <c r="B333" s="12" t="s">
        <v>145</v>
      </c>
      <c r="C333" s="12" t="s">
        <v>147</v>
      </c>
      <c r="D333" s="12" t="s">
        <v>50</v>
      </c>
      <c r="E333" s="12" t="s">
        <v>882</v>
      </c>
      <c r="F333" s="469" t="str">
        <f>VLOOKUP(E333,'5. Consolidation'!$E$3:$F$715,2,0)</f>
        <v>Assurer la maintenance de la carte des profondeurs de nappe pouvant servir de base pour l’indentification des zones où les collecteurs seraient en contact avec la nappe.</v>
      </c>
      <c r="G333" s="12"/>
      <c r="H333" s="12"/>
      <c r="I333" s="12"/>
      <c r="J333" s="12"/>
      <c r="K333" s="12"/>
      <c r="L333" s="12"/>
      <c r="M333" s="12"/>
      <c r="N333" s="12"/>
      <c r="O333" s="12"/>
      <c r="P333" s="462">
        <f>VLOOKUP($E333,'5.1 Budget'!$A$4:$G$729,2,0)</f>
        <v>0</v>
      </c>
      <c r="Q333" s="462">
        <f>VLOOKUP($E333,'5.1 Budget'!$A$4:$G$729,3,0)</f>
        <v>0</v>
      </c>
      <c r="R333" s="462">
        <f>VLOOKUP($E333,'5.1 Budget'!$A$4:$G$729,4,0)</f>
        <v>0</v>
      </c>
      <c r="S333" s="462">
        <f>VLOOKUP($E333,'5.1 Budget'!$A$4:$G$729,5,0)</f>
        <v>0</v>
      </c>
      <c r="T333" s="462">
        <f>VLOOKUP($E333,'5.1 Budget'!$A$4:$G$729,6,0)</f>
        <v>0</v>
      </c>
      <c r="U333" s="462">
        <f>VLOOKUP($E333,'5.1 Budget'!$A$4:$G$729,7,0)</f>
        <v>0</v>
      </c>
      <c r="V333" s="462">
        <f t="shared" si="6"/>
        <v>0</v>
      </c>
    </row>
    <row r="334" spans="1:22" ht="39" x14ac:dyDescent="0.25">
      <c r="A334" s="465">
        <v>2</v>
      </c>
      <c r="B334" s="12" t="s">
        <v>145</v>
      </c>
      <c r="C334" s="12" t="s">
        <v>147</v>
      </c>
      <c r="D334" s="12" t="s">
        <v>50</v>
      </c>
      <c r="E334" s="12" t="s">
        <v>883</v>
      </c>
      <c r="F334" s="469" t="str">
        <f>VLOOKUP(E334,'5. Consolidation'!$E$3:$F$715,2,0)</f>
        <v>Lors de chantier d’étanchéification d’égout, dans les zones à risque, identifier le risque local de remontée de nappe post-rénovation et étudier la faisabilité de mettre en œuvre, dans le cadre du chantier, dun système de drainage adapté, le cas échéant</v>
      </c>
      <c r="G334" s="12"/>
      <c r="H334" s="12"/>
      <c r="I334" s="12"/>
      <c r="J334" s="12"/>
      <c r="K334" s="12"/>
      <c r="L334" s="12"/>
      <c r="M334" s="12"/>
      <c r="N334" s="12"/>
      <c r="O334" s="12"/>
      <c r="P334" s="462">
        <f>VLOOKUP($E334,'5.1 Budget'!$A$4:$G$729,2,0)</f>
        <v>0</v>
      </c>
      <c r="Q334" s="462">
        <f>VLOOKUP($E334,'5.1 Budget'!$A$4:$G$729,3,0)</f>
        <v>0</v>
      </c>
      <c r="R334" s="462">
        <f>VLOOKUP($E334,'5.1 Budget'!$A$4:$G$729,4,0)</f>
        <v>0</v>
      </c>
      <c r="S334" s="462">
        <f>VLOOKUP($E334,'5.1 Budget'!$A$4:$G$729,5,0)</f>
        <v>0</v>
      </c>
      <c r="T334" s="462">
        <f>VLOOKUP($E334,'5.1 Budget'!$A$4:$G$729,6,0)</f>
        <v>0</v>
      </c>
      <c r="U334" s="462">
        <f>VLOOKUP($E334,'5.1 Budget'!$A$4:$G$729,7,0)</f>
        <v>0</v>
      </c>
      <c r="V334" s="462">
        <f t="shared" si="6"/>
        <v>0</v>
      </c>
    </row>
    <row r="335" spans="1:22" x14ac:dyDescent="0.25">
      <c r="A335" s="465">
        <v>2</v>
      </c>
      <c r="B335" s="12" t="s">
        <v>145</v>
      </c>
      <c r="C335" s="12" t="s">
        <v>147</v>
      </c>
      <c r="D335" s="12" t="s">
        <v>51</v>
      </c>
      <c r="E335" s="12" t="s">
        <v>884</v>
      </c>
      <c r="F335" s="469" t="str">
        <f>VLOOKUP(E335,'5. Consolidation'!$E$3:$F$715,2,0)</f>
        <v>amélioration continue des cartes de risque d’effet barrage (fonction des upgrades de BPSM)</v>
      </c>
      <c r="G335" s="12"/>
      <c r="H335" s="12"/>
      <c r="I335" s="12"/>
      <c r="J335" s="12"/>
      <c r="K335" s="12"/>
      <c r="L335" s="12"/>
      <c r="M335" s="12"/>
      <c r="N335" s="12"/>
      <c r="O335" s="12"/>
      <c r="P335" s="462">
        <f>VLOOKUP($E335,'5.1 Budget'!$A$4:$G$729,2,0)</f>
        <v>0</v>
      </c>
      <c r="Q335" s="462">
        <f>VLOOKUP($E335,'5.1 Budget'!$A$4:$G$729,3,0)</f>
        <v>0</v>
      </c>
      <c r="R335" s="462">
        <f>VLOOKUP($E335,'5.1 Budget'!$A$4:$G$729,4,0)</f>
        <v>0</v>
      </c>
      <c r="S335" s="462">
        <f>VLOOKUP($E335,'5.1 Budget'!$A$4:$G$729,5,0)</f>
        <v>0</v>
      </c>
      <c r="T335" s="462">
        <f>VLOOKUP($E335,'5.1 Budget'!$A$4:$G$729,6,0)</f>
        <v>0</v>
      </c>
      <c r="U335" s="462">
        <f>VLOOKUP($E335,'5.1 Budget'!$A$4:$G$729,7,0)</f>
        <v>0</v>
      </c>
      <c r="V335" s="462">
        <f t="shared" si="6"/>
        <v>0</v>
      </c>
    </row>
    <row r="336" spans="1:22" ht="26.25" x14ac:dyDescent="0.25">
      <c r="A336" s="465">
        <v>2</v>
      </c>
      <c r="B336" s="12" t="s">
        <v>145</v>
      </c>
      <c r="C336" s="12" t="s">
        <v>147</v>
      </c>
      <c r="D336" s="12" t="s">
        <v>51</v>
      </c>
      <c r="E336" s="12" t="s">
        <v>885</v>
      </c>
      <c r="F336" s="469" t="str">
        <f>VLOOKUP(E336,'5. Consolidation'!$E$3:$F$715,2,0)</f>
        <v>amélioration et renforcement de l’analyse du risque d’effet barrage dans le cadre de la procédure d’instruction du permis d’environnement, voire d’urbanisme</v>
      </c>
      <c r="G336" s="12"/>
      <c r="H336" s="12"/>
      <c r="I336" s="12"/>
      <c r="J336" s="12"/>
      <c r="K336" s="12"/>
      <c r="L336" s="12"/>
      <c r="M336" s="12"/>
      <c r="N336" s="12"/>
      <c r="O336" s="12"/>
      <c r="P336" s="462">
        <f>VLOOKUP($E336,'5.1 Budget'!$A$4:$G$729,2,0)</f>
        <v>0</v>
      </c>
      <c r="Q336" s="462">
        <f>VLOOKUP($E336,'5.1 Budget'!$A$4:$G$729,3,0)</f>
        <v>0</v>
      </c>
      <c r="R336" s="462">
        <f>VLOOKUP($E336,'5.1 Budget'!$A$4:$G$729,4,0)</f>
        <v>0</v>
      </c>
      <c r="S336" s="462">
        <f>VLOOKUP($E336,'5.1 Budget'!$A$4:$G$729,5,0)</f>
        <v>0</v>
      </c>
      <c r="T336" s="462">
        <f>VLOOKUP($E336,'5.1 Budget'!$A$4:$G$729,6,0)</f>
        <v>0</v>
      </c>
      <c r="U336" s="462">
        <f>VLOOKUP($E336,'5.1 Budget'!$A$4:$G$729,7,0)</f>
        <v>0</v>
      </c>
      <c r="V336" s="462">
        <f t="shared" si="6"/>
        <v>0</v>
      </c>
    </row>
    <row r="337" spans="1:22" ht="26.25" x14ac:dyDescent="0.25">
      <c r="A337" s="465">
        <v>3</v>
      </c>
      <c r="B337" s="12" t="s">
        <v>148</v>
      </c>
      <c r="C337" s="12" t="s">
        <v>149</v>
      </c>
      <c r="D337" s="12" t="s">
        <v>61</v>
      </c>
      <c r="E337" s="12" t="s">
        <v>928</v>
      </c>
      <c r="F337" s="469" t="str">
        <f>VLOOKUP(E337,'5. Consolidation'!$E$3:$F$715,2,0)</f>
        <v>Poursuivre la surveillance qualitative et quantitative dans les zones de protection de captages sur les eaux brutes souterraines destinées à la consommation humaine</v>
      </c>
      <c r="G337" s="12"/>
      <c r="H337" s="12"/>
      <c r="I337" s="12"/>
      <c r="J337" s="12"/>
      <c r="K337" s="12"/>
      <c r="L337" s="12"/>
      <c r="M337" s="12"/>
      <c r="N337" s="12"/>
      <c r="O337" s="12"/>
      <c r="P337" s="462">
        <f>VLOOKUP($E337,'5.1 Budget'!$A$4:$G$729,2,0)</f>
        <v>0</v>
      </c>
      <c r="Q337" s="462">
        <f>VLOOKUP($E337,'5.1 Budget'!$A$4:$G$729,3,0)</f>
        <v>0</v>
      </c>
      <c r="R337" s="462">
        <f>VLOOKUP($E337,'5.1 Budget'!$A$4:$G$729,4,0)</f>
        <v>0</v>
      </c>
      <c r="S337" s="462">
        <f>VLOOKUP($E337,'5.1 Budget'!$A$4:$G$729,5,0)</f>
        <v>0</v>
      </c>
      <c r="T337" s="462">
        <f>VLOOKUP($E337,'5.1 Budget'!$A$4:$G$729,6,0)</f>
        <v>0</v>
      </c>
      <c r="U337" s="462">
        <f>VLOOKUP($E337,'5.1 Budget'!$A$4:$G$729,7,0)</f>
        <v>0</v>
      </c>
      <c r="V337" s="462">
        <f t="shared" si="6"/>
        <v>0</v>
      </c>
    </row>
    <row r="338" spans="1:22" ht="26.25" x14ac:dyDescent="0.25">
      <c r="A338" s="465">
        <v>3</v>
      </c>
      <c r="B338" s="12" t="s">
        <v>148</v>
      </c>
      <c r="C338" s="12" t="s">
        <v>149</v>
      </c>
      <c r="D338" s="12" t="s">
        <v>61</v>
      </c>
      <c r="E338" s="12" t="s">
        <v>929</v>
      </c>
      <c r="F338" s="469" t="str">
        <f>VLOOKUP(E338,'5. Consolidation'!$E$3:$F$715,2,0)</f>
        <v>Poursuivre la surveillance quantitative dans les zones de protection de captages sur les eaux brutes souterraines destinées à la consommation humaine</v>
      </c>
      <c r="G338" s="12"/>
      <c r="H338" s="12"/>
      <c r="I338" s="12"/>
      <c r="J338" s="12"/>
      <c r="K338" s="12"/>
      <c r="L338" s="12"/>
      <c r="M338" s="12"/>
      <c r="N338" s="12"/>
      <c r="O338" s="12"/>
      <c r="P338" s="462">
        <f>VLOOKUP($E338,'5.1 Budget'!$A$4:$G$729,2,0)</f>
        <v>0</v>
      </c>
      <c r="Q338" s="462">
        <f>VLOOKUP($E338,'5.1 Budget'!$A$4:$G$729,3,0)</f>
        <v>0</v>
      </c>
      <c r="R338" s="462">
        <f>VLOOKUP($E338,'5.1 Budget'!$A$4:$G$729,4,0)</f>
        <v>0</v>
      </c>
      <c r="S338" s="462">
        <f>VLOOKUP($E338,'5.1 Budget'!$A$4:$G$729,5,0)</f>
        <v>0</v>
      </c>
      <c r="T338" s="462">
        <f>VLOOKUP($E338,'5.1 Budget'!$A$4:$G$729,6,0)</f>
        <v>0</v>
      </c>
      <c r="U338" s="462">
        <f>VLOOKUP($E338,'5.1 Budget'!$A$4:$G$729,7,0)</f>
        <v>0</v>
      </c>
      <c r="V338" s="462">
        <f t="shared" si="6"/>
        <v>0</v>
      </c>
    </row>
    <row r="339" spans="1:22" ht="26.25" x14ac:dyDescent="0.25">
      <c r="A339" s="465">
        <v>3</v>
      </c>
      <c r="B339" s="12" t="s">
        <v>148</v>
      </c>
      <c r="C339" s="12" t="s">
        <v>149</v>
      </c>
      <c r="D339" s="12" t="s">
        <v>61</v>
      </c>
      <c r="E339" s="12" t="s">
        <v>930</v>
      </c>
      <c r="F339" s="469" t="str">
        <f>VLOOKUP(E339,'5. Consolidation'!$E$3:$F$715,2,0)</f>
        <v>Etendre la surveillance qualitative des eaux souterraines brutes destinées à la consommation humaine aux substances polluantes émergentes, aux biocides et aux paramètres repris dans la nouvelle directive « eau potable » (2020/2184/UE)</v>
      </c>
      <c r="G339" s="12"/>
      <c r="H339" s="12"/>
      <c r="I339" s="12"/>
      <c r="J339" s="12"/>
      <c r="K339" s="12"/>
      <c r="L339" s="12"/>
      <c r="M339" s="12"/>
      <c r="N339" s="12"/>
      <c r="O339" s="12"/>
      <c r="P339" s="462">
        <f>VLOOKUP($E339,'5.1 Budget'!$A$4:$G$729,2,0)</f>
        <v>0</v>
      </c>
      <c r="Q339" s="462">
        <f>VLOOKUP($E339,'5.1 Budget'!$A$4:$G$729,3,0)</f>
        <v>0</v>
      </c>
      <c r="R339" s="462">
        <f>VLOOKUP($E339,'5.1 Budget'!$A$4:$G$729,4,0)</f>
        <v>0</v>
      </c>
      <c r="S339" s="462">
        <f>VLOOKUP($E339,'5.1 Budget'!$A$4:$G$729,5,0)</f>
        <v>0</v>
      </c>
      <c r="T339" s="462">
        <f>VLOOKUP($E339,'5.1 Budget'!$A$4:$G$729,6,0)</f>
        <v>0</v>
      </c>
      <c r="U339" s="462">
        <f>VLOOKUP($E339,'5.1 Budget'!$A$4:$G$729,7,0)</f>
        <v>0</v>
      </c>
      <c r="V339" s="462">
        <f t="shared" si="6"/>
        <v>0</v>
      </c>
    </row>
    <row r="340" spans="1:22" ht="26.25" x14ac:dyDescent="0.25">
      <c r="A340" s="465">
        <v>3</v>
      </c>
      <c r="B340" s="12" t="s">
        <v>148</v>
      </c>
      <c r="C340" s="12" t="s">
        <v>149</v>
      </c>
      <c r="D340" s="12" t="s">
        <v>61</v>
      </c>
      <c r="E340" s="12" t="s">
        <v>931</v>
      </c>
      <c r="F340" s="469" t="str">
        <f>VLOOKUP(E340,'5. Consolidation'!$E$3:$F$715,2,0)</f>
        <v>Evaluer l’état qualitatif de la masse d’eau des Sables du Bruxellien en zone de protection des captages et identifier des tendances globales et individuelles à la hausse pour certains paramètres</v>
      </c>
      <c r="G340" s="12"/>
      <c r="H340" s="12"/>
      <c r="I340" s="12"/>
      <c r="J340" s="12"/>
      <c r="K340" s="12"/>
      <c r="L340" s="12"/>
      <c r="M340" s="12"/>
      <c r="N340" s="12"/>
      <c r="O340" s="12"/>
      <c r="P340" s="462">
        <f>VLOOKUP($E340,'5.1 Budget'!$A$4:$G$729,2,0)</f>
        <v>0</v>
      </c>
      <c r="Q340" s="462">
        <f>VLOOKUP($E340,'5.1 Budget'!$A$4:$G$729,3,0)</f>
        <v>0</v>
      </c>
      <c r="R340" s="462">
        <f>VLOOKUP($E340,'5.1 Budget'!$A$4:$G$729,4,0)</f>
        <v>0</v>
      </c>
      <c r="S340" s="462">
        <f>VLOOKUP($E340,'5.1 Budget'!$A$4:$G$729,5,0)</f>
        <v>0</v>
      </c>
      <c r="T340" s="462">
        <f>VLOOKUP($E340,'5.1 Budget'!$A$4:$G$729,6,0)</f>
        <v>0</v>
      </c>
      <c r="U340" s="462">
        <f>VLOOKUP($E340,'5.1 Budget'!$A$4:$G$729,7,0)</f>
        <v>0</v>
      </c>
      <c r="V340" s="462">
        <f t="shared" si="6"/>
        <v>0</v>
      </c>
    </row>
    <row r="341" spans="1:22" x14ac:dyDescent="0.25">
      <c r="A341" s="465">
        <v>3</v>
      </c>
      <c r="B341" s="12" t="s">
        <v>148</v>
      </c>
      <c r="C341" s="12" t="s">
        <v>149</v>
      </c>
      <c r="D341" s="12" t="s">
        <v>61</v>
      </c>
      <c r="E341" s="12" t="s">
        <v>932</v>
      </c>
      <c r="F341" s="469" t="str">
        <f>VLOOKUP(E341,'5. Consolidation'!$E$3:$F$715,2,0)</f>
        <v>Etablir un inventaire des activités à risques sur base des permis environnement en cours et échus et les contrôler</v>
      </c>
      <c r="G341" s="12"/>
      <c r="H341" s="12"/>
      <c r="I341" s="12"/>
      <c r="J341" s="12"/>
      <c r="K341" s="12"/>
      <c r="L341" s="12"/>
      <c r="M341" s="12"/>
      <c r="N341" s="12"/>
      <c r="O341" s="12"/>
      <c r="P341" s="462">
        <f>VLOOKUP($E341,'5.1 Budget'!$A$4:$G$729,2,0)</f>
        <v>0</v>
      </c>
      <c r="Q341" s="462">
        <f>VLOOKUP($E341,'5.1 Budget'!$A$4:$G$729,3,0)</f>
        <v>0</v>
      </c>
      <c r="R341" s="462">
        <f>VLOOKUP($E341,'5.1 Budget'!$A$4:$G$729,4,0)</f>
        <v>0</v>
      </c>
      <c r="S341" s="462">
        <f>VLOOKUP($E341,'5.1 Budget'!$A$4:$G$729,5,0)</f>
        <v>0</v>
      </c>
      <c r="T341" s="462">
        <f>VLOOKUP($E341,'5.1 Budget'!$A$4:$G$729,6,0)</f>
        <v>0</v>
      </c>
      <c r="U341" s="462">
        <f>VLOOKUP($E341,'5.1 Budget'!$A$4:$G$729,7,0)</f>
        <v>0</v>
      </c>
      <c r="V341" s="462">
        <f t="shared" si="6"/>
        <v>0</v>
      </c>
    </row>
    <row r="342" spans="1:22" ht="39" x14ac:dyDescent="0.25">
      <c r="A342" s="465">
        <v>3</v>
      </c>
      <c r="B342" s="12" t="s">
        <v>148</v>
      </c>
      <c r="C342" s="12" t="s">
        <v>149</v>
      </c>
      <c r="D342" s="12" t="s">
        <v>62</v>
      </c>
      <c r="E342" s="12" t="s">
        <v>933</v>
      </c>
      <c r="F342" s="469" t="str">
        <f>VLOOKUP(E342,'5. Consolidation'!$E$3:$F$715,2,0)</f>
        <v>Elaborer un programme de mesures en vue de protéger les captages d’eau destinée à la consommation humaine intégrant les mesures de restauration de la zone de captage en matière de nitrates et de prévention et de protection globales de façon à éviter la dégradation de la qualité chimique vis-à-vis des autres substances</v>
      </c>
      <c r="G342" s="12"/>
      <c r="H342" s="12"/>
      <c r="I342" s="12"/>
      <c r="J342" s="12"/>
      <c r="K342" s="12"/>
      <c r="L342" s="12"/>
      <c r="M342" s="12"/>
      <c r="N342" s="12"/>
      <c r="O342" s="12"/>
      <c r="P342" s="462">
        <f>VLOOKUP($E342,'5.1 Budget'!$A$4:$G$729,2,0)</f>
        <v>0</v>
      </c>
      <c r="Q342" s="462">
        <f>VLOOKUP($E342,'5.1 Budget'!$A$4:$G$729,3,0)</f>
        <v>0</v>
      </c>
      <c r="R342" s="462">
        <f>VLOOKUP($E342,'5.1 Budget'!$A$4:$G$729,4,0)</f>
        <v>0</v>
      </c>
      <c r="S342" s="462">
        <f>VLOOKUP($E342,'5.1 Budget'!$A$4:$G$729,5,0)</f>
        <v>0</v>
      </c>
      <c r="T342" s="462">
        <f>VLOOKUP($E342,'5.1 Budget'!$A$4:$G$729,6,0)</f>
        <v>0</v>
      </c>
      <c r="U342" s="462">
        <f>VLOOKUP($E342,'5.1 Budget'!$A$4:$G$729,7,0)</f>
        <v>0</v>
      </c>
      <c r="V342" s="462">
        <f t="shared" si="6"/>
        <v>0</v>
      </c>
    </row>
    <row r="343" spans="1:22" ht="26.25" x14ac:dyDescent="0.25">
      <c r="A343" s="465">
        <v>3</v>
      </c>
      <c r="B343" s="12" t="s">
        <v>148</v>
      </c>
      <c r="C343" s="12" t="s">
        <v>149</v>
      </c>
      <c r="D343" s="12" t="s">
        <v>62</v>
      </c>
      <c r="E343" s="12" t="s">
        <v>934</v>
      </c>
      <c r="F343" s="469" t="str">
        <f>VLOOKUP(E343,'5. Consolidation'!$E$3:$F$715,2,0)</f>
        <v>Poursuivre et renforcer la surveillance préventive et de gestion des risques liés à la contamination malveillante ou accidentelle des eaux souterraines en zone de protection effectuée par les cantonniers de VIVAQUA</v>
      </c>
      <c r="G343" s="12"/>
      <c r="H343" s="12"/>
      <c r="I343" s="12"/>
      <c r="J343" s="12"/>
      <c r="K343" s="12"/>
      <c r="L343" s="12"/>
      <c r="M343" s="12"/>
      <c r="N343" s="12"/>
      <c r="O343" s="12"/>
      <c r="P343" s="462">
        <f>VLOOKUP($E343,'5.1 Budget'!$A$4:$G$729,2,0)</f>
        <v>0</v>
      </c>
      <c r="Q343" s="462">
        <f>VLOOKUP($E343,'5.1 Budget'!$A$4:$G$729,3,0)</f>
        <v>0</v>
      </c>
      <c r="R343" s="462">
        <f>VLOOKUP($E343,'5.1 Budget'!$A$4:$G$729,4,0)</f>
        <v>0</v>
      </c>
      <c r="S343" s="462">
        <f>VLOOKUP($E343,'5.1 Budget'!$A$4:$G$729,5,0)</f>
        <v>0</v>
      </c>
      <c r="T343" s="462">
        <f>VLOOKUP($E343,'5.1 Budget'!$A$4:$G$729,6,0)</f>
        <v>0</v>
      </c>
      <c r="U343" s="462">
        <f>VLOOKUP($E343,'5.1 Budget'!$A$4:$G$729,7,0)</f>
        <v>0</v>
      </c>
      <c r="V343" s="462">
        <f t="shared" si="6"/>
        <v>0</v>
      </c>
    </row>
    <row r="344" spans="1:22" ht="26.25" x14ac:dyDescent="0.25">
      <c r="A344" s="465">
        <v>3</v>
      </c>
      <c r="B344" s="12" t="s">
        <v>148</v>
      </c>
      <c r="C344" s="12" t="s">
        <v>149</v>
      </c>
      <c r="D344" s="12" t="s">
        <v>62</v>
      </c>
      <c r="E344" s="12" t="s">
        <v>935</v>
      </c>
      <c r="F344" s="469" t="str">
        <f>VLOOKUP(E344,'5. Consolidation'!$E$3:$F$715,2,0)</f>
        <v>Poursuivre et renforcer la sensibilisation des occupants de la zone de captages par la distribution de brochure à l’existence de la zone de captage et à sa protection en matière des risques liés aux pesticides et aux hydrocarbures</v>
      </c>
      <c r="G344" s="12"/>
      <c r="H344" s="12"/>
      <c r="I344" s="12"/>
      <c r="J344" s="12"/>
      <c r="K344" s="12"/>
      <c r="L344" s="12"/>
      <c r="M344" s="12"/>
      <c r="N344" s="12"/>
      <c r="O344" s="12"/>
      <c r="P344" s="462">
        <f>VLOOKUP($E344,'5.1 Budget'!$A$4:$G$729,2,0)</f>
        <v>0</v>
      </c>
      <c r="Q344" s="462">
        <f>VLOOKUP($E344,'5.1 Budget'!$A$4:$G$729,3,0)</f>
        <v>0</v>
      </c>
      <c r="R344" s="462">
        <f>VLOOKUP($E344,'5.1 Budget'!$A$4:$G$729,4,0)</f>
        <v>0</v>
      </c>
      <c r="S344" s="462">
        <f>VLOOKUP($E344,'5.1 Budget'!$A$4:$G$729,5,0)</f>
        <v>0</v>
      </c>
      <c r="T344" s="462">
        <f>VLOOKUP($E344,'5.1 Budget'!$A$4:$G$729,6,0)</f>
        <v>0</v>
      </c>
      <c r="U344" s="462">
        <f>VLOOKUP($E344,'5.1 Budget'!$A$4:$G$729,7,0)</f>
        <v>0</v>
      </c>
      <c r="V344" s="462">
        <f t="shared" si="6"/>
        <v>0</v>
      </c>
    </row>
    <row r="345" spans="1:22" ht="26.25" x14ac:dyDescent="0.25">
      <c r="A345" s="465">
        <v>3</v>
      </c>
      <c r="B345" s="12" t="s">
        <v>148</v>
      </c>
      <c r="C345" s="12" t="s">
        <v>149</v>
      </c>
      <c r="D345" s="12" t="s">
        <v>62</v>
      </c>
      <c r="E345" s="12" t="s">
        <v>936</v>
      </c>
      <c r="F345" s="469" t="str">
        <f>VLOOKUP(E345,'5. Consolidation'!$E$3:$F$715,2,0)</f>
        <v>Sensibiliser la population sur la présence de captages d’eaux destinés à la consommation humaine et à sa protection par la pose de panneaux de signalisation</v>
      </c>
      <c r="G345" s="12"/>
      <c r="H345" s="12"/>
      <c r="I345" s="12"/>
      <c r="J345" s="12"/>
      <c r="K345" s="12"/>
      <c r="L345" s="12"/>
      <c r="M345" s="12"/>
      <c r="N345" s="12"/>
      <c r="O345" s="12"/>
      <c r="P345" s="462">
        <f>VLOOKUP($E345,'5.1 Budget'!$A$4:$G$729,2,0)</f>
        <v>0</v>
      </c>
      <c r="Q345" s="462">
        <f>VLOOKUP($E345,'5.1 Budget'!$A$4:$G$729,3,0)</f>
        <v>0</v>
      </c>
      <c r="R345" s="462">
        <f>VLOOKUP($E345,'5.1 Budget'!$A$4:$G$729,4,0)</f>
        <v>0</v>
      </c>
      <c r="S345" s="462">
        <f>VLOOKUP($E345,'5.1 Budget'!$A$4:$G$729,5,0)</f>
        <v>0</v>
      </c>
      <c r="T345" s="462">
        <f>VLOOKUP($E345,'5.1 Budget'!$A$4:$G$729,6,0)</f>
        <v>0</v>
      </c>
      <c r="U345" s="462">
        <f>VLOOKUP($E345,'5.1 Budget'!$A$4:$G$729,7,0)</f>
        <v>0</v>
      </c>
      <c r="V345" s="462">
        <f t="shared" si="6"/>
        <v>0</v>
      </c>
    </row>
    <row r="346" spans="1:22" x14ac:dyDescent="0.25">
      <c r="A346" s="465">
        <v>3</v>
      </c>
      <c r="B346" s="12" t="s">
        <v>148</v>
      </c>
      <c r="C346" s="12" t="s">
        <v>149</v>
      </c>
      <c r="D346" s="12" t="s">
        <v>62</v>
      </c>
      <c r="E346" s="12" t="s">
        <v>937</v>
      </c>
      <c r="F346" s="469" t="str">
        <f>VLOOKUP(E346,'5. Consolidation'!$E$3:$F$715,2,0)</f>
        <v>Renforcer les contrôles pour les réservoirs d’hydrocarbures situés dans la zone de protection III.</v>
      </c>
      <c r="G346" s="12"/>
      <c r="H346" s="12"/>
      <c r="I346" s="12"/>
      <c r="J346" s="12"/>
      <c r="K346" s="12"/>
      <c r="L346" s="12"/>
      <c r="M346" s="12"/>
      <c r="N346" s="12"/>
      <c r="O346" s="12"/>
      <c r="P346" s="462">
        <f>VLOOKUP($E346,'5.1 Budget'!$A$4:$G$729,2,0)</f>
        <v>0</v>
      </c>
      <c r="Q346" s="462">
        <f>VLOOKUP($E346,'5.1 Budget'!$A$4:$G$729,3,0)</f>
        <v>0</v>
      </c>
      <c r="R346" s="462">
        <f>VLOOKUP($E346,'5.1 Budget'!$A$4:$G$729,4,0)</f>
        <v>0</v>
      </c>
      <c r="S346" s="462">
        <f>VLOOKUP($E346,'5.1 Budget'!$A$4:$G$729,5,0)</f>
        <v>0</v>
      </c>
      <c r="T346" s="462">
        <f>VLOOKUP($E346,'5.1 Budget'!$A$4:$G$729,6,0)</f>
        <v>0</v>
      </c>
      <c r="U346" s="462">
        <f>VLOOKUP($E346,'5.1 Budget'!$A$4:$G$729,7,0)</f>
        <v>0</v>
      </c>
      <c r="V346" s="462">
        <f t="shared" si="6"/>
        <v>0</v>
      </c>
    </row>
    <row r="347" spans="1:22" ht="26.25" x14ac:dyDescent="0.25">
      <c r="A347" s="465">
        <v>3</v>
      </c>
      <c r="B347" s="12" t="s">
        <v>148</v>
      </c>
      <c r="C347" s="12" t="s">
        <v>149</v>
      </c>
      <c r="D347" s="12" t="s">
        <v>62</v>
      </c>
      <c r="E347" s="12" t="s">
        <v>938</v>
      </c>
      <c r="F347" s="469" t="str">
        <f>VLOOKUP(E347,'5. Consolidation'!$E$3:$F$715,2,0)</f>
        <v>Renforcer le contrôle des obligations et interdictions relatives à l’utilisation, le stockage et la manipulation des pesticides dans les zones de protection des captages</v>
      </c>
      <c r="G347" s="12"/>
      <c r="H347" s="12"/>
      <c r="I347" s="12"/>
      <c r="J347" s="12"/>
      <c r="K347" s="12"/>
      <c r="L347" s="12"/>
      <c r="M347" s="12"/>
      <c r="N347" s="12"/>
      <c r="O347" s="12"/>
      <c r="P347" s="462">
        <f>VLOOKUP($E347,'5.1 Budget'!$A$4:$G$729,2,0)</f>
        <v>0</v>
      </c>
      <c r="Q347" s="462">
        <f>VLOOKUP($E347,'5.1 Budget'!$A$4:$G$729,3,0)</f>
        <v>0</v>
      </c>
      <c r="R347" s="462">
        <f>VLOOKUP($E347,'5.1 Budget'!$A$4:$G$729,4,0)</f>
        <v>0</v>
      </c>
      <c r="S347" s="462">
        <f>VLOOKUP($E347,'5.1 Budget'!$A$4:$G$729,5,0)</f>
        <v>0</v>
      </c>
      <c r="T347" s="462">
        <f>VLOOKUP($E347,'5.1 Budget'!$A$4:$G$729,6,0)</f>
        <v>0</v>
      </c>
      <c r="U347" s="462">
        <f>VLOOKUP($E347,'5.1 Budget'!$A$4:$G$729,7,0)</f>
        <v>0</v>
      </c>
      <c r="V347" s="462">
        <f t="shared" si="6"/>
        <v>0</v>
      </c>
    </row>
    <row r="348" spans="1:22" x14ac:dyDescent="0.25">
      <c r="A348" s="465">
        <v>3</v>
      </c>
      <c r="B348" s="12" t="s">
        <v>148</v>
      </c>
      <c r="C348" s="12" t="s">
        <v>150</v>
      </c>
      <c r="D348" s="12" t="s">
        <v>63</v>
      </c>
      <c r="E348" s="12" t="s">
        <v>939</v>
      </c>
      <c r="F348" s="469" t="str">
        <f>VLOOKUP(E348,'5. Consolidation'!$E$3:$F$715,2,0)</f>
        <v>Poursuivre la surveillance des eaux souterraines, en ce compris dans la zone vulnérable aux nitrates</v>
      </c>
      <c r="G348" s="12"/>
      <c r="H348" s="12"/>
      <c r="I348" s="12"/>
      <c r="J348" s="12"/>
      <c r="K348" s="12"/>
      <c r="L348" s="12"/>
      <c r="M348" s="12"/>
      <c r="N348" s="12"/>
      <c r="O348" s="12"/>
      <c r="P348" s="462">
        <f>VLOOKUP($E348,'5.1 Budget'!$A$4:$G$729,2,0)</f>
        <v>0</v>
      </c>
      <c r="Q348" s="462">
        <f>VLOOKUP($E348,'5.1 Budget'!$A$4:$G$729,3,0)</f>
        <v>0</v>
      </c>
      <c r="R348" s="462">
        <f>VLOOKUP($E348,'5.1 Budget'!$A$4:$G$729,4,0)</f>
        <v>0</v>
      </c>
      <c r="S348" s="462">
        <f>VLOOKUP($E348,'5.1 Budget'!$A$4:$G$729,5,0)</f>
        <v>0</v>
      </c>
      <c r="T348" s="462">
        <f>VLOOKUP($E348,'5.1 Budget'!$A$4:$G$729,6,0)</f>
        <v>0</v>
      </c>
      <c r="U348" s="462">
        <f>VLOOKUP($E348,'5.1 Budget'!$A$4:$G$729,7,0)</f>
        <v>0</v>
      </c>
      <c r="V348" s="462">
        <f t="shared" si="6"/>
        <v>0</v>
      </c>
    </row>
    <row r="349" spans="1:22" ht="26.25" x14ac:dyDescent="0.25">
      <c r="A349" s="465">
        <v>3</v>
      </c>
      <c r="B349" s="12" t="s">
        <v>148</v>
      </c>
      <c r="C349" s="12" t="s">
        <v>150</v>
      </c>
      <c r="D349" s="12" t="s">
        <v>63</v>
      </c>
      <c r="E349" s="12" t="s">
        <v>940</v>
      </c>
      <c r="F349" s="469" t="str">
        <f>VLOOKUP(E349,'5. Consolidation'!$E$3:$F$715,2,0)</f>
        <v>Poursuivre la surveillance des composés azotés dans les eaux brutes souterraines prélevées par l’exploitant, VIVAQUA, en application de l’arrêté du Gouvernement du 19 novembre 1998</v>
      </c>
      <c r="G349" s="12"/>
      <c r="H349" s="12"/>
      <c r="I349" s="12"/>
      <c r="J349" s="12"/>
      <c r="K349" s="12"/>
      <c r="L349" s="12"/>
      <c r="M349" s="12"/>
      <c r="N349" s="12"/>
      <c r="O349" s="12"/>
      <c r="P349" s="462">
        <f>VLOOKUP($E349,'5.1 Budget'!$A$4:$G$729,2,0)</f>
        <v>0</v>
      </c>
      <c r="Q349" s="462">
        <f>VLOOKUP($E349,'5.1 Budget'!$A$4:$G$729,3,0)</f>
        <v>0</v>
      </c>
      <c r="R349" s="462">
        <f>VLOOKUP($E349,'5.1 Budget'!$A$4:$G$729,4,0)</f>
        <v>0</v>
      </c>
      <c r="S349" s="462">
        <f>VLOOKUP($E349,'5.1 Budget'!$A$4:$G$729,5,0)</f>
        <v>0</v>
      </c>
      <c r="T349" s="462">
        <f>VLOOKUP($E349,'5.1 Budget'!$A$4:$G$729,6,0)</f>
        <v>0</v>
      </c>
      <c r="U349" s="462">
        <f>VLOOKUP($E349,'5.1 Budget'!$A$4:$G$729,7,0)</f>
        <v>0</v>
      </c>
      <c r="V349" s="462">
        <f t="shared" si="6"/>
        <v>0</v>
      </c>
    </row>
    <row r="350" spans="1:22" x14ac:dyDescent="0.25">
      <c r="A350" s="465">
        <v>3</v>
      </c>
      <c r="B350" s="12" t="s">
        <v>148</v>
      </c>
      <c r="C350" s="12" t="s">
        <v>150</v>
      </c>
      <c r="D350" s="12" t="s">
        <v>63</v>
      </c>
      <c r="E350" s="12" t="s">
        <v>941</v>
      </c>
      <c r="F350" s="469" t="str">
        <f>VLOOKUP(E350,'5. Consolidation'!$E$3:$F$715,2,0)</f>
        <v>Poursuivre et élargir l’identification des sources et cause de pollution nitrique (en lien avec M.2.1) dans la zone vulnérable</v>
      </c>
      <c r="G350" s="12"/>
      <c r="H350" s="12"/>
      <c r="I350" s="12"/>
      <c r="J350" s="12"/>
      <c r="K350" s="12"/>
      <c r="L350" s="12"/>
      <c r="M350" s="12"/>
      <c r="N350" s="12"/>
      <c r="O350" s="12"/>
      <c r="P350" s="462">
        <f>VLOOKUP($E350,'5.1 Budget'!$A$4:$G$729,2,0)</f>
        <v>0</v>
      </c>
      <c r="Q350" s="462">
        <f>VLOOKUP($E350,'5.1 Budget'!$A$4:$G$729,3,0)</f>
        <v>0</v>
      </c>
      <c r="R350" s="462">
        <f>VLOOKUP($E350,'5.1 Budget'!$A$4:$G$729,4,0)</f>
        <v>0</v>
      </c>
      <c r="S350" s="462">
        <f>VLOOKUP($E350,'5.1 Budget'!$A$4:$G$729,5,0)</f>
        <v>0</v>
      </c>
      <c r="T350" s="462">
        <f>VLOOKUP($E350,'5.1 Budget'!$A$4:$G$729,6,0)</f>
        <v>0</v>
      </c>
      <c r="U350" s="462">
        <f>VLOOKUP($E350,'5.1 Budget'!$A$4:$G$729,7,0)</f>
        <v>0</v>
      </c>
      <c r="V350" s="462">
        <f t="shared" si="6"/>
        <v>0</v>
      </c>
    </row>
    <row r="351" spans="1:22" ht="26.25" x14ac:dyDescent="0.25">
      <c r="A351" s="465">
        <v>3</v>
      </c>
      <c r="B351" s="12" t="s">
        <v>148</v>
      </c>
      <c r="C351" s="12" t="s">
        <v>151</v>
      </c>
      <c r="D351" s="12" t="s">
        <v>64</v>
      </c>
      <c r="E351" s="12" t="s">
        <v>942</v>
      </c>
      <c r="F351" s="469" t="str">
        <f>VLOOKUP(E351,'5. Consolidation'!$E$3:$F$715,2,0)</f>
        <v>Renforcer et adapter la surveillance des eaux souterraines aux écosystèmes terrestres et aquatiques en interaction hydraulique avec la masse d’eau des sables du Bruxellien,</v>
      </c>
      <c r="G351" s="12"/>
      <c r="H351" s="12"/>
      <c r="I351" s="12"/>
      <c r="J351" s="12"/>
      <c r="K351" s="12"/>
      <c r="L351" s="12"/>
      <c r="M351" s="12"/>
      <c r="N351" s="12"/>
      <c r="O351" s="12"/>
      <c r="P351" s="462">
        <f>VLOOKUP($E351,'5.1 Budget'!$A$4:$G$729,2,0)</f>
        <v>0</v>
      </c>
      <c r="Q351" s="462">
        <f>VLOOKUP($E351,'5.1 Budget'!$A$4:$G$729,3,0)</f>
        <v>0</v>
      </c>
      <c r="R351" s="462">
        <f>VLOOKUP($E351,'5.1 Budget'!$A$4:$G$729,4,0)</f>
        <v>0</v>
      </c>
      <c r="S351" s="462">
        <f>VLOOKUP($E351,'5.1 Budget'!$A$4:$G$729,5,0)</f>
        <v>0</v>
      </c>
      <c r="T351" s="462">
        <f>VLOOKUP($E351,'5.1 Budget'!$A$4:$G$729,6,0)</f>
        <v>0</v>
      </c>
      <c r="U351" s="462">
        <f>VLOOKUP($E351,'5.1 Budget'!$A$4:$G$729,7,0)</f>
        <v>0</v>
      </c>
      <c r="V351" s="462">
        <f t="shared" si="6"/>
        <v>0</v>
      </c>
    </row>
    <row r="352" spans="1:22" ht="26.25" x14ac:dyDescent="0.25">
      <c r="A352" s="465">
        <v>3</v>
      </c>
      <c r="B352" s="12" t="s">
        <v>148</v>
      </c>
      <c r="C352" s="12" t="s">
        <v>151</v>
      </c>
      <c r="D352" s="12" t="s">
        <v>64</v>
      </c>
      <c r="E352" s="12" t="s">
        <v>949</v>
      </c>
      <c r="F352" s="469" t="str">
        <f>VLOOKUP(E352,'5. Consolidation'!$E$3:$F$715,2,0)</f>
        <v>Poursuivre le réseau de surveillance et opérationnel des monitorings physico-chimique et chimique de la colonne d’eau, du biote, des sédiments et de la biologie pour la Woluwe (M1.21)</v>
      </c>
      <c r="G352" s="12"/>
      <c r="H352" s="12"/>
      <c r="I352" s="12"/>
      <c r="J352" s="12"/>
      <c r="K352" s="12"/>
      <c r="L352" s="12"/>
      <c r="M352" s="12"/>
      <c r="N352" s="12"/>
      <c r="O352" s="12"/>
      <c r="P352" s="462">
        <f>VLOOKUP($E352,'5.1 Budget'!$A$4:$G$729,2,0)</f>
        <v>0</v>
      </c>
      <c r="Q352" s="462">
        <f>VLOOKUP($E352,'5.1 Budget'!$A$4:$G$729,3,0)</f>
        <v>0</v>
      </c>
      <c r="R352" s="462">
        <f>VLOOKUP($E352,'5.1 Budget'!$A$4:$G$729,4,0)</f>
        <v>0</v>
      </c>
      <c r="S352" s="462">
        <f>VLOOKUP($E352,'5.1 Budget'!$A$4:$G$729,5,0)</f>
        <v>0</v>
      </c>
      <c r="T352" s="462">
        <f>VLOOKUP($E352,'5.1 Budget'!$A$4:$G$729,6,0)</f>
        <v>0</v>
      </c>
      <c r="U352" s="462">
        <f>VLOOKUP($E352,'5.1 Budget'!$A$4:$G$729,7,0)</f>
        <v>0</v>
      </c>
      <c r="V352" s="462">
        <f t="shared" si="6"/>
        <v>0</v>
      </c>
    </row>
    <row r="353" spans="1:22" x14ac:dyDescent="0.25">
      <c r="A353" s="465">
        <v>3</v>
      </c>
      <c r="B353" s="12" t="s">
        <v>148</v>
      </c>
      <c r="C353" s="12" t="s">
        <v>151</v>
      </c>
      <c r="D353" s="12" t="s">
        <v>64</v>
      </c>
      <c r="E353" s="12" t="s">
        <v>950</v>
      </c>
      <c r="F353" s="469" t="str">
        <f>VLOOKUP(E353,'5. Consolidation'!$E$3:$F$715,2,0)</f>
        <v>Identifier les sources des pollutions de la Woluwe (M1.20)</v>
      </c>
      <c r="G353" s="12"/>
      <c r="H353" s="12"/>
      <c r="I353" s="12"/>
      <c r="J353" s="12"/>
      <c r="K353" s="12"/>
      <c r="L353" s="12"/>
      <c r="M353" s="12"/>
      <c r="N353" s="12"/>
      <c r="O353" s="12"/>
      <c r="P353" s="462">
        <f>VLOOKUP($E353,'5.1 Budget'!$A$4:$G$729,2,0)</f>
        <v>0</v>
      </c>
      <c r="Q353" s="462">
        <f>VLOOKUP($E353,'5.1 Budget'!$A$4:$G$729,3,0)</f>
        <v>0</v>
      </c>
      <c r="R353" s="462">
        <f>VLOOKUP($E353,'5.1 Budget'!$A$4:$G$729,4,0)</f>
        <v>0</v>
      </c>
      <c r="S353" s="462">
        <f>VLOOKUP($E353,'5.1 Budget'!$A$4:$G$729,5,0)</f>
        <v>0</v>
      </c>
      <c r="T353" s="462">
        <f>VLOOKUP($E353,'5.1 Budget'!$A$4:$G$729,6,0)</f>
        <v>0</v>
      </c>
      <c r="U353" s="462">
        <f>VLOOKUP($E353,'5.1 Budget'!$A$4:$G$729,7,0)</f>
        <v>0</v>
      </c>
      <c r="V353" s="462">
        <f t="shared" si="6"/>
        <v>0</v>
      </c>
    </row>
    <row r="354" spans="1:22" ht="26.25" x14ac:dyDescent="0.25">
      <c r="A354" s="465">
        <v>3</v>
      </c>
      <c r="B354" s="12" t="s">
        <v>148</v>
      </c>
      <c r="C354" s="12" t="s">
        <v>151</v>
      </c>
      <c r="D354" s="12" t="s">
        <v>64</v>
      </c>
      <c r="E354" s="12" t="s">
        <v>943</v>
      </c>
      <c r="F354" s="469" t="str">
        <f>VLOOKUP(E354,'5. Consolidation'!$E$3:$F$715,2,0)</f>
        <v>Poursuivre l’identification des écosystèmes dépendants des eaux souterraines et établir une typologie des interactions eau souterraine, eau de surface et écosystèmes terrestres</v>
      </c>
      <c r="G354" s="12"/>
      <c r="H354" s="12"/>
      <c r="I354" s="12"/>
      <c r="J354" s="12"/>
      <c r="K354" s="12"/>
      <c r="L354" s="12"/>
      <c r="M354" s="12"/>
      <c r="N354" s="12"/>
      <c r="O354" s="12"/>
      <c r="P354" s="462">
        <f>VLOOKUP($E354,'5.1 Budget'!$A$4:$G$729,2,0)</f>
        <v>0</v>
      </c>
      <c r="Q354" s="462">
        <f>VLOOKUP($E354,'5.1 Budget'!$A$4:$G$729,3,0)</f>
        <v>0</v>
      </c>
      <c r="R354" s="462">
        <f>VLOOKUP($E354,'5.1 Budget'!$A$4:$G$729,4,0)</f>
        <v>0</v>
      </c>
      <c r="S354" s="462">
        <f>VLOOKUP($E354,'5.1 Budget'!$A$4:$G$729,5,0)</f>
        <v>0</v>
      </c>
      <c r="T354" s="462">
        <f>VLOOKUP($E354,'5.1 Budget'!$A$4:$G$729,6,0)</f>
        <v>0</v>
      </c>
      <c r="U354" s="462">
        <f>VLOOKUP($E354,'5.1 Budget'!$A$4:$G$729,7,0)</f>
        <v>0</v>
      </c>
      <c r="V354" s="462">
        <f t="shared" si="6"/>
        <v>0</v>
      </c>
    </row>
    <row r="355" spans="1:22" ht="26.25" x14ac:dyDescent="0.25">
      <c r="A355" s="465">
        <v>3</v>
      </c>
      <c r="B355" s="12" t="s">
        <v>148</v>
      </c>
      <c r="C355" s="12" t="s">
        <v>151</v>
      </c>
      <c r="D355" s="12" t="s">
        <v>64</v>
      </c>
      <c r="E355" s="12" t="s">
        <v>951</v>
      </c>
      <c r="F355" s="469" t="str">
        <f>VLOOKUP(E355,'5. Consolidation'!$E$3:$F$715,2,0)</f>
        <v>Affiner le développement des outils de modélisation hydrogéologiques existant BPSM en tenant compte de la présence des écosystèmes aquatiques et terrestres dépendants des eaux souterraines</v>
      </c>
      <c r="G355" s="12"/>
      <c r="H355" s="12"/>
      <c r="I355" s="12"/>
      <c r="J355" s="12"/>
      <c r="K355" s="12"/>
      <c r="L355" s="12"/>
      <c r="M355" s="12"/>
      <c r="N355" s="12"/>
      <c r="O355" s="12"/>
      <c r="P355" s="462">
        <f>VLOOKUP($E355,'5.1 Budget'!$A$4:$G$729,2,0)</f>
        <v>0</v>
      </c>
      <c r="Q355" s="462">
        <f>VLOOKUP($E355,'5.1 Budget'!$A$4:$G$729,3,0)</f>
        <v>0</v>
      </c>
      <c r="R355" s="462">
        <f>VLOOKUP($E355,'5.1 Budget'!$A$4:$G$729,4,0)</f>
        <v>0</v>
      </c>
      <c r="S355" s="462">
        <f>VLOOKUP($E355,'5.1 Budget'!$A$4:$G$729,5,0)</f>
        <v>0</v>
      </c>
      <c r="T355" s="462">
        <f>VLOOKUP($E355,'5.1 Budget'!$A$4:$G$729,6,0)</f>
        <v>0</v>
      </c>
      <c r="U355" s="462">
        <f>VLOOKUP($E355,'5.1 Budget'!$A$4:$G$729,7,0)</f>
        <v>0</v>
      </c>
      <c r="V355" s="462">
        <f t="shared" si="6"/>
        <v>0</v>
      </c>
    </row>
    <row r="356" spans="1:22" ht="26.25" x14ac:dyDescent="0.25">
      <c r="A356" s="465">
        <v>3</v>
      </c>
      <c r="B356" s="12" t="s">
        <v>148</v>
      </c>
      <c r="C356" s="12" t="s">
        <v>151</v>
      </c>
      <c r="D356" s="12" t="s">
        <v>64</v>
      </c>
      <c r="E356" s="12" t="s">
        <v>944</v>
      </c>
      <c r="F356" s="469" t="str">
        <f>VLOOKUP(E356,'5. Consolidation'!$E$3:$F$715,2,0)</f>
        <v>Etudier l’impact de variations quantitatives de niveau des eaux souterraines sur les écosystèmes terrestres et caractériser les risques d’altération du bon état de conservation des écosystèmes dépendants</v>
      </c>
      <c r="G356" s="12"/>
      <c r="H356" s="12"/>
      <c r="I356" s="12"/>
      <c r="J356" s="12"/>
      <c r="K356" s="12"/>
      <c r="L356" s="12"/>
      <c r="M356" s="12"/>
      <c r="N356" s="12"/>
      <c r="O356" s="12"/>
      <c r="P356" s="462">
        <f>VLOOKUP($E356,'5.1 Budget'!$A$4:$G$729,2,0)</f>
        <v>0</v>
      </c>
      <c r="Q356" s="462">
        <f>VLOOKUP($E356,'5.1 Budget'!$A$4:$G$729,3,0)</f>
        <v>0</v>
      </c>
      <c r="R356" s="462">
        <f>VLOOKUP($E356,'5.1 Budget'!$A$4:$G$729,4,0)</f>
        <v>0</v>
      </c>
      <c r="S356" s="462">
        <f>VLOOKUP($E356,'5.1 Budget'!$A$4:$G$729,5,0)</f>
        <v>0</v>
      </c>
      <c r="T356" s="462">
        <f>VLOOKUP($E356,'5.1 Budget'!$A$4:$G$729,6,0)</f>
        <v>0</v>
      </c>
      <c r="U356" s="462">
        <f>VLOOKUP($E356,'5.1 Budget'!$A$4:$G$729,7,0)</f>
        <v>0</v>
      </c>
      <c r="V356" s="462">
        <f t="shared" si="6"/>
        <v>0</v>
      </c>
    </row>
    <row r="357" spans="1:22" ht="26.25" x14ac:dyDescent="0.25">
      <c r="A357" s="465">
        <v>3</v>
      </c>
      <c r="B357" s="12" t="s">
        <v>148</v>
      </c>
      <c r="C357" s="12" t="s">
        <v>151</v>
      </c>
      <c r="D357" s="12" t="s">
        <v>64</v>
      </c>
      <c r="E357" s="12" t="s">
        <v>945</v>
      </c>
      <c r="F357" s="469" t="str">
        <f>VLOOKUP(E357,'5. Consolidation'!$E$3:$F$715,2,0)</f>
        <v>Evaluer le potentiel de migration de polluants des eaux souterraines vers les eaux de surface et écosystèmes aquatiques et terrestres – et inversement – ainsi que leur potentiel d’atténuation.</v>
      </c>
      <c r="G357" s="12"/>
      <c r="H357" s="12"/>
      <c r="I357" s="12"/>
      <c r="J357" s="12"/>
      <c r="K357" s="12"/>
      <c r="L357" s="12"/>
      <c r="M357" s="12"/>
      <c r="N357" s="12"/>
      <c r="O357" s="12"/>
      <c r="P357" s="462">
        <f>VLOOKUP($E357,'5.1 Budget'!$A$4:$G$729,2,0)</f>
        <v>0</v>
      </c>
      <c r="Q357" s="462">
        <f>VLOOKUP($E357,'5.1 Budget'!$A$4:$G$729,3,0)</f>
        <v>0</v>
      </c>
      <c r="R357" s="462">
        <f>VLOOKUP($E357,'5.1 Budget'!$A$4:$G$729,4,0)</f>
        <v>0</v>
      </c>
      <c r="S357" s="462">
        <f>VLOOKUP($E357,'5.1 Budget'!$A$4:$G$729,5,0)</f>
        <v>0</v>
      </c>
      <c r="T357" s="462">
        <f>VLOOKUP($E357,'5.1 Budget'!$A$4:$G$729,6,0)</f>
        <v>0</v>
      </c>
      <c r="U357" s="462">
        <f>VLOOKUP($E357,'5.1 Budget'!$A$4:$G$729,7,0)</f>
        <v>0</v>
      </c>
      <c r="V357" s="462">
        <f t="shared" si="6"/>
        <v>0</v>
      </c>
    </row>
    <row r="358" spans="1:22" ht="26.25" x14ac:dyDescent="0.25">
      <c r="A358" s="465">
        <v>3</v>
      </c>
      <c r="B358" s="12" t="s">
        <v>148</v>
      </c>
      <c r="C358" s="12" t="s">
        <v>151</v>
      </c>
      <c r="D358" s="12" t="s">
        <v>64</v>
      </c>
      <c r="E358" s="12" t="s">
        <v>946</v>
      </c>
      <c r="F358" s="469" t="str">
        <f>VLOOKUP(E358,'5. Consolidation'!$E$3:$F$715,2,0)</f>
        <v>Etendre l’identification des écosystèmes dépendants à la masse d’eau du système nord-ouest des sables du Bruxellien et de Tielt</v>
      </c>
      <c r="G358" s="12"/>
      <c r="H358" s="12"/>
      <c r="I358" s="12"/>
      <c r="J358" s="12"/>
      <c r="K358" s="12"/>
      <c r="L358" s="12"/>
      <c r="M358" s="12"/>
      <c r="N358" s="12"/>
      <c r="O358" s="12"/>
      <c r="P358" s="462">
        <f>VLOOKUP($E358,'5.1 Budget'!$A$4:$G$729,2,0)</f>
        <v>0</v>
      </c>
      <c r="Q358" s="462">
        <f>VLOOKUP($E358,'5.1 Budget'!$A$4:$G$729,3,0)</f>
        <v>0</v>
      </c>
      <c r="R358" s="462">
        <f>VLOOKUP($E358,'5.1 Budget'!$A$4:$G$729,4,0)</f>
        <v>0</v>
      </c>
      <c r="S358" s="462">
        <f>VLOOKUP($E358,'5.1 Budget'!$A$4:$G$729,5,0)</f>
        <v>0</v>
      </c>
      <c r="T358" s="462">
        <f>VLOOKUP($E358,'5.1 Budget'!$A$4:$G$729,6,0)</f>
        <v>0</v>
      </c>
      <c r="U358" s="462">
        <f>VLOOKUP($E358,'5.1 Budget'!$A$4:$G$729,7,0)</f>
        <v>0</v>
      </c>
      <c r="V358" s="462">
        <f t="shared" si="6"/>
        <v>0</v>
      </c>
    </row>
    <row r="359" spans="1:22" ht="39" x14ac:dyDescent="0.25">
      <c r="A359" s="465">
        <v>3</v>
      </c>
      <c r="B359" s="12" t="s">
        <v>148</v>
      </c>
      <c r="C359" s="12" t="s">
        <v>151</v>
      </c>
      <c r="D359" s="12" t="s">
        <v>64</v>
      </c>
      <c r="E359" s="12" t="s">
        <v>947</v>
      </c>
      <c r="F359" s="469" t="str">
        <f>VLOOKUP(E359,'5. Consolidation'!$E$3:$F$715,2,0)</f>
        <v>Identifier les pressions exercées par les eaux souterraines dans les zones d’alimentation hydrogéologiques sur les écosystèmes aquatiques et terrestres en matière de nitrates, sulfates et chlorures pour y apporter les mesures adéquates de restauration et de prévention</v>
      </c>
      <c r="G359" s="12"/>
      <c r="H359" s="12"/>
      <c r="I359" s="12"/>
      <c r="J359" s="12"/>
      <c r="K359" s="12"/>
      <c r="L359" s="12"/>
      <c r="M359" s="12"/>
      <c r="N359" s="12"/>
      <c r="O359" s="12"/>
      <c r="P359" s="462">
        <f>VLOOKUP($E359,'5.1 Budget'!$A$4:$G$729,2,0)</f>
        <v>0</v>
      </c>
      <c r="Q359" s="462">
        <f>VLOOKUP($E359,'5.1 Budget'!$A$4:$G$729,3,0)</f>
        <v>0</v>
      </c>
      <c r="R359" s="462">
        <f>VLOOKUP($E359,'5.1 Budget'!$A$4:$G$729,4,0)</f>
        <v>0</v>
      </c>
      <c r="S359" s="462">
        <f>VLOOKUP($E359,'5.1 Budget'!$A$4:$G$729,5,0)</f>
        <v>0</v>
      </c>
      <c r="T359" s="462">
        <f>VLOOKUP($E359,'5.1 Budget'!$A$4:$G$729,6,0)</f>
        <v>0</v>
      </c>
      <c r="U359" s="462">
        <f>VLOOKUP($E359,'5.1 Budget'!$A$4:$G$729,7,0)</f>
        <v>0</v>
      </c>
      <c r="V359" s="462">
        <f t="shared" si="6"/>
        <v>0</v>
      </c>
    </row>
    <row r="360" spans="1:22" ht="39" x14ac:dyDescent="0.25">
      <c r="A360" s="465">
        <v>3</v>
      </c>
      <c r="B360" s="12" t="s">
        <v>148</v>
      </c>
      <c r="C360" s="12" t="s">
        <v>151</v>
      </c>
      <c r="D360" s="12" t="s">
        <v>64</v>
      </c>
      <c r="E360" s="12" t="s">
        <v>948</v>
      </c>
      <c r="F360" s="469" t="str">
        <f>VLOOKUP(E360,'5. Consolidation'!$E$3:$F$715,2,0)</f>
        <v>Mettre en œuvre les mesures de restauration de la qualité des écosystèmes terrestres dépendants de l’eau souterraine et/ou aquatiques en matière de nitrates, sulfates, ammonium, chlorures pour les habitats Natura 2000 au travers des plans de gestion ‘Natura 2000’</v>
      </c>
      <c r="G360" s="12"/>
      <c r="H360" s="12"/>
      <c r="I360" s="12"/>
      <c r="J360" s="12"/>
      <c r="K360" s="12"/>
      <c r="L360" s="12"/>
      <c r="M360" s="12"/>
      <c r="N360" s="12"/>
      <c r="O360" s="12"/>
      <c r="P360" s="462">
        <f>VLOOKUP($E360,'5.1 Budget'!$A$4:$G$729,2,0)</f>
        <v>0</v>
      </c>
      <c r="Q360" s="462">
        <f>VLOOKUP($E360,'5.1 Budget'!$A$4:$G$729,3,0)</f>
        <v>0</v>
      </c>
      <c r="R360" s="462">
        <f>VLOOKUP($E360,'5.1 Budget'!$A$4:$G$729,4,0)</f>
        <v>0</v>
      </c>
      <c r="S360" s="462">
        <f>VLOOKUP($E360,'5.1 Budget'!$A$4:$G$729,5,0)</f>
        <v>0</v>
      </c>
      <c r="T360" s="462">
        <f>VLOOKUP($E360,'5.1 Budget'!$A$4:$G$729,6,0)</f>
        <v>0</v>
      </c>
      <c r="U360" s="462">
        <f>VLOOKUP($E360,'5.1 Budget'!$A$4:$G$729,7,0)</f>
        <v>0</v>
      </c>
      <c r="V360" s="462">
        <f t="shared" si="6"/>
        <v>0</v>
      </c>
    </row>
    <row r="361" spans="1:22" x14ac:dyDescent="0.25">
      <c r="A361" s="465">
        <v>3</v>
      </c>
      <c r="B361" s="12" t="s">
        <v>148</v>
      </c>
      <c r="C361" s="12" t="s">
        <v>152</v>
      </c>
      <c r="D361" s="12" t="s">
        <v>65</v>
      </c>
      <c r="E361" s="12" t="s">
        <v>952</v>
      </c>
      <c r="F361" s="469" t="str">
        <f>VLOOKUP(E361,'5. Consolidation'!$E$3:$F$715,2,0)</f>
        <v>Assurer le traitement tertiaire des deux stations d'épuration situées en Région de Bruxelles-Capitale</v>
      </c>
      <c r="G361" s="12"/>
      <c r="H361" s="12"/>
      <c r="I361" s="12"/>
      <c r="J361" s="12"/>
      <c r="K361" s="12"/>
      <c r="L361" s="12"/>
      <c r="M361" s="12"/>
      <c r="N361" s="459">
        <v>2022</v>
      </c>
      <c r="O361" s="12">
        <v>2027</v>
      </c>
      <c r="P361" s="462">
        <f>VLOOKUP($E361,'5.1 Budget'!$A$4:$G$729,2,0)</f>
        <v>51800000</v>
      </c>
      <c r="Q361" s="462">
        <f>VLOOKUP($E361,'5.1 Budget'!$A$4:$G$729,3,0)</f>
        <v>51800000</v>
      </c>
      <c r="R361" s="462">
        <f>VLOOKUP($E361,'5.1 Budget'!$A$4:$G$729,4,0)</f>
        <v>51800000</v>
      </c>
      <c r="S361" s="462">
        <f>VLOOKUP($E361,'5.1 Budget'!$A$4:$G$729,5,0)</f>
        <v>51800000</v>
      </c>
      <c r="T361" s="462">
        <f>VLOOKUP($E361,'5.1 Budget'!$A$4:$G$729,6,0)</f>
        <v>51800000</v>
      </c>
      <c r="U361" s="462">
        <f>VLOOKUP($E361,'5.1 Budget'!$A$4:$G$729,7,0)</f>
        <v>51800000</v>
      </c>
      <c r="V361" s="462">
        <f t="shared" si="6"/>
        <v>310800000</v>
      </c>
    </row>
    <row r="362" spans="1:22" ht="26.25" x14ac:dyDescent="0.25">
      <c r="A362" s="465">
        <v>3</v>
      </c>
      <c r="B362" s="12" t="s">
        <v>148</v>
      </c>
      <c r="C362" s="12" t="s">
        <v>152</v>
      </c>
      <c r="D362" s="12" t="s">
        <v>65</v>
      </c>
      <c r="E362" s="12" t="s">
        <v>953</v>
      </c>
      <c r="F362" s="469" t="str">
        <f>VLOOKUP(E362,'5. Consolidation'!$E$3:$F$715,2,0)</f>
        <v>Contrôler le respect des performances épuratoires et des normes de déversement des effluents par les STEP collectives régionales</v>
      </c>
      <c r="G362" s="12"/>
      <c r="H362" s="12"/>
      <c r="I362" s="12"/>
      <c r="J362" s="12"/>
      <c r="K362" s="12"/>
      <c r="L362" s="12"/>
      <c r="M362" s="12"/>
      <c r="N362" s="12"/>
      <c r="O362" s="12"/>
      <c r="P362" s="462">
        <f>VLOOKUP($E362,'5.1 Budget'!$A$4:$G$729,2,0)</f>
        <v>0</v>
      </c>
      <c r="Q362" s="462">
        <f>VLOOKUP($E362,'5.1 Budget'!$A$4:$G$729,3,0)</f>
        <v>0</v>
      </c>
      <c r="R362" s="462">
        <f>VLOOKUP($E362,'5.1 Budget'!$A$4:$G$729,4,0)</f>
        <v>0</v>
      </c>
      <c r="S362" s="462">
        <f>VLOOKUP($E362,'5.1 Budget'!$A$4:$G$729,5,0)</f>
        <v>0</v>
      </c>
      <c r="T362" s="462">
        <f>VLOOKUP($E362,'5.1 Budget'!$A$4:$G$729,6,0)</f>
        <v>0</v>
      </c>
      <c r="U362" s="462">
        <f>VLOOKUP($E362,'5.1 Budget'!$A$4:$G$729,7,0)</f>
        <v>0</v>
      </c>
      <c r="V362" s="462">
        <f t="shared" si="6"/>
        <v>0</v>
      </c>
    </row>
    <row r="363" spans="1:22" ht="26.25" x14ac:dyDescent="0.25">
      <c r="A363" s="465">
        <v>3</v>
      </c>
      <c r="B363" s="12" t="s">
        <v>148</v>
      </c>
      <c r="C363" s="12" t="s">
        <v>152</v>
      </c>
      <c r="D363" s="12" t="s">
        <v>65</v>
      </c>
      <c r="E363" s="12" t="s">
        <v>954</v>
      </c>
      <c r="F363" s="469" t="str">
        <f>VLOOKUP(E363,'5. Consolidation'!$E$3:$F$715,2,0)</f>
        <v>Contrôler les rejets des stations d’épuration collectives et autonomes au regard des permis d’environnement couvrant chaque installation (cf aussi M 1.12)</v>
      </c>
      <c r="G363" s="12"/>
      <c r="H363" s="12"/>
      <c r="I363" s="12"/>
      <c r="J363" s="12"/>
      <c r="K363" s="12"/>
      <c r="L363" s="12"/>
      <c r="M363" s="12"/>
      <c r="N363" s="12"/>
      <c r="O363" s="12"/>
      <c r="P363" s="462">
        <f>VLOOKUP($E363,'5.1 Budget'!$A$4:$G$729,2,0)</f>
        <v>0</v>
      </c>
      <c r="Q363" s="462">
        <f>VLOOKUP($E363,'5.1 Budget'!$A$4:$G$729,3,0)</f>
        <v>0</v>
      </c>
      <c r="R363" s="462">
        <f>VLOOKUP($E363,'5.1 Budget'!$A$4:$G$729,4,0)</f>
        <v>0</v>
      </c>
      <c r="S363" s="462">
        <f>VLOOKUP($E363,'5.1 Budget'!$A$4:$G$729,5,0)</f>
        <v>0</v>
      </c>
      <c r="T363" s="462">
        <f>VLOOKUP($E363,'5.1 Budget'!$A$4:$G$729,6,0)</f>
        <v>0</v>
      </c>
      <c r="U363" s="462">
        <f>VLOOKUP($E363,'5.1 Budget'!$A$4:$G$729,7,0)</f>
        <v>0</v>
      </c>
      <c r="V363" s="462">
        <f t="shared" si="6"/>
        <v>0</v>
      </c>
    </row>
    <row r="364" spans="1:22" x14ac:dyDescent="0.25">
      <c r="A364" s="465">
        <v>3</v>
      </c>
      <c r="B364" s="12" t="s">
        <v>148</v>
      </c>
      <c r="C364" s="12" t="s">
        <v>152</v>
      </c>
      <c r="D364" s="12" t="s">
        <v>65</v>
      </c>
      <c r="E364" s="12" t="s">
        <v>955</v>
      </c>
      <c r="F364" s="469" t="str">
        <f>VLOOKUP(E364,'5. Consolidation'!$E$3:$F$715,2,0)</f>
        <v>Contrôler le bon raccordement des particuliers et entreprises au réseau d'égouttage</v>
      </c>
      <c r="G364" s="12"/>
      <c r="H364" s="12"/>
      <c r="I364" s="12"/>
      <c r="J364" s="12"/>
      <c r="K364" s="12"/>
      <c r="L364" s="12"/>
      <c r="M364" s="12"/>
      <c r="N364" s="12"/>
      <c r="O364" s="12"/>
      <c r="P364" s="462">
        <f>VLOOKUP($E364,'5.1 Budget'!$A$4:$G$729,2,0)</f>
        <v>0</v>
      </c>
      <c r="Q364" s="462">
        <f>VLOOKUP($E364,'5.1 Budget'!$A$4:$G$729,3,0)</f>
        <v>0</v>
      </c>
      <c r="R364" s="462">
        <f>VLOOKUP($E364,'5.1 Budget'!$A$4:$G$729,4,0)</f>
        <v>0</v>
      </c>
      <c r="S364" s="462">
        <f>VLOOKUP($E364,'5.1 Budget'!$A$4:$G$729,5,0)</f>
        <v>0</v>
      </c>
      <c r="T364" s="462">
        <f>VLOOKUP($E364,'5.1 Budget'!$A$4:$G$729,6,0)</f>
        <v>0</v>
      </c>
      <c r="U364" s="462">
        <f>VLOOKUP($E364,'5.1 Budget'!$A$4:$G$729,7,0)</f>
        <v>0</v>
      </c>
      <c r="V364" s="462">
        <f t="shared" si="6"/>
        <v>0</v>
      </c>
    </row>
    <row r="365" spans="1:22" ht="26.25" x14ac:dyDescent="0.25">
      <c r="A365" s="465">
        <v>3</v>
      </c>
      <c r="B365" s="12" t="s">
        <v>148</v>
      </c>
      <c r="C365" s="12" t="s">
        <v>152</v>
      </c>
      <c r="D365" s="12" t="s">
        <v>65</v>
      </c>
      <c r="E365" s="12" t="s">
        <v>956</v>
      </c>
      <c r="F365" s="469" t="str">
        <f>VLOOKUP(E365,'5. Consolidation'!$E$3:$F$715,2,0)</f>
        <v>Imposer l'installation de stations d'épuration individuelles performantes lorsque le raccordement au réseau d'égouttage n'est techniquement et/ou économiquement pas réalisable (cf. M 2.4)</v>
      </c>
      <c r="G365" s="12"/>
      <c r="H365" s="12"/>
      <c r="I365" s="12"/>
      <c r="J365" s="12"/>
      <c r="K365" s="12"/>
      <c r="L365" s="12"/>
      <c r="M365" s="12"/>
      <c r="N365" s="12"/>
      <c r="O365" s="12"/>
      <c r="P365" s="462">
        <f>VLOOKUP($E365,'5.1 Budget'!$A$4:$G$729,2,0)</f>
        <v>0</v>
      </c>
      <c r="Q365" s="462">
        <f>VLOOKUP($E365,'5.1 Budget'!$A$4:$G$729,3,0)</f>
        <v>0</v>
      </c>
      <c r="R365" s="462">
        <f>VLOOKUP($E365,'5.1 Budget'!$A$4:$G$729,4,0)</f>
        <v>0</v>
      </c>
      <c r="S365" s="462">
        <f>VLOOKUP($E365,'5.1 Budget'!$A$4:$G$729,5,0)</f>
        <v>0</v>
      </c>
      <c r="T365" s="462">
        <f>VLOOKUP($E365,'5.1 Budget'!$A$4:$G$729,6,0)</f>
        <v>0</v>
      </c>
      <c r="U365" s="462">
        <f>VLOOKUP($E365,'5.1 Budget'!$A$4:$G$729,7,0)</f>
        <v>0</v>
      </c>
      <c r="V365" s="462">
        <f t="shared" si="6"/>
        <v>0</v>
      </c>
    </row>
    <row r="366" spans="1:22" x14ac:dyDescent="0.25">
      <c r="A366" s="465">
        <v>3</v>
      </c>
      <c r="B366" s="12" t="s">
        <v>148</v>
      </c>
      <c r="C366" s="12" t="s">
        <v>153</v>
      </c>
      <c r="D366" s="12" t="s">
        <v>66</v>
      </c>
      <c r="E366" s="12" t="s">
        <v>957</v>
      </c>
      <c r="F366" s="469" t="str">
        <f>VLOOKUP(E366,'5. Consolidation'!$E$3:$F$715,2,0)</f>
        <v>Assurer la surveillance qualitative des masses d’eau en lien avec les pesticides</v>
      </c>
      <c r="G366" s="12"/>
      <c r="H366" s="12"/>
      <c r="I366" s="12"/>
      <c r="J366" s="12"/>
      <c r="K366" s="12"/>
      <c r="L366" s="12"/>
      <c r="M366" s="12"/>
      <c r="N366" s="12"/>
      <c r="O366" s="12"/>
      <c r="P366" s="462">
        <f>VLOOKUP($E366,'5.1 Budget'!$A$4:$G$729,2,0)</f>
        <v>0</v>
      </c>
      <c r="Q366" s="462">
        <f>VLOOKUP($E366,'5.1 Budget'!$A$4:$G$729,3,0)</f>
        <v>0</v>
      </c>
      <c r="R366" s="462">
        <f>VLOOKUP($E366,'5.1 Budget'!$A$4:$G$729,4,0)</f>
        <v>0</v>
      </c>
      <c r="S366" s="462">
        <f>VLOOKUP($E366,'5.1 Budget'!$A$4:$G$729,5,0)</f>
        <v>0</v>
      </c>
      <c r="T366" s="462">
        <f>VLOOKUP($E366,'5.1 Budget'!$A$4:$G$729,6,0)</f>
        <v>0</v>
      </c>
      <c r="U366" s="462">
        <f>VLOOKUP($E366,'5.1 Budget'!$A$4:$G$729,7,0)</f>
        <v>0</v>
      </c>
      <c r="V366" s="462">
        <f t="shared" si="6"/>
        <v>0</v>
      </c>
    </row>
    <row r="367" spans="1:22" x14ac:dyDescent="0.25">
      <c r="A367" s="465">
        <v>3</v>
      </c>
      <c r="B367" s="12" t="s">
        <v>148</v>
      </c>
      <c r="C367" s="12" t="s">
        <v>153</v>
      </c>
      <c r="D367" s="12" t="s">
        <v>66</v>
      </c>
      <c r="E367" s="12" t="s">
        <v>958</v>
      </c>
      <c r="F367" s="469" t="str">
        <f>VLOOKUP(E367,'5. Consolidation'!$E$3:$F$715,2,0)</f>
        <v>Mettre en œuvre le Programme Régional de Réduction des pesticides</v>
      </c>
      <c r="G367" s="12"/>
      <c r="H367" s="12"/>
      <c r="I367" s="12"/>
      <c r="J367" s="12"/>
      <c r="K367" s="12"/>
      <c r="L367" s="12"/>
      <c r="M367" s="12"/>
      <c r="N367" s="12"/>
      <c r="O367" s="12"/>
      <c r="P367" s="462">
        <f>VLOOKUP($E367,'5.1 Budget'!$A$4:$G$729,2,0)</f>
        <v>0</v>
      </c>
      <c r="Q367" s="462">
        <f>VLOOKUP($E367,'5.1 Budget'!$A$4:$G$729,3,0)</f>
        <v>0</v>
      </c>
      <c r="R367" s="462">
        <f>VLOOKUP($E367,'5.1 Budget'!$A$4:$G$729,4,0)</f>
        <v>0</v>
      </c>
      <c r="S367" s="462">
        <f>VLOOKUP($E367,'5.1 Budget'!$A$4:$G$729,5,0)</f>
        <v>0</v>
      </c>
      <c r="T367" s="462">
        <f>VLOOKUP($E367,'5.1 Budget'!$A$4:$G$729,6,0)</f>
        <v>0</v>
      </c>
      <c r="U367" s="462">
        <f>VLOOKUP($E367,'5.1 Budget'!$A$4:$G$729,7,0)</f>
        <v>0</v>
      </c>
      <c r="V367" s="462">
        <f t="shared" si="6"/>
        <v>0</v>
      </c>
    </row>
    <row r="368" spans="1:22" x14ac:dyDescent="0.25">
      <c r="A368" s="465">
        <v>3</v>
      </c>
      <c r="B368" s="12" t="s">
        <v>154</v>
      </c>
      <c r="C368" s="12" t="s">
        <v>155</v>
      </c>
      <c r="D368" s="12" t="s">
        <v>67</v>
      </c>
      <c r="E368" s="12" t="s">
        <v>959</v>
      </c>
      <c r="F368" s="469" t="str">
        <f>VLOOKUP(E368,'5. Consolidation'!$E$3:$F$715,2,0)</f>
        <v>Valoriser une zone humide au niveau du grand étang Mellaerts – Etude et Travaux</v>
      </c>
      <c r="G368" s="12"/>
      <c r="H368" s="12"/>
      <c r="I368" s="12"/>
      <c r="J368" s="12"/>
      <c r="K368" s="12"/>
      <c r="L368" s="12"/>
      <c r="M368" s="12"/>
      <c r="N368" s="459">
        <v>2022</v>
      </c>
      <c r="O368" s="12"/>
      <c r="P368" s="462">
        <f>VLOOKUP($E368,'5.1 Budget'!$A$4:$G$729,2,0)</f>
        <v>35000</v>
      </c>
      <c r="Q368" s="462">
        <f>VLOOKUP($E368,'5.1 Budget'!$A$4:$G$729,3,0)</f>
        <v>0</v>
      </c>
      <c r="R368" s="462">
        <f>VLOOKUP($E368,'5.1 Budget'!$A$4:$G$729,4,0)</f>
        <v>200000</v>
      </c>
      <c r="S368" s="462">
        <f>VLOOKUP($E368,'5.1 Budget'!$A$4:$G$729,5,0)</f>
        <v>0</v>
      </c>
      <c r="T368" s="462">
        <f>VLOOKUP($E368,'5.1 Budget'!$A$4:$G$729,6,0)</f>
        <v>0</v>
      </c>
      <c r="U368" s="462">
        <f>VLOOKUP($E368,'5.1 Budget'!$A$4:$G$729,7,0)</f>
        <v>0</v>
      </c>
      <c r="V368" s="462">
        <f t="shared" si="6"/>
        <v>235000</v>
      </c>
    </row>
    <row r="369" spans="1:22" x14ac:dyDescent="0.25">
      <c r="A369" s="465">
        <v>3</v>
      </c>
      <c r="B369" s="12" t="s">
        <v>154</v>
      </c>
      <c r="C369" s="12" t="s">
        <v>155</v>
      </c>
      <c r="D369" s="12" t="s">
        <v>67</v>
      </c>
      <c r="E369" s="12" t="s">
        <v>970</v>
      </c>
      <c r="F369" s="469" t="str">
        <f>VLOOKUP(E369,'5. Consolidation'!$E$3:$F$715,2,0)</f>
        <v>Réaménagement étang Sobieski - Travaux</v>
      </c>
      <c r="G369" s="12"/>
      <c r="H369" s="12"/>
      <c r="I369" s="12"/>
      <c r="J369" s="12"/>
      <c r="K369" s="12"/>
      <c r="L369" s="12"/>
      <c r="M369" s="12"/>
      <c r="N369" s="459">
        <v>2022</v>
      </c>
      <c r="O369" s="12"/>
      <c r="P369" s="462">
        <f>VLOOKUP($E369,'5.1 Budget'!$A$4:$G$729,2,0)</f>
        <v>60000</v>
      </c>
      <c r="Q369" s="462">
        <f>VLOOKUP($E369,'5.1 Budget'!$A$4:$G$729,3,0)</f>
        <v>800000</v>
      </c>
      <c r="R369" s="462">
        <f>VLOOKUP($E369,'5.1 Budget'!$A$4:$G$729,4,0)</f>
        <v>0</v>
      </c>
      <c r="S369" s="462">
        <f>VLOOKUP($E369,'5.1 Budget'!$A$4:$G$729,5,0)</f>
        <v>0</v>
      </c>
      <c r="T369" s="462">
        <f>VLOOKUP($E369,'5.1 Budget'!$A$4:$G$729,6,0)</f>
        <v>0</v>
      </c>
      <c r="U369" s="462">
        <f>VLOOKUP($E369,'5.1 Budget'!$A$4:$G$729,7,0)</f>
        <v>0</v>
      </c>
      <c r="V369" s="462">
        <f t="shared" si="6"/>
        <v>860000</v>
      </c>
    </row>
    <row r="370" spans="1:22" x14ac:dyDescent="0.25">
      <c r="A370" s="465">
        <v>3</v>
      </c>
      <c r="B370" s="12" t="s">
        <v>154</v>
      </c>
      <c r="C370" s="12" t="s">
        <v>155</v>
      </c>
      <c r="D370" s="12" t="s">
        <v>67</v>
      </c>
      <c r="E370" s="12" t="s">
        <v>972</v>
      </c>
      <c r="F370" s="469" t="str">
        <f>VLOOKUP(E370,'5. Consolidation'!$E$3:$F$715,2,0)</f>
        <v>Réhabilitation et assainissement étang Parc Roi Baudouin phase 1 – Etude et Travaux</v>
      </c>
      <c r="G370" s="12"/>
      <c r="H370" s="12"/>
      <c r="I370" s="12"/>
      <c r="J370" s="12"/>
      <c r="K370" s="12"/>
      <c r="L370" s="12"/>
      <c r="M370" s="12"/>
      <c r="N370" s="459">
        <v>2022</v>
      </c>
      <c r="O370" s="12"/>
      <c r="P370" s="462">
        <f>VLOOKUP($E370,'5.1 Budget'!$A$4:$G$729,2,0)</f>
        <v>60000</v>
      </c>
      <c r="Q370" s="462">
        <f>VLOOKUP($E370,'5.1 Budget'!$A$4:$G$729,3,0)</f>
        <v>0</v>
      </c>
      <c r="R370" s="462">
        <f>VLOOKUP($E370,'5.1 Budget'!$A$4:$G$729,4,0)</f>
        <v>800000</v>
      </c>
      <c r="S370" s="462">
        <f>VLOOKUP($E370,'5.1 Budget'!$A$4:$G$729,5,0)</f>
        <v>0</v>
      </c>
      <c r="T370" s="462">
        <f>VLOOKUP($E370,'5.1 Budget'!$A$4:$G$729,6,0)</f>
        <v>0</v>
      </c>
      <c r="U370" s="462">
        <f>VLOOKUP($E370,'5.1 Budget'!$A$4:$G$729,7,0)</f>
        <v>0</v>
      </c>
      <c r="V370" s="462">
        <f t="shared" si="6"/>
        <v>860000</v>
      </c>
    </row>
    <row r="371" spans="1:22" x14ac:dyDescent="0.25">
      <c r="A371" s="465">
        <v>3</v>
      </c>
      <c r="B371" s="12" t="s">
        <v>154</v>
      </c>
      <c r="C371" s="12" t="s">
        <v>155</v>
      </c>
      <c r="D371" s="12" t="s">
        <v>67</v>
      </c>
      <c r="E371" s="12" t="s">
        <v>973</v>
      </c>
      <c r="F371" s="469" t="str">
        <f>VLOOKUP(E371,'5. Consolidation'!$E$3:$F$715,2,0)</f>
        <v>Réhabilitation et assainissement étangs Tournay Solvay – Etude et Travaux</v>
      </c>
      <c r="G371" s="12"/>
      <c r="H371" s="12"/>
      <c r="I371" s="12"/>
      <c r="J371" s="12"/>
      <c r="K371" s="12"/>
      <c r="L371" s="12"/>
      <c r="M371" s="12"/>
      <c r="N371" s="459">
        <v>2022</v>
      </c>
      <c r="O371" s="12"/>
      <c r="P371" s="462">
        <f>VLOOKUP($E371,'5.1 Budget'!$A$4:$G$729,2,0)</f>
        <v>50000</v>
      </c>
      <c r="Q371" s="462">
        <f>VLOOKUP($E371,'5.1 Budget'!$A$4:$G$729,3,0)</f>
        <v>0</v>
      </c>
      <c r="R371" s="462">
        <f>VLOOKUP($E371,'5.1 Budget'!$A$4:$G$729,4,0)</f>
        <v>1000000</v>
      </c>
      <c r="S371" s="462">
        <f>VLOOKUP($E371,'5.1 Budget'!$A$4:$G$729,5,0)</f>
        <v>0</v>
      </c>
      <c r="T371" s="462">
        <f>VLOOKUP($E371,'5.1 Budget'!$A$4:$G$729,6,0)</f>
        <v>0</v>
      </c>
      <c r="U371" s="462">
        <f>VLOOKUP($E371,'5.1 Budget'!$A$4:$G$729,7,0)</f>
        <v>0</v>
      </c>
      <c r="V371" s="462">
        <f t="shared" si="6"/>
        <v>1050000</v>
      </c>
    </row>
    <row r="372" spans="1:22" x14ac:dyDescent="0.25">
      <c r="A372" s="465">
        <v>3</v>
      </c>
      <c r="B372" s="12" t="s">
        <v>154</v>
      </c>
      <c r="C372" s="12" t="s">
        <v>155</v>
      </c>
      <c r="D372" s="12" t="s">
        <v>67</v>
      </c>
      <c r="E372" s="12" t="s">
        <v>974</v>
      </c>
      <c r="F372" s="469" t="str">
        <f>VLOOKUP(E372,'5. Consolidation'!$E$3:$F$715,2,0)</f>
        <v>Réhabilitation et assainissement étang Marius Renard – Etude et Travaux</v>
      </c>
      <c r="G372" s="12"/>
      <c r="H372" s="12"/>
      <c r="I372" s="12"/>
      <c r="J372" s="12"/>
      <c r="K372" s="12"/>
      <c r="L372" s="12"/>
      <c r="M372" s="12"/>
      <c r="N372" s="459">
        <v>2025</v>
      </c>
      <c r="O372" s="12"/>
      <c r="P372" s="462">
        <f>VLOOKUP($E372,'5.1 Budget'!$A$4:$G$729,2,0)</f>
        <v>0</v>
      </c>
      <c r="Q372" s="462">
        <f>VLOOKUP($E372,'5.1 Budget'!$A$4:$G$729,3,0)</f>
        <v>0</v>
      </c>
      <c r="R372" s="462">
        <f>VLOOKUP($E372,'5.1 Budget'!$A$4:$G$729,4,0)</f>
        <v>0</v>
      </c>
      <c r="S372" s="462">
        <f>VLOOKUP($E372,'5.1 Budget'!$A$4:$G$729,5,0)</f>
        <v>200000</v>
      </c>
      <c r="T372" s="462">
        <f>VLOOKUP($E372,'5.1 Budget'!$A$4:$G$729,6,0)</f>
        <v>1600000</v>
      </c>
      <c r="U372" s="462">
        <f>VLOOKUP($E372,'5.1 Budget'!$A$4:$G$729,7,0)</f>
        <v>0</v>
      </c>
      <c r="V372" s="462">
        <f t="shared" si="6"/>
        <v>1800000</v>
      </c>
    </row>
    <row r="373" spans="1:22" x14ac:dyDescent="0.25">
      <c r="A373" s="465">
        <v>3</v>
      </c>
      <c r="B373" s="12" t="s">
        <v>154</v>
      </c>
      <c r="C373" s="12" t="s">
        <v>155</v>
      </c>
      <c r="D373" s="12" t="s">
        <v>67</v>
      </c>
      <c r="E373" s="12" t="s">
        <v>975</v>
      </c>
      <c r="F373" s="469" t="str">
        <f>VLOOKUP(E373,'5. Consolidation'!$E$3:$F$715,2,0)</f>
        <v>Réhabilitation mare Sauvagère (naturalisation, patrimoine, berge, cascades, ...) – Etude et Travaux</v>
      </c>
      <c r="G373" s="12"/>
      <c r="H373" s="12"/>
      <c r="I373" s="12"/>
      <c r="J373" s="12"/>
      <c r="K373" s="12"/>
      <c r="L373" s="12"/>
      <c r="M373" s="12"/>
      <c r="N373" s="459">
        <v>2022</v>
      </c>
      <c r="O373" s="12"/>
      <c r="P373" s="462">
        <f>VLOOKUP($E373,'5.1 Budget'!$A$4:$G$729,2,0)</f>
        <v>50000</v>
      </c>
      <c r="Q373" s="462">
        <f>VLOOKUP($E373,'5.1 Budget'!$A$4:$G$729,3,0)</f>
        <v>250000</v>
      </c>
      <c r="R373" s="462">
        <f>VLOOKUP($E373,'5.1 Budget'!$A$4:$G$729,4,0)</f>
        <v>0</v>
      </c>
      <c r="S373" s="462">
        <f>VLOOKUP($E373,'5.1 Budget'!$A$4:$G$729,5,0)</f>
        <v>0</v>
      </c>
      <c r="T373" s="462">
        <f>VLOOKUP($E373,'5.1 Budget'!$A$4:$G$729,6,0)</f>
        <v>0</v>
      </c>
      <c r="U373" s="462">
        <f>VLOOKUP($E373,'5.1 Budget'!$A$4:$G$729,7,0)</f>
        <v>0</v>
      </c>
      <c r="V373" s="462">
        <f t="shared" si="6"/>
        <v>300000</v>
      </c>
    </row>
    <row r="374" spans="1:22" x14ac:dyDescent="0.25">
      <c r="A374" s="465">
        <v>3</v>
      </c>
      <c r="B374" s="12" t="s">
        <v>154</v>
      </c>
      <c r="C374" s="12" t="s">
        <v>155</v>
      </c>
      <c r="D374" s="12" t="s">
        <v>67</v>
      </c>
      <c r="E374" s="12" t="s">
        <v>976</v>
      </c>
      <c r="F374" s="469" t="str">
        <f>VLOOKUP(E374,'5. Consolidation'!$E$3:$F$715,2,0)</f>
        <v>Réhabilitation et assainissement étang Ten Reuken - Travaux</v>
      </c>
      <c r="G374" s="12"/>
      <c r="H374" s="12"/>
      <c r="I374" s="12"/>
      <c r="J374" s="12"/>
      <c r="K374" s="12"/>
      <c r="L374" s="12"/>
      <c r="M374" s="12"/>
      <c r="N374" s="459">
        <v>2022</v>
      </c>
      <c r="O374" s="12"/>
      <c r="P374" s="462">
        <f>VLOOKUP($E374,'5.1 Budget'!$A$4:$G$729,2,0)</f>
        <v>500000</v>
      </c>
      <c r="Q374" s="462">
        <f>VLOOKUP($E374,'5.1 Budget'!$A$4:$G$729,3,0)</f>
        <v>500000</v>
      </c>
      <c r="R374" s="462">
        <f>VLOOKUP($E374,'5.1 Budget'!$A$4:$G$729,4,0)</f>
        <v>0</v>
      </c>
      <c r="S374" s="462">
        <f>VLOOKUP($E374,'5.1 Budget'!$A$4:$G$729,5,0)</f>
        <v>0</v>
      </c>
      <c r="T374" s="462">
        <f>VLOOKUP($E374,'5.1 Budget'!$A$4:$G$729,6,0)</f>
        <v>0</v>
      </c>
      <c r="U374" s="462">
        <f>VLOOKUP($E374,'5.1 Budget'!$A$4:$G$729,7,0)</f>
        <v>0</v>
      </c>
      <c r="V374" s="462">
        <f t="shared" si="6"/>
        <v>1000000</v>
      </c>
    </row>
    <row r="375" spans="1:22" x14ac:dyDescent="0.25">
      <c r="A375" s="465">
        <v>3</v>
      </c>
      <c r="B375" s="12" t="s">
        <v>154</v>
      </c>
      <c r="C375" s="12" t="s">
        <v>155</v>
      </c>
      <c r="D375" s="12" t="s">
        <v>67</v>
      </c>
      <c r="E375" s="12" t="s">
        <v>977</v>
      </c>
      <c r="F375" s="469" t="str">
        <f>VLOOKUP(E375,'5. Consolidation'!$E$3:$F$715,2,0)</f>
        <v>Remplacement moine Rouge Cloître Woluwe – Etude et Travaux</v>
      </c>
      <c r="G375" s="12"/>
      <c r="H375" s="12"/>
      <c r="I375" s="12"/>
      <c r="J375" s="12"/>
      <c r="K375" s="12"/>
      <c r="L375" s="12"/>
      <c r="M375" s="12"/>
      <c r="N375" s="459">
        <v>2022</v>
      </c>
      <c r="O375" s="12"/>
      <c r="P375" s="462">
        <f>VLOOKUP($E375,'5.1 Budget'!$A$4:$G$729,2,0)</f>
        <v>85000</v>
      </c>
      <c r="Q375" s="462">
        <f>VLOOKUP($E375,'5.1 Budget'!$A$4:$G$729,3,0)</f>
        <v>350000</v>
      </c>
      <c r="R375" s="462">
        <f>VLOOKUP($E375,'5.1 Budget'!$A$4:$G$729,4,0)</f>
        <v>0</v>
      </c>
      <c r="S375" s="462">
        <f>VLOOKUP($E375,'5.1 Budget'!$A$4:$G$729,5,0)</f>
        <v>0</v>
      </c>
      <c r="T375" s="462">
        <f>VLOOKUP($E375,'5.1 Budget'!$A$4:$G$729,6,0)</f>
        <v>0</v>
      </c>
      <c r="U375" s="462">
        <f>VLOOKUP($E375,'5.1 Budget'!$A$4:$G$729,7,0)</f>
        <v>0</v>
      </c>
      <c r="V375" s="462">
        <f t="shared" si="6"/>
        <v>435000</v>
      </c>
    </row>
    <row r="376" spans="1:22" x14ac:dyDescent="0.25">
      <c r="A376" s="465">
        <v>3</v>
      </c>
      <c r="B376" s="12" t="s">
        <v>154</v>
      </c>
      <c r="C376" s="12" t="s">
        <v>155</v>
      </c>
      <c r="D376" s="12" t="s">
        <v>67</v>
      </c>
      <c r="E376" s="12" t="s">
        <v>978</v>
      </c>
      <c r="F376" s="469" t="str">
        <f>VLOOKUP(E376,'5. Consolidation'!$E$3:$F$715,2,0)</f>
        <v>Aménagement et naturalisation du Marais Wiels – Etude et Travaux</v>
      </c>
      <c r="G376" s="12"/>
      <c r="H376" s="12"/>
      <c r="I376" s="12"/>
      <c r="J376" s="12"/>
      <c r="K376" s="12"/>
      <c r="L376" s="12"/>
      <c r="M376" s="12"/>
      <c r="N376" s="459">
        <v>2022</v>
      </c>
      <c r="O376" s="12"/>
      <c r="P376" s="462">
        <f>VLOOKUP($E376,'5.1 Budget'!$A$4:$G$729,2,0)</f>
        <v>100000</v>
      </c>
      <c r="Q376" s="462">
        <f>VLOOKUP($E376,'5.1 Budget'!$A$4:$G$729,3,0)</f>
        <v>0</v>
      </c>
      <c r="R376" s="462">
        <f>VLOOKUP($E376,'5.1 Budget'!$A$4:$G$729,4,0)</f>
        <v>1000000</v>
      </c>
      <c r="S376" s="462">
        <f>VLOOKUP($E376,'5.1 Budget'!$A$4:$G$729,5,0)</f>
        <v>0</v>
      </c>
      <c r="T376" s="462">
        <f>VLOOKUP($E376,'5.1 Budget'!$A$4:$G$729,6,0)</f>
        <v>0</v>
      </c>
      <c r="U376" s="462">
        <f>VLOOKUP($E376,'5.1 Budget'!$A$4:$G$729,7,0)</f>
        <v>0</v>
      </c>
      <c r="V376" s="462">
        <f t="shared" si="6"/>
        <v>1100000</v>
      </c>
    </row>
    <row r="377" spans="1:22" ht="26.25" x14ac:dyDescent="0.25">
      <c r="A377" s="465">
        <v>3</v>
      </c>
      <c r="B377" s="12" t="s">
        <v>154</v>
      </c>
      <c r="C377" s="12" t="s">
        <v>155</v>
      </c>
      <c r="D377" s="12" t="s">
        <v>67</v>
      </c>
      <c r="E377" s="12" t="s">
        <v>960</v>
      </c>
      <c r="F377" s="469" t="str">
        <f>VLOOKUP(E377,'5. Consolidation'!$E$3:$F$715,2,0)</f>
        <v>Aménagement et naturalisation de l’étangs Moyen et Mayfair au parc de la Pede (pour la partie baignade, voir également M 6.7) – Etude et Travaux</v>
      </c>
      <c r="G377" s="12"/>
      <c r="H377" s="12"/>
      <c r="I377" s="12"/>
      <c r="J377" s="12"/>
      <c r="K377" s="12"/>
      <c r="L377" s="12"/>
      <c r="M377" s="12"/>
      <c r="N377" s="459">
        <v>2022</v>
      </c>
      <c r="O377" s="12"/>
      <c r="P377" s="462">
        <f>VLOOKUP($E377,'5.1 Budget'!$A$4:$G$729,2,0)</f>
        <v>50000</v>
      </c>
      <c r="Q377" s="462">
        <f>VLOOKUP($E377,'5.1 Budget'!$A$4:$G$729,3,0)</f>
        <v>500000</v>
      </c>
      <c r="R377" s="462">
        <f>VLOOKUP($E377,'5.1 Budget'!$A$4:$G$729,4,0)</f>
        <v>500000</v>
      </c>
      <c r="S377" s="462">
        <f>VLOOKUP($E377,'5.1 Budget'!$A$4:$G$729,5,0)</f>
        <v>0</v>
      </c>
      <c r="T377" s="462">
        <f>VLOOKUP($E377,'5.1 Budget'!$A$4:$G$729,6,0)</f>
        <v>0</v>
      </c>
      <c r="U377" s="462">
        <f>VLOOKUP($E377,'5.1 Budget'!$A$4:$G$729,7,0)</f>
        <v>0</v>
      </c>
      <c r="V377" s="462">
        <f t="shared" si="6"/>
        <v>1050000</v>
      </c>
    </row>
    <row r="378" spans="1:22" ht="26.25" x14ac:dyDescent="0.25">
      <c r="A378" s="465">
        <v>3</v>
      </c>
      <c r="B378" s="12" t="s">
        <v>154</v>
      </c>
      <c r="C378" s="12" t="s">
        <v>155</v>
      </c>
      <c r="D378" s="12" t="s">
        <v>67</v>
      </c>
      <c r="E378" s="12" t="s">
        <v>961</v>
      </c>
      <c r="F378" s="469" t="str">
        <f>VLOOKUP(E378,'5. Consolidation'!$E$3:$F$715,2,0)</f>
        <v>Réaliser une étude pour l’aménagement de berges naturelles aux Etangs Bémel, Long, Denis et Rond du Parc de Woluwe (état actuel : berges en palplanches de bois) tel que prévu dans le Plan de Gestion de site Natura 2000</v>
      </c>
      <c r="G378" s="12"/>
      <c r="H378" s="12"/>
      <c r="I378" s="12"/>
      <c r="J378" s="12"/>
      <c r="K378" s="12"/>
      <c r="L378" s="12"/>
      <c r="M378" s="12"/>
      <c r="N378" s="12"/>
      <c r="O378" s="12"/>
      <c r="P378" s="462">
        <f>VLOOKUP($E378,'5.1 Budget'!$A$4:$G$729,2,0)</f>
        <v>0</v>
      </c>
      <c r="Q378" s="462">
        <f>VLOOKUP($E378,'5.1 Budget'!$A$4:$G$729,3,0)</f>
        <v>0</v>
      </c>
      <c r="R378" s="462">
        <f>VLOOKUP($E378,'5.1 Budget'!$A$4:$G$729,4,0)</f>
        <v>0</v>
      </c>
      <c r="S378" s="462">
        <f>VLOOKUP($E378,'5.1 Budget'!$A$4:$G$729,5,0)</f>
        <v>0</v>
      </c>
      <c r="T378" s="462">
        <f>VLOOKUP($E378,'5.1 Budget'!$A$4:$G$729,6,0)</f>
        <v>0</v>
      </c>
      <c r="U378" s="462">
        <f>VLOOKUP($E378,'5.1 Budget'!$A$4:$G$729,7,0)</f>
        <v>0</v>
      </c>
      <c r="V378" s="462">
        <f t="shared" si="6"/>
        <v>0</v>
      </c>
    </row>
    <row r="379" spans="1:22" ht="26.25" x14ac:dyDescent="0.25">
      <c r="A379" s="465">
        <v>3</v>
      </c>
      <c r="B379" s="12" t="s">
        <v>154</v>
      </c>
      <c r="C379" s="12" t="s">
        <v>155</v>
      </c>
      <c r="D379" s="12" t="s">
        <v>67</v>
      </c>
      <c r="E379" s="12" t="s">
        <v>962</v>
      </c>
      <c r="F379" s="469" t="str">
        <f>VLOOKUP(E379,'5. Consolidation'!$E$3:$F$715,2,0)</f>
        <v>Aménager des berges naturelles aux Etangs Bémel, Long, Denis et Rond du Parc de Woluwe (état actuel : berges en palplanches de bois) tel que prévu dans le Plan de Gestion de site Natura 2000</v>
      </c>
      <c r="G379" s="12"/>
      <c r="H379" s="12"/>
      <c r="I379" s="12"/>
      <c r="J379" s="12"/>
      <c r="K379" s="12"/>
      <c r="L379" s="12"/>
      <c r="M379" s="12"/>
      <c r="N379" s="12"/>
      <c r="O379" s="12"/>
      <c r="P379" s="462">
        <f>VLOOKUP($E379,'5.1 Budget'!$A$4:$G$729,2,0)</f>
        <v>0</v>
      </c>
      <c r="Q379" s="462">
        <f>VLOOKUP($E379,'5.1 Budget'!$A$4:$G$729,3,0)</f>
        <v>0</v>
      </c>
      <c r="R379" s="462">
        <f>VLOOKUP($E379,'5.1 Budget'!$A$4:$G$729,4,0)</f>
        <v>0</v>
      </c>
      <c r="S379" s="462">
        <f>VLOOKUP($E379,'5.1 Budget'!$A$4:$G$729,5,0)</f>
        <v>0</v>
      </c>
      <c r="T379" s="462">
        <f>VLOOKUP($E379,'5.1 Budget'!$A$4:$G$729,6,0)</f>
        <v>0</v>
      </c>
      <c r="U379" s="462">
        <f>VLOOKUP($E379,'5.1 Budget'!$A$4:$G$729,7,0)</f>
        <v>0</v>
      </c>
      <c r="V379" s="462">
        <f t="shared" si="6"/>
        <v>0</v>
      </c>
    </row>
    <row r="380" spans="1:22" ht="26.25" x14ac:dyDescent="0.25">
      <c r="A380" s="465">
        <v>3</v>
      </c>
      <c r="B380" s="12" t="s">
        <v>154</v>
      </c>
      <c r="C380" s="12" t="s">
        <v>155</v>
      </c>
      <c r="D380" s="12" t="s">
        <v>67</v>
      </c>
      <c r="E380" s="12" t="s">
        <v>963</v>
      </c>
      <c r="F380" s="469" t="str">
        <f>VLOOKUP(E380,'5. Consolidation'!$E$3:$F$715,2,0)</f>
        <v>Réaliser une étude pour l’aménagement de berges naturelles à l’Etang Grand Mellaerts (état actuel : berges en palplanches en bois) tel que prévu dans le Plan de Gestion de site Natura 2000</v>
      </c>
      <c r="G380" s="12"/>
      <c r="H380" s="12"/>
      <c r="I380" s="12"/>
      <c r="J380" s="12"/>
      <c r="K380" s="12"/>
      <c r="L380" s="12"/>
      <c r="M380" s="12"/>
      <c r="N380" s="12"/>
      <c r="O380" s="12"/>
      <c r="P380" s="462">
        <f>VLOOKUP($E380,'5.1 Budget'!$A$4:$G$729,2,0)</f>
        <v>0</v>
      </c>
      <c r="Q380" s="462">
        <f>VLOOKUP($E380,'5.1 Budget'!$A$4:$G$729,3,0)</f>
        <v>0</v>
      </c>
      <c r="R380" s="462">
        <f>VLOOKUP($E380,'5.1 Budget'!$A$4:$G$729,4,0)</f>
        <v>0</v>
      </c>
      <c r="S380" s="462">
        <f>VLOOKUP($E380,'5.1 Budget'!$A$4:$G$729,5,0)</f>
        <v>0</v>
      </c>
      <c r="T380" s="462">
        <f>VLOOKUP($E380,'5.1 Budget'!$A$4:$G$729,6,0)</f>
        <v>0</v>
      </c>
      <c r="U380" s="462">
        <f>VLOOKUP($E380,'5.1 Budget'!$A$4:$G$729,7,0)</f>
        <v>0</v>
      </c>
      <c r="V380" s="462">
        <f t="shared" si="6"/>
        <v>0</v>
      </c>
    </row>
    <row r="381" spans="1:22" ht="26.25" x14ac:dyDescent="0.25">
      <c r="A381" s="465">
        <v>3</v>
      </c>
      <c r="B381" s="12" t="s">
        <v>154</v>
      </c>
      <c r="C381" s="12" t="s">
        <v>155</v>
      </c>
      <c r="D381" s="12" t="s">
        <v>67</v>
      </c>
      <c r="E381" s="12" t="s">
        <v>964</v>
      </c>
      <c r="F381" s="469" t="str">
        <f>VLOOKUP(E381,'5. Consolidation'!$E$3:$F$715,2,0)</f>
        <v>Aménager de berges naturelles à l’Etang Grand Mellaerts (état actuel : berges en palplanches en bois) tel que prévu dans le Plan de Gestion de site Natura 2000</v>
      </c>
      <c r="G381" s="12"/>
      <c r="H381" s="12"/>
      <c r="I381" s="12"/>
      <c r="J381" s="12"/>
      <c r="K381" s="12"/>
      <c r="L381" s="12"/>
      <c r="M381" s="12"/>
      <c r="N381" s="12"/>
      <c r="O381" s="12"/>
      <c r="P381" s="462">
        <f>VLOOKUP($E381,'5.1 Budget'!$A$4:$G$729,2,0)</f>
        <v>0</v>
      </c>
      <c r="Q381" s="462">
        <f>VLOOKUP($E381,'5.1 Budget'!$A$4:$G$729,3,0)</f>
        <v>0</v>
      </c>
      <c r="R381" s="462">
        <f>VLOOKUP($E381,'5.1 Budget'!$A$4:$G$729,4,0)</f>
        <v>0</v>
      </c>
      <c r="S381" s="462">
        <f>VLOOKUP($E381,'5.1 Budget'!$A$4:$G$729,5,0)</f>
        <v>0</v>
      </c>
      <c r="T381" s="462">
        <f>VLOOKUP($E381,'5.1 Budget'!$A$4:$G$729,6,0)</f>
        <v>0</v>
      </c>
      <c r="U381" s="462">
        <f>VLOOKUP($E381,'5.1 Budget'!$A$4:$G$729,7,0)</f>
        <v>0</v>
      </c>
      <c r="V381" s="462">
        <f t="shared" si="6"/>
        <v>0</v>
      </c>
    </row>
    <row r="382" spans="1:22" ht="26.25" x14ac:dyDescent="0.25">
      <c r="A382" s="465">
        <v>3</v>
      </c>
      <c r="B382" s="12" t="s">
        <v>154</v>
      </c>
      <c r="C382" s="12" t="s">
        <v>155</v>
      </c>
      <c r="D382" s="12" t="s">
        <v>67</v>
      </c>
      <c r="E382" s="12" t="s">
        <v>965</v>
      </c>
      <c r="F382" s="469" t="str">
        <f>VLOOKUP(E382,'5. Consolidation'!$E$3:$F$715,2,0)</f>
        <v>Mener une gestion alternative des étangs, Mise en assec, Culture des vases, Bio-dragage, Installation d’îles flottantes (radeaux végétalisés) (voir également M 1.2 et M 6.2.3).</v>
      </c>
      <c r="G382" s="12"/>
      <c r="H382" s="12"/>
      <c r="I382" s="12"/>
      <c r="J382" s="12"/>
      <c r="K382" s="12"/>
      <c r="L382" s="12"/>
      <c r="M382" s="12"/>
      <c r="N382" s="459">
        <v>2022</v>
      </c>
      <c r="O382" s="12">
        <v>2027</v>
      </c>
      <c r="P382" s="462">
        <f>VLOOKUP($E382,'5.1 Budget'!$A$4:$G$729,2,0)</f>
        <v>20000</v>
      </c>
      <c r="Q382" s="462">
        <f>VLOOKUP($E382,'5.1 Budget'!$A$4:$G$729,3,0)</f>
        <v>20000</v>
      </c>
      <c r="R382" s="462">
        <f>VLOOKUP($E382,'5.1 Budget'!$A$4:$G$729,4,0)</f>
        <v>20000</v>
      </c>
      <c r="S382" s="462">
        <f>VLOOKUP($E382,'5.1 Budget'!$A$4:$G$729,5,0)</f>
        <v>20000</v>
      </c>
      <c r="T382" s="462">
        <f>VLOOKUP($E382,'5.1 Budget'!$A$4:$G$729,6,0)</f>
        <v>20000</v>
      </c>
      <c r="U382" s="462">
        <f>VLOOKUP($E382,'5.1 Budget'!$A$4:$G$729,7,0)</f>
        <v>20000</v>
      </c>
      <c r="V382" s="462">
        <f t="shared" si="6"/>
        <v>120000</v>
      </c>
    </row>
    <row r="383" spans="1:22" x14ac:dyDescent="0.25">
      <c r="A383" s="465">
        <v>3</v>
      </c>
      <c r="B383" s="12" t="s">
        <v>154</v>
      </c>
      <c r="C383" s="12" t="s">
        <v>155</v>
      </c>
      <c r="D383" s="12" t="s">
        <v>67</v>
      </c>
      <c r="E383" s="12" t="s">
        <v>966</v>
      </c>
      <c r="F383" s="469" t="str">
        <f>VLOOKUP(E383,'5. Consolidation'!$E$3:$F$715,2,0)</f>
        <v>Mener une campagne de mesures des nutriments dans les étangs bruxellois pour initialiser et valider un modèle</v>
      </c>
      <c r="G383" s="12"/>
      <c r="H383" s="12"/>
      <c r="I383" s="12"/>
      <c r="J383" s="12"/>
      <c r="K383" s="12"/>
      <c r="L383" s="12"/>
      <c r="M383" s="12"/>
      <c r="N383" s="459">
        <v>2022</v>
      </c>
      <c r="O383" s="12"/>
      <c r="P383" s="462">
        <f>VLOOKUP($E383,'5.1 Budget'!$A$4:$G$729,2,0)</f>
        <v>20000</v>
      </c>
      <c r="Q383" s="462">
        <f>VLOOKUP($E383,'5.1 Budget'!$A$4:$G$729,3,0)</f>
        <v>0</v>
      </c>
      <c r="R383" s="462">
        <f>VLOOKUP($E383,'5.1 Budget'!$A$4:$G$729,4,0)</f>
        <v>0</v>
      </c>
      <c r="S383" s="462">
        <f>VLOOKUP($E383,'5.1 Budget'!$A$4:$G$729,5,0)</f>
        <v>0</v>
      </c>
      <c r="T383" s="462">
        <f>VLOOKUP($E383,'5.1 Budget'!$A$4:$G$729,6,0)</f>
        <v>0</v>
      </c>
      <c r="U383" s="462">
        <f>VLOOKUP($E383,'5.1 Budget'!$A$4:$G$729,7,0)</f>
        <v>0</v>
      </c>
      <c r="V383" s="462">
        <f t="shared" si="6"/>
        <v>20000</v>
      </c>
    </row>
    <row r="384" spans="1:22" x14ac:dyDescent="0.25">
      <c r="A384" s="465">
        <v>3</v>
      </c>
      <c r="B384" s="12" t="s">
        <v>154</v>
      </c>
      <c r="C384" s="12" t="s">
        <v>155</v>
      </c>
      <c r="D384" s="12" t="s">
        <v>67</v>
      </c>
      <c r="E384" s="12" t="s">
        <v>967</v>
      </c>
      <c r="F384" s="469" t="str">
        <f>VLOOKUP(E384,'5. Consolidation'!$E$3:$F$715,2,0)</f>
        <v xml:space="preserve">Développer un modèle de prédiction des crises cyanobactéries afin de guider la gestion des étangs </v>
      </c>
      <c r="G384" s="12"/>
      <c r="H384" s="12"/>
      <c r="I384" s="12"/>
      <c r="J384" s="12"/>
      <c r="K384" s="12"/>
      <c r="L384" s="12"/>
      <c r="M384" s="12"/>
      <c r="N384" s="459">
        <v>2022</v>
      </c>
      <c r="O384" s="12"/>
      <c r="P384" s="462">
        <f>VLOOKUP($E384,'5.1 Budget'!$A$4:$G$729,2,0)</f>
        <v>45000</v>
      </c>
      <c r="Q384" s="462">
        <f>VLOOKUP($E384,'5.1 Budget'!$A$4:$G$729,3,0)</f>
        <v>44333</v>
      </c>
      <c r="R384" s="462">
        <f>VLOOKUP($E384,'5.1 Budget'!$A$4:$G$729,4,0)</f>
        <v>0</v>
      </c>
      <c r="S384" s="462">
        <f>VLOOKUP($E384,'5.1 Budget'!$A$4:$G$729,5,0)</f>
        <v>0</v>
      </c>
      <c r="T384" s="462">
        <f>VLOOKUP($E384,'5.1 Budget'!$A$4:$G$729,6,0)</f>
        <v>0</v>
      </c>
      <c r="U384" s="462">
        <f>VLOOKUP($E384,'5.1 Budget'!$A$4:$G$729,7,0)</f>
        <v>0</v>
      </c>
      <c r="V384" s="462">
        <f t="shared" si="6"/>
        <v>89333</v>
      </c>
    </row>
    <row r="385" spans="1:22" ht="26.25" x14ac:dyDescent="0.25">
      <c r="A385" s="465">
        <v>3</v>
      </c>
      <c r="B385" s="12" t="s">
        <v>154</v>
      </c>
      <c r="C385" s="12" t="s">
        <v>155</v>
      </c>
      <c r="D385" s="12" t="s">
        <v>67</v>
      </c>
      <c r="E385" s="12" t="s">
        <v>979</v>
      </c>
      <c r="F385" s="469" t="str">
        <f>VLOOKUP(E385,'5. Consolidation'!$E$3:$F$715,2,0)</f>
        <v>Rendre au réseau hydrographique, y compris les étangs, sa fonction d’exutoire et de zone de débordement naturel, via la reconnexion des eaux claires et la gestion intégrée des eaux pluviales (GiEP), (voir également M 1.27 et 5.4)</v>
      </c>
      <c r="G385" s="12"/>
      <c r="H385" s="12"/>
      <c r="I385" s="12"/>
      <c r="J385" s="12"/>
      <c r="K385" s="12"/>
      <c r="L385" s="12"/>
      <c r="M385" s="12"/>
      <c r="N385" s="12"/>
      <c r="O385" s="12"/>
      <c r="P385" s="462">
        <v>0</v>
      </c>
      <c r="Q385" s="462">
        <v>0</v>
      </c>
      <c r="R385" s="462">
        <v>0</v>
      </c>
      <c r="S385" s="462">
        <v>0</v>
      </c>
      <c r="T385" s="462">
        <v>0</v>
      </c>
      <c r="U385" s="462">
        <v>0</v>
      </c>
      <c r="V385" s="462">
        <f t="shared" si="6"/>
        <v>0</v>
      </c>
    </row>
    <row r="386" spans="1:22" x14ac:dyDescent="0.25">
      <c r="A386" s="465">
        <v>3</v>
      </c>
      <c r="B386" s="12" t="s">
        <v>154</v>
      </c>
      <c r="C386" s="12" t="s">
        <v>155</v>
      </c>
      <c r="D386" s="12" t="s">
        <v>67</v>
      </c>
      <c r="E386" s="12" t="s">
        <v>968</v>
      </c>
      <c r="F386" s="469" t="str">
        <f>VLOOKUP(E386,'5. Consolidation'!$E$3:$F$715,2,0)</f>
        <v>Ajuster les niveaux des étangs en fonction des saisons</v>
      </c>
      <c r="G386" s="12"/>
      <c r="H386" s="12"/>
      <c r="I386" s="12"/>
      <c r="J386" s="12"/>
      <c r="K386" s="12"/>
      <c r="L386" s="12"/>
      <c r="M386" s="12"/>
      <c r="N386" s="12"/>
      <c r="O386" s="12"/>
      <c r="P386" s="462">
        <f>VLOOKUP($E386,'5.1 Budget'!$A$4:$G$729,2,0)</f>
        <v>0</v>
      </c>
      <c r="Q386" s="462">
        <f>VLOOKUP($E386,'5.1 Budget'!$A$4:$G$729,3,0)</f>
        <v>0</v>
      </c>
      <c r="R386" s="462">
        <f>VLOOKUP($E386,'5.1 Budget'!$A$4:$G$729,4,0)</f>
        <v>0</v>
      </c>
      <c r="S386" s="462">
        <f>VLOOKUP($E386,'5.1 Budget'!$A$4:$G$729,5,0)</f>
        <v>0</v>
      </c>
      <c r="T386" s="462">
        <f>VLOOKUP($E386,'5.1 Budget'!$A$4:$G$729,6,0)</f>
        <v>0</v>
      </c>
      <c r="U386" s="462">
        <f>VLOOKUP($E386,'5.1 Budget'!$A$4:$G$729,7,0)</f>
        <v>0</v>
      </c>
      <c r="V386" s="462">
        <f t="shared" si="6"/>
        <v>0</v>
      </c>
    </row>
    <row r="387" spans="1:22" x14ac:dyDescent="0.25">
      <c r="A387" s="465">
        <v>3</v>
      </c>
      <c r="B387" s="12" t="s">
        <v>154</v>
      </c>
      <c r="C387" s="12" t="s">
        <v>155</v>
      </c>
      <c r="D387" s="12" t="s">
        <v>67</v>
      </c>
      <c r="E387" s="12" t="s">
        <v>969</v>
      </c>
      <c r="F387" s="469" t="str">
        <f>VLOOKUP(E387,'5. Consolidation'!$E$3:$F$715,2,0)</f>
        <v>Gérer les populations de poissons</v>
      </c>
      <c r="G387" s="12"/>
      <c r="H387" s="12"/>
      <c r="I387" s="12"/>
      <c r="J387" s="12"/>
      <c r="K387" s="12"/>
      <c r="L387" s="12"/>
      <c r="M387" s="12"/>
      <c r="N387" s="459">
        <v>2022</v>
      </c>
      <c r="O387" s="12">
        <v>2027</v>
      </c>
      <c r="P387" s="462">
        <f>VLOOKUP($E387,'5.1 Budget'!$A$4:$G$729,2,0)</f>
        <v>5000</v>
      </c>
      <c r="Q387" s="462">
        <f>VLOOKUP($E387,'5.1 Budget'!$A$4:$G$729,3,0)</f>
        <v>5000</v>
      </c>
      <c r="R387" s="462">
        <f>VLOOKUP($E387,'5.1 Budget'!$A$4:$G$729,4,0)</f>
        <v>5000</v>
      </c>
      <c r="S387" s="462">
        <f>VLOOKUP($E387,'5.1 Budget'!$A$4:$G$729,5,0)</f>
        <v>5000</v>
      </c>
      <c r="T387" s="462">
        <f>VLOOKUP($E387,'5.1 Budget'!$A$4:$G$729,6,0)</f>
        <v>5000</v>
      </c>
      <c r="U387" s="462">
        <f>VLOOKUP($E387,'5.1 Budget'!$A$4:$G$729,7,0)</f>
        <v>5000</v>
      </c>
      <c r="V387" s="462">
        <f t="shared" ref="V387:V450" si="7">SUM(P387:U387)</f>
        <v>30000</v>
      </c>
    </row>
    <row r="388" spans="1:22" ht="26.25" x14ac:dyDescent="0.25">
      <c r="A388" s="465">
        <v>3</v>
      </c>
      <c r="B388" s="12" t="s">
        <v>154</v>
      </c>
      <c r="C388" s="12" t="s">
        <v>155</v>
      </c>
      <c r="D388" s="12" t="s">
        <v>67</v>
      </c>
      <c r="E388" s="12" t="s">
        <v>971</v>
      </c>
      <c r="F388" s="469" t="str">
        <f>VLOOKUP(E388,'5. Consolidation'!$E$3:$F$715,2,0)</f>
        <v>Mener des campagnes d’information quant à l’interdiction de nourrissage des animaux sauvages (oiseaux, poissons) à proximité des étangs et du Canal</v>
      </c>
      <c r="G388" s="12"/>
      <c r="H388" s="12"/>
      <c r="I388" s="12"/>
      <c r="J388" s="12"/>
      <c r="K388" s="12"/>
      <c r="L388" s="12"/>
      <c r="M388" s="12"/>
      <c r="N388" s="12"/>
      <c r="O388" s="12"/>
      <c r="P388" s="462">
        <f>VLOOKUP($E388,'5.1 Budget'!$A$4:$G$729,2,0)</f>
        <v>0</v>
      </c>
      <c r="Q388" s="462">
        <f>VLOOKUP($E388,'5.1 Budget'!$A$4:$G$729,3,0)</f>
        <v>0</v>
      </c>
      <c r="R388" s="462">
        <f>VLOOKUP($E388,'5.1 Budget'!$A$4:$G$729,4,0)</f>
        <v>0</v>
      </c>
      <c r="S388" s="462">
        <f>VLOOKUP($E388,'5.1 Budget'!$A$4:$G$729,5,0)</f>
        <v>0</v>
      </c>
      <c r="T388" s="462">
        <f>VLOOKUP($E388,'5.1 Budget'!$A$4:$G$729,6,0)</f>
        <v>0</v>
      </c>
      <c r="U388" s="462">
        <f>VLOOKUP($E388,'5.1 Budget'!$A$4:$G$729,7,0)</f>
        <v>0</v>
      </c>
      <c r="V388" s="462">
        <f t="shared" si="7"/>
        <v>0</v>
      </c>
    </row>
    <row r="389" spans="1:22" ht="26.25" x14ac:dyDescent="0.25">
      <c r="A389" s="465">
        <v>4</v>
      </c>
      <c r="B389" s="12" t="s">
        <v>156</v>
      </c>
      <c r="C389" s="12" t="s">
        <v>155</v>
      </c>
      <c r="D389" s="12" t="s">
        <v>68</v>
      </c>
      <c r="E389" s="12" t="s">
        <v>980</v>
      </c>
      <c r="F389" s="469" t="str">
        <f>VLOOKUP(E389,'5. Consolidation'!$E$3:$F$715,2,0)</f>
        <v>Analyse et comparaison des deux approches tarifaires (basée sur le seul volume vs. sur la charge polluante) par rapport au respect du principe Pollueur-Payeur</v>
      </c>
      <c r="G389" s="12"/>
      <c r="H389" s="12"/>
      <c r="I389" s="12"/>
      <c r="J389" s="12"/>
      <c r="K389" s="12"/>
      <c r="L389" s="12"/>
      <c r="M389" s="12"/>
      <c r="N389" s="12"/>
      <c r="O389" s="12"/>
      <c r="P389" s="462">
        <f>VLOOKUP($E389,'5.1 Budget'!$A$4:$G$729,2,0)</f>
        <v>0</v>
      </c>
      <c r="Q389" s="462">
        <f>VLOOKUP($E389,'5.1 Budget'!$A$4:$G$729,3,0)</f>
        <v>0</v>
      </c>
      <c r="R389" s="462">
        <f>VLOOKUP($E389,'5.1 Budget'!$A$4:$G$729,4,0)</f>
        <v>0</v>
      </c>
      <c r="S389" s="462">
        <f>VLOOKUP($E389,'5.1 Budget'!$A$4:$G$729,5,0)</f>
        <v>0</v>
      </c>
      <c r="T389" s="462">
        <f>VLOOKUP($E389,'5.1 Budget'!$A$4:$G$729,6,0)</f>
        <v>0</v>
      </c>
      <c r="U389" s="462">
        <f>VLOOKUP($E389,'5.1 Budget'!$A$4:$G$729,7,0)</f>
        <v>0</v>
      </c>
      <c r="V389" s="462">
        <f t="shared" si="7"/>
        <v>0</v>
      </c>
    </row>
    <row r="390" spans="1:22" x14ac:dyDescent="0.25">
      <c r="A390" s="465">
        <v>4</v>
      </c>
      <c r="B390" s="12" t="s">
        <v>156</v>
      </c>
      <c r="C390" s="12" t="s">
        <v>155</v>
      </c>
      <c r="D390" s="12" t="s">
        <v>68</v>
      </c>
      <c r="E390" s="12" t="s">
        <v>981</v>
      </c>
      <c r="F390" s="469" t="str">
        <f>VLOOKUP(E390,'5. Consolidation'!$E$3:$F$715,2,0)</f>
        <v>Benchmark/analyse des approches mise en place dans les pays européens</v>
      </c>
      <c r="G390" s="12"/>
      <c r="H390" s="12"/>
      <c r="I390" s="12"/>
      <c r="J390" s="12"/>
      <c r="K390" s="12"/>
      <c r="L390" s="12"/>
      <c r="M390" s="12"/>
      <c r="N390" s="12"/>
      <c r="O390" s="12"/>
      <c r="P390" s="462">
        <f>VLOOKUP($E390,'5.1 Budget'!$A$4:$G$729,2,0)</f>
        <v>0</v>
      </c>
      <c r="Q390" s="462">
        <f>VLOOKUP($E390,'5.1 Budget'!$A$4:$G$729,3,0)</f>
        <v>0</v>
      </c>
      <c r="R390" s="462">
        <f>VLOOKUP($E390,'5.1 Budget'!$A$4:$G$729,4,0)</f>
        <v>0</v>
      </c>
      <c r="S390" s="462">
        <f>VLOOKUP($E390,'5.1 Budget'!$A$4:$G$729,5,0)</f>
        <v>0</v>
      </c>
      <c r="T390" s="462">
        <f>VLOOKUP($E390,'5.1 Budget'!$A$4:$G$729,6,0)</f>
        <v>0</v>
      </c>
      <c r="U390" s="462">
        <f>VLOOKUP($E390,'5.1 Budget'!$A$4:$G$729,7,0)</f>
        <v>0</v>
      </c>
      <c r="V390" s="462">
        <f t="shared" si="7"/>
        <v>0</v>
      </c>
    </row>
    <row r="391" spans="1:22" x14ac:dyDescent="0.25">
      <c r="A391" s="465">
        <v>4</v>
      </c>
      <c r="B391" s="12" t="s">
        <v>156</v>
      </c>
      <c r="C391" s="12" t="s">
        <v>155</v>
      </c>
      <c r="D391" s="12" t="s">
        <v>68</v>
      </c>
      <c r="E391" s="12" t="s">
        <v>982</v>
      </c>
      <c r="F391" s="469" t="str">
        <f>VLOOKUP(E391,'5. Consolidation'!$E$3:$F$715,2,0)</f>
        <v>Présentation de nouvelles pistes de réflexion aux parties prenantes et discussion au sein d’un groupe de travail</v>
      </c>
      <c r="G391" s="12"/>
      <c r="H391" s="12"/>
      <c r="I391" s="12"/>
      <c r="J391" s="12"/>
      <c r="K391" s="12"/>
      <c r="L391" s="12"/>
      <c r="M391" s="12"/>
      <c r="N391" s="12"/>
      <c r="O391" s="12"/>
      <c r="P391" s="462">
        <f>VLOOKUP($E391,'5.1 Budget'!$A$4:$G$729,2,0)</f>
        <v>0</v>
      </c>
      <c r="Q391" s="462">
        <f>VLOOKUP($E391,'5.1 Budget'!$A$4:$G$729,3,0)</f>
        <v>0</v>
      </c>
      <c r="R391" s="462">
        <f>VLOOKUP($E391,'5.1 Budget'!$A$4:$G$729,4,0)</f>
        <v>0</v>
      </c>
      <c r="S391" s="462">
        <f>VLOOKUP($E391,'5.1 Budget'!$A$4:$G$729,5,0)</f>
        <v>0</v>
      </c>
      <c r="T391" s="462">
        <f>VLOOKUP($E391,'5.1 Budget'!$A$4:$G$729,6,0)</f>
        <v>0</v>
      </c>
      <c r="U391" s="462">
        <f>VLOOKUP($E391,'5.1 Budget'!$A$4:$G$729,7,0)</f>
        <v>0</v>
      </c>
      <c r="V391" s="462">
        <f t="shared" si="7"/>
        <v>0</v>
      </c>
    </row>
    <row r="392" spans="1:22" x14ac:dyDescent="0.25">
      <c r="A392" s="465">
        <v>4</v>
      </c>
      <c r="B392" s="12" t="s">
        <v>156</v>
      </c>
      <c r="C392" s="12" t="s">
        <v>155</v>
      </c>
      <c r="D392" s="12" t="s">
        <v>68</v>
      </c>
      <c r="E392" s="12" t="s">
        <v>983</v>
      </c>
      <c r="F392" s="469" t="str">
        <f>VLOOKUP(E392,'5. Consolidation'!$E$3:$F$715,2,0)</f>
        <v>Détermination d’une nouvelle modalité de tarification</v>
      </c>
      <c r="G392" s="12"/>
      <c r="H392" s="12"/>
      <c r="I392" s="12"/>
      <c r="J392" s="12"/>
      <c r="K392" s="12"/>
      <c r="L392" s="12"/>
      <c r="M392" s="12"/>
      <c r="N392" s="12"/>
      <c r="O392" s="12"/>
      <c r="P392" s="462">
        <f>VLOOKUP($E392,'5.1 Budget'!$A$4:$G$729,2,0)</f>
        <v>0</v>
      </c>
      <c r="Q392" s="462">
        <f>VLOOKUP($E392,'5.1 Budget'!$A$4:$G$729,3,0)</f>
        <v>0</v>
      </c>
      <c r="R392" s="462">
        <f>VLOOKUP($E392,'5.1 Budget'!$A$4:$G$729,4,0)</f>
        <v>0</v>
      </c>
      <c r="S392" s="462">
        <f>VLOOKUP($E392,'5.1 Budget'!$A$4:$G$729,5,0)</f>
        <v>0</v>
      </c>
      <c r="T392" s="462">
        <f>VLOOKUP($E392,'5.1 Budget'!$A$4:$G$729,6,0)</f>
        <v>0</v>
      </c>
      <c r="U392" s="462">
        <f>VLOOKUP($E392,'5.1 Budget'!$A$4:$G$729,7,0)</f>
        <v>0</v>
      </c>
      <c r="V392" s="462">
        <f t="shared" si="7"/>
        <v>0</v>
      </c>
    </row>
    <row r="393" spans="1:22" ht="39" x14ac:dyDescent="0.25">
      <c r="A393" s="465">
        <v>4</v>
      </c>
      <c r="B393" s="12" t="s">
        <v>156</v>
      </c>
      <c r="C393" s="12" t="s">
        <v>155</v>
      </c>
      <c r="D393" s="12" t="s">
        <v>69</v>
      </c>
      <c r="E393" s="12" t="s">
        <v>984</v>
      </c>
      <c r="F393" s="469" t="str">
        <f>VLOOKUP(E393,'5. Consolidation'!$E$3:$F$715,2,0)</f>
        <v>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v>
      </c>
      <c r="G393" s="12"/>
      <c r="H393" s="12"/>
      <c r="I393" s="12"/>
      <c r="J393" s="12"/>
      <c r="K393" s="12"/>
      <c r="L393" s="12"/>
      <c r="M393" s="12"/>
      <c r="N393" s="12"/>
      <c r="O393" s="12"/>
      <c r="P393" s="462">
        <f>VLOOKUP($E393,'5.1 Budget'!$A$4:$G$729,2,0)</f>
        <v>0</v>
      </c>
      <c r="Q393" s="462">
        <f>VLOOKUP($E393,'5.1 Budget'!$A$4:$G$729,3,0)</f>
        <v>0</v>
      </c>
      <c r="R393" s="462">
        <f>VLOOKUP($E393,'5.1 Budget'!$A$4:$G$729,4,0)</f>
        <v>0</v>
      </c>
      <c r="S393" s="462">
        <f>VLOOKUP($E393,'5.1 Budget'!$A$4:$G$729,5,0)</f>
        <v>0</v>
      </c>
      <c r="T393" s="462">
        <f>VLOOKUP($E393,'5.1 Budget'!$A$4:$G$729,6,0)</f>
        <v>0</v>
      </c>
      <c r="U393" s="462">
        <f>VLOOKUP($E393,'5.1 Budget'!$A$4:$G$729,7,0)</f>
        <v>0</v>
      </c>
      <c r="V393" s="462">
        <f t="shared" si="7"/>
        <v>0</v>
      </c>
    </row>
    <row r="394" spans="1:22" ht="39" x14ac:dyDescent="0.25">
      <c r="A394" s="465">
        <v>4</v>
      </c>
      <c r="B394" s="12" t="s">
        <v>156</v>
      </c>
      <c r="C394" s="12" t="s">
        <v>155</v>
      </c>
      <c r="D394" s="12" t="s">
        <v>69</v>
      </c>
      <c r="E394" s="12" t="s">
        <v>985</v>
      </c>
      <c r="F394" s="469" t="str">
        <f>VLOOKUP(E394,'5. Consolidation'!$E$3:$F$715,2,0)</f>
        <v>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v>
      </c>
      <c r="G394" s="12"/>
      <c r="H394" s="12"/>
      <c r="I394" s="12"/>
      <c r="J394" s="12"/>
      <c r="K394" s="12"/>
      <c r="L394" s="12"/>
      <c r="M394" s="12"/>
      <c r="N394" s="459">
        <v>2023</v>
      </c>
      <c r="O394" s="12"/>
      <c r="P394" s="462">
        <f>VLOOKUP($E394,'5.1 Budget'!$A$4:$G$729,2,0)</f>
        <v>0</v>
      </c>
      <c r="Q394" s="462">
        <f>VLOOKUP($E394,'5.1 Budget'!$A$4:$G$729,3,0)</f>
        <v>30000</v>
      </c>
      <c r="R394" s="462">
        <f>VLOOKUP($E394,'5.1 Budget'!$A$4:$G$729,4,0)</f>
        <v>0</v>
      </c>
      <c r="S394" s="462">
        <f>VLOOKUP($E394,'5.1 Budget'!$A$4:$G$729,5,0)</f>
        <v>0</v>
      </c>
      <c r="T394" s="462">
        <f>VLOOKUP($E394,'5.1 Budget'!$A$4:$G$729,6,0)</f>
        <v>0</v>
      </c>
      <c r="U394" s="462">
        <f>VLOOKUP($E394,'5.1 Budget'!$A$4:$G$729,7,0)</f>
        <v>0</v>
      </c>
      <c r="V394" s="462">
        <f t="shared" si="7"/>
        <v>30000</v>
      </c>
    </row>
    <row r="395" spans="1:22" ht="26.25" x14ac:dyDescent="0.25">
      <c r="A395" s="465">
        <v>4</v>
      </c>
      <c r="B395" s="12" t="s">
        <v>156</v>
      </c>
      <c r="C395" s="12" t="s">
        <v>155</v>
      </c>
      <c r="D395" s="12" t="s">
        <v>69</v>
      </c>
      <c r="E395" s="12" t="s">
        <v>986</v>
      </c>
      <c r="F395" s="469" t="str">
        <f>VLOOKUP(E395,'5. Consolidation'!$E$3:$F$715,2,0)</f>
        <v>Identifier les odifications d’ordre régleentaire, adinistratif et opérationnel à réaliser aux différentes échelles adinistratives (régionales et counales) pour perettre la ise en œuvre des nouveaux écanises de financeent.</v>
      </c>
      <c r="G395" s="12"/>
      <c r="H395" s="12"/>
      <c r="I395" s="12"/>
      <c r="J395" s="12"/>
      <c r="K395" s="12"/>
      <c r="L395" s="12"/>
      <c r="M395" s="12"/>
      <c r="N395" s="12"/>
      <c r="O395" s="12"/>
      <c r="P395" s="462">
        <f>VLOOKUP($E395,'5.1 Budget'!$A$4:$G$729,2,0)</f>
        <v>0</v>
      </c>
      <c r="Q395" s="462">
        <f>VLOOKUP($E395,'5.1 Budget'!$A$4:$G$729,3,0)</f>
        <v>0</v>
      </c>
      <c r="R395" s="462">
        <f>VLOOKUP($E395,'5.1 Budget'!$A$4:$G$729,4,0)</f>
        <v>0</v>
      </c>
      <c r="S395" s="462">
        <f>VLOOKUP($E395,'5.1 Budget'!$A$4:$G$729,5,0)</f>
        <v>0</v>
      </c>
      <c r="T395" s="462">
        <f>VLOOKUP($E395,'5.1 Budget'!$A$4:$G$729,6,0)</f>
        <v>0</v>
      </c>
      <c r="U395" s="462">
        <f>VLOOKUP($E395,'5.1 Budget'!$A$4:$G$729,7,0)</f>
        <v>0</v>
      </c>
      <c r="V395" s="462">
        <f t="shared" si="7"/>
        <v>0</v>
      </c>
    </row>
    <row r="396" spans="1:22" ht="26.25" x14ac:dyDescent="0.25">
      <c r="A396" s="465">
        <v>4</v>
      </c>
      <c r="B396" s="12" t="s">
        <v>156</v>
      </c>
      <c r="C396" s="12" t="s">
        <v>155</v>
      </c>
      <c r="D396" s="12" t="s">
        <v>69</v>
      </c>
      <c r="E396" s="12" t="s">
        <v>987</v>
      </c>
      <c r="F396" s="469" t="str">
        <f>VLOOKUP(E396,'5. Consolidation'!$E$3:$F$715,2,0)</f>
        <v>ettre en œuvre toutes les actions nécessaires au déploieent du niveau écanise de financeent et en assurer la bonne counication auprès des différents publics cibles</v>
      </c>
      <c r="G396" s="12"/>
      <c r="H396" s="12"/>
      <c r="I396" s="12"/>
      <c r="J396" s="12"/>
      <c r="K396" s="12"/>
      <c r="L396" s="12"/>
      <c r="M396" s="12"/>
      <c r="N396" s="12"/>
      <c r="O396" s="12"/>
      <c r="P396" s="462">
        <f>VLOOKUP($E396,'5.1 Budget'!$A$4:$G$729,2,0)</f>
        <v>0</v>
      </c>
      <c r="Q396" s="462">
        <f>VLOOKUP($E396,'5.1 Budget'!$A$4:$G$729,3,0)</f>
        <v>0</v>
      </c>
      <c r="R396" s="462">
        <f>VLOOKUP($E396,'5.1 Budget'!$A$4:$G$729,4,0)</f>
        <v>0</v>
      </c>
      <c r="S396" s="462">
        <f>VLOOKUP($E396,'5.1 Budget'!$A$4:$G$729,5,0)</f>
        <v>0</v>
      </c>
      <c r="T396" s="462">
        <f>VLOOKUP($E396,'5.1 Budget'!$A$4:$G$729,6,0)</f>
        <v>0</v>
      </c>
      <c r="U396" s="462">
        <f>VLOOKUP($E396,'5.1 Budget'!$A$4:$G$729,7,0)</f>
        <v>0</v>
      </c>
      <c r="V396" s="462">
        <f t="shared" si="7"/>
        <v>0</v>
      </c>
    </row>
    <row r="397" spans="1:22" ht="39" x14ac:dyDescent="0.25">
      <c r="A397" s="465">
        <v>4</v>
      </c>
      <c r="B397" s="12" t="s">
        <v>156</v>
      </c>
      <c r="C397" s="12" t="s">
        <v>155</v>
      </c>
      <c r="D397" s="12" t="s">
        <v>69</v>
      </c>
      <c r="E397" s="12" t="s">
        <v>984</v>
      </c>
      <c r="F397" s="469" t="str">
        <f>VLOOKUP(E397,'5. Consolidation'!$E$3:$F$715,2,0)</f>
        <v>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v>
      </c>
      <c r="G397" s="12"/>
      <c r="H397" s="12"/>
      <c r="I397" s="12"/>
      <c r="J397" s="12"/>
      <c r="K397" s="12"/>
      <c r="L397" s="12"/>
      <c r="M397" s="12"/>
      <c r="N397" s="12"/>
      <c r="O397" s="12"/>
      <c r="P397" s="462">
        <f>VLOOKUP($E397,'5.1 Budget'!$A$4:$G$729,2,0)</f>
        <v>0</v>
      </c>
      <c r="Q397" s="462">
        <f>VLOOKUP($E397,'5.1 Budget'!$A$4:$G$729,3,0)</f>
        <v>0</v>
      </c>
      <c r="R397" s="462">
        <f>VLOOKUP($E397,'5.1 Budget'!$A$4:$G$729,4,0)</f>
        <v>0</v>
      </c>
      <c r="S397" s="462">
        <f>VLOOKUP($E397,'5.1 Budget'!$A$4:$G$729,5,0)</f>
        <v>0</v>
      </c>
      <c r="T397" s="462">
        <f>VLOOKUP($E397,'5.1 Budget'!$A$4:$G$729,6,0)</f>
        <v>0</v>
      </c>
      <c r="U397" s="462">
        <f>VLOOKUP($E397,'5.1 Budget'!$A$4:$G$729,7,0)</f>
        <v>0</v>
      </c>
      <c r="V397" s="462">
        <f t="shared" si="7"/>
        <v>0</v>
      </c>
    </row>
    <row r="398" spans="1:22" ht="39" x14ac:dyDescent="0.25">
      <c r="A398" s="465">
        <v>4</v>
      </c>
      <c r="B398" s="12" t="s">
        <v>156</v>
      </c>
      <c r="C398" s="12" t="s">
        <v>155</v>
      </c>
      <c r="D398" s="12" t="s">
        <v>69</v>
      </c>
      <c r="E398" s="12" t="s">
        <v>985</v>
      </c>
      <c r="F398" s="469" t="str">
        <f>VLOOKUP(E398,'5. Consolidation'!$E$3:$F$715,2,0)</f>
        <v>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v>
      </c>
      <c r="G398" s="12"/>
      <c r="H398" s="12"/>
      <c r="I398" s="12"/>
      <c r="J398" s="12"/>
      <c r="K398" s="12"/>
      <c r="L398" s="12"/>
      <c r="M398" s="12"/>
      <c r="N398" s="459">
        <v>2023</v>
      </c>
      <c r="O398" s="12"/>
      <c r="P398" s="462">
        <f>VLOOKUP($E398,'5.1 Budget'!$A$4:$G$729,2,0)</f>
        <v>0</v>
      </c>
      <c r="Q398" s="462">
        <f>VLOOKUP($E398,'5.1 Budget'!$A$4:$G$729,3,0)</f>
        <v>30000</v>
      </c>
      <c r="R398" s="462">
        <f>VLOOKUP($E398,'5.1 Budget'!$A$4:$G$729,4,0)</f>
        <v>0</v>
      </c>
      <c r="S398" s="462">
        <f>VLOOKUP($E398,'5.1 Budget'!$A$4:$G$729,5,0)</f>
        <v>0</v>
      </c>
      <c r="T398" s="462">
        <f>VLOOKUP($E398,'5.1 Budget'!$A$4:$G$729,6,0)</f>
        <v>0</v>
      </c>
      <c r="U398" s="462">
        <f>VLOOKUP($E398,'5.1 Budget'!$A$4:$G$729,7,0)</f>
        <v>0</v>
      </c>
      <c r="V398" s="462">
        <f t="shared" si="7"/>
        <v>30000</v>
      </c>
    </row>
    <row r="399" spans="1:22" ht="26.25" x14ac:dyDescent="0.25">
      <c r="A399" s="465">
        <v>4</v>
      </c>
      <c r="B399" s="12" t="s">
        <v>156</v>
      </c>
      <c r="C399" s="12" t="s">
        <v>155</v>
      </c>
      <c r="D399" s="12" t="s">
        <v>69</v>
      </c>
      <c r="E399" s="12" t="s">
        <v>986</v>
      </c>
      <c r="F399" s="469" t="str">
        <f>VLOOKUP(E399,'5. Consolidation'!$E$3:$F$715,2,0)</f>
        <v>Identifier les odifications d’ordre régleentaire, adinistratif et opérationnel à réaliser aux différentes échelles adinistratives (régionales et counales) pour perettre la ise en œuvre des nouveaux écanises de financeent.</v>
      </c>
      <c r="G399" s="12"/>
      <c r="H399" s="12"/>
      <c r="I399" s="12"/>
      <c r="J399" s="12"/>
      <c r="K399" s="12"/>
      <c r="L399" s="12"/>
      <c r="M399" s="12"/>
      <c r="N399" s="12"/>
      <c r="O399" s="12"/>
      <c r="P399" s="462">
        <f>VLOOKUP($E399,'5.1 Budget'!$A$4:$G$729,2,0)</f>
        <v>0</v>
      </c>
      <c r="Q399" s="462">
        <f>VLOOKUP($E399,'5.1 Budget'!$A$4:$G$729,3,0)</f>
        <v>0</v>
      </c>
      <c r="R399" s="462">
        <f>VLOOKUP($E399,'5.1 Budget'!$A$4:$G$729,4,0)</f>
        <v>0</v>
      </c>
      <c r="S399" s="462">
        <f>VLOOKUP($E399,'5.1 Budget'!$A$4:$G$729,5,0)</f>
        <v>0</v>
      </c>
      <c r="T399" s="462">
        <f>VLOOKUP($E399,'5.1 Budget'!$A$4:$G$729,6,0)</f>
        <v>0</v>
      </c>
      <c r="U399" s="462">
        <f>VLOOKUP($E399,'5.1 Budget'!$A$4:$G$729,7,0)</f>
        <v>0</v>
      </c>
      <c r="V399" s="462">
        <f t="shared" si="7"/>
        <v>0</v>
      </c>
    </row>
    <row r="400" spans="1:22" ht="26.25" x14ac:dyDescent="0.25">
      <c r="A400" s="465">
        <v>4</v>
      </c>
      <c r="B400" s="12" t="s">
        <v>156</v>
      </c>
      <c r="C400" s="12" t="s">
        <v>155</v>
      </c>
      <c r="D400" s="12" t="s">
        <v>69</v>
      </c>
      <c r="E400" s="12" t="s">
        <v>987</v>
      </c>
      <c r="F400" s="469" t="str">
        <f>VLOOKUP(E400,'5. Consolidation'!$E$3:$F$715,2,0)</f>
        <v>ettre en œuvre toutes les actions nécessaires au déploieent du niveau écanise de financeent et en assurer la bonne counication auprès des différents publics cibles</v>
      </c>
      <c r="G400" s="12"/>
      <c r="H400" s="12"/>
      <c r="I400" s="12"/>
      <c r="J400" s="12"/>
      <c r="K400" s="12"/>
      <c r="L400" s="12"/>
      <c r="M400" s="12"/>
      <c r="N400" s="12"/>
      <c r="O400" s="12"/>
      <c r="P400" s="462">
        <f>VLOOKUP($E400,'5.1 Budget'!$A$4:$G$729,2,0)</f>
        <v>0</v>
      </c>
      <c r="Q400" s="462">
        <f>VLOOKUP($E400,'5.1 Budget'!$A$4:$G$729,3,0)</f>
        <v>0</v>
      </c>
      <c r="R400" s="462">
        <f>VLOOKUP($E400,'5.1 Budget'!$A$4:$G$729,4,0)</f>
        <v>0</v>
      </c>
      <c r="S400" s="462">
        <f>VLOOKUP($E400,'5.1 Budget'!$A$4:$G$729,5,0)</f>
        <v>0</v>
      </c>
      <c r="T400" s="462">
        <f>VLOOKUP($E400,'5.1 Budget'!$A$4:$G$729,6,0)</f>
        <v>0</v>
      </c>
      <c r="U400" s="462">
        <f>VLOOKUP($E400,'5.1 Budget'!$A$4:$G$729,7,0)</f>
        <v>0</v>
      </c>
      <c r="V400" s="462">
        <f t="shared" si="7"/>
        <v>0</v>
      </c>
    </row>
    <row r="401" spans="1:22" ht="39" x14ac:dyDescent="0.25">
      <c r="A401" s="465">
        <v>4</v>
      </c>
      <c r="B401" s="12" t="s">
        <v>156</v>
      </c>
      <c r="C401" s="12" t="s">
        <v>155</v>
      </c>
      <c r="D401" s="12" t="s">
        <v>70</v>
      </c>
      <c r="E401" s="12" t="s">
        <v>988</v>
      </c>
      <c r="F401" s="469" t="str">
        <f>VLOOKUP(E401,'5. Consolidation'!$E$3:$F$715,2,0)</f>
        <v>Mener une évaluation monétaire des impacts environnementaux et pour la ressources liés à l’utilisation de l’eau en s’appuyant notamment sur la modélisation WEISS qui inventorie les sources majeures des polluants impactant les masses d’eau en RBC</v>
      </c>
      <c r="G401" s="12"/>
      <c r="H401" s="12"/>
      <c r="I401" s="12"/>
      <c r="J401" s="12"/>
      <c r="K401" s="12"/>
      <c r="L401" s="12"/>
      <c r="M401" s="12"/>
      <c r="N401" s="459">
        <v>2022</v>
      </c>
      <c r="O401" s="12"/>
      <c r="P401" s="462">
        <f>VLOOKUP($E401,'5.1 Budget'!$A$4:$G$729,2,0)</f>
        <v>90000</v>
      </c>
      <c r="Q401" s="462">
        <f>VLOOKUP($E401,'5.1 Budget'!$A$4:$G$729,3,0)</f>
        <v>0</v>
      </c>
      <c r="R401" s="462">
        <f>VLOOKUP($E401,'5.1 Budget'!$A$4:$G$729,4,0)</f>
        <v>0</v>
      </c>
      <c r="S401" s="462">
        <f>VLOOKUP($E401,'5.1 Budget'!$A$4:$G$729,5,0)</f>
        <v>0</v>
      </c>
      <c r="T401" s="462">
        <f>VLOOKUP($E401,'5.1 Budget'!$A$4:$G$729,6,0)</f>
        <v>0</v>
      </c>
      <c r="U401" s="462">
        <f>VLOOKUP($E401,'5.1 Budget'!$A$4:$G$729,7,0)</f>
        <v>0</v>
      </c>
      <c r="V401" s="462">
        <f t="shared" si="7"/>
        <v>90000</v>
      </c>
    </row>
    <row r="402" spans="1:22" x14ac:dyDescent="0.25">
      <c r="A402" s="465">
        <v>4</v>
      </c>
      <c r="B402" s="12" t="s">
        <v>156</v>
      </c>
      <c r="C402" s="12" t="s">
        <v>155</v>
      </c>
      <c r="D402" s="12" t="s">
        <v>70</v>
      </c>
      <c r="E402" s="12" t="s">
        <v>989</v>
      </c>
      <c r="F402" s="469" t="str">
        <f>VLOOKUP(E402,'5. Consolidation'!$E$3:$F$715,2,0)</f>
        <v>Inventorier et évaluer les mesures de mitigation/prévention des impacts environnementaux à mettre en place</v>
      </c>
      <c r="G402" s="12"/>
      <c r="H402" s="12"/>
      <c r="I402" s="12"/>
      <c r="J402" s="12"/>
      <c r="K402" s="12"/>
      <c r="L402" s="12"/>
      <c r="M402" s="12"/>
      <c r="N402" s="12"/>
      <c r="O402" s="12"/>
      <c r="P402" s="462">
        <f>VLOOKUP($E402,'5.1 Budget'!$A$4:$G$729,2,0)</f>
        <v>0</v>
      </c>
      <c r="Q402" s="462">
        <f>VLOOKUP($E402,'5.1 Budget'!$A$4:$G$729,3,0)</f>
        <v>0</v>
      </c>
      <c r="R402" s="462">
        <f>VLOOKUP($E402,'5.1 Budget'!$A$4:$G$729,4,0)</f>
        <v>0</v>
      </c>
      <c r="S402" s="462">
        <f>VLOOKUP($E402,'5.1 Budget'!$A$4:$G$729,5,0)</f>
        <v>0</v>
      </c>
      <c r="T402" s="462">
        <f>VLOOKUP($E402,'5.1 Budget'!$A$4:$G$729,6,0)</f>
        <v>0</v>
      </c>
      <c r="U402" s="462">
        <f>VLOOKUP($E402,'5.1 Budget'!$A$4:$G$729,7,0)</f>
        <v>0</v>
      </c>
      <c r="V402" s="462">
        <f t="shared" si="7"/>
        <v>0</v>
      </c>
    </row>
    <row r="403" spans="1:22" ht="26.25" x14ac:dyDescent="0.25">
      <c r="A403" s="465">
        <v>4</v>
      </c>
      <c r="B403" s="12" t="s">
        <v>156</v>
      </c>
      <c r="C403" s="12" t="s">
        <v>155</v>
      </c>
      <c r="D403" s="12" t="s">
        <v>70</v>
      </c>
      <c r="E403" s="12" t="s">
        <v>990</v>
      </c>
      <c r="F403" s="469" t="str">
        <f>VLOOKUP(E403,'5. Consolidation'!$E$3:$F$715,2,0)</f>
        <v>Réaliser une analyse coût-bénéfice visant à prioriser les infrastructures ou les mesures encore à mettre en œuvre pour prévenir /atténuer les impacts environnementaux et influer positivement sur la qualité des masses d’eau</v>
      </c>
      <c r="G403" s="12"/>
      <c r="H403" s="12"/>
      <c r="I403" s="12"/>
      <c r="J403" s="12"/>
      <c r="K403" s="12"/>
      <c r="L403" s="12"/>
      <c r="M403" s="12"/>
      <c r="N403" s="12"/>
      <c r="O403" s="12"/>
      <c r="P403" s="462">
        <f>VLOOKUP($E403,'5.1 Budget'!$A$4:$G$729,2,0)</f>
        <v>0</v>
      </c>
      <c r="Q403" s="462">
        <f>VLOOKUP($E403,'5.1 Budget'!$A$4:$G$729,3,0)</f>
        <v>0</v>
      </c>
      <c r="R403" s="462">
        <f>VLOOKUP($E403,'5.1 Budget'!$A$4:$G$729,4,0)</f>
        <v>0</v>
      </c>
      <c r="S403" s="462">
        <f>VLOOKUP($E403,'5.1 Budget'!$A$4:$G$729,5,0)</f>
        <v>0</v>
      </c>
      <c r="T403" s="462">
        <f>VLOOKUP($E403,'5.1 Budget'!$A$4:$G$729,6,0)</f>
        <v>0</v>
      </c>
      <c r="U403" s="462">
        <f>VLOOKUP($E403,'5.1 Budget'!$A$4:$G$729,7,0)</f>
        <v>0</v>
      </c>
      <c r="V403" s="462">
        <f t="shared" si="7"/>
        <v>0</v>
      </c>
    </row>
    <row r="404" spans="1:22" ht="26.25" x14ac:dyDescent="0.25">
      <c r="A404" s="465">
        <v>4</v>
      </c>
      <c r="B404" s="12" t="s">
        <v>156</v>
      </c>
      <c r="C404" s="12" t="s">
        <v>155</v>
      </c>
      <c r="D404" s="12" t="s">
        <v>70</v>
      </c>
      <c r="E404" s="12" t="s">
        <v>991</v>
      </c>
      <c r="F404" s="469" t="str">
        <f>VLOOKUP(E404,'5. Consolidation'!$E$3:$F$715,2,0)</f>
        <v>Intégrer dans la tarification de l’eau les besoins financiers pour la mise en œuvre des infrastructures ou mesures de prévention/mitigation</v>
      </c>
      <c r="G404" s="12"/>
      <c r="H404" s="12"/>
      <c r="I404" s="12"/>
      <c r="J404" s="12"/>
      <c r="K404" s="12"/>
      <c r="L404" s="12"/>
      <c r="M404" s="12"/>
      <c r="N404" s="12"/>
      <c r="O404" s="12"/>
      <c r="P404" s="462">
        <f>VLOOKUP($E404,'5.1 Budget'!$A$4:$G$729,2,0)</f>
        <v>0</v>
      </c>
      <c r="Q404" s="462">
        <f>VLOOKUP($E404,'5.1 Budget'!$A$4:$G$729,3,0)</f>
        <v>0</v>
      </c>
      <c r="R404" s="462">
        <f>VLOOKUP($E404,'5.1 Budget'!$A$4:$G$729,4,0)</f>
        <v>0</v>
      </c>
      <c r="S404" s="462">
        <f>VLOOKUP($E404,'5.1 Budget'!$A$4:$G$729,5,0)</f>
        <v>0</v>
      </c>
      <c r="T404" s="462">
        <f>VLOOKUP($E404,'5.1 Budget'!$A$4:$G$729,6,0)</f>
        <v>0</v>
      </c>
      <c r="U404" s="462">
        <f>VLOOKUP($E404,'5.1 Budget'!$A$4:$G$729,7,0)</f>
        <v>0</v>
      </c>
      <c r="V404" s="462">
        <f t="shared" si="7"/>
        <v>0</v>
      </c>
    </row>
    <row r="405" spans="1:22" x14ac:dyDescent="0.25">
      <c r="A405" s="465">
        <v>4</v>
      </c>
      <c r="B405" s="12" t="s">
        <v>157</v>
      </c>
      <c r="C405" s="12" t="s">
        <v>155</v>
      </c>
      <c r="D405" s="12" t="s">
        <v>71</v>
      </c>
      <c r="E405" s="12" t="s">
        <v>992</v>
      </c>
      <c r="F405" s="469" t="str">
        <f>VLOOKUP(E405,'5. Consolidation'!$E$3:$F$715,2,0)</f>
        <v>Fournir annuellement les données relatives aux soldes tarifaires à BE</v>
      </c>
      <c r="G405" s="12"/>
      <c r="H405" s="12"/>
      <c r="I405" s="12"/>
      <c r="J405" s="12"/>
      <c r="K405" s="12"/>
      <c r="L405" s="12"/>
      <c r="M405" s="12"/>
      <c r="N405" s="12"/>
      <c r="O405" s="12"/>
      <c r="P405" s="462">
        <f>VLOOKUP($E405,'5.1 Budget'!$A$4:$G$729,2,0)</f>
        <v>0</v>
      </c>
      <c r="Q405" s="462">
        <f>VLOOKUP($E405,'5.1 Budget'!$A$4:$G$729,3,0)</f>
        <v>0</v>
      </c>
      <c r="R405" s="462">
        <f>VLOOKUP($E405,'5.1 Budget'!$A$4:$G$729,4,0)</f>
        <v>0</v>
      </c>
      <c r="S405" s="462">
        <f>VLOOKUP($E405,'5.1 Budget'!$A$4:$G$729,5,0)</f>
        <v>0</v>
      </c>
      <c r="T405" s="462">
        <f>VLOOKUP($E405,'5.1 Budget'!$A$4:$G$729,6,0)</f>
        <v>0</v>
      </c>
      <c r="U405" s="462">
        <f>VLOOKUP($E405,'5.1 Budget'!$A$4:$G$729,7,0)</f>
        <v>0</v>
      </c>
      <c r="V405" s="462">
        <f t="shared" si="7"/>
        <v>0</v>
      </c>
    </row>
    <row r="406" spans="1:22" x14ac:dyDescent="0.25">
      <c r="A406" s="465">
        <v>4</v>
      </c>
      <c r="B406" s="12" t="s">
        <v>157</v>
      </c>
      <c r="C406" s="12" t="s">
        <v>155</v>
      </c>
      <c r="D406" s="12" t="s">
        <v>71</v>
      </c>
      <c r="E406" s="12" t="s">
        <v>993</v>
      </c>
      <c r="F406" s="469" t="str">
        <f>VLOOKUP(E406,'5. Consolidation'!$E$3:$F$715,2,0)</f>
        <v>Calculer les indicateurs de récupération des coûts nécessaires et assurer le reporting auprès des institutions européennes</v>
      </c>
      <c r="G406" s="12"/>
      <c r="H406" s="12"/>
      <c r="I406" s="12"/>
      <c r="J406" s="12"/>
      <c r="K406" s="12"/>
      <c r="L406" s="12"/>
      <c r="M406" s="12"/>
      <c r="N406" s="12"/>
      <c r="O406" s="12"/>
      <c r="P406" s="462">
        <f>VLOOKUP($E406,'5.1 Budget'!$A$4:$G$729,2,0)</f>
        <v>0</v>
      </c>
      <c r="Q406" s="462">
        <f>VLOOKUP($E406,'5.1 Budget'!$A$4:$G$729,3,0)</f>
        <v>0</v>
      </c>
      <c r="R406" s="462">
        <f>VLOOKUP($E406,'5.1 Budget'!$A$4:$G$729,4,0)</f>
        <v>0</v>
      </c>
      <c r="S406" s="462">
        <f>VLOOKUP($E406,'5.1 Budget'!$A$4:$G$729,5,0)</f>
        <v>0</v>
      </c>
      <c r="T406" s="462">
        <f>VLOOKUP($E406,'5.1 Budget'!$A$4:$G$729,6,0)</f>
        <v>0</v>
      </c>
      <c r="U406" s="462">
        <f>VLOOKUP($E406,'5.1 Budget'!$A$4:$G$729,7,0)</f>
        <v>0</v>
      </c>
      <c r="V406" s="462">
        <f t="shared" si="7"/>
        <v>0</v>
      </c>
    </row>
    <row r="407" spans="1:22" x14ac:dyDescent="0.25">
      <c r="A407" s="465">
        <v>4</v>
      </c>
      <c r="B407" s="12" t="s">
        <v>157</v>
      </c>
      <c r="C407" s="12" t="s">
        <v>155</v>
      </c>
      <c r="D407" s="12" t="s">
        <v>72</v>
      </c>
      <c r="E407" s="12" t="s">
        <v>994</v>
      </c>
      <c r="F407" s="469" t="str">
        <f>VLOOKUP(E407,'5. Consolidation'!$E$3:$F$715,2,0)</f>
        <v>Elaboration des indicateurs constituant le « tableau de bord PH » permettant d’assurer le suivi de la PH en RBC</v>
      </c>
      <c r="G407" s="12"/>
      <c r="H407" s="12"/>
      <c r="I407" s="12"/>
      <c r="J407" s="12"/>
      <c r="K407" s="12"/>
      <c r="L407" s="12"/>
      <c r="M407" s="12"/>
      <c r="N407" s="12"/>
      <c r="O407" s="12"/>
      <c r="P407" s="462">
        <f>VLOOKUP($E407,'5.1 Budget'!$A$4:$G$729,2,0)</f>
        <v>0</v>
      </c>
      <c r="Q407" s="462">
        <f>VLOOKUP($E407,'5.1 Budget'!$A$4:$G$729,3,0)</f>
        <v>0</v>
      </c>
      <c r="R407" s="462">
        <f>VLOOKUP($E407,'5.1 Budget'!$A$4:$G$729,4,0)</f>
        <v>0</v>
      </c>
      <c r="S407" s="462">
        <f>VLOOKUP($E407,'5.1 Budget'!$A$4:$G$729,5,0)</f>
        <v>0</v>
      </c>
      <c r="T407" s="462">
        <f>VLOOKUP($E407,'5.1 Budget'!$A$4:$G$729,6,0)</f>
        <v>0</v>
      </c>
      <c r="U407" s="462">
        <f>VLOOKUP($E407,'5.1 Budget'!$A$4:$G$729,7,0)</f>
        <v>0</v>
      </c>
      <c r="V407" s="462">
        <f t="shared" si="7"/>
        <v>0</v>
      </c>
    </row>
    <row r="408" spans="1:22" x14ac:dyDescent="0.25">
      <c r="A408" s="465">
        <v>4</v>
      </c>
      <c r="B408" s="12" t="s">
        <v>157</v>
      </c>
      <c r="C408" s="12" t="s">
        <v>155</v>
      </c>
      <c r="D408" s="12" t="s">
        <v>72</v>
      </c>
      <c r="E408" s="12" t="s">
        <v>995</v>
      </c>
      <c r="F408" s="469" t="str">
        <f>VLOOKUP(E408,'5. Consolidation'!$E$3:$F$715,2,0)</f>
        <v>Production des indicateurs</v>
      </c>
      <c r="G408" s="12"/>
      <c r="H408" s="12"/>
      <c r="I408" s="12"/>
      <c r="J408" s="12"/>
      <c r="K408" s="12"/>
      <c r="L408" s="12"/>
      <c r="M408" s="12"/>
      <c r="N408" s="12"/>
      <c r="O408" s="12"/>
      <c r="P408" s="462">
        <f>VLOOKUP($E408,'5.1 Budget'!$A$4:$G$729,2,0)</f>
        <v>0</v>
      </c>
      <c r="Q408" s="462">
        <f>VLOOKUP($E408,'5.1 Budget'!$A$4:$G$729,3,0)</f>
        <v>0</v>
      </c>
      <c r="R408" s="462">
        <f>VLOOKUP($E408,'5.1 Budget'!$A$4:$G$729,4,0)</f>
        <v>0</v>
      </c>
      <c r="S408" s="462">
        <f>VLOOKUP($E408,'5.1 Budget'!$A$4:$G$729,5,0)</f>
        <v>0</v>
      </c>
      <c r="T408" s="462">
        <f>VLOOKUP($E408,'5.1 Budget'!$A$4:$G$729,6,0)</f>
        <v>0</v>
      </c>
      <c r="U408" s="462">
        <f>VLOOKUP($E408,'5.1 Budget'!$A$4:$G$729,7,0)</f>
        <v>0</v>
      </c>
      <c r="V408" s="462">
        <f t="shared" si="7"/>
        <v>0</v>
      </c>
    </row>
    <row r="409" spans="1:22" x14ac:dyDescent="0.25">
      <c r="A409" s="465">
        <v>4</v>
      </c>
      <c r="B409" s="12" t="s">
        <v>157</v>
      </c>
      <c r="C409" s="12" t="s">
        <v>155</v>
      </c>
      <c r="D409" s="12" t="s">
        <v>72</v>
      </c>
      <c r="E409" s="12" t="s">
        <v>996</v>
      </c>
      <c r="F409" s="469" t="str">
        <f>VLOOKUP(E409,'5. Consolidation'!$E$3:$F$715,2,0)</f>
        <v>Consolidation et analyse des indicateurs et élaboration d’un reporting visant à guider l’action du gouvernement</v>
      </c>
      <c r="G409" s="12"/>
      <c r="H409" s="12"/>
      <c r="I409" s="12"/>
      <c r="J409" s="12"/>
      <c r="K409" s="12"/>
      <c r="L409" s="12"/>
      <c r="M409" s="12"/>
      <c r="N409" s="459">
        <v>2022</v>
      </c>
      <c r="O409" s="12">
        <v>2027</v>
      </c>
      <c r="P409" s="462">
        <f>VLOOKUP($E409,'5.1 Budget'!$A$4:$G$729,2,0)</f>
        <v>20000</v>
      </c>
      <c r="Q409" s="462">
        <f>VLOOKUP($E409,'5.1 Budget'!$A$4:$G$729,3,0)</f>
        <v>20000</v>
      </c>
      <c r="R409" s="462">
        <f>VLOOKUP($E409,'5.1 Budget'!$A$4:$G$729,4,0)</f>
        <v>20000</v>
      </c>
      <c r="S409" s="462">
        <f>VLOOKUP($E409,'5.1 Budget'!$A$4:$G$729,5,0)</f>
        <v>20000</v>
      </c>
      <c r="T409" s="462">
        <f>VLOOKUP($E409,'5.1 Budget'!$A$4:$G$729,6,0)</f>
        <v>20000</v>
      </c>
      <c r="U409" s="462">
        <f>VLOOKUP($E409,'5.1 Budget'!$A$4:$G$729,7,0)</f>
        <v>20000</v>
      </c>
      <c r="V409" s="462">
        <f t="shared" si="7"/>
        <v>120000</v>
      </c>
    </row>
    <row r="410" spans="1:22" ht="26.25" x14ac:dyDescent="0.25">
      <c r="A410" s="465">
        <v>4</v>
      </c>
      <c r="B410" s="12" t="s">
        <v>157</v>
      </c>
      <c r="C410" s="12" t="s">
        <v>155</v>
      </c>
      <c r="D410" s="12" t="s">
        <v>73</v>
      </c>
      <c r="E410" s="12" t="s">
        <v>997</v>
      </c>
      <c r="F410" s="469" t="str">
        <f>VLOOKUP(E410,'5. Consolidation'!$E$3:$F$715,2,0)</f>
        <v>Réaliser une analyse multicritère permettant d’évaluer l’efficience du fonds quant à l’atteinte des objectifs visés par l’Ordonnance</v>
      </c>
      <c r="G410" s="12"/>
      <c r="H410" s="12"/>
      <c r="I410" s="12"/>
      <c r="J410" s="12"/>
      <c r="K410" s="12"/>
      <c r="L410" s="12"/>
      <c r="M410" s="12"/>
      <c r="N410" s="459">
        <v>2022</v>
      </c>
      <c r="O410" s="12"/>
      <c r="P410" s="462">
        <f>VLOOKUP($E410,'5.1 Budget'!$A$4:$G$729,2,0)</f>
        <v>30000</v>
      </c>
      <c r="Q410" s="462">
        <f>VLOOKUP($E410,'5.1 Budget'!$A$4:$G$729,3,0)</f>
        <v>0</v>
      </c>
      <c r="R410" s="462">
        <f>VLOOKUP($E410,'5.1 Budget'!$A$4:$G$729,4,0)</f>
        <v>0</v>
      </c>
      <c r="S410" s="462">
        <f>VLOOKUP($E410,'5.1 Budget'!$A$4:$G$729,5,0)</f>
        <v>0</v>
      </c>
      <c r="T410" s="462">
        <f>VLOOKUP($E410,'5.1 Budget'!$A$4:$G$729,6,0)</f>
        <v>0</v>
      </c>
      <c r="U410" s="462">
        <f>VLOOKUP($E410,'5.1 Budget'!$A$4:$G$729,7,0)</f>
        <v>0</v>
      </c>
      <c r="V410" s="462">
        <f t="shared" si="7"/>
        <v>30000</v>
      </c>
    </row>
    <row r="411" spans="1:22" ht="26.25" x14ac:dyDescent="0.25">
      <c r="A411" s="465">
        <v>4</v>
      </c>
      <c r="B411" s="12" t="s">
        <v>157</v>
      </c>
      <c r="C411" s="12" t="s">
        <v>155</v>
      </c>
      <c r="D411" s="12" t="s">
        <v>73</v>
      </c>
      <c r="E411" s="12" t="s">
        <v>998</v>
      </c>
      <c r="F411" s="469" t="str">
        <f>VLOOKUP(E411,'5. Consolidation'!$E$3:$F$715,2,0)</f>
        <v>Mettre en place de nouveaux indicateurs permettant de produire une analyse plus fine des usages du fonds à la fois au niveau quantitatif et qualitatif</v>
      </c>
      <c r="G411" s="12"/>
      <c r="H411" s="12"/>
      <c r="I411" s="12"/>
      <c r="J411" s="12"/>
      <c r="K411" s="12"/>
      <c r="L411" s="12"/>
      <c r="M411" s="12"/>
      <c r="N411" s="12"/>
      <c r="O411" s="12"/>
      <c r="P411" s="462">
        <f>VLOOKUP($E411,'5.1 Budget'!$A$4:$G$729,2,0)</f>
        <v>0</v>
      </c>
      <c r="Q411" s="462">
        <f>VLOOKUP($E411,'5.1 Budget'!$A$4:$G$729,3,0)</f>
        <v>0</v>
      </c>
      <c r="R411" s="462">
        <f>VLOOKUP($E411,'5.1 Budget'!$A$4:$G$729,4,0)</f>
        <v>0</v>
      </c>
      <c r="S411" s="462">
        <f>VLOOKUP($E411,'5.1 Budget'!$A$4:$G$729,5,0)</f>
        <v>0</v>
      </c>
      <c r="T411" s="462">
        <f>VLOOKUP($E411,'5.1 Budget'!$A$4:$G$729,6,0)</f>
        <v>0</v>
      </c>
      <c r="U411" s="462">
        <f>VLOOKUP($E411,'5.1 Budget'!$A$4:$G$729,7,0)</f>
        <v>0</v>
      </c>
      <c r="V411" s="462">
        <f t="shared" si="7"/>
        <v>0</v>
      </c>
    </row>
    <row r="412" spans="1:22" ht="26.25" x14ac:dyDescent="0.25">
      <c r="A412" s="465">
        <v>4</v>
      </c>
      <c r="B412" s="12" t="s">
        <v>157</v>
      </c>
      <c r="C412" s="12" t="s">
        <v>155</v>
      </c>
      <c r="D412" s="12" t="s">
        <v>73</v>
      </c>
      <c r="E412" s="12" t="s">
        <v>999</v>
      </c>
      <c r="F412" s="469" t="str">
        <f>VLOOKUP(E412,'5. Consolidation'!$E$3:$F$715,2,0)</f>
        <v>Produire un rapport faisant état de l'adéquation du fonds social de l'eau en regard des missions et des moyens des CPAS, ainsi que de l'objectif visé par l'ordonnance tel que spécifié dans l’arrêté</v>
      </c>
      <c r="G412" s="12"/>
      <c r="H412" s="12"/>
      <c r="I412" s="12"/>
      <c r="J412" s="12"/>
      <c r="K412" s="12"/>
      <c r="L412" s="12"/>
      <c r="M412" s="12"/>
      <c r="N412" s="12"/>
      <c r="O412" s="12"/>
      <c r="P412" s="462">
        <f>VLOOKUP($E412,'5.1 Budget'!$A$4:$G$729,2,0)</f>
        <v>0</v>
      </c>
      <c r="Q412" s="462">
        <f>VLOOKUP($E412,'5.1 Budget'!$A$4:$G$729,3,0)</f>
        <v>0</v>
      </c>
      <c r="R412" s="462">
        <f>VLOOKUP($E412,'5.1 Budget'!$A$4:$G$729,4,0)</f>
        <v>0</v>
      </c>
      <c r="S412" s="462">
        <f>VLOOKUP($E412,'5.1 Budget'!$A$4:$G$729,5,0)</f>
        <v>0</v>
      </c>
      <c r="T412" s="462">
        <f>VLOOKUP($E412,'5.1 Budget'!$A$4:$G$729,6,0)</f>
        <v>0</v>
      </c>
      <c r="U412" s="462">
        <f>VLOOKUP($E412,'5.1 Budget'!$A$4:$G$729,7,0)</f>
        <v>0</v>
      </c>
      <c r="V412" s="462">
        <f t="shared" si="7"/>
        <v>0</v>
      </c>
    </row>
    <row r="413" spans="1:22" ht="26.25" x14ac:dyDescent="0.25">
      <c r="A413" s="465">
        <v>4</v>
      </c>
      <c r="B413" s="12" t="s">
        <v>157</v>
      </c>
      <c r="C413" s="12" t="s">
        <v>155</v>
      </c>
      <c r="D413" s="12" t="s">
        <v>73</v>
      </c>
      <c r="E413" s="12" t="s">
        <v>1000</v>
      </c>
      <c r="F413" s="469" t="str">
        <f>VLOOKUP(E413,'5. Consolidation'!$E$3:$F$715,2,0)</f>
        <v>Définir et mettre en place les nouvelles de modalités de fonctionnement afin d’en améliorer l’accès (amoindrir le non recours), la flexibilité (élargir le droit de tirage) et la répartition des usages (ex : définir un « fonds d’améliorations techniques »)</v>
      </c>
      <c r="G413" s="12"/>
      <c r="H413" s="12"/>
      <c r="I413" s="12"/>
      <c r="J413" s="12"/>
      <c r="K413" s="12"/>
      <c r="L413" s="12"/>
      <c r="M413" s="12"/>
      <c r="N413" s="12"/>
      <c r="O413" s="12"/>
      <c r="P413" s="462">
        <f>VLOOKUP($E413,'5.1 Budget'!$A$4:$G$729,2,0)</f>
        <v>0</v>
      </c>
      <c r="Q413" s="462">
        <f>VLOOKUP($E413,'5.1 Budget'!$A$4:$G$729,3,0)</f>
        <v>0</v>
      </c>
      <c r="R413" s="462">
        <f>VLOOKUP($E413,'5.1 Budget'!$A$4:$G$729,4,0)</f>
        <v>0</v>
      </c>
      <c r="S413" s="462">
        <f>VLOOKUP($E413,'5.1 Budget'!$A$4:$G$729,5,0)</f>
        <v>0</v>
      </c>
      <c r="T413" s="462">
        <f>VLOOKUP($E413,'5.1 Budget'!$A$4:$G$729,6,0)</f>
        <v>0</v>
      </c>
      <c r="U413" s="462">
        <f>VLOOKUP($E413,'5.1 Budget'!$A$4:$G$729,7,0)</f>
        <v>0</v>
      </c>
      <c r="V413" s="462">
        <f t="shared" si="7"/>
        <v>0</v>
      </c>
    </row>
    <row r="414" spans="1:22" ht="39" x14ac:dyDescent="0.25">
      <c r="A414" s="465">
        <v>4</v>
      </c>
      <c r="B414" s="12" t="s">
        <v>157</v>
      </c>
      <c r="C414" s="12" t="s">
        <v>155</v>
      </c>
      <c r="D414" s="12" t="s">
        <v>75</v>
      </c>
      <c r="E414" s="12" t="s">
        <v>1001</v>
      </c>
      <c r="F414" s="469" t="str">
        <f>VLOOKUP(E414,'5. Consolidation'!$E$3:$F$715,2,0)</f>
        <v>Réaliser un état des lieux précis des points d’accès d’eau potable en RBC et des installations sanitaires accessibles aux publics plus vulnérables(*). Cet état des lieux permettraient de géoréférencer ces points d’accès afin d’être communiqués auprès du grand public sous la forme d’une carte numérique interactive.</v>
      </c>
      <c r="G414" s="12"/>
      <c r="H414" s="12"/>
      <c r="I414" s="12"/>
      <c r="J414" s="12"/>
      <c r="K414" s="12"/>
      <c r="L414" s="12"/>
      <c r="M414" s="12"/>
      <c r="N414" s="12"/>
      <c r="O414" s="12"/>
      <c r="P414" s="462">
        <f>VLOOKUP($E414,'5.1 Budget'!$A$4:$G$729,2,0)</f>
        <v>0</v>
      </c>
      <c r="Q414" s="462">
        <f>VLOOKUP($E414,'5.1 Budget'!$A$4:$G$729,3,0)</f>
        <v>0</v>
      </c>
      <c r="R414" s="462">
        <f>VLOOKUP($E414,'5.1 Budget'!$A$4:$G$729,4,0)</f>
        <v>0</v>
      </c>
      <c r="S414" s="462">
        <f>VLOOKUP($E414,'5.1 Budget'!$A$4:$G$729,5,0)</f>
        <v>0</v>
      </c>
      <c r="T414" s="462">
        <f>VLOOKUP($E414,'5.1 Budget'!$A$4:$G$729,6,0)</f>
        <v>0</v>
      </c>
      <c r="U414" s="462">
        <f>VLOOKUP($E414,'5.1 Budget'!$A$4:$G$729,7,0)</f>
        <v>0</v>
      </c>
      <c r="V414" s="462">
        <f t="shared" si="7"/>
        <v>0</v>
      </c>
    </row>
    <row r="415" spans="1:22" x14ac:dyDescent="0.25">
      <c r="A415" s="465">
        <v>4</v>
      </c>
      <c r="B415" s="12" t="s">
        <v>157</v>
      </c>
      <c r="C415" s="12" t="s">
        <v>155</v>
      </c>
      <c r="D415" s="12" t="s">
        <v>75</v>
      </c>
      <c r="E415" s="12" t="s">
        <v>1002</v>
      </c>
      <c r="F415" s="469" t="str">
        <f>VLOOKUP(E415,'5. Consolidation'!$E$3:$F$715,2,0)</f>
        <v>Analyser les besoins au regard des objectifs sociaux, environnementaux et d’adaptation au changement climatique</v>
      </c>
      <c r="G415" s="12"/>
      <c r="H415" s="12"/>
      <c r="I415" s="12"/>
      <c r="J415" s="12"/>
      <c r="K415" s="12"/>
      <c r="L415" s="12"/>
      <c r="M415" s="12"/>
      <c r="N415" s="12"/>
      <c r="O415" s="12"/>
      <c r="P415" s="462">
        <f>VLOOKUP($E415,'5.1 Budget'!$A$4:$G$729,2,0)</f>
        <v>0</v>
      </c>
      <c r="Q415" s="462">
        <f>VLOOKUP($E415,'5.1 Budget'!$A$4:$G$729,3,0)</f>
        <v>0</v>
      </c>
      <c r="R415" s="462">
        <f>VLOOKUP($E415,'5.1 Budget'!$A$4:$G$729,4,0)</f>
        <v>0</v>
      </c>
      <c r="S415" s="462">
        <f>VLOOKUP($E415,'5.1 Budget'!$A$4:$G$729,5,0)</f>
        <v>0</v>
      </c>
      <c r="T415" s="462">
        <f>VLOOKUP($E415,'5.1 Budget'!$A$4:$G$729,6,0)</f>
        <v>0</v>
      </c>
      <c r="U415" s="462">
        <f>VLOOKUP($E415,'5.1 Budget'!$A$4:$G$729,7,0)</f>
        <v>0</v>
      </c>
      <c r="V415" s="462">
        <f t="shared" si="7"/>
        <v>0</v>
      </c>
    </row>
    <row r="416" spans="1:22" ht="26.25" x14ac:dyDescent="0.25">
      <c r="A416" s="465">
        <v>4</v>
      </c>
      <c r="B416" s="12" t="s">
        <v>157</v>
      </c>
      <c r="C416" s="12" t="s">
        <v>155</v>
      </c>
      <c r="D416" s="12" t="s">
        <v>75</v>
      </c>
      <c r="E416" s="12" t="s">
        <v>1003</v>
      </c>
      <c r="F416" s="469" t="str">
        <f>VLOOKUP(E416,'5. Consolidation'!$E$3:$F$715,2,0)</f>
        <v>Définir une stratégie coordonnée de déploiement d’équipements intérieurs et extérieurs dans les espaces publics (voirie, place, parc,..) avec l’ensemble des acteurs en charge (Institutions communales, régionales et le monde associatif)</v>
      </c>
      <c r="G416" s="12"/>
      <c r="H416" s="12"/>
      <c r="I416" s="12"/>
      <c r="J416" s="12"/>
      <c r="K416" s="12"/>
      <c r="L416" s="12"/>
      <c r="M416" s="12"/>
      <c r="N416" s="12"/>
      <c r="O416" s="12"/>
      <c r="P416" s="462">
        <f>VLOOKUP($E416,'5.1 Budget'!$A$4:$G$729,2,0)</f>
        <v>0</v>
      </c>
      <c r="Q416" s="462">
        <f>VLOOKUP($E416,'5.1 Budget'!$A$4:$G$729,3,0)</f>
        <v>0</v>
      </c>
      <c r="R416" s="462">
        <f>VLOOKUP($E416,'5.1 Budget'!$A$4:$G$729,4,0)</f>
        <v>0</v>
      </c>
      <c r="S416" s="462">
        <f>VLOOKUP($E416,'5.1 Budget'!$A$4:$G$729,5,0)</f>
        <v>0</v>
      </c>
      <c r="T416" s="462">
        <f>VLOOKUP($E416,'5.1 Budget'!$A$4:$G$729,6,0)</f>
        <v>0</v>
      </c>
      <c r="U416" s="462">
        <f>VLOOKUP($E416,'5.1 Budget'!$A$4:$G$729,7,0)</f>
        <v>0</v>
      </c>
      <c r="V416" s="462">
        <f t="shared" si="7"/>
        <v>0</v>
      </c>
    </row>
    <row r="417" spans="1:22" x14ac:dyDescent="0.25">
      <c r="A417" s="465">
        <v>4</v>
      </c>
      <c r="B417" s="12" t="s">
        <v>157</v>
      </c>
      <c r="C417" s="12" t="s">
        <v>155</v>
      </c>
      <c r="D417" s="12" t="s">
        <v>75</v>
      </c>
      <c r="E417" s="12" t="s">
        <v>1004</v>
      </c>
      <c r="F417" s="469" t="str">
        <f>VLOOKUP(E417,'5. Consolidation'!$E$3:$F$715,2,0)</f>
        <v>Réaliser l’installation et l’entretien des fontaines publiques sur le territoire de la RBC</v>
      </c>
      <c r="G417" s="12"/>
      <c r="H417" s="12"/>
      <c r="I417" s="12"/>
      <c r="J417" s="12"/>
      <c r="K417" s="12"/>
      <c r="L417" s="12"/>
      <c r="M417" s="12"/>
      <c r="N417" s="459">
        <v>2022</v>
      </c>
      <c r="O417" s="12"/>
      <c r="P417" s="462">
        <f>VLOOKUP($E417,'5.1 Budget'!$A$4:$G$729,2,0)</f>
        <v>750000</v>
      </c>
      <c r="Q417" s="462">
        <f>VLOOKUP($E417,'5.1 Budget'!$A$4:$G$729,3,0)</f>
        <v>0</v>
      </c>
      <c r="R417" s="462">
        <f>VLOOKUP($E417,'5.1 Budget'!$A$4:$G$729,4,0)</f>
        <v>0</v>
      </c>
      <c r="S417" s="462">
        <f>VLOOKUP($E417,'5.1 Budget'!$A$4:$G$729,5,0)</f>
        <v>0</v>
      </c>
      <c r="T417" s="462">
        <f>VLOOKUP($E417,'5.1 Budget'!$A$4:$G$729,6,0)</f>
        <v>0</v>
      </c>
      <c r="U417" s="462">
        <f>VLOOKUP($E417,'5.1 Budget'!$A$4:$G$729,7,0)</f>
        <v>0</v>
      </c>
      <c r="V417" s="462">
        <f t="shared" si="7"/>
        <v>750000</v>
      </c>
    </row>
    <row r="418" spans="1:22" x14ac:dyDescent="0.25">
      <c r="A418" s="465">
        <v>5</v>
      </c>
      <c r="B418" s="12" t="s">
        <v>108</v>
      </c>
      <c r="C418" s="12" t="s">
        <v>158</v>
      </c>
      <c r="D418" s="12" t="s">
        <v>76</v>
      </c>
      <c r="E418" s="12" t="s">
        <v>1005</v>
      </c>
      <c r="F418" s="469" t="str">
        <f>VLOOKUP(E418,'5. Consolidation'!$E$3:$F$715,2,0)</f>
        <v>Accompagner les acteurs (administrations et auteurs de projets) dans le développement de leurs compétences (voir M.5.3)</v>
      </c>
      <c r="G418" s="12"/>
      <c r="H418" s="12"/>
      <c r="I418" s="12"/>
      <c r="J418" s="12"/>
      <c r="K418" s="12"/>
      <c r="L418" s="12"/>
      <c r="M418" s="12"/>
      <c r="N418" s="12"/>
      <c r="O418" s="12"/>
      <c r="P418" s="462">
        <f>VLOOKUP($E418,'5.1 Budget'!$A$4:$G$729,2,0)</f>
        <v>0</v>
      </c>
      <c r="Q418" s="462">
        <f>VLOOKUP($E418,'5.1 Budget'!$A$4:$G$729,3,0)</f>
        <v>0</v>
      </c>
      <c r="R418" s="462">
        <f>VLOOKUP($E418,'5.1 Budget'!$A$4:$G$729,4,0)</f>
        <v>0</v>
      </c>
      <c r="S418" s="462">
        <f>VLOOKUP($E418,'5.1 Budget'!$A$4:$G$729,5,0)</f>
        <v>0</v>
      </c>
      <c r="T418" s="462">
        <f>VLOOKUP($E418,'5.1 Budget'!$A$4:$G$729,6,0)</f>
        <v>0</v>
      </c>
      <c r="U418" s="462">
        <f>VLOOKUP($E418,'5.1 Budget'!$A$4:$G$729,7,0)</f>
        <v>0</v>
      </c>
      <c r="V418" s="462">
        <f t="shared" si="7"/>
        <v>0</v>
      </c>
    </row>
    <row r="419" spans="1:22" ht="26.25" x14ac:dyDescent="0.25">
      <c r="A419" s="465">
        <v>5</v>
      </c>
      <c r="B419" s="12" t="s">
        <v>108</v>
      </c>
      <c r="C419" s="12" t="s">
        <v>158</v>
      </c>
      <c r="D419" s="12" t="s">
        <v>76</v>
      </c>
      <c r="E419" s="12" t="s">
        <v>1009</v>
      </c>
      <c r="F419" s="469" t="str">
        <f>VLOOKUP(E419,'5. Consolidation'!$E$3:$F$715,2,0)</f>
        <v>Règlement régional d’urbanisme (RRU) – réviser les prescriptions existantes et en ajouter de nouvelles relatives à la gestion des eaux tant pour les espaces privés que publics(*)</v>
      </c>
      <c r="G419" s="12"/>
      <c r="H419" s="12"/>
      <c r="I419" s="12"/>
      <c r="J419" s="12"/>
      <c r="K419" s="12"/>
      <c r="L419" s="12"/>
      <c r="M419" s="12"/>
      <c r="N419" s="12"/>
      <c r="O419" s="12"/>
      <c r="P419" s="462">
        <f>VLOOKUP($E419,'5.1 Budget'!$A$4:$G$729,2,0)</f>
        <v>0</v>
      </c>
      <c r="Q419" s="462">
        <f>VLOOKUP($E419,'5.1 Budget'!$A$4:$G$729,3,0)</f>
        <v>0</v>
      </c>
      <c r="R419" s="462">
        <f>VLOOKUP($E419,'5.1 Budget'!$A$4:$G$729,4,0)</f>
        <v>0</v>
      </c>
      <c r="S419" s="462">
        <f>VLOOKUP($E419,'5.1 Budget'!$A$4:$G$729,5,0)</f>
        <v>0</v>
      </c>
      <c r="T419" s="462">
        <f>VLOOKUP($E419,'5.1 Budget'!$A$4:$G$729,6,0)</f>
        <v>0</v>
      </c>
      <c r="U419" s="462">
        <f>VLOOKUP($E419,'5.1 Budget'!$A$4:$G$729,7,0)</f>
        <v>0</v>
      </c>
      <c r="V419" s="462">
        <f t="shared" si="7"/>
        <v>0</v>
      </c>
    </row>
    <row r="420" spans="1:22" ht="26.25" x14ac:dyDescent="0.25">
      <c r="A420" s="465">
        <v>5</v>
      </c>
      <c r="B420" s="12" t="s">
        <v>108</v>
      </c>
      <c r="C420" s="12" t="s">
        <v>158</v>
      </c>
      <c r="D420" s="12" t="s">
        <v>76</v>
      </c>
      <c r="E420" s="12" t="s">
        <v>1010</v>
      </c>
      <c r="F420" s="469" t="str">
        <f>VLOOKUP(E420,'5. Consolidation'!$E$3:$F$715,2,0)</f>
        <v>Mettre en place une procédure permettant d’imposer la mise en œuvre de la GiEP aux travers des permis d’environnement et/ou d’urbanisme</v>
      </c>
      <c r="G420" s="12"/>
      <c r="H420" s="12"/>
      <c r="I420" s="12"/>
      <c r="J420" s="12"/>
      <c r="K420" s="12"/>
      <c r="L420" s="12"/>
      <c r="M420" s="12"/>
      <c r="N420" s="12"/>
      <c r="O420" s="12"/>
      <c r="P420" s="462">
        <f>VLOOKUP($E420,'5.1 Budget'!$A$4:$G$729,2,0)</f>
        <v>0</v>
      </c>
      <c r="Q420" s="462">
        <f>VLOOKUP($E420,'5.1 Budget'!$A$4:$G$729,3,0)</f>
        <v>0</v>
      </c>
      <c r="R420" s="462">
        <f>VLOOKUP($E420,'5.1 Budget'!$A$4:$G$729,4,0)</f>
        <v>0</v>
      </c>
      <c r="S420" s="462">
        <f>VLOOKUP($E420,'5.1 Budget'!$A$4:$G$729,5,0)</f>
        <v>0</v>
      </c>
      <c r="T420" s="462">
        <f>VLOOKUP($E420,'5.1 Budget'!$A$4:$G$729,6,0)</f>
        <v>0</v>
      </c>
      <c r="U420" s="462">
        <f>VLOOKUP($E420,'5.1 Budget'!$A$4:$G$729,7,0)</f>
        <v>0</v>
      </c>
      <c r="V420" s="462">
        <f t="shared" si="7"/>
        <v>0</v>
      </c>
    </row>
    <row r="421" spans="1:22" x14ac:dyDescent="0.25">
      <c r="A421" s="465">
        <v>5</v>
      </c>
      <c r="B421" s="12" t="s">
        <v>108</v>
      </c>
      <c r="C421" s="12" t="s">
        <v>158</v>
      </c>
      <c r="D421" s="12" t="s">
        <v>76</v>
      </c>
      <c r="E421" s="12" t="s">
        <v>1011</v>
      </c>
      <c r="F421" s="469" t="str">
        <f>VLOOKUP(E421,'5. Consolidation'!$E$3:$F$715,2,0)</f>
        <v>COBAT- adapter le cadre législatif et procédures établies au 5.1.3, le cas échéant.</v>
      </c>
      <c r="G421" s="12"/>
      <c r="H421" s="12"/>
      <c r="I421" s="12"/>
      <c r="J421" s="12"/>
      <c r="K421" s="12"/>
      <c r="L421" s="12"/>
      <c r="M421" s="12"/>
      <c r="N421" s="12"/>
      <c r="O421" s="12"/>
      <c r="P421" s="462">
        <f>VLOOKUP($E421,'5.1 Budget'!$A$4:$G$729,2,0)</f>
        <v>0</v>
      </c>
      <c r="Q421" s="462">
        <f>VLOOKUP($E421,'5.1 Budget'!$A$4:$G$729,3,0)</f>
        <v>0</v>
      </c>
      <c r="R421" s="462">
        <f>VLOOKUP($E421,'5.1 Budget'!$A$4:$G$729,4,0)</f>
        <v>0</v>
      </c>
      <c r="S421" s="462">
        <f>VLOOKUP($E421,'5.1 Budget'!$A$4:$G$729,5,0)</f>
        <v>0</v>
      </c>
      <c r="T421" s="462">
        <f>VLOOKUP($E421,'5.1 Budget'!$A$4:$G$729,6,0)</f>
        <v>0</v>
      </c>
      <c r="U421" s="462">
        <f>VLOOKUP($E421,'5.1 Budget'!$A$4:$G$729,7,0)</f>
        <v>0</v>
      </c>
      <c r="V421" s="462">
        <f t="shared" si="7"/>
        <v>0</v>
      </c>
    </row>
    <row r="422" spans="1:22" ht="128.25" x14ac:dyDescent="0.25">
      <c r="A422" s="465">
        <v>5</v>
      </c>
      <c r="B422" s="12" t="s">
        <v>108</v>
      </c>
      <c r="C422" s="12" t="s">
        <v>158</v>
      </c>
      <c r="D422" s="12" t="s">
        <v>76</v>
      </c>
      <c r="E422" s="12" t="s">
        <v>1012</v>
      </c>
      <c r="F422" s="469" t="str">
        <f>VLOOKUP(E422,'5. Consolidation'!$E$3:$F$715,2,0)</f>
        <v>Plan régional d’affectation des sols (PRAS) –
·        Dans le cadre de la révision du nouveau PRAS, tenir compte de la gestion intégrée des eaux pluviales et de ses objectifs en termes de perméabilités des sols et végétalisation (lutte contre les îlots de chaleur urbain) au niveau des différents documents constitutifs, notamment au niveau des  prescriptions générales et le cas échéant, des prescriptions particulières de certaines zones. Il conviendrait notamment d’assurer un ratio suffisant de pleine terre dans toutes les zones constructibles.
.   Lors de révisions ponctuelles du PRAS actuel (changement d’affectation, inscription de nouveaux tracés…) tenir compte de l’impact des différents scenarios sur la gestion des eaux de ruissellement et assurer des mesures d’atténuation complètes ou à défaut, des compensations basées sur les principes de gestion intégrée des eaux pluviales pour en limiter les incidences au minimum</v>
      </c>
      <c r="G422" s="12"/>
      <c r="H422" s="12"/>
      <c r="I422" s="12"/>
      <c r="J422" s="12"/>
      <c r="K422" s="12"/>
      <c r="L422" s="12"/>
      <c r="M422" s="12"/>
      <c r="N422" s="12"/>
      <c r="O422" s="12"/>
      <c r="P422" s="462">
        <f>VLOOKUP($E422,'5.1 Budget'!$A$4:$G$729,2,0)</f>
        <v>0</v>
      </c>
      <c r="Q422" s="462">
        <f>VLOOKUP($E422,'5.1 Budget'!$A$4:$G$729,3,0)</f>
        <v>0</v>
      </c>
      <c r="R422" s="462">
        <f>VLOOKUP($E422,'5.1 Budget'!$A$4:$G$729,4,0)</f>
        <v>0</v>
      </c>
      <c r="S422" s="462">
        <f>VLOOKUP($E422,'5.1 Budget'!$A$4:$G$729,5,0)</f>
        <v>0</v>
      </c>
      <c r="T422" s="462">
        <f>VLOOKUP($E422,'5.1 Budget'!$A$4:$G$729,6,0)</f>
        <v>0</v>
      </c>
      <c r="U422" s="462">
        <f>VLOOKUP($E422,'5.1 Budget'!$A$4:$G$729,7,0)</f>
        <v>0</v>
      </c>
      <c r="V422" s="462">
        <f t="shared" si="7"/>
        <v>0</v>
      </c>
    </row>
    <row r="423" spans="1:22" ht="26.25" x14ac:dyDescent="0.25">
      <c r="A423" s="465">
        <v>5</v>
      </c>
      <c r="B423" s="12" t="s">
        <v>108</v>
      </c>
      <c r="C423" s="12" t="s">
        <v>158</v>
      </c>
      <c r="D423" s="12" t="s">
        <v>76</v>
      </c>
      <c r="E423" s="12" t="s">
        <v>1013</v>
      </c>
      <c r="F423" s="469" t="str">
        <f>VLOOKUP(E423,'5. Consolidation'!$E$3:$F$715,2,0)</f>
        <v>Plans d’aménagement directeur (PAD) – obliger l’auteur de projet à réaliser une étude hydrologique dans le cadre de l’établissement de la situation existante et à établir les prescriptions générales sur la base de celle-ci.</v>
      </c>
      <c r="G423" s="12"/>
      <c r="H423" s="12"/>
      <c r="I423" s="12"/>
      <c r="J423" s="12"/>
      <c r="K423" s="12"/>
      <c r="L423" s="12"/>
      <c r="M423" s="12"/>
      <c r="N423" s="12"/>
      <c r="O423" s="12"/>
      <c r="P423" s="462">
        <f>VLOOKUP($E423,'5.1 Budget'!$A$4:$G$729,2,0)</f>
        <v>0</v>
      </c>
      <c r="Q423" s="462">
        <f>VLOOKUP($E423,'5.1 Budget'!$A$4:$G$729,3,0)</f>
        <v>0</v>
      </c>
      <c r="R423" s="462">
        <f>VLOOKUP($E423,'5.1 Budget'!$A$4:$G$729,4,0)</f>
        <v>0</v>
      </c>
      <c r="S423" s="462">
        <f>VLOOKUP($E423,'5.1 Budget'!$A$4:$G$729,5,0)</f>
        <v>0</v>
      </c>
      <c r="T423" s="462">
        <f>VLOOKUP($E423,'5.1 Budget'!$A$4:$G$729,6,0)</f>
        <v>0</v>
      </c>
      <c r="U423" s="462">
        <f>VLOOKUP($E423,'5.1 Budget'!$A$4:$G$729,7,0)</f>
        <v>0</v>
      </c>
      <c r="V423" s="462">
        <f t="shared" si="7"/>
        <v>0</v>
      </c>
    </row>
    <row r="424" spans="1:22" ht="26.25" x14ac:dyDescent="0.25">
      <c r="A424" s="465">
        <v>5</v>
      </c>
      <c r="B424" s="12" t="s">
        <v>108</v>
      </c>
      <c r="C424" s="12" t="s">
        <v>158</v>
      </c>
      <c r="D424" s="12" t="s">
        <v>76</v>
      </c>
      <c r="E424" s="12" t="s">
        <v>1014</v>
      </c>
      <c r="F424" s="469" t="str">
        <f>VLOOKUP(E424,'5. Consolidation'!$E$3:$F$715,2,0)</f>
        <v>Plans particuliers d’affectation des sols (PPAS) – intégrer des prescriptions pour garantir la gestion intégrée des eaux pluviales et le cas échéant, compléter les prescriptions des outils de normes supérieures (PAD,…).</v>
      </c>
      <c r="G424" s="12"/>
      <c r="H424" s="12"/>
      <c r="I424" s="12"/>
      <c r="J424" s="12"/>
      <c r="K424" s="12"/>
      <c r="L424" s="12"/>
      <c r="M424" s="12"/>
      <c r="N424" s="12"/>
      <c r="O424" s="12"/>
      <c r="P424" s="462">
        <f>VLOOKUP($E424,'5.1 Budget'!$A$4:$G$729,2,0)</f>
        <v>0</v>
      </c>
      <c r="Q424" s="462">
        <f>VLOOKUP($E424,'5.1 Budget'!$A$4:$G$729,3,0)</f>
        <v>0</v>
      </c>
      <c r="R424" s="462">
        <f>VLOOKUP($E424,'5.1 Budget'!$A$4:$G$729,4,0)</f>
        <v>0</v>
      </c>
      <c r="S424" s="462">
        <f>VLOOKUP($E424,'5.1 Budget'!$A$4:$G$729,5,0)</f>
        <v>0</v>
      </c>
      <c r="T424" s="462">
        <f>VLOOKUP($E424,'5.1 Budget'!$A$4:$G$729,6,0)</f>
        <v>0</v>
      </c>
      <c r="U424" s="462">
        <f>VLOOKUP($E424,'5.1 Budget'!$A$4:$G$729,7,0)</f>
        <v>0</v>
      </c>
      <c r="V424" s="462">
        <f t="shared" si="7"/>
        <v>0</v>
      </c>
    </row>
    <row r="425" spans="1:22" ht="51.75" x14ac:dyDescent="0.25">
      <c r="A425" s="465">
        <v>5</v>
      </c>
      <c r="B425" s="12" t="s">
        <v>108</v>
      </c>
      <c r="C425" s="12" t="s">
        <v>158</v>
      </c>
      <c r="D425" s="12" t="s">
        <v>76</v>
      </c>
      <c r="E425" s="12" t="s">
        <v>1015</v>
      </c>
      <c r="F425" s="469" t="str">
        <f>VLOOKUP(E425,'5. Consolidation'!$E$3:$F$715,2,0)</f>
        <v>Faire des études du potentiel de déconnexion (% de surfaces déconnectées) via un outil qui soutiendra les différents plans de développement territorial.
Cette mesure pourra à termes s’appuyer sur un outil cartographique que Bruxelles Environnement compte mettre en place via la M.5.6</v>
      </c>
      <c r="G425" s="12"/>
      <c r="H425" s="12"/>
      <c r="I425" s="12"/>
      <c r="J425" s="12"/>
      <c r="K425" s="12"/>
      <c r="L425" s="12"/>
      <c r="M425" s="12"/>
      <c r="N425" s="12"/>
      <c r="O425" s="12"/>
      <c r="P425" s="462">
        <f>VLOOKUP($E425,'5.1 Budget'!$A$4:$G$729,2,0)</f>
        <v>0</v>
      </c>
      <c r="Q425" s="462">
        <f>VLOOKUP($E425,'5.1 Budget'!$A$4:$G$729,3,0)</f>
        <v>0</v>
      </c>
      <c r="R425" s="462">
        <f>VLOOKUP($E425,'5.1 Budget'!$A$4:$G$729,4,0)</f>
        <v>0</v>
      </c>
      <c r="S425" s="462">
        <f>VLOOKUP($E425,'5.1 Budget'!$A$4:$G$729,5,0)</f>
        <v>0</v>
      </c>
      <c r="T425" s="462">
        <f>VLOOKUP($E425,'5.1 Budget'!$A$4:$G$729,6,0)</f>
        <v>0</v>
      </c>
      <c r="U425" s="462">
        <f>VLOOKUP($E425,'5.1 Budget'!$A$4:$G$729,7,0)</f>
        <v>0</v>
      </c>
      <c r="V425" s="462">
        <f t="shared" si="7"/>
        <v>0</v>
      </c>
    </row>
    <row r="426" spans="1:22" ht="64.5" x14ac:dyDescent="0.25">
      <c r="A426" s="465">
        <v>5</v>
      </c>
      <c r="B426" s="12" t="s">
        <v>108</v>
      </c>
      <c r="C426" s="12" t="s">
        <v>158</v>
      </c>
      <c r="D426" s="12" t="s">
        <v>76</v>
      </c>
      <c r="E426" s="12" t="s">
        <v>1016</v>
      </c>
      <c r="F426" s="469" t="str">
        <f>VLOOKUP(E426,'5. Consolidation'!$E$3:$F$715,2,0)</f>
        <v>Etudier la gestion et le placement des impétrants dans l’espace public afin d’établir, le cas échéant, des lignes directrices pour assurer la bonne compatibilité entre GIEP et impétrants.
Actuellement le manque d’information concrète sur leur positionnement, les exigences aléatoires liées à leur placement, le manque de prise en charge de certaines anciennes installations devenues obsolètes, représentent un obstacle à la GIEP et à la végétalisation des espaces publics.</v>
      </c>
      <c r="G426" s="12"/>
      <c r="H426" s="12"/>
      <c r="I426" s="12"/>
      <c r="J426" s="12"/>
      <c r="K426" s="12"/>
      <c r="L426" s="12"/>
      <c r="M426" s="12"/>
      <c r="N426" s="12"/>
      <c r="O426" s="12"/>
      <c r="P426" s="462">
        <f>VLOOKUP($E426,'5.1 Budget'!$A$4:$G$729,2,0)</f>
        <v>0</v>
      </c>
      <c r="Q426" s="462">
        <f>VLOOKUP($E426,'5.1 Budget'!$A$4:$G$729,3,0)</f>
        <v>0</v>
      </c>
      <c r="R426" s="462">
        <f>VLOOKUP($E426,'5.1 Budget'!$A$4:$G$729,4,0)</f>
        <v>0</v>
      </c>
      <c r="S426" s="462">
        <f>VLOOKUP($E426,'5.1 Budget'!$A$4:$G$729,5,0)</f>
        <v>0</v>
      </c>
      <c r="T426" s="462">
        <f>VLOOKUP($E426,'5.1 Budget'!$A$4:$G$729,6,0)</f>
        <v>0</v>
      </c>
      <c r="U426" s="462">
        <f>VLOOKUP($E426,'5.1 Budget'!$A$4:$G$729,7,0)</f>
        <v>0</v>
      </c>
      <c r="V426" s="462">
        <f t="shared" si="7"/>
        <v>0</v>
      </c>
    </row>
    <row r="427" spans="1:22" ht="39" x14ac:dyDescent="0.25">
      <c r="A427" s="465">
        <v>5</v>
      </c>
      <c r="B427" s="12" t="s">
        <v>108</v>
      </c>
      <c r="C427" s="12" t="s">
        <v>158</v>
      </c>
      <c r="D427" s="12" t="s">
        <v>76</v>
      </c>
      <c r="E427" s="12" t="s">
        <v>1006</v>
      </c>
      <c r="F427" s="469" t="str">
        <f>VLOOKUP(E427,'5. Consolidation'!$E$3:$F$715,2,0)</f>
        <v>Dans l’expectative de cette intégration généralisée d’une bonne prise en compte de la gestion durable de l’eau, remettre des avis et conditions dans les permis d’urbanisme et selon demande, lors des procédures liées à délivrance de permis d’urbanisme (Commission de concertation, Avis d’instance,…)</v>
      </c>
      <c r="G427" s="12"/>
      <c r="H427" s="12"/>
      <c r="I427" s="12"/>
      <c r="J427" s="12"/>
      <c r="K427" s="12"/>
      <c r="L427" s="12"/>
      <c r="M427" s="12"/>
      <c r="N427" s="12"/>
      <c r="O427" s="12"/>
      <c r="P427" s="462">
        <f>VLOOKUP($E427,'5.1 Budget'!$A$4:$G$729,2,0)</f>
        <v>0</v>
      </c>
      <c r="Q427" s="462">
        <f>VLOOKUP($E427,'5.1 Budget'!$A$4:$G$729,3,0)</f>
        <v>0</v>
      </c>
      <c r="R427" s="462">
        <f>VLOOKUP($E427,'5.1 Budget'!$A$4:$G$729,4,0)</f>
        <v>0</v>
      </c>
      <c r="S427" s="462">
        <f>VLOOKUP($E427,'5.1 Budget'!$A$4:$G$729,5,0)</f>
        <v>0</v>
      </c>
      <c r="T427" s="462">
        <f>VLOOKUP($E427,'5.1 Budget'!$A$4:$G$729,6,0)</f>
        <v>0</v>
      </c>
      <c r="U427" s="462">
        <f>VLOOKUP($E427,'5.1 Budget'!$A$4:$G$729,7,0)</f>
        <v>0</v>
      </c>
      <c r="V427" s="462">
        <f t="shared" si="7"/>
        <v>0</v>
      </c>
    </row>
    <row r="428" spans="1:22" ht="51.75" x14ac:dyDescent="0.25">
      <c r="A428" s="465">
        <v>5</v>
      </c>
      <c r="B428" s="12" t="s">
        <v>108</v>
      </c>
      <c r="C428" s="12" t="s">
        <v>158</v>
      </c>
      <c r="D428" s="12" t="s">
        <v>76</v>
      </c>
      <c r="E428" s="12" t="s">
        <v>1007</v>
      </c>
      <c r="F428" s="469" t="str">
        <f>VLOOKUP(E428,'5. Consolidation'!$E$3:$F$715,2,0)</f>
        <v>Veiller à la bonne mise en œuvre des principes de gestion de l’eau édictés dans le BKP
Beeldkwaliteitsplan ou plan de qualité paysagère et urbanistique) qui s’appliquent à tout projet d’aménagement et de rénovation d’espace public sur le territoire du Canal dont le périmètre s’étend sur différentes zones administratives aux niveaux de pouvoir multiples( il s’agit du périmètre du Plan Canal de 2012 repris à la page 24 du BKP )</v>
      </c>
      <c r="G428" s="12"/>
      <c r="H428" s="12"/>
      <c r="I428" s="12"/>
      <c r="J428" s="12"/>
      <c r="K428" s="12"/>
      <c r="L428" s="12"/>
      <c r="M428" s="12"/>
      <c r="N428" s="12"/>
      <c r="O428" s="12"/>
      <c r="P428" s="462">
        <f>VLOOKUP($E428,'5.1 Budget'!$A$4:$G$729,2,0)</f>
        <v>0</v>
      </c>
      <c r="Q428" s="462">
        <f>VLOOKUP($E428,'5.1 Budget'!$A$4:$G$729,3,0)</f>
        <v>0</v>
      </c>
      <c r="R428" s="462">
        <f>VLOOKUP($E428,'5.1 Budget'!$A$4:$G$729,4,0)</f>
        <v>0</v>
      </c>
      <c r="S428" s="462">
        <f>VLOOKUP($E428,'5.1 Budget'!$A$4:$G$729,5,0)</f>
        <v>0</v>
      </c>
      <c r="T428" s="462">
        <f>VLOOKUP($E428,'5.1 Budget'!$A$4:$G$729,6,0)</f>
        <v>0</v>
      </c>
      <c r="U428" s="462">
        <f>VLOOKUP($E428,'5.1 Budget'!$A$4:$G$729,7,0)</f>
        <v>0</v>
      </c>
      <c r="V428" s="462">
        <f t="shared" si="7"/>
        <v>0</v>
      </c>
    </row>
    <row r="429" spans="1:22" ht="51.75" x14ac:dyDescent="0.25">
      <c r="A429" s="465">
        <v>5</v>
      </c>
      <c r="B429" s="12" t="s">
        <v>108</v>
      </c>
      <c r="C429" s="12" t="s">
        <v>158</v>
      </c>
      <c r="D429" s="12" t="s">
        <v>76</v>
      </c>
      <c r="E429" s="12" t="s">
        <v>1008</v>
      </c>
      <c r="F429" s="469" t="str">
        <f>VLOOKUP(E429,'5. Consolidation'!$E$3:$F$715,2,0)</f>
        <v>Etablir une veille de tous  les plans, programmes et règlementations  développant d’autres thématiques afin que, lorsque cela s’avère pertinent, les principes qui sous-tendent le PGE (GiEP, préservation de la ressource, réseau hydrographique,…) soient pris en compte
Liste d'exemples (non-exhaustif) : les plans climat communaux, plans de mobilité, etc.</v>
      </c>
      <c r="G429" s="12"/>
      <c r="H429" s="12"/>
      <c r="I429" s="12"/>
      <c r="J429" s="12"/>
      <c r="K429" s="12"/>
      <c r="L429" s="12"/>
      <c r="M429" s="12"/>
      <c r="N429" s="12"/>
      <c r="O429" s="12"/>
      <c r="P429" s="462">
        <f>VLOOKUP($E429,'5.1 Budget'!$A$4:$G$729,2,0)</f>
        <v>0</v>
      </c>
      <c r="Q429" s="462">
        <f>VLOOKUP($E429,'5.1 Budget'!$A$4:$G$729,3,0)</f>
        <v>0</v>
      </c>
      <c r="R429" s="462">
        <f>VLOOKUP($E429,'5.1 Budget'!$A$4:$G$729,4,0)</f>
        <v>0</v>
      </c>
      <c r="S429" s="462">
        <f>VLOOKUP($E429,'5.1 Budget'!$A$4:$G$729,5,0)</f>
        <v>0</v>
      </c>
      <c r="T429" s="462">
        <f>VLOOKUP($E429,'5.1 Budget'!$A$4:$G$729,6,0)</f>
        <v>0</v>
      </c>
      <c r="U429" s="462">
        <f>VLOOKUP($E429,'5.1 Budget'!$A$4:$G$729,7,0)</f>
        <v>0</v>
      </c>
      <c r="V429" s="462">
        <f t="shared" si="7"/>
        <v>0</v>
      </c>
    </row>
    <row r="430" spans="1:22" ht="26.25" x14ac:dyDescent="0.25">
      <c r="A430" s="465">
        <v>5</v>
      </c>
      <c r="B430" s="12" t="s">
        <v>108</v>
      </c>
      <c r="C430" s="12" t="s">
        <v>158</v>
      </c>
      <c r="D430" s="12" t="s">
        <v>77</v>
      </c>
      <c r="E430" s="12" t="s">
        <v>1061</v>
      </c>
      <c r="F430" s="469" t="str">
        <f>VLOOKUP(E430,'5. Consolidation'!$E$3:$F$715,2,0)</f>
        <v>Evaluer les coûts d’investissement et opérationnels qu’implique le déploiement d’une politique de GiEP visant à protéger la Région contre les risques d’inondation (pluies TR20) en complément du réseau d’assainissement.</v>
      </c>
      <c r="G430" s="12"/>
      <c r="H430" s="12"/>
      <c r="I430" s="12"/>
      <c r="J430" s="12"/>
      <c r="K430" s="12"/>
      <c r="L430" s="12"/>
      <c r="M430" s="12"/>
      <c r="N430" s="459">
        <v>2022</v>
      </c>
      <c r="O430" s="12"/>
      <c r="P430" s="462">
        <f>VLOOKUP($E430,'5.1 Budget'!$A$4:$G$729,2,0)</f>
        <v>100000</v>
      </c>
      <c r="Q430" s="462">
        <f>VLOOKUP($E430,'5.1 Budget'!$A$4:$G$729,3,0)</f>
        <v>0</v>
      </c>
      <c r="R430" s="462">
        <f>VLOOKUP($E430,'5.1 Budget'!$A$4:$G$729,4,0)</f>
        <v>0</v>
      </c>
      <c r="S430" s="462">
        <f>VLOOKUP($E430,'5.1 Budget'!$A$4:$G$729,5,0)</f>
        <v>0</v>
      </c>
      <c r="T430" s="462">
        <f>VLOOKUP($E430,'5.1 Budget'!$A$4:$G$729,6,0)</f>
        <v>0</v>
      </c>
      <c r="U430" s="462">
        <f>VLOOKUP($E430,'5.1 Budget'!$A$4:$G$729,7,0)</f>
        <v>0</v>
      </c>
      <c r="V430" s="462">
        <f t="shared" si="7"/>
        <v>100000</v>
      </c>
    </row>
    <row r="431" spans="1:22" ht="26.25" x14ac:dyDescent="0.25">
      <c r="A431" s="465">
        <v>5</v>
      </c>
      <c r="B431" s="12" t="s">
        <v>108</v>
      </c>
      <c r="C431" s="12" t="s">
        <v>158</v>
      </c>
      <c r="D431" s="12" t="s">
        <v>77</v>
      </c>
      <c r="E431" s="12" t="s">
        <v>1062</v>
      </c>
      <c r="F431" s="469" t="str">
        <f>VLOOKUP(E431,'5. Consolidation'!$E$3:$F$715,2,0)</f>
        <v>Définir un ou plusieurs mécanismes de financement équitables et incitatifs créant une source de fonds permettant le déploiement pérenne d’ouvrages de GiEP dans l’espace privé et public du territoire de la RBC</v>
      </c>
      <c r="G431" s="12"/>
      <c r="H431" s="12"/>
      <c r="I431" s="12"/>
      <c r="J431" s="12"/>
      <c r="K431" s="12"/>
      <c r="L431" s="12"/>
      <c r="M431" s="12"/>
      <c r="N431" s="12"/>
      <c r="O431" s="12"/>
      <c r="P431" s="462">
        <f>VLOOKUP($E431,'5.1 Budget'!$A$4:$G$729,2,0)</f>
        <v>0</v>
      </c>
      <c r="Q431" s="462">
        <f>VLOOKUP($E431,'5.1 Budget'!$A$4:$G$729,3,0)</f>
        <v>0</v>
      </c>
      <c r="R431" s="462">
        <f>VLOOKUP($E431,'5.1 Budget'!$A$4:$G$729,4,0)</f>
        <v>0</v>
      </c>
      <c r="S431" s="462">
        <f>VLOOKUP($E431,'5.1 Budget'!$A$4:$G$729,5,0)</f>
        <v>0</v>
      </c>
      <c r="T431" s="462">
        <f>VLOOKUP($E431,'5.1 Budget'!$A$4:$G$729,6,0)</f>
        <v>0</v>
      </c>
      <c r="U431" s="462">
        <f>VLOOKUP($E431,'5.1 Budget'!$A$4:$G$729,7,0)</f>
        <v>0</v>
      </c>
      <c r="V431" s="462">
        <f t="shared" si="7"/>
        <v>0</v>
      </c>
    </row>
    <row r="432" spans="1:22" ht="26.25" x14ac:dyDescent="0.25">
      <c r="A432" s="465">
        <v>5</v>
      </c>
      <c r="B432" s="12" t="s">
        <v>108</v>
      </c>
      <c r="C432" s="12" t="s">
        <v>158</v>
      </c>
      <c r="D432" s="12" t="s">
        <v>77</v>
      </c>
      <c r="E432" s="12" t="s">
        <v>1063</v>
      </c>
      <c r="F432" s="469" t="str">
        <f>VLOOKUP(E432,'5. Consolidation'!$E$3:$F$715,2,0)</f>
        <v>Apporter les modifications légales nécessaires relatives à la mise en œuvre opérationnelle de ces nouveaux mécanismes de prélèvement qui permettront le financement des projets GiEP, par exemple via la mise en place d’un fonds de financement.</v>
      </c>
      <c r="G432" s="12"/>
      <c r="H432" s="12"/>
      <c r="I432" s="12"/>
      <c r="J432" s="12"/>
      <c r="K432" s="12"/>
      <c r="L432" s="12"/>
      <c r="M432" s="12"/>
      <c r="N432" s="12"/>
      <c r="O432" s="12"/>
      <c r="P432" s="462">
        <f>VLOOKUP($E432,'5.1 Budget'!$A$4:$G$729,2,0)</f>
        <v>0</v>
      </c>
      <c r="Q432" s="462">
        <f>VLOOKUP($E432,'5.1 Budget'!$A$4:$G$729,3,0)</f>
        <v>0</v>
      </c>
      <c r="R432" s="462">
        <f>VLOOKUP($E432,'5.1 Budget'!$A$4:$G$729,4,0)</f>
        <v>0</v>
      </c>
      <c r="S432" s="462">
        <f>VLOOKUP($E432,'5.1 Budget'!$A$4:$G$729,5,0)</f>
        <v>0</v>
      </c>
      <c r="T432" s="462">
        <f>VLOOKUP($E432,'5.1 Budget'!$A$4:$G$729,6,0)</f>
        <v>0</v>
      </c>
      <c r="U432" s="462">
        <f>VLOOKUP($E432,'5.1 Budget'!$A$4:$G$729,7,0)</f>
        <v>0</v>
      </c>
      <c r="V432" s="462">
        <f t="shared" si="7"/>
        <v>0</v>
      </c>
    </row>
    <row r="433" spans="1:22" ht="77.25" x14ac:dyDescent="0.25">
      <c r="A433" s="465">
        <v>5</v>
      </c>
      <c r="B433" s="12" t="s">
        <v>108</v>
      </c>
      <c r="C433" s="12" t="s">
        <v>158</v>
      </c>
      <c r="D433" s="12" t="s">
        <v>78</v>
      </c>
      <c r="E433" s="12" t="s">
        <v>1116</v>
      </c>
      <c r="F433" s="469" t="str">
        <f>VLOOKUP(E433,'5. Consolidation'!$E$3:$F$715,2,0)</f>
        <v>Définir les rôles et répartition des compétences de la gestion des eaux de pluie entre les acteurs(*).
Tous les acteurs de la mise en œuvre sont déjà identifiés pour la GiEP (car implique le 0 rejet), et les responsabilités sont établies dans la plupart des cas. Il reste cependant des éléments de réseaux pluviaux (séparatif,…) pour lesquels des clarifications de prise en charge doivent être spécifiées.
Il faut ensuite vérifier si l’OCE doit être modifiée pour intégrer les résultats de ces travaux d’identification ou si un arrêté d’exécution doit être rédigé.</v>
      </c>
      <c r="G433" s="12"/>
      <c r="H433" s="12"/>
      <c r="I433" s="12"/>
      <c r="J433" s="12"/>
      <c r="K433" s="12"/>
      <c r="L433" s="12"/>
      <c r="M433" s="12"/>
      <c r="N433" s="12"/>
      <c r="O433" s="12"/>
      <c r="P433" s="462">
        <f>VLOOKUP($E433,'5.1 Budget'!$A$4:$G$729,2,0)</f>
        <v>0</v>
      </c>
      <c r="Q433" s="462">
        <f>VLOOKUP($E433,'5.1 Budget'!$A$4:$G$729,3,0)</f>
        <v>0</v>
      </c>
      <c r="R433" s="462">
        <f>VLOOKUP($E433,'5.1 Budget'!$A$4:$G$729,4,0)</f>
        <v>0</v>
      </c>
      <c r="S433" s="462">
        <f>VLOOKUP($E433,'5.1 Budget'!$A$4:$G$729,5,0)</f>
        <v>0</v>
      </c>
      <c r="T433" s="462">
        <f>VLOOKUP($E433,'5.1 Budget'!$A$4:$G$729,6,0)</f>
        <v>0</v>
      </c>
      <c r="U433" s="462">
        <f>VLOOKUP($E433,'5.1 Budget'!$A$4:$G$729,7,0)</f>
        <v>0</v>
      </c>
      <c r="V433" s="462">
        <f t="shared" si="7"/>
        <v>0</v>
      </c>
    </row>
    <row r="434" spans="1:22" ht="26.25" x14ac:dyDescent="0.25">
      <c r="A434" s="465">
        <v>5</v>
      </c>
      <c r="B434" s="12" t="s">
        <v>108</v>
      </c>
      <c r="C434" s="12" t="s">
        <v>158</v>
      </c>
      <c r="D434" s="12" t="s">
        <v>78</v>
      </c>
      <c r="E434" s="12" t="s">
        <v>1119</v>
      </c>
      <c r="F434" s="469" t="str">
        <f>VLOOKUP(E434,'5. Consolidation'!$E$3:$F$715,2,0)</f>
        <v>Tenir à jour un inventaire de tous les acteurs concernés (Stakeholder Management Plan), identifier leurs freins, craintes et intérêts afin de cibler au mieux les actions qui leur permettront de passer le seuil de résistance au changement.</v>
      </c>
      <c r="G434" s="12"/>
      <c r="H434" s="12"/>
      <c r="I434" s="12"/>
      <c r="J434" s="12"/>
      <c r="K434" s="12"/>
      <c r="L434" s="12"/>
      <c r="M434" s="12"/>
      <c r="N434" s="12"/>
      <c r="O434" s="12"/>
      <c r="P434" s="462">
        <f>VLOOKUP($E434,'5.1 Budget'!$A$4:$G$729,2,0)</f>
        <v>0</v>
      </c>
      <c r="Q434" s="462">
        <f>VLOOKUP($E434,'5.1 Budget'!$A$4:$G$729,3,0)</f>
        <v>0</v>
      </c>
      <c r="R434" s="462">
        <f>VLOOKUP($E434,'5.1 Budget'!$A$4:$G$729,4,0)</f>
        <v>0</v>
      </c>
      <c r="S434" s="462">
        <f>VLOOKUP($E434,'5.1 Budget'!$A$4:$G$729,5,0)</f>
        <v>0</v>
      </c>
      <c r="T434" s="462">
        <f>VLOOKUP($E434,'5.1 Budget'!$A$4:$G$729,6,0)</f>
        <v>0</v>
      </c>
      <c r="U434" s="462">
        <f>VLOOKUP($E434,'5.1 Budget'!$A$4:$G$729,7,0)</f>
        <v>0</v>
      </c>
      <c r="V434" s="462">
        <f t="shared" si="7"/>
        <v>0</v>
      </c>
    </row>
    <row r="435" spans="1:22" ht="26.25" x14ac:dyDescent="0.25">
      <c r="A435" s="465">
        <v>5</v>
      </c>
      <c r="B435" s="12" t="s">
        <v>108</v>
      </c>
      <c r="C435" s="12" t="s">
        <v>158</v>
      </c>
      <c r="D435" s="12" t="s">
        <v>78</v>
      </c>
      <c r="E435" s="12" t="s">
        <v>1120</v>
      </c>
      <c r="F435" s="469" t="str">
        <f>VLOOKUP(E435,'5. Consolidation'!$E$3:$F$715,2,0)</f>
        <v>Accompagner les acteurs concernés (stakeholders) dans la mise en place du changement au sein de leur organisme, en commençant par identifier des personnes relais au sein de chacune d’elles.</v>
      </c>
      <c r="G435" s="12"/>
      <c r="H435" s="12"/>
      <c r="I435" s="12"/>
      <c r="J435" s="12"/>
      <c r="K435" s="12"/>
      <c r="L435" s="12"/>
      <c r="M435" s="12"/>
      <c r="N435" s="12"/>
      <c r="O435" s="12"/>
      <c r="P435" s="462">
        <f>VLOOKUP($E435,'5.1 Budget'!$A$4:$G$729,2,0)</f>
        <v>0</v>
      </c>
      <c r="Q435" s="462">
        <f>VLOOKUP($E435,'5.1 Budget'!$A$4:$G$729,3,0)</f>
        <v>0</v>
      </c>
      <c r="R435" s="462">
        <f>VLOOKUP($E435,'5.1 Budget'!$A$4:$G$729,4,0)</f>
        <v>0</v>
      </c>
      <c r="S435" s="462">
        <f>VLOOKUP($E435,'5.1 Budget'!$A$4:$G$729,5,0)</f>
        <v>0</v>
      </c>
      <c r="T435" s="462">
        <f>VLOOKUP($E435,'5.1 Budget'!$A$4:$G$729,6,0)</f>
        <v>0</v>
      </c>
      <c r="U435" s="462">
        <f>VLOOKUP($E435,'5.1 Budget'!$A$4:$G$729,7,0)</f>
        <v>0</v>
      </c>
      <c r="V435" s="462">
        <f t="shared" si="7"/>
        <v>0</v>
      </c>
    </row>
    <row r="436" spans="1:22" ht="51.75" x14ac:dyDescent="0.25">
      <c r="A436" s="465">
        <v>5</v>
      </c>
      <c r="B436" s="12" t="s">
        <v>108</v>
      </c>
      <c r="C436" s="12" t="s">
        <v>158</v>
      </c>
      <c r="D436" s="12" t="s">
        <v>78</v>
      </c>
      <c r="E436" s="12" t="s">
        <v>1121</v>
      </c>
      <c r="F436" s="469" t="str">
        <f>VLOOKUP(E436,'5. Consolidation'!$E$3:$F$715,2,0)</f>
        <v>Emettre des conseils et des guidances techniques dans le cadre de nouveaux projets d’aménagement du territoire : espaces public (communes, STIB, Bruxelles Mobilité, Perspectives, Urban…) et privé (lotisseurs, bureau d’étude, entrepreneurs,…) en collaboration avec le Facilitateur Eau.
Offrir aux professionnels un accès facilité à des réponses techniques « sur mesure ».</v>
      </c>
      <c r="G436" s="12"/>
      <c r="H436" s="12"/>
      <c r="I436" s="12"/>
      <c r="J436" s="12"/>
      <c r="K436" s="12"/>
      <c r="L436" s="12"/>
      <c r="M436" s="12"/>
      <c r="N436" s="459">
        <v>2022</v>
      </c>
      <c r="O436" s="12">
        <v>2027</v>
      </c>
      <c r="P436" s="462">
        <f>VLOOKUP($E436,'5.1 Budget'!$A$4:$G$729,2,0)</f>
        <v>130000</v>
      </c>
      <c r="Q436" s="462">
        <f>VLOOKUP($E436,'5.1 Budget'!$A$4:$G$729,3,0)</f>
        <v>130000</v>
      </c>
      <c r="R436" s="462">
        <f>VLOOKUP($E436,'5.1 Budget'!$A$4:$G$729,4,0)</f>
        <v>130000</v>
      </c>
      <c r="S436" s="462">
        <f>VLOOKUP($E436,'5.1 Budget'!$A$4:$G$729,5,0)</f>
        <v>130000</v>
      </c>
      <c r="T436" s="462">
        <f>VLOOKUP($E436,'5.1 Budget'!$A$4:$G$729,6,0)</f>
        <v>130000</v>
      </c>
      <c r="U436" s="462">
        <f>VLOOKUP($E436,'5.1 Budget'!$A$4:$G$729,7,0)</f>
        <v>130000</v>
      </c>
      <c r="V436" s="462">
        <f t="shared" si="7"/>
        <v>780000</v>
      </c>
    </row>
    <row r="437" spans="1:22" ht="39" x14ac:dyDescent="0.25">
      <c r="A437" s="465">
        <v>5</v>
      </c>
      <c r="B437" s="12" t="s">
        <v>108</v>
      </c>
      <c r="C437" s="12" t="s">
        <v>158</v>
      </c>
      <c r="D437" s="12" t="s">
        <v>78</v>
      </c>
      <c r="E437" s="12" t="s">
        <v>1122</v>
      </c>
      <c r="F437" s="469" t="str">
        <f>VLOOKUP(E437,'5. Consolidation'!$E$3:$F$715,2,0)</f>
        <v>Concevoir, diffuser des outils (tableurs de calcul, guide de conception,…) et le cas échéant, revoir en collaboration les outils régionaux existants (ex. Manuels de conception) ou en développer de nouveaux pour aider les questions de mise en œuvre de la GIEP  et autres mesures de résilience climatique liées à la gestion de l’eau.</v>
      </c>
      <c r="G437" s="12"/>
      <c r="H437" s="12"/>
      <c r="I437" s="12"/>
      <c r="J437" s="12"/>
      <c r="K437" s="12"/>
      <c r="L437" s="12"/>
      <c r="M437" s="12"/>
      <c r="N437" s="459">
        <v>2022</v>
      </c>
      <c r="O437" s="12">
        <v>2027</v>
      </c>
      <c r="P437" s="462">
        <f>VLOOKUP($E437,'5.1 Budget'!$A$4:$G$729,2,0)</f>
        <v>30000</v>
      </c>
      <c r="Q437" s="462">
        <f>VLOOKUP($E437,'5.1 Budget'!$A$4:$G$729,3,0)</f>
        <v>5000</v>
      </c>
      <c r="R437" s="462">
        <f>VLOOKUP($E437,'5.1 Budget'!$A$4:$G$729,4,0)</f>
        <v>5000</v>
      </c>
      <c r="S437" s="462">
        <f>VLOOKUP($E437,'5.1 Budget'!$A$4:$G$729,5,0)</f>
        <v>30000</v>
      </c>
      <c r="T437" s="462">
        <f>VLOOKUP($E437,'5.1 Budget'!$A$4:$G$729,6,0)</f>
        <v>5000</v>
      </c>
      <c r="U437" s="462">
        <f>VLOOKUP($E437,'5.1 Budget'!$A$4:$G$729,7,0)</f>
        <v>5000</v>
      </c>
      <c r="V437" s="462">
        <f t="shared" si="7"/>
        <v>80000</v>
      </c>
    </row>
    <row r="438" spans="1:22" ht="39" x14ac:dyDescent="0.25">
      <c r="A438" s="465">
        <v>5</v>
      </c>
      <c r="B438" s="12" t="s">
        <v>108</v>
      </c>
      <c r="C438" s="12" t="s">
        <v>158</v>
      </c>
      <c r="D438" s="12" t="s">
        <v>78</v>
      </c>
      <c r="E438" s="12" t="s">
        <v>1123</v>
      </c>
      <c r="F438" s="469" t="str">
        <f>VLOOKUP(E438,'5. Consolidation'!$E$3:$F$715,2,0)</f>
        <v>Rédiger, diffuser et mettre à jour des fiches techniques pour aider les questions de mise en œuvre de la GIEP et autres mesures de résilience climatique liée à la gestion de l’eau (via le site internet du Guide Bâtiment durable et des FAQ disponibles sur le site EAU de BE).</v>
      </c>
      <c r="G438" s="12"/>
      <c r="H438" s="12"/>
      <c r="I438" s="12"/>
      <c r="J438" s="12"/>
      <c r="K438" s="12"/>
      <c r="L438" s="12"/>
      <c r="M438" s="12"/>
      <c r="N438" s="12"/>
      <c r="O438" s="12"/>
      <c r="P438" s="462">
        <f>VLOOKUP($E438,'5.1 Budget'!$A$4:$G$729,2,0)</f>
        <v>0</v>
      </c>
      <c r="Q438" s="462">
        <f>VLOOKUP($E438,'5.1 Budget'!$A$4:$G$729,3,0)</f>
        <v>0</v>
      </c>
      <c r="R438" s="462">
        <f>VLOOKUP($E438,'5.1 Budget'!$A$4:$G$729,4,0)</f>
        <v>0</v>
      </c>
      <c r="S438" s="462">
        <f>VLOOKUP($E438,'5.1 Budget'!$A$4:$G$729,5,0)</f>
        <v>0</v>
      </c>
      <c r="T438" s="462">
        <f>VLOOKUP($E438,'5.1 Budget'!$A$4:$G$729,6,0)</f>
        <v>0</v>
      </c>
      <c r="U438" s="462">
        <f>VLOOKUP($E438,'5.1 Budget'!$A$4:$G$729,7,0)</f>
        <v>0</v>
      </c>
      <c r="V438" s="462">
        <f t="shared" si="7"/>
        <v>0</v>
      </c>
    </row>
    <row r="439" spans="1:22" ht="26.25" x14ac:dyDescent="0.25">
      <c r="A439" s="465">
        <v>5</v>
      </c>
      <c r="B439" s="12" t="s">
        <v>108</v>
      </c>
      <c r="C439" s="12" t="s">
        <v>158</v>
      </c>
      <c r="D439" s="12" t="s">
        <v>78</v>
      </c>
      <c r="E439" s="12" t="s">
        <v>1124</v>
      </c>
      <c r="F439" s="469" t="str">
        <f>VLOOKUP(E439,'5. Consolidation'!$E$3:$F$715,2,0)</f>
        <v>Mettre en place un accompagnement spécifique avec Bruxelles Mobilité pour que les porteurs de projet et le service entretien systématisent la prise en compte de la GiEP et autres mesures de résilience climatique liées à la gestion de l’eau.</v>
      </c>
      <c r="G439" s="12"/>
      <c r="H439" s="12"/>
      <c r="I439" s="12"/>
      <c r="J439" s="12"/>
      <c r="K439" s="12"/>
      <c r="L439" s="12"/>
      <c r="M439" s="12"/>
      <c r="N439" s="12"/>
      <c r="O439" s="12"/>
      <c r="P439" s="462">
        <f>VLOOKUP($E439,'5.1 Budget'!$A$4:$G$729,2,0)</f>
        <v>0</v>
      </c>
      <c r="Q439" s="462">
        <f>VLOOKUP($E439,'5.1 Budget'!$A$4:$G$729,3,0)</f>
        <v>0</v>
      </c>
      <c r="R439" s="462">
        <f>VLOOKUP($E439,'5.1 Budget'!$A$4:$G$729,4,0)</f>
        <v>0</v>
      </c>
      <c r="S439" s="462">
        <f>VLOOKUP($E439,'5.1 Budget'!$A$4:$G$729,5,0)</f>
        <v>0</v>
      </c>
      <c r="T439" s="462">
        <f>VLOOKUP($E439,'5.1 Budget'!$A$4:$G$729,6,0)</f>
        <v>0</v>
      </c>
      <c r="U439" s="462">
        <f>VLOOKUP($E439,'5.1 Budget'!$A$4:$G$729,7,0)</f>
        <v>0</v>
      </c>
      <c r="V439" s="462">
        <f t="shared" si="7"/>
        <v>0</v>
      </c>
    </row>
    <row r="440" spans="1:22" ht="77.25" x14ac:dyDescent="0.25">
      <c r="A440" s="465">
        <v>5</v>
      </c>
      <c r="B440" s="12" t="s">
        <v>108</v>
      </c>
      <c r="C440" s="12" t="s">
        <v>158</v>
      </c>
      <c r="D440" s="12" t="s">
        <v>78</v>
      </c>
      <c r="E440" s="12" t="s">
        <v>1125</v>
      </c>
      <c r="F440" s="469" t="str">
        <f>VLOOKUP(E440,'5. Consolidation'!$E$3:$F$715,2,0)</f>
        <v>Poursuivre et amplifier l’effet de réseau d’expertise en développement des conseillers communaux « Eau », avec une représentation dans chaque commune et avec un rôle légitimé auprès des autres agents communaux, et notamment :
·        Poursuivre la mise en réseau pour partage d’expériences
·        Mettre en place un accompagnement rapproché (ateliers sur les projets concrets, retour des expériences réalisées avec le facilitateur, construction d’outils répondant aux besoins) pour que les porteurs de projet systématisent la prise en compte de la GIEP et autres mesures de résilience climatique liées à la gestion de l’eau.</v>
      </c>
      <c r="G440" s="12"/>
      <c r="H440" s="12"/>
      <c r="I440" s="12"/>
      <c r="J440" s="12"/>
      <c r="K440" s="12"/>
      <c r="L440" s="12"/>
      <c r="M440" s="12"/>
      <c r="N440" s="459">
        <v>2022</v>
      </c>
      <c r="O440" s="12">
        <v>2027</v>
      </c>
      <c r="P440" s="462">
        <f>VLOOKUP($E440,'5.1 Budget'!$A$4:$G$729,2,0)</f>
        <v>10000</v>
      </c>
      <c r="Q440" s="462">
        <f>VLOOKUP($E440,'5.1 Budget'!$A$4:$G$729,3,0)</f>
        <v>10000</v>
      </c>
      <c r="R440" s="462">
        <f>VLOOKUP($E440,'5.1 Budget'!$A$4:$G$729,4,0)</f>
        <v>10000</v>
      </c>
      <c r="S440" s="462">
        <f>VLOOKUP($E440,'5.1 Budget'!$A$4:$G$729,5,0)</f>
        <v>10000</v>
      </c>
      <c r="T440" s="462">
        <f>VLOOKUP($E440,'5.1 Budget'!$A$4:$G$729,6,0)</f>
        <v>10000</v>
      </c>
      <c r="U440" s="462">
        <f>VLOOKUP($E440,'5.1 Budget'!$A$4:$G$729,7,0)</f>
        <v>10000</v>
      </c>
      <c r="V440" s="462">
        <f t="shared" si="7"/>
        <v>60000</v>
      </c>
    </row>
    <row r="441" spans="1:22" ht="115.5" x14ac:dyDescent="0.25">
      <c r="A441" s="465">
        <v>5</v>
      </c>
      <c r="B441" s="12" t="s">
        <v>108</v>
      </c>
      <c r="C441" s="12" t="s">
        <v>158</v>
      </c>
      <c r="D441" s="12" t="s">
        <v>78</v>
      </c>
      <c r="E441" s="12" t="s">
        <v>1126</v>
      </c>
      <c r="F441" s="469" t="str">
        <f>VLOOKUP(E441,'5. Consolidation'!$E$3:$F$715,2,0)</f>
        <v>Accompagner les pouvoirs organisateurs des écoles dans une stratégie de végétalisation et de gestion durable des eaux pluviales (déminéralisation,…), notamment par :
-        Diffusion des bonnes pratiques (Guide,…)
-        Formation aux associations actives à l’appui aux écoles ;
-        Soutien financier via appel à projet dédié pour le  (ré) aménagements des cours d’école (« Ré-création ») « Voir M.8.5 »
-        Accompagnement des bureaux d’études mandatés par les pouvoirs organisateurs d’une 20aine d’écoles via un pool multiexperts
Il s’agit de poursuivre les actions en cours de soutien aux écoles pour de la déminéralisation.</v>
      </c>
      <c r="G441" s="12"/>
      <c r="H441" s="12"/>
      <c r="I441" s="12"/>
      <c r="J441" s="12"/>
      <c r="K441" s="12"/>
      <c r="L441" s="12"/>
      <c r="M441" s="12"/>
      <c r="N441" s="459">
        <v>2022</v>
      </c>
      <c r="O441" s="12"/>
      <c r="P441" s="462">
        <f>VLOOKUP($E441,'5.1 Budget'!$A$4:$G$729,2,0)</f>
        <v>410000</v>
      </c>
      <c r="Q441" s="462">
        <f>VLOOKUP($E441,'5.1 Budget'!$A$4:$G$729,3,0)</f>
        <v>410000</v>
      </c>
      <c r="R441" s="462">
        <f>VLOOKUP($E441,'5.1 Budget'!$A$4:$G$729,4,0)</f>
        <v>0</v>
      </c>
      <c r="S441" s="462">
        <f>VLOOKUP($E441,'5.1 Budget'!$A$4:$G$729,5,0)</f>
        <v>0</v>
      </c>
      <c r="T441" s="462">
        <f>VLOOKUP($E441,'5.1 Budget'!$A$4:$G$729,6,0)</f>
        <v>0</v>
      </c>
      <c r="U441" s="462">
        <f>VLOOKUP($E441,'5.1 Budget'!$A$4:$G$729,7,0)</f>
        <v>0</v>
      </c>
      <c r="V441" s="462">
        <f t="shared" si="7"/>
        <v>820000</v>
      </c>
    </row>
    <row r="442" spans="1:22" ht="26.25" x14ac:dyDescent="0.25">
      <c r="A442" s="465">
        <v>5</v>
      </c>
      <c r="B442" s="12" t="s">
        <v>108</v>
      </c>
      <c r="C442" s="12" t="s">
        <v>158</v>
      </c>
      <c r="D442" s="12" t="s">
        <v>78</v>
      </c>
      <c r="E442" s="12" t="s">
        <v>1117</v>
      </c>
      <c r="F442" s="469" t="str">
        <f>VLOOKUP(E442,'5. Consolidation'!$E$3:$F$715,2,0)</f>
        <v>Intégrer la thématique « GIEP-résilience climatique » dans les programmes existants qui visent la mise à niveau des secteurs professionnels et métiers de la construction-rénovation-parcs et jardins (entrepreneurs, jardiniers, architectes,…)</v>
      </c>
      <c r="G442" s="12"/>
      <c r="H442" s="12"/>
      <c r="I442" s="12"/>
      <c r="J442" s="12"/>
      <c r="K442" s="12"/>
      <c r="L442" s="12"/>
      <c r="M442" s="12"/>
      <c r="N442" s="12"/>
      <c r="O442" s="12"/>
      <c r="P442" s="462">
        <f>VLOOKUP($E442,'5.1 Budget'!$A$4:$G$729,2,0)</f>
        <v>0</v>
      </c>
      <c r="Q442" s="462">
        <f>VLOOKUP($E442,'5.1 Budget'!$A$4:$G$729,3,0)</f>
        <v>0</v>
      </c>
      <c r="R442" s="462">
        <f>VLOOKUP($E442,'5.1 Budget'!$A$4:$G$729,4,0)</f>
        <v>0</v>
      </c>
      <c r="S442" s="462">
        <f>VLOOKUP($E442,'5.1 Budget'!$A$4:$G$729,5,0)</f>
        <v>0</v>
      </c>
      <c r="T442" s="462">
        <f>VLOOKUP($E442,'5.1 Budget'!$A$4:$G$729,6,0)</f>
        <v>0</v>
      </c>
      <c r="U442" s="462">
        <f>VLOOKUP($E442,'5.1 Budget'!$A$4:$G$729,7,0)</f>
        <v>0</v>
      </c>
      <c r="V442" s="462">
        <f t="shared" si="7"/>
        <v>0</v>
      </c>
    </row>
    <row r="443" spans="1:22" ht="26.25" x14ac:dyDescent="0.25">
      <c r="A443" s="465">
        <v>5</v>
      </c>
      <c r="B443" s="12" t="s">
        <v>108</v>
      </c>
      <c r="C443" s="12" t="s">
        <v>158</v>
      </c>
      <c r="D443" s="12" t="s">
        <v>78</v>
      </c>
      <c r="E443" s="12" t="s">
        <v>1118</v>
      </c>
      <c r="F443" s="469" t="str">
        <f>VLOOKUP(E443,'5. Consolidation'!$E$3:$F$715,2,0)</f>
        <v>Envisager la mise en place d’un service gratuit de conseils ou d’accompagnement technique à la mise en œuvre de la GIEP (et à la gestion durable de l’eau) à destination des particuliers (*).</v>
      </c>
      <c r="G443" s="12"/>
      <c r="H443" s="12"/>
      <c r="I443" s="12"/>
      <c r="J443" s="12"/>
      <c r="K443" s="12"/>
      <c r="L443" s="12"/>
      <c r="M443" s="12"/>
      <c r="N443" s="12"/>
      <c r="O443" s="12"/>
      <c r="P443" s="462">
        <f>VLOOKUP($E443,'5.1 Budget'!$A$4:$G$729,2,0)</f>
        <v>0</v>
      </c>
      <c r="Q443" s="462">
        <f>VLOOKUP($E443,'5.1 Budget'!$A$4:$G$729,3,0)</f>
        <v>0</v>
      </c>
      <c r="R443" s="462">
        <f>VLOOKUP($E443,'5.1 Budget'!$A$4:$G$729,4,0)</f>
        <v>0</v>
      </c>
      <c r="S443" s="462">
        <f>VLOOKUP($E443,'5.1 Budget'!$A$4:$G$729,5,0)</f>
        <v>0</v>
      </c>
      <c r="T443" s="462">
        <f>VLOOKUP($E443,'5.1 Budget'!$A$4:$G$729,6,0)</f>
        <v>0</v>
      </c>
      <c r="U443" s="462">
        <f>VLOOKUP($E443,'5.1 Budget'!$A$4:$G$729,7,0)</f>
        <v>0</v>
      </c>
      <c r="V443" s="462">
        <f t="shared" si="7"/>
        <v>0</v>
      </c>
    </row>
    <row r="444" spans="1:22" ht="26.25" x14ac:dyDescent="0.25">
      <c r="A444" s="465">
        <v>5</v>
      </c>
      <c r="B444" s="12" t="s">
        <v>108</v>
      </c>
      <c r="C444" s="12" t="s">
        <v>109</v>
      </c>
      <c r="D444" s="12" t="s">
        <v>79</v>
      </c>
      <c r="E444" s="12" t="s">
        <v>417</v>
      </c>
      <c r="F444" s="469" t="str">
        <f>VLOOKUP(E444,'5. Consolidation'!$E$3:$F$715,2,0)</f>
        <v>Établir et mettre en œuvre une stratégie de déminéralisation et de végétalisation (plantation et entretien)  en voirie tenant compte de la gestion de l’eau</v>
      </c>
      <c r="G444" s="12" t="s">
        <v>1290</v>
      </c>
      <c r="H444" s="12"/>
      <c r="I444" s="12"/>
      <c r="J444" s="12"/>
      <c r="K444" s="12"/>
      <c r="L444" s="12"/>
      <c r="M444" s="12"/>
      <c r="N444" s="12"/>
      <c r="O444" s="12"/>
      <c r="P444" s="462">
        <f>VLOOKUP($E444,'5.1 Budget'!$A$4:$G$729,2,0)</f>
        <v>0</v>
      </c>
      <c r="Q444" s="462">
        <f>VLOOKUP($E444,'5.1 Budget'!$A$4:$G$729,3,0)</f>
        <v>0</v>
      </c>
      <c r="R444" s="462">
        <f>VLOOKUP($E444,'5.1 Budget'!$A$4:$G$729,4,0)</f>
        <v>0</v>
      </c>
      <c r="S444" s="462">
        <f>VLOOKUP($E444,'5.1 Budget'!$A$4:$G$729,5,0)</f>
        <v>0</v>
      </c>
      <c r="T444" s="462">
        <f>VLOOKUP($E444,'5.1 Budget'!$A$4:$G$729,6,0)</f>
        <v>0</v>
      </c>
      <c r="U444" s="462">
        <f>VLOOKUP($E444,'5.1 Budget'!$A$4:$G$729,7,0)</f>
        <v>0</v>
      </c>
      <c r="V444" s="462">
        <f t="shared" si="7"/>
        <v>0</v>
      </c>
    </row>
    <row r="445" spans="1:22" ht="26.25" x14ac:dyDescent="0.25">
      <c r="A445" s="465">
        <v>5</v>
      </c>
      <c r="B445" s="12" t="s">
        <v>108</v>
      </c>
      <c r="C445" s="12" t="s">
        <v>109</v>
      </c>
      <c r="D445" s="12" t="s">
        <v>79</v>
      </c>
      <c r="E445" s="12" t="s">
        <v>418</v>
      </c>
      <c r="F445" s="469" t="str">
        <f>VLOOKUP(E445,'5. Consolidation'!$E$3:$F$715,2,0)</f>
        <v>Intégrer les prescriptions techniques des ouvrages et revêtements nécessaires à la mise en œuvre de la GIEP dans le Cahier des Charges Type Travaux (CCT)</v>
      </c>
      <c r="G445" s="12" t="s">
        <v>1290</v>
      </c>
      <c r="H445" s="12"/>
      <c r="I445" s="12"/>
      <c r="J445" s="12"/>
      <c r="K445" s="12"/>
      <c r="L445" s="12"/>
      <c r="M445" s="12"/>
      <c r="N445" s="12"/>
      <c r="O445" s="12"/>
      <c r="P445" s="462">
        <f>VLOOKUP($E445,'5.1 Budget'!$A$4:$G$729,2,0)</f>
        <v>0</v>
      </c>
      <c r="Q445" s="462">
        <f>VLOOKUP($E445,'5.1 Budget'!$A$4:$G$729,3,0)</f>
        <v>0</v>
      </c>
      <c r="R445" s="462">
        <f>VLOOKUP($E445,'5.1 Budget'!$A$4:$G$729,4,0)</f>
        <v>0</v>
      </c>
      <c r="S445" s="462">
        <f>VLOOKUP($E445,'5.1 Budget'!$A$4:$G$729,5,0)</f>
        <v>0</v>
      </c>
      <c r="T445" s="462">
        <f>VLOOKUP($E445,'5.1 Budget'!$A$4:$G$729,6,0)</f>
        <v>0</v>
      </c>
      <c r="U445" s="462">
        <f>VLOOKUP($E445,'5.1 Budget'!$A$4:$G$729,7,0)</f>
        <v>0</v>
      </c>
      <c r="V445" s="462">
        <f t="shared" si="7"/>
        <v>0</v>
      </c>
    </row>
    <row r="446" spans="1:22" x14ac:dyDescent="0.25">
      <c r="A446" s="465">
        <v>5</v>
      </c>
      <c r="B446" s="12" t="s">
        <v>108</v>
      </c>
      <c r="C446" s="12" t="s">
        <v>109</v>
      </c>
      <c r="D446" s="12" t="s">
        <v>79</v>
      </c>
      <c r="E446" s="12" t="s">
        <v>423</v>
      </c>
      <c r="F446" s="469" t="str">
        <f>VLOOKUP(E446,'5. Consolidation'!$E$3:$F$715,2,0)</f>
        <v>Etablir un cadre régional pour faciliter et inciter les déconnexions de particuliers</v>
      </c>
      <c r="G446" s="12"/>
      <c r="H446" s="12"/>
      <c r="I446" s="12"/>
      <c r="J446" s="12"/>
      <c r="K446" s="12"/>
      <c r="L446" s="12"/>
      <c r="M446" s="12"/>
      <c r="N446" s="12"/>
      <c r="O446" s="12"/>
      <c r="P446" s="462">
        <f>VLOOKUP($E446,'5.1 Budget'!$A$4:$G$729,2,0)</f>
        <v>0</v>
      </c>
      <c r="Q446" s="462">
        <f>VLOOKUP($E446,'5.1 Budget'!$A$4:$G$729,3,0)</f>
        <v>0</v>
      </c>
      <c r="R446" s="462">
        <f>VLOOKUP($E446,'5.1 Budget'!$A$4:$G$729,4,0)</f>
        <v>0</v>
      </c>
      <c r="S446" s="462">
        <f>VLOOKUP($E446,'5.1 Budget'!$A$4:$G$729,5,0)</f>
        <v>0</v>
      </c>
      <c r="T446" s="462">
        <f>VLOOKUP($E446,'5.1 Budget'!$A$4:$G$729,6,0)</f>
        <v>0</v>
      </c>
      <c r="U446" s="462">
        <f>VLOOKUP($E446,'5.1 Budget'!$A$4:$G$729,7,0)</f>
        <v>0</v>
      </c>
      <c r="V446" s="462">
        <f t="shared" si="7"/>
        <v>0</v>
      </c>
    </row>
    <row r="447" spans="1:22" x14ac:dyDescent="0.25">
      <c r="A447" s="465">
        <v>5</v>
      </c>
      <c r="B447" s="12" t="s">
        <v>108</v>
      </c>
      <c r="C447" s="12" t="s">
        <v>109</v>
      </c>
      <c r="D447" s="12" t="s">
        <v>79</v>
      </c>
      <c r="E447" s="12" t="s">
        <v>419</v>
      </c>
      <c r="F447" s="469" t="str">
        <f>VLOOKUP(E447,'5. Consolidation'!$E$3:$F$715,2,0)</f>
        <v>Rédiger et diffuser un Vademecum sur la gestion des eaux pluviales dans les espaces publics</v>
      </c>
      <c r="G447" s="12" t="s">
        <v>1290</v>
      </c>
      <c r="H447" s="12"/>
      <c r="I447" s="12"/>
      <c r="J447" s="12"/>
      <c r="K447" s="12"/>
      <c r="L447" s="12"/>
      <c r="M447" s="12"/>
      <c r="N447" s="12"/>
      <c r="O447" s="12"/>
      <c r="P447" s="462">
        <f>VLOOKUP($E447,'5.1 Budget'!$A$4:$G$729,2,0)</f>
        <v>0</v>
      </c>
      <c r="Q447" s="462">
        <f>VLOOKUP($E447,'5.1 Budget'!$A$4:$G$729,3,0)</f>
        <v>0</v>
      </c>
      <c r="R447" s="462">
        <f>VLOOKUP($E447,'5.1 Budget'!$A$4:$G$729,4,0)</f>
        <v>0</v>
      </c>
      <c r="S447" s="462">
        <f>VLOOKUP($E447,'5.1 Budget'!$A$4:$G$729,5,0)</f>
        <v>0</v>
      </c>
      <c r="T447" s="462">
        <f>VLOOKUP($E447,'5.1 Budget'!$A$4:$G$729,6,0)</f>
        <v>0</v>
      </c>
      <c r="U447" s="462">
        <f>VLOOKUP($E447,'5.1 Budget'!$A$4:$G$729,7,0)</f>
        <v>0</v>
      </c>
      <c r="V447" s="462">
        <f t="shared" si="7"/>
        <v>0</v>
      </c>
    </row>
    <row r="448" spans="1:22" ht="26.25" x14ac:dyDescent="0.25">
      <c r="A448" s="465">
        <v>5</v>
      </c>
      <c r="B448" s="12" t="s">
        <v>108</v>
      </c>
      <c r="C448" s="12" t="s">
        <v>109</v>
      </c>
      <c r="D448" s="12" t="s">
        <v>79</v>
      </c>
      <c r="E448" s="12" t="s">
        <v>425</v>
      </c>
      <c r="F448" s="469" t="str">
        <f>VLOOKUP(E448,'5. Consolidation'!$E$3:$F$715,2,0)</f>
        <v>Les différents acteurs et privés feront en outre l’objet de mesures de soutien telles que  Subventions, primes, labels et autres mesures de soutien (M 8.3)</v>
      </c>
      <c r="G448" s="12"/>
      <c r="H448" s="12"/>
      <c r="I448" s="12"/>
      <c r="J448" s="12"/>
      <c r="K448" s="12"/>
      <c r="L448" s="12"/>
      <c r="M448" s="12"/>
      <c r="N448" s="12"/>
      <c r="O448" s="12"/>
      <c r="P448" s="462">
        <f>VLOOKUP($E448,'5.1 Budget'!$A$4:$G$729,2,0)</f>
        <v>0</v>
      </c>
      <c r="Q448" s="462">
        <f>VLOOKUP($E448,'5.1 Budget'!$A$4:$G$729,3,0)</f>
        <v>0</v>
      </c>
      <c r="R448" s="462">
        <f>VLOOKUP($E448,'5.1 Budget'!$A$4:$G$729,4,0)</f>
        <v>0</v>
      </c>
      <c r="S448" s="462">
        <f>VLOOKUP($E448,'5.1 Budget'!$A$4:$G$729,5,0)</f>
        <v>0</v>
      </c>
      <c r="T448" s="462">
        <f>VLOOKUP($E448,'5.1 Budget'!$A$4:$G$729,6,0)</f>
        <v>0</v>
      </c>
      <c r="U448" s="462">
        <f>VLOOKUP($E448,'5.1 Budget'!$A$4:$G$729,7,0)</f>
        <v>0</v>
      </c>
      <c r="V448" s="462">
        <f t="shared" si="7"/>
        <v>0</v>
      </c>
    </row>
    <row r="449" spans="1:22" ht="26.25" x14ac:dyDescent="0.25">
      <c r="A449" s="465">
        <v>5</v>
      </c>
      <c r="B449" s="12" t="s">
        <v>108</v>
      </c>
      <c r="C449" s="12" t="s">
        <v>109</v>
      </c>
      <c r="D449" s="12" t="s">
        <v>79</v>
      </c>
      <c r="E449" s="12" t="s">
        <v>420</v>
      </c>
      <c r="F449" s="469" t="str">
        <f>VLOOKUP(E449,'5. Consolidation'!$E$3:$F$715,2,0)</f>
        <v>Mise en œuvre d’une gestion intégrée des eaux pluviales dans les chantiers publics en suivant les lignes directrices d’un Vademecum « gestion des eaux pluviales »</v>
      </c>
      <c r="G449" s="12" t="s">
        <v>1290</v>
      </c>
      <c r="H449" s="12"/>
      <c r="I449" s="12"/>
      <c r="J449" s="12"/>
      <c r="K449" s="12"/>
      <c r="L449" s="12"/>
      <c r="M449" s="12"/>
      <c r="N449" s="12"/>
      <c r="O449" s="12"/>
      <c r="P449" s="462">
        <f>VLOOKUP($E449,'5.1 Budget'!$A$4:$G$729,2,0)</f>
        <v>0</v>
      </c>
      <c r="Q449" s="462">
        <f>VLOOKUP($E449,'5.1 Budget'!$A$4:$G$729,3,0)</f>
        <v>0</v>
      </c>
      <c r="R449" s="462">
        <f>VLOOKUP($E449,'5.1 Budget'!$A$4:$G$729,4,0)</f>
        <v>0</v>
      </c>
      <c r="S449" s="462">
        <f>VLOOKUP($E449,'5.1 Budget'!$A$4:$G$729,5,0)</f>
        <v>0</v>
      </c>
      <c r="T449" s="462">
        <f>VLOOKUP($E449,'5.1 Budget'!$A$4:$G$729,6,0)</f>
        <v>0</v>
      </c>
      <c r="U449" s="462">
        <f>VLOOKUP($E449,'5.1 Budget'!$A$4:$G$729,7,0)</f>
        <v>0</v>
      </c>
      <c r="V449" s="462">
        <f t="shared" si="7"/>
        <v>0</v>
      </c>
    </row>
    <row r="450" spans="1:22" ht="26.25" x14ac:dyDescent="0.25">
      <c r="A450" s="465">
        <v>5</v>
      </c>
      <c r="B450" s="12" t="s">
        <v>108</v>
      </c>
      <c r="C450" s="12" t="s">
        <v>109</v>
      </c>
      <c r="D450" s="12" t="s">
        <v>79</v>
      </c>
      <c r="E450" s="12" t="s">
        <v>421</v>
      </c>
      <c r="F450" s="469" t="str">
        <f>VLOOKUP(E450,'5. Consolidation'!$E$3:$F$715,2,0)</f>
        <v>Se doter d’une Assistance à Maîtrise d’ouvrage pour garantir la bonne réalisation des chantiers/travaux dans le domaine de la gestion des eaux pluviales</v>
      </c>
      <c r="G450" s="12" t="s">
        <v>1290</v>
      </c>
      <c r="H450" s="12"/>
      <c r="I450" s="12"/>
      <c r="J450" s="12"/>
      <c r="K450" s="12"/>
      <c r="L450" s="12"/>
      <c r="M450" s="12"/>
      <c r="N450" s="459">
        <v>2022</v>
      </c>
      <c r="O450" s="12"/>
      <c r="P450" s="462">
        <f>VLOOKUP($E450,'5.1 Budget'!$A$4:$G$729,2,0)</f>
        <v>100000</v>
      </c>
      <c r="Q450" s="462">
        <f>VLOOKUP($E450,'5.1 Budget'!$A$4:$G$729,3,0)</f>
        <v>100000</v>
      </c>
      <c r="R450" s="462">
        <f>VLOOKUP($E450,'5.1 Budget'!$A$4:$G$729,4,0)</f>
        <v>0</v>
      </c>
      <c r="S450" s="462">
        <f>VLOOKUP($E450,'5.1 Budget'!$A$4:$G$729,5,0)</f>
        <v>0</v>
      </c>
      <c r="T450" s="462">
        <f>VLOOKUP($E450,'5.1 Budget'!$A$4:$G$729,6,0)</f>
        <v>0</v>
      </c>
      <c r="U450" s="462">
        <f>VLOOKUP($E450,'5.1 Budget'!$A$4:$G$729,7,0)</f>
        <v>0</v>
      </c>
      <c r="V450" s="462">
        <f t="shared" si="7"/>
        <v>200000</v>
      </c>
    </row>
    <row r="451" spans="1:22" ht="26.25" x14ac:dyDescent="0.25">
      <c r="A451" s="465">
        <v>5</v>
      </c>
      <c r="B451" s="12" t="s">
        <v>108</v>
      </c>
      <c r="C451" s="12" t="s">
        <v>109</v>
      </c>
      <c r="D451" s="12" t="s">
        <v>79</v>
      </c>
      <c r="E451" s="12" t="s">
        <v>422</v>
      </c>
      <c r="F451" s="469" t="str">
        <f>VLOOKUP(E451,'5. Consolidation'!$E$3:$F$715,2,0)</f>
        <v>Mettre en œuvre des projets de déconnexion et déminéralisation sur les espaces gérés par BE (Parc, espaces verts,...) comme lieux exemplaires de gestion intégrée et d’autres mesures de résilience</v>
      </c>
      <c r="G451" s="12" t="s">
        <v>1290</v>
      </c>
      <c r="H451" s="12"/>
      <c r="I451" s="12"/>
      <c r="J451" s="12"/>
      <c r="K451" s="12"/>
      <c r="L451" s="12"/>
      <c r="M451" s="12"/>
      <c r="N451" s="459">
        <v>2022</v>
      </c>
      <c r="O451" s="12">
        <v>2027</v>
      </c>
      <c r="P451" s="462">
        <f>VLOOKUP($E451,'5.1 Budget'!$A$4:$G$729,2,0)</f>
        <v>200000</v>
      </c>
      <c r="Q451" s="462">
        <f>VLOOKUP($E451,'5.1 Budget'!$A$4:$G$729,3,0)</f>
        <v>200000</v>
      </c>
      <c r="R451" s="462">
        <f>VLOOKUP($E451,'5.1 Budget'!$A$4:$G$729,4,0)</f>
        <v>200000</v>
      </c>
      <c r="S451" s="462">
        <f>VLOOKUP($E451,'5.1 Budget'!$A$4:$G$729,5,0)</f>
        <v>200000</v>
      </c>
      <c r="T451" s="462" t="str">
        <f>VLOOKUP($E451,'5.1 Budget'!$A$4:$G$729,6,0)</f>
        <v>…</v>
      </c>
      <c r="U451" s="462" t="str">
        <f>VLOOKUP($E451,'5.1 Budget'!$A$4:$G$729,7,0)</f>
        <v>…</v>
      </c>
      <c r="V451" s="462">
        <f t="shared" ref="V451:V514" si="8">SUM(P451:U451)</f>
        <v>800000</v>
      </c>
    </row>
    <row r="452" spans="1:22" x14ac:dyDescent="0.25">
      <c r="A452" s="465">
        <v>5</v>
      </c>
      <c r="B452" s="12" t="s">
        <v>108</v>
      </c>
      <c r="C452" s="12" t="s">
        <v>109</v>
      </c>
      <c r="D452" s="12" t="s">
        <v>79</v>
      </c>
      <c r="E452" s="12" t="s">
        <v>423</v>
      </c>
      <c r="F452" s="469" t="str">
        <f>VLOOKUP(E452,'5. Consolidation'!$E$3:$F$715,2,0)</f>
        <v>Etablir un cadre régional pour faciliter et inciter les déconnexions de particuliers</v>
      </c>
      <c r="G452" s="12"/>
      <c r="H452" s="12"/>
      <c r="I452" s="12"/>
      <c r="J452" s="12"/>
      <c r="K452" s="12"/>
      <c r="L452" s="12"/>
      <c r="M452" s="12"/>
      <c r="N452" s="12"/>
      <c r="O452" s="12"/>
      <c r="P452" s="462">
        <f>VLOOKUP($E452,'5.1 Budget'!$A$4:$G$729,2,0)</f>
        <v>0</v>
      </c>
      <c r="Q452" s="462">
        <f>VLOOKUP($E452,'5.1 Budget'!$A$4:$G$729,3,0)</f>
        <v>0</v>
      </c>
      <c r="R452" s="462">
        <f>VLOOKUP($E452,'5.1 Budget'!$A$4:$G$729,4,0)</f>
        <v>0</v>
      </c>
      <c r="S452" s="462">
        <f>VLOOKUP($E452,'5.1 Budget'!$A$4:$G$729,5,0)</f>
        <v>0</v>
      </c>
      <c r="T452" s="462">
        <f>VLOOKUP($E452,'5.1 Budget'!$A$4:$G$729,6,0)</f>
        <v>0</v>
      </c>
      <c r="U452" s="462">
        <f>VLOOKUP($E452,'5.1 Budget'!$A$4:$G$729,7,0)</f>
        <v>0</v>
      </c>
      <c r="V452" s="462">
        <f t="shared" si="8"/>
        <v>0</v>
      </c>
    </row>
    <row r="453" spans="1:22" x14ac:dyDescent="0.25">
      <c r="A453" s="465">
        <v>5</v>
      </c>
      <c r="B453" s="12" t="s">
        <v>108</v>
      </c>
      <c r="C453" s="12" t="s">
        <v>109</v>
      </c>
      <c r="D453" s="12" t="s">
        <v>79</v>
      </c>
      <c r="E453" s="12" t="s">
        <v>424</v>
      </c>
      <c r="F453" s="469" t="str">
        <f>VLOOKUP(E453,'5. Consolidation'!$E$3:$F$715,2,0)</f>
        <v>Cette mesure se fera également via l’accompagnement des acteurs concernés (M 5.3)</v>
      </c>
      <c r="G453" s="12" t="s">
        <v>1290</v>
      </c>
      <c r="H453" s="12"/>
      <c r="I453" s="12"/>
      <c r="J453" s="12"/>
      <c r="K453" s="12"/>
      <c r="L453" s="12"/>
      <c r="M453" s="12"/>
      <c r="N453" s="12"/>
      <c r="O453" s="12"/>
      <c r="P453" s="462">
        <f>VLOOKUP($E453,'5.1 Budget'!$A$4:$G$729,2,0)</f>
        <v>0</v>
      </c>
      <c r="Q453" s="462">
        <f>VLOOKUP($E453,'5.1 Budget'!$A$4:$G$729,3,0)</f>
        <v>0</v>
      </c>
      <c r="R453" s="462">
        <f>VLOOKUP($E453,'5.1 Budget'!$A$4:$G$729,4,0)</f>
        <v>0</v>
      </c>
      <c r="S453" s="462">
        <f>VLOOKUP($E453,'5.1 Budget'!$A$4:$G$729,5,0)</f>
        <v>0</v>
      </c>
      <c r="T453" s="462">
        <f>VLOOKUP($E453,'5.1 Budget'!$A$4:$G$729,6,0)</f>
        <v>0</v>
      </c>
      <c r="U453" s="462">
        <f>VLOOKUP($E453,'5.1 Budget'!$A$4:$G$729,7,0)</f>
        <v>0</v>
      </c>
      <c r="V453" s="462">
        <f t="shared" si="8"/>
        <v>0</v>
      </c>
    </row>
    <row r="454" spans="1:22" ht="26.25" x14ac:dyDescent="0.25">
      <c r="A454" s="465">
        <v>5</v>
      </c>
      <c r="B454" s="12" t="s">
        <v>108</v>
      </c>
      <c r="C454" s="12" t="s">
        <v>109</v>
      </c>
      <c r="D454" s="12" t="s">
        <v>79</v>
      </c>
      <c r="E454" s="12" t="s">
        <v>425</v>
      </c>
      <c r="F454" s="469" t="str">
        <f>VLOOKUP(E454,'5. Consolidation'!$E$3:$F$715,2,0)</f>
        <v>Les différents acteurs et privés feront en outre l’objet de mesures de soutien telles que  Subventions, primes, labels et autres mesures de soutien (M 8.3)</v>
      </c>
      <c r="G454" s="12"/>
      <c r="H454" s="12"/>
      <c r="I454" s="12"/>
      <c r="J454" s="12"/>
      <c r="K454" s="12"/>
      <c r="L454" s="12"/>
      <c r="M454" s="12"/>
      <c r="N454" s="12"/>
      <c r="O454" s="12"/>
      <c r="P454" s="462">
        <f>VLOOKUP($E454,'5.1 Budget'!$A$4:$G$729,2,0)</f>
        <v>0</v>
      </c>
      <c r="Q454" s="462">
        <f>VLOOKUP($E454,'5.1 Budget'!$A$4:$G$729,3,0)</f>
        <v>0</v>
      </c>
      <c r="R454" s="462">
        <f>VLOOKUP($E454,'5.1 Budget'!$A$4:$G$729,4,0)</f>
        <v>0</v>
      </c>
      <c r="S454" s="462">
        <f>VLOOKUP($E454,'5.1 Budget'!$A$4:$G$729,5,0)</f>
        <v>0</v>
      </c>
      <c r="T454" s="462">
        <f>VLOOKUP($E454,'5.1 Budget'!$A$4:$G$729,6,0)</f>
        <v>0</v>
      </c>
      <c r="U454" s="462">
        <f>VLOOKUP($E454,'5.1 Budget'!$A$4:$G$729,7,0)</f>
        <v>0</v>
      </c>
      <c r="V454" s="462">
        <f t="shared" si="8"/>
        <v>0</v>
      </c>
    </row>
    <row r="455" spans="1:22" x14ac:dyDescent="0.25">
      <c r="A455" s="465">
        <v>5</v>
      </c>
      <c r="B455" s="12" t="s">
        <v>108</v>
      </c>
      <c r="C455" s="12" t="s">
        <v>109</v>
      </c>
      <c r="D455" s="12" t="s">
        <v>79</v>
      </c>
      <c r="E455" s="12" t="s">
        <v>426</v>
      </c>
      <c r="F455" s="469" t="str">
        <f>VLOOKUP(E455,'5. Consolidation'!$E$3:$F$715,2,0)</f>
        <v>Des mesures de communication et de sensibilisation seront également prévues (M 5.29)</v>
      </c>
      <c r="G455" s="12" t="s">
        <v>1290</v>
      </c>
      <c r="H455" s="12"/>
      <c r="I455" s="12"/>
      <c r="J455" s="12"/>
      <c r="K455" s="12"/>
      <c r="L455" s="12"/>
      <c r="M455" s="12"/>
      <c r="N455" s="12"/>
      <c r="O455" s="12"/>
      <c r="P455" s="462">
        <f>VLOOKUP($E455,'5.1 Budget'!$A$4:$G$729,2,0)</f>
        <v>0</v>
      </c>
      <c r="Q455" s="462">
        <f>VLOOKUP($E455,'5.1 Budget'!$A$4:$G$729,3,0)</f>
        <v>0</v>
      </c>
      <c r="R455" s="462">
        <f>VLOOKUP($E455,'5.1 Budget'!$A$4:$G$729,4,0)</f>
        <v>0</v>
      </c>
      <c r="S455" s="462">
        <f>VLOOKUP($E455,'5.1 Budget'!$A$4:$G$729,5,0)</f>
        <v>0</v>
      </c>
      <c r="T455" s="462">
        <f>VLOOKUP($E455,'5.1 Budget'!$A$4:$G$729,6,0)</f>
        <v>0</v>
      </c>
      <c r="U455" s="462">
        <f>VLOOKUP($E455,'5.1 Budget'!$A$4:$G$729,7,0)</f>
        <v>0</v>
      </c>
      <c r="V455" s="462">
        <f t="shared" si="8"/>
        <v>0</v>
      </c>
    </row>
    <row r="456" spans="1:22" x14ac:dyDescent="0.25">
      <c r="A456" s="465">
        <v>5</v>
      </c>
      <c r="B456" s="12" t="s">
        <v>108</v>
      </c>
      <c r="C456" s="12" t="s">
        <v>109</v>
      </c>
      <c r="D456" s="12" t="s">
        <v>79</v>
      </c>
      <c r="E456" s="12" t="s">
        <v>427</v>
      </c>
      <c r="F456" s="469" t="str">
        <f>VLOOKUP(E456,'5. Consolidation'!$E$3:$F$715,2,0)</f>
        <v>L’intégration de la GIEP dans les outils de l’aménagement du territoire est prévu (M 5.1)</v>
      </c>
      <c r="G456" s="12" t="s">
        <v>1290</v>
      </c>
      <c r="H456" s="12"/>
      <c r="I456" s="12"/>
      <c r="J456" s="12"/>
      <c r="K456" s="12"/>
      <c r="L456" s="12"/>
      <c r="M456" s="12"/>
      <c r="N456" s="12"/>
      <c r="O456" s="12"/>
      <c r="P456" s="462">
        <f>VLOOKUP($E456,'5.1 Budget'!$A$4:$G$729,2,0)</f>
        <v>0</v>
      </c>
      <c r="Q456" s="462">
        <f>VLOOKUP($E456,'5.1 Budget'!$A$4:$G$729,3,0)</f>
        <v>0</v>
      </c>
      <c r="R456" s="462">
        <f>VLOOKUP($E456,'5.1 Budget'!$A$4:$G$729,4,0)</f>
        <v>0</v>
      </c>
      <c r="S456" s="462">
        <f>VLOOKUP($E456,'5.1 Budget'!$A$4:$G$729,5,0)</f>
        <v>0</v>
      </c>
      <c r="T456" s="462">
        <f>VLOOKUP($E456,'5.1 Budget'!$A$4:$G$729,6,0)</f>
        <v>0</v>
      </c>
      <c r="U456" s="462">
        <f>VLOOKUP($E456,'5.1 Budget'!$A$4:$G$729,7,0)</f>
        <v>0</v>
      </c>
      <c r="V456" s="462">
        <f t="shared" si="8"/>
        <v>0</v>
      </c>
    </row>
    <row r="457" spans="1:22" ht="77.25" x14ac:dyDescent="0.25">
      <c r="A457" s="465">
        <v>5</v>
      </c>
      <c r="B457" s="12" t="s">
        <v>108</v>
      </c>
      <c r="C457" s="12" t="s">
        <v>109</v>
      </c>
      <c r="D457" s="12" t="s">
        <v>80</v>
      </c>
      <c r="E457" s="12" t="s">
        <v>1135</v>
      </c>
      <c r="F457" s="469" t="str">
        <f>VLOOKUP(E457,'5. Consolidation'!$E$3:$F$715,2,0)</f>
        <v>Poursuivre et améliorer la cartographie du « Maillage Pluie » répertoriant les dispositifs GiEP déployés dans les communes bruxelloises
Au fur et à mesure de la mise en place de dispositifs, il s’agit d’en établir un cadastre géo référencé robuste, pour ensuite maitriser l’information relative à leur efficacité, leur entretien,…en bref : permettre une gestion patrimoniale efficace.
Une gestion patrimoniale efficace des dispositifs implique un inventaire précis des installations en les catégorisant par typologie et en définissant les gestionnaires de chaque dispositif.</v>
      </c>
      <c r="G457" s="12"/>
      <c r="H457" s="12"/>
      <c r="I457" s="12"/>
      <c r="J457" s="12"/>
      <c r="K457" s="12"/>
      <c r="L457" s="12"/>
      <c r="M457" s="12"/>
      <c r="N457" s="12"/>
      <c r="O457" s="12"/>
      <c r="P457" s="462">
        <f>VLOOKUP($E457,'5.1 Budget'!$A$4:$G$729,2,0)</f>
        <v>0</v>
      </c>
      <c r="Q457" s="462">
        <f>VLOOKUP($E457,'5.1 Budget'!$A$4:$G$729,3,0)</f>
        <v>0</v>
      </c>
      <c r="R457" s="462">
        <f>VLOOKUP($E457,'5.1 Budget'!$A$4:$G$729,4,0)</f>
        <v>0</v>
      </c>
      <c r="S457" s="462">
        <f>VLOOKUP($E457,'5.1 Budget'!$A$4:$G$729,5,0)</f>
        <v>0</v>
      </c>
      <c r="T457" s="462">
        <f>VLOOKUP($E457,'5.1 Budget'!$A$4:$G$729,6,0)</f>
        <v>0</v>
      </c>
      <c r="U457" s="462">
        <f>VLOOKUP($E457,'5.1 Budget'!$A$4:$G$729,7,0)</f>
        <v>0</v>
      </c>
      <c r="V457" s="462">
        <f t="shared" si="8"/>
        <v>0</v>
      </c>
    </row>
    <row r="458" spans="1:22" ht="102.75" x14ac:dyDescent="0.25">
      <c r="A458" s="465">
        <v>5</v>
      </c>
      <c r="B458" s="12" t="s">
        <v>108</v>
      </c>
      <c r="C458" s="12" t="s">
        <v>109</v>
      </c>
      <c r="D458" s="12" t="s">
        <v>80</v>
      </c>
      <c r="E458" s="12" t="s">
        <v>1136</v>
      </c>
      <c r="F458" s="469" t="str">
        <f>VLOOKUP(E458,'5. Consolidation'!$E$3:$F$715,2,0)</f>
        <v>Mettre en place un tableau de bord permettant d’assurer un suivi optimal de la performance des dispositifs GiEP déployés en RBC
Ancré sur le cadastre géo référencé, et dans le but de suivre l’efficacité de la mise en œuvre de l’ensemble de la politique de l’eau, les mesures nécessaires seront prises pour mettre en place les moyens de relever les indicateurs de performance.
Ce tableau de bord permettra également  de planifier les entretiens  des ouvrages, ainsi que leur réhabilitation éventuelle avec une budgétisation des coûts.
Les critères décrivant la performance devront être définis par rapport à plusieurs paramètres : comme par exemple celui de la capacité d’infiltration mais également la protection des eaux souterraines.</v>
      </c>
      <c r="G458" s="12"/>
      <c r="H458" s="12"/>
      <c r="I458" s="12"/>
      <c r="J458" s="12"/>
      <c r="K458" s="12"/>
      <c r="L458" s="12"/>
      <c r="M458" s="12"/>
      <c r="N458" s="459">
        <v>2023</v>
      </c>
      <c r="O458" s="12"/>
      <c r="P458" s="462">
        <f>VLOOKUP($E458,'5.1 Budget'!$A$4:$G$729,2,0)</f>
        <v>0</v>
      </c>
      <c r="Q458" s="462">
        <f>VLOOKUP($E458,'5.1 Budget'!$A$4:$G$729,3,0)</f>
        <v>10000</v>
      </c>
      <c r="R458" s="462">
        <f>VLOOKUP($E458,'5.1 Budget'!$A$4:$G$729,4,0)</f>
        <v>0</v>
      </c>
      <c r="S458" s="462">
        <f>VLOOKUP($E458,'5.1 Budget'!$A$4:$G$729,5,0)</f>
        <v>0</v>
      </c>
      <c r="T458" s="462">
        <f>VLOOKUP($E458,'5.1 Budget'!$A$4:$G$729,6,0)</f>
        <v>0</v>
      </c>
      <c r="U458" s="462">
        <f>VLOOKUP($E458,'5.1 Budget'!$A$4:$G$729,7,0)</f>
        <v>0</v>
      </c>
      <c r="V458" s="462">
        <f t="shared" si="8"/>
        <v>10000</v>
      </c>
    </row>
    <row r="459" spans="1:22" ht="77.25" x14ac:dyDescent="0.25">
      <c r="A459" s="465">
        <v>5</v>
      </c>
      <c r="B459" s="12" t="s">
        <v>108</v>
      </c>
      <c r="C459" s="12" t="s">
        <v>109</v>
      </c>
      <c r="D459" s="12" t="s">
        <v>80</v>
      </c>
      <c r="E459" s="12" t="s">
        <v>1137</v>
      </c>
      <c r="F459" s="469" t="str">
        <f>VLOOKUP(E459,'5. Consolidation'!$E$3:$F$715,2,0)</f>
        <v>Sur base de l’inventaire détaillé des dispositifs GIEP, mettre en place un contrôle de leur efficacité/performance dans le temps. A la fois pour s’assurer de leur efficacité hydraulique et de résilience climatique, ainsi que pour bénéficier des retours d’expériences dans un objectif d’amélioration continue.
Rédiger le règlement utile à la mise en œuvre de cette mesure, et mettre en place un mécanisme et une cellule de contrôle des dispositifs.
Ce type de mesure nécessite de nouvelles ressources humaines.</v>
      </c>
      <c r="G459" s="12"/>
      <c r="H459" s="12"/>
      <c r="I459" s="12"/>
      <c r="J459" s="12"/>
      <c r="K459" s="12"/>
      <c r="L459" s="12"/>
      <c r="M459" s="12"/>
      <c r="N459" s="459">
        <v>2024</v>
      </c>
      <c r="O459" s="12"/>
      <c r="P459" s="462">
        <f>VLOOKUP($E459,'5.1 Budget'!$A$4:$G$729,2,0)</f>
        <v>0</v>
      </c>
      <c r="Q459" s="462">
        <f>VLOOKUP($E459,'5.1 Budget'!$A$4:$G$729,3,0)</f>
        <v>0</v>
      </c>
      <c r="R459" s="462">
        <f>VLOOKUP($E459,'5.1 Budget'!$A$4:$G$729,4,0)</f>
        <v>100000</v>
      </c>
      <c r="S459" s="462">
        <f>VLOOKUP($E459,'5.1 Budget'!$A$4:$G$729,5,0)</f>
        <v>100000</v>
      </c>
      <c r="T459" s="462">
        <f>VLOOKUP($E459,'5.1 Budget'!$A$4:$G$729,6,0)</f>
        <v>100000</v>
      </c>
      <c r="U459" s="462">
        <f>VLOOKUP($E459,'5.1 Budget'!$A$4:$G$729,7,0)</f>
        <v>100000</v>
      </c>
      <c r="V459" s="462">
        <f t="shared" si="8"/>
        <v>400000</v>
      </c>
    </row>
    <row r="460" spans="1:22" ht="26.25" x14ac:dyDescent="0.25">
      <c r="A460" s="465">
        <v>5</v>
      </c>
      <c r="B460" s="12" t="s">
        <v>108</v>
      </c>
      <c r="C460" s="12" t="s">
        <v>109</v>
      </c>
      <c r="D460" s="12" t="s">
        <v>80</v>
      </c>
      <c r="E460" s="12" t="s">
        <v>1138</v>
      </c>
      <c r="F460" s="469" t="str">
        <f>VLOOKUP(E460,'5. Consolidation'!$E$3:$F$715,2,0)</f>
        <v>Assurer un suivi des ouvrages de gestion d’eau et leur alimentation via notamment des sondes dans les plantations (tensiométriques et qualité)</v>
      </c>
      <c r="G460" s="12"/>
      <c r="H460" s="12"/>
      <c r="I460" s="12"/>
      <c r="J460" s="12"/>
      <c r="K460" s="12"/>
      <c r="L460" s="12"/>
      <c r="M460" s="12"/>
      <c r="N460" s="12"/>
      <c r="O460" s="12"/>
      <c r="P460" s="462">
        <f>VLOOKUP($E460,'5.1 Budget'!$A$4:$G$729,2,0)</f>
        <v>0</v>
      </c>
      <c r="Q460" s="462">
        <f>VLOOKUP($E460,'5.1 Budget'!$A$4:$G$729,3,0)</f>
        <v>0</v>
      </c>
      <c r="R460" s="462">
        <f>VLOOKUP($E460,'5.1 Budget'!$A$4:$G$729,4,0)</f>
        <v>0</v>
      </c>
      <c r="S460" s="462">
        <f>VLOOKUP($E460,'5.1 Budget'!$A$4:$G$729,5,0)</f>
        <v>0</v>
      </c>
      <c r="T460" s="462">
        <f>VLOOKUP($E460,'5.1 Budget'!$A$4:$G$729,6,0)</f>
        <v>0</v>
      </c>
      <c r="U460" s="462">
        <f>VLOOKUP($E460,'5.1 Budget'!$A$4:$G$729,7,0)</f>
        <v>0</v>
      </c>
      <c r="V460" s="462">
        <f t="shared" si="8"/>
        <v>0</v>
      </c>
    </row>
    <row r="461" spans="1:22" ht="39" x14ac:dyDescent="0.25">
      <c r="A461" s="465">
        <v>5</v>
      </c>
      <c r="B461" s="12" t="s">
        <v>108</v>
      </c>
      <c r="C461" s="12" t="s">
        <v>109</v>
      </c>
      <c r="D461" s="12" t="s">
        <v>81</v>
      </c>
      <c r="E461" s="12" t="s">
        <v>1139</v>
      </c>
      <c r="F461" s="469" t="str">
        <f>VLOOKUP(E461,'5. Consolidation'!$E$3:$F$715,2,0)</f>
        <v>Réaliser des études et projets « pilotes » pour cartographier progressivement sur chaque parcelle le potentiel de déconnexion par bassins versants sur l’ensemble de la Région et rendre les résultats accessibles pour en faire un outil d’aide à la décision de mise en œuvre accélérée de la GiEP (M 5.5.)</v>
      </c>
      <c r="G461" s="12"/>
      <c r="H461" s="12"/>
      <c r="I461" s="12"/>
      <c r="J461" s="12"/>
      <c r="K461" s="12"/>
      <c r="L461" s="12"/>
      <c r="M461" s="12"/>
      <c r="N461" s="459">
        <v>2022</v>
      </c>
      <c r="O461" s="12"/>
      <c r="P461" s="462">
        <f>VLOOKUP($E461,'5.1 Budget'!$A$4:$G$729,2,0)</f>
        <v>485000</v>
      </c>
      <c r="Q461" s="462">
        <f>VLOOKUP($E461,'5.1 Budget'!$A$4:$G$729,3,0)</f>
        <v>215000</v>
      </c>
      <c r="R461" s="462">
        <f>VLOOKUP($E461,'5.1 Budget'!$A$4:$G$729,4,0)</f>
        <v>0</v>
      </c>
      <c r="S461" s="462">
        <f>VLOOKUP($E461,'5.1 Budget'!$A$4:$G$729,5,0)</f>
        <v>0</v>
      </c>
      <c r="T461" s="462">
        <f>VLOOKUP($E461,'5.1 Budget'!$A$4:$G$729,6,0)</f>
        <v>0</v>
      </c>
      <c r="U461" s="462">
        <f>VLOOKUP($E461,'5.1 Budget'!$A$4:$G$729,7,0)</f>
        <v>0</v>
      </c>
      <c r="V461" s="462">
        <f t="shared" si="8"/>
        <v>700000</v>
      </c>
    </row>
    <row r="462" spans="1:22" ht="39" x14ac:dyDescent="0.25">
      <c r="A462" s="465">
        <v>5</v>
      </c>
      <c r="B462" s="12" t="s">
        <v>108</v>
      </c>
      <c r="C462" s="12" t="s">
        <v>109</v>
      </c>
      <c r="D462" s="12" t="s">
        <v>81</v>
      </c>
      <c r="E462" s="12" t="s">
        <v>1140</v>
      </c>
      <c r="F462" s="469" t="str">
        <f>VLOOKUP(E462,'5. Consolidation'!$E$3:$F$715,2,0)</f>
        <v>Sur base de ces études et d’un inventaire de l’existant (voir M 5.5), évaluer l’impact attendu de différents scenarios d’ambition de déconnexion sur une série d’indicateurs de performance (volumes pouvant être soustraits des réseaux, …) et des bénéfices écosystémiques (îlots de chaleur urbains)</v>
      </c>
      <c r="G462" s="12"/>
      <c r="H462" s="12"/>
      <c r="I462" s="12"/>
      <c r="J462" s="12"/>
      <c r="K462" s="12"/>
      <c r="L462" s="12"/>
      <c r="M462" s="12"/>
      <c r="N462" s="459">
        <v>2022</v>
      </c>
      <c r="O462" s="12"/>
      <c r="P462" s="462">
        <f>VLOOKUP($E462,'5.1 Budget'!$A$4:$G$729,2,0)</f>
        <v>35000</v>
      </c>
      <c r="Q462" s="462">
        <f>VLOOKUP($E462,'5.1 Budget'!$A$4:$G$729,3,0)</f>
        <v>35000</v>
      </c>
      <c r="R462" s="462">
        <f>VLOOKUP($E462,'5.1 Budget'!$A$4:$G$729,4,0)</f>
        <v>0</v>
      </c>
      <c r="S462" s="462">
        <f>VLOOKUP($E462,'5.1 Budget'!$A$4:$G$729,5,0)</f>
        <v>0</v>
      </c>
      <c r="T462" s="462">
        <f>VLOOKUP($E462,'5.1 Budget'!$A$4:$G$729,6,0)</f>
        <v>0</v>
      </c>
      <c r="U462" s="462">
        <f>VLOOKUP($E462,'5.1 Budget'!$A$4:$G$729,7,0)</f>
        <v>0</v>
      </c>
      <c r="V462" s="462">
        <f t="shared" si="8"/>
        <v>70000</v>
      </c>
    </row>
    <row r="463" spans="1:22" ht="39" x14ac:dyDescent="0.25">
      <c r="A463" s="465">
        <v>5</v>
      </c>
      <c r="B463" s="12" t="s">
        <v>108</v>
      </c>
      <c r="C463" s="12" t="s">
        <v>109</v>
      </c>
      <c r="D463" s="12" t="s">
        <v>81</v>
      </c>
      <c r="E463" s="12" t="s">
        <v>1141</v>
      </c>
      <c r="F463" s="469" t="str">
        <f>VLOOKUP(E463,'5. Consolidation'!$E$3:$F$715,2,0)</f>
        <v>Développer un outil permettant, à l’instar de BEST (Benefits Estimation Tool), d’évaluer et monétiser les avantages écosystémiques des aménagements GiEP, en les comparant à leurs coûts de mise en œuvre et d’entretien tout au long de leur cycle de vie.</v>
      </c>
      <c r="G463" s="12"/>
      <c r="H463" s="12"/>
      <c r="I463" s="12"/>
      <c r="J463" s="12"/>
      <c r="K463" s="12"/>
      <c r="L463" s="12"/>
      <c r="M463" s="12"/>
      <c r="N463" s="459">
        <v>2023</v>
      </c>
      <c r="O463" s="12"/>
      <c r="P463" s="462">
        <f>VLOOKUP($E463,'5.1 Budget'!$A$4:$G$729,2,0)</f>
        <v>0</v>
      </c>
      <c r="Q463" s="462">
        <f>VLOOKUP($E463,'5.1 Budget'!$A$4:$G$729,3,0)</f>
        <v>20000</v>
      </c>
      <c r="R463" s="462">
        <f>VLOOKUP($E463,'5.1 Budget'!$A$4:$G$729,4,0)</f>
        <v>20000</v>
      </c>
      <c r="S463" s="462">
        <f>VLOOKUP($E463,'5.1 Budget'!$A$4:$G$729,5,0)</f>
        <v>0</v>
      </c>
      <c r="T463" s="462">
        <f>VLOOKUP($E463,'5.1 Budget'!$A$4:$G$729,6,0)</f>
        <v>0</v>
      </c>
      <c r="U463" s="462">
        <f>VLOOKUP($E463,'5.1 Budget'!$A$4:$G$729,7,0)</f>
        <v>0</v>
      </c>
      <c r="V463" s="462">
        <f t="shared" si="8"/>
        <v>40000</v>
      </c>
    </row>
    <row r="464" spans="1:22" ht="51.75" x14ac:dyDescent="0.25">
      <c r="A464" s="465">
        <v>5</v>
      </c>
      <c r="B464" s="12" t="s">
        <v>108</v>
      </c>
      <c r="C464" s="12" t="s">
        <v>109</v>
      </c>
      <c r="D464" s="12" t="s">
        <v>81</v>
      </c>
      <c r="E464" s="12" t="s">
        <v>1142</v>
      </c>
      <c r="F464" s="469" t="str">
        <f>VLOOKUP(E464,'5. Consolidation'!$E$3:$F$715,2,0)</f>
        <v>Mieux caractériser dans le contexte bruxellois les risques posés par les ouvrages de gestion en se basant sur les résultats de monitoring et d’études complémentaires, notamment modélisation de la vulnérabilité des eaux souterraines dans le contexte bruxellois, et sur cette base, revoir les outils d’aide à la décision (lignes directrices, vademecums, outils de calculs,…).</v>
      </c>
      <c r="G464" s="12"/>
      <c r="H464" s="12"/>
      <c r="I464" s="12"/>
      <c r="J464" s="12"/>
      <c r="K464" s="12"/>
      <c r="L464" s="12"/>
      <c r="M464" s="12"/>
      <c r="N464" s="459">
        <v>2022</v>
      </c>
      <c r="O464" s="12"/>
      <c r="P464" s="462">
        <f>VLOOKUP($E464,'5.1 Budget'!$A$4:$G$729,2,0)</f>
        <v>80000</v>
      </c>
      <c r="Q464" s="462">
        <f>VLOOKUP($E464,'5.1 Budget'!$A$4:$G$729,3,0)</f>
        <v>70000</v>
      </c>
      <c r="R464" s="462">
        <f>VLOOKUP($E464,'5.1 Budget'!$A$4:$G$729,4,0)</f>
        <v>70000</v>
      </c>
      <c r="S464" s="462">
        <f>VLOOKUP($E464,'5.1 Budget'!$A$4:$G$729,5,0)</f>
        <v>0</v>
      </c>
      <c r="T464" s="462">
        <f>VLOOKUP($E464,'5.1 Budget'!$A$4:$G$729,6,0)</f>
        <v>0</v>
      </c>
      <c r="U464" s="462">
        <f>VLOOKUP($E464,'5.1 Budget'!$A$4:$G$729,7,0)</f>
        <v>0</v>
      </c>
      <c r="V464" s="462">
        <f t="shared" si="8"/>
        <v>220000</v>
      </c>
    </row>
    <row r="465" spans="1:22" ht="26.25" x14ac:dyDescent="0.25">
      <c r="A465" s="465">
        <v>5</v>
      </c>
      <c r="B465" s="12" t="s">
        <v>108</v>
      </c>
      <c r="C465" s="12" t="s">
        <v>109</v>
      </c>
      <c r="D465" s="12" t="s">
        <v>81</v>
      </c>
      <c r="E465" s="12" t="s">
        <v>1143</v>
      </c>
      <c r="F465" s="469" t="str">
        <f>VLOOKUP(E465,'5. Consolidation'!$E$3:$F$715,2,0)</f>
        <v>Etudier l’impact environnemental de différents revêtements, notamment par rapport aux ilots de chaleur urbains afin d’objectiver les stratégies de pose (choix des matériaux, emplacement, modalités de mise en œuvre,…)</v>
      </c>
      <c r="G465" s="12"/>
      <c r="H465" s="12"/>
      <c r="I465" s="12"/>
      <c r="J465" s="12"/>
      <c r="K465" s="12"/>
      <c r="L465" s="12"/>
      <c r="M465" s="12"/>
      <c r="N465" s="12"/>
      <c r="O465" s="12"/>
      <c r="P465" s="462">
        <f>VLOOKUP($E465,'5.1 Budget'!$A$4:$G$729,2,0)</f>
        <v>0</v>
      </c>
      <c r="Q465" s="462">
        <f>VLOOKUP($E465,'5.1 Budget'!$A$4:$G$729,3,0)</f>
        <v>0</v>
      </c>
      <c r="R465" s="462">
        <f>VLOOKUP($E465,'5.1 Budget'!$A$4:$G$729,4,0)</f>
        <v>0</v>
      </c>
      <c r="S465" s="462">
        <f>VLOOKUP($E465,'5.1 Budget'!$A$4:$G$729,5,0)</f>
        <v>0</v>
      </c>
      <c r="T465" s="462">
        <f>VLOOKUP($E465,'5.1 Budget'!$A$4:$G$729,6,0)</f>
        <v>0</v>
      </c>
      <c r="U465" s="462">
        <f>VLOOKUP($E465,'5.1 Budget'!$A$4:$G$729,7,0)</f>
        <v>0</v>
      </c>
      <c r="V465" s="462">
        <f t="shared" si="8"/>
        <v>0</v>
      </c>
    </row>
    <row r="466" spans="1:22" ht="26.25" x14ac:dyDescent="0.25">
      <c r="A466" s="465">
        <v>5</v>
      </c>
      <c r="B466" s="12" t="s">
        <v>108</v>
      </c>
      <c r="C466" s="12" t="s">
        <v>109</v>
      </c>
      <c r="D466" s="12" t="s">
        <v>81</v>
      </c>
      <c r="E466" s="12" t="s">
        <v>1144</v>
      </c>
      <c r="F466" s="469" t="str">
        <f>VLOOKUP(E466,'5. Consolidation'!$E$3:$F$715,2,0)</f>
        <v>Sur base des mesures précédentes, établir une balance risque/bénéfice pour aboutir à la meilleure stratégie de gestion possible</v>
      </c>
      <c r="G466" s="12"/>
      <c r="H466" s="12"/>
      <c r="I466" s="12"/>
      <c r="J466" s="12"/>
      <c r="K466" s="12"/>
      <c r="L466" s="12"/>
      <c r="M466" s="12"/>
      <c r="N466" s="12"/>
      <c r="O466" s="12"/>
      <c r="P466" s="462">
        <f>VLOOKUP($E466,'5.1 Budget'!$A$4:$G$729,2,0)</f>
        <v>0</v>
      </c>
      <c r="Q466" s="462">
        <f>VLOOKUP($E466,'5.1 Budget'!$A$4:$G$729,3,0)</f>
        <v>0</v>
      </c>
      <c r="R466" s="462">
        <f>VLOOKUP($E466,'5.1 Budget'!$A$4:$G$729,4,0)</f>
        <v>0</v>
      </c>
      <c r="S466" s="462">
        <f>VLOOKUP($E466,'5.1 Budget'!$A$4:$G$729,5,0)</f>
        <v>0</v>
      </c>
      <c r="T466" s="462">
        <f>VLOOKUP($E466,'5.1 Budget'!$A$4:$G$729,6,0)</f>
        <v>0</v>
      </c>
      <c r="U466" s="462">
        <f>VLOOKUP($E466,'5.1 Budget'!$A$4:$G$729,7,0)</f>
        <v>0</v>
      </c>
      <c r="V466" s="462">
        <f t="shared" si="8"/>
        <v>0</v>
      </c>
    </row>
    <row r="467" spans="1:22" ht="26.25" x14ac:dyDescent="0.25">
      <c r="A467" s="465">
        <v>5</v>
      </c>
      <c r="B467" s="12" t="s">
        <v>108</v>
      </c>
      <c r="C467" s="12" t="s">
        <v>109</v>
      </c>
      <c r="D467" s="12" t="s">
        <v>81</v>
      </c>
      <c r="E467" s="12" t="s">
        <v>1145</v>
      </c>
      <c r="F467" s="469" t="str">
        <f>VLOOKUP(E467,'5. Consolidation'!$E$3:$F$715,2,0)</f>
        <v>Afin de mieux catégoriser le risque spécifique posé pour les ouvrages de gestion, réaliser un diagnostic à l’échelle communale et régionale dans l’usage du sel comme fondant chimique</v>
      </c>
      <c r="G467" s="12"/>
      <c r="H467" s="12"/>
      <c r="I467" s="12"/>
      <c r="J467" s="12"/>
      <c r="K467" s="12"/>
      <c r="L467" s="12"/>
      <c r="M467" s="12"/>
      <c r="N467" s="459">
        <v>2023</v>
      </c>
      <c r="O467" s="12"/>
      <c r="P467" s="462">
        <f>VLOOKUP($E467,'5.1 Budget'!$A$4:$G$729,2,0)</f>
        <v>0</v>
      </c>
      <c r="Q467" s="462">
        <f>VLOOKUP($E467,'5.1 Budget'!$A$4:$G$729,3,0)</f>
        <v>40000</v>
      </c>
      <c r="R467" s="462">
        <f>VLOOKUP($E467,'5.1 Budget'!$A$4:$G$729,4,0)</f>
        <v>0</v>
      </c>
      <c r="S467" s="462">
        <f>VLOOKUP($E467,'5.1 Budget'!$A$4:$G$729,5,0)</f>
        <v>0</v>
      </c>
      <c r="T467" s="462">
        <f>VLOOKUP($E467,'5.1 Budget'!$A$4:$G$729,6,0)</f>
        <v>0</v>
      </c>
      <c r="U467" s="462">
        <f>VLOOKUP($E467,'5.1 Budget'!$A$4:$G$729,7,0)</f>
        <v>0</v>
      </c>
      <c r="V467" s="462">
        <f t="shared" si="8"/>
        <v>40000</v>
      </c>
    </row>
    <row r="468" spans="1:22" x14ac:dyDescent="0.25">
      <c r="A468" s="465">
        <v>5</v>
      </c>
      <c r="B468" s="12" t="s">
        <v>108</v>
      </c>
      <c r="C468" s="12" t="s">
        <v>109</v>
      </c>
      <c r="D468" s="12" t="s">
        <v>81</v>
      </c>
      <c r="E468" s="12" t="s">
        <v>1146</v>
      </c>
      <c r="F468" s="469" t="str">
        <f>VLOOKUP(E468,'5. Consolidation'!$E$3:$F$715,2,0)</f>
        <v>Actualiser la cartographie régionale du taux d’imperméabilisation des sols</v>
      </c>
      <c r="G468" s="12"/>
      <c r="H468" s="12"/>
      <c r="I468" s="12"/>
      <c r="J468" s="12"/>
      <c r="K468" s="12"/>
      <c r="L468" s="12"/>
      <c r="M468" s="12"/>
      <c r="N468" s="459">
        <v>2022</v>
      </c>
      <c r="O468" s="12"/>
      <c r="P468" s="462">
        <f>VLOOKUP($E468,'5.1 Budget'!$A$4:$G$729,2,0)</f>
        <v>40000</v>
      </c>
      <c r="Q468" s="462">
        <f>VLOOKUP($E468,'5.1 Budget'!$A$4:$G$729,3,0)</f>
        <v>0</v>
      </c>
      <c r="R468" s="462">
        <f>VLOOKUP($E468,'5.1 Budget'!$A$4:$G$729,4,0)</f>
        <v>0</v>
      </c>
      <c r="S468" s="462">
        <f>VLOOKUP($E468,'5.1 Budget'!$A$4:$G$729,5,0)</f>
        <v>0</v>
      </c>
      <c r="T468" s="462">
        <f>VLOOKUP($E468,'5.1 Budget'!$A$4:$G$729,6,0)</f>
        <v>0</v>
      </c>
      <c r="U468" s="462">
        <f>VLOOKUP($E468,'5.1 Budget'!$A$4:$G$729,7,0)</f>
        <v>0</v>
      </c>
      <c r="V468" s="462">
        <f t="shared" si="8"/>
        <v>40000</v>
      </c>
    </row>
    <row r="469" spans="1:22" ht="39" x14ac:dyDescent="0.25">
      <c r="A469" s="465">
        <v>5</v>
      </c>
      <c r="B469" s="12" t="s">
        <v>159</v>
      </c>
      <c r="C469" s="12" t="s">
        <v>160</v>
      </c>
      <c r="D469" s="12" t="s">
        <v>82</v>
      </c>
      <c r="E469" s="12" t="s">
        <v>1147</v>
      </c>
      <c r="F469" s="469" t="str">
        <f>VLOOKUP(E469,'5. Consolidation'!$E$3:$F$715,2,0)</f>
        <v>Intégrer dans les outils règlementaires des mesures dérogatoires menant au recours à une simple temporisation avec débit limité, lorsque la solution GIEP est démontrée avoir atteint sa limite, pour gérer en tout ou en partie les eaux de ruissellement de la parcelle privée ou publique considérée.</v>
      </c>
      <c r="G469" s="12"/>
      <c r="H469" s="12"/>
      <c r="I469" s="12"/>
      <c r="J469" s="12"/>
      <c r="K469" s="12"/>
      <c r="L469" s="12"/>
      <c r="M469" s="12"/>
      <c r="N469" s="12"/>
      <c r="O469" s="12"/>
      <c r="P469" s="462">
        <f>VLOOKUP($E469,'5.1 Budget'!$A$4:$G$729,2,0)</f>
        <v>0</v>
      </c>
      <c r="Q469" s="462">
        <f>VLOOKUP($E469,'5.1 Budget'!$A$4:$G$729,3,0)</f>
        <v>0</v>
      </c>
      <c r="R469" s="462">
        <f>VLOOKUP($E469,'5.1 Budget'!$A$4:$G$729,4,0)</f>
        <v>0</v>
      </c>
      <c r="S469" s="462">
        <f>VLOOKUP($E469,'5.1 Budget'!$A$4:$G$729,5,0)</f>
        <v>0</v>
      </c>
      <c r="T469" s="462">
        <f>VLOOKUP($E469,'5.1 Budget'!$A$4:$G$729,6,0)</f>
        <v>0</v>
      </c>
      <c r="U469" s="462">
        <f>VLOOKUP($E469,'5.1 Budget'!$A$4:$G$729,7,0)</f>
        <v>0</v>
      </c>
      <c r="V469" s="462">
        <f t="shared" si="8"/>
        <v>0</v>
      </c>
    </row>
    <row r="470" spans="1:22" ht="39" x14ac:dyDescent="0.25">
      <c r="A470" s="465">
        <v>5</v>
      </c>
      <c r="B470" s="12" t="s">
        <v>159</v>
      </c>
      <c r="C470" s="12" t="s">
        <v>160</v>
      </c>
      <c r="D470" s="12" t="s">
        <v>82</v>
      </c>
      <c r="E470" s="12" t="s">
        <v>1148</v>
      </c>
      <c r="F470" s="469" t="str">
        <f>VLOOKUP(E470,'5. Consolidation'!$E$3:$F$715,2,0)</f>
        <v>Intégrer dans les nouvelles Conditions générales « eaux pluviales » du Permis d’Environnement, des mesures dérogatoires menant au recours à une simple temporisation avec débit limité, lorsque la solution GIEP est démontrée avoir atteint sa limite, pour gérer en tout ou en partie les eaux de ruissellement de la parcelle privée ou publique considérée.</v>
      </c>
      <c r="G470" s="12"/>
      <c r="H470" s="12"/>
      <c r="I470" s="12"/>
      <c r="J470" s="12"/>
      <c r="K470" s="12"/>
      <c r="L470" s="12"/>
      <c r="M470" s="12"/>
      <c r="N470" s="12"/>
      <c r="O470" s="12"/>
      <c r="P470" s="462">
        <f>VLOOKUP($E470,'5.1 Budget'!$A$4:$G$729,2,0)</f>
        <v>0</v>
      </c>
      <c r="Q470" s="462">
        <f>VLOOKUP($E470,'5.1 Budget'!$A$4:$G$729,3,0)</f>
        <v>0</v>
      </c>
      <c r="R470" s="462">
        <f>VLOOKUP($E470,'5.1 Budget'!$A$4:$G$729,4,0)</f>
        <v>0</v>
      </c>
      <c r="S470" s="462">
        <f>VLOOKUP($E470,'5.1 Budget'!$A$4:$G$729,5,0)</f>
        <v>0</v>
      </c>
      <c r="T470" s="462">
        <f>VLOOKUP($E470,'5.1 Budget'!$A$4:$G$729,6,0)</f>
        <v>0</v>
      </c>
      <c r="U470" s="462">
        <f>VLOOKUP($E470,'5.1 Budget'!$A$4:$G$729,7,0)</f>
        <v>0</v>
      </c>
      <c r="V470" s="462">
        <f t="shared" si="8"/>
        <v>0</v>
      </c>
    </row>
    <row r="471" spans="1:22" x14ac:dyDescent="0.25">
      <c r="A471" s="465">
        <v>5</v>
      </c>
      <c r="B471" s="12" t="s">
        <v>159</v>
      </c>
      <c r="C471" s="12" t="s">
        <v>160</v>
      </c>
      <c r="D471" s="12" t="s">
        <v>82</v>
      </c>
      <c r="E471" s="12" t="s">
        <v>1149</v>
      </c>
      <c r="F471" s="469" t="str">
        <f>VLOOKUP(E471,'5. Consolidation'!$E$3:$F$715,2,0)</f>
        <v>Poursuivre le recensement des bassins d’orage visés par l’arrêté du Gouvernement du 23 mai 2019</v>
      </c>
      <c r="G471" s="12"/>
      <c r="H471" s="12"/>
      <c r="I471" s="12"/>
      <c r="J471" s="12"/>
      <c r="K471" s="12"/>
      <c r="L471" s="12"/>
      <c r="M471" s="12"/>
      <c r="N471" s="12"/>
      <c r="O471" s="12"/>
      <c r="P471" s="462">
        <f>VLOOKUP($E471,'5.1 Budget'!$A$4:$G$729,2,0)</f>
        <v>0</v>
      </c>
      <c r="Q471" s="462">
        <f>VLOOKUP($E471,'5.1 Budget'!$A$4:$G$729,3,0)</f>
        <v>0</v>
      </c>
      <c r="R471" s="462">
        <f>VLOOKUP($E471,'5.1 Budget'!$A$4:$G$729,4,0)</f>
        <v>0</v>
      </c>
      <c r="S471" s="462">
        <f>VLOOKUP($E471,'5.1 Budget'!$A$4:$G$729,5,0)</f>
        <v>0</v>
      </c>
      <c r="T471" s="462">
        <f>VLOOKUP($E471,'5.1 Budget'!$A$4:$G$729,6,0)</f>
        <v>0</v>
      </c>
      <c r="U471" s="462">
        <f>VLOOKUP($E471,'5.1 Budget'!$A$4:$G$729,7,0)</f>
        <v>0</v>
      </c>
      <c r="V471" s="462">
        <f t="shared" si="8"/>
        <v>0</v>
      </c>
    </row>
    <row r="472" spans="1:22" x14ac:dyDescent="0.25">
      <c r="A472" s="465">
        <v>5</v>
      </c>
      <c r="B472" s="12" t="s">
        <v>159</v>
      </c>
      <c r="C472" s="12" t="s">
        <v>160</v>
      </c>
      <c r="D472" s="12" t="s">
        <v>82</v>
      </c>
      <c r="E472" s="12" t="s">
        <v>1150</v>
      </c>
      <c r="F472" s="469" t="str">
        <f>VLOOKUP(E472,'5. Consolidation'!$E$3:$F$715,2,0)</f>
        <v>Etablir un guide « exploitant » pour ces installations classées</v>
      </c>
      <c r="G472" s="12"/>
      <c r="H472" s="12"/>
      <c r="I472" s="12"/>
      <c r="J472" s="12"/>
      <c r="K472" s="12"/>
      <c r="L472" s="12"/>
      <c r="M472" s="12"/>
      <c r="N472" s="12"/>
      <c r="O472" s="12"/>
      <c r="P472" s="462">
        <f>VLOOKUP($E472,'5.1 Budget'!$A$4:$G$729,2,0)</f>
        <v>0</v>
      </c>
      <c r="Q472" s="462">
        <f>VLOOKUP($E472,'5.1 Budget'!$A$4:$G$729,3,0)</f>
        <v>0</v>
      </c>
      <c r="R472" s="462">
        <f>VLOOKUP($E472,'5.1 Budget'!$A$4:$G$729,4,0)</f>
        <v>0</v>
      </c>
      <c r="S472" s="462">
        <f>VLOOKUP($E472,'5.1 Budget'!$A$4:$G$729,5,0)</f>
        <v>0</v>
      </c>
      <c r="T472" s="462">
        <f>VLOOKUP($E472,'5.1 Budget'!$A$4:$G$729,6,0)</f>
        <v>0</v>
      </c>
      <c r="U472" s="462">
        <f>VLOOKUP($E472,'5.1 Budget'!$A$4:$G$729,7,0)</f>
        <v>0</v>
      </c>
      <c r="V472" s="462">
        <f t="shared" si="8"/>
        <v>0</v>
      </c>
    </row>
    <row r="473" spans="1:22" ht="26.25" x14ac:dyDescent="0.25">
      <c r="A473" s="465">
        <v>5</v>
      </c>
      <c r="B473" s="12" t="s">
        <v>159</v>
      </c>
      <c r="C473" s="12" t="s">
        <v>160</v>
      </c>
      <c r="D473" s="12" t="s">
        <v>82</v>
      </c>
      <c r="E473" s="12" t="s">
        <v>1151</v>
      </c>
      <c r="F473" s="469" t="str">
        <f>VLOOKUP(E473,'5. Consolidation'!$E$3:$F$715,2,0)</f>
        <v>Assurer les contrôles prévus par l’arrêté du Gouvernement de la région de Bruxelles-Capitale du 23 mai 2019 ou délégués par Bruxelles Environnement sur base des données transmises par Bruxelles Environnement, Urban et/ou les communes</v>
      </c>
      <c r="G473" s="12"/>
      <c r="H473" s="12"/>
      <c r="I473" s="12"/>
      <c r="J473" s="12"/>
      <c r="K473" s="12"/>
      <c r="L473" s="12"/>
      <c r="M473" s="12"/>
      <c r="N473" s="12"/>
      <c r="O473" s="12"/>
      <c r="P473" s="462">
        <f>VLOOKUP($E473,'5.1 Budget'!$A$4:$G$729,2,0)</f>
        <v>0</v>
      </c>
      <c r="Q473" s="462">
        <f>VLOOKUP($E473,'5.1 Budget'!$A$4:$G$729,3,0)</f>
        <v>0</v>
      </c>
      <c r="R473" s="462">
        <f>VLOOKUP($E473,'5.1 Budget'!$A$4:$G$729,4,0)</f>
        <v>0</v>
      </c>
      <c r="S473" s="462">
        <f>VLOOKUP($E473,'5.1 Budget'!$A$4:$G$729,5,0)</f>
        <v>0</v>
      </c>
      <c r="T473" s="462">
        <f>VLOOKUP($E473,'5.1 Budget'!$A$4:$G$729,6,0)</f>
        <v>0</v>
      </c>
      <c r="U473" s="462">
        <f>VLOOKUP($E473,'5.1 Budget'!$A$4:$G$729,7,0)</f>
        <v>0</v>
      </c>
      <c r="V473" s="462">
        <f t="shared" si="8"/>
        <v>0</v>
      </c>
    </row>
    <row r="474" spans="1:22" x14ac:dyDescent="0.25">
      <c r="A474" s="465">
        <v>5</v>
      </c>
      <c r="B474" s="12" t="s">
        <v>159</v>
      </c>
      <c r="C474" s="12" t="s">
        <v>160</v>
      </c>
      <c r="D474" s="12" t="s">
        <v>82</v>
      </c>
      <c r="E474" s="12" t="s">
        <v>1152</v>
      </c>
      <c r="F474" s="469" t="str">
        <f>VLOOKUP(E474,'5. Consolidation'!$E$3:$F$715,2,0)</f>
        <v>Evaluer la bonne effectivité de la règlementation au regard des objectifs poursuivis et proposer d’éventuelles améliorations</v>
      </c>
      <c r="G474" s="12"/>
      <c r="H474" s="12"/>
      <c r="I474" s="12"/>
      <c r="J474" s="12"/>
      <c r="K474" s="12"/>
      <c r="L474" s="12"/>
      <c r="M474" s="12"/>
      <c r="N474" s="12"/>
      <c r="O474" s="12"/>
      <c r="P474" s="462">
        <f>VLOOKUP($E474,'5.1 Budget'!$A$4:$G$729,2,0)</f>
        <v>0</v>
      </c>
      <c r="Q474" s="462">
        <f>VLOOKUP($E474,'5.1 Budget'!$A$4:$G$729,3,0)</f>
        <v>0</v>
      </c>
      <c r="R474" s="462">
        <f>VLOOKUP($E474,'5.1 Budget'!$A$4:$G$729,4,0)</f>
        <v>0</v>
      </c>
      <c r="S474" s="462">
        <f>VLOOKUP($E474,'5.1 Budget'!$A$4:$G$729,5,0)</f>
        <v>0</v>
      </c>
      <c r="T474" s="462">
        <f>VLOOKUP($E474,'5.1 Budget'!$A$4:$G$729,6,0)</f>
        <v>0</v>
      </c>
      <c r="U474" s="462">
        <f>VLOOKUP($E474,'5.1 Budget'!$A$4:$G$729,7,0)</f>
        <v>0</v>
      </c>
      <c r="V474" s="462">
        <f t="shared" si="8"/>
        <v>0</v>
      </c>
    </row>
    <row r="475" spans="1:22" ht="51.75" x14ac:dyDescent="0.25">
      <c r="A475" s="465">
        <v>5</v>
      </c>
      <c r="B475" s="12" t="s">
        <v>159</v>
      </c>
      <c r="C475" s="12" t="s">
        <v>160</v>
      </c>
      <c r="D475" s="12" t="s">
        <v>82</v>
      </c>
      <c r="E475" s="12" t="s">
        <v>1153</v>
      </c>
      <c r="F475" s="469" t="str">
        <f>VLOOKUP(E475,'5. Consolidation'!$E$3:$F$715,2,0)</f>
        <v>Favoriser l’utilisation des méthodes de tamponnage avec débit limité qui ont le moindre impact négatif environnemental.
Certains types de matériaux (plastic, béton, résines,…) ou mise en œuvre (profondeur, surface imperméable supplémentaire) présentent un impact environnemental plus négatif que d’autres. Une sensibilisation sur l’importance de ces choix doit être réalisée.</v>
      </c>
      <c r="G475" s="12"/>
      <c r="H475" s="12"/>
      <c r="I475" s="12"/>
      <c r="J475" s="12"/>
      <c r="K475" s="12"/>
      <c r="L475" s="12"/>
      <c r="M475" s="12"/>
      <c r="N475" s="12"/>
      <c r="O475" s="12"/>
      <c r="P475" s="462">
        <f>VLOOKUP($E475,'5.1 Budget'!$A$4:$G$729,2,0)</f>
        <v>0</v>
      </c>
      <c r="Q475" s="462">
        <f>VLOOKUP($E475,'5.1 Budget'!$A$4:$G$729,3,0)</f>
        <v>0</v>
      </c>
      <c r="R475" s="462">
        <f>VLOOKUP($E475,'5.1 Budget'!$A$4:$G$729,4,0)</f>
        <v>0</v>
      </c>
      <c r="S475" s="462">
        <f>VLOOKUP($E475,'5.1 Budget'!$A$4:$G$729,5,0)</f>
        <v>0</v>
      </c>
      <c r="T475" s="462">
        <f>VLOOKUP($E475,'5.1 Budget'!$A$4:$G$729,6,0)</f>
        <v>0</v>
      </c>
      <c r="U475" s="462">
        <f>VLOOKUP($E475,'5.1 Budget'!$A$4:$G$729,7,0)</f>
        <v>0</v>
      </c>
      <c r="V475" s="462">
        <f t="shared" si="8"/>
        <v>0</v>
      </c>
    </row>
    <row r="476" spans="1:22" x14ac:dyDescent="0.25">
      <c r="A476" s="465">
        <v>5</v>
      </c>
      <c r="B476" s="12" t="s">
        <v>159</v>
      </c>
      <c r="C476" s="12" t="s">
        <v>161</v>
      </c>
      <c r="D476" s="12" t="s">
        <v>83</v>
      </c>
      <c r="E476" s="12" t="s">
        <v>1154</v>
      </c>
      <c r="F476" s="469" t="str">
        <f>VLOOKUP(E476,'5. Consolidation'!$E$3:$F$715,2,0)</f>
        <v>Entretenir la déviation d’Aa et les vannes vers le Canal</v>
      </c>
      <c r="G476" s="12"/>
      <c r="H476" s="12"/>
      <c r="I476" s="12"/>
      <c r="J476" s="12"/>
      <c r="K476" s="12"/>
      <c r="L476" s="12"/>
      <c r="M476" s="12"/>
      <c r="N476" s="12"/>
      <c r="O476" s="12"/>
      <c r="P476" s="462">
        <f>VLOOKUP($E476,'5.1 Budget'!$A$4:$G$729,2,0)</f>
        <v>0</v>
      </c>
      <c r="Q476" s="462">
        <f>VLOOKUP($E476,'5.1 Budget'!$A$4:$G$729,3,0)</f>
        <v>0</v>
      </c>
      <c r="R476" s="462">
        <f>VLOOKUP($E476,'5.1 Budget'!$A$4:$G$729,4,0)</f>
        <v>0</v>
      </c>
      <c r="S476" s="462">
        <f>VLOOKUP($E476,'5.1 Budget'!$A$4:$G$729,5,0)</f>
        <v>0</v>
      </c>
      <c r="T476" s="462">
        <f>VLOOKUP($E476,'5.1 Budget'!$A$4:$G$729,6,0)</f>
        <v>0</v>
      </c>
      <c r="U476" s="462">
        <f>VLOOKUP($E476,'5.1 Budget'!$A$4:$G$729,7,0)</f>
        <v>0</v>
      </c>
      <c r="V476" s="462">
        <f t="shared" si="8"/>
        <v>0</v>
      </c>
    </row>
    <row r="477" spans="1:22" x14ac:dyDescent="0.25">
      <c r="A477" s="465">
        <v>5</v>
      </c>
      <c r="B477" s="12" t="s">
        <v>159</v>
      </c>
      <c r="C477" s="12" t="s">
        <v>161</v>
      </c>
      <c r="D477" s="12" t="s">
        <v>83</v>
      </c>
      <c r="E477" s="12" t="s">
        <v>1155</v>
      </c>
      <c r="F477" s="469" t="str">
        <f>VLOOKUP(E477,'5. Consolidation'!$E$3:$F$715,2,0)</f>
        <v>Assurer la surveillance pour activer au besoin la déviation</v>
      </c>
      <c r="G477" s="12"/>
      <c r="H477" s="12"/>
      <c r="I477" s="12"/>
      <c r="J477" s="12"/>
      <c r="K477" s="12"/>
      <c r="L477" s="12"/>
      <c r="M477" s="12"/>
      <c r="N477" s="12"/>
      <c r="O477" s="12"/>
      <c r="P477" s="462">
        <f>VLOOKUP($E477,'5.1 Budget'!$A$4:$G$729,2,0)</f>
        <v>0</v>
      </c>
      <c r="Q477" s="462">
        <f>VLOOKUP($E477,'5.1 Budget'!$A$4:$G$729,3,0)</f>
        <v>0</v>
      </c>
      <c r="R477" s="462">
        <f>VLOOKUP($E477,'5.1 Budget'!$A$4:$G$729,4,0)</f>
        <v>0</v>
      </c>
      <c r="S477" s="462">
        <f>VLOOKUP($E477,'5.1 Budget'!$A$4:$G$729,5,0)</f>
        <v>0</v>
      </c>
      <c r="T477" s="462">
        <f>VLOOKUP($E477,'5.1 Budget'!$A$4:$G$729,6,0)</f>
        <v>0</v>
      </c>
      <c r="U477" s="462">
        <f>VLOOKUP($E477,'5.1 Budget'!$A$4:$G$729,7,0)</f>
        <v>0</v>
      </c>
      <c r="V477" s="462">
        <f t="shared" si="8"/>
        <v>0</v>
      </c>
    </row>
    <row r="478" spans="1:22" ht="26.25" x14ac:dyDescent="0.25">
      <c r="A478" s="465">
        <v>5</v>
      </c>
      <c r="B478" s="12" t="s">
        <v>159</v>
      </c>
      <c r="C478" s="12" t="s">
        <v>161</v>
      </c>
      <c r="D478" s="12" t="s">
        <v>84</v>
      </c>
      <c r="E478" s="12" t="s">
        <v>1156</v>
      </c>
      <c r="F478" s="469" t="str">
        <f>VLOOKUP(E478,'5. Consolidation'!$E$3:$F$715,2,0)</f>
        <v>Analyser cartographiquement les besoin de libération d’emprise, surveiller les opportunités dans le lit majeur des cours d’eau et faire respecter la zone non aedificandi</v>
      </c>
      <c r="G478" s="12"/>
      <c r="H478" s="12"/>
      <c r="I478" s="12"/>
      <c r="J478" s="12"/>
      <c r="K478" s="12"/>
      <c r="L478" s="12"/>
      <c r="M478" s="12"/>
      <c r="N478" s="459">
        <v>2022</v>
      </c>
      <c r="O478" s="12">
        <v>2027</v>
      </c>
      <c r="P478" s="462">
        <f>VLOOKUP($E478,'5.1 Budget'!$A$4:$G$729,2,0)</f>
        <v>5000</v>
      </c>
      <c r="Q478" s="462">
        <f>VLOOKUP($E478,'5.1 Budget'!$A$4:$G$729,3,0)</f>
        <v>5000</v>
      </c>
      <c r="R478" s="462">
        <f>VLOOKUP($E478,'5.1 Budget'!$A$4:$G$729,4,0)</f>
        <v>5000</v>
      </c>
      <c r="S478" s="462">
        <f>VLOOKUP($E478,'5.1 Budget'!$A$4:$G$729,5,0)</f>
        <v>5000</v>
      </c>
      <c r="T478" s="462">
        <f>VLOOKUP($E478,'5.1 Budget'!$A$4:$G$729,6,0)</f>
        <v>5000</v>
      </c>
      <c r="U478" s="462">
        <f>VLOOKUP($E478,'5.1 Budget'!$A$4:$G$729,7,0)</f>
        <v>5000</v>
      </c>
      <c r="V478" s="462">
        <f t="shared" si="8"/>
        <v>30000</v>
      </c>
    </row>
    <row r="479" spans="1:22" x14ac:dyDescent="0.25">
      <c r="A479" s="465">
        <v>5</v>
      </c>
      <c r="B479" s="12" t="s">
        <v>159</v>
      </c>
      <c r="C479" s="12" t="s">
        <v>161</v>
      </c>
      <c r="D479" s="12" t="s">
        <v>84</v>
      </c>
      <c r="E479" s="12" t="s">
        <v>1157</v>
      </c>
      <c r="F479" s="469" t="str">
        <f>VLOOKUP(E479,'5. Consolidation'!$E$3:$F$715,2,0)</f>
        <v>Intégrer l'objectif hydraulique lors de réaménagements des cours d’eau et des berges</v>
      </c>
      <c r="G479" s="12"/>
      <c r="H479" s="12"/>
      <c r="I479" s="12"/>
      <c r="J479" s="12"/>
      <c r="K479" s="12"/>
      <c r="L479" s="12"/>
      <c r="M479" s="12"/>
      <c r="N479" s="12"/>
      <c r="O479" s="12"/>
      <c r="P479" s="462">
        <f>VLOOKUP($E479,'5.1 Budget'!$A$4:$G$729,2,0)</f>
        <v>0</v>
      </c>
      <c r="Q479" s="462">
        <f>VLOOKUP($E479,'5.1 Budget'!$A$4:$G$729,3,0)</f>
        <v>0</v>
      </c>
      <c r="R479" s="462">
        <f>VLOOKUP($E479,'5.1 Budget'!$A$4:$G$729,4,0)</f>
        <v>0</v>
      </c>
      <c r="S479" s="462">
        <f>VLOOKUP($E479,'5.1 Budget'!$A$4:$G$729,5,0)</f>
        <v>0</v>
      </c>
      <c r="T479" s="462">
        <f>VLOOKUP($E479,'5.1 Budget'!$A$4:$G$729,6,0)</f>
        <v>0</v>
      </c>
      <c r="U479" s="462">
        <f>VLOOKUP($E479,'5.1 Budget'!$A$4:$G$729,7,0)</f>
        <v>0</v>
      </c>
      <c r="V479" s="462">
        <f t="shared" si="8"/>
        <v>0</v>
      </c>
    </row>
    <row r="480" spans="1:22" x14ac:dyDescent="0.25">
      <c r="A480" s="465">
        <v>5</v>
      </c>
      <c r="B480" s="12" t="s">
        <v>159</v>
      </c>
      <c r="C480" s="12" t="s">
        <v>161</v>
      </c>
      <c r="D480" s="12" t="s">
        <v>84</v>
      </c>
      <c r="E480" s="12" t="s">
        <v>1158</v>
      </c>
      <c r="F480" s="469" t="str">
        <f>VLOOKUP(E480,'5. Consolidation'!$E$3:$F$715,2,0)</f>
        <v>Renforcer le tamponnage dans les étangs (adaptation des moines), pièces d’eau et dans le lit majeur des cours d’eau</v>
      </c>
      <c r="G480" s="12"/>
      <c r="H480" s="12"/>
      <c r="I480" s="12"/>
      <c r="J480" s="12"/>
      <c r="K480" s="12"/>
      <c r="L480" s="12"/>
      <c r="M480" s="12"/>
      <c r="N480" s="12"/>
      <c r="O480" s="12"/>
      <c r="P480" s="462">
        <f>VLOOKUP($E480,'5.1 Budget'!$A$4:$G$729,2,0)</f>
        <v>0</v>
      </c>
      <c r="Q480" s="462">
        <f>VLOOKUP($E480,'5.1 Budget'!$A$4:$G$729,3,0)</f>
        <v>0</v>
      </c>
      <c r="R480" s="462">
        <f>VLOOKUP($E480,'5.1 Budget'!$A$4:$G$729,4,0)</f>
        <v>0</v>
      </c>
      <c r="S480" s="462">
        <f>VLOOKUP($E480,'5.1 Budget'!$A$4:$G$729,5,0)</f>
        <v>0</v>
      </c>
      <c r="T480" s="462">
        <f>VLOOKUP($E480,'5.1 Budget'!$A$4:$G$729,6,0)</f>
        <v>0</v>
      </c>
      <c r="U480" s="462">
        <f>VLOOKUP($E480,'5.1 Budget'!$A$4:$G$729,7,0)</f>
        <v>0</v>
      </c>
      <c r="V480" s="462">
        <f t="shared" si="8"/>
        <v>0</v>
      </c>
    </row>
    <row r="481" spans="1:22" ht="26.25" x14ac:dyDescent="0.25">
      <c r="A481" s="465">
        <v>5</v>
      </c>
      <c r="B481" s="12" t="s">
        <v>159</v>
      </c>
      <c r="C481" s="12" t="s">
        <v>161</v>
      </c>
      <c r="D481" s="12" t="s">
        <v>84</v>
      </c>
      <c r="E481" s="12" t="s">
        <v>1159</v>
      </c>
      <c r="F481" s="469" t="str">
        <f>VLOOKUP(E481,'5. Consolidation'!$E$3:$F$715,2,0)</f>
        <v>Reprendre les eaux de ruissellement, les réseaux séparatifs dans le réseau hydrographique, quand le ratio coûts-bénéfices est favorable.</v>
      </c>
      <c r="G481" s="12"/>
      <c r="H481" s="12"/>
      <c r="I481" s="12"/>
      <c r="J481" s="12"/>
      <c r="K481" s="12"/>
      <c r="L481" s="12"/>
      <c r="M481" s="12"/>
      <c r="N481" s="12"/>
      <c r="O481" s="12"/>
      <c r="P481" s="462">
        <f>VLOOKUP($E481,'5.1 Budget'!$A$4:$G$729,2,0)</f>
        <v>0</v>
      </c>
      <c r="Q481" s="462">
        <f>VLOOKUP($E481,'5.1 Budget'!$A$4:$G$729,3,0)</f>
        <v>0</v>
      </c>
      <c r="R481" s="462">
        <f>VLOOKUP($E481,'5.1 Budget'!$A$4:$G$729,4,0)</f>
        <v>0</v>
      </c>
      <c r="S481" s="462">
        <f>VLOOKUP($E481,'5.1 Budget'!$A$4:$G$729,5,0)</f>
        <v>0</v>
      </c>
      <c r="T481" s="462">
        <f>VLOOKUP($E481,'5.1 Budget'!$A$4:$G$729,6,0)</f>
        <v>0</v>
      </c>
      <c r="U481" s="462">
        <f>VLOOKUP($E481,'5.1 Budget'!$A$4:$G$729,7,0)</f>
        <v>0</v>
      </c>
      <c r="V481" s="462">
        <f t="shared" si="8"/>
        <v>0</v>
      </c>
    </row>
    <row r="482" spans="1:22" ht="77.25" x14ac:dyDescent="0.25">
      <c r="A482" s="465">
        <v>5</v>
      </c>
      <c r="B482" s="12" t="s">
        <v>159</v>
      </c>
      <c r="C482" s="12" t="s">
        <v>161</v>
      </c>
      <c r="D482" s="12" t="s">
        <v>84</v>
      </c>
      <c r="E482" s="12" t="s">
        <v>1160</v>
      </c>
      <c r="F482" s="469" t="str">
        <f>VLOOKUP(E482,'5. Consolidation'!$E$3:$F$715,2,0)</f>
        <v>Mettre en place des mesures visant l'utilisation du Canal comme milieu récepteur potentiel des eaux de ruissellement en provenance des zones limitrophes
-         Etablir un inventaire des réseaux d’eaux claires existants dans les berges/quais du Canal. Ils présentent un atout d’opportunité de branchements dont le rejet est déjà percé dans le mur de quai (cfr M1.5.9).
-         Définir les conditions applicables aux rejets d'eaux claires dans le Canal (qualité, débit)
-         Proposer une procédure facilitée au demandeur (formulaire de  demande, dossier-type…)</v>
      </c>
      <c r="G482" s="12"/>
      <c r="H482" s="12"/>
      <c r="I482" s="12"/>
      <c r="J482" s="12"/>
      <c r="K482" s="12"/>
      <c r="L482" s="12"/>
      <c r="M482" s="12"/>
      <c r="N482" s="12"/>
      <c r="O482" s="12"/>
      <c r="P482" s="462">
        <f>VLOOKUP($E482,'5.1 Budget'!$A$4:$G$729,2,0)</f>
        <v>0</v>
      </c>
      <c r="Q482" s="462">
        <f>VLOOKUP($E482,'5.1 Budget'!$A$4:$G$729,3,0)</f>
        <v>0</v>
      </c>
      <c r="R482" s="462">
        <f>VLOOKUP($E482,'5.1 Budget'!$A$4:$G$729,4,0)</f>
        <v>0</v>
      </c>
      <c r="S482" s="462">
        <f>VLOOKUP($E482,'5.1 Budget'!$A$4:$G$729,5,0)</f>
        <v>0</v>
      </c>
      <c r="T482" s="462">
        <f>VLOOKUP($E482,'5.1 Budget'!$A$4:$G$729,6,0)</f>
        <v>0</v>
      </c>
      <c r="U482" s="462">
        <f>VLOOKUP($E482,'5.1 Budget'!$A$4:$G$729,7,0)</f>
        <v>0</v>
      </c>
      <c r="V482" s="462">
        <f t="shared" si="8"/>
        <v>0</v>
      </c>
    </row>
    <row r="483" spans="1:22" x14ac:dyDescent="0.25">
      <c r="A483" s="465">
        <v>5</v>
      </c>
      <c r="B483" s="12" t="s">
        <v>159</v>
      </c>
      <c r="C483" s="12" t="s">
        <v>162</v>
      </c>
      <c r="D483" s="12" t="s">
        <v>85</v>
      </c>
      <c r="E483" s="12" t="s">
        <v>1017</v>
      </c>
      <c r="F483" s="469" t="str">
        <f>VLOOKUP(E483,'5. Consolidation'!$E$3:$F$715,2,0)</f>
        <v>Poursuivre le programme d’état des lieux des égouts permettant d’identifier les tronçons nécessitant des travaux d’entretien.</v>
      </c>
      <c r="G483" s="12"/>
      <c r="H483" s="12"/>
      <c r="I483" s="12"/>
      <c r="J483" s="12"/>
      <c r="K483" s="12"/>
      <c r="L483" s="12"/>
      <c r="M483" s="12"/>
      <c r="N483" s="12"/>
      <c r="O483" s="12"/>
      <c r="P483" s="462">
        <f>VLOOKUP($E483,'5.1 Budget'!$A$4:$G$729,2,0)</f>
        <v>0</v>
      </c>
      <c r="Q483" s="462">
        <f>VLOOKUP($E483,'5.1 Budget'!$A$4:$G$729,3,0)</f>
        <v>0</v>
      </c>
      <c r="R483" s="462">
        <f>VLOOKUP($E483,'5.1 Budget'!$A$4:$G$729,4,0)</f>
        <v>0</v>
      </c>
      <c r="S483" s="462">
        <f>VLOOKUP($E483,'5.1 Budget'!$A$4:$G$729,5,0)</f>
        <v>0</v>
      </c>
      <c r="T483" s="462">
        <f>VLOOKUP($E483,'5.1 Budget'!$A$4:$G$729,6,0)</f>
        <v>0</v>
      </c>
      <c r="U483" s="462">
        <f>VLOOKUP($E483,'5.1 Budget'!$A$4:$G$729,7,0)</f>
        <v>0</v>
      </c>
      <c r="V483" s="462">
        <f t="shared" si="8"/>
        <v>0</v>
      </c>
    </row>
    <row r="484" spans="1:22" x14ac:dyDescent="0.25">
      <c r="A484" s="465">
        <v>5</v>
      </c>
      <c r="B484" s="12" t="s">
        <v>159</v>
      </c>
      <c r="C484" s="12" t="s">
        <v>162</v>
      </c>
      <c r="D484" s="12" t="s">
        <v>85</v>
      </c>
      <c r="E484" s="12" t="s">
        <v>1018</v>
      </c>
      <c r="F484" s="469" t="str">
        <f>VLOOKUP(E484,'5. Consolidation'!$E$3:$F$715,2,0)</f>
        <v>Définition d’un plan structurel d’entretien pour les réseaux Identifier les zones sensibles pour les atterrissements</v>
      </c>
      <c r="G484" s="12"/>
      <c r="H484" s="12"/>
      <c r="I484" s="12"/>
      <c r="J484" s="12"/>
      <c r="K484" s="12"/>
      <c r="L484" s="12"/>
      <c r="M484" s="12"/>
      <c r="N484" s="12"/>
      <c r="O484" s="12"/>
      <c r="P484" s="462">
        <f>VLOOKUP($E484,'5.1 Budget'!$A$4:$G$729,2,0)</f>
        <v>0</v>
      </c>
      <c r="Q484" s="462">
        <f>VLOOKUP($E484,'5.1 Budget'!$A$4:$G$729,3,0)</f>
        <v>0</v>
      </c>
      <c r="R484" s="462">
        <f>VLOOKUP($E484,'5.1 Budget'!$A$4:$G$729,4,0)</f>
        <v>0</v>
      </c>
      <c r="S484" s="462">
        <f>VLOOKUP($E484,'5.1 Budget'!$A$4:$G$729,5,0)</f>
        <v>0</v>
      </c>
      <c r="T484" s="462">
        <f>VLOOKUP($E484,'5.1 Budget'!$A$4:$G$729,6,0)</f>
        <v>0</v>
      </c>
      <c r="U484" s="462">
        <f>VLOOKUP($E484,'5.1 Budget'!$A$4:$G$729,7,0)</f>
        <v>0</v>
      </c>
      <c r="V484" s="462">
        <f t="shared" si="8"/>
        <v>0</v>
      </c>
    </row>
    <row r="485" spans="1:22" x14ac:dyDescent="0.25">
      <c r="A485" s="465">
        <v>5</v>
      </c>
      <c r="B485" s="12" t="s">
        <v>159</v>
      </c>
      <c r="C485" s="12" t="s">
        <v>162</v>
      </c>
      <c r="D485" s="12" t="s">
        <v>85</v>
      </c>
      <c r="E485" s="12" t="s">
        <v>1019</v>
      </c>
      <c r="F485" s="469" t="str">
        <f>VLOOKUP(E485,'5. Consolidation'!$E$3:$F$715,2,0)</f>
        <v>Entretenir les infrastructures hydrauliques existantes (pompes,…)</v>
      </c>
      <c r="G485" s="12"/>
      <c r="H485" s="12"/>
      <c r="I485" s="12"/>
      <c r="J485" s="12"/>
      <c r="K485" s="12"/>
      <c r="L485" s="12"/>
      <c r="M485" s="12"/>
      <c r="N485" s="12"/>
      <c r="O485" s="12"/>
      <c r="P485" s="462">
        <f>VLOOKUP($E485,'5.1 Budget'!$A$4:$G$729,2,0)</f>
        <v>0</v>
      </c>
      <c r="Q485" s="462">
        <f>VLOOKUP($E485,'5.1 Budget'!$A$4:$G$729,3,0)</f>
        <v>0</v>
      </c>
      <c r="R485" s="462">
        <f>VLOOKUP($E485,'5.1 Budget'!$A$4:$G$729,4,0)</f>
        <v>0</v>
      </c>
      <c r="S485" s="462">
        <f>VLOOKUP($E485,'5.1 Budget'!$A$4:$G$729,5,0)</f>
        <v>0</v>
      </c>
      <c r="T485" s="462">
        <f>VLOOKUP($E485,'5.1 Budget'!$A$4:$G$729,6,0)</f>
        <v>0</v>
      </c>
      <c r="U485" s="462">
        <f>VLOOKUP($E485,'5.1 Budget'!$A$4:$G$729,7,0)</f>
        <v>0</v>
      </c>
      <c r="V485" s="462">
        <f t="shared" si="8"/>
        <v>0</v>
      </c>
    </row>
    <row r="486" spans="1:22" x14ac:dyDescent="0.25">
      <c r="A486" s="465">
        <v>5</v>
      </c>
      <c r="B486" s="12" t="s">
        <v>159</v>
      </c>
      <c r="C486" s="12" t="s">
        <v>162</v>
      </c>
      <c r="D486" s="12" t="s">
        <v>85</v>
      </c>
      <c r="E486" s="12" t="s">
        <v>1020</v>
      </c>
      <c r="F486" s="469" t="str">
        <f>VLOOKUP(E486,'5. Consolidation'!$E$3:$F$715,2,0)</f>
        <v>Procéder au curage régulier des cunettes en zone sensible sur base du programme d’entretien des infrastructures</v>
      </c>
      <c r="G486" s="12"/>
      <c r="H486" s="12"/>
      <c r="I486" s="12"/>
      <c r="J486" s="12"/>
      <c r="K486" s="12"/>
      <c r="L486" s="12"/>
      <c r="M486" s="12"/>
      <c r="N486" s="12"/>
      <c r="O486" s="12"/>
      <c r="P486" s="462">
        <f>VLOOKUP($E486,'5.1 Budget'!$A$4:$G$729,2,0)</f>
        <v>0</v>
      </c>
      <c r="Q486" s="462">
        <f>VLOOKUP($E486,'5.1 Budget'!$A$4:$G$729,3,0)</f>
        <v>0</v>
      </c>
      <c r="R486" s="462">
        <f>VLOOKUP($E486,'5.1 Budget'!$A$4:$G$729,4,0)</f>
        <v>0</v>
      </c>
      <c r="S486" s="462">
        <f>VLOOKUP($E486,'5.1 Budget'!$A$4:$G$729,5,0)</f>
        <v>0</v>
      </c>
      <c r="T486" s="462">
        <f>VLOOKUP($E486,'5.1 Budget'!$A$4:$G$729,6,0)</f>
        <v>0</v>
      </c>
      <c r="U486" s="462">
        <f>VLOOKUP($E486,'5.1 Budget'!$A$4:$G$729,7,0)</f>
        <v>0</v>
      </c>
      <c r="V486" s="462">
        <f t="shared" si="8"/>
        <v>0</v>
      </c>
    </row>
    <row r="487" spans="1:22" x14ac:dyDescent="0.25">
      <c r="A487" s="465">
        <v>5</v>
      </c>
      <c r="B487" s="12" t="s">
        <v>159</v>
      </c>
      <c r="C487" s="12" t="s">
        <v>162</v>
      </c>
      <c r="D487" s="12" t="s">
        <v>86</v>
      </c>
      <c r="E487" s="12" t="s">
        <v>1021</v>
      </c>
      <c r="F487" s="469" t="str">
        <f>VLOOKUP(E487,'5. Consolidation'!$E$3:$F$715,2,0)</f>
        <v>Vallée de la Woluwe aval</v>
      </c>
      <c r="G487" s="12"/>
      <c r="H487" s="12"/>
      <c r="I487" s="12"/>
      <c r="J487" s="12"/>
      <c r="K487" s="12"/>
      <c r="L487" s="12"/>
      <c r="M487" s="12"/>
      <c r="N487" s="459">
        <v>2024</v>
      </c>
      <c r="O487" s="12"/>
      <c r="P487" s="462">
        <f>VLOOKUP($E487,'5.1 Budget'!$A$4:$G$729,2,0)</f>
        <v>0</v>
      </c>
      <c r="Q487" s="462">
        <f>VLOOKUP($E487,'5.1 Budget'!$A$4:$G$729,3,0)</f>
        <v>0</v>
      </c>
      <c r="R487" s="462">
        <f>VLOOKUP($E487,'5.1 Budget'!$A$4:$G$729,4,0)</f>
        <v>1000000</v>
      </c>
      <c r="S487" s="462">
        <f>VLOOKUP($E487,'5.1 Budget'!$A$4:$G$729,5,0)</f>
        <v>17000000</v>
      </c>
      <c r="T487" s="462">
        <f>VLOOKUP($E487,'5.1 Budget'!$A$4:$G$729,6,0)</f>
        <v>20000000</v>
      </c>
      <c r="U487" s="462">
        <f>VLOOKUP($E487,'5.1 Budget'!$A$4:$G$729,7,0)</f>
        <v>19000000</v>
      </c>
      <c r="V487" s="462">
        <f t="shared" si="8"/>
        <v>57000000</v>
      </c>
    </row>
    <row r="488" spans="1:22" x14ac:dyDescent="0.25">
      <c r="A488" s="465">
        <v>5</v>
      </c>
      <c r="B488" s="12" t="s">
        <v>159</v>
      </c>
      <c r="C488" s="12" t="s">
        <v>162</v>
      </c>
      <c r="D488" s="12" t="s">
        <v>86</v>
      </c>
      <c r="E488" s="12" t="s">
        <v>1022</v>
      </c>
      <c r="F488" s="469" t="str">
        <f>VLOOKUP(E488,'5. Consolidation'!$E$3:$F$715,2,0)</f>
        <v>Vallée du Molenbeek-aval/Heyselbeek</v>
      </c>
      <c r="G488" s="12"/>
      <c r="H488" s="12"/>
      <c r="I488" s="12"/>
      <c r="J488" s="12"/>
      <c r="K488" s="12"/>
      <c r="L488" s="12"/>
      <c r="M488" s="12"/>
      <c r="N488" s="459">
        <v>2024</v>
      </c>
      <c r="O488" s="12"/>
      <c r="P488" s="462">
        <f>VLOOKUP($E488,'5.1 Budget'!$A$4:$G$729,2,0)</f>
        <v>0</v>
      </c>
      <c r="Q488" s="462">
        <f>VLOOKUP($E488,'5.1 Budget'!$A$4:$G$729,3,0)</f>
        <v>0</v>
      </c>
      <c r="R488" s="462">
        <f>VLOOKUP($E488,'5.1 Budget'!$A$4:$G$729,4,0)</f>
        <v>600000</v>
      </c>
      <c r="S488" s="462">
        <f>VLOOKUP($E488,'5.1 Budget'!$A$4:$G$729,5,0)</f>
        <v>12000000</v>
      </c>
      <c r="T488" s="462">
        <f>VLOOKUP($E488,'5.1 Budget'!$A$4:$G$729,6,0)</f>
        <v>14000000</v>
      </c>
      <c r="U488" s="462">
        <f>VLOOKUP($E488,'5.1 Budget'!$A$4:$G$729,7,0)</f>
        <v>12000000</v>
      </c>
      <c r="V488" s="462">
        <f t="shared" si="8"/>
        <v>38600000</v>
      </c>
    </row>
    <row r="489" spans="1:22" x14ac:dyDescent="0.25">
      <c r="A489" s="465">
        <v>5</v>
      </c>
      <c r="B489" s="12" t="s">
        <v>159</v>
      </c>
      <c r="C489" s="12" t="s">
        <v>162</v>
      </c>
      <c r="D489" s="12" t="s">
        <v>86</v>
      </c>
      <c r="E489" s="12" t="s">
        <v>1023</v>
      </c>
      <c r="F489" s="469" t="str">
        <f>VLOOKUP(E489,'5. Consolidation'!$E$3:$F$715,2,0)</f>
        <v>Versant de Forest/Saint Gilles</v>
      </c>
      <c r="G489" s="12"/>
      <c r="H489" s="12"/>
      <c r="I489" s="12"/>
      <c r="J489" s="12"/>
      <c r="K489" s="12"/>
      <c r="L489" s="12"/>
      <c r="M489" s="12"/>
      <c r="N489" s="459">
        <v>2025</v>
      </c>
      <c r="O489" s="12"/>
      <c r="P489" s="462">
        <f>VLOOKUP($E489,'5.1 Budget'!$A$4:$G$729,2,0)</f>
        <v>0</v>
      </c>
      <c r="Q489" s="462">
        <f>VLOOKUP($E489,'5.1 Budget'!$A$4:$G$729,3,0)</f>
        <v>0</v>
      </c>
      <c r="R489" s="462">
        <f>VLOOKUP($E489,'5.1 Budget'!$A$4:$G$729,4,0)</f>
        <v>0</v>
      </c>
      <c r="S489" s="462">
        <f>VLOOKUP($E489,'5.1 Budget'!$A$4:$G$729,5,0)</f>
        <v>4800000</v>
      </c>
      <c r="T489" s="462">
        <f>VLOOKUP($E489,'5.1 Budget'!$A$4:$G$729,6,0)</f>
        <v>1200000</v>
      </c>
      <c r="U489" s="462">
        <f>VLOOKUP($E489,'5.1 Budget'!$A$4:$G$729,7,0)</f>
        <v>0</v>
      </c>
      <c r="V489" s="462">
        <f t="shared" si="8"/>
        <v>6000000</v>
      </c>
    </row>
    <row r="490" spans="1:22" x14ac:dyDescent="0.25">
      <c r="A490" s="465">
        <v>5</v>
      </c>
      <c r="B490" s="12" t="s">
        <v>159</v>
      </c>
      <c r="C490" s="12" t="s">
        <v>162</v>
      </c>
      <c r="D490" s="12" t="s">
        <v>86</v>
      </c>
      <c r="E490" s="12" t="s">
        <v>1024</v>
      </c>
      <c r="F490" s="469" t="str">
        <f>VLOOKUP(E490,'5. Consolidation'!$E$3:$F$715,2,0)</f>
        <v>Vallée du Broeckbeek</v>
      </c>
      <c r="G490" s="12"/>
      <c r="H490" s="12"/>
      <c r="I490" s="12"/>
      <c r="J490" s="12"/>
      <c r="K490" s="12"/>
      <c r="L490" s="12"/>
      <c r="M490" s="12"/>
      <c r="N490" s="12"/>
      <c r="O490" s="12"/>
      <c r="P490" s="462">
        <f>VLOOKUP($E490,'5.1 Budget'!$A$4:$G$729,2,0)</f>
        <v>0</v>
      </c>
      <c r="Q490" s="462">
        <f>VLOOKUP($E490,'5.1 Budget'!$A$4:$G$729,3,0)</f>
        <v>0</v>
      </c>
      <c r="R490" s="462">
        <f>VLOOKUP($E490,'5.1 Budget'!$A$4:$G$729,4,0)</f>
        <v>0</v>
      </c>
      <c r="S490" s="462">
        <f>VLOOKUP($E490,'5.1 Budget'!$A$4:$G$729,5,0)</f>
        <v>0</v>
      </c>
      <c r="T490" s="462">
        <f>VLOOKUP($E490,'5.1 Budget'!$A$4:$G$729,6,0)</f>
        <v>0</v>
      </c>
      <c r="U490" s="462">
        <f>VLOOKUP($E490,'5.1 Budget'!$A$4:$G$729,7,0)</f>
        <v>0</v>
      </c>
      <c r="V490" s="462">
        <f t="shared" si="8"/>
        <v>0</v>
      </c>
    </row>
    <row r="491" spans="1:22" x14ac:dyDescent="0.25">
      <c r="A491" s="465">
        <v>5</v>
      </c>
      <c r="B491" s="12" t="s">
        <v>159</v>
      </c>
      <c r="C491" s="12" t="s">
        <v>162</v>
      </c>
      <c r="D491" s="12" t="s">
        <v>86</v>
      </c>
      <c r="E491" s="12" t="s">
        <v>1025</v>
      </c>
      <c r="F491" s="469" t="str">
        <f>VLOOKUP(E491,'5. Consolidation'!$E$3:$F$715,2,0)</f>
        <v>Vallée du Verrewinkelbeek</v>
      </c>
      <c r="G491" s="12"/>
      <c r="H491" s="12"/>
      <c r="I491" s="12"/>
      <c r="J491" s="12"/>
      <c r="K491" s="12"/>
      <c r="L491" s="12"/>
      <c r="M491" s="12"/>
      <c r="N491" s="459">
        <v>2022</v>
      </c>
      <c r="O491" s="12"/>
      <c r="P491" s="462">
        <f>VLOOKUP($E491,'5.1 Budget'!$A$4:$G$729,2,0)</f>
        <v>500000</v>
      </c>
      <c r="Q491" s="462">
        <f>VLOOKUP($E491,'5.1 Budget'!$A$4:$G$729,3,0)</f>
        <v>2200000</v>
      </c>
      <c r="R491" s="462">
        <f>VLOOKUP($E491,'5.1 Budget'!$A$4:$G$729,4,0)</f>
        <v>0</v>
      </c>
      <c r="S491" s="462">
        <f>VLOOKUP($E491,'5.1 Budget'!$A$4:$G$729,5,0)</f>
        <v>0</v>
      </c>
      <c r="T491" s="462">
        <f>VLOOKUP($E491,'5.1 Budget'!$A$4:$G$729,6,0)</f>
        <v>0</v>
      </c>
      <c r="U491" s="462">
        <f>VLOOKUP($E491,'5.1 Budget'!$A$4:$G$729,7,0)</f>
        <v>0</v>
      </c>
      <c r="V491" s="462">
        <f t="shared" si="8"/>
        <v>2700000</v>
      </c>
    </row>
    <row r="492" spans="1:22" x14ac:dyDescent="0.25">
      <c r="A492" s="465">
        <v>5</v>
      </c>
      <c r="B492" s="12" t="s">
        <v>159</v>
      </c>
      <c r="C492" s="12" t="s">
        <v>162</v>
      </c>
      <c r="D492" s="12" t="s">
        <v>86</v>
      </c>
      <c r="E492" s="12" t="s">
        <v>1026</v>
      </c>
      <c r="F492" s="469" t="str">
        <f>VLOOKUP(E492,'5. Consolidation'!$E$3:$F$715,2,0)</f>
        <v>Vallée du Paruck</v>
      </c>
      <c r="G492" s="12"/>
      <c r="H492" s="12"/>
      <c r="I492" s="12"/>
      <c r="J492" s="12"/>
      <c r="K492" s="12"/>
      <c r="L492" s="12"/>
      <c r="M492" s="12"/>
      <c r="N492" s="12"/>
      <c r="O492" s="12"/>
      <c r="P492" s="462">
        <f>VLOOKUP($E492,'5.1 Budget'!$A$4:$G$729,2,0)</f>
        <v>0</v>
      </c>
      <c r="Q492" s="462">
        <f>VLOOKUP($E492,'5.1 Budget'!$A$4:$G$729,3,0)</f>
        <v>0</v>
      </c>
      <c r="R492" s="462">
        <f>VLOOKUP($E492,'5.1 Budget'!$A$4:$G$729,4,0)</f>
        <v>0</v>
      </c>
      <c r="S492" s="462">
        <f>VLOOKUP($E492,'5.1 Budget'!$A$4:$G$729,5,0)</f>
        <v>0</v>
      </c>
      <c r="T492" s="462">
        <f>VLOOKUP($E492,'5.1 Budget'!$A$4:$G$729,6,0)</f>
        <v>0</v>
      </c>
      <c r="U492" s="462">
        <f>VLOOKUP($E492,'5.1 Budget'!$A$4:$G$729,7,0)</f>
        <v>0</v>
      </c>
      <c r="V492" s="462">
        <f t="shared" si="8"/>
        <v>0</v>
      </c>
    </row>
    <row r="493" spans="1:22" x14ac:dyDescent="0.25">
      <c r="A493" s="465">
        <v>5</v>
      </c>
      <c r="B493" s="12" t="s">
        <v>159</v>
      </c>
      <c r="C493" s="12" t="s">
        <v>162</v>
      </c>
      <c r="D493" s="12" t="s">
        <v>86</v>
      </c>
      <c r="E493" s="12" t="s">
        <v>1027</v>
      </c>
      <c r="F493" s="469" t="str">
        <f>VLOOKUP(E493,'5. Consolidation'!$E$3:$F$715,2,0)</f>
        <v>Ten Reuken</v>
      </c>
      <c r="G493" s="12"/>
      <c r="H493" s="12"/>
      <c r="I493" s="12"/>
      <c r="J493" s="12"/>
      <c r="K493" s="12"/>
      <c r="L493" s="12"/>
      <c r="M493" s="12"/>
      <c r="N493" s="459">
        <v>2022</v>
      </c>
      <c r="O493" s="12"/>
      <c r="P493" s="462">
        <f>VLOOKUP($E493,'5.1 Budget'!$A$4:$G$729,2,0)</f>
        <v>4000000</v>
      </c>
      <c r="Q493" s="462">
        <f>VLOOKUP($E493,'5.1 Budget'!$A$4:$G$729,3,0)</f>
        <v>2500000</v>
      </c>
      <c r="R493" s="462">
        <f>VLOOKUP($E493,'5.1 Budget'!$A$4:$G$729,4,0)</f>
        <v>0</v>
      </c>
      <c r="S493" s="462">
        <f>VLOOKUP($E493,'5.1 Budget'!$A$4:$G$729,5,0)</f>
        <v>0</v>
      </c>
      <c r="T493" s="462">
        <f>VLOOKUP($E493,'5.1 Budget'!$A$4:$G$729,6,0)</f>
        <v>0</v>
      </c>
      <c r="U493" s="462">
        <f>VLOOKUP($E493,'5.1 Budget'!$A$4:$G$729,7,0)</f>
        <v>0</v>
      </c>
      <c r="V493" s="462">
        <f t="shared" si="8"/>
        <v>6500000</v>
      </c>
    </row>
    <row r="494" spans="1:22" x14ac:dyDescent="0.25">
      <c r="A494" s="465">
        <v>5</v>
      </c>
      <c r="B494" s="12" t="s">
        <v>163</v>
      </c>
      <c r="C494" s="12" t="s">
        <v>164</v>
      </c>
      <c r="D494" s="12" t="s">
        <v>88</v>
      </c>
      <c r="E494" s="12" t="s">
        <v>1028</v>
      </c>
      <c r="F494" s="469" t="str">
        <f>VLOOKUP(E494,'5. Consolidation'!$E$3:$F$715,2,0)</f>
        <v>Finaliser la carte répondant aux critères de l’arrêté royal du 12 octobre 2005 à partir des données de VIVAQUA</v>
      </c>
      <c r="G494" s="12"/>
      <c r="H494" s="12"/>
      <c r="I494" s="12"/>
      <c r="J494" s="12"/>
      <c r="K494" s="12"/>
      <c r="L494" s="12"/>
      <c r="M494" s="12"/>
      <c r="N494" s="12"/>
      <c r="O494" s="12"/>
      <c r="P494" s="462">
        <f>VLOOKUP($E494,'5.1 Budget'!$A$4:$G$729,2,0)</f>
        <v>0</v>
      </c>
      <c r="Q494" s="462">
        <f>VLOOKUP($E494,'5.1 Budget'!$A$4:$G$729,3,0)</f>
        <v>0</v>
      </c>
      <c r="R494" s="462">
        <f>VLOOKUP($E494,'5.1 Budget'!$A$4:$G$729,4,0)</f>
        <v>0</v>
      </c>
      <c r="S494" s="462">
        <f>VLOOKUP($E494,'5.1 Budget'!$A$4:$G$729,5,0)</f>
        <v>0</v>
      </c>
      <c r="T494" s="462">
        <f>VLOOKUP($E494,'5.1 Budget'!$A$4:$G$729,6,0)</f>
        <v>0</v>
      </c>
      <c r="U494" s="462">
        <f>VLOOKUP($E494,'5.1 Budget'!$A$4:$G$729,7,0)</f>
        <v>0</v>
      </c>
      <c r="V494" s="462">
        <f t="shared" si="8"/>
        <v>0</v>
      </c>
    </row>
    <row r="495" spans="1:22" x14ac:dyDescent="0.25">
      <c r="A495" s="465">
        <v>5</v>
      </c>
      <c r="B495" s="12" t="s">
        <v>163</v>
      </c>
      <c r="C495" s="12" t="s">
        <v>164</v>
      </c>
      <c r="D495" s="12" t="s">
        <v>88</v>
      </c>
      <c r="E495" s="12" t="s">
        <v>1029</v>
      </c>
      <c r="F495" s="469" t="str">
        <f>VLOOKUP(E495,'5. Consolidation'!$E$3:$F$715,2,0)</f>
        <v>Valider en plateforme de coordination  la carte</v>
      </c>
      <c r="G495" s="12"/>
      <c r="H495" s="12"/>
      <c r="I495" s="12"/>
      <c r="J495" s="12"/>
      <c r="K495" s="12"/>
      <c r="L495" s="12"/>
      <c r="M495" s="12"/>
      <c r="N495" s="12"/>
      <c r="O495" s="12"/>
      <c r="P495" s="462">
        <f>VLOOKUP($E495,'5.1 Budget'!$A$4:$G$729,2,0)</f>
        <v>0</v>
      </c>
      <c r="Q495" s="462">
        <f>VLOOKUP($E495,'5.1 Budget'!$A$4:$G$729,3,0)</f>
        <v>0</v>
      </c>
      <c r="R495" s="462">
        <f>VLOOKUP($E495,'5.1 Budget'!$A$4:$G$729,4,0)</f>
        <v>0</v>
      </c>
      <c r="S495" s="462">
        <f>VLOOKUP($E495,'5.1 Budget'!$A$4:$G$729,5,0)</f>
        <v>0</v>
      </c>
      <c r="T495" s="462">
        <f>VLOOKUP($E495,'5.1 Budget'!$A$4:$G$729,6,0)</f>
        <v>0</v>
      </c>
      <c r="U495" s="462">
        <f>VLOOKUP($E495,'5.1 Budget'!$A$4:$G$729,7,0)</f>
        <v>0</v>
      </c>
      <c r="V495" s="462">
        <f t="shared" si="8"/>
        <v>0</v>
      </c>
    </row>
    <row r="496" spans="1:22" ht="39" x14ac:dyDescent="0.25">
      <c r="A496" s="465">
        <v>5</v>
      </c>
      <c r="B496" s="12" t="s">
        <v>163</v>
      </c>
      <c r="C496" s="12" t="s">
        <v>164</v>
      </c>
      <c r="D496" s="12" t="s">
        <v>88</v>
      </c>
      <c r="E496" s="12" t="s">
        <v>1030</v>
      </c>
      <c r="F496" s="469" t="str">
        <f>VLOOKUP(E496,'5. Consolidation'!$E$3:$F$715,2,0)</f>
        <v>Faire acter la cartographie par le Gouvernement bruxellois avant de l’envoyer au service fédéral compétent pour modifier l’arrêté royal du 28 février 2007 portant délimitation des zones à risque visées à l'article 129, § 1er, de la loi du 4 avril 2014 relative aux assurances</v>
      </c>
      <c r="G496" s="12"/>
      <c r="H496" s="12"/>
      <c r="I496" s="12"/>
      <c r="J496" s="12"/>
      <c r="K496" s="12"/>
      <c r="L496" s="12"/>
      <c r="M496" s="12"/>
      <c r="N496" s="12"/>
      <c r="O496" s="12"/>
      <c r="P496" s="462">
        <f>VLOOKUP($E496,'5.1 Budget'!$A$4:$G$729,2,0)</f>
        <v>0</v>
      </c>
      <c r="Q496" s="462">
        <f>VLOOKUP($E496,'5.1 Budget'!$A$4:$G$729,3,0)</f>
        <v>0</v>
      </c>
      <c r="R496" s="462">
        <f>VLOOKUP($E496,'5.1 Budget'!$A$4:$G$729,4,0)</f>
        <v>0</v>
      </c>
      <c r="S496" s="462">
        <f>VLOOKUP($E496,'5.1 Budget'!$A$4:$G$729,5,0)</f>
        <v>0</v>
      </c>
      <c r="T496" s="462">
        <f>VLOOKUP($E496,'5.1 Budget'!$A$4:$G$729,6,0)</f>
        <v>0</v>
      </c>
      <c r="U496" s="462">
        <f>VLOOKUP($E496,'5.1 Budget'!$A$4:$G$729,7,0)</f>
        <v>0</v>
      </c>
      <c r="V496" s="462">
        <f t="shared" si="8"/>
        <v>0</v>
      </c>
    </row>
    <row r="497" spans="1:22" x14ac:dyDescent="0.25">
      <c r="A497" s="465">
        <v>5</v>
      </c>
      <c r="B497" s="12" t="s">
        <v>163</v>
      </c>
      <c r="C497" s="12" t="s">
        <v>164</v>
      </c>
      <c r="D497" s="12" t="s">
        <v>89</v>
      </c>
      <c r="E497" s="12" t="s">
        <v>1031</v>
      </c>
      <c r="F497" s="469" t="str">
        <f>VLOOKUP(E497,'5. Consolidation'!$E$3:$F$715,2,0)</f>
        <v>Croiser la carte des zones inondables avec la localisation des activités dangereuses (DB permis, Seveso,…)</v>
      </c>
      <c r="G497" s="12"/>
      <c r="H497" s="12"/>
      <c r="I497" s="12"/>
      <c r="J497" s="12"/>
      <c r="K497" s="12"/>
      <c r="L497" s="12"/>
      <c r="M497" s="12"/>
      <c r="N497" s="12"/>
      <c r="O497" s="12"/>
      <c r="P497" s="462">
        <f>VLOOKUP($E497,'5.1 Budget'!$A$4:$G$729,2,0)</f>
        <v>0</v>
      </c>
      <c r="Q497" s="462">
        <f>VLOOKUP($E497,'5.1 Budget'!$A$4:$G$729,3,0)</f>
        <v>0</v>
      </c>
      <c r="R497" s="462">
        <f>VLOOKUP($E497,'5.1 Budget'!$A$4:$G$729,4,0)</f>
        <v>0</v>
      </c>
      <c r="S497" s="462">
        <f>VLOOKUP($E497,'5.1 Budget'!$A$4:$G$729,5,0)</f>
        <v>0</v>
      </c>
      <c r="T497" s="462">
        <f>VLOOKUP($E497,'5.1 Budget'!$A$4:$G$729,6,0)</f>
        <v>0</v>
      </c>
      <c r="U497" s="462">
        <f>VLOOKUP($E497,'5.1 Budget'!$A$4:$G$729,7,0)</f>
        <v>0</v>
      </c>
      <c r="V497" s="462">
        <f t="shared" si="8"/>
        <v>0</v>
      </c>
    </row>
    <row r="498" spans="1:22" x14ac:dyDescent="0.25">
      <c r="A498" s="465">
        <v>5</v>
      </c>
      <c r="B498" s="12" t="s">
        <v>163</v>
      </c>
      <c r="C498" s="12" t="s">
        <v>164</v>
      </c>
      <c r="D498" s="12" t="s">
        <v>89</v>
      </c>
      <c r="E498" s="12" t="s">
        <v>1032</v>
      </c>
      <c r="F498" s="469" t="str">
        <f>VLOOKUP(E498,'5. Consolidation'!$E$3:$F$715,2,0)</f>
        <v>Informer les propriétaires du risque d’inondation, impliquer la cellule refoulement d’égout de Vivaqua</v>
      </c>
      <c r="G498" s="12"/>
      <c r="H498" s="12"/>
      <c r="I498" s="12"/>
      <c r="J498" s="12"/>
      <c r="K498" s="12"/>
      <c r="L498" s="12"/>
      <c r="M498" s="12"/>
      <c r="N498" s="12"/>
      <c r="O498" s="12"/>
      <c r="P498" s="462">
        <f>VLOOKUP($E498,'5.1 Budget'!$A$4:$G$729,2,0)</f>
        <v>0</v>
      </c>
      <c r="Q498" s="462">
        <f>VLOOKUP($E498,'5.1 Budget'!$A$4:$G$729,3,0)</f>
        <v>0</v>
      </c>
      <c r="R498" s="462">
        <f>VLOOKUP($E498,'5.1 Budget'!$A$4:$G$729,4,0)</f>
        <v>0</v>
      </c>
      <c r="S498" s="462">
        <f>VLOOKUP($E498,'5.1 Budget'!$A$4:$G$729,5,0)</f>
        <v>0</v>
      </c>
      <c r="T498" s="462">
        <f>VLOOKUP($E498,'5.1 Budget'!$A$4:$G$729,6,0)</f>
        <v>0</v>
      </c>
      <c r="U498" s="462">
        <f>VLOOKUP($E498,'5.1 Budget'!$A$4:$G$729,7,0)</f>
        <v>0</v>
      </c>
      <c r="V498" s="462">
        <f t="shared" si="8"/>
        <v>0</v>
      </c>
    </row>
    <row r="499" spans="1:22" x14ac:dyDescent="0.25">
      <c r="A499" s="465">
        <v>5</v>
      </c>
      <c r="B499" s="12" t="s">
        <v>163</v>
      </c>
      <c r="C499" s="12" t="s">
        <v>164</v>
      </c>
      <c r="D499" s="12" t="s">
        <v>89</v>
      </c>
      <c r="E499" s="12" t="s">
        <v>1033</v>
      </c>
      <c r="F499" s="469" t="str">
        <f>VLOOKUP(E499,'5. Consolidation'!$E$3:$F$715,2,0)</f>
        <v>Etudier la faisabilité juridique d’intégrer des mesures spéciales de préservation dans les permis dans les zones inondables</v>
      </c>
      <c r="G499" s="12"/>
      <c r="H499" s="12"/>
      <c r="I499" s="12"/>
      <c r="J499" s="12"/>
      <c r="K499" s="12"/>
      <c r="L499" s="12"/>
      <c r="M499" s="12"/>
      <c r="N499" s="12"/>
      <c r="O499" s="12"/>
      <c r="P499" s="462">
        <f>VLOOKUP($E499,'5.1 Budget'!$A$4:$G$729,2,0)</f>
        <v>0</v>
      </c>
      <c r="Q499" s="462">
        <f>VLOOKUP($E499,'5.1 Budget'!$A$4:$G$729,3,0)</f>
        <v>0</v>
      </c>
      <c r="R499" s="462">
        <f>VLOOKUP($E499,'5.1 Budget'!$A$4:$G$729,4,0)</f>
        <v>0</v>
      </c>
      <c r="S499" s="462">
        <f>VLOOKUP($E499,'5.1 Budget'!$A$4:$G$729,5,0)</f>
        <v>0</v>
      </c>
      <c r="T499" s="462">
        <f>VLOOKUP($E499,'5.1 Budget'!$A$4:$G$729,6,0)</f>
        <v>0</v>
      </c>
      <c r="U499" s="462">
        <f>VLOOKUP($E499,'5.1 Budget'!$A$4:$G$729,7,0)</f>
        <v>0</v>
      </c>
      <c r="V499" s="462">
        <f t="shared" si="8"/>
        <v>0</v>
      </c>
    </row>
    <row r="500" spans="1:22" x14ac:dyDescent="0.25">
      <c r="A500" s="465">
        <v>5</v>
      </c>
      <c r="B500" s="12" t="s">
        <v>163</v>
      </c>
      <c r="C500" s="12" t="s">
        <v>164</v>
      </c>
      <c r="D500" s="12" t="s">
        <v>89</v>
      </c>
      <c r="E500" s="12" t="s">
        <v>1034</v>
      </c>
      <c r="F500" s="469" t="str">
        <f>VLOOKUP(E500,'5. Consolidation'!$E$3:$F$715,2,0)</f>
        <v>Informer le centre de crise des infrastructures sensibles</v>
      </c>
      <c r="G500" s="12"/>
      <c r="H500" s="12"/>
      <c r="I500" s="12"/>
      <c r="J500" s="12"/>
      <c r="K500" s="12"/>
      <c r="L500" s="12"/>
      <c r="M500" s="12"/>
      <c r="N500" s="12"/>
      <c r="O500" s="12"/>
      <c r="P500" s="462">
        <f>VLOOKUP($E500,'5.1 Budget'!$A$4:$G$729,2,0)</f>
        <v>0</v>
      </c>
      <c r="Q500" s="462">
        <f>VLOOKUP($E500,'5.1 Budget'!$A$4:$G$729,3,0)</f>
        <v>0</v>
      </c>
      <c r="R500" s="462">
        <f>VLOOKUP($E500,'5.1 Budget'!$A$4:$G$729,4,0)</f>
        <v>0</v>
      </c>
      <c r="S500" s="462">
        <f>VLOOKUP($E500,'5.1 Budget'!$A$4:$G$729,5,0)</f>
        <v>0</v>
      </c>
      <c r="T500" s="462">
        <f>VLOOKUP($E500,'5.1 Budget'!$A$4:$G$729,6,0)</f>
        <v>0</v>
      </c>
      <c r="U500" s="462">
        <f>VLOOKUP($E500,'5.1 Budget'!$A$4:$G$729,7,0)</f>
        <v>0</v>
      </c>
      <c r="V500" s="462">
        <f t="shared" si="8"/>
        <v>0</v>
      </c>
    </row>
    <row r="501" spans="1:22" ht="77.25" x14ac:dyDescent="0.25">
      <c r="A501" s="465">
        <v>5</v>
      </c>
      <c r="B501" s="12" t="s">
        <v>163</v>
      </c>
      <c r="C501" s="12" t="s">
        <v>164</v>
      </c>
      <c r="D501" s="12" t="s">
        <v>90</v>
      </c>
      <c r="E501" s="12" t="s">
        <v>1035</v>
      </c>
      <c r="F501" s="469" t="str">
        <f>VLOOKUP(E501,'5. Consolidation'!$E$3:$F$715,2,0)</f>
        <v>Intégrer dans la réglementation urbanistique des prescriptions :
· visant une conception adaptée du bâti en zone inondable pour minimiser les conséquences néfastes en cas d'inondation (au moins démontrer une réflexion sur le risque que court le bâti considéré et les solutions envisagées) ;
· faisant de la carte des zones inondables un outil à portée réglementaire ;
· imposant un avis relatif à la thématique de l'eau à toute construction d'infrastructures et bâtiments situés en zone inondable.</v>
      </c>
      <c r="G501" s="12"/>
      <c r="H501" s="12"/>
      <c r="I501" s="12"/>
      <c r="J501" s="12"/>
      <c r="K501" s="12"/>
      <c r="L501" s="12"/>
      <c r="M501" s="12"/>
      <c r="N501" s="12"/>
      <c r="O501" s="12"/>
      <c r="P501" s="462">
        <f>VLOOKUP($E501,'5.1 Budget'!$A$4:$G$729,2,0)</f>
        <v>0</v>
      </c>
      <c r="Q501" s="462">
        <f>VLOOKUP($E501,'5.1 Budget'!$A$4:$G$729,3,0)</f>
        <v>0</v>
      </c>
      <c r="R501" s="462">
        <f>VLOOKUP($E501,'5.1 Budget'!$A$4:$G$729,4,0)</f>
        <v>0</v>
      </c>
      <c r="S501" s="462">
        <f>VLOOKUP($E501,'5.1 Budget'!$A$4:$G$729,5,0)</f>
        <v>0</v>
      </c>
      <c r="T501" s="462">
        <f>VLOOKUP($E501,'5.1 Budget'!$A$4:$G$729,6,0)</f>
        <v>0</v>
      </c>
      <c r="U501" s="462">
        <f>VLOOKUP($E501,'5.1 Budget'!$A$4:$G$729,7,0)</f>
        <v>0</v>
      </c>
      <c r="V501" s="462">
        <f t="shared" si="8"/>
        <v>0</v>
      </c>
    </row>
    <row r="502" spans="1:22" ht="39" x14ac:dyDescent="0.25">
      <c r="A502" s="465">
        <v>5</v>
      </c>
      <c r="B502" s="12" t="s">
        <v>163</v>
      </c>
      <c r="C502" s="12" t="s">
        <v>164</v>
      </c>
      <c r="D502" s="12" t="s">
        <v>90</v>
      </c>
      <c r="E502" s="12" t="s">
        <v>1036</v>
      </c>
      <c r="F502" s="469" t="str">
        <f>VLOOKUP(E502,'5. Consolidation'!$E$3:$F$715,2,0)</f>
        <v>Mettre en place une cellule "conseils" :
Délivrer des conseils techniques aux habitants dont l’habitation est fréquemment touchée par des inondations du fait de la non étanchéité du système d’évacuation des eaux usées jusqu’au niveau de la voirie.</v>
      </c>
      <c r="G502" s="12"/>
      <c r="H502" s="12"/>
      <c r="I502" s="12"/>
      <c r="J502" s="12"/>
      <c r="K502" s="12"/>
      <c r="L502" s="12"/>
      <c r="M502" s="12"/>
      <c r="N502" s="12"/>
      <c r="O502" s="12"/>
      <c r="P502" s="462">
        <f>VLOOKUP($E502,'5.1 Budget'!$A$4:$G$729,2,0)</f>
        <v>0</v>
      </c>
      <c r="Q502" s="462">
        <f>VLOOKUP($E502,'5.1 Budget'!$A$4:$G$729,3,0)</f>
        <v>0</v>
      </c>
      <c r="R502" s="462">
        <f>VLOOKUP($E502,'5.1 Budget'!$A$4:$G$729,4,0)</f>
        <v>0</v>
      </c>
      <c r="S502" s="462">
        <f>VLOOKUP($E502,'5.1 Budget'!$A$4:$G$729,5,0)</f>
        <v>0</v>
      </c>
      <c r="T502" s="462">
        <f>VLOOKUP($E502,'5.1 Budget'!$A$4:$G$729,6,0)</f>
        <v>0</v>
      </c>
      <c r="U502" s="462">
        <f>VLOOKUP($E502,'5.1 Budget'!$A$4:$G$729,7,0)</f>
        <v>0</v>
      </c>
      <c r="V502" s="462">
        <f t="shared" si="8"/>
        <v>0</v>
      </c>
    </row>
    <row r="503" spans="1:22" x14ac:dyDescent="0.25">
      <c r="A503" s="465">
        <v>5</v>
      </c>
      <c r="B503" s="12" t="s">
        <v>165</v>
      </c>
      <c r="C503" s="12" t="s">
        <v>166</v>
      </c>
      <c r="D503" s="12" t="s">
        <v>91</v>
      </c>
      <c r="E503" s="12" t="s">
        <v>1037</v>
      </c>
      <c r="F503" s="469" t="str">
        <f>VLOOKUP(E503,'5. Consolidation'!$E$3:$F$715,2,0)</f>
        <v>Assurer un suivi régulier des prévisions météorologiques et des consommations en eau en période de sécheresse prolongée</v>
      </c>
      <c r="G503" s="12"/>
      <c r="H503" s="12"/>
      <c r="I503" s="12"/>
      <c r="J503" s="12"/>
      <c r="K503" s="12"/>
      <c r="L503" s="12"/>
      <c r="M503" s="12"/>
      <c r="N503" s="12"/>
      <c r="O503" s="12"/>
      <c r="P503" s="462">
        <f>VLOOKUP($E503,'5.1 Budget'!$A$4:$G$729,2,0)</f>
        <v>0</v>
      </c>
      <c r="Q503" s="462">
        <f>VLOOKUP($E503,'5.1 Budget'!$A$4:$G$729,3,0)</f>
        <v>0</v>
      </c>
      <c r="R503" s="462">
        <f>VLOOKUP($E503,'5.1 Budget'!$A$4:$G$729,4,0)</f>
        <v>0</v>
      </c>
      <c r="S503" s="462">
        <f>VLOOKUP($E503,'5.1 Budget'!$A$4:$G$729,5,0)</f>
        <v>0</v>
      </c>
      <c r="T503" s="462">
        <f>VLOOKUP($E503,'5.1 Budget'!$A$4:$G$729,6,0)</f>
        <v>0</v>
      </c>
      <c r="U503" s="462">
        <f>VLOOKUP($E503,'5.1 Budget'!$A$4:$G$729,7,0)</f>
        <v>0</v>
      </c>
      <c r="V503" s="462">
        <f t="shared" si="8"/>
        <v>0</v>
      </c>
    </row>
    <row r="504" spans="1:22" ht="26.25" x14ac:dyDescent="0.25">
      <c r="A504" s="465">
        <v>5</v>
      </c>
      <c r="B504" s="12" t="s">
        <v>165</v>
      </c>
      <c r="C504" s="12" t="s">
        <v>166</v>
      </c>
      <c r="D504" s="12" t="s">
        <v>91</v>
      </c>
      <c r="E504" s="12" t="s">
        <v>1038</v>
      </c>
      <c r="F504" s="469" t="str">
        <f>VLOOKUP(E504,'5. Consolidation'!$E$3:$F$715,2,0)</f>
        <v>Pourvoir à une alimentation optimale des réservoirs d’eau alimentant la Région de Bruxelles-Capitale, par la mise en service de captages de réserve, le cas échéant</v>
      </c>
      <c r="G504" s="12"/>
      <c r="H504" s="12"/>
      <c r="I504" s="12"/>
      <c r="J504" s="12"/>
      <c r="K504" s="12"/>
      <c r="L504" s="12"/>
      <c r="M504" s="12"/>
      <c r="N504" s="12"/>
      <c r="O504" s="12"/>
      <c r="P504" s="462">
        <f>VLOOKUP($E504,'5.1 Budget'!$A$4:$G$729,2,0)</f>
        <v>0</v>
      </c>
      <c r="Q504" s="462">
        <f>VLOOKUP($E504,'5.1 Budget'!$A$4:$G$729,3,0)</f>
        <v>0</v>
      </c>
      <c r="R504" s="462">
        <f>VLOOKUP($E504,'5.1 Budget'!$A$4:$G$729,4,0)</f>
        <v>0</v>
      </c>
      <c r="S504" s="462">
        <f>VLOOKUP($E504,'5.1 Budget'!$A$4:$G$729,5,0)</f>
        <v>0</v>
      </c>
      <c r="T504" s="462">
        <f>VLOOKUP($E504,'5.1 Budget'!$A$4:$G$729,6,0)</f>
        <v>0</v>
      </c>
      <c r="U504" s="462">
        <f>VLOOKUP($E504,'5.1 Budget'!$A$4:$G$729,7,0)</f>
        <v>0</v>
      </c>
      <c r="V504" s="462">
        <f t="shared" si="8"/>
        <v>0</v>
      </c>
    </row>
    <row r="505" spans="1:22" x14ac:dyDescent="0.25">
      <c r="A505" s="465">
        <v>5</v>
      </c>
      <c r="B505" s="12" t="s">
        <v>165</v>
      </c>
      <c r="C505" s="12" t="s">
        <v>166</v>
      </c>
      <c r="D505" s="12" t="s">
        <v>91</v>
      </c>
      <c r="E505" s="12" t="s">
        <v>1039</v>
      </c>
      <c r="F505" s="469" t="str">
        <f>VLOOKUP(E505,'5. Consolidation'!$E$3:$F$715,2,0)</f>
        <v>Sensibiliser la population en cas de risque de pénuries d’eau lors des périodes de pics de consommation</v>
      </c>
      <c r="G505" s="12"/>
      <c r="H505" s="12"/>
      <c r="I505" s="12"/>
      <c r="J505" s="12"/>
      <c r="K505" s="12"/>
      <c r="L505" s="12"/>
      <c r="M505" s="12"/>
      <c r="N505" s="12"/>
      <c r="O505" s="12"/>
      <c r="P505" s="462">
        <f>VLOOKUP($E505,'5.1 Budget'!$A$4:$G$729,2,0)</f>
        <v>0</v>
      </c>
      <c r="Q505" s="462">
        <f>VLOOKUP($E505,'5.1 Budget'!$A$4:$G$729,3,0)</f>
        <v>0</v>
      </c>
      <c r="R505" s="462">
        <f>VLOOKUP($E505,'5.1 Budget'!$A$4:$G$729,4,0)</f>
        <v>0</v>
      </c>
      <c r="S505" s="462">
        <f>VLOOKUP($E505,'5.1 Budget'!$A$4:$G$729,5,0)</f>
        <v>0</v>
      </c>
      <c r="T505" s="462">
        <f>VLOOKUP($E505,'5.1 Budget'!$A$4:$G$729,6,0)</f>
        <v>0</v>
      </c>
      <c r="U505" s="462">
        <f>VLOOKUP($E505,'5.1 Budget'!$A$4:$G$729,7,0)</f>
        <v>0</v>
      </c>
      <c r="V505" s="462">
        <f t="shared" si="8"/>
        <v>0</v>
      </c>
    </row>
    <row r="506" spans="1:22" ht="26.25" x14ac:dyDescent="0.25">
      <c r="A506" s="465">
        <v>5</v>
      </c>
      <c r="B506" s="12" t="s">
        <v>165</v>
      </c>
      <c r="C506" s="12" t="s">
        <v>167</v>
      </c>
      <c r="D506" s="12" t="s">
        <v>92</v>
      </c>
      <c r="E506" s="12" t="s">
        <v>1040</v>
      </c>
      <c r="F506" s="469" t="str">
        <f>VLOOKUP(E506,'5. Consolidation'!$E$3:$F$715,2,0)</f>
        <v>Déterminer les seuils en-deçà desquels des restrictions de captages et de prélèvement d’eau doivent pouvoir être imposées, notamment dans ou à proximité immédiate de zones protégées.</v>
      </c>
      <c r="G506" s="12"/>
      <c r="H506" s="12"/>
      <c r="I506" s="12"/>
      <c r="J506" s="12"/>
      <c r="K506" s="12"/>
      <c r="L506" s="12"/>
      <c r="M506" s="12"/>
      <c r="N506" s="12"/>
      <c r="O506" s="12"/>
      <c r="P506" s="462">
        <f>VLOOKUP($E506,'5.1 Budget'!$A$4:$G$729,2,0)</f>
        <v>0</v>
      </c>
      <c r="Q506" s="462">
        <f>VLOOKUP($E506,'5.1 Budget'!$A$4:$G$729,3,0)</f>
        <v>0</v>
      </c>
      <c r="R506" s="462">
        <f>VLOOKUP($E506,'5.1 Budget'!$A$4:$G$729,4,0)</f>
        <v>0</v>
      </c>
      <c r="S506" s="462">
        <f>VLOOKUP($E506,'5.1 Budget'!$A$4:$G$729,5,0)</f>
        <v>0</v>
      </c>
      <c r="T506" s="462">
        <f>VLOOKUP($E506,'5.1 Budget'!$A$4:$G$729,6,0)</f>
        <v>0</v>
      </c>
      <c r="U506" s="462">
        <f>VLOOKUP($E506,'5.1 Budget'!$A$4:$G$729,7,0)</f>
        <v>0</v>
      </c>
      <c r="V506" s="462">
        <f t="shared" si="8"/>
        <v>0</v>
      </c>
    </row>
    <row r="507" spans="1:22" x14ac:dyDescent="0.25">
      <c r="A507" s="465">
        <v>5</v>
      </c>
      <c r="B507" s="12" t="s">
        <v>165</v>
      </c>
      <c r="C507" s="12" t="s">
        <v>167</v>
      </c>
      <c r="D507" s="12" t="s">
        <v>92</v>
      </c>
      <c r="E507" s="12" t="s">
        <v>1041</v>
      </c>
      <c r="F507" s="469" t="str">
        <f>VLOOKUP(E507,'5. Consolidation'!$E$3:$F$715,2,0)</f>
        <v>Définir les règles de priorisation des usages de l’eau en cas de risque de pénurie.</v>
      </c>
      <c r="G507" s="12"/>
      <c r="H507" s="12"/>
      <c r="I507" s="12"/>
      <c r="J507" s="12"/>
      <c r="K507" s="12"/>
      <c r="L507" s="12"/>
      <c r="M507" s="12"/>
      <c r="N507" s="12"/>
      <c r="O507" s="12"/>
      <c r="P507" s="462">
        <f>VLOOKUP($E507,'5.1 Budget'!$A$4:$G$729,2,0)</f>
        <v>0</v>
      </c>
      <c r="Q507" s="462">
        <f>VLOOKUP($E507,'5.1 Budget'!$A$4:$G$729,3,0)</f>
        <v>0</v>
      </c>
      <c r="R507" s="462">
        <f>VLOOKUP($E507,'5.1 Budget'!$A$4:$G$729,4,0)</f>
        <v>0</v>
      </c>
      <c r="S507" s="462">
        <f>VLOOKUP($E507,'5.1 Budget'!$A$4:$G$729,5,0)</f>
        <v>0</v>
      </c>
      <c r="T507" s="462">
        <f>VLOOKUP($E507,'5.1 Budget'!$A$4:$G$729,6,0)</f>
        <v>0</v>
      </c>
      <c r="U507" s="462">
        <f>VLOOKUP($E507,'5.1 Budget'!$A$4:$G$729,7,0)</f>
        <v>0</v>
      </c>
      <c r="V507" s="462">
        <f t="shared" si="8"/>
        <v>0</v>
      </c>
    </row>
    <row r="508" spans="1:22" ht="26.25" x14ac:dyDescent="0.25">
      <c r="A508" s="465">
        <v>5</v>
      </c>
      <c r="B508" s="12" t="s">
        <v>165</v>
      </c>
      <c r="C508" s="12" t="s">
        <v>167</v>
      </c>
      <c r="D508" s="12" t="s">
        <v>92</v>
      </c>
      <c r="E508" s="12" t="s">
        <v>1042</v>
      </c>
      <c r="F508" s="469" t="str">
        <f>VLOOKUP(E508,'5. Consolidation'!$E$3:$F$715,2,0)</f>
        <v>Adapter les conditions fixées dans les nouvelles autorisations de captages d’eau souterraine  pour tenir compte des épisodes de sécheresse ou de pénurie d’eau.</v>
      </c>
      <c r="G508" s="12"/>
      <c r="H508" s="12"/>
      <c r="I508" s="12"/>
      <c r="J508" s="12"/>
      <c r="K508" s="12"/>
      <c r="L508" s="12"/>
      <c r="M508" s="12"/>
      <c r="N508" s="12"/>
      <c r="O508" s="12"/>
      <c r="P508" s="462">
        <f>VLOOKUP($E508,'5.1 Budget'!$A$4:$G$729,2,0)</f>
        <v>0</v>
      </c>
      <c r="Q508" s="462">
        <f>VLOOKUP($E508,'5.1 Budget'!$A$4:$G$729,3,0)</f>
        <v>0</v>
      </c>
      <c r="R508" s="462">
        <f>VLOOKUP($E508,'5.1 Budget'!$A$4:$G$729,4,0)</f>
        <v>0</v>
      </c>
      <c r="S508" s="462">
        <f>VLOOKUP($E508,'5.1 Budget'!$A$4:$G$729,5,0)</f>
        <v>0</v>
      </c>
      <c r="T508" s="462">
        <f>VLOOKUP($E508,'5.1 Budget'!$A$4:$G$729,6,0)</f>
        <v>0</v>
      </c>
      <c r="U508" s="462">
        <f>VLOOKUP($E508,'5.1 Budget'!$A$4:$G$729,7,0)</f>
        <v>0</v>
      </c>
      <c r="V508" s="462">
        <f t="shared" si="8"/>
        <v>0</v>
      </c>
    </row>
    <row r="509" spans="1:22" x14ac:dyDescent="0.25">
      <c r="A509" s="465">
        <v>5</v>
      </c>
      <c r="B509" s="12" t="s">
        <v>165</v>
      </c>
      <c r="C509" s="12" t="s">
        <v>167</v>
      </c>
      <c r="D509" s="12" t="s">
        <v>92</v>
      </c>
      <c r="E509" s="12" t="s">
        <v>1043</v>
      </c>
      <c r="F509" s="469" t="str">
        <f>VLOOKUP(E509,'5. Consolidation'!$E$3:$F$715,2,0)</f>
        <v>Imposer de nouvelles conditions dans les autorisations de prélèvements d’eau dans les cours d’eau non navigables</v>
      </c>
      <c r="G509" s="12"/>
      <c r="H509" s="12"/>
      <c r="I509" s="12"/>
      <c r="J509" s="12"/>
      <c r="K509" s="12"/>
      <c r="L509" s="12"/>
      <c r="M509" s="12"/>
      <c r="N509" s="12"/>
      <c r="O509" s="12"/>
      <c r="P509" s="462">
        <f>VLOOKUP($E509,'5.1 Budget'!$A$4:$G$729,2,0)</f>
        <v>0</v>
      </c>
      <c r="Q509" s="462">
        <f>VLOOKUP($E509,'5.1 Budget'!$A$4:$G$729,3,0)</f>
        <v>0</v>
      </c>
      <c r="R509" s="462">
        <f>VLOOKUP($E509,'5.1 Budget'!$A$4:$G$729,4,0)</f>
        <v>0</v>
      </c>
      <c r="S509" s="462">
        <f>VLOOKUP($E509,'5.1 Budget'!$A$4:$G$729,5,0)</f>
        <v>0</v>
      </c>
      <c r="T509" s="462">
        <f>VLOOKUP($E509,'5.1 Budget'!$A$4:$G$729,6,0)</f>
        <v>0</v>
      </c>
      <c r="U509" s="462">
        <f>VLOOKUP($E509,'5.1 Budget'!$A$4:$G$729,7,0)</f>
        <v>0</v>
      </c>
      <c r="V509" s="462">
        <f t="shared" si="8"/>
        <v>0</v>
      </c>
    </row>
    <row r="510" spans="1:22" x14ac:dyDescent="0.25">
      <c r="A510" s="465">
        <v>5</v>
      </c>
      <c r="B510" s="12" t="s">
        <v>165</v>
      </c>
      <c r="C510" s="12" t="s">
        <v>167</v>
      </c>
      <c r="D510" s="12" t="s">
        <v>92</v>
      </c>
      <c r="E510" s="12" t="s">
        <v>1044</v>
      </c>
      <c r="F510" s="469" t="str">
        <f>VLOOKUP(E510,'5. Consolidation'!$E$3:$F$715,2,0)</f>
        <v>Etablir un registre des prélèvements autorisés dans les cours d’eau non navigables</v>
      </c>
      <c r="G510" s="12"/>
      <c r="H510" s="12"/>
      <c r="I510" s="12"/>
      <c r="J510" s="12"/>
      <c r="K510" s="12"/>
      <c r="L510" s="12"/>
      <c r="M510" s="12"/>
      <c r="N510" s="12"/>
      <c r="O510" s="12"/>
      <c r="P510" s="462">
        <f>VLOOKUP($E510,'5.1 Budget'!$A$4:$G$729,2,0)</f>
        <v>0</v>
      </c>
      <c r="Q510" s="462">
        <f>VLOOKUP($E510,'5.1 Budget'!$A$4:$G$729,3,0)</f>
        <v>0</v>
      </c>
      <c r="R510" s="462">
        <f>VLOOKUP($E510,'5.1 Budget'!$A$4:$G$729,4,0)</f>
        <v>0</v>
      </c>
      <c r="S510" s="462">
        <f>VLOOKUP($E510,'5.1 Budget'!$A$4:$G$729,5,0)</f>
        <v>0</v>
      </c>
      <c r="T510" s="462">
        <f>VLOOKUP($E510,'5.1 Budget'!$A$4:$G$729,6,0)</f>
        <v>0</v>
      </c>
      <c r="U510" s="462">
        <f>VLOOKUP($E510,'5.1 Budget'!$A$4:$G$729,7,0)</f>
        <v>0</v>
      </c>
      <c r="V510" s="462">
        <f t="shared" si="8"/>
        <v>0</v>
      </c>
    </row>
    <row r="511" spans="1:22" x14ac:dyDescent="0.25">
      <c r="A511" s="465">
        <v>5</v>
      </c>
      <c r="B511" s="12" t="s">
        <v>165</v>
      </c>
      <c r="C511" s="12" t="s">
        <v>167</v>
      </c>
      <c r="D511" s="12" t="s">
        <v>92</v>
      </c>
      <c r="E511" s="12" t="s">
        <v>1045</v>
      </c>
      <c r="F511" s="469" t="str">
        <f>VLOOKUP(E511,'5. Consolidation'!$E$3:$F$715,2,0)</f>
        <v>Assurer le contrôle du respect des mesures de restriction et de priorisation.</v>
      </c>
      <c r="G511" s="12"/>
      <c r="H511" s="12"/>
      <c r="I511" s="12"/>
      <c r="J511" s="12"/>
      <c r="K511" s="12"/>
      <c r="L511" s="12"/>
      <c r="M511" s="12"/>
      <c r="N511" s="12"/>
      <c r="O511" s="12"/>
      <c r="P511" s="462">
        <f>VLOOKUP($E511,'5.1 Budget'!$A$4:$G$729,2,0)</f>
        <v>0</v>
      </c>
      <c r="Q511" s="462">
        <f>VLOOKUP($E511,'5.1 Budget'!$A$4:$G$729,3,0)</f>
        <v>0</v>
      </c>
      <c r="R511" s="462">
        <f>VLOOKUP($E511,'5.1 Budget'!$A$4:$G$729,4,0)</f>
        <v>0</v>
      </c>
      <c r="S511" s="462">
        <f>VLOOKUP($E511,'5.1 Budget'!$A$4:$G$729,5,0)</f>
        <v>0</v>
      </c>
      <c r="T511" s="462">
        <f>VLOOKUP($E511,'5.1 Budget'!$A$4:$G$729,6,0)</f>
        <v>0</v>
      </c>
      <c r="U511" s="462">
        <f>VLOOKUP($E511,'5.1 Budget'!$A$4:$G$729,7,0)</f>
        <v>0</v>
      </c>
      <c r="V511" s="462">
        <f t="shared" si="8"/>
        <v>0</v>
      </c>
    </row>
    <row r="512" spans="1:22" ht="39" x14ac:dyDescent="0.25">
      <c r="A512" s="465">
        <v>5</v>
      </c>
      <c r="B512" s="12" t="s">
        <v>165</v>
      </c>
      <c r="C512" s="12" t="s">
        <v>166</v>
      </c>
      <c r="D512" s="12" t="s">
        <v>93</v>
      </c>
      <c r="E512" s="12" t="s">
        <v>1046</v>
      </c>
      <c r="F512" s="469" t="str">
        <f>VLOOKUP(E512,'5. Consolidation'!$E$3:$F$715,2,0)</f>
        <v>Dresser un inventaire des éléments et sites naturels les plus vulnérables aux épisodes de sécheresse, pour fonder et prioriser les actions qui permettront d’assurer les différents critères de conservation (taux d’humidité, niveaux des pièces d’eau, ecological flow,…) en cas de crise sècheresse</v>
      </c>
      <c r="G512" s="12"/>
      <c r="H512" s="12"/>
      <c r="I512" s="12"/>
      <c r="J512" s="12"/>
      <c r="K512" s="12"/>
      <c r="L512" s="12"/>
      <c r="M512" s="12"/>
      <c r="N512" s="12"/>
      <c r="O512" s="12"/>
      <c r="P512" s="462">
        <f>VLOOKUP($E512,'5.1 Budget'!$A$4:$G$729,2,0)</f>
        <v>0</v>
      </c>
      <c r="Q512" s="462">
        <f>VLOOKUP($E512,'5.1 Budget'!$A$4:$G$729,3,0)</f>
        <v>0</v>
      </c>
      <c r="R512" s="462">
        <f>VLOOKUP($E512,'5.1 Budget'!$A$4:$G$729,4,0)</f>
        <v>0</v>
      </c>
      <c r="S512" s="462">
        <f>VLOOKUP($E512,'5.1 Budget'!$A$4:$G$729,5,0)</f>
        <v>0</v>
      </c>
      <c r="T512" s="462">
        <f>VLOOKUP($E512,'5.1 Budget'!$A$4:$G$729,6,0)</f>
        <v>0</v>
      </c>
      <c r="U512" s="462">
        <f>VLOOKUP($E512,'5.1 Budget'!$A$4:$G$729,7,0)</f>
        <v>0</v>
      </c>
      <c r="V512" s="462">
        <f t="shared" si="8"/>
        <v>0</v>
      </c>
    </row>
    <row r="513" spans="1:22" ht="39" x14ac:dyDescent="0.25">
      <c r="A513" s="465">
        <v>5</v>
      </c>
      <c r="B513" s="12" t="s">
        <v>165</v>
      </c>
      <c r="C513" s="12" t="s">
        <v>166</v>
      </c>
      <c r="D513" s="12" t="s">
        <v>93</v>
      </c>
      <c r="E513" s="12" t="s">
        <v>1051</v>
      </c>
      <c r="F513" s="469" t="str">
        <f>VLOOKUP(E513,'5. Consolidation'!$E$3:$F$715,2,0)</f>
        <v>Renforcer  le suivi des niveaux piézométriques  (fréquence des mesures, densité des sites mesurés,…), du débit des sources, dans les zones d’alimentation hydrogéologiques de certains écosystèmes terrestres et aquatiques associés en cas de crise sécheresse (cf. aussi M 3.4)</v>
      </c>
      <c r="G513" s="12"/>
      <c r="H513" s="12"/>
      <c r="I513" s="12"/>
      <c r="J513" s="12"/>
      <c r="K513" s="12"/>
      <c r="L513" s="12"/>
      <c r="M513" s="12"/>
      <c r="N513" s="12"/>
      <c r="O513" s="12"/>
      <c r="P513" s="462">
        <f>VLOOKUP($E513,'5.1 Budget'!$A$4:$G$729,2,0)</f>
        <v>0</v>
      </c>
      <c r="Q513" s="462">
        <f>VLOOKUP($E513,'5.1 Budget'!$A$4:$G$729,3,0)</f>
        <v>0</v>
      </c>
      <c r="R513" s="462">
        <f>VLOOKUP($E513,'5.1 Budget'!$A$4:$G$729,4,0)</f>
        <v>0</v>
      </c>
      <c r="S513" s="462">
        <f>VLOOKUP($E513,'5.1 Budget'!$A$4:$G$729,5,0)</f>
        <v>0</v>
      </c>
      <c r="T513" s="462">
        <f>VLOOKUP($E513,'5.1 Budget'!$A$4:$G$729,6,0)</f>
        <v>0</v>
      </c>
      <c r="U513" s="462">
        <f>VLOOKUP($E513,'5.1 Budget'!$A$4:$G$729,7,0)</f>
        <v>0</v>
      </c>
      <c r="V513" s="462">
        <f t="shared" si="8"/>
        <v>0</v>
      </c>
    </row>
    <row r="514" spans="1:22" ht="51.75" x14ac:dyDescent="0.25">
      <c r="A514" s="465">
        <v>5</v>
      </c>
      <c r="B514" s="12" t="s">
        <v>165</v>
      </c>
      <c r="C514" s="12" t="s">
        <v>166</v>
      </c>
      <c r="D514" s="12" t="s">
        <v>93</v>
      </c>
      <c r="E514" s="12" t="s">
        <v>1047</v>
      </c>
      <c r="F514" s="469" t="str">
        <f>VLOOKUP(E514,'5. Consolidation'!$E$3:$F$715,2,0)</f>
        <v>Etablir des seuils critiques de niveaux piézométriques en lien avec les observations faites in situ et les valeurs de référence des critères hydrologiques de bon état de conservation des habitats Natura 2000 associés aux eaux souterraines et les résultats des simulations faites qui déclenchent la mise en œuvre de mesures de sauvegarde pour les écosystèmes associés (cf. aussi M 3.4)</v>
      </c>
      <c r="G514" s="12"/>
      <c r="H514" s="12"/>
      <c r="I514" s="12"/>
      <c r="J514" s="12"/>
      <c r="K514" s="12"/>
      <c r="L514" s="12"/>
      <c r="M514" s="12"/>
      <c r="N514" s="12"/>
      <c r="O514" s="12"/>
      <c r="P514" s="462">
        <f>VLOOKUP($E514,'5.1 Budget'!$A$4:$G$729,2,0)</f>
        <v>0</v>
      </c>
      <c r="Q514" s="462">
        <f>VLOOKUP($E514,'5.1 Budget'!$A$4:$G$729,3,0)</f>
        <v>0</v>
      </c>
      <c r="R514" s="462">
        <f>VLOOKUP($E514,'5.1 Budget'!$A$4:$G$729,4,0)</f>
        <v>0</v>
      </c>
      <c r="S514" s="462">
        <f>VLOOKUP($E514,'5.1 Budget'!$A$4:$G$729,5,0)</f>
        <v>0</v>
      </c>
      <c r="T514" s="462">
        <f>VLOOKUP($E514,'5.1 Budget'!$A$4:$G$729,6,0)</f>
        <v>0</v>
      </c>
      <c r="U514" s="462">
        <f>VLOOKUP($E514,'5.1 Budget'!$A$4:$G$729,7,0)</f>
        <v>0</v>
      </c>
      <c r="V514" s="462">
        <f t="shared" si="8"/>
        <v>0</v>
      </c>
    </row>
    <row r="515" spans="1:22" ht="39" x14ac:dyDescent="0.25">
      <c r="A515" s="465">
        <v>5</v>
      </c>
      <c r="B515" s="12" t="s">
        <v>165</v>
      </c>
      <c r="C515" s="12" t="s">
        <v>166</v>
      </c>
      <c r="D515" s="12" t="s">
        <v>93</v>
      </c>
      <c r="E515" s="12" t="s">
        <v>1048</v>
      </c>
      <c r="F515" s="469" t="str">
        <f>VLOOKUP(E515,'5. Consolidation'!$E$3:$F$715,2,0)</f>
        <v>Mettre en place des mesures de prévention (aménagements limitant le ruissellement, …) et de sauvegarde des écosystèmes dépendants (irrigation ciblée, gestion spécifique des captages, …), et de la faune en péril (création de zones refuges, déplacement temporaire des poissons,..)</v>
      </c>
      <c r="G515" s="12"/>
      <c r="H515" s="12"/>
      <c r="I515" s="12"/>
      <c r="J515" s="12"/>
      <c r="K515" s="12"/>
      <c r="L515" s="12"/>
      <c r="M515" s="12"/>
      <c r="N515" s="12"/>
      <c r="O515" s="12"/>
      <c r="P515" s="462">
        <f>VLOOKUP($E515,'5.1 Budget'!$A$4:$G$729,2,0)</f>
        <v>0</v>
      </c>
      <c r="Q515" s="462">
        <f>VLOOKUP($E515,'5.1 Budget'!$A$4:$G$729,3,0)</f>
        <v>0</v>
      </c>
      <c r="R515" s="462">
        <f>VLOOKUP($E515,'5.1 Budget'!$A$4:$G$729,4,0)</f>
        <v>0</v>
      </c>
      <c r="S515" s="462">
        <f>VLOOKUP($E515,'5.1 Budget'!$A$4:$G$729,5,0)</f>
        <v>0</v>
      </c>
      <c r="T515" s="462">
        <f>VLOOKUP($E515,'5.1 Budget'!$A$4:$G$729,6,0)</f>
        <v>0</v>
      </c>
      <c r="U515" s="462">
        <f>VLOOKUP($E515,'5.1 Budget'!$A$4:$G$729,7,0)</f>
        <v>0</v>
      </c>
      <c r="V515" s="462">
        <f t="shared" ref="V515:V578" si="9">SUM(P515:U515)</f>
        <v>0</v>
      </c>
    </row>
    <row r="516" spans="1:22" ht="26.25" x14ac:dyDescent="0.25">
      <c r="A516" s="465">
        <v>5</v>
      </c>
      <c r="B516" s="12" t="s">
        <v>165</v>
      </c>
      <c r="C516" s="12" t="s">
        <v>166</v>
      </c>
      <c r="D516" s="12" t="s">
        <v>93</v>
      </c>
      <c r="E516" s="12" t="s">
        <v>1049</v>
      </c>
      <c r="F516" s="469" t="str">
        <f>VLOOKUP(E516,'5. Consolidation'!$E$3:$F$715,2,0)</f>
        <v>Assurer un monitoring renforcé (recours à la télémétrie du réseau de piézomètres) des nappes wallonnes et rivière alimentant la Région de Bruxelles-Capitale en eau potable</v>
      </c>
      <c r="G516" s="12"/>
      <c r="H516" s="12"/>
      <c r="I516" s="12"/>
      <c r="J516" s="12"/>
      <c r="K516" s="12"/>
      <c r="L516" s="12"/>
      <c r="M516" s="12"/>
      <c r="N516" s="12"/>
      <c r="O516" s="12"/>
      <c r="P516" s="462">
        <f>VLOOKUP($E516,'5.1 Budget'!$A$4:$G$729,2,0)</f>
        <v>0</v>
      </c>
      <c r="Q516" s="462">
        <f>VLOOKUP($E516,'5.1 Budget'!$A$4:$G$729,3,0)</f>
        <v>0</v>
      </c>
      <c r="R516" s="462">
        <f>VLOOKUP($E516,'5.1 Budget'!$A$4:$G$729,4,0)</f>
        <v>0</v>
      </c>
      <c r="S516" s="462">
        <f>VLOOKUP($E516,'5.1 Budget'!$A$4:$G$729,5,0)</f>
        <v>0</v>
      </c>
      <c r="T516" s="462">
        <f>VLOOKUP($E516,'5.1 Budget'!$A$4:$G$729,6,0)</f>
        <v>0</v>
      </c>
      <c r="U516" s="462">
        <f>VLOOKUP($E516,'5.1 Budget'!$A$4:$G$729,7,0)</f>
        <v>0</v>
      </c>
      <c r="V516" s="462">
        <f t="shared" si="9"/>
        <v>0</v>
      </c>
    </row>
    <row r="517" spans="1:22" x14ac:dyDescent="0.25">
      <c r="A517" s="465">
        <v>5</v>
      </c>
      <c r="B517" s="12" t="s">
        <v>165</v>
      </c>
      <c r="C517" s="12" t="s">
        <v>166</v>
      </c>
      <c r="D517" s="12" t="s">
        <v>93</v>
      </c>
      <c r="E517" s="12" t="s">
        <v>1050</v>
      </c>
      <c r="F517" s="469" t="str">
        <f>VLOOKUP(E517,'5. Consolidation'!$E$3:$F$715,2,0)</f>
        <v>Détecter les signes précoces de manque d’eau dans les zones d’approvisionnement en eau potable, dont la Meuse</v>
      </c>
      <c r="G517" s="12"/>
      <c r="H517" s="12"/>
      <c r="I517" s="12"/>
      <c r="J517" s="12"/>
      <c r="K517" s="12"/>
      <c r="L517" s="12"/>
      <c r="M517" s="12"/>
      <c r="N517" s="12"/>
      <c r="O517" s="12"/>
      <c r="P517" s="462">
        <f>VLOOKUP($E517,'5.1 Budget'!$A$4:$G$729,2,0)</f>
        <v>0</v>
      </c>
      <c r="Q517" s="462">
        <f>VLOOKUP($E517,'5.1 Budget'!$A$4:$G$729,3,0)</f>
        <v>0</v>
      </c>
      <c r="R517" s="462">
        <f>VLOOKUP($E517,'5.1 Budget'!$A$4:$G$729,4,0)</f>
        <v>0</v>
      </c>
      <c r="S517" s="462">
        <f>VLOOKUP($E517,'5.1 Budget'!$A$4:$G$729,5,0)</f>
        <v>0</v>
      </c>
      <c r="T517" s="462">
        <f>VLOOKUP($E517,'5.1 Budget'!$A$4:$G$729,6,0)</f>
        <v>0</v>
      </c>
      <c r="U517" s="462">
        <f>VLOOKUP($E517,'5.1 Budget'!$A$4:$G$729,7,0)</f>
        <v>0</v>
      </c>
      <c r="V517" s="462">
        <f t="shared" si="9"/>
        <v>0</v>
      </c>
    </row>
    <row r="518" spans="1:22" x14ac:dyDescent="0.25">
      <c r="A518" s="465">
        <v>5</v>
      </c>
      <c r="B518" s="12" t="s">
        <v>165</v>
      </c>
      <c r="C518" s="12" t="s">
        <v>167</v>
      </c>
      <c r="D518" s="12" t="s">
        <v>94</v>
      </c>
      <c r="E518" s="12" t="s">
        <v>1052</v>
      </c>
      <c r="F518" s="469" t="str">
        <f>VLOOKUP(E518,'5. Consolidation'!$E$3:$F$715,2,0)</f>
        <v>Poursuivre la surveillance continue des niveaux permettant la sécurité de la navigation</v>
      </c>
      <c r="G518" s="12"/>
      <c r="H518" s="12"/>
      <c r="I518" s="12"/>
      <c r="J518" s="12"/>
      <c r="K518" s="12"/>
      <c r="L518" s="12"/>
      <c r="M518" s="12"/>
      <c r="N518" s="12"/>
      <c r="O518" s="12"/>
      <c r="P518" s="462">
        <f>VLOOKUP($E518,'5.1 Budget'!$A$4:$G$729,2,0)</f>
        <v>0</v>
      </c>
      <c r="Q518" s="462">
        <f>VLOOKUP($E518,'5.1 Budget'!$A$4:$G$729,3,0)</f>
        <v>0</v>
      </c>
      <c r="R518" s="462">
        <f>VLOOKUP($E518,'5.1 Budget'!$A$4:$G$729,4,0)</f>
        <v>0</v>
      </c>
      <c r="S518" s="462">
        <f>VLOOKUP($E518,'5.1 Budget'!$A$4:$G$729,5,0)</f>
        <v>0</v>
      </c>
      <c r="T518" s="462">
        <f>VLOOKUP($E518,'5.1 Budget'!$A$4:$G$729,6,0)</f>
        <v>0</v>
      </c>
      <c r="U518" s="462">
        <f>VLOOKUP($E518,'5.1 Budget'!$A$4:$G$729,7,0)</f>
        <v>0</v>
      </c>
      <c r="V518" s="462">
        <f t="shared" si="9"/>
        <v>0</v>
      </c>
    </row>
    <row r="519" spans="1:22" x14ac:dyDescent="0.25">
      <c r="A519" s="465">
        <v>5</v>
      </c>
      <c r="B519" s="12" t="s">
        <v>165</v>
      </c>
      <c r="C519" s="12" t="s">
        <v>167</v>
      </c>
      <c r="D519" s="12" t="s">
        <v>94</v>
      </c>
      <c r="E519" s="12" t="s">
        <v>1053</v>
      </c>
      <c r="F519" s="469" t="str">
        <f>VLOOKUP(E519,'5. Consolidation'!$E$3:$F$715,2,0)</f>
        <v>Entretenir les systèmes de pompage des écluses permettant de réguler le niveau d’eau</v>
      </c>
      <c r="G519" s="12"/>
      <c r="H519" s="12"/>
      <c r="I519" s="12"/>
      <c r="J519" s="12"/>
      <c r="K519" s="12"/>
      <c r="L519" s="12"/>
      <c r="M519" s="12"/>
      <c r="N519" s="12"/>
      <c r="O519" s="12"/>
      <c r="P519" s="462">
        <f>VLOOKUP($E519,'5.1 Budget'!$A$4:$G$729,2,0)</f>
        <v>0</v>
      </c>
      <c r="Q519" s="462">
        <f>VLOOKUP($E519,'5.1 Budget'!$A$4:$G$729,3,0)</f>
        <v>0</v>
      </c>
      <c r="R519" s="462">
        <f>VLOOKUP($E519,'5.1 Budget'!$A$4:$G$729,4,0)</f>
        <v>0</v>
      </c>
      <c r="S519" s="462">
        <f>VLOOKUP($E519,'5.1 Budget'!$A$4:$G$729,5,0)</f>
        <v>0</v>
      </c>
      <c r="T519" s="462">
        <f>VLOOKUP($E519,'5.1 Budget'!$A$4:$G$729,6,0)</f>
        <v>0</v>
      </c>
      <c r="U519" s="462">
        <f>VLOOKUP($E519,'5.1 Budget'!$A$4:$G$729,7,0)</f>
        <v>0</v>
      </c>
      <c r="V519" s="462">
        <f t="shared" si="9"/>
        <v>0</v>
      </c>
    </row>
    <row r="520" spans="1:22" ht="26.25" x14ac:dyDescent="0.25">
      <c r="A520" s="465">
        <v>5</v>
      </c>
      <c r="B520" s="12" t="s">
        <v>165</v>
      </c>
      <c r="C520" s="12" t="s">
        <v>167</v>
      </c>
      <c r="D520" s="12" t="s">
        <v>94</v>
      </c>
      <c r="E520" s="12" t="s">
        <v>1054</v>
      </c>
      <c r="F520" s="469" t="str">
        <f>VLOOKUP(E520,'5. Consolidation'!$E$3:$F$715,2,0)</f>
        <v>Mettre en oeuvre des mesures permettant de limiter la diminution du niveau d’eau dans les biefs (ex: activation des vannes, regroupement des bateaux lors des éclusages en période de sécheresse)</v>
      </c>
      <c r="G520" s="12"/>
      <c r="H520" s="12"/>
      <c r="I520" s="12"/>
      <c r="J520" s="12"/>
      <c r="K520" s="12"/>
      <c r="L520" s="12"/>
      <c r="M520" s="12"/>
      <c r="N520" s="12"/>
      <c r="O520" s="12"/>
      <c r="P520" s="462">
        <f>VLOOKUP($E520,'5.1 Budget'!$A$4:$G$729,2,0)</f>
        <v>0</v>
      </c>
      <c r="Q520" s="462">
        <f>VLOOKUP($E520,'5.1 Budget'!$A$4:$G$729,3,0)</f>
        <v>0</v>
      </c>
      <c r="R520" s="462">
        <f>VLOOKUP($E520,'5.1 Budget'!$A$4:$G$729,4,0)</f>
        <v>0</v>
      </c>
      <c r="S520" s="462">
        <f>VLOOKUP($E520,'5.1 Budget'!$A$4:$G$729,5,0)</f>
        <v>0</v>
      </c>
      <c r="T520" s="462">
        <f>VLOOKUP($E520,'5.1 Budget'!$A$4:$G$729,6,0)</f>
        <v>0</v>
      </c>
      <c r="U520" s="462">
        <f>VLOOKUP($E520,'5.1 Budget'!$A$4:$G$729,7,0)</f>
        <v>0</v>
      </c>
      <c r="V520" s="462">
        <f t="shared" si="9"/>
        <v>0</v>
      </c>
    </row>
    <row r="521" spans="1:22" x14ac:dyDescent="0.25">
      <c r="A521" s="465">
        <v>5</v>
      </c>
      <c r="B521" s="12" t="s">
        <v>165</v>
      </c>
      <c r="C521" s="12" t="s">
        <v>167</v>
      </c>
      <c r="D521" s="12" t="s">
        <v>94</v>
      </c>
      <c r="E521" s="12" t="s">
        <v>1055</v>
      </c>
      <c r="F521" s="469" t="str">
        <f>VLOOKUP(E521,'5. Consolidation'!$E$3:$F$715,2,0)</f>
        <v>Equiper le Canal de nouvelles sondes de pression raccordées au réseau Flowbru (Bassin Béco, Pont de Buda) = M.1.22</v>
      </c>
      <c r="G521" s="12"/>
      <c r="H521" s="12"/>
      <c r="I521" s="12"/>
      <c r="J521" s="12"/>
      <c r="K521" s="12"/>
      <c r="L521" s="12"/>
      <c r="M521" s="12"/>
      <c r="N521" s="459">
        <v>2022</v>
      </c>
      <c r="O521" s="12"/>
      <c r="P521" s="462">
        <f>VLOOKUP($E521,'5.1 Budget'!$A$4:$G$729,2,0)</f>
        <v>0</v>
      </c>
      <c r="Q521" s="462">
        <f>VLOOKUP($E521,'5.1 Budget'!$A$4:$G$729,3,0)</f>
        <v>0</v>
      </c>
      <c r="R521" s="462">
        <f>VLOOKUP($E521,'5.1 Budget'!$A$4:$G$729,4,0)</f>
        <v>0</v>
      </c>
      <c r="S521" s="462">
        <f>VLOOKUP($E521,'5.1 Budget'!$A$4:$G$729,5,0)</f>
        <v>0</v>
      </c>
      <c r="T521" s="462">
        <f>VLOOKUP($E521,'5.1 Budget'!$A$4:$G$729,6,0)</f>
        <v>0</v>
      </c>
      <c r="U521" s="462">
        <f>VLOOKUP($E521,'5.1 Budget'!$A$4:$G$729,7,0)</f>
        <v>0</v>
      </c>
      <c r="V521" s="462">
        <f t="shared" si="9"/>
        <v>0</v>
      </c>
    </row>
    <row r="522" spans="1:22" x14ac:dyDescent="0.25">
      <c r="A522" s="465">
        <v>5</v>
      </c>
      <c r="B522" s="12" t="s">
        <v>165</v>
      </c>
      <c r="C522" s="12" t="s">
        <v>167</v>
      </c>
      <c r="D522" s="12" t="s">
        <v>95</v>
      </c>
      <c r="E522" s="12" t="s">
        <v>1056</v>
      </c>
      <c r="F522" s="469" t="str">
        <f>VLOOKUP(E522,'5. Consolidation'!$E$3:$F$715,2,0)</f>
        <v>Tenir à jour l’inventaire annuel des prises d’eau et restitutions dans le Canal et effectuer une visite de contrôle annuelle</v>
      </c>
      <c r="G522" s="12"/>
      <c r="H522" s="12"/>
      <c r="I522" s="12"/>
      <c r="J522" s="12"/>
      <c r="K522" s="12"/>
      <c r="L522" s="12"/>
      <c r="M522" s="12"/>
      <c r="N522" s="12"/>
      <c r="O522" s="12"/>
      <c r="P522" s="462">
        <f>VLOOKUP($E522,'5.1 Budget'!$A$4:$G$729,2,0)</f>
        <v>0</v>
      </c>
      <c r="Q522" s="462">
        <f>VLOOKUP($E522,'5.1 Budget'!$A$4:$G$729,3,0)</f>
        <v>0</v>
      </c>
      <c r="R522" s="462">
        <f>VLOOKUP($E522,'5.1 Budget'!$A$4:$G$729,4,0)</f>
        <v>0</v>
      </c>
      <c r="S522" s="462">
        <f>VLOOKUP($E522,'5.1 Budget'!$A$4:$G$729,5,0)</f>
        <v>0</v>
      </c>
      <c r="T522" s="462">
        <f>VLOOKUP($E522,'5.1 Budget'!$A$4:$G$729,6,0)</f>
        <v>0</v>
      </c>
      <c r="U522" s="462">
        <f>VLOOKUP($E522,'5.1 Budget'!$A$4:$G$729,7,0)</f>
        <v>0</v>
      </c>
      <c r="V522" s="462">
        <f t="shared" si="9"/>
        <v>0</v>
      </c>
    </row>
    <row r="523" spans="1:22" ht="26.25" x14ac:dyDescent="0.25">
      <c r="A523" s="465">
        <v>5</v>
      </c>
      <c r="B523" s="12" t="s">
        <v>165</v>
      </c>
      <c r="C523" s="12" t="s">
        <v>167</v>
      </c>
      <c r="D523" s="12" t="s">
        <v>95</v>
      </c>
      <c r="E523" s="12" t="s">
        <v>1057</v>
      </c>
      <c r="F523" s="469" t="str">
        <f>VLOOKUP(E523,'5. Consolidation'!$E$3:$F$715,2,0)</f>
        <v>Equiper les prises d’eau dans le Canal de compteurs connectés permettant un suivi régulier des prélèvements et effectuer une visite de contrôle annuelle</v>
      </c>
      <c r="G523" s="12"/>
      <c r="H523" s="12"/>
      <c r="I523" s="12"/>
      <c r="J523" s="12"/>
      <c r="K523" s="12"/>
      <c r="L523" s="12"/>
      <c r="M523" s="12"/>
      <c r="N523" s="459">
        <v>2022</v>
      </c>
      <c r="O523" s="12"/>
      <c r="P523" s="462">
        <f>VLOOKUP($E523,'5.1 Budget'!$A$4:$G$729,2,0)</f>
        <v>3000</v>
      </c>
      <c r="Q523" s="462">
        <f>VLOOKUP($E523,'5.1 Budget'!$A$4:$G$729,3,0)</f>
        <v>0</v>
      </c>
      <c r="R523" s="462">
        <f>VLOOKUP($E523,'5.1 Budget'!$A$4:$G$729,4,0)</f>
        <v>0</v>
      </c>
      <c r="S523" s="462">
        <f>VLOOKUP($E523,'5.1 Budget'!$A$4:$G$729,5,0)</f>
        <v>0</v>
      </c>
      <c r="T523" s="462">
        <f>VLOOKUP($E523,'5.1 Budget'!$A$4:$G$729,6,0)</f>
        <v>0</v>
      </c>
      <c r="U523" s="462">
        <f>VLOOKUP($E523,'5.1 Budget'!$A$4:$G$729,7,0)</f>
        <v>0</v>
      </c>
      <c r="V523" s="462">
        <f t="shared" si="9"/>
        <v>3000</v>
      </c>
    </row>
    <row r="524" spans="1:22" x14ac:dyDescent="0.25">
      <c r="A524" s="465">
        <v>5</v>
      </c>
      <c r="B524" s="12" t="s">
        <v>165</v>
      </c>
      <c r="C524" s="12" t="s">
        <v>167</v>
      </c>
      <c r="D524" s="12" t="s">
        <v>95</v>
      </c>
      <c r="E524" s="12" t="s">
        <v>1058</v>
      </c>
      <c r="F524" s="469" t="str">
        <f>VLOOKUP(E524,'5. Consolidation'!$E$3:$F$715,2,0)</f>
        <v>Examiner les nouvelles demandes de prises d’eau dans le Canal</v>
      </c>
      <c r="G524" s="12"/>
      <c r="H524" s="12"/>
      <c r="I524" s="12"/>
      <c r="J524" s="12"/>
      <c r="K524" s="12"/>
      <c r="L524" s="12"/>
      <c r="M524" s="12"/>
      <c r="N524" s="12"/>
      <c r="O524" s="12"/>
      <c r="P524" s="462">
        <f>VLOOKUP($E524,'5.1 Budget'!$A$4:$G$729,2,0)</f>
        <v>0</v>
      </c>
      <c r="Q524" s="462">
        <f>VLOOKUP($E524,'5.1 Budget'!$A$4:$G$729,3,0)</f>
        <v>0</v>
      </c>
      <c r="R524" s="462">
        <f>VLOOKUP($E524,'5.1 Budget'!$A$4:$G$729,4,0)</f>
        <v>0</v>
      </c>
      <c r="S524" s="462">
        <f>VLOOKUP($E524,'5.1 Budget'!$A$4:$G$729,5,0)</f>
        <v>0</v>
      </c>
      <c r="T524" s="462">
        <f>VLOOKUP($E524,'5.1 Budget'!$A$4:$G$729,6,0)</f>
        <v>0</v>
      </c>
      <c r="U524" s="462">
        <f>VLOOKUP($E524,'5.1 Budget'!$A$4:$G$729,7,0)</f>
        <v>0</v>
      </c>
      <c r="V524" s="462">
        <f t="shared" si="9"/>
        <v>0</v>
      </c>
    </row>
    <row r="525" spans="1:22" ht="39" x14ac:dyDescent="0.25">
      <c r="A525" s="465">
        <v>5</v>
      </c>
      <c r="B525" s="12" t="s">
        <v>165</v>
      </c>
      <c r="C525" s="12" t="s">
        <v>167</v>
      </c>
      <c r="D525" s="12" t="s">
        <v>95</v>
      </c>
      <c r="E525" s="12" t="s">
        <v>1059</v>
      </c>
      <c r="F525" s="469" t="str">
        <f>VLOOKUP(E525,'5. Consolidation'!$E$3:$F$715,2,0)</f>
        <v>Adapter la politique de captage d’eau dans le Canal en cas d’augmentation notable de la demande en eau, ou de modification substantielle de son utilisation (en particulier : avec ou sans restitution) ou de ses conditions de rejet (notamment température)</v>
      </c>
      <c r="G525" s="12"/>
      <c r="H525" s="12"/>
      <c r="I525" s="12"/>
      <c r="J525" s="12"/>
      <c r="K525" s="12"/>
      <c r="L525" s="12"/>
      <c r="M525" s="12"/>
      <c r="N525" s="12"/>
      <c r="O525" s="12"/>
      <c r="P525" s="462">
        <f>VLOOKUP($E525,'5.1 Budget'!$A$4:$G$729,2,0)</f>
        <v>0</v>
      </c>
      <c r="Q525" s="462">
        <f>VLOOKUP($E525,'5.1 Budget'!$A$4:$G$729,3,0)</f>
        <v>0</v>
      </c>
      <c r="R525" s="462">
        <f>VLOOKUP($E525,'5.1 Budget'!$A$4:$G$729,4,0)</f>
        <v>0</v>
      </c>
      <c r="S525" s="462">
        <f>VLOOKUP($E525,'5.1 Budget'!$A$4:$G$729,5,0)</f>
        <v>0</v>
      </c>
      <c r="T525" s="462">
        <f>VLOOKUP($E525,'5.1 Budget'!$A$4:$G$729,6,0)</f>
        <v>0</v>
      </c>
      <c r="U525" s="462">
        <f>VLOOKUP($E525,'5.1 Budget'!$A$4:$G$729,7,0)</f>
        <v>0</v>
      </c>
      <c r="V525" s="462">
        <f t="shared" si="9"/>
        <v>0</v>
      </c>
    </row>
    <row r="526" spans="1:22" ht="26.25" x14ac:dyDescent="0.25">
      <c r="A526" s="465">
        <v>5</v>
      </c>
      <c r="B526" s="12" t="s">
        <v>165</v>
      </c>
      <c r="C526" s="12" t="s">
        <v>167</v>
      </c>
      <c r="D526" s="12" t="s">
        <v>95</v>
      </c>
      <c r="E526" s="12" t="s">
        <v>1060</v>
      </c>
      <c r="F526" s="469" t="str">
        <f>VLOOKUP(E526,'5. Consolidation'!$E$3:$F$715,2,0)</f>
        <v>Poursuivre l’imposition de conditions environnementales sur les rejets de prélèvements et restitution en fonction de l’usage de ceux-ci</v>
      </c>
      <c r="G526" s="12"/>
      <c r="H526" s="12"/>
      <c r="I526" s="12"/>
      <c r="J526" s="12"/>
      <c r="K526" s="12"/>
      <c r="L526" s="12"/>
      <c r="M526" s="12"/>
      <c r="N526" s="12"/>
      <c r="O526" s="12"/>
      <c r="P526" s="462">
        <f>VLOOKUP($E526,'5.1 Budget'!$A$4:$G$729,2,0)</f>
        <v>0</v>
      </c>
      <c r="Q526" s="462">
        <f>VLOOKUP($E526,'5.1 Budget'!$A$4:$G$729,3,0)</f>
        <v>0</v>
      </c>
      <c r="R526" s="462">
        <f>VLOOKUP($E526,'5.1 Budget'!$A$4:$G$729,4,0)</f>
        <v>0</v>
      </c>
      <c r="S526" s="462">
        <f>VLOOKUP($E526,'5.1 Budget'!$A$4:$G$729,5,0)</f>
        <v>0</v>
      </c>
      <c r="T526" s="462">
        <f>VLOOKUP($E526,'5.1 Budget'!$A$4:$G$729,6,0)</f>
        <v>0</v>
      </c>
      <c r="U526" s="462">
        <f>VLOOKUP($E526,'5.1 Budget'!$A$4:$G$729,7,0)</f>
        <v>0</v>
      </c>
      <c r="V526" s="462">
        <f t="shared" si="9"/>
        <v>0</v>
      </c>
    </row>
    <row r="527" spans="1:22" x14ac:dyDescent="0.25">
      <c r="A527" s="465">
        <v>5</v>
      </c>
      <c r="B527" s="12" t="s">
        <v>165</v>
      </c>
      <c r="C527" s="12" t="s">
        <v>167</v>
      </c>
      <c r="D527" s="12" t="s">
        <v>96</v>
      </c>
      <c r="E527" s="12" t="s">
        <v>1064</v>
      </c>
      <c r="F527" s="469" t="str">
        <f>VLOOKUP(E527,'5. Consolidation'!$E$3:$F$715,2,0)</f>
        <v>Mener des campagnes d’information sur le phénomène d’algues bleues</v>
      </c>
      <c r="G527" s="12"/>
      <c r="H527" s="12"/>
      <c r="I527" s="12"/>
      <c r="J527" s="12"/>
      <c r="K527" s="12"/>
      <c r="L527" s="12"/>
      <c r="M527" s="12"/>
      <c r="N527" s="12"/>
      <c r="O527" s="12"/>
      <c r="P527" s="462">
        <f>VLOOKUP($E527,'5.1 Budget'!$A$4:$G$729,2,0)</f>
        <v>0</v>
      </c>
      <c r="Q527" s="462">
        <f>VLOOKUP($E527,'5.1 Budget'!$A$4:$G$729,3,0)</f>
        <v>0</v>
      </c>
      <c r="R527" s="462">
        <f>VLOOKUP($E527,'5.1 Budget'!$A$4:$G$729,4,0)</f>
        <v>0</v>
      </c>
      <c r="S527" s="462">
        <f>VLOOKUP($E527,'5.1 Budget'!$A$4:$G$729,5,0)</f>
        <v>0</v>
      </c>
      <c r="T527" s="462">
        <f>VLOOKUP($E527,'5.1 Budget'!$A$4:$G$729,6,0)</f>
        <v>0</v>
      </c>
      <c r="U527" s="462">
        <f>VLOOKUP($E527,'5.1 Budget'!$A$4:$G$729,7,0)</f>
        <v>0</v>
      </c>
      <c r="V527" s="462">
        <f t="shared" si="9"/>
        <v>0</v>
      </c>
    </row>
    <row r="528" spans="1:22" ht="26.25" x14ac:dyDescent="0.25">
      <c r="A528" s="465">
        <v>5</v>
      </c>
      <c r="B528" s="12" t="s">
        <v>165</v>
      </c>
      <c r="C528" s="12" t="s">
        <v>167</v>
      </c>
      <c r="D528" s="12" t="s">
        <v>96</v>
      </c>
      <c r="E528" s="12" t="s">
        <v>1065</v>
      </c>
      <c r="F528" s="469" t="str">
        <f>VLOOKUP(E528,'5. Consolidation'!$E$3:$F$715,2,0)</f>
        <v>Prise de mesures ponctuelles au moyen de la sonde multiparamètres mobile et de tests immuno-enzymatiques ELISA quand cela s’avère pertinent (par ex : suspicion de bloom de cyanobactéries, surmortalité de poissons)</v>
      </c>
      <c r="G528" s="12"/>
      <c r="H528" s="12"/>
      <c r="I528" s="12"/>
      <c r="J528" s="12"/>
      <c r="K528" s="12"/>
      <c r="L528" s="12"/>
      <c r="M528" s="12"/>
      <c r="N528" s="459">
        <v>2022</v>
      </c>
      <c r="O528" s="12">
        <v>2027</v>
      </c>
      <c r="P528" s="462">
        <f>VLOOKUP($E528,'5.1 Budget'!$A$4:$G$729,2,0)</f>
        <v>2000</v>
      </c>
      <c r="Q528" s="462">
        <f>VLOOKUP($E528,'5.1 Budget'!$A$4:$G$729,3,0)</f>
        <v>2000</v>
      </c>
      <c r="R528" s="462">
        <f>VLOOKUP($E528,'5.1 Budget'!$A$4:$G$729,4,0)</f>
        <v>2000</v>
      </c>
      <c r="S528" s="462">
        <f>VLOOKUP($E528,'5.1 Budget'!$A$4:$G$729,5,0)</f>
        <v>2000</v>
      </c>
      <c r="T528" s="462">
        <f>VLOOKUP($E528,'5.1 Budget'!$A$4:$G$729,6,0)</f>
        <v>2000</v>
      </c>
      <c r="U528" s="462">
        <f>VLOOKUP($E528,'5.1 Budget'!$A$4:$G$729,7,0)</f>
        <v>2000</v>
      </c>
      <c r="V528" s="462">
        <f t="shared" si="9"/>
        <v>12000</v>
      </c>
    </row>
    <row r="529" spans="1:22" ht="64.5" x14ac:dyDescent="0.25">
      <c r="A529" s="465">
        <v>5</v>
      </c>
      <c r="B529" s="12" t="s">
        <v>165</v>
      </c>
      <c r="C529" s="12" t="s">
        <v>167</v>
      </c>
      <c r="D529" s="12" t="s">
        <v>96</v>
      </c>
      <c r="E529" s="12" t="s">
        <v>1066</v>
      </c>
      <c r="F529" s="469" t="str">
        <f>VLOOKUP(E529,'5. Consolidation'!$E$3:$F$715,2,0)</f>
        <v>Etudier les phénomènes de surmortalité de poissons  : analyse de données qualité de la (les) sonde(s) en continu FlowBru sur le Canal, analyse de données ponctuelles de la sonde qualité mobile et des tests immuno-enzymatiques ELISA récoltées dans le Canal, installation et analyse de données qualité des robots du projet Smart Water, et modélisation des blooms d’algues bleues, dans l’optique de comprendre les phénomènes à l’origine de la surmortalité des poissons de rechercher des solutions permettant d’en réduire les effets</v>
      </c>
      <c r="G529" s="12"/>
      <c r="H529" s="12"/>
      <c r="I529" s="12"/>
      <c r="J529" s="12"/>
      <c r="K529" s="12"/>
      <c r="L529" s="12"/>
      <c r="M529" s="12"/>
      <c r="N529" s="12"/>
      <c r="O529" s="12"/>
      <c r="P529" s="462">
        <f>VLOOKUP($E529,'5.1 Budget'!$A$4:$G$729,2,0)</f>
        <v>0</v>
      </c>
      <c r="Q529" s="462">
        <f>VLOOKUP($E529,'5.1 Budget'!$A$4:$G$729,3,0)</f>
        <v>0</v>
      </c>
      <c r="R529" s="462">
        <f>VLOOKUP($E529,'5.1 Budget'!$A$4:$G$729,4,0)</f>
        <v>0</v>
      </c>
      <c r="S529" s="462">
        <f>VLOOKUP($E529,'5.1 Budget'!$A$4:$G$729,5,0)</f>
        <v>0</v>
      </c>
      <c r="T529" s="462">
        <f>VLOOKUP($E529,'5.1 Budget'!$A$4:$G$729,6,0)</f>
        <v>0</v>
      </c>
      <c r="U529" s="462">
        <f>VLOOKUP($E529,'5.1 Budget'!$A$4:$G$729,7,0)</f>
        <v>0</v>
      </c>
      <c r="V529" s="462">
        <f t="shared" si="9"/>
        <v>0</v>
      </c>
    </row>
    <row r="530" spans="1:22" ht="39" x14ac:dyDescent="0.25">
      <c r="A530" s="465">
        <v>5</v>
      </c>
      <c r="B530" s="12" t="s">
        <v>165</v>
      </c>
      <c r="C530" s="12" t="s">
        <v>167</v>
      </c>
      <c r="D530" s="12" t="s">
        <v>96</v>
      </c>
      <c r="E530" s="12" t="s">
        <v>1067</v>
      </c>
      <c r="F530" s="469" t="str">
        <f>VLOOKUP(E530,'5. Consolidation'!$E$3:$F$715,2,0)</f>
        <v>Etudier la faisabilité de mettre en œuvre des actions ou d’installer des dispositifs sur le Canal permettant d’apporter de l’oxygène en période d’hypoxie (ou de risque d’hypoxie, comme lors de blooms d’algues bleues ou de sécheresse) (tels que, de façon non-exhaustive : renouvellement d’eau, aérateur, barrière à bulles, installation locale de radeaux végétalisés)</v>
      </c>
      <c r="G530" s="12"/>
      <c r="H530" s="12"/>
      <c r="I530" s="12"/>
      <c r="J530" s="12"/>
      <c r="K530" s="12"/>
      <c r="L530" s="12"/>
      <c r="M530" s="12"/>
      <c r="N530" s="12"/>
      <c r="O530" s="12"/>
      <c r="P530" s="462">
        <f>VLOOKUP($E530,'5.1 Budget'!$A$4:$G$729,2,0)</f>
        <v>0</v>
      </c>
      <c r="Q530" s="462">
        <f>VLOOKUP($E530,'5.1 Budget'!$A$4:$G$729,3,0)</f>
        <v>0</v>
      </c>
      <c r="R530" s="462">
        <f>VLOOKUP($E530,'5.1 Budget'!$A$4:$G$729,4,0)</f>
        <v>0</v>
      </c>
      <c r="S530" s="462">
        <f>VLOOKUP($E530,'5.1 Budget'!$A$4:$G$729,5,0)</f>
        <v>0</v>
      </c>
      <c r="T530" s="462">
        <f>VLOOKUP($E530,'5.1 Budget'!$A$4:$G$729,6,0)</f>
        <v>0</v>
      </c>
      <c r="U530" s="462">
        <f>VLOOKUP($E530,'5.1 Budget'!$A$4:$G$729,7,0)</f>
        <v>0</v>
      </c>
      <c r="V530" s="462">
        <f t="shared" si="9"/>
        <v>0</v>
      </c>
    </row>
    <row r="531" spans="1:22" ht="26.25" x14ac:dyDescent="0.25">
      <c r="A531" s="465">
        <v>5</v>
      </c>
      <c r="B531" s="12" t="s">
        <v>165</v>
      </c>
      <c r="C531" s="12" t="s">
        <v>167</v>
      </c>
      <c r="D531" s="12" t="s">
        <v>96</v>
      </c>
      <c r="E531" s="12" t="s">
        <v>1068</v>
      </c>
      <c r="F531" s="469" t="str">
        <f>VLOOKUP(E531,'5. Consolidation'!$E$3:$F$715,2,0)</f>
        <v>Étudier la possibilité d’ouvrir les écluses pour renouveler les eaux du Canal en cas de besoin (canicule/sécheresse/manque de passage de bateau/présence de blooms de cyanobactéries/eau très turbide/hypoxie/animaux en détresse ou morts)</v>
      </c>
      <c r="G531" s="12"/>
      <c r="H531" s="12"/>
      <c r="I531" s="12"/>
      <c r="J531" s="12"/>
      <c r="K531" s="12"/>
      <c r="L531" s="12"/>
      <c r="M531" s="12"/>
      <c r="N531" s="12"/>
      <c r="O531" s="12"/>
      <c r="P531" s="462">
        <f>VLOOKUP($E531,'5.1 Budget'!$A$4:$G$729,2,0)</f>
        <v>0</v>
      </c>
      <c r="Q531" s="462">
        <f>VLOOKUP($E531,'5.1 Budget'!$A$4:$G$729,3,0)</f>
        <v>0</v>
      </c>
      <c r="R531" s="462">
        <f>VLOOKUP($E531,'5.1 Budget'!$A$4:$G$729,4,0)</f>
        <v>0</v>
      </c>
      <c r="S531" s="462">
        <f>VLOOKUP($E531,'5.1 Budget'!$A$4:$G$729,5,0)</f>
        <v>0</v>
      </c>
      <c r="T531" s="462">
        <f>VLOOKUP($E531,'5.1 Budget'!$A$4:$G$729,6,0)</f>
        <v>0</v>
      </c>
      <c r="U531" s="462">
        <f>VLOOKUP($E531,'5.1 Budget'!$A$4:$G$729,7,0)</f>
        <v>0</v>
      </c>
      <c r="V531" s="462">
        <f t="shared" si="9"/>
        <v>0</v>
      </c>
    </row>
    <row r="532" spans="1:22" x14ac:dyDescent="0.25">
      <c r="A532" s="465">
        <v>5</v>
      </c>
      <c r="B532" s="12" t="s">
        <v>165</v>
      </c>
      <c r="C532" s="12" t="s">
        <v>167</v>
      </c>
      <c r="D532" s="12" t="s">
        <v>97</v>
      </c>
      <c r="E532" s="12" t="s">
        <v>1069</v>
      </c>
      <c r="F532" s="469" t="str">
        <f>VLOOKUP(E532,'5. Consolidation'!$E$3:$F$715,2,0)</f>
        <v>Revoir le choix des végétaux à mettre en place dans les espaces verts bruxellois</v>
      </c>
      <c r="G532" s="12"/>
      <c r="H532" s="12"/>
      <c r="I532" s="12"/>
      <c r="J532" s="12"/>
      <c r="K532" s="12"/>
      <c r="L532" s="12"/>
      <c r="M532" s="12"/>
      <c r="N532" s="12"/>
      <c r="O532" s="12"/>
      <c r="P532" s="462">
        <f>VLOOKUP($E532,'5.1 Budget'!$A$4:$G$729,2,0)</f>
        <v>0</v>
      </c>
      <c r="Q532" s="462">
        <f>VLOOKUP($E532,'5.1 Budget'!$A$4:$G$729,3,0)</f>
        <v>0</v>
      </c>
      <c r="R532" s="462">
        <f>VLOOKUP($E532,'5.1 Budget'!$A$4:$G$729,4,0)</f>
        <v>0</v>
      </c>
      <c r="S532" s="462">
        <f>VLOOKUP($E532,'5.1 Budget'!$A$4:$G$729,5,0)</f>
        <v>0</v>
      </c>
      <c r="T532" s="462">
        <f>VLOOKUP($E532,'5.1 Budget'!$A$4:$G$729,6,0)</f>
        <v>0</v>
      </c>
      <c r="U532" s="462">
        <f>VLOOKUP($E532,'5.1 Budget'!$A$4:$G$729,7,0)</f>
        <v>0</v>
      </c>
      <c r="V532" s="462">
        <f t="shared" si="9"/>
        <v>0</v>
      </c>
    </row>
    <row r="533" spans="1:22" x14ac:dyDescent="0.25">
      <c r="A533" s="465">
        <v>5</v>
      </c>
      <c r="B533" s="12" t="s">
        <v>165</v>
      </c>
      <c r="C533" s="12" t="s">
        <v>167</v>
      </c>
      <c r="D533" s="12" t="s">
        <v>97</v>
      </c>
      <c r="E533" s="12" t="s">
        <v>1070</v>
      </c>
      <c r="F533" s="469" t="str">
        <f>VLOOKUP(E533,'5. Consolidation'!$E$3:$F$715,2,0)</f>
        <v>Concevoir les espaces verts et apporter les aménagements nécessaires à une gestion plus rationnelle de l’eau</v>
      </c>
      <c r="G533" s="12"/>
      <c r="H533" s="12"/>
      <c r="I533" s="12"/>
      <c r="J533" s="12"/>
      <c r="K533" s="12"/>
      <c r="L533" s="12"/>
      <c r="M533" s="12"/>
      <c r="N533" s="12"/>
      <c r="O533" s="12"/>
      <c r="P533" s="462">
        <f>VLOOKUP($E533,'5.1 Budget'!$A$4:$G$729,2,0)</f>
        <v>0</v>
      </c>
      <c r="Q533" s="462">
        <f>VLOOKUP($E533,'5.1 Budget'!$A$4:$G$729,3,0)</f>
        <v>0</v>
      </c>
      <c r="R533" s="462">
        <f>VLOOKUP($E533,'5.1 Budget'!$A$4:$G$729,4,0)</f>
        <v>0</v>
      </c>
      <c r="S533" s="462">
        <f>VLOOKUP($E533,'5.1 Budget'!$A$4:$G$729,5,0)</f>
        <v>0</v>
      </c>
      <c r="T533" s="462">
        <f>VLOOKUP($E533,'5.1 Budget'!$A$4:$G$729,6,0)</f>
        <v>0</v>
      </c>
      <c r="U533" s="462">
        <f>VLOOKUP($E533,'5.1 Budget'!$A$4:$G$729,7,0)</f>
        <v>0</v>
      </c>
      <c r="V533" s="462">
        <f t="shared" si="9"/>
        <v>0</v>
      </c>
    </row>
    <row r="534" spans="1:22" x14ac:dyDescent="0.25">
      <c r="A534" s="465">
        <v>5</v>
      </c>
      <c r="B534" s="12" t="s">
        <v>165</v>
      </c>
      <c r="C534" s="12" t="s">
        <v>167</v>
      </c>
      <c r="D534" s="12" t="s">
        <v>97</v>
      </c>
      <c r="E534" s="12" t="s">
        <v>1072</v>
      </c>
      <c r="F534" s="469" t="str">
        <f>VLOOKUP(E534,'5. Consolidation'!$E$3:$F$715,2,0)</f>
        <v>Prendre les mesures visant à diminuer le recours à l’eau potable en favorisant l’eau pluviale et en limitant les besoins en eau</v>
      </c>
      <c r="G534" s="12"/>
      <c r="H534" s="12"/>
      <c r="I534" s="12"/>
      <c r="J534" s="12"/>
      <c r="K534" s="12"/>
      <c r="L534" s="12"/>
      <c r="M534" s="12"/>
      <c r="N534" s="12"/>
      <c r="O534" s="12"/>
      <c r="P534" s="462">
        <f>VLOOKUP($E534,'5.1 Budget'!$A$4:$G$729,2,0)</f>
        <v>0</v>
      </c>
      <c r="Q534" s="462">
        <f>VLOOKUP($E534,'5.1 Budget'!$A$4:$G$729,3,0)</f>
        <v>0</v>
      </c>
      <c r="R534" s="462">
        <f>VLOOKUP($E534,'5.1 Budget'!$A$4:$G$729,4,0)</f>
        <v>0</v>
      </c>
      <c r="S534" s="462">
        <f>VLOOKUP($E534,'5.1 Budget'!$A$4:$G$729,5,0)</f>
        <v>0</v>
      </c>
      <c r="T534" s="462">
        <f>VLOOKUP($E534,'5.1 Budget'!$A$4:$G$729,6,0)</f>
        <v>0</v>
      </c>
      <c r="U534" s="462">
        <f>VLOOKUP($E534,'5.1 Budget'!$A$4:$G$729,7,0)</f>
        <v>0</v>
      </c>
      <c r="V534" s="462">
        <f t="shared" si="9"/>
        <v>0</v>
      </c>
    </row>
    <row r="535" spans="1:22" x14ac:dyDescent="0.25">
      <c r="A535" s="465">
        <v>5</v>
      </c>
      <c r="B535" s="12" t="s">
        <v>165</v>
      </c>
      <c r="C535" s="12" t="s">
        <v>167</v>
      </c>
      <c r="D535" s="12" t="s">
        <v>97</v>
      </c>
      <c r="E535" s="12" t="s">
        <v>1071</v>
      </c>
      <c r="F535" s="469" t="str">
        <f>VLOOKUP(E535,'5. Consolidation'!$E$3:$F$715,2,0)</f>
        <v>Communication et sensibilisation à cette gestion raisonnée des espaces verts via un référentiel de gestion écologique</v>
      </c>
      <c r="G535" s="12"/>
      <c r="H535" s="12"/>
      <c r="I535" s="12"/>
      <c r="J535" s="12"/>
      <c r="K535" s="12"/>
      <c r="L535" s="12"/>
      <c r="M535" s="12"/>
      <c r="N535" s="12"/>
      <c r="O535" s="12"/>
      <c r="P535" s="462">
        <f>VLOOKUP($E535,'5.1 Budget'!$A$4:$G$729,2,0)</f>
        <v>0</v>
      </c>
      <c r="Q535" s="462">
        <f>VLOOKUP($E535,'5.1 Budget'!$A$4:$G$729,3,0)</f>
        <v>0</v>
      </c>
      <c r="R535" s="462">
        <f>VLOOKUP($E535,'5.1 Budget'!$A$4:$G$729,4,0)</f>
        <v>0</v>
      </c>
      <c r="S535" s="462">
        <f>VLOOKUP($E535,'5.1 Budget'!$A$4:$G$729,5,0)</f>
        <v>0</v>
      </c>
      <c r="T535" s="462">
        <f>VLOOKUP($E535,'5.1 Budget'!$A$4:$G$729,6,0)</f>
        <v>0</v>
      </c>
      <c r="U535" s="462">
        <f>VLOOKUP($E535,'5.1 Budget'!$A$4:$G$729,7,0)</f>
        <v>0</v>
      </c>
      <c r="V535" s="462">
        <f t="shared" si="9"/>
        <v>0</v>
      </c>
    </row>
    <row r="536" spans="1:22" ht="39" x14ac:dyDescent="0.25">
      <c r="A536" s="465">
        <v>5</v>
      </c>
      <c r="B536" s="12" t="s">
        <v>165</v>
      </c>
      <c r="C536" s="12" t="s">
        <v>167</v>
      </c>
      <c r="D536" s="12" t="s">
        <v>98</v>
      </c>
      <c r="E536" s="12" t="s">
        <v>1073</v>
      </c>
      <c r="F536" s="469" t="str">
        <f>VLOOKUP(E536,'5. Consolidation'!$E$3:$F$715,2,0)</f>
        <v>Tous publics :
Accompagner les différentes catégories de public par le développement d’outils techniques notamment pour estimer les besoins en eaux (calculateur) et pour identifier les solutions à mettre en place au cas par cas.</v>
      </c>
      <c r="G536" s="12"/>
      <c r="H536" s="12"/>
      <c r="I536" s="12"/>
      <c r="J536" s="12"/>
      <c r="K536" s="12"/>
      <c r="L536" s="12"/>
      <c r="M536" s="12"/>
      <c r="N536" s="12"/>
      <c r="O536" s="12"/>
      <c r="P536" s="462">
        <f>VLOOKUP($E536,'5.1 Budget'!$A$4:$G$729,2,0)</f>
        <v>0</v>
      </c>
      <c r="Q536" s="462">
        <f>VLOOKUP($E536,'5.1 Budget'!$A$4:$G$729,3,0)</f>
        <v>0</v>
      </c>
      <c r="R536" s="462">
        <f>VLOOKUP($E536,'5.1 Budget'!$A$4:$G$729,4,0)</f>
        <v>0</v>
      </c>
      <c r="S536" s="462">
        <f>VLOOKUP($E536,'5.1 Budget'!$A$4:$G$729,5,0)</f>
        <v>0</v>
      </c>
      <c r="T536" s="462">
        <f>VLOOKUP($E536,'5.1 Budget'!$A$4:$G$729,6,0)</f>
        <v>0</v>
      </c>
      <c r="U536" s="462">
        <f>VLOOKUP($E536,'5.1 Budget'!$A$4:$G$729,7,0)</f>
        <v>0</v>
      </c>
      <c r="V536" s="462">
        <f t="shared" si="9"/>
        <v>0</v>
      </c>
    </row>
    <row r="537" spans="1:22" ht="102.75" x14ac:dyDescent="0.25">
      <c r="A537" s="465">
        <v>5</v>
      </c>
      <c r="B537" s="12" t="s">
        <v>165</v>
      </c>
      <c r="C537" s="12" t="s">
        <v>167</v>
      </c>
      <c r="D537" s="12" t="s">
        <v>98</v>
      </c>
      <c r="E537" s="12" t="s">
        <v>1074</v>
      </c>
      <c r="F537" s="469" t="str">
        <f>VLOOKUP(E537,'5. Consolidation'!$E$3:$F$715,2,0)</f>
        <v>Maraîchers/cultures Professionnels
- Mise en place d’un soutien dédicacé pour une transition vers des pratiques plus exemplaires en s’appuyant sur les structures existantes (primes à la récupération, pour la réalisation d’audits…);
- Prise en  compte de la question de la gestion de l’eau lors de l’attribution de subsides (ex. appel à projets en agriculture durable, économie et emploi)  et lors de l’acquisition de foncier ou création infrastructures (conditionnalités de certaines aides à étudier)
Ces actions s’établissent en coordination avec la Stratégie Good Food vers un système alimentaire durable en Région de Bruxelles-Capitale</v>
      </c>
      <c r="G537" s="12"/>
      <c r="H537" s="12"/>
      <c r="I537" s="12"/>
      <c r="J537" s="12"/>
      <c r="K537" s="12"/>
      <c r="L537" s="12"/>
      <c r="M537" s="12"/>
      <c r="N537" s="459">
        <v>2023</v>
      </c>
      <c r="O537" s="12"/>
      <c r="P537" s="462">
        <f>VLOOKUP($E537,'5.1 Budget'!$A$4:$G$729,2,0)</f>
        <v>0</v>
      </c>
      <c r="Q537" s="462">
        <f>VLOOKUP($E537,'5.1 Budget'!$A$4:$G$729,3,0)</f>
        <v>100000</v>
      </c>
      <c r="R537" s="462">
        <f>VLOOKUP($E537,'5.1 Budget'!$A$4:$G$729,4,0)</f>
        <v>100000</v>
      </c>
      <c r="S537" s="462">
        <f>VLOOKUP($E537,'5.1 Budget'!$A$4:$G$729,5,0)</f>
        <v>100000</v>
      </c>
      <c r="T537" s="462">
        <f>VLOOKUP($E537,'5.1 Budget'!$A$4:$G$729,6,0)</f>
        <v>0</v>
      </c>
      <c r="U537" s="462">
        <f>VLOOKUP($E537,'5.1 Budget'!$A$4:$G$729,7,0)</f>
        <v>0</v>
      </c>
      <c r="V537" s="462">
        <f t="shared" si="9"/>
        <v>300000</v>
      </c>
    </row>
    <row r="538" spans="1:22" ht="115.5" x14ac:dyDescent="0.25">
      <c r="A538" s="465">
        <v>5</v>
      </c>
      <c r="B538" s="12" t="s">
        <v>165</v>
      </c>
      <c r="C538" s="12" t="s">
        <v>167</v>
      </c>
      <c r="D538" s="12" t="s">
        <v>98</v>
      </c>
      <c r="E538" s="12" t="s">
        <v>1075</v>
      </c>
      <c r="F538" s="469" t="str">
        <f>VLOOKUP(E538,'5. Consolidation'!$E$3:$F$715,2,0)</f>
        <v>Potagers collectifs :
encourager le placement et le raccordement des citernes de récupération d’eau de pluie et pratiques agricoles économes en eaux par de de l’accompagnement via :
a)     via formations (voir M 5.4), et développement de contenus didactiques ;
b)     l’adoption et révision des Chartes et pratiques associées, notamment en incitant à une mise en commun des ressources (citerne enterrée de récupération de grande capacité, mise en place d’un référent Eau, constitution de stocks communs en hiver sur une parcelle,…) ;
c)) Soutien à la mise en place de projets exemplaires via appel à projet Inspirons le quartier (projets collectifs citoyens) ou Actions Climat (projets communaux) – voir M.8.5</v>
      </c>
      <c r="G538" s="12"/>
      <c r="H538" s="12"/>
      <c r="I538" s="12"/>
      <c r="J538" s="12"/>
      <c r="K538" s="12"/>
      <c r="L538" s="12"/>
      <c r="M538" s="12"/>
      <c r="N538" s="12"/>
      <c r="O538" s="12"/>
      <c r="P538" s="462">
        <f>VLOOKUP($E538,'5.1 Budget'!$A$4:$G$729,2,0)</f>
        <v>0</v>
      </c>
      <c r="Q538" s="462">
        <f>VLOOKUP($E538,'5.1 Budget'!$A$4:$G$729,3,0)</f>
        <v>0</v>
      </c>
      <c r="R538" s="462">
        <f>VLOOKUP($E538,'5.1 Budget'!$A$4:$G$729,4,0)</f>
        <v>0</v>
      </c>
      <c r="S538" s="462">
        <f>VLOOKUP($E538,'5.1 Budget'!$A$4:$G$729,5,0)</f>
        <v>0</v>
      </c>
      <c r="T538" s="462">
        <f>VLOOKUP($E538,'5.1 Budget'!$A$4:$G$729,6,0)</f>
        <v>0</v>
      </c>
      <c r="U538" s="462">
        <f>VLOOKUP($E538,'5.1 Budget'!$A$4:$G$729,7,0)</f>
        <v>0</v>
      </c>
      <c r="V538" s="462">
        <f t="shared" si="9"/>
        <v>0</v>
      </c>
    </row>
    <row r="539" spans="1:22" ht="39" x14ac:dyDescent="0.25">
      <c r="A539" s="465">
        <v>5</v>
      </c>
      <c r="B539" s="12" t="s">
        <v>165</v>
      </c>
      <c r="C539" s="12" t="s">
        <v>167</v>
      </c>
      <c r="D539" s="12" t="s">
        <v>98</v>
      </c>
      <c r="E539" s="12" t="s">
        <v>1076</v>
      </c>
      <c r="F539" s="469" t="str">
        <f>VLOOKUP(E539,'5. Consolidation'!$E$3:$F$715,2,0)</f>
        <v>Dans les potagers sous gestion de Bruxelles Environnement, étudier au regard des contraintes éventuelles (enjeux paysagers,…) des alternatives (techniques ou de mise en œuvre) à l’utilisation d’eau potable (bornes fontaines) pour l’irrigation</v>
      </c>
      <c r="G539" s="12"/>
      <c r="H539" s="12"/>
      <c r="I539" s="12"/>
      <c r="J539" s="12"/>
      <c r="K539" s="12"/>
      <c r="L539" s="12"/>
      <c r="M539" s="12"/>
      <c r="N539" s="459">
        <v>2024</v>
      </c>
      <c r="O539" s="12"/>
      <c r="P539" s="462">
        <f>VLOOKUP($E539,'5.1 Budget'!$A$4:$G$729,2,0)</f>
        <v>0</v>
      </c>
      <c r="Q539" s="462">
        <f>VLOOKUP($E539,'5.1 Budget'!$A$4:$G$729,3,0)</f>
        <v>0</v>
      </c>
      <c r="R539" s="462">
        <f>VLOOKUP($E539,'5.1 Budget'!$A$4:$G$729,4,0)</f>
        <v>70000</v>
      </c>
      <c r="S539" s="462">
        <f>VLOOKUP($E539,'5.1 Budget'!$A$4:$G$729,5,0)</f>
        <v>0</v>
      </c>
      <c r="T539" s="462">
        <f>VLOOKUP($E539,'5.1 Budget'!$A$4:$G$729,6,0)</f>
        <v>0</v>
      </c>
      <c r="U539" s="462">
        <f>VLOOKUP($E539,'5.1 Budget'!$A$4:$G$729,7,0)</f>
        <v>0</v>
      </c>
      <c r="V539" s="462">
        <f t="shared" si="9"/>
        <v>70000</v>
      </c>
    </row>
    <row r="540" spans="1:22" ht="26.25" x14ac:dyDescent="0.25">
      <c r="A540" s="465">
        <v>5</v>
      </c>
      <c r="B540" s="12" t="s">
        <v>165</v>
      </c>
      <c r="C540" s="12" t="s">
        <v>167</v>
      </c>
      <c r="D540" s="12" t="s">
        <v>98</v>
      </c>
      <c r="E540" s="12" t="s">
        <v>1077</v>
      </c>
      <c r="F540" s="469" t="str">
        <f>VLOOKUP(E540,'5. Consolidation'!$E$3:$F$715,2,0)</f>
        <v>Lors de projet d’urbanisation ou de revitalisation urbaine, analyser systématiquement la possibilité de répondre aux besoins en eau de l’agriculture urbaine à proximité via la récupération d’eaux de toitures (convention pour alimenter les potagers)</v>
      </c>
      <c r="G540" s="12"/>
      <c r="H540" s="12"/>
      <c r="I540" s="12"/>
      <c r="J540" s="12"/>
      <c r="K540" s="12"/>
      <c r="L540" s="12"/>
      <c r="M540" s="12"/>
      <c r="N540" s="12"/>
      <c r="O540" s="12"/>
      <c r="P540" s="462">
        <f>VLOOKUP($E540,'5.1 Budget'!$A$4:$G$729,2,0)</f>
        <v>0</v>
      </c>
      <c r="Q540" s="462">
        <f>VLOOKUP($E540,'5.1 Budget'!$A$4:$G$729,3,0)</f>
        <v>0</v>
      </c>
      <c r="R540" s="462">
        <f>VLOOKUP($E540,'5.1 Budget'!$A$4:$G$729,4,0)</f>
        <v>0</v>
      </c>
      <c r="S540" s="462">
        <f>VLOOKUP($E540,'5.1 Budget'!$A$4:$G$729,5,0)</f>
        <v>0</v>
      </c>
      <c r="T540" s="462">
        <f>VLOOKUP($E540,'5.1 Budget'!$A$4:$G$729,6,0)</f>
        <v>0</v>
      </c>
      <c r="U540" s="462">
        <f>VLOOKUP($E540,'5.1 Budget'!$A$4:$G$729,7,0)</f>
        <v>0</v>
      </c>
      <c r="V540" s="462">
        <f t="shared" si="9"/>
        <v>0</v>
      </c>
    </row>
    <row r="541" spans="1:22" ht="51.75" x14ac:dyDescent="0.25">
      <c r="A541" s="465">
        <v>5</v>
      </c>
      <c r="B541" s="12" t="s">
        <v>165</v>
      </c>
      <c r="C541" s="12" t="s">
        <v>167</v>
      </c>
      <c r="D541" s="12" t="s">
        <v>98</v>
      </c>
      <c r="E541" s="12" t="s">
        <v>1078</v>
      </c>
      <c r="F541" s="469" t="str">
        <f>VLOOKUP(E541,'5. Consolidation'!$E$3:$F$715,2,0)</f>
        <v>Tous publics :
Développer des lignes directrices permettant d’assurer l’équilibre entre enjeux socio-économiques (continuité d’approvisionnement en eau) et environnementaux (préservation de la ressource) en se basant sur quelques cas d’étude (10 aine)</v>
      </c>
      <c r="G541" s="12"/>
      <c r="H541" s="12"/>
      <c r="I541" s="12"/>
      <c r="J541" s="12"/>
      <c r="K541" s="12"/>
      <c r="L541" s="12"/>
      <c r="M541" s="12"/>
      <c r="N541" s="12"/>
      <c r="O541" s="12"/>
      <c r="P541" s="462">
        <f>VLOOKUP($E541,'5.1 Budget'!$A$4:$G$729,2,0)</f>
        <v>0</v>
      </c>
      <c r="Q541" s="462">
        <f>VLOOKUP($E541,'5.1 Budget'!$A$4:$G$729,3,0)</f>
        <v>0</v>
      </c>
      <c r="R541" s="462">
        <f>VLOOKUP($E541,'5.1 Budget'!$A$4:$G$729,4,0)</f>
        <v>0</v>
      </c>
      <c r="S541" s="462">
        <f>VLOOKUP($E541,'5.1 Budget'!$A$4:$G$729,5,0)</f>
        <v>0</v>
      </c>
      <c r="T541" s="462">
        <f>VLOOKUP($E541,'5.1 Budget'!$A$4:$G$729,6,0)</f>
        <v>0</v>
      </c>
      <c r="U541" s="462">
        <f>VLOOKUP($E541,'5.1 Budget'!$A$4:$G$729,7,0)</f>
        <v>0</v>
      </c>
      <c r="V541" s="462">
        <f t="shared" si="9"/>
        <v>0</v>
      </c>
    </row>
    <row r="542" spans="1:22" ht="51.75" x14ac:dyDescent="0.25">
      <c r="A542" s="465">
        <v>5</v>
      </c>
      <c r="B542" s="12" t="s">
        <v>165</v>
      </c>
      <c r="C542" s="12" t="s">
        <v>167</v>
      </c>
      <c r="D542" s="12" t="s">
        <v>98</v>
      </c>
      <c r="E542" s="12" t="s">
        <v>1079</v>
      </c>
      <c r="F542" s="469" t="str">
        <f>VLOOKUP(E542,'5. Consolidation'!$E$3:$F$715,2,0)</f>
        <v>Tous publics :
Etudier le coût-bénéfice d’alternatives à l’eau potable aux regards notamment des aspects sanitaires et traitements possibles (eaux grises, eaux d’exhaure, …) et intégrer le cas échéant aux lignes directrices, en coordination avec les instances fédérales (Afsca,…)</v>
      </c>
      <c r="G542" s="12"/>
      <c r="H542" s="12"/>
      <c r="I542" s="12"/>
      <c r="J542" s="12"/>
      <c r="K542" s="12"/>
      <c r="L542" s="12"/>
      <c r="M542" s="12"/>
      <c r="N542" s="459">
        <v>2024</v>
      </c>
      <c r="O542" s="12"/>
      <c r="P542" s="462">
        <f>VLOOKUP($E542,'5.1 Budget'!$A$4:$G$729,2,0)</f>
        <v>0</v>
      </c>
      <c r="Q542" s="462">
        <f>VLOOKUP($E542,'5.1 Budget'!$A$4:$G$729,3,0)</f>
        <v>0</v>
      </c>
      <c r="R542" s="462">
        <f>VLOOKUP($E542,'5.1 Budget'!$A$4:$G$729,4,0)</f>
        <v>29000</v>
      </c>
      <c r="S542" s="462">
        <f>VLOOKUP($E542,'5.1 Budget'!$A$4:$G$729,5,0)</f>
        <v>31000</v>
      </c>
      <c r="T542" s="462">
        <f>VLOOKUP($E542,'5.1 Budget'!$A$4:$G$729,6,0)</f>
        <v>0</v>
      </c>
      <c r="U542" s="462">
        <f>VLOOKUP($E542,'5.1 Budget'!$A$4:$G$729,7,0)</f>
        <v>0</v>
      </c>
      <c r="V542" s="462">
        <f t="shared" si="9"/>
        <v>60000</v>
      </c>
    </row>
    <row r="543" spans="1:22" ht="26.25" x14ac:dyDescent="0.25">
      <c r="A543" s="465">
        <v>5</v>
      </c>
      <c r="B543" s="12" t="s">
        <v>168</v>
      </c>
      <c r="C543" s="12" t="s">
        <v>155</v>
      </c>
      <c r="D543" s="12" t="s">
        <v>99</v>
      </c>
      <c r="E543" s="12" t="s">
        <v>1080</v>
      </c>
      <c r="F543" s="469" t="str">
        <f>VLOOKUP(E543,'5. Consolidation'!$E$3:$F$715,2,0)</f>
        <v>Mise en place formelle et officielle de la cellule « sécheresse », groupe de travail initialement mis en place pour l’élaboration de ces mesures, en identifiant et attribuant les rôles à chaque intervenant.</v>
      </c>
      <c r="G543" s="12"/>
      <c r="H543" s="12"/>
      <c r="I543" s="12"/>
      <c r="J543" s="12"/>
      <c r="K543" s="12"/>
      <c r="L543" s="12"/>
      <c r="M543" s="12"/>
      <c r="N543" s="12"/>
      <c r="O543" s="12"/>
      <c r="P543" s="462">
        <f>VLOOKUP($E543,'5.1 Budget'!$A$4:$G$729,2,0)</f>
        <v>0</v>
      </c>
      <c r="Q543" s="462">
        <f>VLOOKUP($E543,'5.1 Budget'!$A$4:$G$729,3,0)</f>
        <v>0</v>
      </c>
      <c r="R543" s="462">
        <f>VLOOKUP($E543,'5.1 Budget'!$A$4:$G$729,4,0)</f>
        <v>0</v>
      </c>
      <c r="S543" s="462">
        <f>VLOOKUP($E543,'5.1 Budget'!$A$4:$G$729,5,0)</f>
        <v>0</v>
      </c>
      <c r="T543" s="462">
        <f>VLOOKUP($E543,'5.1 Budget'!$A$4:$G$729,6,0)</f>
        <v>0</v>
      </c>
      <c r="U543" s="462">
        <f>VLOOKUP($E543,'5.1 Budget'!$A$4:$G$729,7,0)</f>
        <v>0</v>
      </c>
      <c r="V543" s="462">
        <f t="shared" si="9"/>
        <v>0</v>
      </c>
    </row>
    <row r="544" spans="1:22" x14ac:dyDescent="0.25">
      <c r="A544" s="465">
        <v>5</v>
      </c>
      <c r="B544" s="12" t="s">
        <v>168</v>
      </c>
      <c r="C544" s="12" t="s">
        <v>155</v>
      </c>
      <c r="D544" s="12" t="s">
        <v>99</v>
      </c>
      <c r="E544" s="12" t="s">
        <v>1081</v>
      </c>
      <c r="F544" s="469" t="str">
        <f>VLOOKUP(E544,'5. Consolidation'!$E$3:$F$715,2,0)</f>
        <v>Assurer une communication cohérente à travers cette cellule « sécheresse »</v>
      </c>
      <c r="G544" s="12"/>
      <c r="H544" s="12"/>
      <c r="I544" s="12"/>
      <c r="J544" s="12"/>
      <c r="K544" s="12"/>
      <c r="L544" s="12"/>
      <c r="M544" s="12"/>
      <c r="N544" s="12"/>
      <c r="O544" s="12"/>
      <c r="P544" s="462">
        <f>VLOOKUP($E544,'5.1 Budget'!$A$4:$G$729,2,0)</f>
        <v>0</v>
      </c>
      <c r="Q544" s="462">
        <f>VLOOKUP($E544,'5.1 Budget'!$A$4:$G$729,3,0)</f>
        <v>0</v>
      </c>
      <c r="R544" s="462">
        <f>VLOOKUP($E544,'5.1 Budget'!$A$4:$G$729,4,0)</f>
        <v>0</v>
      </c>
      <c r="S544" s="462">
        <f>VLOOKUP($E544,'5.1 Budget'!$A$4:$G$729,5,0)</f>
        <v>0</v>
      </c>
      <c r="T544" s="462">
        <f>VLOOKUP($E544,'5.1 Budget'!$A$4:$G$729,6,0)</f>
        <v>0</v>
      </c>
      <c r="U544" s="462">
        <f>VLOOKUP($E544,'5.1 Budget'!$A$4:$G$729,7,0)</f>
        <v>0</v>
      </c>
      <c r="V544" s="462">
        <f t="shared" si="9"/>
        <v>0</v>
      </c>
    </row>
    <row r="545" spans="1:22" ht="39" x14ac:dyDescent="0.25">
      <c r="A545" s="465">
        <v>5</v>
      </c>
      <c r="B545" s="12" t="s">
        <v>168</v>
      </c>
      <c r="C545" s="12" t="s">
        <v>155</v>
      </c>
      <c r="D545" s="12" t="s">
        <v>100</v>
      </c>
      <c r="E545" s="12" t="s">
        <v>1082</v>
      </c>
      <c r="F545" s="469" t="str">
        <f>VLOOKUP(E545,'5. Consolidation'!$E$3:$F$715,2,0)</f>
        <v>Au sein de la cellule Sécheresse (cf. M 5.23), créer une groupe de travail impliquant les différents acteurs de l’eau, les services météorologiques et les autorités gérant les crises sur le terrain afin de s’accorder sur un indicateur « sécheresse » permettant de déterminer les phases d’alerte</v>
      </c>
      <c r="G545" s="12"/>
      <c r="H545" s="12"/>
      <c r="I545" s="12"/>
      <c r="J545" s="12"/>
      <c r="K545" s="12"/>
      <c r="L545" s="12"/>
      <c r="M545" s="12"/>
      <c r="N545" s="459">
        <v>2022</v>
      </c>
      <c r="O545" s="12">
        <v>2027</v>
      </c>
      <c r="P545" s="462">
        <f>VLOOKUP($E545,'5.1 Budget'!$A$4:$G$729,2,0)</f>
        <v>25000</v>
      </c>
      <c r="Q545" s="462">
        <f>VLOOKUP($E545,'5.1 Budget'!$A$4:$G$729,3,0)</f>
        <v>25000</v>
      </c>
      <c r="R545" s="462">
        <f>VLOOKUP($E545,'5.1 Budget'!$A$4:$G$729,4,0)</f>
        <v>10000</v>
      </c>
      <c r="S545" s="462">
        <f>VLOOKUP($E545,'5.1 Budget'!$A$4:$G$729,5,0)</f>
        <v>10000</v>
      </c>
      <c r="T545" s="462">
        <f>VLOOKUP($E545,'5.1 Budget'!$A$4:$G$729,6,0)</f>
        <v>10000</v>
      </c>
      <c r="U545" s="462">
        <f>VLOOKUP($E545,'5.1 Budget'!$A$4:$G$729,7,0)</f>
        <v>10000</v>
      </c>
      <c r="V545" s="462">
        <f t="shared" si="9"/>
        <v>90000</v>
      </c>
    </row>
    <row r="546" spans="1:22" ht="39" x14ac:dyDescent="0.25">
      <c r="A546" s="465">
        <v>5</v>
      </c>
      <c r="B546" s="12" t="s">
        <v>168</v>
      </c>
      <c r="C546" s="12" t="s">
        <v>155</v>
      </c>
      <c r="D546" s="12" t="s">
        <v>100</v>
      </c>
      <c r="E546" s="12" t="s">
        <v>1083</v>
      </c>
      <c r="F546" s="469" t="str">
        <f>VLOOKUP(E546,'5. Consolidation'!$E$3:$F$715,2,0)</f>
        <v>Mettre en place un premier système d'alerte pour les inondations fluviales. Préalablement, les démarches auprès des autorités flamandes seront entreprises pour établir un partenariat dans le cadre de waterinfo, et adapter le cas échéant le format et le traitement de nos données d’observations et de simulations</v>
      </c>
      <c r="G546" s="12"/>
      <c r="H546" s="12"/>
      <c r="I546" s="12"/>
      <c r="J546" s="12"/>
      <c r="K546" s="12"/>
      <c r="L546" s="12"/>
      <c r="M546" s="12"/>
      <c r="N546" s="459">
        <v>2022</v>
      </c>
      <c r="O546" s="12">
        <v>2027</v>
      </c>
      <c r="P546" s="462">
        <f>VLOOKUP($E546,'5.1 Budget'!$A$4:$G$729,2,0)</f>
        <v>25000</v>
      </c>
      <c r="Q546" s="462">
        <f>VLOOKUP($E546,'5.1 Budget'!$A$4:$G$729,3,0)</f>
        <v>10000</v>
      </c>
      <c r="R546" s="462">
        <f>VLOOKUP($E546,'5.1 Budget'!$A$4:$G$729,4,0)</f>
        <v>10000</v>
      </c>
      <c r="S546" s="462">
        <f>VLOOKUP($E546,'5.1 Budget'!$A$4:$G$729,5,0)</f>
        <v>10000</v>
      </c>
      <c r="T546" s="462">
        <f>VLOOKUP($E546,'5.1 Budget'!$A$4:$G$729,6,0)</f>
        <v>10000</v>
      </c>
      <c r="U546" s="462">
        <f>VLOOKUP($E546,'5.1 Budget'!$A$4:$G$729,7,0)</f>
        <v>10000</v>
      </c>
      <c r="V546" s="462">
        <f t="shared" si="9"/>
        <v>75000</v>
      </c>
    </row>
    <row r="547" spans="1:22" ht="26.25" x14ac:dyDescent="0.25">
      <c r="A547" s="465">
        <v>5</v>
      </c>
      <c r="B547" s="12" t="s">
        <v>168</v>
      </c>
      <c r="C547" s="12" t="s">
        <v>155</v>
      </c>
      <c r="D547" s="12" t="s">
        <v>100</v>
      </c>
      <c r="E547" s="12" t="s">
        <v>1084</v>
      </c>
      <c r="F547" s="469" t="str">
        <f>VLOOKUP(E547,'5. Consolidation'!$E$3:$F$715,2,0)</f>
        <v>Opérationaliser le « nowcasting » orage et le déclenchement de phase d’alerte « sécheresse » sur base de l’indicateur développé et des échanges avec les centre de crise wallon et commission sécheresse de Flandre</v>
      </c>
      <c r="G547" s="12"/>
      <c r="H547" s="12"/>
      <c r="I547" s="12"/>
      <c r="J547" s="12"/>
      <c r="K547" s="12"/>
      <c r="L547" s="12"/>
      <c r="M547" s="12"/>
      <c r="N547" s="459">
        <v>2022</v>
      </c>
      <c r="O547" s="12">
        <v>2027</v>
      </c>
      <c r="P547" s="462">
        <f>VLOOKUP($E547,'5.1 Budget'!$A$4:$G$729,2,0)</f>
        <v>25000</v>
      </c>
      <c r="Q547" s="462">
        <f>VLOOKUP($E547,'5.1 Budget'!$A$4:$G$729,3,0)</f>
        <v>25000</v>
      </c>
      <c r="R547" s="462">
        <f>VLOOKUP($E547,'5.1 Budget'!$A$4:$G$729,4,0)</f>
        <v>10000</v>
      </c>
      <c r="S547" s="462">
        <f>VLOOKUP($E547,'5.1 Budget'!$A$4:$G$729,5,0)</f>
        <v>10000</v>
      </c>
      <c r="T547" s="462">
        <f>VLOOKUP($E547,'5.1 Budget'!$A$4:$G$729,6,0)</f>
        <v>10000</v>
      </c>
      <c r="U547" s="462">
        <f>VLOOKUP($E547,'5.1 Budget'!$A$4:$G$729,7,0)</f>
        <v>10000</v>
      </c>
      <c r="V547" s="462">
        <f t="shared" si="9"/>
        <v>90000</v>
      </c>
    </row>
    <row r="548" spans="1:22" ht="26.25" x14ac:dyDescent="0.25">
      <c r="A548" s="465">
        <v>5</v>
      </c>
      <c r="B548" s="12" t="s">
        <v>168</v>
      </c>
      <c r="C548" s="12" t="s">
        <v>155</v>
      </c>
      <c r="D548" s="12" t="s">
        <v>100</v>
      </c>
      <c r="E548" s="12" t="s">
        <v>1085</v>
      </c>
      <c r="F548" s="469" t="str">
        <f>VLOOKUP(E548,'5. Consolidation'!$E$3:$F$715,2,0)</f>
        <v>Etendre le système d’alerte fluvial en y intégrant les inondations pluviales, sur base de l’expérience acquise avec le système fluvial.</v>
      </c>
      <c r="G548" s="12"/>
      <c r="H548" s="12"/>
      <c r="I548" s="12"/>
      <c r="J548" s="12"/>
      <c r="K548" s="12"/>
      <c r="L548" s="12"/>
      <c r="M548" s="12"/>
      <c r="N548" s="459">
        <v>2023</v>
      </c>
      <c r="O548" s="12"/>
      <c r="P548" s="462">
        <f>VLOOKUP($E548,'5.1 Budget'!$A$4:$G$729,2,0)</f>
        <v>0</v>
      </c>
      <c r="Q548" s="462">
        <f>VLOOKUP($E548,'5.1 Budget'!$A$4:$G$729,3,0)</f>
        <v>50000</v>
      </c>
      <c r="R548" s="462">
        <f>VLOOKUP($E548,'5.1 Budget'!$A$4:$G$729,4,0)</f>
        <v>50000</v>
      </c>
      <c r="S548" s="462">
        <f>VLOOKUP($E548,'5.1 Budget'!$A$4:$G$729,5,0)</f>
        <v>10000</v>
      </c>
      <c r="T548" s="462">
        <f>VLOOKUP($E548,'5.1 Budget'!$A$4:$G$729,6,0)</f>
        <v>10000</v>
      </c>
      <c r="U548" s="462">
        <f>VLOOKUP($E548,'5.1 Budget'!$A$4:$G$729,7,0)</f>
        <v>10000</v>
      </c>
      <c r="V548" s="462">
        <f t="shared" si="9"/>
        <v>130000</v>
      </c>
    </row>
    <row r="549" spans="1:22" x14ac:dyDescent="0.25">
      <c r="A549" s="465">
        <v>5</v>
      </c>
      <c r="B549" s="12" t="s">
        <v>168</v>
      </c>
      <c r="C549" s="12" t="s">
        <v>155</v>
      </c>
      <c r="D549" s="12" t="s">
        <v>100</v>
      </c>
      <c r="E549" s="12" t="s">
        <v>1086</v>
      </c>
      <c r="F549" s="469" t="str">
        <f>VLOOKUP(E549,'5. Consolidation'!$E$3:$F$715,2,0)</f>
        <v>Valoriser le système dans le cadre de la gestion dynamique visant à limiter les déversements d’orage (cf. M 1.9)</v>
      </c>
      <c r="G549" s="12"/>
      <c r="H549" s="12"/>
      <c r="I549" s="12"/>
      <c r="J549" s="12"/>
      <c r="K549" s="12"/>
      <c r="L549" s="12"/>
      <c r="M549" s="12"/>
      <c r="N549" s="12"/>
      <c r="O549" s="12"/>
      <c r="P549" s="462">
        <f>VLOOKUP($E549,'5.1 Budget'!$A$4:$G$729,2,0)</f>
        <v>0</v>
      </c>
      <c r="Q549" s="462">
        <f>VLOOKUP($E549,'5.1 Budget'!$A$4:$G$729,3,0)</f>
        <v>0</v>
      </c>
      <c r="R549" s="462">
        <f>VLOOKUP($E549,'5.1 Budget'!$A$4:$G$729,4,0)</f>
        <v>0</v>
      </c>
      <c r="S549" s="462">
        <f>VLOOKUP($E549,'5.1 Budget'!$A$4:$G$729,5,0)</f>
        <v>0</v>
      </c>
      <c r="T549" s="462">
        <f>VLOOKUP($E549,'5.1 Budget'!$A$4:$G$729,6,0)</f>
        <v>0</v>
      </c>
      <c r="U549" s="462">
        <f>VLOOKUP($E549,'5.1 Budget'!$A$4:$G$729,7,0)</f>
        <v>0</v>
      </c>
      <c r="V549" s="462">
        <f t="shared" si="9"/>
        <v>0</v>
      </c>
    </row>
    <row r="550" spans="1:22" ht="64.5" x14ac:dyDescent="0.25">
      <c r="A550" s="465">
        <v>5</v>
      </c>
      <c r="B550" s="12" t="s">
        <v>168</v>
      </c>
      <c r="C550" s="12" t="s">
        <v>155</v>
      </c>
      <c r="D550" s="12" t="s">
        <v>101</v>
      </c>
      <c r="E550" s="12" t="s">
        <v>1087</v>
      </c>
      <c r="F550" s="469" t="str">
        <f>VLOOKUP(E550,'5. Consolidation'!$E$3:$F$715,2,0)</f>
        <v>Etablir une évaluation de la planification d’intervention d’urgence telle qu’actuellement en vigueur en Région de Bruxelles-Capitale, dresser un état des lieux sur le fonctionnement propre des intervenants (opérateur de l’eau, services d'intervention), les moyens particuliers d'intervention disponibles, les coordonnées des personnes spécifiquement concernées par le risque, et se nourrir des outils existants dans les autres Régions ou mis en place suite aux expériences récentes de gestion de crise.</v>
      </c>
      <c r="G550" s="12"/>
      <c r="H550" s="12"/>
      <c r="I550" s="12"/>
      <c r="J550" s="12"/>
      <c r="K550" s="12"/>
      <c r="L550" s="12"/>
      <c r="M550" s="12"/>
      <c r="N550" s="12"/>
      <c r="O550" s="12"/>
      <c r="P550" s="462">
        <f>VLOOKUP($E550,'5.1 Budget'!$A$4:$G$729,2,0)</f>
        <v>0</v>
      </c>
      <c r="Q550" s="462">
        <f>VLOOKUP($E550,'5.1 Budget'!$A$4:$G$729,3,0)</f>
        <v>0</v>
      </c>
      <c r="R550" s="462">
        <f>VLOOKUP($E550,'5.1 Budget'!$A$4:$G$729,4,0)</f>
        <v>0</v>
      </c>
      <c r="S550" s="462">
        <f>VLOOKUP($E550,'5.1 Budget'!$A$4:$G$729,5,0)</f>
        <v>0</v>
      </c>
      <c r="T550" s="462">
        <f>VLOOKUP($E550,'5.1 Budget'!$A$4:$G$729,6,0)</f>
        <v>0</v>
      </c>
      <c r="U550" s="462">
        <f>VLOOKUP($E550,'5.1 Budget'!$A$4:$G$729,7,0)</f>
        <v>0</v>
      </c>
      <c r="V550" s="462">
        <f t="shared" si="9"/>
        <v>0</v>
      </c>
    </row>
    <row r="551" spans="1:22" ht="26.25" x14ac:dyDescent="0.25">
      <c r="A551" s="465">
        <v>5</v>
      </c>
      <c r="B551" s="12" t="s">
        <v>168</v>
      </c>
      <c r="C551" s="12" t="s">
        <v>155</v>
      </c>
      <c r="D551" s="12" t="s">
        <v>101</v>
      </c>
      <c r="E551" s="12" t="s">
        <v>1088</v>
      </c>
      <c r="F551" s="469" t="str">
        <f>VLOOKUP(E551,'5. Consolidation'!$E$3:$F$715,2,0)</f>
        <v>Sur base de l’évaluation, établir une « fiche-réflexe » ou un « schéma d’alerte » qui serait adapté pour une situation de crise (inondation ou sécheresse) comme prémisse au Plan Particulier d’Urgence et d’intervention (PPUI)</v>
      </c>
      <c r="G551" s="12"/>
      <c r="H551" s="12"/>
      <c r="I551" s="12"/>
      <c r="J551" s="12"/>
      <c r="K551" s="12"/>
      <c r="L551" s="12"/>
      <c r="M551" s="12"/>
      <c r="N551" s="12"/>
      <c r="O551" s="12"/>
      <c r="P551" s="462">
        <f>VLOOKUP($E551,'5.1 Budget'!$A$4:$G$729,2,0)</f>
        <v>0</v>
      </c>
      <c r="Q551" s="462">
        <f>VLOOKUP($E551,'5.1 Budget'!$A$4:$G$729,3,0)</f>
        <v>0</v>
      </c>
      <c r="R551" s="462">
        <f>VLOOKUP($E551,'5.1 Budget'!$A$4:$G$729,4,0)</f>
        <v>0</v>
      </c>
      <c r="S551" s="462">
        <f>VLOOKUP($E551,'5.1 Budget'!$A$4:$G$729,5,0)</f>
        <v>0</v>
      </c>
      <c r="T551" s="462">
        <f>VLOOKUP($E551,'5.1 Budget'!$A$4:$G$729,6,0)</f>
        <v>0</v>
      </c>
      <c r="U551" s="462">
        <f>VLOOKUP($E551,'5.1 Budget'!$A$4:$G$729,7,0)</f>
        <v>0</v>
      </c>
      <c r="V551" s="462">
        <f t="shared" si="9"/>
        <v>0</v>
      </c>
    </row>
    <row r="552" spans="1:22" ht="102.75" x14ac:dyDescent="0.25">
      <c r="A552" s="465">
        <v>5</v>
      </c>
      <c r="B552" s="12" t="s">
        <v>168</v>
      </c>
      <c r="C552" s="12" t="s">
        <v>155</v>
      </c>
      <c r="D552" s="12" t="s">
        <v>101</v>
      </c>
      <c r="E552" s="12" t="s">
        <v>1089</v>
      </c>
      <c r="F552" s="469" t="str">
        <f>VLOOKUP(E552,'5. Consolidation'!$E$3:$F$715,2,0)</f>
        <v>Réaliser un Plan Particulier d'Urgence et d'Intervention consacré au risque spécifique d’inondation et de sécheresse, qui :
-  décrit les risques et détermine les zones de planification d'urgence, distingue les différents scénarios possibles et les procédures d'intervention spécifiques à chacun d’eux, détermine l'organisation de la coordination des opérations et la chaine de commandement sous la direction de BPS;
- détermine les mesures de protection des biens et des personnes (notamment des intervenants), les localisations pouvant être intégrée dans un dispositif opérationnel (établissement d’un poste de commandement opérationnel multidisciplinaire, d’un éventuel poste médical avancé, d’un centre d’accueil pour personnes impliquées, d’un centre d’accueil pour la presse, etc.)d) détermine les procédures d'information des services de secours et de la population.</v>
      </c>
      <c r="G552" s="12"/>
      <c r="H552" s="12"/>
      <c r="I552" s="12"/>
      <c r="J552" s="12"/>
      <c r="K552" s="12"/>
      <c r="L552" s="12"/>
      <c r="M552" s="12"/>
      <c r="N552" s="12"/>
      <c r="O552" s="12"/>
      <c r="P552" s="462">
        <f>VLOOKUP($E552,'5.1 Budget'!$A$4:$G$729,2,0)</f>
        <v>0</v>
      </c>
      <c r="Q552" s="462">
        <f>VLOOKUP($E552,'5.1 Budget'!$A$4:$G$729,3,0)</f>
        <v>0</v>
      </c>
      <c r="R552" s="462">
        <f>VLOOKUP($E552,'5.1 Budget'!$A$4:$G$729,4,0)</f>
        <v>0</v>
      </c>
      <c r="S552" s="462">
        <f>VLOOKUP($E552,'5.1 Budget'!$A$4:$G$729,5,0)</f>
        <v>0</v>
      </c>
      <c r="T552" s="462">
        <f>VLOOKUP($E552,'5.1 Budget'!$A$4:$G$729,6,0)</f>
        <v>0</v>
      </c>
      <c r="U552" s="462">
        <f>VLOOKUP($E552,'5.1 Budget'!$A$4:$G$729,7,0)</f>
        <v>0</v>
      </c>
      <c r="V552" s="462">
        <f t="shared" si="9"/>
        <v>0</v>
      </c>
    </row>
    <row r="553" spans="1:22" ht="51.75" x14ac:dyDescent="0.25">
      <c r="A553" s="465">
        <v>5</v>
      </c>
      <c r="B553" s="12" t="s">
        <v>168</v>
      </c>
      <c r="C553" s="12" t="s">
        <v>155</v>
      </c>
      <c r="D553" s="12" t="s">
        <v>101</v>
      </c>
      <c r="E553" s="12" t="s">
        <v>1090</v>
      </c>
      <c r="F553" s="469" t="str">
        <f>VLOOKUP(E553,'5. Consolidation'!$E$3:$F$715,2,0)</f>
        <v>Intégrer aux Plans d'Intervention Psychosociale existants la prise en compte spécifique du risque d'inondation et de sécheresse et préparer notamment l'accompagnement psychologique des victimes, ainsi que leur éventuel relogement temporaire (recensement de la population potentiellement concernée, identification des possibilités de relogement et de catering existantes, prise des contacts préalables nécessaires)</v>
      </c>
      <c r="G553" s="12"/>
      <c r="H553" s="12"/>
      <c r="I553" s="12"/>
      <c r="J553" s="12"/>
      <c r="K553" s="12"/>
      <c r="L553" s="12"/>
      <c r="M553" s="12"/>
      <c r="N553" s="12"/>
      <c r="O553" s="12"/>
      <c r="P553" s="462">
        <f>VLOOKUP($E553,'5.1 Budget'!$A$4:$G$729,2,0)</f>
        <v>0</v>
      </c>
      <c r="Q553" s="462">
        <f>VLOOKUP($E553,'5.1 Budget'!$A$4:$G$729,3,0)</f>
        <v>0</v>
      </c>
      <c r="R553" s="462">
        <f>VLOOKUP($E553,'5.1 Budget'!$A$4:$G$729,4,0)</f>
        <v>0</v>
      </c>
      <c r="S553" s="462">
        <f>VLOOKUP($E553,'5.1 Budget'!$A$4:$G$729,5,0)</f>
        <v>0</v>
      </c>
      <c r="T553" s="462">
        <f>VLOOKUP($E553,'5.1 Budget'!$A$4:$G$729,6,0)</f>
        <v>0</v>
      </c>
      <c r="U553" s="462">
        <f>VLOOKUP($E553,'5.1 Budget'!$A$4:$G$729,7,0)</f>
        <v>0</v>
      </c>
      <c r="V553" s="462">
        <f t="shared" si="9"/>
        <v>0</v>
      </c>
    </row>
    <row r="554" spans="1:22" ht="115.5" x14ac:dyDescent="0.25">
      <c r="A554" s="465">
        <v>5</v>
      </c>
      <c r="B554" s="12" t="s">
        <v>168</v>
      </c>
      <c r="C554" s="12" t="s">
        <v>155</v>
      </c>
      <c r="D554" s="12" t="s">
        <v>101</v>
      </c>
      <c r="E554" s="12" t="s">
        <v>1091</v>
      </c>
      <c r="F554" s="469" t="str">
        <f>VLOOKUP(E554,'5. Consolidation'!$E$3:$F$715,2,0)</f>
        <v>Organiser à fréquence régulière des exercices spécifiquement consacrés à la problématique des inondations en vue notamment de :
- sensibiliser les participants,
- favoriser et tester la gestion tant mono- que multidisciplinaire de l’intervention portant sur divers aspects tels que la mise en alerte, le commandement, la communication ou encore la coordination,
- améliorer les connaissances, savoir, savoir-faire et savoir être sur le terrain,- connaitre et faire connaitre l’ensemble des acteurs concernés,- rendre chaque intervenant capable de réagir à l’imprévu et de faire face à la situation d’urgence et de stress,- évaluer l’application des différents plans et procédures existants, leur interaction et, le cas échéant, les adapter aux conclusions de l’évaluation consécutive à l'exercice.</v>
      </c>
      <c r="G554" s="12"/>
      <c r="H554" s="12"/>
      <c r="I554" s="12"/>
      <c r="J554" s="12"/>
      <c r="K554" s="12"/>
      <c r="L554" s="12"/>
      <c r="M554" s="12"/>
      <c r="N554" s="12"/>
      <c r="O554" s="12"/>
      <c r="P554" s="462">
        <f>VLOOKUP($E554,'5.1 Budget'!$A$4:$G$729,2,0)</f>
        <v>0</v>
      </c>
      <c r="Q554" s="462">
        <f>VLOOKUP($E554,'5.1 Budget'!$A$4:$G$729,3,0)</f>
        <v>0</v>
      </c>
      <c r="R554" s="462">
        <f>VLOOKUP($E554,'5.1 Budget'!$A$4:$G$729,4,0)</f>
        <v>0</v>
      </c>
      <c r="S554" s="462">
        <f>VLOOKUP($E554,'5.1 Budget'!$A$4:$G$729,5,0)</f>
        <v>0</v>
      </c>
      <c r="T554" s="462">
        <f>VLOOKUP($E554,'5.1 Budget'!$A$4:$G$729,6,0)</f>
        <v>0</v>
      </c>
      <c r="U554" s="462">
        <f>VLOOKUP($E554,'5.1 Budget'!$A$4:$G$729,7,0)</f>
        <v>0</v>
      </c>
      <c r="V554" s="462">
        <f t="shared" si="9"/>
        <v>0</v>
      </c>
    </row>
    <row r="555" spans="1:22" x14ac:dyDescent="0.25">
      <c r="A555" s="465">
        <v>5</v>
      </c>
      <c r="B555" s="12" t="s">
        <v>169</v>
      </c>
      <c r="C555" s="12" t="s">
        <v>170</v>
      </c>
      <c r="D555" s="12" t="s">
        <v>102</v>
      </c>
      <c r="E555" s="12" t="s">
        <v>1092</v>
      </c>
      <c r="F555" s="469" t="str">
        <f>VLOOKUP(E555,'5. Consolidation'!$E$3:$F$715,2,0)</f>
        <v>Harmoniser et valider les données ‘quantité’ de Flowbru</v>
      </c>
      <c r="G555" s="12"/>
      <c r="H555" s="12"/>
      <c r="I555" s="12"/>
      <c r="J555" s="12"/>
      <c r="K555" s="12"/>
      <c r="L555" s="12"/>
      <c r="M555" s="12"/>
      <c r="N555" s="459">
        <v>2022</v>
      </c>
      <c r="O555" s="12"/>
      <c r="P555" s="462">
        <f>VLOOKUP($E555,'5.1 Budget'!$A$4:$G$729,2,0)</f>
        <v>25000</v>
      </c>
      <c r="Q555" s="462">
        <f>VLOOKUP($E555,'5.1 Budget'!$A$4:$G$729,3,0)</f>
        <v>25000</v>
      </c>
      <c r="R555" s="462">
        <f>VLOOKUP($E555,'5.1 Budget'!$A$4:$G$729,4,0)</f>
        <v>0</v>
      </c>
      <c r="S555" s="462">
        <f>VLOOKUP($E555,'5.1 Budget'!$A$4:$G$729,5,0)</f>
        <v>0</v>
      </c>
      <c r="T555" s="462">
        <f>VLOOKUP($E555,'5.1 Budget'!$A$4:$G$729,6,0)</f>
        <v>0</v>
      </c>
      <c r="U555" s="462">
        <f>VLOOKUP($E555,'5.1 Budget'!$A$4:$G$729,7,0)</f>
        <v>0</v>
      </c>
      <c r="V555" s="462">
        <f t="shared" si="9"/>
        <v>50000</v>
      </c>
    </row>
    <row r="556" spans="1:22" x14ac:dyDescent="0.25">
      <c r="A556" s="465">
        <v>5</v>
      </c>
      <c r="B556" s="12" t="s">
        <v>169</v>
      </c>
      <c r="C556" s="12" t="s">
        <v>170</v>
      </c>
      <c r="D556" s="12" t="s">
        <v>102</v>
      </c>
      <c r="E556" s="12" t="s">
        <v>1093</v>
      </c>
      <c r="F556" s="469" t="str">
        <f>VLOOKUP(E556,'5. Consolidation'!$E$3:$F$715,2,0)</f>
        <v>Harmoniser les données géométriques des réseaux</v>
      </c>
      <c r="G556" s="12"/>
      <c r="H556" s="12"/>
      <c r="I556" s="12"/>
      <c r="J556" s="12"/>
      <c r="K556" s="12"/>
      <c r="L556" s="12"/>
      <c r="M556" s="12"/>
      <c r="N556" s="459">
        <v>2022</v>
      </c>
      <c r="O556" s="12"/>
      <c r="P556" s="462">
        <f>VLOOKUP($E556,'5.1 Budget'!$A$4:$G$729,2,0)</f>
        <v>10000</v>
      </c>
      <c r="Q556" s="462">
        <f>VLOOKUP($E556,'5.1 Budget'!$A$4:$G$729,3,0)</f>
        <v>10000</v>
      </c>
      <c r="R556" s="462">
        <f>VLOOKUP($E556,'5.1 Budget'!$A$4:$G$729,4,0)</f>
        <v>0</v>
      </c>
      <c r="S556" s="462">
        <f>VLOOKUP($E556,'5.1 Budget'!$A$4:$G$729,5,0)</f>
        <v>0</v>
      </c>
      <c r="T556" s="462">
        <f>VLOOKUP($E556,'5.1 Budget'!$A$4:$G$729,6,0)</f>
        <v>0</v>
      </c>
      <c r="U556" s="462">
        <f>VLOOKUP($E556,'5.1 Budget'!$A$4:$G$729,7,0)</f>
        <v>0</v>
      </c>
      <c r="V556" s="462">
        <f t="shared" si="9"/>
        <v>20000</v>
      </c>
    </row>
    <row r="557" spans="1:22" x14ac:dyDescent="0.25">
      <c r="A557" s="465">
        <v>5</v>
      </c>
      <c r="B557" s="12" t="s">
        <v>169</v>
      </c>
      <c r="C557" s="12" t="s">
        <v>170</v>
      </c>
      <c r="D557" s="12" t="s">
        <v>102</v>
      </c>
      <c r="E557" s="12" t="s">
        <v>1094</v>
      </c>
      <c r="F557" s="469" t="str">
        <f>VLOOKUP(E557,'5. Consolidation'!$E$3:$F$715,2,0)</f>
        <v>Faire évoluer le GT Carto vers un GT Modélisation, harmoniser les outils de modélisation</v>
      </c>
      <c r="G557" s="12"/>
      <c r="H557" s="12"/>
      <c r="I557" s="12"/>
      <c r="J557" s="12"/>
      <c r="K557" s="12"/>
      <c r="L557" s="12"/>
      <c r="M557" s="12"/>
      <c r="N557" s="12"/>
      <c r="O557" s="12"/>
      <c r="P557" s="462">
        <f>VLOOKUP($E557,'5.1 Budget'!$A$4:$G$729,2,0)</f>
        <v>0</v>
      </c>
      <c r="Q557" s="462">
        <f>VLOOKUP($E557,'5.1 Budget'!$A$4:$G$729,3,0)</f>
        <v>0</v>
      </c>
      <c r="R557" s="462">
        <f>VLOOKUP($E557,'5.1 Budget'!$A$4:$G$729,4,0)</f>
        <v>0</v>
      </c>
      <c r="S557" s="462">
        <f>VLOOKUP($E557,'5.1 Budget'!$A$4:$G$729,5,0)</f>
        <v>0</v>
      </c>
      <c r="T557" s="462">
        <f>VLOOKUP($E557,'5.1 Budget'!$A$4:$G$729,6,0)</f>
        <v>0</v>
      </c>
      <c r="U557" s="462">
        <f>VLOOKUP($E557,'5.1 Budget'!$A$4:$G$729,7,0)</f>
        <v>0</v>
      </c>
      <c r="V557" s="462">
        <f t="shared" si="9"/>
        <v>0</v>
      </c>
    </row>
    <row r="558" spans="1:22" x14ac:dyDescent="0.25">
      <c r="A558" s="465">
        <v>5</v>
      </c>
      <c r="B558" s="12" t="s">
        <v>169</v>
      </c>
      <c r="C558" s="12" t="s">
        <v>170</v>
      </c>
      <c r="D558" s="12" t="s">
        <v>102</v>
      </c>
      <c r="E558" s="12" t="s">
        <v>1095</v>
      </c>
      <c r="F558" s="469" t="str">
        <f>VLOOKUP(E558,'5. Consolidation'!$E$3:$F$715,2,0)</f>
        <v>Réalisation des modèles hydrauliques interconnectés simplifiés</v>
      </c>
      <c r="G558" s="12"/>
      <c r="H558" s="12"/>
      <c r="I558" s="12"/>
      <c r="J558" s="12"/>
      <c r="K558" s="12"/>
      <c r="L558" s="12"/>
      <c r="M558" s="12"/>
      <c r="N558" s="459">
        <v>2023</v>
      </c>
      <c r="O558" s="12"/>
      <c r="P558" s="462">
        <f>VLOOKUP($E558,'5.1 Budget'!$A$4:$G$729,2,0)</f>
        <v>0</v>
      </c>
      <c r="Q558" s="462">
        <f>VLOOKUP($E558,'5.1 Budget'!$A$4:$G$729,3,0)</f>
        <v>50000</v>
      </c>
      <c r="R558" s="462">
        <f>VLOOKUP($E558,'5.1 Budget'!$A$4:$G$729,4,0)</f>
        <v>50000</v>
      </c>
      <c r="S558" s="462">
        <f>VLOOKUP($E558,'5.1 Budget'!$A$4:$G$729,5,0)</f>
        <v>0</v>
      </c>
      <c r="T558" s="462">
        <f>VLOOKUP($E558,'5.1 Budget'!$A$4:$G$729,6,0)</f>
        <v>0</v>
      </c>
      <c r="U558" s="462">
        <f>VLOOKUP($E558,'5.1 Budget'!$A$4:$G$729,7,0)</f>
        <v>0</v>
      </c>
      <c r="V558" s="462">
        <f t="shared" si="9"/>
        <v>100000</v>
      </c>
    </row>
    <row r="559" spans="1:22" x14ac:dyDescent="0.25">
      <c r="A559" s="465">
        <v>5</v>
      </c>
      <c r="B559" s="12" t="s">
        <v>169</v>
      </c>
      <c r="C559" s="12" t="s">
        <v>170</v>
      </c>
      <c r="D559" s="12" t="s">
        <v>102</v>
      </c>
      <c r="E559" s="12" t="s">
        <v>1096</v>
      </c>
      <c r="F559" s="469" t="str">
        <f>VLOOKUP(E559,'5. Consolidation'!$E$3:$F$715,2,0)</f>
        <v>Réalisation des modèles hydrologiques simplifiés</v>
      </c>
      <c r="G559" s="12"/>
      <c r="H559" s="12"/>
      <c r="I559" s="12"/>
      <c r="J559" s="12"/>
      <c r="K559" s="12"/>
      <c r="L559" s="12"/>
      <c r="M559" s="12"/>
      <c r="N559" s="459">
        <v>2022</v>
      </c>
      <c r="O559" s="12"/>
      <c r="P559" s="462">
        <f>VLOOKUP($E559,'5.1 Budget'!$A$4:$G$729,2,0)</f>
        <v>25000</v>
      </c>
      <c r="Q559" s="462">
        <f>VLOOKUP($E559,'5.1 Budget'!$A$4:$G$729,3,0)</f>
        <v>25000</v>
      </c>
      <c r="R559" s="462">
        <f>VLOOKUP($E559,'5.1 Budget'!$A$4:$G$729,4,0)</f>
        <v>0</v>
      </c>
      <c r="S559" s="462">
        <f>VLOOKUP($E559,'5.1 Budget'!$A$4:$G$729,5,0)</f>
        <v>0</v>
      </c>
      <c r="T559" s="462">
        <f>VLOOKUP($E559,'5.1 Budget'!$A$4:$G$729,6,0)</f>
        <v>0</v>
      </c>
      <c r="U559" s="462">
        <f>VLOOKUP($E559,'5.1 Budget'!$A$4:$G$729,7,0)</f>
        <v>0</v>
      </c>
      <c r="V559" s="462">
        <f t="shared" si="9"/>
        <v>50000</v>
      </c>
    </row>
    <row r="560" spans="1:22" x14ac:dyDescent="0.25">
      <c r="A560" s="465">
        <v>5</v>
      </c>
      <c r="B560" s="12" t="s">
        <v>169</v>
      </c>
      <c r="C560" s="12" t="s">
        <v>170</v>
      </c>
      <c r="D560" s="12" t="s">
        <v>102</v>
      </c>
      <c r="E560" s="12" t="s">
        <v>1097</v>
      </c>
      <c r="F560" s="469" t="str">
        <f>VLOOKUP(E560,'5. Consolidation'!$E$3:$F$715,2,0)</f>
        <v>Identifier les zones de débordement, améliorer les cartes d’aléa d’inondation pluviale</v>
      </c>
      <c r="G560" s="12"/>
      <c r="H560" s="12"/>
      <c r="I560" s="12"/>
      <c r="J560" s="12"/>
      <c r="K560" s="12"/>
      <c r="L560" s="12"/>
      <c r="M560" s="12"/>
      <c r="N560" s="12"/>
      <c r="O560" s="12"/>
      <c r="P560" s="462">
        <f>VLOOKUP($E560,'5.1 Budget'!$A$4:$G$729,2,0)</f>
        <v>0</v>
      </c>
      <c r="Q560" s="462">
        <f>VLOOKUP($E560,'5.1 Budget'!$A$4:$G$729,3,0)</f>
        <v>0</v>
      </c>
      <c r="R560" s="462">
        <f>VLOOKUP($E560,'5.1 Budget'!$A$4:$G$729,4,0)</f>
        <v>0</v>
      </c>
      <c r="S560" s="462">
        <f>VLOOKUP($E560,'5.1 Budget'!$A$4:$G$729,5,0)</f>
        <v>0</v>
      </c>
      <c r="T560" s="462">
        <f>VLOOKUP($E560,'5.1 Budget'!$A$4:$G$729,6,0)</f>
        <v>0</v>
      </c>
      <c r="U560" s="462">
        <f>VLOOKUP($E560,'5.1 Budget'!$A$4:$G$729,7,0)</f>
        <v>0</v>
      </c>
      <c r="V560" s="462">
        <f t="shared" si="9"/>
        <v>0</v>
      </c>
    </row>
    <row r="561" spans="1:22" x14ac:dyDescent="0.25">
      <c r="A561" s="465">
        <v>5</v>
      </c>
      <c r="B561" s="12" t="s">
        <v>169</v>
      </c>
      <c r="C561" s="12" t="s">
        <v>170</v>
      </c>
      <c r="D561" s="12" t="s">
        <v>102</v>
      </c>
      <c r="E561" s="12" t="s">
        <v>1098</v>
      </c>
      <c r="F561" s="469" t="str">
        <f>VLOOKUP(E561,'5. Consolidation'!$E$3:$F$715,2,0)</f>
        <v>Analyser virtuellement les scénarios de gestion dynamiques</v>
      </c>
      <c r="G561" s="12"/>
      <c r="H561" s="12"/>
      <c r="I561" s="12"/>
      <c r="J561" s="12"/>
      <c r="K561" s="12"/>
      <c r="L561" s="12"/>
      <c r="M561" s="12"/>
      <c r="N561" s="459">
        <v>2024</v>
      </c>
      <c r="O561" s="12"/>
      <c r="P561" s="462">
        <f>VLOOKUP($E561,'5.1 Budget'!$A$4:$G$729,2,0)</f>
        <v>0</v>
      </c>
      <c r="Q561" s="462">
        <f>VLOOKUP($E561,'5.1 Budget'!$A$4:$G$729,3,0)</f>
        <v>0</v>
      </c>
      <c r="R561" s="462">
        <f>VLOOKUP($E561,'5.1 Budget'!$A$4:$G$729,4,0)</f>
        <v>30000</v>
      </c>
      <c r="S561" s="462">
        <f>VLOOKUP($E561,'5.1 Budget'!$A$4:$G$729,5,0)</f>
        <v>0</v>
      </c>
      <c r="T561" s="462">
        <f>VLOOKUP($E561,'5.1 Budget'!$A$4:$G$729,6,0)</f>
        <v>0</v>
      </c>
      <c r="U561" s="462">
        <f>VLOOKUP($E561,'5.1 Budget'!$A$4:$G$729,7,0)</f>
        <v>0</v>
      </c>
      <c r="V561" s="462">
        <f t="shared" si="9"/>
        <v>30000</v>
      </c>
    </row>
    <row r="562" spans="1:22" ht="39" x14ac:dyDescent="0.25">
      <c r="A562" s="465">
        <v>5</v>
      </c>
      <c r="B562" s="12" t="s">
        <v>169</v>
      </c>
      <c r="C562" s="12" t="s">
        <v>170</v>
      </c>
      <c r="D562" s="12" t="s">
        <v>103</v>
      </c>
      <c r="E562" s="12" t="s">
        <v>1099</v>
      </c>
      <c r="F562" s="469" t="str">
        <f>VLOOKUP(E562,'5. Consolidation'!$E$3:$F$715,2,0)</f>
        <v>Optimiser les captages actuellement exploités par VIVAQUA où certaines portions, bien qu’autorisées, sont en décharge permanente à cause d’une grande sensibilité aux évènements pluvieux. Une modernisation de ces captages (avec ou sans traitement selon les cas) permettrait d’adduire des volumes supplémentaires</v>
      </c>
      <c r="G562" s="12"/>
      <c r="H562" s="12"/>
      <c r="I562" s="12"/>
      <c r="J562" s="12"/>
      <c r="K562" s="12"/>
      <c r="L562" s="12"/>
      <c r="M562" s="12"/>
      <c r="N562" s="12"/>
      <c r="O562" s="12"/>
      <c r="P562" s="462">
        <f>VLOOKUP($E562,'5.1 Budget'!$A$4:$G$729,2,0)</f>
        <v>0</v>
      </c>
      <c r="Q562" s="462">
        <f>VLOOKUP($E562,'5.1 Budget'!$A$4:$G$729,3,0)</f>
        <v>0</v>
      </c>
      <c r="R562" s="462">
        <f>VLOOKUP($E562,'5.1 Budget'!$A$4:$G$729,4,0)</f>
        <v>0</v>
      </c>
      <c r="S562" s="462">
        <f>VLOOKUP($E562,'5.1 Budget'!$A$4:$G$729,5,0)</f>
        <v>0</v>
      </c>
      <c r="T562" s="462">
        <f>VLOOKUP($E562,'5.1 Budget'!$A$4:$G$729,6,0)</f>
        <v>0</v>
      </c>
      <c r="U562" s="462">
        <f>VLOOKUP($E562,'5.1 Budget'!$A$4:$G$729,7,0)</f>
        <v>0</v>
      </c>
      <c r="V562" s="462">
        <f t="shared" si="9"/>
        <v>0</v>
      </c>
    </row>
    <row r="563" spans="1:22" ht="39" x14ac:dyDescent="0.25">
      <c r="A563" s="465">
        <v>5</v>
      </c>
      <c r="B563" s="12" t="s">
        <v>169</v>
      </c>
      <c r="C563" s="12" t="s">
        <v>170</v>
      </c>
      <c r="D563" s="12" t="s">
        <v>103</v>
      </c>
      <c r="E563" s="12" t="s">
        <v>1100</v>
      </c>
      <c r="F563" s="469" t="str">
        <f>VLOOKUP(E563,'5. Consolidation'!$E$3:$F$715,2,0)</f>
        <v>Optimiser les captages actuellement exploités par VIVAQUA où un fonctionnement alternatif est possible moyennant une adaptation des autorisations ou des captages où les autorisations permettent le prélèvement de volumes supplémentaires moyennant de nouvelles installations</v>
      </c>
      <c r="G563" s="12"/>
      <c r="H563" s="12"/>
      <c r="I563" s="12"/>
      <c r="J563" s="12"/>
      <c r="K563" s="12"/>
      <c r="L563" s="12"/>
      <c r="M563" s="12"/>
      <c r="N563" s="12"/>
      <c r="O563" s="12"/>
      <c r="P563" s="462">
        <f>VLOOKUP($E563,'5.1 Budget'!$A$4:$G$729,2,0)</f>
        <v>0</v>
      </c>
      <c r="Q563" s="462">
        <f>VLOOKUP($E563,'5.1 Budget'!$A$4:$G$729,3,0)</f>
        <v>0</v>
      </c>
      <c r="R563" s="462">
        <f>VLOOKUP($E563,'5.1 Budget'!$A$4:$G$729,4,0)</f>
        <v>0</v>
      </c>
      <c r="S563" s="462">
        <f>VLOOKUP($E563,'5.1 Budget'!$A$4:$G$729,5,0)</f>
        <v>0</v>
      </c>
      <c r="T563" s="462">
        <f>VLOOKUP($E563,'5.1 Budget'!$A$4:$G$729,6,0)</f>
        <v>0</v>
      </c>
      <c r="U563" s="462">
        <f>VLOOKUP($E563,'5.1 Budget'!$A$4:$G$729,7,0)</f>
        <v>0</v>
      </c>
      <c r="V563" s="462">
        <f t="shared" si="9"/>
        <v>0</v>
      </c>
    </row>
    <row r="564" spans="1:22" ht="51.75" x14ac:dyDescent="0.25">
      <c r="A564" s="465">
        <v>5</v>
      </c>
      <c r="B564" s="12" t="s">
        <v>169</v>
      </c>
      <c r="C564" s="12" t="s">
        <v>170</v>
      </c>
      <c r="D564" s="12" t="s">
        <v>103</v>
      </c>
      <c r="E564" s="12" t="s">
        <v>1101</v>
      </c>
      <c r="F564" s="469" t="str">
        <f>VLOOKUP(E564,'5. Consolidation'!$E$3:$F$715,2,0)</f>
        <v>Réhabiliter les anciens captages ou la mise en adduction des eaux de dalots (des drains construits sous certaines portions des collecteurs d’amenée des eaux et dont les eaux sont mises en décharge) est également une piste que VIVAQUA investigue depuis qu’un monitoring de ces eaux, initié dans le Water Quantity Plan, a montré qu’elles étaient potables ou potabilisables</v>
      </c>
      <c r="G564" s="12"/>
      <c r="H564" s="12"/>
      <c r="I564" s="12"/>
      <c r="J564" s="12"/>
      <c r="K564" s="12"/>
      <c r="L564" s="12"/>
      <c r="M564" s="12"/>
      <c r="N564" s="12"/>
      <c r="O564" s="12"/>
      <c r="P564" s="462">
        <f>VLOOKUP($E564,'5.1 Budget'!$A$4:$G$729,2,0)</f>
        <v>0</v>
      </c>
      <c r="Q564" s="462">
        <f>VLOOKUP($E564,'5.1 Budget'!$A$4:$G$729,3,0)</f>
        <v>0</v>
      </c>
      <c r="R564" s="462">
        <f>VLOOKUP($E564,'5.1 Budget'!$A$4:$G$729,4,0)</f>
        <v>0</v>
      </c>
      <c r="S564" s="462">
        <f>VLOOKUP($E564,'5.1 Budget'!$A$4:$G$729,5,0)</f>
        <v>0</v>
      </c>
      <c r="T564" s="462">
        <f>VLOOKUP($E564,'5.1 Budget'!$A$4:$G$729,6,0)</f>
        <v>0</v>
      </c>
      <c r="U564" s="462">
        <f>VLOOKUP($E564,'5.1 Budget'!$A$4:$G$729,7,0)</f>
        <v>0</v>
      </c>
      <c r="V564" s="462">
        <f t="shared" si="9"/>
        <v>0</v>
      </c>
    </row>
    <row r="565" spans="1:22" ht="26.25" x14ac:dyDescent="0.25">
      <c r="A565" s="465">
        <v>5</v>
      </c>
      <c r="B565" s="12" t="s">
        <v>169</v>
      </c>
      <c r="C565" s="12" t="s">
        <v>170</v>
      </c>
      <c r="D565" s="12" t="s">
        <v>103</v>
      </c>
      <c r="E565" s="12" t="s">
        <v>1102</v>
      </c>
      <c r="F565" s="469" t="str">
        <f>VLOOKUP(E565,'5. Consolidation'!$E$3:$F$715,2,0)</f>
        <v>Valoriser les eaux d’exhaure de carrières, eaux qui sont aujourd’hui rejetées dans les eaux de surface alors qu’elles sont potables ou potabilisables. VIVAQUA étudie d’ores et déjà une piste très concrète</v>
      </c>
      <c r="G565" s="12"/>
      <c r="H565" s="12"/>
      <c r="I565" s="12"/>
      <c r="J565" s="12"/>
      <c r="K565" s="12"/>
      <c r="L565" s="12"/>
      <c r="M565" s="12"/>
      <c r="N565" s="12"/>
      <c r="O565" s="12"/>
      <c r="P565" s="462">
        <f>VLOOKUP($E565,'5.1 Budget'!$A$4:$G$729,2,0)</f>
        <v>0</v>
      </c>
      <c r="Q565" s="462">
        <f>VLOOKUP($E565,'5.1 Budget'!$A$4:$G$729,3,0)</f>
        <v>0</v>
      </c>
      <c r="R565" s="462">
        <f>VLOOKUP($E565,'5.1 Budget'!$A$4:$G$729,4,0)</f>
        <v>0</v>
      </c>
      <c r="S565" s="462">
        <f>VLOOKUP($E565,'5.1 Budget'!$A$4:$G$729,5,0)</f>
        <v>0</v>
      </c>
      <c r="T565" s="462">
        <f>VLOOKUP($E565,'5.1 Budget'!$A$4:$G$729,6,0)</f>
        <v>0</v>
      </c>
      <c r="U565" s="462">
        <f>VLOOKUP($E565,'5.1 Budget'!$A$4:$G$729,7,0)</f>
        <v>0</v>
      </c>
      <c r="V565" s="462">
        <f t="shared" si="9"/>
        <v>0</v>
      </c>
    </row>
    <row r="566" spans="1:22" ht="39" x14ac:dyDescent="0.25">
      <c r="A566" s="465">
        <v>5</v>
      </c>
      <c r="B566" s="12" t="s">
        <v>169</v>
      </c>
      <c r="C566" s="12" t="s">
        <v>170</v>
      </c>
      <c r="D566" s="12" t="s">
        <v>103</v>
      </c>
      <c r="E566" s="12" t="s">
        <v>1103</v>
      </c>
      <c r="F566" s="469" t="str">
        <f>VLOOKUP(E566,'5. Consolidation'!$E$3:$F$715,2,0)</f>
        <v>Prospecter de nouveaux sites de captage le long du réseau d’adduction de VIVAQUA, tant pour des besoins d’eau en continu que pour satisfaire à des pics de consommation. Un exemple est l’aquifère du socle paléozoïque présent sous Bruxelles à plus grande profondeur ou dans le Nord Namurois et le Brabant Wallon</v>
      </c>
      <c r="G566" s="12"/>
      <c r="H566" s="12"/>
      <c r="I566" s="12"/>
      <c r="J566" s="12"/>
      <c r="K566" s="12"/>
      <c r="L566" s="12"/>
      <c r="M566" s="12"/>
      <c r="N566" s="12"/>
      <c r="O566" s="12"/>
      <c r="P566" s="462">
        <f>VLOOKUP($E566,'5.1 Budget'!$A$4:$G$729,2,0)</f>
        <v>0</v>
      </c>
      <c r="Q566" s="462">
        <f>VLOOKUP($E566,'5.1 Budget'!$A$4:$G$729,3,0)</f>
        <v>0</v>
      </c>
      <c r="R566" s="462">
        <f>VLOOKUP($E566,'5.1 Budget'!$A$4:$G$729,4,0)</f>
        <v>0</v>
      </c>
      <c r="S566" s="462">
        <f>VLOOKUP($E566,'5.1 Budget'!$A$4:$G$729,5,0)</f>
        <v>0</v>
      </c>
      <c r="T566" s="462">
        <f>VLOOKUP($E566,'5.1 Budget'!$A$4:$G$729,6,0)</f>
        <v>0</v>
      </c>
      <c r="U566" s="462">
        <f>VLOOKUP($E566,'5.1 Budget'!$A$4:$G$729,7,0)</f>
        <v>0</v>
      </c>
      <c r="V566" s="462">
        <f t="shared" si="9"/>
        <v>0</v>
      </c>
    </row>
    <row r="567" spans="1:22" ht="39" x14ac:dyDescent="0.25">
      <c r="A567" s="465">
        <v>5</v>
      </c>
      <c r="B567" s="12" t="s">
        <v>169</v>
      </c>
      <c r="C567" s="12" t="s">
        <v>170</v>
      </c>
      <c r="D567" s="12" t="s">
        <v>103</v>
      </c>
      <c r="E567" s="12" t="s">
        <v>1104</v>
      </c>
      <c r="F567" s="469" t="str">
        <f>VLOOKUP(E567,'5. Consolidation'!$E$3:$F$715,2,0)</f>
        <v>Mettre en place l’entretien et la régénération des ouvrages de captage au niveau de Bruxelles. La prospection du socle paléozoïque est également une piste envisagée pour le prélèvement ponctuel d’eau potable ou potabilisable lors de pics de consommation.</v>
      </c>
      <c r="G567" s="12"/>
      <c r="H567" s="12"/>
      <c r="I567" s="12"/>
      <c r="J567" s="12"/>
      <c r="K567" s="12"/>
      <c r="L567" s="12"/>
      <c r="M567" s="12"/>
      <c r="N567" s="12"/>
      <c r="O567" s="12"/>
      <c r="P567" s="462">
        <f>VLOOKUP($E567,'5.1 Budget'!$A$4:$G$729,2,0)</f>
        <v>0</v>
      </c>
      <c r="Q567" s="462">
        <f>VLOOKUP($E567,'5.1 Budget'!$A$4:$G$729,3,0)</f>
        <v>0</v>
      </c>
      <c r="R567" s="462">
        <f>VLOOKUP($E567,'5.1 Budget'!$A$4:$G$729,4,0)</f>
        <v>0</v>
      </c>
      <c r="S567" s="462">
        <f>VLOOKUP($E567,'5.1 Budget'!$A$4:$G$729,5,0)</f>
        <v>0</v>
      </c>
      <c r="T567" s="462">
        <f>VLOOKUP($E567,'5.1 Budget'!$A$4:$G$729,6,0)</f>
        <v>0</v>
      </c>
      <c r="U567" s="462">
        <f>VLOOKUP($E567,'5.1 Budget'!$A$4:$G$729,7,0)</f>
        <v>0</v>
      </c>
      <c r="V567" s="462">
        <f t="shared" si="9"/>
        <v>0</v>
      </c>
    </row>
    <row r="568" spans="1:22" ht="26.25" x14ac:dyDescent="0.25">
      <c r="A568" s="465">
        <v>5</v>
      </c>
      <c r="B568" s="12" t="s">
        <v>169</v>
      </c>
      <c r="C568" s="12" t="s">
        <v>170</v>
      </c>
      <c r="D568" s="12" t="s">
        <v>105</v>
      </c>
      <c r="E568" s="12" t="s">
        <v>1105</v>
      </c>
      <c r="F568" s="469" t="str">
        <f>VLOOKUP(E568,'5. Consolidation'!$E$3:$F$715,2,0)</f>
        <v>Analyse de l’opportunité de recourir à la recharge artificielle et/ou à des aménagements favorisant l’infiltration des eaux de pluie (à plus large échelle que la GiEP)</v>
      </c>
      <c r="G568" s="12"/>
      <c r="H568" s="12"/>
      <c r="I568" s="12"/>
      <c r="J568" s="12"/>
      <c r="K568" s="12"/>
      <c r="L568" s="12"/>
      <c r="M568" s="12"/>
      <c r="N568" s="12"/>
      <c r="O568" s="12"/>
      <c r="P568" s="462">
        <f>VLOOKUP($E568,'5.1 Budget'!$A$4:$G$729,2,0)</f>
        <v>0</v>
      </c>
      <c r="Q568" s="462">
        <f>VLOOKUP($E568,'5.1 Budget'!$A$4:$G$729,3,0)</f>
        <v>0</v>
      </c>
      <c r="R568" s="462">
        <f>VLOOKUP($E568,'5.1 Budget'!$A$4:$G$729,4,0)</f>
        <v>0</v>
      </c>
      <c r="S568" s="462">
        <f>VLOOKUP($E568,'5.1 Budget'!$A$4:$G$729,5,0)</f>
        <v>0</v>
      </c>
      <c r="T568" s="462">
        <f>VLOOKUP($E568,'5.1 Budget'!$A$4:$G$729,6,0)</f>
        <v>0</v>
      </c>
      <c r="U568" s="462">
        <f>VLOOKUP($E568,'5.1 Budget'!$A$4:$G$729,7,0)</f>
        <v>0</v>
      </c>
      <c r="V568" s="462">
        <f t="shared" si="9"/>
        <v>0</v>
      </c>
    </row>
    <row r="569" spans="1:22" x14ac:dyDescent="0.25">
      <c r="A569" s="465">
        <v>5</v>
      </c>
      <c r="B569" s="12" t="s">
        <v>169</v>
      </c>
      <c r="C569" s="12" t="s">
        <v>170</v>
      </c>
      <c r="D569" s="12" t="s">
        <v>105</v>
      </c>
      <c r="E569" s="12" t="s">
        <v>1106</v>
      </c>
      <c r="F569" s="469" t="str">
        <f>VLOOKUP(E569,'5. Consolidation'!$E$3:$F$715,2,0)</f>
        <v>Identifier les lieux qui s’y disposent, le cas échéant</v>
      </c>
      <c r="G569" s="12"/>
      <c r="H569" s="12"/>
      <c r="I569" s="12"/>
      <c r="J569" s="12"/>
      <c r="K569" s="12"/>
      <c r="L569" s="12"/>
      <c r="M569" s="12"/>
      <c r="N569" s="12"/>
      <c r="O569" s="12"/>
      <c r="P569" s="462">
        <f>VLOOKUP($E569,'5.1 Budget'!$A$4:$G$729,2,0)</f>
        <v>0</v>
      </c>
      <c r="Q569" s="462">
        <f>VLOOKUP($E569,'5.1 Budget'!$A$4:$G$729,3,0)</f>
        <v>0</v>
      </c>
      <c r="R569" s="462">
        <f>VLOOKUP($E569,'5.1 Budget'!$A$4:$G$729,4,0)</f>
        <v>0</v>
      </c>
      <c r="S569" s="462">
        <f>VLOOKUP($E569,'5.1 Budget'!$A$4:$G$729,5,0)</f>
        <v>0</v>
      </c>
      <c r="T569" s="462">
        <f>VLOOKUP($E569,'5.1 Budget'!$A$4:$G$729,6,0)</f>
        <v>0</v>
      </c>
      <c r="U569" s="462">
        <f>VLOOKUP($E569,'5.1 Budget'!$A$4:$G$729,7,0)</f>
        <v>0</v>
      </c>
      <c r="V569" s="462">
        <f t="shared" si="9"/>
        <v>0</v>
      </c>
    </row>
    <row r="570" spans="1:22" ht="26.25" x14ac:dyDescent="0.25">
      <c r="A570" s="465">
        <v>5</v>
      </c>
      <c r="B570" s="12" t="s">
        <v>169</v>
      </c>
      <c r="C570" s="12" t="s">
        <v>171</v>
      </c>
      <c r="D570" s="12" t="s">
        <v>106</v>
      </c>
      <c r="E570" s="12" t="s">
        <v>1107</v>
      </c>
      <c r="F570" s="469" t="str">
        <f>VLOOKUP(E570,'5. Consolidation'!$E$3:$F$715,2,0)</f>
        <v>Mener une politique de communication portant sur la culture du risque lié aux inondations et aux épisodes de sécheresse pour la Région via les canaux appropriés.</v>
      </c>
      <c r="G570" s="12"/>
      <c r="H570" s="12"/>
      <c r="I570" s="12"/>
      <c r="J570" s="12"/>
      <c r="K570" s="12"/>
      <c r="L570" s="12"/>
      <c r="M570" s="12"/>
      <c r="N570" s="12"/>
      <c r="O570" s="12"/>
      <c r="P570" s="462">
        <f>VLOOKUP($E570,'5.1 Budget'!$A$4:$G$729,2,0)</f>
        <v>0</v>
      </c>
      <c r="Q570" s="462">
        <f>VLOOKUP($E570,'5.1 Budget'!$A$4:$G$729,3,0)</f>
        <v>0</v>
      </c>
      <c r="R570" s="462">
        <f>VLOOKUP($E570,'5.1 Budget'!$A$4:$G$729,4,0)</f>
        <v>0</v>
      </c>
      <c r="S570" s="462">
        <f>VLOOKUP($E570,'5.1 Budget'!$A$4:$G$729,5,0)</f>
        <v>0</v>
      </c>
      <c r="T570" s="462">
        <f>VLOOKUP($E570,'5.1 Budget'!$A$4:$G$729,6,0)</f>
        <v>0</v>
      </c>
      <c r="U570" s="462">
        <f>VLOOKUP($E570,'5.1 Budget'!$A$4:$G$729,7,0)</f>
        <v>0</v>
      </c>
      <c r="V570" s="462">
        <f t="shared" si="9"/>
        <v>0</v>
      </c>
    </row>
    <row r="571" spans="1:22" x14ac:dyDescent="0.25">
      <c r="A571" s="465">
        <v>5</v>
      </c>
      <c r="B571" s="12" t="s">
        <v>169</v>
      </c>
      <c r="C571" s="12" t="s">
        <v>171</v>
      </c>
      <c r="D571" s="12" t="s">
        <v>106</v>
      </c>
      <c r="E571" s="12" t="s">
        <v>1108</v>
      </c>
      <c r="F571" s="469" t="str">
        <f>VLOOKUP(E571,'5. Consolidation'!$E$3:$F$715,2,0)</f>
        <v>Prévenir et accompagner les personnes sinistrées en cas de survenance d’inondation ou de sécheresse</v>
      </c>
      <c r="G571" s="12"/>
      <c r="H571" s="12"/>
      <c r="I571" s="12"/>
      <c r="J571" s="12"/>
      <c r="K571" s="12"/>
      <c r="L571" s="12"/>
      <c r="M571" s="12"/>
      <c r="N571" s="12"/>
      <c r="O571" s="12"/>
      <c r="P571" s="462">
        <f>VLOOKUP($E571,'5.1 Budget'!$A$4:$G$729,2,0)</f>
        <v>0</v>
      </c>
      <c r="Q571" s="462">
        <f>VLOOKUP($E571,'5.1 Budget'!$A$4:$G$729,3,0)</f>
        <v>0</v>
      </c>
      <c r="R571" s="462">
        <f>VLOOKUP($E571,'5.1 Budget'!$A$4:$G$729,4,0)</f>
        <v>0</v>
      </c>
      <c r="S571" s="462">
        <f>VLOOKUP($E571,'5.1 Budget'!$A$4:$G$729,5,0)</f>
        <v>0</v>
      </c>
      <c r="T571" s="462">
        <f>VLOOKUP($E571,'5.1 Budget'!$A$4:$G$729,6,0)</f>
        <v>0</v>
      </c>
      <c r="U571" s="462">
        <f>VLOOKUP($E571,'5.1 Budget'!$A$4:$G$729,7,0)</f>
        <v>0</v>
      </c>
      <c r="V571" s="462">
        <f t="shared" si="9"/>
        <v>0</v>
      </c>
    </row>
    <row r="572" spans="1:22" ht="39" x14ac:dyDescent="0.25">
      <c r="A572" s="465">
        <v>5</v>
      </c>
      <c r="B572" s="12" t="s">
        <v>169</v>
      </c>
      <c r="C572" s="12" t="s">
        <v>171</v>
      </c>
      <c r="D572" s="12" t="s">
        <v>106</v>
      </c>
      <c r="E572" s="12" t="s">
        <v>1109</v>
      </c>
      <c r="F572" s="469" t="str">
        <f>VLOOKUP(E572,'5. Consolidation'!$E$3:$F$715,2,0)</f>
        <v>GiEP et mesures de protection 
Proposer des séances de sensibilisation, de partage d’expériences et d’échanges de connaissance sous forme de visites, de conférences ou d’atelier dirigées vers tous les publics professionnels ou privés.</v>
      </c>
      <c r="G572" s="12"/>
      <c r="H572" s="12"/>
      <c r="I572" s="12"/>
      <c r="J572" s="12"/>
      <c r="K572" s="12"/>
      <c r="L572" s="12"/>
      <c r="M572" s="12"/>
      <c r="N572" s="459">
        <v>2022</v>
      </c>
      <c r="O572" s="12">
        <v>2027</v>
      </c>
      <c r="P572" s="462">
        <f>VLOOKUP($E572,'5.1 Budget'!$A$4:$G$729,2,0)</f>
        <v>10000</v>
      </c>
      <c r="Q572" s="462">
        <f>VLOOKUP($E572,'5.1 Budget'!$A$4:$G$729,3,0)</f>
        <v>10000</v>
      </c>
      <c r="R572" s="462">
        <f>VLOOKUP($E572,'5.1 Budget'!$A$4:$G$729,4,0)</f>
        <v>10000</v>
      </c>
      <c r="S572" s="462">
        <f>VLOOKUP($E572,'5.1 Budget'!$A$4:$G$729,5,0)</f>
        <v>10000</v>
      </c>
      <c r="T572" s="462">
        <f>VLOOKUP($E572,'5.1 Budget'!$A$4:$G$729,6,0)</f>
        <v>10000</v>
      </c>
      <c r="U572" s="462">
        <f>VLOOKUP($E572,'5.1 Budget'!$A$4:$G$729,7,0)</f>
        <v>10000</v>
      </c>
      <c r="V572" s="462">
        <f t="shared" si="9"/>
        <v>60000</v>
      </c>
    </row>
    <row r="573" spans="1:22" ht="51.75" x14ac:dyDescent="0.25">
      <c r="A573" s="465">
        <v>5</v>
      </c>
      <c r="B573" s="12" t="s">
        <v>169</v>
      </c>
      <c r="C573" s="12" t="s">
        <v>171</v>
      </c>
      <c r="D573" s="12" t="s">
        <v>106</v>
      </c>
      <c r="E573" s="12" t="s">
        <v>1110</v>
      </c>
      <c r="F573" s="469" t="str">
        <f>VLOOKUP(E573,'5. Consolidation'!$E$3:$F$715,2,0)</f>
        <v>GiEP et mesures de protection
Offrir une gamme de formations adaptées aux différents publics (régionaux, communaux, bâti, espace public, professionnels, sensibilisation, avancés,…). Les formations sont assurées par le Facilitateur Eau (avec sous-traitants selon besoin) et co-organisées soit par le Département Eau, soit par le Service Formation de BE.</v>
      </c>
      <c r="G573" s="12"/>
      <c r="H573" s="12"/>
      <c r="I573" s="12"/>
      <c r="J573" s="12"/>
      <c r="K573" s="12"/>
      <c r="L573" s="12"/>
      <c r="M573" s="12"/>
      <c r="N573" s="459">
        <v>2022</v>
      </c>
      <c r="O573" s="12">
        <v>2027</v>
      </c>
      <c r="P573" s="462">
        <f>VLOOKUP($E573,'5.1 Budget'!$A$4:$G$729,2,0)</f>
        <v>30000</v>
      </c>
      <c r="Q573" s="462">
        <f>VLOOKUP($E573,'5.1 Budget'!$A$4:$G$729,3,0)</f>
        <v>30000</v>
      </c>
      <c r="R573" s="462">
        <f>VLOOKUP($E573,'5.1 Budget'!$A$4:$G$729,4,0)</f>
        <v>30000</v>
      </c>
      <c r="S573" s="462">
        <f>VLOOKUP($E573,'5.1 Budget'!$A$4:$G$729,5,0)</f>
        <v>30000</v>
      </c>
      <c r="T573" s="462">
        <f>VLOOKUP($E573,'5.1 Budget'!$A$4:$G$729,6,0)</f>
        <v>30000</v>
      </c>
      <c r="U573" s="462">
        <f>VLOOKUP($E573,'5.1 Budget'!$A$4:$G$729,7,0)</f>
        <v>30000</v>
      </c>
      <c r="V573" s="462">
        <f t="shared" si="9"/>
        <v>180000</v>
      </c>
    </row>
    <row r="574" spans="1:22" ht="77.25" x14ac:dyDescent="0.25">
      <c r="A574" s="465">
        <v>5</v>
      </c>
      <c r="B574" s="12" t="s">
        <v>169</v>
      </c>
      <c r="C574" s="12" t="s">
        <v>171</v>
      </c>
      <c r="D574" s="12" t="s">
        <v>106</v>
      </c>
      <c r="E574" s="12" t="s">
        <v>1111</v>
      </c>
      <c r="F574" s="469" t="str">
        <f>VLOOKUP(E574,'5. Consolidation'!$E$3:$F$715,2,0)</f>
        <v>GiEP et mesures de protection
Développer et diffuser du contenu à destination des particuliers en vue de les informer/sensibiliser au mieux sur leur rôle et les actions qui sont entre leurs mains, via tous les canaux de communication de BE mais aussi  via nos partenaires externes dans leurs missions quotidiennes (homegrade.brussels, le Réseau Habitat, associations proches des citoyens,…). Des FAQs seraient également développées dans cet objectif et un canal de communication ad hoc identifié pour répondre de manière personnalisée aux questions plus spécifiques.</v>
      </c>
      <c r="G574" s="12"/>
      <c r="H574" s="12"/>
      <c r="I574" s="12"/>
      <c r="J574" s="12"/>
      <c r="K574" s="12"/>
      <c r="L574" s="12"/>
      <c r="M574" s="12"/>
      <c r="N574" s="12"/>
      <c r="O574" s="12"/>
      <c r="P574" s="462">
        <f>VLOOKUP($E574,'5.1 Budget'!$A$4:$G$729,2,0)</f>
        <v>0</v>
      </c>
      <c r="Q574" s="462">
        <f>VLOOKUP($E574,'5.1 Budget'!$A$4:$G$729,3,0)</f>
        <v>0</v>
      </c>
      <c r="R574" s="462">
        <f>VLOOKUP($E574,'5.1 Budget'!$A$4:$G$729,4,0)</f>
        <v>0</v>
      </c>
      <c r="S574" s="462">
        <f>VLOOKUP($E574,'5.1 Budget'!$A$4:$G$729,5,0)</f>
        <v>0</v>
      </c>
      <c r="T574" s="462">
        <f>VLOOKUP($E574,'5.1 Budget'!$A$4:$G$729,6,0)</f>
        <v>0</v>
      </c>
      <c r="U574" s="462">
        <f>VLOOKUP($E574,'5.1 Budget'!$A$4:$G$729,7,0)</f>
        <v>0</v>
      </c>
      <c r="V574" s="462">
        <f t="shared" si="9"/>
        <v>0</v>
      </c>
    </row>
    <row r="575" spans="1:22" ht="26.25" x14ac:dyDescent="0.25">
      <c r="A575" s="465">
        <v>5</v>
      </c>
      <c r="B575" s="12" t="s">
        <v>169</v>
      </c>
      <c r="C575" s="12" t="s">
        <v>171</v>
      </c>
      <c r="D575" s="12" t="s">
        <v>106</v>
      </c>
      <c r="E575" s="12" t="s">
        <v>1112</v>
      </c>
      <c r="F575" s="469" t="str">
        <f>VLOOKUP(E575,'5. Consolidation'!$E$3:$F$715,2,0)</f>
        <v>GiEP et mesures de protection
Envoi vers M 5.5 : carte du Maillage Pluie</v>
      </c>
      <c r="G575" s="12"/>
      <c r="H575" s="12"/>
      <c r="I575" s="12"/>
      <c r="J575" s="12"/>
      <c r="K575" s="12"/>
      <c r="L575" s="12"/>
      <c r="M575" s="12"/>
      <c r="N575" s="12"/>
      <c r="O575" s="12"/>
      <c r="P575" s="462">
        <f>VLOOKUP($E575,'5.1 Budget'!$A$4:$G$729,2,0)</f>
        <v>0</v>
      </c>
      <c r="Q575" s="462">
        <f>VLOOKUP($E575,'5.1 Budget'!$A$4:$G$729,3,0)</f>
        <v>0</v>
      </c>
      <c r="R575" s="462">
        <f>VLOOKUP($E575,'5.1 Budget'!$A$4:$G$729,4,0)</f>
        <v>0</v>
      </c>
      <c r="S575" s="462">
        <f>VLOOKUP($E575,'5.1 Budget'!$A$4:$G$729,5,0)</f>
        <v>0</v>
      </c>
      <c r="T575" s="462">
        <f>VLOOKUP($E575,'5.1 Budget'!$A$4:$G$729,6,0)</f>
        <v>0</v>
      </c>
      <c r="U575" s="462">
        <f>VLOOKUP($E575,'5.1 Budget'!$A$4:$G$729,7,0)</f>
        <v>0</v>
      </c>
      <c r="V575" s="462">
        <f t="shared" si="9"/>
        <v>0</v>
      </c>
    </row>
    <row r="576" spans="1:22" ht="39" x14ac:dyDescent="0.25">
      <c r="A576" s="465">
        <v>5</v>
      </c>
      <c r="B576" s="12" t="s">
        <v>169</v>
      </c>
      <c r="C576" s="12" t="s">
        <v>171</v>
      </c>
      <c r="D576" s="12" t="s">
        <v>106</v>
      </c>
      <c r="E576" s="12" t="s">
        <v>1113</v>
      </c>
      <c r="F576" s="469" t="str">
        <f>VLOOKUP(E576,'5. Consolidation'!$E$3:$F$715,2,0)</f>
        <v>GiEP et mesures de protection
Développer des contenus en commun et intégrer aux outils existants un focus sur des réalisations exemplaires (success-story)  en espaces publics pour les mettre en avant et leur offrir une visibilité plus pérenne</v>
      </c>
      <c r="G576" s="12"/>
      <c r="H576" s="12"/>
      <c r="I576" s="12"/>
      <c r="J576" s="12"/>
      <c r="K576" s="12"/>
      <c r="L576" s="12"/>
      <c r="M576" s="12"/>
      <c r="N576" s="12"/>
      <c r="O576" s="12"/>
      <c r="P576" s="462">
        <f>VLOOKUP($E576,'5.1 Budget'!$A$4:$G$729,2,0)</f>
        <v>0</v>
      </c>
      <c r="Q576" s="462">
        <f>VLOOKUP($E576,'5.1 Budget'!$A$4:$G$729,3,0)</f>
        <v>0</v>
      </c>
      <c r="R576" s="462">
        <f>VLOOKUP($E576,'5.1 Budget'!$A$4:$G$729,4,0)</f>
        <v>0</v>
      </c>
      <c r="S576" s="462">
        <f>VLOOKUP($E576,'5.1 Budget'!$A$4:$G$729,5,0)</f>
        <v>0</v>
      </c>
      <c r="T576" s="462">
        <f>VLOOKUP($E576,'5.1 Budget'!$A$4:$G$729,6,0)</f>
        <v>0</v>
      </c>
      <c r="U576" s="462">
        <f>VLOOKUP($E576,'5.1 Budget'!$A$4:$G$729,7,0)</f>
        <v>0</v>
      </c>
      <c r="V576" s="462">
        <f t="shared" si="9"/>
        <v>0</v>
      </c>
    </row>
    <row r="577" spans="1:22" ht="26.25" x14ac:dyDescent="0.25">
      <c r="A577" s="465">
        <v>5</v>
      </c>
      <c r="B577" s="12" t="s">
        <v>169</v>
      </c>
      <c r="C577" s="12" t="s">
        <v>171</v>
      </c>
      <c r="D577" s="12" t="s">
        <v>106</v>
      </c>
      <c r="E577" s="12" t="s">
        <v>1114</v>
      </c>
      <c r="F577" s="469" t="str">
        <f>VLOOKUP(E577,'5. Consolidation'!$E$3:$F$715,2,0)</f>
        <v>Sécheresse
Communiquer sur l’effet d’Îlots de chaleur urbain (ICU) et la manière de limiter localement cet effet</v>
      </c>
      <c r="G577" s="12"/>
      <c r="H577" s="12"/>
      <c r="I577" s="12"/>
      <c r="J577" s="12"/>
      <c r="K577" s="12"/>
      <c r="L577" s="12"/>
      <c r="M577" s="12"/>
      <c r="N577" s="12"/>
      <c r="O577" s="12"/>
      <c r="P577" s="462">
        <f>VLOOKUP($E577,'5.1 Budget'!$A$4:$G$729,2,0)</f>
        <v>0</v>
      </c>
      <c r="Q577" s="462">
        <f>VLOOKUP($E577,'5.1 Budget'!$A$4:$G$729,3,0)</f>
        <v>0</v>
      </c>
      <c r="R577" s="462">
        <f>VLOOKUP($E577,'5.1 Budget'!$A$4:$G$729,4,0)</f>
        <v>0</v>
      </c>
      <c r="S577" s="462">
        <f>VLOOKUP($E577,'5.1 Budget'!$A$4:$G$729,5,0)</f>
        <v>0</v>
      </c>
      <c r="T577" s="462">
        <f>VLOOKUP($E577,'5.1 Budget'!$A$4:$G$729,6,0)</f>
        <v>0</v>
      </c>
      <c r="U577" s="462">
        <f>VLOOKUP($E577,'5.1 Budget'!$A$4:$G$729,7,0)</f>
        <v>0</v>
      </c>
      <c r="V577" s="462">
        <f t="shared" si="9"/>
        <v>0</v>
      </c>
    </row>
    <row r="578" spans="1:22" ht="26.25" x14ac:dyDescent="0.25">
      <c r="A578" s="465">
        <v>5</v>
      </c>
      <c r="B578" s="12" t="s">
        <v>169</v>
      </c>
      <c r="C578" s="12" t="s">
        <v>171</v>
      </c>
      <c r="D578" s="12" t="s">
        <v>106</v>
      </c>
      <c r="E578" s="12" t="s">
        <v>1115</v>
      </c>
      <c r="F578" s="469" t="str">
        <f>VLOOKUP(E578,'5. Consolidation'!$E$3:$F$715,2,0)</f>
        <v>Inondation
Conscientiser les habitants sur l’impact favorable de l’adaptation du bâti.</v>
      </c>
      <c r="G578" s="12"/>
      <c r="H578" s="12"/>
      <c r="I578" s="12"/>
      <c r="J578" s="12"/>
      <c r="K578" s="12"/>
      <c r="L578" s="12"/>
      <c r="M578" s="12"/>
      <c r="N578" s="12"/>
      <c r="O578" s="12"/>
      <c r="P578" s="462">
        <f>VLOOKUP($E578,'5.1 Budget'!$A$4:$G$729,2,0)</f>
        <v>0</v>
      </c>
      <c r="Q578" s="462">
        <f>VLOOKUP($E578,'5.1 Budget'!$A$4:$G$729,3,0)</f>
        <v>0</v>
      </c>
      <c r="R578" s="462">
        <f>VLOOKUP($E578,'5.1 Budget'!$A$4:$G$729,4,0)</f>
        <v>0</v>
      </c>
      <c r="S578" s="462">
        <f>VLOOKUP($E578,'5.1 Budget'!$A$4:$G$729,5,0)</f>
        <v>0</v>
      </c>
      <c r="T578" s="462">
        <f>VLOOKUP($E578,'5.1 Budget'!$A$4:$G$729,6,0)</f>
        <v>0</v>
      </c>
      <c r="U578" s="462">
        <f>VLOOKUP($E578,'5.1 Budget'!$A$4:$G$729,7,0)</f>
        <v>0</v>
      </c>
      <c r="V578" s="462">
        <f t="shared" si="9"/>
        <v>0</v>
      </c>
    </row>
    <row r="579" spans="1:22" x14ac:dyDescent="0.25">
      <c r="A579" s="465">
        <v>5</v>
      </c>
      <c r="B579" s="12" t="s">
        <v>169</v>
      </c>
      <c r="C579" s="12" t="s">
        <v>170</v>
      </c>
      <c r="D579" s="12" t="s">
        <v>107</v>
      </c>
      <c r="E579" s="12" t="s">
        <v>1127</v>
      </c>
      <c r="F579" s="469" t="str">
        <f>VLOOKUP(E579,'5. Consolidation'!$E$3:$F$715,2,0)</f>
        <v>Finaliser le projet prioritaire 25 - Water Quantity Plan (phase 2 : 2025-2040)</v>
      </c>
      <c r="G579" s="12"/>
      <c r="H579" s="12"/>
      <c r="I579" s="12"/>
      <c r="J579" s="12"/>
      <c r="K579" s="12"/>
      <c r="L579" s="12"/>
      <c r="M579" s="12"/>
      <c r="N579" s="12"/>
      <c r="O579" s="12"/>
      <c r="P579" s="462">
        <f>VLOOKUP($E579,'5.1 Budget'!$A$4:$G$729,2,0)</f>
        <v>0</v>
      </c>
      <c r="Q579" s="462">
        <f>VLOOKUP($E579,'5.1 Budget'!$A$4:$G$729,3,0)</f>
        <v>0</v>
      </c>
      <c r="R579" s="462">
        <f>VLOOKUP($E579,'5.1 Budget'!$A$4:$G$729,4,0)</f>
        <v>0</v>
      </c>
      <c r="S579" s="462">
        <f>VLOOKUP($E579,'5.1 Budget'!$A$4:$G$729,5,0)</f>
        <v>0</v>
      </c>
      <c r="T579" s="462">
        <f>VLOOKUP($E579,'5.1 Budget'!$A$4:$G$729,6,0)</f>
        <v>0</v>
      </c>
      <c r="U579" s="462">
        <f>VLOOKUP($E579,'5.1 Budget'!$A$4:$G$729,7,0)</f>
        <v>0</v>
      </c>
      <c r="V579" s="462">
        <f t="shared" ref="V579:V642" si="10">SUM(P579:U579)</f>
        <v>0</v>
      </c>
    </row>
    <row r="580" spans="1:22" x14ac:dyDescent="0.25">
      <c r="A580" s="465">
        <v>5</v>
      </c>
      <c r="B580" s="12" t="s">
        <v>169</v>
      </c>
      <c r="C580" s="12" t="s">
        <v>170</v>
      </c>
      <c r="D580" s="12" t="s">
        <v>107</v>
      </c>
      <c r="E580" s="12" t="s">
        <v>1128</v>
      </c>
      <c r="F580" s="469" t="str">
        <f>VLOOKUP(E580,'5. Consolidation'!$E$3:$F$715,2,0)</f>
        <v>Communiquer sur le Water Quantity Plan</v>
      </c>
      <c r="G580" s="12"/>
      <c r="H580" s="12"/>
      <c r="I580" s="12"/>
      <c r="J580" s="12"/>
      <c r="K580" s="12"/>
      <c r="L580" s="12"/>
      <c r="M580" s="12"/>
      <c r="N580" s="12"/>
      <c r="O580" s="12"/>
      <c r="P580" s="462">
        <f>VLOOKUP($E580,'5.1 Budget'!$A$4:$G$729,2,0)</f>
        <v>0</v>
      </c>
      <c r="Q580" s="462">
        <f>VLOOKUP($E580,'5.1 Budget'!$A$4:$G$729,3,0)</f>
        <v>0</v>
      </c>
      <c r="R580" s="462">
        <f>VLOOKUP($E580,'5.1 Budget'!$A$4:$G$729,4,0)</f>
        <v>0</v>
      </c>
      <c r="S580" s="462">
        <f>VLOOKUP($E580,'5.1 Budget'!$A$4:$G$729,5,0)</f>
        <v>0</v>
      </c>
      <c r="T580" s="462">
        <f>VLOOKUP($E580,'5.1 Budget'!$A$4:$G$729,6,0)</f>
        <v>0</v>
      </c>
      <c r="U580" s="462">
        <f>VLOOKUP($E580,'5.1 Budget'!$A$4:$G$729,7,0)</f>
        <v>0</v>
      </c>
      <c r="V580" s="462">
        <f t="shared" si="10"/>
        <v>0</v>
      </c>
    </row>
    <row r="581" spans="1:22" x14ac:dyDescent="0.25">
      <c r="A581" s="465">
        <v>5</v>
      </c>
      <c r="B581" s="12" t="s">
        <v>169</v>
      </c>
      <c r="C581" s="12" t="s">
        <v>170</v>
      </c>
      <c r="D581" s="12" t="s">
        <v>107</v>
      </c>
      <c r="E581" s="12" t="s">
        <v>1129</v>
      </c>
      <c r="F581" s="469" t="str">
        <f>VLOOKUP(E581,'5. Consolidation'!$E$3:$F$715,2,0)</f>
        <v>Assurer une veille scientifique et poursuivre la collecte de données utiles</v>
      </c>
      <c r="G581" s="12"/>
      <c r="H581" s="12"/>
      <c r="I581" s="12"/>
      <c r="J581" s="12"/>
      <c r="K581" s="12"/>
      <c r="L581" s="12"/>
      <c r="M581" s="12"/>
      <c r="N581" s="12"/>
      <c r="O581" s="12"/>
      <c r="P581" s="462">
        <f>VLOOKUP($E581,'5.1 Budget'!$A$4:$G$729,2,0)</f>
        <v>0</v>
      </c>
      <c r="Q581" s="462">
        <f>VLOOKUP($E581,'5.1 Budget'!$A$4:$G$729,3,0)</f>
        <v>0</v>
      </c>
      <c r="R581" s="462">
        <f>VLOOKUP($E581,'5.1 Budget'!$A$4:$G$729,4,0)</f>
        <v>0</v>
      </c>
      <c r="S581" s="462">
        <f>VLOOKUP($E581,'5.1 Budget'!$A$4:$G$729,5,0)</f>
        <v>0</v>
      </c>
      <c r="T581" s="462">
        <f>VLOOKUP($E581,'5.1 Budget'!$A$4:$G$729,6,0)</f>
        <v>0</v>
      </c>
      <c r="U581" s="462">
        <f>VLOOKUP($E581,'5.1 Budget'!$A$4:$G$729,7,0)</f>
        <v>0</v>
      </c>
      <c r="V581" s="462">
        <f t="shared" si="10"/>
        <v>0</v>
      </c>
    </row>
    <row r="582" spans="1:22" ht="51.75" x14ac:dyDescent="0.25">
      <c r="A582" s="465">
        <v>5</v>
      </c>
      <c r="B582" s="12" t="s">
        <v>169</v>
      </c>
      <c r="C582" s="12" t="s">
        <v>170</v>
      </c>
      <c r="D582" s="12" t="s">
        <v>107</v>
      </c>
      <c r="E582" s="12" t="s">
        <v>1130</v>
      </c>
      <c r="F582" s="469" t="str">
        <f>VLOOKUP(E582,'5. Consolidation'!$E$3:$F$715,2,0)</f>
        <v>Évaluer (sur base de modélisation et de scénarios climatiques) l’impact du changement climatique sur les eaux souterraines : baisse piézométrique, baisse de débit de la galerie VIVAQUA et de l’alimentation des eaux de surface, impact sur les écosystèmes dépendants des eaux souterraines, incidence sur les usages des eaux souterraines (captages et géothermie)</v>
      </c>
      <c r="G582" s="12"/>
      <c r="H582" s="12"/>
      <c r="I582" s="12"/>
      <c r="J582" s="12"/>
      <c r="K582" s="12"/>
      <c r="L582" s="12"/>
      <c r="M582" s="12"/>
      <c r="N582" s="12"/>
      <c r="O582" s="12"/>
      <c r="P582" s="462">
        <f>VLOOKUP($E582,'5.1 Budget'!$A$4:$G$729,2,0)</f>
        <v>0</v>
      </c>
      <c r="Q582" s="462">
        <f>VLOOKUP($E582,'5.1 Budget'!$A$4:$G$729,3,0)</f>
        <v>0</v>
      </c>
      <c r="R582" s="462">
        <f>VLOOKUP($E582,'5.1 Budget'!$A$4:$G$729,4,0)</f>
        <v>0</v>
      </c>
      <c r="S582" s="462">
        <f>VLOOKUP($E582,'5.1 Budget'!$A$4:$G$729,5,0)</f>
        <v>0</v>
      </c>
      <c r="T582" s="462">
        <f>VLOOKUP($E582,'5.1 Budget'!$A$4:$G$729,6,0)</f>
        <v>0</v>
      </c>
      <c r="U582" s="462">
        <f>VLOOKUP($E582,'5.1 Budget'!$A$4:$G$729,7,0)</f>
        <v>0</v>
      </c>
      <c r="V582" s="462">
        <f t="shared" si="10"/>
        <v>0</v>
      </c>
    </row>
    <row r="583" spans="1:22" ht="26.25" x14ac:dyDescent="0.25">
      <c r="A583" s="465">
        <v>5</v>
      </c>
      <c r="B583" s="12" t="s">
        <v>169</v>
      </c>
      <c r="C583" s="12" t="s">
        <v>170</v>
      </c>
      <c r="D583" s="12" t="s">
        <v>107</v>
      </c>
      <c r="E583" s="12" t="s">
        <v>1131</v>
      </c>
      <c r="F583" s="469" t="str">
        <f>VLOOKUP(E583,'5. Consolidation'!$E$3:$F$715,2,0)</f>
        <v>Evaluer l’impact du changement climatique sur les étangs en termes budgétaire afin de pouvoir anticiper l’ampleur des surcoûts à prévoir</v>
      </c>
      <c r="G583" s="12"/>
      <c r="H583" s="12"/>
      <c r="I583" s="12"/>
      <c r="J583" s="12"/>
      <c r="K583" s="12"/>
      <c r="L583" s="12"/>
      <c r="M583" s="12"/>
      <c r="N583" s="12"/>
      <c r="O583" s="12"/>
      <c r="P583" s="462">
        <f>VLOOKUP($E583,'5.1 Budget'!$A$4:$G$729,2,0)</f>
        <v>0</v>
      </c>
      <c r="Q583" s="462">
        <f>VLOOKUP($E583,'5.1 Budget'!$A$4:$G$729,3,0)</f>
        <v>0</v>
      </c>
      <c r="R583" s="462">
        <f>VLOOKUP($E583,'5.1 Budget'!$A$4:$G$729,4,0)</f>
        <v>0</v>
      </c>
      <c r="S583" s="462">
        <f>VLOOKUP($E583,'5.1 Budget'!$A$4:$G$729,5,0)</f>
        <v>0</v>
      </c>
      <c r="T583" s="462">
        <f>VLOOKUP($E583,'5.1 Budget'!$A$4:$G$729,6,0)</f>
        <v>0</v>
      </c>
      <c r="U583" s="462">
        <f>VLOOKUP($E583,'5.1 Budget'!$A$4:$G$729,7,0)</f>
        <v>0</v>
      </c>
      <c r="V583" s="462">
        <f t="shared" si="10"/>
        <v>0</v>
      </c>
    </row>
    <row r="584" spans="1:22" x14ac:dyDescent="0.25">
      <c r="A584" s="465">
        <v>5</v>
      </c>
      <c r="B584" s="12" t="s">
        <v>169</v>
      </c>
      <c r="C584" s="12" t="s">
        <v>170</v>
      </c>
      <c r="D584" s="12" t="s">
        <v>107</v>
      </c>
      <c r="E584" s="12" t="s">
        <v>1132</v>
      </c>
      <c r="F584" s="469" t="str">
        <f>VLOOKUP(E584,'5. Consolidation'!$E$3:$F$715,2,0)</f>
        <v>Évaluer l’impact du changement climatique sur la qualité des masses d’eau de surface</v>
      </c>
      <c r="G584" s="12"/>
      <c r="H584" s="12"/>
      <c r="I584" s="12"/>
      <c r="J584" s="12"/>
      <c r="K584" s="12"/>
      <c r="L584" s="12"/>
      <c r="M584" s="12"/>
      <c r="N584" s="459">
        <v>2024</v>
      </c>
      <c r="O584" s="12"/>
      <c r="P584" s="462">
        <f>VLOOKUP($E584,'5.1 Budget'!$A$4:$G$729,2,0)</f>
        <v>0</v>
      </c>
      <c r="Q584" s="462">
        <f>VLOOKUP($E584,'5.1 Budget'!$A$4:$G$729,3,0)</f>
        <v>0</v>
      </c>
      <c r="R584" s="462">
        <f>VLOOKUP($E584,'5.1 Budget'!$A$4:$G$729,4,0)</f>
        <v>10000</v>
      </c>
      <c r="S584" s="462">
        <f>VLOOKUP($E584,'5.1 Budget'!$A$4:$G$729,5,0)</f>
        <v>0</v>
      </c>
      <c r="T584" s="462">
        <f>VLOOKUP($E584,'5.1 Budget'!$A$4:$G$729,6,0)</f>
        <v>10000</v>
      </c>
      <c r="U584" s="462">
        <f>VLOOKUP($E584,'5.1 Budget'!$A$4:$G$729,7,0)</f>
        <v>0</v>
      </c>
      <c r="V584" s="462">
        <f t="shared" si="10"/>
        <v>20000</v>
      </c>
    </row>
    <row r="585" spans="1:22" x14ac:dyDescent="0.25">
      <c r="A585" s="465">
        <v>5</v>
      </c>
      <c r="B585" s="12" t="s">
        <v>169</v>
      </c>
      <c r="C585" s="12" t="s">
        <v>170</v>
      </c>
      <c r="D585" s="12" t="s">
        <v>107</v>
      </c>
      <c r="E585" s="12" t="s">
        <v>1133</v>
      </c>
      <c r="F585" s="469" t="str">
        <f>VLOOKUP(E585,'5. Consolidation'!$E$3:$F$715,2,0)</f>
        <v>Encourager les projets d’innovation en matière de résilience de la Région face aux perturbations du cycle de l’eau</v>
      </c>
      <c r="G585" s="12"/>
      <c r="H585" s="12"/>
      <c r="I585" s="12"/>
      <c r="J585" s="12"/>
      <c r="K585" s="12"/>
      <c r="L585" s="12"/>
      <c r="M585" s="12"/>
      <c r="N585" s="12"/>
      <c r="O585" s="12"/>
      <c r="P585" s="462">
        <f>VLOOKUP($E585,'5.1 Budget'!$A$4:$G$729,2,0)</f>
        <v>0</v>
      </c>
      <c r="Q585" s="462">
        <f>VLOOKUP($E585,'5.1 Budget'!$A$4:$G$729,3,0)</f>
        <v>0</v>
      </c>
      <c r="R585" s="462">
        <f>VLOOKUP($E585,'5.1 Budget'!$A$4:$G$729,4,0)</f>
        <v>0</v>
      </c>
      <c r="S585" s="462">
        <f>VLOOKUP($E585,'5.1 Budget'!$A$4:$G$729,5,0)</f>
        <v>0</v>
      </c>
      <c r="T585" s="462">
        <f>VLOOKUP($E585,'5.1 Budget'!$A$4:$G$729,6,0)</f>
        <v>0</v>
      </c>
      <c r="U585" s="462">
        <f>VLOOKUP($E585,'5.1 Budget'!$A$4:$G$729,7,0)</f>
        <v>0</v>
      </c>
      <c r="V585" s="462">
        <f t="shared" si="10"/>
        <v>0</v>
      </c>
    </row>
    <row r="586" spans="1:22" x14ac:dyDescent="0.25">
      <c r="A586" s="465">
        <v>5</v>
      </c>
      <c r="B586" s="12" t="s">
        <v>169</v>
      </c>
      <c r="C586" s="12" t="s">
        <v>170</v>
      </c>
      <c r="D586" s="12" t="s">
        <v>107</v>
      </c>
      <c r="E586" s="12" t="s">
        <v>1134</v>
      </c>
      <c r="F586" s="469" t="str">
        <f>VLOOKUP(E586,'5. Consolidation'!$E$3:$F$715,2,0)</f>
        <v>Prendre part aux appels à projets menant à des partenariats européens d’innovation</v>
      </c>
      <c r="G586" s="12"/>
      <c r="H586" s="12"/>
      <c r="I586" s="12"/>
      <c r="J586" s="12"/>
      <c r="K586" s="12"/>
      <c r="L586" s="12"/>
      <c r="M586" s="12"/>
      <c r="N586" s="12"/>
      <c r="O586" s="12"/>
      <c r="P586" s="462">
        <f>VLOOKUP($E586,'5.1 Budget'!$A$4:$G$729,2,0)</f>
        <v>0</v>
      </c>
      <c r="Q586" s="462">
        <f>VLOOKUP($E586,'5.1 Budget'!$A$4:$G$729,3,0)</f>
        <v>0</v>
      </c>
      <c r="R586" s="462">
        <f>VLOOKUP($E586,'5.1 Budget'!$A$4:$G$729,4,0)</f>
        <v>0</v>
      </c>
      <c r="S586" s="462">
        <f>VLOOKUP($E586,'5.1 Budget'!$A$4:$G$729,5,0)</f>
        <v>0</v>
      </c>
      <c r="T586" s="462">
        <f>VLOOKUP($E586,'5.1 Budget'!$A$4:$G$729,6,0)</f>
        <v>0</v>
      </c>
      <c r="U586" s="462">
        <f>VLOOKUP($E586,'5.1 Budget'!$A$4:$G$729,7,0)</f>
        <v>0</v>
      </c>
      <c r="V586" s="462">
        <f t="shared" si="10"/>
        <v>0</v>
      </c>
    </row>
    <row r="587" spans="1:22" ht="26.25" x14ac:dyDescent="0.25">
      <c r="A587" s="465">
        <v>6</v>
      </c>
      <c r="B587" s="12" t="s">
        <v>172</v>
      </c>
      <c r="C587" s="12" t="s">
        <v>173</v>
      </c>
      <c r="D587" s="12" t="s">
        <v>110</v>
      </c>
      <c r="E587" s="12" t="s">
        <v>1161</v>
      </c>
      <c r="F587" s="469" t="str">
        <f>VLOOKUP(E587,'5. Consolidation'!$E$3:$F$715,2,0)</f>
        <v>Etablir une vision programmatique par sous-bassin versant pour les travaux extraordinaires à réaliser sur le réseau hydrographique</v>
      </c>
      <c r="G587" s="12"/>
      <c r="H587" s="12"/>
      <c r="I587" s="12"/>
      <c r="J587" s="12"/>
      <c r="K587" s="12"/>
      <c r="L587" s="12"/>
      <c r="M587" s="12"/>
      <c r="N587" s="12"/>
      <c r="O587" s="12"/>
      <c r="P587" s="462">
        <f>VLOOKUP($E587,'5.1 Budget'!$A$4:$G$729,2,0)</f>
        <v>0</v>
      </c>
      <c r="Q587" s="462">
        <f>VLOOKUP($E587,'5.1 Budget'!$A$4:$G$729,3,0)</f>
        <v>0</v>
      </c>
      <c r="R587" s="462">
        <f>VLOOKUP($E587,'5.1 Budget'!$A$4:$G$729,4,0)</f>
        <v>0</v>
      </c>
      <c r="S587" s="462">
        <f>VLOOKUP($E587,'5.1 Budget'!$A$4:$G$729,5,0)</f>
        <v>0</v>
      </c>
      <c r="T587" s="462">
        <f>VLOOKUP($E587,'5.1 Budget'!$A$4:$G$729,6,0)</f>
        <v>0</v>
      </c>
      <c r="U587" s="462">
        <f>VLOOKUP($E587,'5.1 Budget'!$A$4:$G$729,7,0)</f>
        <v>0</v>
      </c>
      <c r="V587" s="462">
        <f t="shared" si="10"/>
        <v>0</v>
      </c>
    </row>
    <row r="588" spans="1:22" x14ac:dyDescent="0.25">
      <c r="A588" s="465">
        <v>6</v>
      </c>
      <c r="B588" s="12" t="s">
        <v>172</v>
      </c>
      <c r="C588" s="12" t="s">
        <v>173</v>
      </c>
      <c r="D588" s="12" t="s">
        <v>110</v>
      </c>
      <c r="E588" s="12" t="s">
        <v>1162</v>
      </c>
      <c r="F588" s="469" t="str">
        <f>VLOOKUP(E588,'5. Consolidation'!$E$3:$F$715,2,0)</f>
        <v>Etablir un plan d’entretien par sous-bassin versant pour les travaux ordinaires et de lutte contre les espèces invasives</v>
      </c>
      <c r="G588" s="12"/>
      <c r="H588" s="12"/>
      <c r="I588" s="12"/>
      <c r="J588" s="12"/>
      <c r="K588" s="12"/>
      <c r="L588" s="12"/>
      <c r="M588" s="12"/>
      <c r="N588" s="12"/>
      <c r="O588" s="12"/>
      <c r="P588" s="462">
        <f>VLOOKUP($E588,'5.1 Budget'!$A$4:$G$729,2,0)</f>
        <v>0</v>
      </c>
      <c r="Q588" s="462">
        <f>VLOOKUP($E588,'5.1 Budget'!$A$4:$G$729,3,0)</f>
        <v>0</v>
      </c>
      <c r="R588" s="462">
        <f>VLOOKUP($E588,'5.1 Budget'!$A$4:$G$729,4,0)</f>
        <v>0</v>
      </c>
      <c r="S588" s="462">
        <f>VLOOKUP($E588,'5.1 Budget'!$A$4:$G$729,5,0)</f>
        <v>0</v>
      </c>
      <c r="T588" s="462">
        <f>VLOOKUP($E588,'5.1 Budget'!$A$4:$G$729,6,0)</f>
        <v>0</v>
      </c>
      <c r="U588" s="462">
        <f>VLOOKUP($E588,'5.1 Budget'!$A$4:$G$729,7,0)</f>
        <v>0</v>
      </c>
      <c r="V588" s="462">
        <f t="shared" si="10"/>
        <v>0</v>
      </c>
    </row>
    <row r="589" spans="1:22" x14ac:dyDescent="0.25">
      <c r="A589" s="465">
        <v>6</v>
      </c>
      <c r="B589" s="12" t="s">
        <v>172</v>
      </c>
      <c r="C589" s="12" t="s">
        <v>173</v>
      </c>
      <c r="D589" s="12" t="s">
        <v>111</v>
      </c>
      <c r="E589" s="12" t="s">
        <v>1176</v>
      </c>
      <c r="F589" s="469" t="str">
        <f>VLOOKUP(E589,'5. Consolidation'!$E$3:$F$715,2,0)</f>
        <v>Finalisation et approbation du plan de gestion des étangs</v>
      </c>
      <c r="G589" s="12"/>
      <c r="H589" s="12"/>
      <c r="I589" s="12"/>
      <c r="J589" s="12"/>
      <c r="K589" s="12"/>
      <c r="L589" s="12"/>
      <c r="M589" s="12"/>
      <c r="N589" s="12"/>
      <c r="O589" s="12"/>
      <c r="P589" s="462">
        <f>VLOOKUP($E589,'5.1 Budget'!$A$4:$G$729,2,0)</f>
        <v>0</v>
      </c>
      <c r="Q589" s="462">
        <f>VLOOKUP($E589,'5.1 Budget'!$A$4:$G$729,3,0)</f>
        <v>0</v>
      </c>
      <c r="R589" s="462">
        <f>VLOOKUP($E589,'5.1 Budget'!$A$4:$G$729,4,0)</f>
        <v>0</v>
      </c>
      <c r="S589" s="462">
        <f>VLOOKUP($E589,'5.1 Budget'!$A$4:$G$729,5,0)</f>
        <v>0</v>
      </c>
      <c r="T589" s="462">
        <f>VLOOKUP($E589,'5.1 Budget'!$A$4:$G$729,6,0)</f>
        <v>0</v>
      </c>
      <c r="U589" s="462">
        <f>VLOOKUP($E589,'5.1 Budget'!$A$4:$G$729,7,0)</f>
        <v>0</v>
      </c>
      <c r="V589" s="462">
        <f t="shared" si="10"/>
        <v>0</v>
      </c>
    </row>
    <row r="590" spans="1:22" ht="39" x14ac:dyDescent="0.25">
      <c r="A590" s="465">
        <v>6</v>
      </c>
      <c r="B590" s="12" t="s">
        <v>172</v>
      </c>
      <c r="C590" s="12" t="s">
        <v>173</v>
      </c>
      <c r="D590" s="12" t="s">
        <v>111</v>
      </c>
      <c r="E590" s="12" t="s">
        <v>1177</v>
      </c>
      <c r="F590" s="469" t="str">
        <f>VLOOKUP(E590,'5. Consolidation'!$E$3:$F$715,2,0)</f>
        <v>Mener à bien le Projet « SmartWater », projet de sciences citoyennes de monitoring pour optimiser l'état des eaux de surface et comprenant un volet de modélisation des cyanobactéries, pour orienter la gestion des étangs selon les résultats observés</v>
      </c>
      <c r="G590" s="12"/>
      <c r="H590" s="12"/>
      <c r="I590" s="12"/>
      <c r="J590" s="12"/>
      <c r="K590" s="12"/>
      <c r="L590" s="12"/>
      <c r="M590" s="12"/>
      <c r="N590" s="459">
        <v>2022</v>
      </c>
      <c r="O590" s="12"/>
      <c r="P590" s="462">
        <f>VLOOKUP($E590,'5.1 Budget'!$A$4:$G$729,2,0)</f>
        <v>68600</v>
      </c>
      <c r="Q590" s="462">
        <f>VLOOKUP($E590,'5.1 Budget'!$A$4:$G$729,3,0)</f>
        <v>68600</v>
      </c>
      <c r="R590" s="462">
        <f>VLOOKUP($E590,'5.1 Budget'!$A$4:$G$729,4,0)</f>
        <v>0</v>
      </c>
      <c r="S590" s="462">
        <f>VLOOKUP($E590,'5.1 Budget'!$A$4:$G$729,5,0)</f>
        <v>0</v>
      </c>
      <c r="T590" s="462">
        <f>VLOOKUP($E590,'5.1 Budget'!$A$4:$G$729,6,0)</f>
        <v>0</v>
      </c>
      <c r="U590" s="462">
        <f>VLOOKUP($E590,'5.1 Budget'!$A$4:$G$729,7,0)</f>
        <v>0</v>
      </c>
      <c r="V590" s="462">
        <f t="shared" si="10"/>
        <v>137200</v>
      </c>
    </row>
    <row r="591" spans="1:22" x14ac:dyDescent="0.25">
      <c r="A591" s="465">
        <v>6</v>
      </c>
      <c r="B591" s="12" t="s">
        <v>172</v>
      </c>
      <c r="C591" s="12" t="s">
        <v>173</v>
      </c>
      <c r="D591" s="12" t="s">
        <v>111</v>
      </c>
      <c r="E591" s="12" t="s">
        <v>1178</v>
      </c>
      <c r="F591" s="469" t="str">
        <f>VLOOKUP(E591,'5. Consolidation'!$E$3:$F$715,2,0)</f>
        <v>Intégration du plan de gestion des étangs dans les différents plans de gestion des sites Natura 2000</v>
      </c>
      <c r="G591" s="12"/>
      <c r="H591" s="12"/>
      <c r="I591" s="12"/>
      <c r="J591" s="12"/>
      <c r="K591" s="12"/>
      <c r="L591" s="12"/>
      <c r="M591" s="12"/>
      <c r="N591" s="12"/>
      <c r="O591" s="12"/>
      <c r="P591" s="462">
        <f>VLOOKUP($E591,'5.1 Budget'!$A$4:$G$729,2,0)</f>
        <v>0</v>
      </c>
      <c r="Q591" s="462">
        <f>VLOOKUP($E591,'5.1 Budget'!$A$4:$G$729,3,0)</f>
        <v>0</v>
      </c>
      <c r="R591" s="462">
        <f>VLOOKUP($E591,'5.1 Budget'!$A$4:$G$729,4,0)</f>
        <v>0</v>
      </c>
      <c r="S591" s="462">
        <f>VLOOKUP($E591,'5.1 Budget'!$A$4:$G$729,5,0)</f>
        <v>0</v>
      </c>
      <c r="T591" s="462">
        <f>VLOOKUP($E591,'5.1 Budget'!$A$4:$G$729,6,0)</f>
        <v>0</v>
      </c>
      <c r="U591" s="462">
        <f>VLOOKUP($E591,'5.1 Budget'!$A$4:$G$729,7,0)</f>
        <v>0</v>
      </c>
      <c r="V591" s="462">
        <f t="shared" si="10"/>
        <v>0</v>
      </c>
    </row>
    <row r="592" spans="1:22" ht="26.25" x14ac:dyDescent="0.25">
      <c r="A592" s="465">
        <v>6</v>
      </c>
      <c r="B592" s="12" t="s">
        <v>172</v>
      </c>
      <c r="C592" s="12" t="s">
        <v>173</v>
      </c>
      <c r="D592" s="12" t="s">
        <v>111</v>
      </c>
      <c r="E592" s="12" t="s">
        <v>1179</v>
      </c>
      <c r="F592" s="469" t="str">
        <f>VLOOKUP(E592,'5. Consolidation'!$E$3:$F$715,2,0)</f>
        <v>Mesure de suivi de la qualité des étangs et du degré d’envasement : monitoring de la qualité de la colonne d’eau, des sédiments et de la qualité biologique, bathymétries, et autres suivis réguliers ou ponctuels</v>
      </c>
      <c r="G592" s="12"/>
      <c r="H592" s="12"/>
      <c r="I592" s="12"/>
      <c r="J592" s="12"/>
      <c r="K592" s="12"/>
      <c r="L592" s="12"/>
      <c r="M592" s="12"/>
      <c r="N592" s="459">
        <v>2022</v>
      </c>
      <c r="O592" s="12">
        <v>2027</v>
      </c>
      <c r="P592" s="462">
        <f>VLOOKUP($E592,'5.1 Budget'!$A$4:$G$729,2,0)</f>
        <v>8000</v>
      </c>
      <c r="Q592" s="462">
        <f>VLOOKUP($E592,'5.1 Budget'!$A$4:$G$729,3,0)</f>
        <v>8000</v>
      </c>
      <c r="R592" s="462">
        <f>VLOOKUP($E592,'5.1 Budget'!$A$4:$G$729,4,0)</f>
        <v>8000</v>
      </c>
      <c r="S592" s="462">
        <f>VLOOKUP($E592,'5.1 Budget'!$A$4:$G$729,5,0)</f>
        <v>8000</v>
      </c>
      <c r="T592" s="462">
        <f>VLOOKUP($E592,'5.1 Budget'!$A$4:$G$729,6,0)</f>
        <v>8000</v>
      </c>
      <c r="U592" s="462">
        <f>VLOOKUP($E592,'5.1 Budget'!$A$4:$G$729,7,0)</f>
        <v>8000</v>
      </c>
      <c r="V592" s="462">
        <f t="shared" si="10"/>
        <v>48000</v>
      </c>
    </row>
    <row r="593" spans="1:22" x14ac:dyDescent="0.25">
      <c r="A593" s="465">
        <v>6</v>
      </c>
      <c r="B593" s="12" t="s">
        <v>172</v>
      </c>
      <c r="C593" s="12" t="s">
        <v>173</v>
      </c>
      <c r="D593" s="12" t="s">
        <v>112</v>
      </c>
      <c r="E593" s="12" t="s">
        <v>1180</v>
      </c>
      <c r="F593" s="469" t="str">
        <f>VLOOKUP(E593,'5. Consolidation'!$E$3:$F$715,2,0)</f>
        <v>Réaliser les entretiens des siphons</v>
      </c>
      <c r="G593" s="12"/>
      <c r="H593" s="12"/>
      <c r="I593" s="12"/>
      <c r="J593" s="12"/>
      <c r="K593" s="12"/>
      <c r="L593" s="12"/>
      <c r="M593" s="12"/>
      <c r="N593" s="459">
        <v>2022</v>
      </c>
      <c r="O593" s="12">
        <v>2027</v>
      </c>
      <c r="P593" s="462">
        <f>VLOOKUP($E593,'5.1 Budget'!$A$4:$G$729,2,0)</f>
        <v>50000</v>
      </c>
      <c r="Q593" s="462">
        <f>VLOOKUP($E593,'5.1 Budget'!$A$4:$G$729,3,0)</f>
        <v>50000</v>
      </c>
      <c r="R593" s="462">
        <f>VLOOKUP($E593,'5.1 Budget'!$A$4:$G$729,4,0)</f>
        <v>50000</v>
      </c>
      <c r="S593" s="462">
        <f>VLOOKUP($E593,'5.1 Budget'!$A$4:$G$729,5,0)</f>
        <v>50000</v>
      </c>
      <c r="T593" s="462">
        <f>VLOOKUP($E593,'5.1 Budget'!$A$4:$G$729,6,0)</f>
        <v>50000</v>
      </c>
      <c r="U593" s="462">
        <f>VLOOKUP($E593,'5.1 Budget'!$A$4:$G$729,7,0)</f>
        <v>50000</v>
      </c>
      <c r="V593" s="462">
        <f t="shared" si="10"/>
        <v>300000</v>
      </c>
    </row>
    <row r="594" spans="1:22" x14ac:dyDescent="0.25">
      <c r="A594" s="465">
        <v>6</v>
      </c>
      <c r="B594" s="12" t="s">
        <v>172</v>
      </c>
      <c r="C594" s="12" t="s">
        <v>173</v>
      </c>
      <c r="D594" s="12" t="s">
        <v>112</v>
      </c>
      <c r="E594" s="12" t="s">
        <v>1181</v>
      </c>
      <c r="F594" s="469" t="str">
        <f>VLOOKUP(E594,'5. Consolidation'!$E$3:$F$715,2,0)</f>
        <v>Mener des actions ponctuelles d’investigation et de débouchage</v>
      </c>
      <c r="G594" s="12"/>
      <c r="H594" s="12"/>
      <c r="I594" s="12"/>
      <c r="J594" s="12"/>
      <c r="K594" s="12"/>
      <c r="L594" s="12"/>
      <c r="M594" s="12"/>
      <c r="N594" s="459">
        <v>2022</v>
      </c>
      <c r="O594" s="12">
        <v>2027</v>
      </c>
      <c r="P594" s="462">
        <f>VLOOKUP($E594,'5.1 Budget'!$A$4:$G$729,2,0)</f>
        <v>35000</v>
      </c>
      <c r="Q594" s="462">
        <f>VLOOKUP($E594,'5.1 Budget'!$A$4:$G$729,3,0)</f>
        <v>35000</v>
      </c>
      <c r="R594" s="462">
        <f>VLOOKUP($E594,'5.1 Budget'!$A$4:$G$729,4,0)</f>
        <v>35000</v>
      </c>
      <c r="S594" s="462">
        <f>VLOOKUP($E594,'5.1 Budget'!$A$4:$G$729,5,0)</f>
        <v>35000</v>
      </c>
      <c r="T594" s="462">
        <f>VLOOKUP($E594,'5.1 Budget'!$A$4:$G$729,6,0)</f>
        <v>35000</v>
      </c>
      <c r="U594" s="462">
        <f>VLOOKUP($E594,'5.1 Budget'!$A$4:$G$729,7,0)</f>
        <v>35000</v>
      </c>
      <c r="V594" s="462">
        <f t="shared" si="10"/>
        <v>210000</v>
      </c>
    </row>
    <row r="595" spans="1:22" ht="26.25" x14ac:dyDescent="0.25">
      <c r="A595" s="465">
        <v>6</v>
      </c>
      <c r="B595" s="12" t="s">
        <v>172</v>
      </c>
      <c r="C595" s="12" t="s">
        <v>173</v>
      </c>
      <c r="D595" s="12" t="s">
        <v>112</v>
      </c>
      <c r="E595" s="12" t="s">
        <v>1182</v>
      </c>
      <c r="F595" s="469" t="str">
        <f>VLOOKUP(E595,'5. Consolidation'!$E$3:$F$715,2,0)</f>
        <v>Réaliser les travaux  d’entretien hydraulique sur les cours d’eau et étangs (y compris curage des cours d’eau en plein air ou en pertuis)</v>
      </c>
      <c r="G595" s="12"/>
      <c r="H595" s="12"/>
      <c r="I595" s="12"/>
      <c r="J595" s="12"/>
      <c r="K595" s="12"/>
      <c r="L595" s="12"/>
      <c r="M595" s="12"/>
      <c r="N595" s="459">
        <v>2022</v>
      </c>
      <c r="O595" s="12">
        <v>2027</v>
      </c>
      <c r="P595" s="462">
        <f>VLOOKUP($E595,'5.1 Budget'!$A$4:$G$729,2,0)</f>
        <v>300000</v>
      </c>
      <c r="Q595" s="462">
        <f>VLOOKUP($E595,'5.1 Budget'!$A$4:$G$729,3,0)</f>
        <v>300000</v>
      </c>
      <c r="R595" s="462">
        <f>VLOOKUP($E595,'5.1 Budget'!$A$4:$G$729,4,0)</f>
        <v>300000</v>
      </c>
      <c r="S595" s="462">
        <f>VLOOKUP($E595,'5.1 Budget'!$A$4:$G$729,5,0)</f>
        <v>300000</v>
      </c>
      <c r="T595" s="462">
        <f>VLOOKUP($E595,'5.1 Budget'!$A$4:$G$729,6,0)</f>
        <v>300000</v>
      </c>
      <c r="U595" s="462">
        <f>VLOOKUP($E595,'5.1 Budget'!$A$4:$G$729,7,0)</f>
        <v>300000</v>
      </c>
      <c r="V595" s="462">
        <f t="shared" si="10"/>
        <v>1800000</v>
      </c>
    </row>
    <row r="596" spans="1:22" x14ac:dyDescent="0.25">
      <c r="A596" s="465">
        <v>6</v>
      </c>
      <c r="B596" s="12" t="s">
        <v>172</v>
      </c>
      <c r="C596" s="12" t="s">
        <v>173</v>
      </c>
      <c r="D596" s="12" t="s">
        <v>112</v>
      </c>
      <c r="E596" s="12" t="s">
        <v>1183</v>
      </c>
      <c r="F596" s="469" t="str">
        <f>VLOOKUP(E596,'5. Consolidation'!$E$3:$F$715,2,0)</f>
        <v>Réaliser des plantations, débroussaillages, des actions d’éco-pâturage, de nettoyage et d’élagage</v>
      </c>
      <c r="G596" s="12"/>
      <c r="H596" s="12"/>
      <c r="I596" s="12"/>
      <c r="J596" s="12"/>
      <c r="K596" s="12"/>
      <c r="L596" s="12"/>
      <c r="M596" s="12"/>
      <c r="N596" s="459">
        <v>2022</v>
      </c>
      <c r="O596" s="12">
        <v>2027</v>
      </c>
      <c r="P596" s="462">
        <f>VLOOKUP($E596,'5.1 Budget'!$A$4:$G$729,2,0)</f>
        <v>250000</v>
      </c>
      <c r="Q596" s="462">
        <f>VLOOKUP($E596,'5.1 Budget'!$A$4:$G$729,3,0)</f>
        <v>250000</v>
      </c>
      <c r="R596" s="462">
        <f>VLOOKUP($E596,'5.1 Budget'!$A$4:$G$729,4,0)</f>
        <v>250000</v>
      </c>
      <c r="S596" s="462">
        <f>VLOOKUP($E596,'5.1 Budget'!$A$4:$G$729,5,0)</f>
        <v>250000</v>
      </c>
      <c r="T596" s="462">
        <f>VLOOKUP($E596,'5.1 Budget'!$A$4:$G$729,6,0)</f>
        <v>250000</v>
      </c>
      <c r="U596" s="462">
        <f>VLOOKUP($E596,'5.1 Budget'!$A$4:$G$729,7,0)</f>
        <v>250000</v>
      </c>
      <c r="V596" s="462">
        <f t="shared" si="10"/>
        <v>1500000</v>
      </c>
    </row>
    <row r="597" spans="1:22" x14ac:dyDescent="0.25">
      <c r="A597" s="465">
        <v>6</v>
      </c>
      <c r="B597" s="12" t="s">
        <v>172</v>
      </c>
      <c r="C597" s="12" t="s">
        <v>173</v>
      </c>
      <c r="D597" s="12" t="s">
        <v>112</v>
      </c>
      <c r="E597" s="12" t="s">
        <v>1184</v>
      </c>
      <c r="F597" s="469" t="str">
        <f>VLOOKUP(E597,'5. Consolidation'!$E$3:$F$715,2,0)</f>
        <v>Assurer les curages  d’entretien nécessaires des étangs et mares</v>
      </c>
      <c r="G597" s="12"/>
      <c r="H597" s="12"/>
      <c r="I597" s="12"/>
      <c r="J597" s="12"/>
      <c r="K597" s="12"/>
      <c r="L597" s="12"/>
      <c r="M597" s="12"/>
      <c r="N597" s="459">
        <v>2022</v>
      </c>
      <c r="O597" s="12"/>
      <c r="P597" s="462">
        <f>VLOOKUP($E597,'5.1 Budget'!$A$4:$G$729,2,0)</f>
        <v>200000</v>
      </c>
      <c r="Q597" s="462">
        <f>VLOOKUP($E597,'5.1 Budget'!$A$4:$G$729,3,0)</f>
        <v>140000</v>
      </c>
      <c r="R597" s="462">
        <f>VLOOKUP($E597,'5.1 Budget'!$A$4:$G$729,4,0)</f>
        <v>490000</v>
      </c>
      <c r="S597" s="462">
        <f>VLOOKUP($E597,'5.1 Budget'!$A$4:$G$729,5,0)</f>
        <v>120000</v>
      </c>
      <c r="T597" s="462">
        <f>VLOOKUP($E597,'5.1 Budget'!$A$4:$G$729,6,0)</f>
        <v>0</v>
      </c>
      <c r="U597" s="462">
        <f>VLOOKUP($E597,'5.1 Budget'!$A$4:$G$729,7,0)</f>
        <v>0</v>
      </c>
      <c r="V597" s="462">
        <f t="shared" si="10"/>
        <v>950000</v>
      </c>
    </row>
    <row r="598" spans="1:22" ht="26.25" x14ac:dyDescent="0.25">
      <c r="A598" s="465">
        <v>6</v>
      </c>
      <c r="B598" s="12" t="s">
        <v>172</v>
      </c>
      <c r="C598" s="12" t="s">
        <v>173</v>
      </c>
      <c r="D598" s="12" t="s">
        <v>112</v>
      </c>
      <c r="E598" s="12" t="s">
        <v>1185</v>
      </c>
      <c r="F598" s="469" t="str">
        <f>VLOOKUP(E598,'5. Consolidation'!$E$3:$F$715,2,0)</f>
        <v>Evaluer les rôles et responsabilités des gestionnaires présumés (évacuation des produits de fauches, plan de plantation avec des plantes indigènes, ….)</v>
      </c>
      <c r="G598" s="12"/>
      <c r="H598" s="12"/>
      <c r="I598" s="12"/>
      <c r="J598" s="12"/>
      <c r="K598" s="12"/>
      <c r="L598" s="12"/>
      <c r="M598" s="12"/>
      <c r="N598" s="12"/>
      <c r="O598" s="12"/>
      <c r="P598" s="462">
        <f>VLOOKUP($E598,'5.1 Budget'!$A$4:$G$729,2,0)</f>
        <v>0</v>
      </c>
      <c r="Q598" s="462">
        <f>VLOOKUP($E598,'5.1 Budget'!$A$4:$G$729,3,0)</f>
        <v>0</v>
      </c>
      <c r="R598" s="462">
        <f>VLOOKUP($E598,'5.1 Budget'!$A$4:$G$729,4,0)</f>
        <v>0</v>
      </c>
      <c r="S598" s="462">
        <f>VLOOKUP($E598,'5.1 Budget'!$A$4:$G$729,5,0)</f>
        <v>0</v>
      </c>
      <c r="T598" s="462">
        <f>VLOOKUP($E598,'5.1 Budget'!$A$4:$G$729,6,0)</f>
        <v>0</v>
      </c>
      <c r="U598" s="462">
        <f>VLOOKUP($E598,'5.1 Budget'!$A$4:$G$729,7,0)</f>
        <v>0</v>
      </c>
      <c r="V598" s="462">
        <f t="shared" si="10"/>
        <v>0</v>
      </c>
    </row>
    <row r="599" spans="1:22" x14ac:dyDescent="0.25">
      <c r="A599" s="465">
        <v>6</v>
      </c>
      <c r="B599" s="12" t="s">
        <v>172</v>
      </c>
      <c r="C599" s="12" t="s">
        <v>173</v>
      </c>
      <c r="D599" s="12" t="s">
        <v>112</v>
      </c>
      <c r="E599" s="12" t="s">
        <v>1186</v>
      </c>
      <c r="F599" s="469" t="str">
        <f>VLOOKUP(E599,'5. Consolidation'!$E$3:$F$715,2,0)</f>
        <v>Entretenir le pertuis de la Senne (ouvrage)</v>
      </c>
      <c r="G599" s="12"/>
      <c r="H599" s="12"/>
      <c r="I599" s="12"/>
      <c r="J599" s="12"/>
      <c r="K599" s="12"/>
      <c r="L599" s="12"/>
      <c r="M599" s="12"/>
      <c r="N599" s="12"/>
      <c r="O599" s="12"/>
      <c r="P599" s="462">
        <f>VLOOKUP($E599,'5.1 Budget'!$A$4:$G$729,2,0)</f>
        <v>0</v>
      </c>
      <c r="Q599" s="462">
        <f>VLOOKUP($E599,'5.1 Budget'!$A$4:$G$729,3,0)</f>
        <v>0</v>
      </c>
      <c r="R599" s="462">
        <f>VLOOKUP($E599,'5.1 Budget'!$A$4:$G$729,4,0)</f>
        <v>0</v>
      </c>
      <c r="S599" s="462">
        <f>VLOOKUP($E599,'5.1 Budget'!$A$4:$G$729,5,0)</f>
        <v>0</v>
      </c>
      <c r="T599" s="462">
        <f>VLOOKUP($E599,'5.1 Budget'!$A$4:$G$729,6,0)</f>
        <v>0</v>
      </c>
      <c r="U599" s="462">
        <f>VLOOKUP($E599,'5.1 Budget'!$A$4:$G$729,7,0)</f>
        <v>0</v>
      </c>
      <c r="V599" s="462">
        <f t="shared" si="10"/>
        <v>0</v>
      </c>
    </row>
    <row r="600" spans="1:22" x14ac:dyDescent="0.25">
      <c r="A600" s="465">
        <v>6</v>
      </c>
      <c r="B600" s="12" t="s">
        <v>172</v>
      </c>
      <c r="C600" s="12" t="s">
        <v>173</v>
      </c>
      <c r="D600" s="12" t="s">
        <v>112</v>
      </c>
      <c r="E600" s="12" t="s">
        <v>1187</v>
      </c>
      <c r="F600" s="469" t="str">
        <f>VLOOKUP(E600,'5. Consolidation'!$E$3:$F$715,2,0)</f>
        <v>Evacuer préventivement les sources d’embâcles le long des cours d’eau (branchages,…)</v>
      </c>
      <c r="G600" s="12"/>
      <c r="H600" s="12"/>
      <c r="I600" s="12"/>
      <c r="J600" s="12"/>
      <c r="K600" s="12"/>
      <c r="L600" s="12"/>
      <c r="M600" s="12"/>
      <c r="N600" s="12"/>
      <c r="O600" s="12"/>
      <c r="P600" s="462">
        <f>VLOOKUP($E600,'5.1 Budget'!$A$4:$G$729,2,0)</f>
        <v>0</v>
      </c>
      <c r="Q600" s="462">
        <f>VLOOKUP($E600,'5.1 Budget'!$A$4:$G$729,3,0)</f>
        <v>0</v>
      </c>
      <c r="R600" s="462">
        <f>VLOOKUP($E600,'5.1 Budget'!$A$4:$G$729,4,0)</f>
        <v>0</v>
      </c>
      <c r="S600" s="462">
        <f>VLOOKUP($E600,'5.1 Budget'!$A$4:$G$729,5,0)</f>
        <v>0</v>
      </c>
      <c r="T600" s="462">
        <f>VLOOKUP($E600,'5.1 Budget'!$A$4:$G$729,6,0)</f>
        <v>0</v>
      </c>
      <c r="U600" s="462">
        <f>VLOOKUP($E600,'5.1 Budget'!$A$4:$G$729,7,0)</f>
        <v>0</v>
      </c>
      <c r="V600" s="462">
        <f t="shared" si="10"/>
        <v>0</v>
      </c>
    </row>
    <row r="601" spans="1:22" x14ac:dyDescent="0.25">
      <c r="A601" s="465">
        <v>6</v>
      </c>
      <c r="B601" s="12" t="s">
        <v>172</v>
      </c>
      <c r="C601" s="12" t="s">
        <v>173</v>
      </c>
      <c r="D601" s="12" t="s">
        <v>113</v>
      </c>
      <c r="E601" s="12" t="s">
        <v>1188</v>
      </c>
      <c r="F601" s="469" t="str">
        <f>VLOOKUP(E601,'5. Consolidation'!$E$3:$F$715,2,0)</f>
        <v>Identification et géolocalisation des résurgences</v>
      </c>
      <c r="G601" s="12"/>
      <c r="H601" s="12"/>
      <c r="I601" s="12"/>
      <c r="J601" s="12"/>
      <c r="K601" s="12"/>
      <c r="L601" s="12"/>
      <c r="M601" s="12"/>
      <c r="N601" s="459">
        <v>2022</v>
      </c>
      <c r="O601" s="12">
        <v>2027</v>
      </c>
      <c r="P601" s="462">
        <f>VLOOKUP($E601,'5.1 Budget'!$A$4:$G$729,2,0)</f>
        <v>10000</v>
      </c>
      <c r="Q601" s="462">
        <f>VLOOKUP($E601,'5.1 Budget'!$A$4:$G$729,3,0)</f>
        <v>10000</v>
      </c>
      <c r="R601" s="462">
        <f>VLOOKUP($E601,'5.1 Budget'!$A$4:$G$729,4,0)</f>
        <v>10000</v>
      </c>
      <c r="S601" s="462">
        <f>VLOOKUP($E601,'5.1 Budget'!$A$4:$G$729,5,0)</f>
        <v>10000</v>
      </c>
      <c r="T601" s="462">
        <f>VLOOKUP($E601,'5.1 Budget'!$A$4:$G$729,6,0)</f>
        <v>10000</v>
      </c>
      <c r="U601" s="462">
        <f>VLOOKUP($E601,'5.1 Budget'!$A$4:$G$729,7,0)</f>
        <v>10000</v>
      </c>
      <c r="V601" s="462">
        <f t="shared" si="10"/>
        <v>60000</v>
      </c>
    </row>
    <row r="602" spans="1:22" x14ac:dyDescent="0.25">
      <c r="A602" s="465">
        <v>6</v>
      </c>
      <c r="B602" s="12" t="s">
        <v>172</v>
      </c>
      <c r="C602" s="12" t="s">
        <v>173</v>
      </c>
      <c r="D602" s="12" t="s">
        <v>113</v>
      </c>
      <c r="E602" s="12" t="s">
        <v>1189</v>
      </c>
      <c r="F602" s="469" t="str">
        <f>VLOOKUP(E602,'5. Consolidation'!$E$3:$F$715,2,0)</f>
        <v>Validation hydrogéologique et intégration dans une base de données et outils cartographiques (atlas, geodata)</v>
      </c>
      <c r="G602" s="12"/>
      <c r="H602" s="12"/>
      <c r="I602" s="12"/>
      <c r="J602" s="12"/>
      <c r="K602" s="12"/>
      <c r="L602" s="12"/>
      <c r="M602" s="12"/>
      <c r="N602" s="12"/>
      <c r="O602" s="12"/>
      <c r="P602" s="462">
        <f>VLOOKUP($E602,'5.1 Budget'!$A$4:$G$729,2,0)</f>
        <v>0</v>
      </c>
      <c r="Q602" s="462">
        <f>VLOOKUP($E602,'5.1 Budget'!$A$4:$G$729,3,0)</f>
        <v>0</v>
      </c>
      <c r="R602" s="462">
        <f>VLOOKUP($E602,'5.1 Budget'!$A$4:$G$729,4,0)</f>
        <v>0</v>
      </c>
      <c r="S602" s="462">
        <f>VLOOKUP($E602,'5.1 Budget'!$A$4:$G$729,5,0)</f>
        <v>0</v>
      </c>
      <c r="T602" s="462">
        <f>VLOOKUP($E602,'5.1 Budget'!$A$4:$G$729,6,0)</f>
        <v>0</v>
      </c>
      <c r="U602" s="462">
        <f>VLOOKUP($E602,'5.1 Budget'!$A$4:$G$729,7,0)</f>
        <v>0</v>
      </c>
      <c r="V602" s="462">
        <f t="shared" si="10"/>
        <v>0</v>
      </c>
    </row>
    <row r="603" spans="1:22" x14ac:dyDescent="0.25">
      <c r="A603" s="465">
        <v>6</v>
      </c>
      <c r="B603" s="12" t="s">
        <v>172</v>
      </c>
      <c r="C603" s="12" t="s">
        <v>173</v>
      </c>
      <c r="D603" s="12" t="s">
        <v>113</v>
      </c>
      <c r="E603" s="12" t="s">
        <v>1190</v>
      </c>
      <c r="F603" s="469" t="str">
        <f>VLOOKUP(E603,'5. Consolidation'!$E$3:$F$715,2,0)</f>
        <v>Communication et mise à disposition des cartes de sensibilisation au public</v>
      </c>
      <c r="G603" s="12"/>
      <c r="H603" s="12"/>
      <c r="I603" s="12"/>
      <c r="J603" s="12"/>
      <c r="K603" s="12"/>
      <c r="L603" s="12"/>
      <c r="M603" s="12"/>
      <c r="N603" s="12"/>
      <c r="O603" s="12"/>
      <c r="P603" s="462">
        <f>VLOOKUP($E603,'5.1 Budget'!$A$4:$G$729,2,0)</f>
        <v>0</v>
      </c>
      <c r="Q603" s="462">
        <f>VLOOKUP($E603,'5.1 Budget'!$A$4:$G$729,3,0)</f>
        <v>0</v>
      </c>
      <c r="R603" s="462">
        <f>VLOOKUP($E603,'5.1 Budget'!$A$4:$G$729,4,0)</f>
        <v>0</v>
      </c>
      <c r="S603" s="462">
        <f>VLOOKUP($E603,'5.1 Budget'!$A$4:$G$729,5,0)</f>
        <v>0</v>
      </c>
      <c r="T603" s="462">
        <f>VLOOKUP($E603,'5.1 Budget'!$A$4:$G$729,6,0)</f>
        <v>0</v>
      </c>
      <c r="U603" s="462">
        <f>VLOOKUP($E603,'5.1 Budget'!$A$4:$G$729,7,0)</f>
        <v>0</v>
      </c>
      <c r="V603" s="462">
        <f t="shared" si="10"/>
        <v>0</v>
      </c>
    </row>
    <row r="604" spans="1:22" x14ac:dyDescent="0.25">
      <c r="A604" s="465">
        <v>6</v>
      </c>
      <c r="B604" s="12" t="s">
        <v>172</v>
      </c>
      <c r="C604" s="12" t="s">
        <v>173</v>
      </c>
      <c r="D604" s="12" t="s">
        <v>113</v>
      </c>
      <c r="E604" s="12" t="s">
        <v>1191</v>
      </c>
      <c r="F604" s="469" t="str">
        <f>VLOOKUP(E604,'5. Consolidation'!$E$3:$F$715,2,0)</f>
        <v>Envisager la mise en valeur des sources par l’amélioration de leur visibilité dans l’espace public</v>
      </c>
      <c r="G604" s="12"/>
      <c r="H604" s="12"/>
      <c r="I604" s="12"/>
      <c r="J604" s="12"/>
      <c r="K604" s="12"/>
      <c r="L604" s="12"/>
      <c r="M604" s="12"/>
      <c r="N604" s="459">
        <v>2023</v>
      </c>
      <c r="O604" s="12"/>
      <c r="P604" s="462">
        <f>VLOOKUP($E604,'5.1 Budget'!$A$4:$G$729,2,0)</f>
        <v>0</v>
      </c>
      <c r="Q604" s="462">
        <f>VLOOKUP($E604,'5.1 Budget'!$A$4:$G$729,3,0)</f>
        <v>5000</v>
      </c>
      <c r="R604" s="462">
        <f>VLOOKUP($E604,'5.1 Budget'!$A$4:$G$729,4,0)</f>
        <v>5000</v>
      </c>
      <c r="S604" s="462">
        <f>VLOOKUP($E604,'5.1 Budget'!$A$4:$G$729,5,0)</f>
        <v>5000</v>
      </c>
      <c r="T604" s="462">
        <f>VLOOKUP($E604,'5.1 Budget'!$A$4:$G$729,6,0)</f>
        <v>5000</v>
      </c>
      <c r="U604" s="462">
        <f>VLOOKUP($E604,'5.1 Budget'!$A$4:$G$729,7,0)</f>
        <v>5000</v>
      </c>
      <c r="V604" s="462">
        <f t="shared" si="10"/>
        <v>25000</v>
      </c>
    </row>
    <row r="605" spans="1:22" ht="26.25" x14ac:dyDescent="0.25">
      <c r="A605" s="465">
        <v>6</v>
      </c>
      <c r="B605" s="12" t="s">
        <v>172</v>
      </c>
      <c r="C605" s="12" t="s">
        <v>173</v>
      </c>
      <c r="D605" s="12" t="s">
        <v>114</v>
      </c>
      <c r="E605" s="12" t="s">
        <v>1192</v>
      </c>
      <c r="F605" s="469" t="str">
        <f>VLOOKUP(E605,'5. Consolidation'!$E$3:$F$715,2,0)</f>
        <v>Assurer une présence sur terrain pour sensibiliser, contrôler et, le cas échéant, sanctionner les personnes qui contreviendraient aux règles établies pour la préservation du réseau hydrographique (y compris formation des agents)</v>
      </c>
      <c r="G605" s="12"/>
      <c r="H605" s="12"/>
      <c r="I605" s="12"/>
      <c r="J605" s="12"/>
      <c r="K605" s="12"/>
      <c r="L605" s="12"/>
      <c r="M605" s="12"/>
      <c r="N605" s="12"/>
      <c r="O605" s="12"/>
      <c r="P605" s="462">
        <f>VLOOKUP($E605,'5.1 Budget'!$A$4:$G$729,2,0)</f>
        <v>0</v>
      </c>
      <c r="Q605" s="462">
        <f>VLOOKUP($E605,'5.1 Budget'!$A$4:$G$729,3,0)</f>
        <v>0</v>
      </c>
      <c r="R605" s="462">
        <f>VLOOKUP($E605,'5.1 Budget'!$A$4:$G$729,4,0)</f>
        <v>0</v>
      </c>
      <c r="S605" s="462">
        <f>VLOOKUP($E605,'5.1 Budget'!$A$4:$G$729,5,0)</f>
        <v>0</v>
      </c>
      <c r="T605" s="462">
        <f>VLOOKUP($E605,'5.1 Budget'!$A$4:$G$729,6,0)</f>
        <v>0</v>
      </c>
      <c r="U605" s="462">
        <f>VLOOKUP($E605,'5.1 Budget'!$A$4:$G$729,7,0)</f>
        <v>0</v>
      </c>
      <c r="V605" s="462">
        <f t="shared" si="10"/>
        <v>0</v>
      </c>
    </row>
    <row r="606" spans="1:22" ht="26.25" x14ac:dyDescent="0.25">
      <c r="A606" s="465">
        <v>6</v>
      </c>
      <c r="B606" s="12" t="s">
        <v>172</v>
      </c>
      <c r="C606" s="12" t="s">
        <v>174</v>
      </c>
      <c r="D606" s="12" t="s">
        <v>116</v>
      </c>
      <c r="E606" s="12" t="s">
        <v>1193</v>
      </c>
      <c r="F606" s="469" t="str">
        <f>VLOOKUP(E606,'5. Consolidation'!$E$3:$F$715,2,0)</f>
        <v>Mener une étude projet d’aménagement d’un étang de baignade et ses abords (pour les parties qui ne concernent pas l’étang de baignade, voir également fiche M 3.7)</v>
      </c>
      <c r="G606" s="12"/>
      <c r="H606" s="12"/>
      <c r="I606" s="12"/>
      <c r="J606" s="12"/>
      <c r="K606" s="12"/>
      <c r="L606" s="12"/>
      <c r="M606" s="12"/>
      <c r="N606" s="459">
        <v>2022</v>
      </c>
      <c r="O606" s="12"/>
      <c r="P606" s="462">
        <f>VLOOKUP($E606,'5.1 Budget'!$A$4:$G$729,2,0)</f>
        <v>200000</v>
      </c>
      <c r="Q606" s="462">
        <f>VLOOKUP($E606,'5.1 Budget'!$A$4:$G$729,3,0)</f>
        <v>65000</v>
      </c>
      <c r="R606" s="462">
        <f>VLOOKUP($E606,'5.1 Budget'!$A$4:$G$729,4,0)</f>
        <v>0</v>
      </c>
      <c r="S606" s="462">
        <f>VLOOKUP($E606,'5.1 Budget'!$A$4:$G$729,5,0)</f>
        <v>0</v>
      </c>
      <c r="T606" s="462">
        <f>VLOOKUP($E606,'5.1 Budget'!$A$4:$G$729,6,0)</f>
        <v>0</v>
      </c>
      <c r="U606" s="462">
        <f>VLOOKUP($E606,'5.1 Budget'!$A$4:$G$729,7,0)</f>
        <v>0</v>
      </c>
      <c r="V606" s="462">
        <f t="shared" si="10"/>
        <v>265000</v>
      </c>
    </row>
    <row r="607" spans="1:22" x14ac:dyDescent="0.25">
      <c r="A607" s="465">
        <v>6</v>
      </c>
      <c r="B607" s="12" t="s">
        <v>172</v>
      </c>
      <c r="C607" s="12" t="s">
        <v>174</v>
      </c>
      <c r="D607" s="12" t="s">
        <v>116</v>
      </c>
      <c r="E607" s="12" t="s">
        <v>1194</v>
      </c>
      <c r="F607" s="469" t="str">
        <f>VLOOKUP(E607,'5. Consolidation'!$E$3:$F$715,2,0)</f>
        <v>Adapter le cadre réglementaire des piscines</v>
      </c>
      <c r="G607" s="12"/>
      <c r="H607" s="12"/>
      <c r="I607" s="12"/>
      <c r="J607" s="12"/>
      <c r="K607" s="12"/>
      <c r="L607" s="12"/>
      <c r="M607" s="12"/>
      <c r="N607" s="12"/>
      <c r="O607" s="12"/>
      <c r="P607" s="462">
        <f>VLOOKUP($E607,'5.1 Budget'!$A$4:$G$729,2,0)</f>
        <v>0</v>
      </c>
      <c r="Q607" s="462">
        <f>VLOOKUP($E607,'5.1 Budget'!$A$4:$G$729,3,0)</f>
        <v>0</v>
      </c>
      <c r="R607" s="462">
        <f>VLOOKUP($E607,'5.1 Budget'!$A$4:$G$729,4,0)</f>
        <v>0</v>
      </c>
      <c r="S607" s="462">
        <f>VLOOKUP($E607,'5.1 Budget'!$A$4:$G$729,5,0)</f>
        <v>0</v>
      </c>
      <c r="T607" s="462">
        <f>VLOOKUP($E607,'5.1 Budget'!$A$4:$G$729,6,0)</f>
        <v>0</v>
      </c>
      <c r="U607" s="462">
        <f>VLOOKUP($E607,'5.1 Budget'!$A$4:$G$729,7,0)</f>
        <v>0</v>
      </c>
      <c r="V607" s="462">
        <f t="shared" si="10"/>
        <v>0</v>
      </c>
    </row>
    <row r="608" spans="1:22" ht="26.25" x14ac:dyDescent="0.25">
      <c r="A608" s="465">
        <v>6</v>
      </c>
      <c r="B608" s="12" t="s">
        <v>172</v>
      </c>
      <c r="C608" s="12" t="s">
        <v>174</v>
      </c>
      <c r="D608" s="12" t="s">
        <v>116</v>
      </c>
      <c r="E608" s="12" t="s">
        <v>1195</v>
      </c>
      <c r="F608" s="469" t="str">
        <f>VLOOKUP(E608,'5. Consolidation'!$E$3:$F$715,2,0)</f>
        <v>Réaliser les travaux d’aménagement d’un étang de baignade et de ses abords (pour les parties qui ne concernent pas l’étang de baignade, voir également fiche M 3.7)</v>
      </c>
      <c r="G608" s="12"/>
      <c r="H608" s="12"/>
      <c r="I608" s="12"/>
      <c r="J608" s="12"/>
      <c r="K608" s="12"/>
      <c r="L608" s="12"/>
      <c r="M608" s="12"/>
      <c r="N608" s="459">
        <v>2023</v>
      </c>
      <c r="O608" s="12"/>
      <c r="P608" s="462">
        <f>VLOOKUP($E608,'5.1 Budget'!$A$4:$G$729,2,0)</f>
        <v>0</v>
      </c>
      <c r="Q608" s="462">
        <f>VLOOKUP($E608,'5.1 Budget'!$A$4:$G$729,3,0)</f>
        <v>2000000</v>
      </c>
      <c r="R608" s="462">
        <f>VLOOKUP($E608,'5.1 Budget'!$A$4:$G$729,4,0)</f>
        <v>4200000</v>
      </c>
      <c r="S608" s="462">
        <f>VLOOKUP($E608,'5.1 Budget'!$A$4:$G$729,5,0)</f>
        <v>0</v>
      </c>
      <c r="T608" s="462">
        <f>VLOOKUP($E608,'5.1 Budget'!$A$4:$G$729,6,0)</f>
        <v>0</v>
      </c>
      <c r="U608" s="462">
        <f>VLOOKUP($E608,'5.1 Budget'!$A$4:$G$729,7,0)</f>
        <v>0</v>
      </c>
      <c r="V608" s="462">
        <f t="shared" si="10"/>
        <v>6200000</v>
      </c>
    </row>
    <row r="609" spans="1:22" x14ac:dyDescent="0.25">
      <c r="A609" s="465">
        <v>6</v>
      </c>
      <c r="B609" s="12" t="s">
        <v>172</v>
      </c>
      <c r="C609" s="12" t="s">
        <v>174</v>
      </c>
      <c r="D609" s="12" t="s">
        <v>116</v>
      </c>
      <c r="E609" s="12" t="s">
        <v>1196</v>
      </c>
      <c r="F609" s="469" t="str">
        <f>VLOOKUP(E609,'5. Consolidation'!$E$3:$F$715,2,0)</f>
        <v>Gestion de l’étang de baignade</v>
      </c>
      <c r="G609" s="12"/>
      <c r="H609" s="12"/>
      <c r="I609" s="12"/>
      <c r="J609" s="12"/>
      <c r="K609" s="12"/>
      <c r="L609" s="12"/>
      <c r="M609" s="12"/>
      <c r="N609" s="12"/>
      <c r="O609" s="12"/>
      <c r="P609" s="462">
        <f>VLOOKUP($E609,'5.1 Budget'!$A$4:$G$729,2,0)</f>
        <v>0</v>
      </c>
      <c r="Q609" s="462">
        <f>VLOOKUP($E609,'5.1 Budget'!$A$4:$G$729,3,0)</f>
        <v>0</v>
      </c>
      <c r="R609" s="462">
        <f>VLOOKUP($E609,'5.1 Budget'!$A$4:$G$729,4,0)</f>
        <v>0</v>
      </c>
      <c r="S609" s="462">
        <f>VLOOKUP($E609,'5.1 Budget'!$A$4:$G$729,5,0)</f>
        <v>0</v>
      </c>
      <c r="T609" s="462">
        <f>VLOOKUP($E609,'5.1 Budget'!$A$4:$G$729,6,0)</f>
        <v>0</v>
      </c>
      <c r="U609" s="462">
        <f>VLOOKUP($E609,'5.1 Budget'!$A$4:$G$729,7,0)</f>
        <v>0</v>
      </c>
      <c r="V609" s="462">
        <f t="shared" si="10"/>
        <v>0</v>
      </c>
    </row>
    <row r="610" spans="1:22" x14ac:dyDescent="0.25">
      <c r="A610" s="465">
        <v>6</v>
      </c>
      <c r="B610" s="12" t="s">
        <v>172</v>
      </c>
      <c r="C610" s="12" t="s">
        <v>174</v>
      </c>
      <c r="D610" s="12" t="s">
        <v>117</v>
      </c>
      <c r="E610" s="12" t="s">
        <v>1197</v>
      </c>
      <c r="F610" s="469" t="str">
        <f>VLOOKUP(E610,'5. Consolidation'!$E$3:$F$715,2,0)</f>
        <v xml:space="preserve">Etablir une vision interne et partagée de la pratique de la pêche en Région de Bruxelles-Capitale </v>
      </c>
      <c r="G610" s="12"/>
      <c r="H610" s="12"/>
      <c r="I610" s="12"/>
      <c r="J610" s="12"/>
      <c r="K610" s="12"/>
      <c r="L610" s="12"/>
      <c r="M610" s="12"/>
      <c r="N610" s="12"/>
      <c r="O610" s="12"/>
      <c r="P610" s="462">
        <f>VLOOKUP($E610,'5.1 Budget'!$A$4:$G$729,2,0)</f>
        <v>0</v>
      </c>
      <c r="Q610" s="462">
        <f>VLOOKUP($E610,'5.1 Budget'!$A$4:$G$729,3,0)</f>
        <v>0</v>
      </c>
      <c r="R610" s="462">
        <f>VLOOKUP($E610,'5.1 Budget'!$A$4:$G$729,4,0)</f>
        <v>0</v>
      </c>
      <c r="S610" s="462">
        <f>VLOOKUP($E610,'5.1 Budget'!$A$4:$G$729,5,0)</f>
        <v>0</v>
      </c>
      <c r="T610" s="462">
        <f>VLOOKUP($E610,'5.1 Budget'!$A$4:$G$729,6,0)</f>
        <v>0</v>
      </c>
      <c r="U610" s="462">
        <f>VLOOKUP($E610,'5.1 Budget'!$A$4:$G$729,7,0)</f>
        <v>0</v>
      </c>
      <c r="V610" s="462">
        <f t="shared" si="10"/>
        <v>0</v>
      </c>
    </row>
    <row r="611" spans="1:22" x14ac:dyDescent="0.25">
      <c r="A611" s="465">
        <v>6</v>
      </c>
      <c r="B611" s="12" t="s">
        <v>172</v>
      </c>
      <c r="C611" s="12" t="s">
        <v>174</v>
      </c>
      <c r="D611" s="12" t="s">
        <v>117</v>
      </c>
      <c r="E611" s="12" t="s">
        <v>1198</v>
      </c>
      <c r="F611" s="469" t="str">
        <f>VLOOKUP(E611,'5. Consolidation'!$E$3:$F$715,2,0)</f>
        <v xml:space="preserve">Rédiger et adopter un arrêté fixant la réglementation et le contrôle de la pratique de la pêche en Région de Bruxelles-Capitale </v>
      </c>
      <c r="G611" s="12"/>
      <c r="H611" s="12"/>
      <c r="I611" s="12"/>
      <c r="J611" s="12"/>
      <c r="K611" s="12"/>
      <c r="L611" s="12"/>
      <c r="M611" s="12"/>
      <c r="N611" s="12"/>
      <c r="O611" s="12"/>
      <c r="P611" s="462">
        <f>VLOOKUP($E611,'5.1 Budget'!$A$4:$G$729,2,0)</f>
        <v>0</v>
      </c>
      <c r="Q611" s="462">
        <f>VLOOKUP($E611,'5.1 Budget'!$A$4:$G$729,3,0)</f>
        <v>0</v>
      </c>
      <c r="R611" s="462">
        <f>VLOOKUP($E611,'5.1 Budget'!$A$4:$G$729,4,0)</f>
        <v>0</v>
      </c>
      <c r="S611" s="462">
        <f>VLOOKUP($E611,'5.1 Budget'!$A$4:$G$729,5,0)</f>
        <v>0</v>
      </c>
      <c r="T611" s="462">
        <f>VLOOKUP($E611,'5.1 Budget'!$A$4:$G$729,6,0)</f>
        <v>0</v>
      </c>
      <c r="U611" s="462">
        <f>VLOOKUP($E611,'5.1 Budget'!$A$4:$G$729,7,0)</f>
        <v>0</v>
      </c>
      <c r="V611" s="462">
        <f t="shared" si="10"/>
        <v>0</v>
      </c>
    </row>
    <row r="612" spans="1:22" x14ac:dyDescent="0.25">
      <c r="A612" s="465">
        <v>6</v>
      </c>
      <c r="B612" s="12" t="s">
        <v>172</v>
      </c>
      <c r="C612" s="12" t="s">
        <v>174</v>
      </c>
      <c r="D612" s="12" t="s">
        <v>117</v>
      </c>
      <c r="E612" s="12" t="s">
        <v>1199</v>
      </c>
      <c r="F612" s="469" t="str">
        <f>VLOOKUP(E612,'5. Consolidation'!$E$3:$F$715,2,0)</f>
        <v>Mettre en œuvre les instruments définis dans l’arrêté</v>
      </c>
      <c r="G612" s="12"/>
      <c r="H612" s="12"/>
      <c r="I612" s="12"/>
      <c r="J612" s="12"/>
      <c r="K612" s="12"/>
      <c r="L612" s="12"/>
      <c r="M612" s="12"/>
      <c r="N612" s="12"/>
      <c r="O612" s="12"/>
      <c r="P612" s="462">
        <f>VLOOKUP($E612,'5.1 Budget'!$A$4:$G$729,2,0)</f>
        <v>0</v>
      </c>
      <c r="Q612" s="462">
        <f>VLOOKUP($E612,'5.1 Budget'!$A$4:$G$729,3,0)</f>
        <v>0</v>
      </c>
      <c r="R612" s="462">
        <f>VLOOKUP($E612,'5.1 Budget'!$A$4:$G$729,4,0)</f>
        <v>0</v>
      </c>
      <c r="S612" s="462">
        <f>VLOOKUP($E612,'5.1 Budget'!$A$4:$G$729,5,0)</f>
        <v>0</v>
      </c>
      <c r="T612" s="462">
        <f>VLOOKUP($E612,'5.1 Budget'!$A$4:$G$729,6,0)</f>
        <v>0</v>
      </c>
      <c r="U612" s="462">
        <f>VLOOKUP($E612,'5.1 Budget'!$A$4:$G$729,7,0)</f>
        <v>0</v>
      </c>
      <c r="V612" s="462">
        <f t="shared" si="10"/>
        <v>0</v>
      </c>
    </row>
    <row r="613" spans="1:22" ht="26.25" x14ac:dyDescent="0.25">
      <c r="A613" s="465">
        <v>6</v>
      </c>
      <c r="B613" s="12" t="s">
        <v>172</v>
      </c>
      <c r="C613" s="12" t="s">
        <v>174</v>
      </c>
      <c r="D613" s="12" t="s">
        <v>117</v>
      </c>
      <c r="E613" s="12" t="s">
        <v>1200</v>
      </c>
      <c r="F613" s="469" t="str">
        <f>VLOOKUP(E613,'5. Consolidation'!$E$3:$F$715,2,0)</f>
        <v>Rédiger un cadre de bonnes pratiques pour la promotion d’une pratique plus durable de la pêche dans les espaces privés et communaux</v>
      </c>
      <c r="G613" s="12"/>
      <c r="H613" s="12"/>
      <c r="I613" s="12"/>
      <c r="J613" s="12"/>
      <c r="K613" s="12"/>
      <c r="L613" s="12"/>
      <c r="M613" s="12"/>
      <c r="N613" s="12"/>
      <c r="O613" s="12"/>
      <c r="P613" s="462">
        <f>VLOOKUP($E613,'5.1 Budget'!$A$4:$G$729,2,0)</f>
        <v>0</v>
      </c>
      <c r="Q613" s="462">
        <f>VLOOKUP($E613,'5.1 Budget'!$A$4:$G$729,3,0)</f>
        <v>0</v>
      </c>
      <c r="R613" s="462">
        <f>VLOOKUP($E613,'5.1 Budget'!$A$4:$G$729,4,0)</f>
        <v>0</v>
      </c>
      <c r="S613" s="462">
        <f>VLOOKUP($E613,'5.1 Budget'!$A$4:$G$729,5,0)</f>
        <v>0</v>
      </c>
      <c r="T613" s="462">
        <f>VLOOKUP($E613,'5.1 Budget'!$A$4:$G$729,6,0)</f>
        <v>0</v>
      </c>
      <c r="U613" s="462">
        <f>VLOOKUP($E613,'5.1 Budget'!$A$4:$G$729,7,0)</f>
        <v>0</v>
      </c>
      <c r="V613" s="462">
        <f t="shared" si="10"/>
        <v>0</v>
      </c>
    </row>
    <row r="614" spans="1:22" ht="26.25" x14ac:dyDescent="0.25">
      <c r="A614" s="465">
        <v>6</v>
      </c>
      <c r="B614" s="12" t="s">
        <v>172</v>
      </c>
      <c r="C614" s="12" t="s">
        <v>174</v>
      </c>
      <c r="D614" s="12" t="s">
        <v>118</v>
      </c>
      <c r="E614" s="12" t="s">
        <v>1201</v>
      </c>
      <c r="F614" s="469" t="str">
        <f>VLOOKUP(E614,'5. Consolidation'!$E$3:$F$715,2,0)</f>
        <v>Etudier les différents traitements d’eau permettant d’assurer une recirculation d’eau tout en facilitant la gestion et l’entretien des installations</v>
      </c>
      <c r="G614" s="12"/>
      <c r="H614" s="12"/>
      <c r="I614" s="12"/>
      <c r="J614" s="12"/>
      <c r="K614" s="12"/>
      <c r="L614" s="12"/>
      <c r="M614" s="12"/>
      <c r="N614" s="459">
        <v>2022</v>
      </c>
      <c r="O614" s="12"/>
      <c r="P614" s="462">
        <f>VLOOKUP($E614,'5.1 Budget'!$A$4:$G$729,2,0)</f>
        <v>50000</v>
      </c>
      <c r="Q614" s="462">
        <f>VLOOKUP($E614,'5.1 Budget'!$A$4:$G$729,3,0)</f>
        <v>0</v>
      </c>
      <c r="R614" s="462">
        <f>VLOOKUP($E614,'5.1 Budget'!$A$4:$G$729,4,0)</f>
        <v>0</v>
      </c>
      <c r="S614" s="462">
        <f>VLOOKUP($E614,'5.1 Budget'!$A$4:$G$729,5,0)</f>
        <v>0</v>
      </c>
      <c r="T614" s="462">
        <f>VLOOKUP($E614,'5.1 Budget'!$A$4:$G$729,6,0)</f>
        <v>0</v>
      </c>
      <c r="U614" s="462">
        <f>VLOOKUP($E614,'5.1 Budget'!$A$4:$G$729,7,0)</f>
        <v>0</v>
      </c>
      <c r="V614" s="462">
        <f t="shared" si="10"/>
        <v>50000</v>
      </c>
    </row>
    <row r="615" spans="1:22" x14ac:dyDescent="0.25">
      <c r="A615" s="465">
        <v>6</v>
      </c>
      <c r="B615" s="12" t="s">
        <v>172</v>
      </c>
      <c r="C615" s="12" t="s">
        <v>174</v>
      </c>
      <c r="D615" s="12" t="s">
        <v>118</v>
      </c>
      <c r="E615" s="12" t="s">
        <v>1202</v>
      </c>
      <c r="F615" s="469" t="str">
        <f>VLOOKUP(E615,'5. Consolidation'!$E$3:$F$715,2,0)</f>
        <v>Mettre en œuvre la plaine de jeu d’eau de l’hippodrome d’Uccle-Boitsfort</v>
      </c>
      <c r="G615" s="12"/>
      <c r="H615" s="12"/>
      <c r="I615" s="12"/>
      <c r="J615" s="12"/>
      <c r="K615" s="12"/>
      <c r="L615" s="12"/>
      <c r="M615" s="12"/>
      <c r="N615" s="459">
        <v>2023</v>
      </c>
      <c r="O615" s="12"/>
      <c r="P615" s="462">
        <f>VLOOKUP($E615,'5.1 Budget'!$A$4:$G$729,2,0)</f>
        <v>0</v>
      </c>
      <c r="Q615" s="462">
        <f>VLOOKUP($E615,'5.1 Budget'!$A$4:$G$729,3,0)</f>
        <v>250000</v>
      </c>
      <c r="R615" s="462">
        <f>VLOOKUP($E615,'5.1 Budget'!$A$4:$G$729,4,0)</f>
        <v>0</v>
      </c>
      <c r="S615" s="462">
        <f>VLOOKUP($E615,'5.1 Budget'!$A$4:$G$729,5,0)</f>
        <v>0</v>
      </c>
      <c r="T615" s="462">
        <f>VLOOKUP($E615,'5.1 Budget'!$A$4:$G$729,6,0)</f>
        <v>0</v>
      </c>
      <c r="U615" s="462">
        <f>VLOOKUP($E615,'5.1 Budget'!$A$4:$G$729,7,0)</f>
        <v>0</v>
      </c>
      <c r="V615" s="462">
        <f t="shared" si="10"/>
        <v>250000</v>
      </c>
    </row>
    <row r="616" spans="1:22" x14ac:dyDescent="0.25">
      <c r="A616" s="465">
        <v>6</v>
      </c>
      <c r="B616" s="12" t="s">
        <v>172</v>
      </c>
      <c r="C616" s="12" t="s">
        <v>174</v>
      </c>
      <c r="D616" s="12" t="s">
        <v>118</v>
      </c>
      <c r="E616" s="12" t="s">
        <v>1203</v>
      </c>
      <c r="F616" s="469" t="str">
        <f>VLOOKUP(E616,'5. Consolidation'!$E$3:$F$715,2,0)</f>
        <v>Etudier et mettre en œuvre un pôle récréatif au niveau du parc régional de la Pede comprenant des jeux d’eau</v>
      </c>
      <c r="G616" s="12"/>
      <c r="H616" s="12"/>
      <c r="I616" s="12"/>
      <c r="J616" s="12"/>
      <c r="K616" s="12"/>
      <c r="L616" s="12"/>
      <c r="M616" s="12"/>
      <c r="N616" s="459">
        <v>2026</v>
      </c>
      <c r="O616" s="12"/>
      <c r="P616" s="462">
        <f>VLOOKUP($E616,'5.1 Budget'!$A$4:$G$729,2,0)</f>
        <v>0</v>
      </c>
      <c r="Q616" s="462">
        <f>VLOOKUP($E616,'5.1 Budget'!$A$4:$G$729,3,0)</f>
        <v>0</v>
      </c>
      <c r="R616" s="462">
        <f>VLOOKUP($E616,'5.1 Budget'!$A$4:$G$729,4,0)</f>
        <v>0</v>
      </c>
      <c r="S616" s="462">
        <f>VLOOKUP($E616,'5.1 Budget'!$A$4:$G$729,5,0)</f>
        <v>0</v>
      </c>
      <c r="T616" s="462">
        <f>VLOOKUP($E616,'5.1 Budget'!$A$4:$G$729,6,0)</f>
        <v>250000</v>
      </c>
      <c r="U616" s="462">
        <f>VLOOKUP($E616,'5.1 Budget'!$A$4:$G$729,7,0)</f>
        <v>0</v>
      </c>
      <c r="V616" s="462">
        <f t="shared" si="10"/>
        <v>250000</v>
      </c>
    </row>
    <row r="617" spans="1:22" x14ac:dyDescent="0.25">
      <c r="A617" s="465">
        <v>6</v>
      </c>
      <c r="B617" s="12" t="s">
        <v>172</v>
      </c>
      <c r="C617" s="12" t="s">
        <v>174</v>
      </c>
      <c r="D617" s="12" t="s">
        <v>118</v>
      </c>
      <c r="E617" s="12" t="s">
        <v>1204</v>
      </c>
      <c r="F617" s="469" t="str">
        <f>VLOOKUP(E617,'5. Consolidation'!$E$3:$F$715,2,0)</f>
        <v>Assurer l’entretien des installations</v>
      </c>
      <c r="G617" s="12"/>
      <c r="H617" s="12"/>
      <c r="I617" s="12"/>
      <c r="J617" s="12"/>
      <c r="K617" s="12"/>
      <c r="L617" s="12"/>
      <c r="M617" s="12"/>
      <c r="N617" s="459">
        <v>2022</v>
      </c>
      <c r="O617" s="12">
        <v>2027</v>
      </c>
      <c r="P617" s="462">
        <f>VLOOKUP($E617,'5.1 Budget'!$A$4:$G$729,2,0)</f>
        <v>24000</v>
      </c>
      <c r="Q617" s="462">
        <f>VLOOKUP($E617,'5.1 Budget'!$A$4:$G$729,3,0)</f>
        <v>32000</v>
      </c>
      <c r="R617" s="462">
        <f>VLOOKUP($E617,'5.1 Budget'!$A$4:$G$729,4,0)</f>
        <v>40000</v>
      </c>
      <c r="S617" s="462">
        <f>VLOOKUP($E617,'5.1 Budget'!$A$4:$G$729,5,0)</f>
        <v>40000</v>
      </c>
      <c r="T617" s="462">
        <f>VLOOKUP($E617,'5.1 Budget'!$A$4:$G$729,6,0)</f>
        <v>40000</v>
      </c>
      <c r="U617" s="462">
        <f>VLOOKUP($E617,'5.1 Budget'!$A$4:$G$729,7,0)</f>
        <v>40000</v>
      </c>
      <c r="V617" s="462">
        <f t="shared" si="10"/>
        <v>216000</v>
      </c>
    </row>
    <row r="618" spans="1:22" ht="39" x14ac:dyDescent="0.25">
      <c r="A618" s="465">
        <v>6</v>
      </c>
      <c r="B618" s="12" t="s">
        <v>172</v>
      </c>
      <c r="C618" s="12" t="s">
        <v>175</v>
      </c>
      <c r="D618" s="12" t="s">
        <v>119</v>
      </c>
      <c r="E618" s="12" t="s">
        <v>1163</v>
      </c>
      <c r="F618" s="469" t="str">
        <f>VLOOKUP(E618,'5. Consolidation'!$E$3:$F$715,2,0)</f>
        <v>Réaliser des aménagements divers pour renforcer la place du Canal dans l’environnement urbain en fonction de développements de projets portés par le Port de Bruxelles, les entreprises portuaires ou par d’autres acteurs publics (par exemple : création de connexions cyclo-piétonnes, d’espaces accessibles au public, d’abaissements de quais...) </v>
      </c>
      <c r="G618" s="12"/>
      <c r="H618" s="12"/>
      <c r="I618" s="12"/>
      <c r="J618" s="12"/>
      <c r="K618" s="12"/>
      <c r="L618" s="12"/>
      <c r="M618" s="12"/>
      <c r="N618" s="12"/>
      <c r="O618" s="12"/>
      <c r="P618" s="462">
        <f>VLOOKUP($E618,'5.1 Budget'!$A$4:$G$729,2,0)</f>
        <v>0</v>
      </c>
      <c r="Q618" s="462">
        <f>VLOOKUP($E618,'5.1 Budget'!$A$4:$G$729,3,0)</f>
        <v>0</v>
      </c>
      <c r="R618" s="462">
        <f>VLOOKUP($E618,'5.1 Budget'!$A$4:$G$729,4,0)</f>
        <v>0</v>
      </c>
      <c r="S618" s="462">
        <f>VLOOKUP($E618,'5.1 Budget'!$A$4:$G$729,5,0)</f>
        <v>0</v>
      </c>
      <c r="T618" s="462">
        <f>VLOOKUP($E618,'5.1 Budget'!$A$4:$G$729,6,0)</f>
        <v>0</v>
      </c>
      <c r="U618" s="462">
        <f>VLOOKUP($E618,'5.1 Budget'!$A$4:$G$729,7,0)</f>
        <v>0</v>
      </c>
      <c r="V618" s="462">
        <f t="shared" si="10"/>
        <v>0</v>
      </c>
    </row>
    <row r="619" spans="1:22" x14ac:dyDescent="0.25">
      <c r="A619" s="465">
        <v>6</v>
      </c>
      <c r="B619" s="12" t="s">
        <v>172</v>
      </c>
      <c r="C619" s="12" t="s">
        <v>175</v>
      </c>
      <c r="D619" s="12" t="s">
        <v>119</v>
      </c>
      <c r="E619" s="12" t="s">
        <v>1164</v>
      </c>
      <c r="F619" s="469" t="str">
        <f>VLOOKUP(E619,'5. Consolidation'!$E$3:$F$715,2,0)</f>
        <v>Mise en place d’une dynamique de communication avec les habitants/riverains</v>
      </c>
      <c r="G619" s="12"/>
      <c r="H619" s="12"/>
      <c r="I619" s="12"/>
      <c r="J619" s="12"/>
      <c r="K619" s="12"/>
      <c r="L619" s="12"/>
      <c r="M619" s="12"/>
      <c r="N619" s="12"/>
      <c r="O619" s="12"/>
      <c r="P619" s="462">
        <f>VLOOKUP($E619,'5.1 Budget'!$A$4:$G$729,2,0)</f>
        <v>0</v>
      </c>
      <c r="Q619" s="462">
        <f>VLOOKUP($E619,'5.1 Budget'!$A$4:$G$729,3,0)</f>
        <v>0</v>
      </c>
      <c r="R619" s="462">
        <f>VLOOKUP($E619,'5.1 Budget'!$A$4:$G$729,4,0)</f>
        <v>0</v>
      </c>
      <c r="S619" s="462">
        <f>VLOOKUP($E619,'5.1 Budget'!$A$4:$G$729,5,0)</f>
        <v>0</v>
      </c>
      <c r="T619" s="462">
        <f>VLOOKUP($E619,'5.1 Budget'!$A$4:$G$729,6,0)</f>
        <v>0</v>
      </c>
      <c r="U619" s="462">
        <f>VLOOKUP($E619,'5.1 Budget'!$A$4:$G$729,7,0)</f>
        <v>0</v>
      </c>
      <c r="V619" s="462">
        <f t="shared" si="10"/>
        <v>0</v>
      </c>
    </row>
    <row r="620" spans="1:22" x14ac:dyDescent="0.25">
      <c r="A620" s="465">
        <v>6</v>
      </c>
      <c r="B620" s="12" t="s">
        <v>172</v>
      </c>
      <c r="C620" s="12" t="s">
        <v>175</v>
      </c>
      <c r="D620" s="12" t="s">
        <v>120</v>
      </c>
      <c r="E620" s="12" t="s">
        <v>1165</v>
      </c>
      <c r="F620" s="469" t="str">
        <f>VLOOKUP(E620,'5. Consolidation'!$E$3:$F$715,2,0)</f>
        <v>Organisation par le Port d’événements tout public, comme la « fête du Port »</v>
      </c>
      <c r="G620" s="12"/>
      <c r="H620" s="12"/>
      <c r="I620" s="12"/>
      <c r="J620" s="12"/>
      <c r="K620" s="12"/>
      <c r="L620" s="12"/>
      <c r="M620" s="12"/>
      <c r="N620" s="12"/>
      <c r="O620" s="12"/>
      <c r="P620" s="462">
        <f>VLOOKUP($E620,'5.1 Budget'!$A$4:$G$729,2,0)</f>
        <v>0</v>
      </c>
      <c r="Q620" s="462">
        <f>VLOOKUP($E620,'5.1 Budget'!$A$4:$G$729,3,0)</f>
        <v>0</v>
      </c>
      <c r="R620" s="462">
        <f>VLOOKUP($E620,'5.1 Budget'!$A$4:$G$729,4,0)</f>
        <v>0</v>
      </c>
      <c r="S620" s="462">
        <f>VLOOKUP($E620,'5.1 Budget'!$A$4:$G$729,5,0)</f>
        <v>0</v>
      </c>
      <c r="T620" s="462">
        <f>VLOOKUP($E620,'5.1 Budget'!$A$4:$G$729,6,0)</f>
        <v>0</v>
      </c>
      <c r="U620" s="462">
        <f>VLOOKUP($E620,'5.1 Budget'!$A$4:$G$729,7,0)</f>
        <v>0</v>
      </c>
      <c r="V620" s="462">
        <f t="shared" si="10"/>
        <v>0</v>
      </c>
    </row>
    <row r="621" spans="1:22" ht="26.25" x14ac:dyDescent="0.25">
      <c r="A621" s="465">
        <v>6</v>
      </c>
      <c r="B621" s="12" t="s">
        <v>172</v>
      </c>
      <c r="C621" s="12" t="s">
        <v>175</v>
      </c>
      <c r="D621" s="12" t="s">
        <v>120</v>
      </c>
      <c r="E621" s="12" t="s">
        <v>1166</v>
      </c>
      <c r="F621" s="469" t="str">
        <f>VLOOKUP(E621,'5. Consolidation'!$E$3:$F$715,2,0)</f>
        <v>Encadrer les activités nautiques et récréatives sur la voie d’eau et assurer l’entretien des quais, pontons et berges pour en permettre la pratique en toute sécurité</v>
      </c>
      <c r="G621" s="12"/>
      <c r="H621" s="12"/>
      <c r="I621" s="12"/>
      <c r="J621" s="12"/>
      <c r="K621" s="12"/>
      <c r="L621" s="12"/>
      <c r="M621" s="12"/>
      <c r="N621" s="12"/>
      <c r="O621" s="12"/>
      <c r="P621" s="462">
        <f>VLOOKUP($E621,'5.1 Budget'!$A$4:$G$729,2,0)</f>
        <v>0</v>
      </c>
      <c r="Q621" s="462">
        <f>VLOOKUP($E621,'5.1 Budget'!$A$4:$G$729,3,0)</f>
        <v>0</v>
      </c>
      <c r="R621" s="462">
        <f>VLOOKUP($E621,'5.1 Budget'!$A$4:$G$729,4,0)</f>
        <v>0</v>
      </c>
      <c r="S621" s="462">
        <f>VLOOKUP($E621,'5.1 Budget'!$A$4:$G$729,5,0)</f>
        <v>0</v>
      </c>
      <c r="T621" s="462">
        <f>VLOOKUP($E621,'5.1 Budget'!$A$4:$G$729,6,0)</f>
        <v>0</v>
      </c>
      <c r="U621" s="462">
        <f>VLOOKUP($E621,'5.1 Budget'!$A$4:$G$729,7,0)</f>
        <v>0</v>
      </c>
      <c r="V621" s="462">
        <f t="shared" si="10"/>
        <v>0</v>
      </c>
    </row>
    <row r="622" spans="1:22" x14ac:dyDescent="0.25">
      <c r="A622" s="465">
        <v>6</v>
      </c>
      <c r="B622" s="12" t="s">
        <v>172</v>
      </c>
      <c r="C622" s="12" t="s">
        <v>175</v>
      </c>
      <c r="D622" s="12" t="s">
        <v>120</v>
      </c>
      <c r="E622" s="12" t="s">
        <v>1167</v>
      </c>
      <c r="F622" s="469" t="str">
        <f>VLOOKUP(E622,'5. Consolidation'!$E$3:$F$715,2,0)</f>
        <v>Autoriser, sous forme de convention, l’organisation d’activités ponctuelles, festives et/ou récréatives</v>
      </c>
      <c r="G622" s="12"/>
      <c r="H622" s="12"/>
      <c r="I622" s="12"/>
      <c r="J622" s="12"/>
      <c r="K622" s="12"/>
      <c r="L622" s="12"/>
      <c r="M622" s="12"/>
      <c r="N622" s="12"/>
      <c r="O622" s="12"/>
      <c r="P622" s="462">
        <f>VLOOKUP($E622,'5.1 Budget'!$A$4:$G$729,2,0)</f>
        <v>0</v>
      </c>
      <c r="Q622" s="462">
        <f>VLOOKUP($E622,'5.1 Budget'!$A$4:$G$729,3,0)</f>
        <v>0</v>
      </c>
      <c r="R622" s="462">
        <f>VLOOKUP($E622,'5.1 Budget'!$A$4:$G$729,4,0)</f>
        <v>0</v>
      </c>
      <c r="S622" s="462">
        <f>VLOOKUP($E622,'5.1 Budget'!$A$4:$G$729,5,0)</f>
        <v>0</v>
      </c>
      <c r="T622" s="462">
        <f>VLOOKUP($E622,'5.1 Budget'!$A$4:$G$729,6,0)</f>
        <v>0</v>
      </c>
      <c r="U622" s="462">
        <f>VLOOKUP($E622,'5.1 Budget'!$A$4:$G$729,7,0)</f>
        <v>0</v>
      </c>
      <c r="V622" s="462">
        <f t="shared" si="10"/>
        <v>0</v>
      </c>
    </row>
    <row r="623" spans="1:22" x14ac:dyDescent="0.25">
      <c r="A623" s="465">
        <v>6</v>
      </c>
      <c r="B623" s="12" t="s">
        <v>172</v>
      </c>
      <c r="C623" s="12" t="s">
        <v>175</v>
      </c>
      <c r="D623" s="12" t="s">
        <v>120</v>
      </c>
      <c r="E623" s="12" t="s">
        <v>1168</v>
      </c>
      <c r="F623" s="469" t="str">
        <f>VLOOKUP(E623,'5. Consolidation'!$E$3:$F$715,2,0)</f>
        <v>Communiquer adéquatement sur les activités autorisées ou interdites sur la voie d’eau (pêche, navimodélisme, baignade)</v>
      </c>
      <c r="G623" s="12"/>
      <c r="H623" s="12"/>
      <c r="I623" s="12"/>
      <c r="J623" s="12"/>
      <c r="K623" s="12"/>
      <c r="L623" s="12"/>
      <c r="M623" s="12"/>
      <c r="N623" s="12"/>
      <c r="O623" s="12"/>
      <c r="P623" s="462">
        <f>VLOOKUP($E623,'5.1 Budget'!$A$4:$G$729,2,0)</f>
        <v>0</v>
      </c>
      <c r="Q623" s="462">
        <f>VLOOKUP($E623,'5.1 Budget'!$A$4:$G$729,3,0)</f>
        <v>0</v>
      </c>
      <c r="R623" s="462">
        <f>VLOOKUP($E623,'5.1 Budget'!$A$4:$G$729,4,0)</f>
        <v>0</v>
      </c>
      <c r="S623" s="462">
        <f>VLOOKUP($E623,'5.1 Budget'!$A$4:$G$729,5,0)</f>
        <v>0</v>
      </c>
      <c r="T623" s="462">
        <f>VLOOKUP($E623,'5.1 Budget'!$A$4:$G$729,6,0)</f>
        <v>0</v>
      </c>
      <c r="U623" s="462">
        <f>VLOOKUP($E623,'5.1 Budget'!$A$4:$G$729,7,0)</f>
        <v>0</v>
      </c>
      <c r="V623" s="462">
        <f t="shared" si="10"/>
        <v>0</v>
      </c>
    </row>
    <row r="624" spans="1:22" ht="26.25" x14ac:dyDescent="0.25">
      <c r="A624" s="465">
        <v>6</v>
      </c>
      <c r="B624" s="12" t="s">
        <v>176</v>
      </c>
      <c r="C624" s="12" t="s">
        <v>155</v>
      </c>
      <c r="D624" s="12" t="s">
        <v>121</v>
      </c>
      <c r="E624" s="12" t="s">
        <v>1169</v>
      </c>
      <c r="F624" s="469" t="str">
        <f>VLOOKUP(E624,'5. Consolidation'!$E$3:$F$715,2,0)</f>
        <v xml:space="preserve">Recenser les cours d’eau non navigables classés / non classés pouvant faire l’objet d’un statut particulier de protection et valider cette proposition de classement auprès des communes. </v>
      </c>
      <c r="G624" s="12"/>
      <c r="H624" s="12"/>
      <c r="I624" s="12"/>
      <c r="J624" s="12"/>
      <c r="K624" s="12"/>
      <c r="L624" s="12"/>
      <c r="M624" s="12"/>
      <c r="N624" s="12"/>
      <c r="O624" s="12"/>
      <c r="P624" s="462">
        <f>VLOOKUP($E624,'5.1 Budget'!$A$4:$G$729,2,0)</f>
        <v>0</v>
      </c>
      <c r="Q624" s="462">
        <f>VLOOKUP($E624,'5.1 Budget'!$A$4:$G$729,3,0)</f>
        <v>0</v>
      </c>
      <c r="R624" s="462">
        <f>VLOOKUP($E624,'5.1 Budget'!$A$4:$G$729,4,0)</f>
        <v>0</v>
      </c>
      <c r="S624" s="462">
        <f>VLOOKUP($E624,'5.1 Budget'!$A$4:$G$729,5,0)</f>
        <v>0</v>
      </c>
      <c r="T624" s="462">
        <f>VLOOKUP($E624,'5.1 Budget'!$A$4:$G$729,6,0)</f>
        <v>0</v>
      </c>
      <c r="U624" s="462">
        <f>VLOOKUP($E624,'5.1 Budget'!$A$4:$G$729,7,0)</f>
        <v>0</v>
      </c>
      <c r="V624" s="462">
        <f t="shared" si="10"/>
        <v>0</v>
      </c>
    </row>
    <row r="625" spans="1:22" x14ac:dyDescent="0.25">
      <c r="A625" s="465">
        <v>6</v>
      </c>
      <c r="B625" s="12" t="s">
        <v>176</v>
      </c>
      <c r="C625" s="12" t="s">
        <v>155</v>
      </c>
      <c r="D625" s="12" t="s">
        <v>121</v>
      </c>
      <c r="E625" s="12" t="s">
        <v>1170</v>
      </c>
      <c r="F625" s="469" t="str">
        <f>VLOOKUP(E625,'5. Consolidation'!$E$3:$F$715,2,0)</f>
        <v>Recenser et désigner les étangs régionaux</v>
      </c>
      <c r="G625" s="12"/>
      <c r="H625" s="12"/>
      <c r="I625" s="12"/>
      <c r="J625" s="12"/>
      <c r="K625" s="12"/>
      <c r="L625" s="12"/>
      <c r="M625" s="12"/>
      <c r="N625" s="12"/>
      <c r="O625" s="12"/>
      <c r="P625" s="462">
        <f>VLOOKUP($E625,'5.1 Budget'!$A$4:$G$729,2,0)</f>
        <v>0</v>
      </c>
      <c r="Q625" s="462">
        <f>VLOOKUP($E625,'5.1 Budget'!$A$4:$G$729,3,0)</f>
        <v>0</v>
      </c>
      <c r="R625" s="462">
        <f>VLOOKUP($E625,'5.1 Budget'!$A$4:$G$729,4,0)</f>
        <v>0</v>
      </c>
      <c r="S625" s="462">
        <f>VLOOKUP($E625,'5.1 Budget'!$A$4:$G$729,5,0)</f>
        <v>0</v>
      </c>
      <c r="T625" s="462">
        <f>VLOOKUP($E625,'5.1 Budget'!$A$4:$G$729,6,0)</f>
        <v>0</v>
      </c>
      <c r="U625" s="462">
        <f>VLOOKUP($E625,'5.1 Budget'!$A$4:$G$729,7,0)</f>
        <v>0</v>
      </c>
      <c r="V625" s="462">
        <f t="shared" si="10"/>
        <v>0</v>
      </c>
    </row>
    <row r="626" spans="1:22" ht="39" x14ac:dyDescent="0.25">
      <c r="A626" s="465">
        <v>6</v>
      </c>
      <c r="B626" s="12" t="s">
        <v>176</v>
      </c>
      <c r="C626" s="12" t="s">
        <v>155</v>
      </c>
      <c r="D626" s="12" t="s">
        <v>121</v>
      </c>
      <c r="E626" s="12" t="s">
        <v>1171</v>
      </c>
      <c r="F626" s="469" t="str">
        <f>VLOOKUP(E626,'5. Consolidation'!$E$3:$F$715,2,0)</f>
        <v>Faire les relevés topographiques par des géomètres pour les tronçons du réseau hydrographique qui n'ont pas encore fait l'objet d'un relevé récent ou qui ont fait l'objet de travaux d’aménagement ou de rénovation pour la mise à jour continue de l’Atlas.</v>
      </c>
      <c r="G626" s="12"/>
      <c r="H626" s="12"/>
      <c r="I626" s="12"/>
      <c r="J626" s="12"/>
      <c r="K626" s="12"/>
      <c r="L626" s="12"/>
      <c r="M626" s="12"/>
      <c r="N626" s="459">
        <v>2022</v>
      </c>
      <c r="O626" s="12">
        <v>2027</v>
      </c>
      <c r="P626" s="462">
        <f>VLOOKUP($E626,'5.1 Budget'!$A$4:$G$729,2,0)</f>
        <v>50000</v>
      </c>
      <c r="Q626" s="462">
        <f>VLOOKUP($E626,'5.1 Budget'!$A$4:$G$729,3,0)</f>
        <v>50000</v>
      </c>
      <c r="R626" s="462">
        <f>VLOOKUP($E626,'5.1 Budget'!$A$4:$G$729,4,0)</f>
        <v>50000</v>
      </c>
      <c r="S626" s="462">
        <f>VLOOKUP($E626,'5.1 Budget'!$A$4:$G$729,5,0)</f>
        <v>50000</v>
      </c>
      <c r="T626" s="462">
        <f>VLOOKUP($E626,'5.1 Budget'!$A$4:$G$729,6,0)</f>
        <v>50000</v>
      </c>
      <c r="U626" s="462">
        <f>VLOOKUP($E626,'5.1 Budget'!$A$4:$G$729,7,0)</f>
        <v>50000</v>
      </c>
      <c r="V626" s="462">
        <f t="shared" si="10"/>
        <v>300000</v>
      </c>
    </row>
    <row r="627" spans="1:22" ht="26.25" x14ac:dyDescent="0.25">
      <c r="A627" s="465">
        <v>6</v>
      </c>
      <c r="B627" s="12" t="s">
        <v>176</v>
      </c>
      <c r="C627" s="12" t="s">
        <v>155</v>
      </c>
      <c r="D627" s="12" t="s">
        <v>121</v>
      </c>
      <c r="E627" s="12" t="s">
        <v>1172</v>
      </c>
      <c r="F627" s="469" t="str">
        <f>VLOOKUP(E627,'5. Consolidation'!$E$3:$F$715,2,0)</f>
        <v xml:space="preserve">Introduire l’ensemble des données relevées dans une base de données informatique géoréférencée, valider ces données et définir la forme, le contenu et la présentation de l'Atlas. </v>
      </c>
      <c r="G627" s="12"/>
      <c r="H627" s="12"/>
      <c r="I627" s="12"/>
      <c r="J627" s="12"/>
      <c r="K627" s="12"/>
      <c r="L627" s="12"/>
      <c r="M627" s="12"/>
      <c r="N627" s="12"/>
      <c r="O627" s="12"/>
      <c r="P627" s="462">
        <f>VLOOKUP($E627,'5.1 Budget'!$A$4:$G$729,2,0)</f>
        <v>0</v>
      </c>
      <c r="Q627" s="462">
        <f>VLOOKUP($E627,'5.1 Budget'!$A$4:$G$729,3,0)</f>
        <v>0</v>
      </c>
      <c r="R627" s="462">
        <f>VLOOKUP($E627,'5.1 Budget'!$A$4:$G$729,4,0)</f>
        <v>0</v>
      </c>
      <c r="S627" s="462">
        <f>VLOOKUP($E627,'5.1 Budget'!$A$4:$G$729,5,0)</f>
        <v>0</v>
      </c>
      <c r="T627" s="462">
        <f>VLOOKUP($E627,'5.1 Budget'!$A$4:$G$729,6,0)</f>
        <v>0</v>
      </c>
      <c r="U627" s="462">
        <f>VLOOKUP($E627,'5.1 Budget'!$A$4:$G$729,7,0)</f>
        <v>0</v>
      </c>
      <c r="V627" s="462">
        <f t="shared" si="10"/>
        <v>0</v>
      </c>
    </row>
    <row r="628" spans="1:22" x14ac:dyDescent="0.25">
      <c r="A628" s="465">
        <v>6</v>
      </c>
      <c r="B628" s="12" t="s">
        <v>176</v>
      </c>
      <c r="C628" s="12" t="s">
        <v>155</v>
      </c>
      <c r="D628" s="12" t="s">
        <v>121</v>
      </c>
      <c r="E628" s="12" t="s">
        <v>1173</v>
      </c>
      <c r="F628" s="469" t="str">
        <f>VLOOKUP(E628,'5. Consolidation'!$E$3:$F$715,2,0)</f>
        <v>Rédiger et adopter l’arrêté du Gouvernement opérant le classement des cours d’eau non navigables et approuvant l’Atlas</v>
      </c>
      <c r="G628" s="12"/>
      <c r="H628" s="12"/>
      <c r="I628" s="12"/>
      <c r="J628" s="12"/>
      <c r="K628" s="12"/>
      <c r="L628" s="12"/>
      <c r="M628" s="12"/>
      <c r="N628" s="12"/>
      <c r="O628" s="12"/>
      <c r="P628" s="462">
        <f>VLOOKUP($E628,'5.1 Budget'!$A$4:$G$729,2,0)</f>
        <v>0</v>
      </c>
      <c r="Q628" s="462">
        <f>VLOOKUP($E628,'5.1 Budget'!$A$4:$G$729,3,0)</f>
        <v>0</v>
      </c>
      <c r="R628" s="462">
        <f>VLOOKUP($E628,'5.1 Budget'!$A$4:$G$729,4,0)</f>
        <v>0</v>
      </c>
      <c r="S628" s="462">
        <f>VLOOKUP($E628,'5.1 Budget'!$A$4:$G$729,5,0)</f>
        <v>0</v>
      </c>
      <c r="T628" s="462">
        <f>VLOOKUP($E628,'5.1 Budget'!$A$4:$G$729,6,0)</f>
        <v>0</v>
      </c>
      <c r="U628" s="462">
        <f>VLOOKUP($E628,'5.1 Budget'!$A$4:$G$729,7,0)</f>
        <v>0</v>
      </c>
      <c r="V628" s="462">
        <f t="shared" si="10"/>
        <v>0</v>
      </c>
    </row>
    <row r="629" spans="1:22" x14ac:dyDescent="0.25">
      <c r="A629" s="465">
        <v>6</v>
      </c>
      <c r="B629" s="12" t="s">
        <v>176</v>
      </c>
      <c r="C629" s="12" t="s">
        <v>155</v>
      </c>
      <c r="D629" s="12" t="s">
        <v>121</v>
      </c>
      <c r="E629" s="12" t="s">
        <v>1174</v>
      </c>
      <c r="F629" s="469" t="str">
        <f>VLOOKUP(E629,'5. Consolidation'!$E$3:$F$715,2,0)</f>
        <v>Enquête publique auprès des communes</v>
      </c>
      <c r="G629" s="12"/>
      <c r="H629" s="12"/>
      <c r="I629" s="12"/>
      <c r="J629" s="12"/>
      <c r="K629" s="12"/>
      <c r="L629" s="12"/>
      <c r="M629" s="12"/>
      <c r="N629" s="12"/>
      <c r="O629" s="12"/>
      <c r="P629" s="462">
        <f>VLOOKUP($E629,'5.1 Budget'!$A$4:$G$729,2,0)</f>
        <v>0</v>
      </c>
      <c r="Q629" s="462">
        <f>VLOOKUP($E629,'5.1 Budget'!$A$4:$G$729,3,0)</f>
        <v>0</v>
      </c>
      <c r="R629" s="462">
        <f>VLOOKUP($E629,'5.1 Budget'!$A$4:$G$729,4,0)</f>
        <v>0</v>
      </c>
      <c r="S629" s="462">
        <f>VLOOKUP($E629,'5.1 Budget'!$A$4:$G$729,5,0)</f>
        <v>0</v>
      </c>
      <c r="T629" s="462">
        <f>VLOOKUP($E629,'5.1 Budget'!$A$4:$G$729,6,0)</f>
        <v>0</v>
      </c>
      <c r="U629" s="462">
        <f>VLOOKUP($E629,'5.1 Budget'!$A$4:$G$729,7,0)</f>
        <v>0</v>
      </c>
      <c r="V629" s="462">
        <f t="shared" si="10"/>
        <v>0</v>
      </c>
    </row>
    <row r="630" spans="1:22" x14ac:dyDescent="0.25">
      <c r="A630" s="465">
        <v>6</v>
      </c>
      <c r="B630" s="12" t="s">
        <v>176</v>
      </c>
      <c r="C630" s="12" t="s">
        <v>155</v>
      </c>
      <c r="D630" s="12" t="s">
        <v>121</v>
      </c>
      <c r="E630" s="12" t="s">
        <v>1175</v>
      </c>
      <c r="F630" s="469" t="str">
        <f>VLOOKUP(E630,'5. Consolidation'!$E$3:$F$715,2,0)</f>
        <v>Assurer la diffusion de l’Atlas</v>
      </c>
      <c r="G630" s="12"/>
      <c r="H630" s="12"/>
      <c r="I630" s="12"/>
      <c r="J630" s="12"/>
      <c r="K630" s="12"/>
      <c r="L630" s="12"/>
      <c r="M630" s="12"/>
      <c r="N630" s="12"/>
      <c r="O630" s="12"/>
      <c r="P630" s="462">
        <f>VLOOKUP($E630,'5.1 Budget'!$A$4:$G$729,2,0)</f>
        <v>0</v>
      </c>
      <c r="Q630" s="462">
        <f>VLOOKUP($E630,'5.1 Budget'!$A$4:$G$729,3,0)</f>
        <v>0</v>
      </c>
      <c r="R630" s="462">
        <f>VLOOKUP($E630,'5.1 Budget'!$A$4:$G$729,4,0)</f>
        <v>0</v>
      </c>
      <c r="S630" s="462">
        <f>VLOOKUP($E630,'5.1 Budget'!$A$4:$G$729,5,0)</f>
        <v>0</v>
      </c>
      <c r="T630" s="462">
        <f>VLOOKUP($E630,'5.1 Budget'!$A$4:$G$729,6,0)</f>
        <v>0</v>
      </c>
      <c r="U630" s="462">
        <f>VLOOKUP($E630,'5.1 Budget'!$A$4:$G$729,7,0)</f>
        <v>0</v>
      </c>
      <c r="V630" s="462">
        <f t="shared" si="10"/>
        <v>0</v>
      </c>
    </row>
    <row r="631" spans="1:22" ht="39" x14ac:dyDescent="0.25">
      <c r="A631" s="465">
        <v>7</v>
      </c>
      <c r="B631" s="12" t="s">
        <v>177</v>
      </c>
      <c r="C631" s="12" t="s">
        <v>178</v>
      </c>
      <c r="D631" s="12" t="s">
        <v>122</v>
      </c>
      <c r="E631" s="12" t="s">
        <v>1205</v>
      </c>
      <c r="F631" s="469" t="str">
        <f>VLOOKUP(E631,'5. Consolidation'!$E$3:$F$715,2,0)</f>
        <v>Sectorisation accrue des réseaux.
1er Objectif: obtenir 65 zones DMA pour fin 2024 
2ème Objectif: obtenir 72 zones DMA pour fin 2027</v>
      </c>
      <c r="G631" s="12"/>
      <c r="H631" s="12"/>
      <c r="I631" s="12"/>
      <c r="J631" s="12"/>
      <c r="K631" s="12"/>
      <c r="L631" s="12"/>
      <c r="M631" s="12"/>
      <c r="N631" s="459">
        <v>2022</v>
      </c>
      <c r="O631" s="12">
        <v>2027</v>
      </c>
      <c r="P631" s="462">
        <f>VLOOKUP($E631,'5.1 Budget'!$A$4:$G$729,2,0)</f>
        <v>90000</v>
      </c>
      <c r="Q631" s="462">
        <f>VLOOKUP($E631,'5.1 Budget'!$A$4:$G$729,3,0)</f>
        <v>60000</v>
      </c>
      <c r="R631" s="462">
        <f>VLOOKUP($E631,'5.1 Budget'!$A$4:$G$729,4,0)</f>
        <v>30000</v>
      </c>
      <c r="S631" s="462">
        <f>VLOOKUP($E631,'5.1 Budget'!$A$4:$G$729,5,0)</f>
        <v>30000</v>
      </c>
      <c r="T631" s="462">
        <f>VLOOKUP($E631,'5.1 Budget'!$A$4:$G$729,6,0)</f>
        <v>30000</v>
      </c>
      <c r="U631" s="462">
        <f>VLOOKUP($E631,'5.1 Budget'!$A$4:$G$729,7,0)</f>
        <v>30000</v>
      </c>
      <c r="V631" s="462">
        <f t="shared" si="10"/>
        <v>270000</v>
      </c>
    </row>
    <row r="632" spans="1:22" x14ac:dyDescent="0.25">
      <c r="A632" s="465">
        <v>7</v>
      </c>
      <c r="B632" s="12" t="s">
        <v>177</v>
      </c>
      <c r="C632" s="12" t="s">
        <v>178</v>
      </c>
      <c r="D632" s="12" t="s">
        <v>122</v>
      </c>
      <c r="E632" s="12" t="s">
        <v>1206</v>
      </c>
      <c r="F632" s="469" t="str">
        <f>VLOOKUP(E632,'5. Consolidation'!$E$3:$F$715,2,0)</f>
        <v>Campagne de détection de fuites via images par satellite . Vision des 2380 km de réseau en RBC tous les 3 ans</v>
      </c>
      <c r="G632" s="12"/>
      <c r="H632" s="12"/>
      <c r="I632" s="12"/>
      <c r="J632" s="12"/>
      <c r="K632" s="12"/>
      <c r="L632" s="12"/>
      <c r="M632" s="12"/>
      <c r="N632" s="459">
        <v>2022</v>
      </c>
      <c r="O632" s="12"/>
      <c r="P632" s="462">
        <f>VLOOKUP($E632,'5.1 Budget'!$A$4:$G$729,2,0)</f>
        <v>100000</v>
      </c>
      <c r="Q632" s="462">
        <f>VLOOKUP($E632,'5.1 Budget'!$A$4:$G$729,3,0)</f>
        <v>0</v>
      </c>
      <c r="R632" s="462">
        <f>VLOOKUP($E632,'5.1 Budget'!$A$4:$G$729,4,0)</f>
        <v>50000</v>
      </c>
      <c r="S632" s="462">
        <f>VLOOKUP($E632,'5.1 Budget'!$A$4:$G$729,5,0)</f>
        <v>50000</v>
      </c>
      <c r="T632" s="462">
        <f>VLOOKUP($E632,'5.1 Budget'!$A$4:$G$729,6,0)</f>
        <v>50000</v>
      </c>
      <c r="U632" s="462">
        <f>VLOOKUP($E632,'5.1 Budget'!$A$4:$G$729,7,0)</f>
        <v>0</v>
      </c>
      <c r="V632" s="462">
        <f t="shared" si="10"/>
        <v>250000</v>
      </c>
    </row>
    <row r="633" spans="1:22" ht="26.25" x14ac:dyDescent="0.25">
      <c r="A633" s="465">
        <v>7</v>
      </c>
      <c r="B633" s="12" t="s">
        <v>177</v>
      </c>
      <c r="C633" s="12" t="s">
        <v>178</v>
      </c>
      <c r="D633" s="12" t="s">
        <v>122</v>
      </c>
      <c r="E633" s="12" t="s">
        <v>1207</v>
      </c>
      <c r="F633" s="469" t="str">
        <f>VLOOKUP(E633,'5. Consolidation'!$E$3:$F$715,2,0)</f>
        <v>Réaliser une veille technologique sur les compteurs d’eau  à l’'aide du programme de monitoring Leakredux Totalement opérationnel en 2022 puis maintenance et mise à niveau annuelle en fonction de l’avancée de la sectorisation</v>
      </c>
      <c r="G633" s="12"/>
      <c r="H633" s="12"/>
      <c r="I633" s="12"/>
      <c r="J633" s="12"/>
      <c r="K633" s="12"/>
      <c r="L633" s="12"/>
      <c r="M633" s="12"/>
      <c r="N633" s="459">
        <v>2022</v>
      </c>
      <c r="O633" s="12">
        <v>2027</v>
      </c>
      <c r="P633" s="462">
        <f>VLOOKUP($E633,'5.1 Budget'!$A$4:$G$729,2,0)</f>
        <v>60000</v>
      </c>
      <c r="Q633" s="462">
        <f>VLOOKUP($E633,'5.1 Budget'!$A$4:$G$729,3,0)</f>
        <v>65000</v>
      </c>
      <c r="R633" s="462">
        <f>VLOOKUP($E633,'5.1 Budget'!$A$4:$G$729,4,0)</f>
        <v>70000</v>
      </c>
      <c r="S633" s="462">
        <f>VLOOKUP($E633,'5.1 Budget'!$A$4:$G$729,5,0)</f>
        <v>70000</v>
      </c>
      <c r="T633" s="462">
        <f>VLOOKUP($E633,'5.1 Budget'!$A$4:$G$729,6,0)</f>
        <v>70000</v>
      </c>
      <c r="U633" s="462">
        <f>VLOOKUP($E633,'5.1 Budget'!$A$4:$G$729,7,0)</f>
        <v>70000</v>
      </c>
      <c r="V633" s="462">
        <f t="shared" si="10"/>
        <v>405000</v>
      </c>
    </row>
    <row r="634" spans="1:22" ht="26.25" x14ac:dyDescent="0.25">
      <c r="A634" s="465">
        <v>7</v>
      </c>
      <c r="B634" s="12" t="s">
        <v>177</v>
      </c>
      <c r="C634" s="12" t="s">
        <v>178</v>
      </c>
      <c r="D634" s="12" t="s">
        <v>122</v>
      </c>
      <c r="E634" s="12" t="s">
        <v>1208</v>
      </c>
      <c r="F634" s="469" t="str">
        <f>VLOOKUP(E634,'5. Consolidation'!$E$3:$F$715,2,0)</f>
        <v>Assurer des équipes compétentes et efficaces permettant de réagir rapidement en cas de problèmes constatés (fuites, …) et apporter les correctifs nécessaires</v>
      </c>
      <c r="G634" s="12"/>
      <c r="H634" s="12"/>
      <c r="I634" s="12"/>
      <c r="J634" s="12"/>
      <c r="K634" s="12"/>
      <c r="L634" s="12"/>
      <c r="M634" s="12"/>
      <c r="N634" s="459">
        <v>2022</v>
      </c>
      <c r="O634" s="12">
        <v>2027</v>
      </c>
      <c r="P634" s="462">
        <f>VLOOKUP($E634,'5.1 Budget'!$A$4:$G$729,2,0)</f>
        <v>2850000</v>
      </c>
      <c r="Q634" s="462">
        <f>VLOOKUP($E634,'5.1 Budget'!$A$4:$G$729,3,0)</f>
        <v>2850000</v>
      </c>
      <c r="R634" s="462">
        <f>VLOOKUP($E634,'5.1 Budget'!$A$4:$G$729,4,0)</f>
        <v>2850000</v>
      </c>
      <c r="S634" s="462">
        <f>VLOOKUP($E634,'5.1 Budget'!$A$4:$G$729,5,0)</f>
        <v>2850000</v>
      </c>
      <c r="T634" s="462">
        <f>VLOOKUP($E634,'5.1 Budget'!$A$4:$G$729,6,0)</f>
        <v>2850000</v>
      </c>
      <c r="U634" s="462">
        <f>VLOOKUP($E634,'5.1 Budget'!$A$4:$G$729,7,0)</f>
        <v>2850000</v>
      </c>
      <c r="V634" s="462">
        <f t="shared" si="10"/>
        <v>17100000</v>
      </c>
    </row>
    <row r="635" spans="1:22" x14ac:dyDescent="0.25">
      <c r="A635" s="465">
        <v>7</v>
      </c>
      <c r="B635" s="12" t="s">
        <v>177</v>
      </c>
      <c r="C635" s="12" t="s">
        <v>178</v>
      </c>
      <c r="D635" s="12" t="s">
        <v>122</v>
      </c>
      <c r="E635" s="12" t="s">
        <v>1209</v>
      </c>
      <c r="F635" s="469" t="str">
        <f>VLOOKUP(E635,'5. Consolidation'!$E$3:$F$715,2,0)</f>
        <v>Tenir à jour une cartographie des réseaux localisant les conduites et leurs caractéristiques et leur état de vétusté</v>
      </c>
      <c r="G635" s="12"/>
      <c r="H635" s="12"/>
      <c r="I635" s="12"/>
      <c r="J635" s="12"/>
      <c r="K635" s="12"/>
      <c r="L635" s="12"/>
      <c r="M635" s="12"/>
      <c r="N635" s="459">
        <v>2022</v>
      </c>
      <c r="O635" s="12">
        <v>2027</v>
      </c>
      <c r="P635" s="462">
        <f>VLOOKUP($E635,'5.1 Budget'!$A$4:$G$729,2,0)</f>
        <v>100000</v>
      </c>
      <c r="Q635" s="462">
        <f>VLOOKUP($E635,'5.1 Budget'!$A$4:$G$729,3,0)</f>
        <v>100000</v>
      </c>
      <c r="R635" s="462">
        <f>VLOOKUP($E635,'5.1 Budget'!$A$4:$G$729,4,0)</f>
        <v>100000</v>
      </c>
      <c r="S635" s="462">
        <f>VLOOKUP($E635,'5.1 Budget'!$A$4:$G$729,5,0)</f>
        <v>100000</v>
      </c>
      <c r="T635" s="462">
        <f>VLOOKUP($E635,'5.1 Budget'!$A$4:$G$729,6,0)</f>
        <v>100000</v>
      </c>
      <c r="U635" s="462">
        <f>VLOOKUP($E635,'5.1 Budget'!$A$4:$G$729,7,0)</f>
        <v>100000</v>
      </c>
      <c r="V635" s="462">
        <f t="shared" si="10"/>
        <v>600000</v>
      </c>
    </row>
    <row r="636" spans="1:22" x14ac:dyDescent="0.25">
      <c r="A636" s="465">
        <v>7</v>
      </c>
      <c r="B636" s="12" t="s">
        <v>177</v>
      </c>
      <c r="C636" s="12" t="s">
        <v>178</v>
      </c>
      <c r="D636" s="12" t="s">
        <v>122</v>
      </c>
      <c r="E636" s="12" t="s">
        <v>1210</v>
      </c>
      <c r="F636" s="469" t="str">
        <f>VLOOKUP(E636,'5. Consolidation'!$E$3:$F$715,2,0)</f>
        <v>Réaliser les travaux de renouvellement des canalisations de distribution et répartition</v>
      </c>
      <c r="G636" s="12"/>
      <c r="H636" s="12"/>
      <c r="I636" s="12"/>
      <c r="J636" s="12"/>
      <c r="K636" s="12"/>
      <c r="L636" s="12"/>
      <c r="M636" s="12"/>
      <c r="N636" s="459">
        <v>2022</v>
      </c>
      <c r="O636" s="12">
        <v>2027</v>
      </c>
      <c r="P636" s="462">
        <f>VLOOKUP($E636,'5.1 Budget'!$A$4:$G$729,2,0)</f>
        <v>19925000</v>
      </c>
      <c r="Q636" s="462">
        <f>VLOOKUP($E636,'5.1 Budget'!$A$4:$G$729,3,0)</f>
        <v>19925000</v>
      </c>
      <c r="R636" s="462">
        <f>VLOOKUP($E636,'5.1 Budget'!$A$4:$G$729,4,0)</f>
        <v>19925000</v>
      </c>
      <c r="S636" s="462">
        <f>VLOOKUP($E636,'5.1 Budget'!$A$4:$G$729,5,0)</f>
        <v>19925000</v>
      </c>
      <c r="T636" s="462">
        <f>VLOOKUP($E636,'5.1 Budget'!$A$4:$G$729,6,0)</f>
        <v>19925000</v>
      </c>
      <c r="U636" s="462">
        <f>VLOOKUP($E636,'5.1 Budget'!$A$4:$G$729,7,0)</f>
        <v>19925000</v>
      </c>
      <c r="V636" s="462">
        <f t="shared" si="10"/>
        <v>119550000</v>
      </c>
    </row>
    <row r="637" spans="1:22" x14ac:dyDescent="0.25">
      <c r="A637" s="465">
        <v>7</v>
      </c>
      <c r="B637" s="12" t="s">
        <v>177</v>
      </c>
      <c r="C637" s="12" t="s">
        <v>178</v>
      </c>
      <c r="D637" s="12" t="s">
        <v>122</v>
      </c>
      <c r="E637" s="12" t="s">
        <v>1211</v>
      </c>
      <c r="F637" s="469" t="str">
        <f>VLOOKUP(E637,'5. Consolidation'!$E$3:$F$715,2,0)</f>
        <v>Assurer un contrôle et entretien régulier des hydrants (à charge des communes après  2022)</v>
      </c>
      <c r="G637" s="12"/>
      <c r="H637" s="12"/>
      <c r="I637" s="12"/>
      <c r="J637" s="12"/>
      <c r="K637" s="12"/>
      <c r="L637" s="12"/>
      <c r="M637" s="12"/>
      <c r="N637" s="459">
        <v>2022</v>
      </c>
      <c r="O637" s="12">
        <v>2027</v>
      </c>
      <c r="P637" s="462">
        <f>VLOOKUP($E637,'5.1 Budget'!$A$4:$G$729,2,0)</f>
        <v>550000</v>
      </c>
      <c r="Q637" s="462">
        <f>VLOOKUP($E637,'5.1 Budget'!$A$4:$G$729,3,0)</f>
        <v>550000</v>
      </c>
      <c r="R637" s="462">
        <f>VLOOKUP($E637,'5.1 Budget'!$A$4:$G$729,4,0)</f>
        <v>550000</v>
      </c>
      <c r="S637" s="462">
        <f>VLOOKUP($E637,'5.1 Budget'!$A$4:$G$729,5,0)</f>
        <v>550000</v>
      </c>
      <c r="T637" s="462">
        <f>VLOOKUP($E637,'5.1 Budget'!$A$4:$G$729,6,0)</f>
        <v>550000</v>
      </c>
      <c r="U637" s="462">
        <f>VLOOKUP($E637,'5.1 Budget'!$A$4:$G$729,7,0)</f>
        <v>550000</v>
      </c>
      <c r="V637" s="462">
        <f t="shared" si="10"/>
        <v>3300000</v>
      </c>
    </row>
    <row r="638" spans="1:22" ht="51.75" x14ac:dyDescent="0.25">
      <c r="A638" s="465">
        <v>7</v>
      </c>
      <c r="B638" s="12" t="s">
        <v>177</v>
      </c>
      <c r="C638" s="12" t="s">
        <v>179</v>
      </c>
      <c r="D638" s="12" t="s">
        <v>123</v>
      </c>
      <c r="E638" s="12" t="s">
        <v>1221</v>
      </c>
      <c r="F638" s="469" t="str">
        <f>VLOOKUP(E638,'5. Consolidation'!$E$3:$F$715,2,0)</f>
        <v>Encourager la fourniture de l’eau du robinet, à titre gratuit ou moyennant des frais de services peu élevés, dans l’HORECA, les cantines, les centres sportifs, les centres culturels et dans tous les types de services de restauration ainsi que lors d’événement organisés par ces services.
Pour les écoles, cet encouragement peut passer par la mise à disposition de dossiers pédagogiques par exemple.</v>
      </c>
      <c r="G638" s="12"/>
      <c r="H638" s="12"/>
      <c r="I638" s="12"/>
      <c r="J638" s="12"/>
      <c r="K638" s="12"/>
      <c r="L638" s="12"/>
      <c r="M638" s="12"/>
      <c r="N638" s="12"/>
      <c r="O638" s="12"/>
      <c r="P638" s="462">
        <f>VLOOKUP($E638,'5.1 Budget'!$A$4:$G$729,2,0)</f>
        <v>0</v>
      </c>
      <c r="Q638" s="462">
        <f>VLOOKUP($E638,'5.1 Budget'!$A$4:$G$729,3,0)</f>
        <v>0</v>
      </c>
      <c r="R638" s="462">
        <f>VLOOKUP($E638,'5.1 Budget'!$A$4:$G$729,4,0)</f>
        <v>0</v>
      </c>
      <c r="S638" s="462">
        <f>VLOOKUP($E638,'5.1 Budget'!$A$4:$G$729,5,0)</f>
        <v>0</v>
      </c>
      <c r="T638" s="462">
        <f>VLOOKUP($E638,'5.1 Budget'!$A$4:$G$729,6,0)</f>
        <v>0</v>
      </c>
      <c r="U638" s="462">
        <f>VLOOKUP($E638,'5.1 Budget'!$A$4:$G$729,7,0)</f>
        <v>0</v>
      </c>
      <c r="V638" s="462">
        <f t="shared" si="10"/>
        <v>0</v>
      </c>
    </row>
    <row r="639" spans="1:22" ht="39" x14ac:dyDescent="0.25">
      <c r="A639" s="465">
        <v>7</v>
      </c>
      <c r="B639" s="12" t="s">
        <v>177</v>
      </c>
      <c r="C639" s="12" t="s">
        <v>179</v>
      </c>
      <c r="D639" s="12" t="s">
        <v>123</v>
      </c>
      <c r="E639" s="12" t="s">
        <v>1222</v>
      </c>
      <c r="F639" s="469" t="str">
        <f>VLOOKUP(E639,'5. Consolidation'!$E$3:$F$715,2,0)</f>
        <v>Dans les secteurs momentanément non concernés par l’interdiction décrite dans le Brudalex : promouvoir dans tous les labels et chartes (Good Food, eco-schools, bubble, etc.) une utilisation rationnelle de l’eau et une utilisation de l’eau de distribution comme critère.</v>
      </c>
      <c r="G639" s="12"/>
      <c r="H639" s="12"/>
      <c r="I639" s="12"/>
      <c r="J639" s="12"/>
      <c r="K639" s="12"/>
      <c r="L639" s="12"/>
      <c r="M639" s="12"/>
      <c r="N639" s="12"/>
      <c r="O639" s="12"/>
      <c r="P639" s="462">
        <f>VLOOKUP($E639,'5.1 Budget'!$A$4:$G$729,2,0)</f>
        <v>0</v>
      </c>
      <c r="Q639" s="462">
        <f>VLOOKUP($E639,'5.1 Budget'!$A$4:$G$729,3,0)</f>
        <v>0</v>
      </c>
      <c r="R639" s="462">
        <f>VLOOKUP($E639,'5.1 Budget'!$A$4:$G$729,4,0)</f>
        <v>0</v>
      </c>
      <c r="S639" s="462">
        <f>VLOOKUP($E639,'5.1 Budget'!$A$4:$G$729,5,0)</f>
        <v>0</v>
      </c>
      <c r="T639" s="462">
        <f>VLOOKUP($E639,'5.1 Budget'!$A$4:$G$729,6,0)</f>
        <v>0</v>
      </c>
      <c r="U639" s="462">
        <f>VLOOKUP($E639,'5.1 Budget'!$A$4:$G$729,7,0)</f>
        <v>0</v>
      </c>
      <c r="V639" s="462">
        <f t="shared" si="10"/>
        <v>0</v>
      </c>
    </row>
    <row r="640" spans="1:22" ht="26.25" x14ac:dyDescent="0.25">
      <c r="A640" s="465">
        <v>7</v>
      </c>
      <c r="B640" s="12" t="s">
        <v>177</v>
      </c>
      <c r="C640" s="12" t="s">
        <v>179</v>
      </c>
      <c r="D640" s="12" t="s">
        <v>123</v>
      </c>
      <c r="E640" s="12" t="s">
        <v>1223</v>
      </c>
      <c r="F640" s="469" t="str">
        <f>VLOOKUP(E640,'5. Consolidation'!$E$3:$F$715,2,0)</f>
        <v>Promotion et sensibilisation de l’utilisation de l’eau du robinet dans les établissements scolaires par l’installation de fontaines d’eau potable avec des  soutiens technique à la maintenance et pédagogique à la sensibilisation.</v>
      </c>
      <c r="G640" s="12"/>
      <c r="H640" s="12"/>
      <c r="I640" s="12"/>
      <c r="J640" s="12"/>
      <c r="K640" s="12"/>
      <c r="L640" s="12"/>
      <c r="M640" s="12"/>
      <c r="N640" s="459">
        <v>2023</v>
      </c>
      <c r="O640" s="12"/>
      <c r="P640" s="462">
        <f>VLOOKUP($E640,'5.1 Budget'!$A$4:$G$729,2,0)</f>
        <v>0</v>
      </c>
      <c r="Q640" s="462" t="str">
        <f>VLOOKUP($E640,'5.1 Budget'!$A$4:$G$729,3,0)</f>
        <v>10 000€</v>
      </c>
      <c r="R640" s="462" t="str">
        <f>VLOOKUP($E640,'5.1 Budget'!$A$4:$G$729,4,0)</f>
        <v>10 000€</v>
      </c>
      <c r="S640" s="462" t="str">
        <f>VLOOKUP($E640,'5.1 Budget'!$A$4:$G$729,5,0)</f>
        <v>10 000€</v>
      </c>
      <c r="T640" s="462" t="str">
        <f>VLOOKUP($E640,'5.1 Budget'!$A$4:$G$729,6,0)</f>
        <v>10 000€</v>
      </c>
      <c r="U640" s="462" t="str">
        <f>VLOOKUP($E640,'5.1 Budget'!$A$4:$G$729,7,0)</f>
        <v>10 000€</v>
      </c>
      <c r="V640" s="462">
        <f t="shared" si="10"/>
        <v>0</v>
      </c>
    </row>
    <row r="641" spans="1:22" ht="26.25" x14ac:dyDescent="0.25">
      <c r="A641" s="465">
        <v>7</v>
      </c>
      <c r="B641" s="12" t="s">
        <v>177</v>
      </c>
      <c r="C641" s="12" t="s">
        <v>179</v>
      </c>
      <c r="D641" s="12" t="s">
        <v>123</v>
      </c>
      <c r="E641" s="12" t="s">
        <v>1224</v>
      </c>
      <c r="F641" s="469" t="str">
        <f>VLOOKUP(E641,'5. Consolidation'!$E$3:$F$715,2,0)</f>
        <v>Imposer l’abandon du recours à l’eau en bouteille au profit de l’eau de distribution lors d’événements subventionnés par les pouvoirs publics.</v>
      </c>
      <c r="G641" s="12"/>
      <c r="H641" s="12"/>
      <c r="I641" s="12"/>
      <c r="J641" s="12"/>
      <c r="K641" s="12"/>
      <c r="L641" s="12"/>
      <c r="M641" s="12"/>
      <c r="N641" s="12"/>
      <c r="O641" s="12"/>
      <c r="P641" s="462">
        <f>VLOOKUP($E641,'5.1 Budget'!$A$4:$G$729,2,0)</f>
        <v>0</v>
      </c>
      <c r="Q641" s="462">
        <f>VLOOKUP($E641,'5.1 Budget'!$A$4:$G$729,3,0)</f>
        <v>0</v>
      </c>
      <c r="R641" s="462">
        <f>VLOOKUP($E641,'5.1 Budget'!$A$4:$G$729,4,0)</f>
        <v>0</v>
      </c>
      <c r="S641" s="462">
        <f>VLOOKUP($E641,'5.1 Budget'!$A$4:$G$729,5,0)</f>
        <v>0</v>
      </c>
      <c r="T641" s="462">
        <f>VLOOKUP($E641,'5.1 Budget'!$A$4:$G$729,6,0)</f>
        <v>0</v>
      </c>
      <c r="U641" s="462">
        <f>VLOOKUP($E641,'5.1 Budget'!$A$4:$G$729,7,0)</f>
        <v>0</v>
      </c>
      <c r="V641" s="462">
        <f t="shared" si="10"/>
        <v>0</v>
      </c>
    </row>
    <row r="642" spans="1:22" ht="26.25" x14ac:dyDescent="0.25">
      <c r="A642" s="465">
        <v>7</v>
      </c>
      <c r="B642" s="12" t="s">
        <v>177</v>
      </c>
      <c r="C642" s="12" t="s">
        <v>179</v>
      </c>
      <c r="D642" s="12" t="s">
        <v>123</v>
      </c>
      <c r="E642" s="12" t="s">
        <v>1225</v>
      </c>
      <c r="F642" s="469" t="str">
        <f>VLOOKUP(E642,'5. Consolidation'!$E$3:$F$715,2,0)</f>
        <v>Communiquer auprès des citoyens concernant la qualité de l’eau du robinet (via les réseaux sociaux, newsletter client, site web, stands pédagogiques, etc.).</v>
      </c>
      <c r="G642" s="12"/>
      <c r="H642" s="12"/>
      <c r="I642" s="12"/>
      <c r="J642" s="12"/>
      <c r="K642" s="12"/>
      <c r="L642" s="12"/>
      <c r="M642" s="12"/>
      <c r="N642" s="12"/>
      <c r="O642" s="12"/>
      <c r="P642" s="462">
        <f>VLOOKUP($E642,'5.1 Budget'!$A$4:$G$729,2,0)</f>
        <v>0</v>
      </c>
      <c r="Q642" s="462">
        <f>VLOOKUP($E642,'5.1 Budget'!$A$4:$G$729,3,0)</f>
        <v>0</v>
      </c>
      <c r="R642" s="462">
        <f>VLOOKUP($E642,'5.1 Budget'!$A$4:$G$729,4,0)</f>
        <v>0</v>
      </c>
      <c r="S642" s="462">
        <f>VLOOKUP($E642,'5.1 Budget'!$A$4:$G$729,5,0)</f>
        <v>0</v>
      </c>
      <c r="T642" s="462">
        <f>VLOOKUP($E642,'5.1 Budget'!$A$4:$G$729,6,0)</f>
        <v>0</v>
      </c>
      <c r="U642" s="462">
        <f>VLOOKUP($E642,'5.1 Budget'!$A$4:$G$729,7,0)</f>
        <v>0</v>
      </c>
      <c r="V642" s="462">
        <f t="shared" si="10"/>
        <v>0</v>
      </c>
    </row>
    <row r="643" spans="1:22" ht="26.25" x14ac:dyDescent="0.25">
      <c r="A643" s="465">
        <v>7</v>
      </c>
      <c r="B643" s="12" t="s">
        <v>177</v>
      </c>
      <c r="C643" s="12" t="s">
        <v>179</v>
      </c>
      <c r="D643" s="12" t="s">
        <v>123</v>
      </c>
      <c r="E643" s="12" t="s">
        <v>1226</v>
      </c>
      <c r="F643" s="469" t="str">
        <f>VLOOKUP(E643,'5. Consolidation'!$E$3:$F$715,2,0)</f>
        <v>Encourager l’utilisation de l’eau de distribution dans les espaces privés dans les communications régionales et communales (site Internet par exemple)</v>
      </c>
      <c r="G643" s="12"/>
      <c r="H643" s="12"/>
      <c r="I643" s="12"/>
      <c r="J643" s="12"/>
      <c r="K643" s="12"/>
      <c r="L643" s="12"/>
      <c r="M643" s="12"/>
      <c r="N643" s="12"/>
      <c r="O643" s="12"/>
      <c r="P643" s="462">
        <f>VLOOKUP($E643,'5.1 Budget'!$A$4:$G$729,2,0)</f>
        <v>0</v>
      </c>
      <c r="Q643" s="462">
        <f>VLOOKUP($E643,'5.1 Budget'!$A$4:$G$729,3,0)</f>
        <v>0</v>
      </c>
      <c r="R643" s="462">
        <f>VLOOKUP($E643,'5.1 Budget'!$A$4:$G$729,4,0)</f>
        <v>0</v>
      </c>
      <c r="S643" s="462">
        <f>VLOOKUP($E643,'5.1 Budget'!$A$4:$G$729,5,0)</f>
        <v>0</v>
      </c>
      <c r="T643" s="462">
        <f>VLOOKUP($E643,'5.1 Budget'!$A$4:$G$729,6,0)</f>
        <v>0</v>
      </c>
      <c r="U643" s="462">
        <f>VLOOKUP($E643,'5.1 Budget'!$A$4:$G$729,7,0)</f>
        <v>0</v>
      </c>
      <c r="V643" s="462">
        <f t="shared" ref="V643:V706" si="11">SUM(P643:U643)</f>
        <v>0</v>
      </c>
    </row>
    <row r="644" spans="1:22" ht="90" x14ac:dyDescent="0.25">
      <c r="A644" s="465">
        <v>7</v>
      </c>
      <c r="B644" s="12" t="s">
        <v>177</v>
      </c>
      <c r="C644" s="12" t="s">
        <v>179</v>
      </c>
      <c r="D644" s="12" t="s">
        <v>123</v>
      </c>
      <c r="E644" s="12" t="s">
        <v>1227</v>
      </c>
      <c r="F644" s="469" t="str">
        <f>VLOOKUP(E644,'5. Consolidation'!$E$3:$F$715,2,0)</f>
        <v>Proposition de mesures de Brudalex :
interdire aux autorités régionales  de servir des boissons dans des récipients à usage unique dans leurs propres activités et lors des événements qu'elles organisent
interdire la consommation des bouteilles d’eau au sein des bâtiments dépendants des pouvoirs publics régionaux et communaux, tout comme lors d’événements sponsorisés par ceux-ci.
Après, une première phase de mise en œuvre, élargir l’interdiction à tous les évènements accessibles au public tant en intérieur qu’en extérieur, en impliquant en particulier les fédérations sportives et les organisateurs d’évènements.</v>
      </c>
      <c r="G644" s="12"/>
      <c r="H644" s="12"/>
      <c r="I644" s="12"/>
      <c r="J644" s="12"/>
      <c r="K644" s="12"/>
      <c r="L644" s="12"/>
      <c r="M644" s="12"/>
      <c r="N644" s="12"/>
      <c r="O644" s="12"/>
      <c r="P644" s="462">
        <f>VLOOKUP($E644,'5.1 Budget'!$A$4:$G$729,2,0)</f>
        <v>0</v>
      </c>
      <c r="Q644" s="462">
        <f>VLOOKUP($E644,'5.1 Budget'!$A$4:$G$729,3,0)</f>
        <v>0</v>
      </c>
      <c r="R644" s="462">
        <f>VLOOKUP($E644,'5.1 Budget'!$A$4:$G$729,4,0)</f>
        <v>0</v>
      </c>
      <c r="S644" s="462">
        <f>VLOOKUP($E644,'5.1 Budget'!$A$4:$G$729,5,0)</f>
        <v>0</v>
      </c>
      <c r="T644" s="462">
        <f>VLOOKUP($E644,'5.1 Budget'!$A$4:$G$729,6,0)</f>
        <v>0</v>
      </c>
      <c r="U644" s="462">
        <f>VLOOKUP($E644,'5.1 Budget'!$A$4:$G$729,7,0)</f>
        <v>0</v>
      </c>
      <c r="V644" s="462">
        <f t="shared" si="11"/>
        <v>0</v>
      </c>
    </row>
    <row r="645" spans="1:22" x14ac:dyDescent="0.25">
      <c r="A645" s="465">
        <v>7</v>
      </c>
      <c r="B645" s="12" t="s">
        <v>177</v>
      </c>
      <c r="C645" s="12" t="s">
        <v>179</v>
      </c>
      <c r="D645" s="12" t="s">
        <v>124</v>
      </c>
      <c r="E645" s="12" t="s">
        <v>1228</v>
      </c>
      <c r="F645" s="469" t="str">
        <f>VLOOKUP(E645,'5. Consolidation'!$E$3:$F$715,2,0)</f>
        <v>Actualiser et améliorer le matériel et contenu existants</v>
      </c>
      <c r="G645" s="12"/>
      <c r="H645" s="12"/>
      <c r="I645" s="12"/>
      <c r="J645" s="12"/>
      <c r="K645" s="12"/>
      <c r="L645" s="12"/>
      <c r="M645" s="12"/>
      <c r="N645" s="12"/>
      <c r="O645" s="12"/>
      <c r="P645" s="462">
        <f>VLOOKUP($E645,'5.1 Budget'!$A$4:$G$729,2,0)</f>
        <v>0</v>
      </c>
      <c r="Q645" s="462">
        <f>VLOOKUP($E645,'5.1 Budget'!$A$4:$G$729,3,0)</f>
        <v>0</v>
      </c>
      <c r="R645" s="462">
        <f>VLOOKUP($E645,'5.1 Budget'!$A$4:$G$729,4,0)</f>
        <v>0</v>
      </c>
      <c r="S645" s="462">
        <f>VLOOKUP($E645,'5.1 Budget'!$A$4:$G$729,5,0)</f>
        <v>0</v>
      </c>
      <c r="T645" s="462">
        <f>VLOOKUP($E645,'5.1 Budget'!$A$4:$G$729,6,0)</f>
        <v>0</v>
      </c>
      <c r="U645" s="462">
        <f>VLOOKUP($E645,'5.1 Budget'!$A$4:$G$729,7,0)</f>
        <v>0</v>
      </c>
      <c r="V645" s="462">
        <f t="shared" si="11"/>
        <v>0</v>
      </c>
    </row>
    <row r="646" spans="1:22" x14ac:dyDescent="0.25">
      <c r="A646" s="465">
        <v>7</v>
      </c>
      <c r="B646" s="12" t="s">
        <v>177</v>
      </c>
      <c r="C646" s="12" t="s">
        <v>179</v>
      </c>
      <c r="D646" s="12" t="s">
        <v>124</v>
      </c>
      <c r="E646" s="12" t="s">
        <v>1229</v>
      </c>
      <c r="F646" s="469" t="str">
        <f>VLOOKUP(E646,'5. Consolidation'!$E$3:$F$715,2,0)</f>
        <v>Optimaliser la promotion de ce matériel et contenu</v>
      </c>
      <c r="G646" s="12"/>
      <c r="H646" s="12"/>
      <c r="I646" s="12"/>
      <c r="J646" s="12"/>
      <c r="K646" s="12"/>
      <c r="L646" s="12"/>
      <c r="M646" s="12"/>
      <c r="N646" s="12"/>
      <c r="O646" s="12"/>
      <c r="P646" s="462">
        <f>VLOOKUP($E646,'5.1 Budget'!$A$4:$G$729,2,0)</f>
        <v>0</v>
      </c>
      <c r="Q646" s="462">
        <f>VLOOKUP($E646,'5.1 Budget'!$A$4:$G$729,3,0)</f>
        <v>0</v>
      </c>
      <c r="R646" s="462">
        <f>VLOOKUP($E646,'5.1 Budget'!$A$4:$G$729,4,0)</f>
        <v>0</v>
      </c>
      <c r="S646" s="462">
        <f>VLOOKUP($E646,'5.1 Budget'!$A$4:$G$729,5,0)</f>
        <v>0</v>
      </c>
      <c r="T646" s="462">
        <f>VLOOKUP($E646,'5.1 Budget'!$A$4:$G$729,6,0)</f>
        <v>0</v>
      </c>
      <c r="U646" s="462">
        <f>VLOOKUP($E646,'5.1 Budget'!$A$4:$G$729,7,0)</f>
        <v>0</v>
      </c>
      <c r="V646" s="462">
        <f t="shared" si="11"/>
        <v>0</v>
      </c>
    </row>
    <row r="647" spans="1:22" x14ac:dyDescent="0.25">
      <c r="A647" s="465">
        <v>7</v>
      </c>
      <c r="B647" s="12" t="s">
        <v>177</v>
      </c>
      <c r="C647" s="12" t="s">
        <v>179</v>
      </c>
      <c r="D647" s="12" t="s">
        <v>124</v>
      </c>
      <c r="E647" s="12" t="s">
        <v>1230</v>
      </c>
      <c r="F647" s="469" t="str">
        <f>VLOOKUP(E647,'5. Consolidation'!$E$3:$F$715,2,0)</f>
        <v>Renforcer la promotion des équipements et aménagements sur les canaux BE</v>
      </c>
      <c r="G647" s="12"/>
      <c r="H647" s="12"/>
      <c r="I647" s="12"/>
      <c r="J647" s="12"/>
      <c r="K647" s="12"/>
      <c r="L647" s="12"/>
      <c r="M647" s="12"/>
      <c r="N647" s="12"/>
      <c r="O647" s="12"/>
      <c r="P647" s="462">
        <f>VLOOKUP($E647,'5.1 Budget'!$A$4:$G$729,2,0)</f>
        <v>0</v>
      </c>
      <c r="Q647" s="462">
        <f>VLOOKUP($E647,'5.1 Budget'!$A$4:$G$729,3,0)</f>
        <v>0</v>
      </c>
      <c r="R647" s="462">
        <f>VLOOKUP($E647,'5.1 Budget'!$A$4:$G$729,4,0)</f>
        <v>0</v>
      </c>
      <c r="S647" s="462">
        <f>VLOOKUP($E647,'5.1 Budget'!$A$4:$G$729,5,0)</f>
        <v>0</v>
      </c>
      <c r="T647" s="462">
        <f>VLOOKUP($E647,'5.1 Budget'!$A$4:$G$729,6,0)</f>
        <v>0</v>
      </c>
      <c r="U647" s="462">
        <f>VLOOKUP($E647,'5.1 Budget'!$A$4:$G$729,7,0)</f>
        <v>0</v>
      </c>
      <c r="V647" s="462">
        <f t="shared" si="11"/>
        <v>0</v>
      </c>
    </row>
    <row r="648" spans="1:22" x14ac:dyDescent="0.25">
      <c r="A648" s="465">
        <v>7</v>
      </c>
      <c r="B648" s="12" t="s">
        <v>177</v>
      </c>
      <c r="C648" s="12" t="s">
        <v>179</v>
      </c>
      <c r="D648" s="12" t="s">
        <v>124</v>
      </c>
      <c r="E648" s="12" t="s">
        <v>1231</v>
      </c>
      <c r="F648" s="469" t="str">
        <f>VLOOKUP(E648,'5. Consolidation'!$E$3:$F$715,2,0)</f>
        <v>Renforcer la promotion des équipements et aménagements via les partenaires externes</v>
      </c>
      <c r="G648" s="12"/>
      <c r="H648" s="12"/>
      <c r="I648" s="12"/>
      <c r="J648" s="12"/>
      <c r="K648" s="12"/>
      <c r="L648" s="12"/>
      <c r="M648" s="12"/>
      <c r="N648" s="12"/>
      <c r="O648" s="12"/>
      <c r="P648" s="462">
        <f>VLOOKUP($E648,'5.1 Budget'!$A$4:$G$729,2,0)</f>
        <v>0</v>
      </c>
      <c r="Q648" s="462">
        <f>VLOOKUP($E648,'5.1 Budget'!$A$4:$G$729,3,0)</f>
        <v>0</v>
      </c>
      <c r="R648" s="462">
        <f>VLOOKUP($E648,'5.1 Budget'!$A$4:$G$729,4,0)</f>
        <v>0</v>
      </c>
      <c r="S648" s="462">
        <f>VLOOKUP($E648,'5.1 Budget'!$A$4:$G$729,5,0)</f>
        <v>0</v>
      </c>
      <c r="T648" s="462">
        <f>VLOOKUP($E648,'5.1 Budget'!$A$4:$G$729,6,0)</f>
        <v>0</v>
      </c>
      <c r="U648" s="462">
        <f>VLOOKUP($E648,'5.1 Budget'!$A$4:$G$729,7,0)</f>
        <v>0</v>
      </c>
      <c r="V648" s="462">
        <f t="shared" si="11"/>
        <v>0</v>
      </c>
    </row>
    <row r="649" spans="1:22" x14ac:dyDescent="0.25">
      <c r="A649" s="465">
        <v>7</v>
      </c>
      <c r="B649" s="12" t="s">
        <v>177</v>
      </c>
      <c r="C649" s="12" t="s">
        <v>179</v>
      </c>
      <c r="D649" s="12" t="s">
        <v>124</v>
      </c>
      <c r="E649" s="12" t="s">
        <v>1232</v>
      </c>
      <c r="F649" s="469" t="str">
        <f>VLOOKUP(E649,'5. Consolidation'!$E$3:$F$715,2,0)</f>
        <v>Permettre aux usagers de l’eau de faire réaliser un « Audit Eau » de leurs installations (// waterscan)</v>
      </c>
      <c r="G649" s="12"/>
      <c r="H649" s="12"/>
      <c r="I649" s="12"/>
      <c r="J649" s="12"/>
      <c r="K649" s="12"/>
      <c r="L649" s="12"/>
      <c r="M649" s="12"/>
      <c r="N649" s="12"/>
      <c r="O649" s="12"/>
      <c r="P649" s="462">
        <f>VLOOKUP($E649,'5.1 Budget'!$A$4:$G$729,2,0)</f>
        <v>0</v>
      </c>
      <c r="Q649" s="462">
        <f>VLOOKUP($E649,'5.1 Budget'!$A$4:$G$729,3,0)</f>
        <v>0</v>
      </c>
      <c r="R649" s="462">
        <f>VLOOKUP($E649,'5.1 Budget'!$A$4:$G$729,4,0)</f>
        <v>0</v>
      </c>
      <c r="S649" s="462">
        <f>VLOOKUP($E649,'5.1 Budget'!$A$4:$G$729,5,0)</f>
        <v>0</v>
      </c>
      <c r="T649" s="462">
        <f>VLOOKUP($E649,'5.1 Budget'!$A$4:$G$729,6,0)</f>
        <v>0</v>
      </c>
      <c r="U649" s="462">
        <f>VLOOKUP($E649,'5.1 Budget'!$A$4:$G$729,7,0)</f>
        <v>0</v>
      </c>
      <c r="V649" s="462">
        <f t="shared" si="11"/>
        <v>0</v>
      </c>
    </row>
    <row r="650" spans="1:22" ht="26.25" x14ac:dyDescent="0.25">
      <c r="A650" s="465">
        <v>7</v>
      </c>
      <c r="B650" s="12" t="s">
        <v>177</v>
      </c>
      <c r="C650" s="12" t="s">
        <v>179</v>
      </c>
      <c r="D650" s="12" t="s">
        <v>125</v>
      </c>
      <c r="E650" s="12" t="s">
        <v>1233</v>
      </c>
      <c r="F650" s="469" t="str">
        <f>VLOOKUP(E650,'5. Consolidation'!$E$3:$F$715,2,0)</f>
        <v>Evaluer la faisabilité d’introduire la thématique « eau » dans le programme PLAGE et son efficacité quant à son impact environnemental par rapport aux investissements consentis.</v>
      </c>
      <c r="G650" s="12"/>
      <c r="H650" s="12"/>
      <c r="I650" s="12"/>
      <c r="J650" s="12"/>
      <c r="K650" s="12"/>
      <c r="L650" s="12"/>
      <c r="M650" s="12"/>
      <c r="N650" s="12"/>
      <c r="O650" s="12"/>
      <c r="P650" s="462">
        <f>VLOOKUP($E650,'5.1 Budget'!$A$4:$G$729,2,0)</f>
        <v>0</v>
      </c>
      <c r="Q650" s="462">
        <f>VLOOKUP($E650,'5.1 Budget'!$A$4:$G$729,3,0)</f>
        <v>0</v>
      </c>
      <c r="R650" s="462">
        <f>VLOOKUP($E650,'5.1 Budget'!$A$4:$G$729,4,0)</f>
        <v>0</v>
      </c>
      <c r="S650" s="462">
        <f>VLOOKUP($E650,'5.1 Budget'!$A$4:$G$729,5,0)</f>
        <v>0</v>
      </c>
      <c r="T650" s="462">
        <f>VLOOKUP($E650,'5.1 Budget'!$A$4:$G$729,6,0)</f>
        <v>0</v>
      </c>
      <c r="U650" s="462">
        <f>VLOOKUP($E650,'5.1 Budget'!$A$4:$G$729,7,0)</f>
        <v>0</v>
      </c>
      <c r="V650" s="462">
        <f t="shared" si="11"/>
        <v>0</v>
      </c>
    </row>
    <row r="651" spans="1:22" ht="39" x14ac:dyDescent="0.25">
      <c r="A651" s="465">
        <v>7</v>
      </c>
      <c r="B651" s="12" t="s">
        <v>177</v>
      </c>
      <c r="C651" s="12" t="s">
        <v>179</v>
      </c>
      <c r="D651" s="12" t="s">
        <v>125</v>
      </c>
      <c r="E651" s="12" t="s">
        <v>1234</v>
      </c>
      <c r="F651" s="469" t="str">
        <f>VLOOKUP(E651,'5. Consolidation'!$E$3:$F$715,2,0)</f>
        <v>Préparer l’intégration à la démarche PLAGE en menant des projets pilotes de sensibilisation à la prise en compte de la performance en matière de consommation d’eau sur une base volontaire notamment via le réseau des « agents eau » communaux et les acteurs du PLAGE « énergie »</v>
      </c>
      <c r="G651" s="12"/>
      <c r="H651" s="12"/>
      <c r="I651" s="12"/>
      <c r="J651" s="12"/>
      <c r="K651" s="12"/>
      <c r="L651" s="12"/>
      <c r="M651" s="12"/>
      <c r="N651" s="459">
        <v>2023</v>
      </c>
      <c r="O651" s="12"/>
      <c r="P651" s="462">
        <f>VLOOKUP($E651,'5.1 Budget'!$A$4:$G$729,2,0)</f>
        <v>0</v>
      </c>
      <c r="Q651" s="462">
        <f>VLOOKUP($E651,'5.1 Budget'!$A$4:$G$729,3,0)</f>
        <v>100000</v>
      </c>
      <c r="R651" s="462">
        <f>VLOOKUP($E651,'5.1 Budget'!$A$4:$G$729,4,0)</f>
        <v>100000</v>
      </c>
      <c r="S651" s="462">
        <f>VLOOKUP($E651,'5.1 Budget'!$A$4:$G$729,5,0)</f>
        <v>100000</v>
      </c>
      <c r="T651" s="462">
        <f>VLOOKUP($E651,'5.1 Budget'!$A$4:$G$729,6,0)</f>
        <v>0</v>
      </c>
      <c r="U651" s="462">
        <f>VLOOKUP($E651,'5.1 Budget'!$A$4:$G$729,7,0)</f>
        <v>0</v>
      </c>
      <c r="V651" s="462">
        <f t="shared" si="11"/>
        <v>300000</v>
      </c>
    </row>
    <row r="652" spans="1:22" x14ac:dyDescent="0.25">
      <c r="A652" s="465">
        <v>7</v>
      </c>
      <c r="B652" s="12" t="s">
        <v>177</v>
      </c>
      <c r="C652" s="12" t="s">
        <v>179</v>
      </c>
      <c r="D652" s="12" t="s">
        <v>125</v>
      </c>
      <c r="E652" s="12" t="s">
        <v>1235</v>
      </c>
      <c r="F652" s="469" t="str">
        <f>VLOOKUP(E652,'5. Consolidation'!$E$3:$F$715,2,0)</f>
        <v>Modifier le Code bruxellois de l'Air, du Climat et de la Maîtrise de l'Energie</v>
      </c>
      <c r="G652" s="12"/>
      <c r="H652" s="12"/>
      <c r="I652" s="12"/>
      <c r="J652" s="12"/>
      <c r="K652" s="12"/>
      <c r="L652" s="12"/>
      <c r="M652" s="12"/>
      <c r="N652" s="12"/>
      <c r="O652" s="12"/>
      <c r="P652" s="462">
        <f>VLOOKUP($E652,'5.1 Budget'!$A$4:$G$729,2,0)</f>
        <v>0</v>
      </c>
      <c r="Q652" s="462">
        <f>VLOOKUP($E652,'5.1 Budget'!$A$4:$G$729,3,0)</f>
        <v>0</v>
      </c>
      <c r="R652" s="462">
        <f>VLOOKUP($E652,'5.1 Budget'!$A$4:$G$729,4,0)</f>
        <v>0</v>
      </c>
      <c r="S652" s="462">
        <f>VLOOKUP($E652,'5.1 Budget'!$A$4:$G$729,5,0)</f>
        <v>0</v>
      </c>
      <c r="T652" s="462">
        <f>VLOOKUP($E652,'5.1 Budget'!$A$4:$G$729,6,0)</f>
        <v>0</v>
      </c>
      <c r="U652" s="462">
        <f>VLOOKUP($E652,'5.1 Budget'!$A$4:$G$729,7,0)</f>
        <v>0</v>
      </c>
      <c r="V652" s="462">
        <f t="shared" si="11"/>
        <v>0</v>
      </c>
    </row>
    <row r="653" spans="1:22" x14ac:dyDescent="0.25">
      <c r="A653" s="465">
        <v>7</v>
      </c>
      <c r="B653" s="12" t="s">
        <v>177</v>
      </c>
      <c r="C653" s="12" t="s">
        <v>179</v>
      </c>
      <c r="D653" s="12" t="s">
        <v>125</v>
      </c>
      <c r="E653" s="12" t="s">
        <v>1236</v>
      </c>
      <c r="F653" s="469" t="str">
        <f>VLOOKUP(E653,'5. Consolidation'!$E$3:$F$715,2,0)</f>
        <v xml:space="preserve">Appliquer la législation révisée et complétée à la </v>
      </c>
      <c r="G653" s="12"/>
      <c r="H653" s="12"/>
      <c r="I653" s="12"/>
      <c r="J653" s="12"/>
      <c r="K653" s="12"/>
      <c r="L653" s="12"/>
      <c r="M653" s="12"/>
      <c r="N653" s="459">
        <v>2025</v>
      </c>
      <c r="O653" s="12"/>
      <c r="P653" s="462">
        <f>VLOOKUP($E653,'5.1 Budget'!$A$4:$G$729,2,0)</f>
        <v>0</v>
      </c>
      <c r="Q653" s="462">
        <f>VLOOKUP($E653,'5.1 Budget'!$A$4:$G$729,3,0)</f>
        <v>0</v>
      </c>
      <c r="R653" s="462">
        <f>VLOOKUP($E653,'5.1 Budget'!$A$4:$G$729,4,0)</f>
        <v>0</v>
      </c>
      <c r="S653" s="462">
        <f>VLOOKUP($E653,'5.1 Budget'!$A$4:$G$729,5,0)</f>
        <v>26150</v>
      </c>
      <c r="T653" s="462">
        <f>VLOOKUP($E653,'5.1 Budget'!$A$4:$G$729,6,0)</f>
        <v>16150</v>
      </c>
      <c r="U653" s="462">
        <f>VLOOKUP($E653,'5.1 Budget'!$A$4:$G$729,7,0)</f>
        <v>16150</v>
      </c>
      <c r="V653" s="462">
        <f t="shared" si="11"/>
        <v>58450</v>
      </c>
    </row>
    <row r="654" spans="1:22" x14ac:dyDescent="0.25">
      <c r="A654" s="465">
        <v>7</v>
      </c>
      <c r="B654" s="12" t="s">
        <v>177</v>
      </c>
      <c r="C654" s="12" t="s">
        <v>179</v>
      </c>
      <c r="D654" s="12" t="s">
        <v>126</v>
      </c>
      <c r="E654" s="12" t="s">
        <v>1237</v>
      </c>
      <c r="F654" s="469" t="str">
        <f>VLOOKUP(E654,'5. Consolidation'!$E$3:$F$715,2,0)</f>
        <v>Actualiser, regrouper et améliorer le matériel et contenu existants relatifs aux bonnes pratiques, selon les secteurs cibles</v>
      </c>
      <c r="G654" s="12"/>
      <c r="H654" s="12"/>
      <c r="I654" s="12"/>
      <c r="J654" s="12"/>
      <c r="K654" s="12"/>
      <c r="L654" s="12"/>
      <c r="M654" s="12"/>
      <c r="N654" s="12"/>
      <c r="O654" s="12"/>
      <c r="P654" s="462">
        <f>VLOOKUP($E654,'5.1 Budget'!$A$4:$G$729,2,0)</f>
        <v>0</v>
      </c>
      <c r="Q654" s="462">
        <f>VLOOKUP($E654,'5.1 Budget'!$A$4:$G$729,3,0)</f>
        <v>0</v>
      </c>
      <c r="R654" s="462">
        <f>VLOOKUP($E654,'5.1 Budget'!$A$4:$G$729,4,0)</f>
        <v>0</v>
      </c>
      <c r="S654" s="462">
        <f>VLOOKUP($E654,'5.1 Budget'!$A$4:$G$729,5,0)</f>
        <v>0</v>
      </c>
      <c r="T654" s="462">
        <f>VLOOKUP($E654,'5.1 Budget'!$A$4:$G$729,6,0)</f>
        <v>0</v>
      </c>
      <c r="U654" s="462">
        <f>VLOOKUP($E654,'5.1 Budget'!$A$4:$G$729,7,0)</f>
        <v>0</v>
      </c>
      <c r="V654" s="462">
        <f t="shared" si="11"/>
        <v>0</v>
      </c>
    </row>
    <row r="655" spans="1:22" x14ac:dyDescent="0.25">
      <c r="A655" s="465">
        <v>7</v>
      </c>
      <c r="B655" s="12" t="s">
        <v>177</v>
      </c>
      <c r="C655" s="12" t="s">
        <v>179</v>
      </c>
      <c r="D655" s="12" t="s">
        <v>126</v>
      </c>
      <c r="E655" s="12" t="s">
        <v>1238</v>
      </c>
      <c r="F655" s="469" t="str">
        <f>VLOOKUP(E655,'5. Consolidation'!$E$3:$F$715,2,0)</f>
        <v>Optimaliser la promotion de ce matériel et contenu</v>
      </c>
      <c r="G655" s="12"/>
      <c r="H655" s="12"/>
      <c r="I655" s="12"/>
      <c r="J655" s="12"/>
      <c r="K655" s="12"/>
      <c r="L655" s="12"/>
      <c r="M655" s="12"/>
      <c r="N655" s="12"/>
      <c r="O655" s="12"/>
      <c r="P655" s="462">
        <f>VLOOKUP($E655,'5.1 Budget'!$A$4:$G$729,2,0)</f>
        <v>0</v>
      </c>
      <c r="Q655" s="462">
        <f>VLOOKUP($E655,'5.1 Budget'!$A$4:$G$729,3,0)</f>
        <v>0</v>
      </c>
      <c r="R655" s="462">
        <f>VLOOKUP($E655,'5.1 Budget'!$A$4:$G$729,4,0)</f>
        <v>0</v>
      </c>
      <c r="S655" s="462">
        <f>VLOOKUP($E655,'5.1 Budget'!$A$4:$G$729,5,0)</f>
        <v>0</v>
      </c>
      <c r="T655" s="462">
        <f>VLOOKUP($E655,'5.1 Budget'!$A$4:$G$729,6,0)</f>
        <v>0</v>
      </c>
      <c r="U655" s="462">
        <f>VLOOKUP($E655,'5.1 Budget'!$A$4:$G$729,7,0)</f>
        <v>0</v>
      </c>
      <c r="V655" s="462">
        <f t="shared" si="11"/>
        <v>0</v>
      </c>
    </row>
    <row r="656" spans="1:22" x14ac:dyDescent="0.25">
      <c r="A656" s="465">
        <v>7</v>
      </c>
      <c r="B656" s="12" t="s">
        <v>177</v>
      </c>
      <c r="C656" s="12" t="s">
        <v>179</v>
      </c>
      <c r="D656" s="12" t="s">
        <v>126</v>
      </c>
      <c r="E656" s="12" t="s">
        <v>1239</v>
      </c>
      <c r="F656" s="469" t="str">
        <f>VLOOKUP(E656,'5. Consolidation'!$E$3:$F$715,2,0)</f>
        <v>Préparer des contenus, matériels, et formats adaptés, sur base des retours d’expérience</v>
      </c>
      <c r="G656" s="12"/>
      <c r="H656" s="12"/>
      <c r="I656" s="12"/>
      <c r="J656" s="12"/>
      <c r="K656" s="12"/>
      <c r="L656" s="12"/>
      <c r="M656" s="12"/>
      <c r="N656" s="12"/>
      <c r="O656" s="12"/>
      <c r="P656" s="462">
        <f>VLOOKUP($E656,'5.1 Budget'!$A$4:$G$729,2,0)</f>
        <v>0</v>
      </c>
      <c r="Q656" s="462">
        <f>VLOOKUP($E656,'5.1 Budget'!$A$4:$G$729,3,0)</f>
        <v>0</v>
      </c>
      <c r="R656" s="462">
        <f>VLOOKUP($E656,'5.1 Budget'!$A$4:$G$729,4,0)</f>
        <v>0</v>
      </c>
      <c r="S656" s="462">
        <f>VLOOKUP($E656,'5.1 Budget'!$A$4:$G$729,5,0)</f>
        <v>0</v>
      </c>
      <c r="T656" s="462">
        <f>VLOOKUP($E656,'5.1 Budget'!$A$4:$G$729,6,0)</f>
        <v>0</v>
      </c>
      <c r="U656" s="462">
        <f>VLOOKUP($E656,'5.1 Budget'!$A$4:$G$729,7,0)</f>
        <v>0</v>
      </c>
      <c r="V656" s="462">
        <f t="shared" si="11"/>
        <v>0</v>
      </c>
    </row>
    <row r="657" spans="1:22" x14ac:dyDescent="0.25">
      <c r="A657" s="465">
        <v>7</v>
      </c>
      <c r="B657" s="12" t="s">
        <v>177</v>
      </c>
      <c r="C657" s="12" t="s">
        <v>179</v>
      </c>
      <c r="D657" s="12" t="s">
        <v>126</v>
      </c>
      <c r="E657" s="12" t="s">
        <v>1240</v>
      </c>
      <c r="F657" s="469" t="str">
        <f>VLOOKUP(E657,'5. Consolidation'!$E$3:$F$715,2,0)</f>
        <v>Veiller à un partage large de ces recommandations concrètes</v>
      </c>
      <c r="G657" s="12"/>
      <c r="H657" s="12"/>
      <c r="I657" s="12"/>
      <c r="J657" s="12"/>
      <c r="K657" s="12"/>
      <c r="L657" s="12"/>
      <c r="M657" s="12"/>
      <c r="N657" s="12"/>
      <c r="O657" s="12"/>
      <c r="P657" s="462">
        <f>VLOOKUP($E657,'5.1 Budget'!$A$4:$G$729,2,0)</f>
        <v>0</v>
      </c>
      <c r="Q657" s="462">
        <f>VLOOKUP($E657,'5.1 Budget'!$A$4:$G$729,3,0)</f>
        <v>0</v>
      </c>
      <c r="R657" s="462">
        <f>VLOOKUP($E657,'5.1 Budget'!$A$4:$G$729,4,0)</f>
        <v>0</v>
      </c>
      <c r="S657" s="462">
        <f>VLOOKUP($E657,'5.1 Budget'!$A$4:$G$729,5,0)</f>
        <v>0</v>
      </c>
      <c r="T657" s="462">
        <f>VLOOKUP($E657,'5.1 Budget'!$A$4:$G$729,6,0)</f>
        <v>0</v>
      </c>
      <c r="U657" s="462">
        <f>VLOOKUP($E657,'5.1 Budget'!$A$4:$G$729,7,0)</f>
        <v>0</v>
      </c>
      <c r="V657" s="462">
        <f t="shared" si="11"/>
        <v>0</v>
      </c>
    </row>
    <row r="658" spans="1:22" ht="26.25" x14ac:dyDescent="0.25">
      <c r="A658" s="465">
        <v>7</v>
      </c>
      <c r="B658" s="12" t="s">
        <v>177</v>
      </c>
      <c r="C658" s="12" t="s">
        <v>179</v>
      </c>
      <c r="D658" s="12" t="s">
        <v>126</v>
      </c>
      <c r="E658" s="12" t="s">
        <v>1241</v>
      </c>
      <c r="F658" s="469" t="str">
        <f>VLOOKUP(E658,'5. Consolidation'!$E$3:$F$715,2,0)</f>
        <v>Diffuser plus largement le  matériel existant à destination des écoles, le développer et soutenir les associations travaillant sur la thématique de l’utilisation rationnelle d’eau dans ce secteur.</v>
      </c>
      <c r="G658" s="12"/>
      <c r="H658" s="12"/>
      <c r="I658" s="12"/>
      <c r="J658" s="12"/>
      <c r="K658" s="12"/>
      <c r="L658" s="12"/>
      <c r="M658" s="12"/>
      <c r="N658" s="459">
        <v>2023</v>
      </c>
      <c r="O658" s="12"/>
      <c r="P658" s="462">
        <f>VLOOKUP($E658,'5.1 Budget'!$A$4:$G$729,2,0)</f>
        <v>0</v>
      </c>
      <c r="Q658" s="462">
        <f>VLOOKUP($E658,'5.1 Budget'!$A$4:$G$729,3,0)</f>
        <v>50000</v>
      </c>
      <c r="R658" s="462">
        <f>VLOOKUP($E658,'5.1 Budget'!$A$4:$G$729,4,0)</f>
        <v>50000</v>
      </c>
      <c r="S658" s="462">
        <f>VLOOKUP($E658,'5.1 Budget'!$A$4:$G$729,5,0)</f>
        <v>50000</v>
      </c>
      <c r="T658" s="462">
        <f>VLOOKUP($E658,'5.1 Budget'!$A$4:$G$729,6,0)</f>
        <v>50000</v>
      </c>
      <c r="U658" s="462">
        <f>VLOOKUP($E658,'5.1 Budget'!$A$4:$G$729,7,0)</f>
        <v>50000</v>
      </c>
      <c r="V658" s="462">
        <f t="shared" si="11"/>
        <v>250000</v>
      </c>
    </row>
    <row r="659" spans="1:22" ht="26.25" x14ac:dyDescent="0.25">
      <c r="A659" s="465">
        <v>7</v>
      </c>
      <c r="B659" s="12" t="s">
        <v>177</v>
      </c>
      <c r="C659" s="12" t="s">
        <v>179</v>
      </c>
      <c r="D659" s="12" t="s">
        <v>126</v>
      </c>
      <c r="E659" s="12" t="s">
        <v>1242</v>
      </c>
      <c r="F659" s="469" t="str">
        <f>VLOOKUP(E659,'5. Consolidation'!$E$3:$F$715,2,0)</f>
        <v>Placer des compteurs « col de cygne » dans les communes partenaires pour identifier les consommations d’eau de certaines activités (marchés, …) en vue de chercher des approvisionnements alternatifs</v>
      </c>
      <c r="G659" s="12"/>
      <c r="H659" s="12"/>
      <c r="I659" s="12"/>
      <c r="J659" s="12"/>
      <c r="K659" s="12"/>
      <c r="L659" s="12"/>
      <c r="M659" s="12"/>
      <c r="N659" s="12"/>
      <c r="O659" s="12"/>
      <c r="P659" s="462">
        <f>VLOOKUP($E659,'5.1 Budget'!$A$4:$G$729,2,0)</f>
        <v>0</v>
      </c>
      <c r="Q659" s="462">
        <f>VLOOKUP($E659,'5.1 Budget'!$A$4:$G$729,3,0)</f>
        <v>0</v>
      </c>
      <c r="R659" s="462">
        <f>VLOOKUP($E659,'5.1 Budget'!$A$4:$G$729,4,0)</f>
        <v>0</v>
      </c>
      <c r="S659" s="462">
        <f>VLOOKUP($E659,'5.1 Budget'!$A$4:$G$729,5,0)</f>
        <v>0</v>
      </c>
      <c r="T659" s="462">
        <f>VLOOKUP($E659,'5.1 Budget'!$A$4:$G$729,6,0)</f>
        <v>0</v>
      </c>
      <c r="U659" s="462">
        <f>VLOOKUP($E659,'5.1 Budget'!$A$4:$G$729,7,0)</f>
        <v>0</v>
      </c>
      <c r="V659" s="462">
        <f t="shared" si="11"/>
        <v>0</v>
      </c>
    </row>
    <row r="660" spans="1:22" x14ac:dyDescent="0.25">
      <c r="A660" s="465">
        <v>7</v>
      </c>
      <c r="B660" s="12" t="s">
        <v>177</v>
      </c>
      <c r="C660" s="12" t="s">
        <v>179</v>
      </c>
      <c r="D660" s="12" t="s">
        <v>126</v>
      </c>
      <c r="E660" s="12" t="s">
        <v>1243</v>
      </c>
      <c r="F660" s="469" t="str">
        <f>VLOOKUP(E660,'5. Consolidation'!$E$3:$F$715,2,0)</f>
        <v>Assurer un suivi systématique des consommations d’eau dans les potagers gérés par Bruxelles Environnement</v>
      </c>
      <c r="G660" s="12"/>
      <c r="H660" s="12"/>
      <c r="I660" s="12"/>
      <c r="J660" s="12"/>
      <c r="K660" s="12"/>
      <c r="L660" s="12"/>
      <c r="M660" s="12"/>
      <c r="N660" s="12"/>
      <c r="O660" s="12"/>
      <c r="P660" s="462">
        <f>VLOOKUP($E660,'5.1 Budget'!$A$4:$G$729,2,0)</f>
        <v>0</v>
      </c>
      <c r="Q660" s="462">
        <f>VLOOKUP($E660,'5.1 Budget'!$A$4:$G$729,3,0)</f>
        <v>0</v>
      </c>
      <c r="R660" s="462">
        <f>VLOOKUP($E660,'5.1 Budget'!$A$4:$G$729,4,0)</f>
        <v>0</v>
      </c>
      <c r="S660" s="462">
        <f>VLOOKUP($E660,'5.1 Budget'!$A$4:$G$729,5,0)</f>
        <v>0</v>
      </c>
      <c r="T660" s="462">
        <f>VLOOKUP($E660,'5.1 Budget'!$A$4:$G$729,6,0)</f>
        <v>0</v>
      </c>
      <c r="U660" s="462">
        <f>VLOOKUP($E660,'5.1 Budget'!$A$4:$G$729,7,0)</f>
        <v>0</v>
      </c>
      <c r="V660" s="462">
        <f t="shared" si="11"/>
        <v>0</v>
      </c>
    </row>
    <row r="661" spans="1:22" ht="26.25" x14ac:dyDescent="0.25">
      <c r="A661" s="465">
        <v>7</v>
      </c>
      <c r="B661" s="12" t="s">
        <v>177</v>
      </c>
      <c r="C661" s="12" t="s">
        <v>179</v>
      </c>
      <c r="D661" s="12" t="s">
        <v>126</v>
      </c>
      <c r="E661" s="12" t="s">
        <v>1244</v>
      </c>
      <c r="F661" s="469" t="str">
        <f>VLOOKUP(E661,'5. Consolidation'!$E$3:$F$715,2,0)</f>
        <v>Mettre en place en partenariat avec notamment les universités (écoles d’été), centre agro-écologique et FédéAU des formations sur l’utilisation rationnelle d’eau et bonnes pratiques agricoles (agro-écologiques,…) </v>
      </c>
      <c r="G661" s="12"/>
      <c r="H661" s="12"/>
      <c r="I661" s="12"/>
      <c r="J661" s="12"/>
      <c r="K661" s="12"/>
      <c r="L661" s="12"/>
      <c r="M661" s="12"/>
      <c r="N661" s="12"/>
      <c r="O661" s="12"/>
      <c r="P661" s="462">
        <f>VLOOKUP($E661,'5.1 Budget'!$A$4:$G$729,2,0)</f>
        <v>0</v>
      </c>
      <c r="Q661" s="462">
        <f>VLOOKUP($E661,'5.1 Budget'!$A$4:$G$729,3,0)</f>
        <v>0</v>
      </c>
      <c r="R661" s="462">
        <f>VLOOKUP($E661,'5.1 Budget'!$A$4:$G$729,4,0)</f>
        <v>0</v>
      </c>
      <c r="S661" s="462">
        <f>VLOOKUP($E661,'5.1 Budget'!$A$4:$G$729,5,0)</f>
        <v>0</v>
      </c>
      <c r="T661" s="462">
        <f>VLOOKUP($E661,'5.1 Budget'!$A$4:$G$729,6,0)</f>
        <v>0</v>
      </c>
      <c r="U661" s="462">
        <f>VLOOKUP($E661,'5.1 Budget'!$A$4:$G$729,7,0)</f>
        <v>0</v>
      </c>
      <c r="V661" s="462">
        <f t="shared" si="11"/>
        <v>0</v>
      </c>
    </row>
    <row r="662" spans="1:22" ht="26.25" x14ac:dyDescent="0.25">
      <c r="A662" s="465">
        <v>7</v>
      </c>
      <c r="B662" s="12" t="s">
        <v>180</v>
      </c>
      <c r="C662" s="12" t="s">
        <v>155</v>
      </c>
      <c r="D662" s="12" t="s">
        <v>127</v>
      </c>
      <c r="E662" s="12" t="s">
        <v>1250</v>
      </c>
      <c r="F662" s="469" t="str">
        <f>VLOOKUP(E662,'5. Consolidation'!$E$3:$F$715,2,0)</f>
        <v xml:space="preserve">Sensibiliser et/ou soutenir les projets d’innovation visant à valoriser les eaux issues des rabattements de nappe (cf. aussi M 8.5) </v>
      </c>
      <c r="G662" s="12"/>
      <c r="H662" s="12"/>
      <c r="I662" s="12"/>
      <c r="J662" s="12"/>
      <c r="K662" s="12"/>
      <c r="L662" s="12"/>
      <c r="M662" s="12"/>
      <c r="N662" s="459">
        <v>2022</v>
      </c>
      <c r="O662" s="12">
        <v>2027</v>
      </c>
      <c r="P662" s="462">
        <f>VLOOKUP($E662,'5.1 Budget'!$A$4:$G$729,2,0)</f>
        <v>100000</v>
      </c>
      <c r="Q662" s="462">
        <f>VLOOKUP($E662,'5.1 Budget'!$A$4:$G$729,3,0)</f>
        <v>100000</v>
      </c>
      <c r="R662" s="462">
        <f>VLOOKUP($E662,'5.1 Budget'!$A$4:$G$729,4,0)</f>
        <v>100000</v>
      </c>
      <c r="S662" s="462">
        <f>VLOOKUP($E662,'5.1 Budget'!$A$4:$G$729,5,0)</f>
        <v>0</v>
      </c>
      <c r="T662" s="462">
        <f>VLOOKUP($E662,'5.1 Budget'!$A$4:$G$729,6,0)</f>
        <v>0</v>
      </c>
      <c r="U662" s="462">
        <f>VLOOKUP($E662,'5.1 Budget'!$A$4:$G$729,7,0)</f>
        <v>0</v>
      </c>
      <c r="V662" s="462">
        <f t="shared" si="11"/>
        <v>300000</v>
      </c>
    </row>
    <row r="663" spans="1:22" ht="26.25" x14ac:dyDescent="0.25">
      <c r="A663" s="465">
        <v>7</v>
      </c>
      <c r="B663" s="12" t="s">
        <v>180</v>
      </c>
      <c r="C663" s="12" t="s">
        <v>155</v>
      </c>
      <c r="D663" s="12" t="s">
        <v>127</v>
      </c>
      <c r="E663" s="12" t="s">
        <v>1245</v>
      </c>
      <c r="F663" s="469" t="str">
        <f>VLOOKUP(E663,'5. Consolidation'!$E$3:$F$715,2,0)</f>
        <v xml:space="preserve">Mettre en place un mécanisme financier incitatif à la valorisation des eaux de rabattement (telle une redevance ‘assainissement’ spécifique) </v>
      </c>
      <c r="G663" s="12"/>
      <c r="H663" s="12"/>
      <c r="I663" s="12"/>
      <c r="J663" s="12"/>
      <c r="K663" s="12"/>
      <c r="L663" s="12"/>
      <c r="M663" s="12"/>
      <c r="N663" s="12"/>
      <c r="O663" s="12"/>
      <c r="P663" s="462">
        <f>VLOOKUP($E663,'5.1 Budget'!$A$4:$G$729,2,0)</f>
        <v>0</v>
      </c>
      <c r="Q663" s="462">
        <f>VLOOKUP($E663,'5.1 Budget'!$A$4:$G$729,3,0)</f>
        <v>0</v>
      </c>
      <c r="R663" s="462">
        <f>VLOOKUP($E663,'5.1 Budget'!$A$4:$G$729,4,0)</f>
        <v>0</v>
      </c>
      <c r="S663" s="462">
        <f>VLOOKUP($E663,'5.1 Budget'!$A$4:$G$729,5,0)</f>
        <v>0</v>
      </c>
      <c r="T663" s="462">
        <f>VLOOKUP($E663,'5.1 Budget'!$A$4:$G$729,6,0)</f>
        <v>0</v>
      </c>
      <c r="U663" s="462">
        <f>VLOOKUP($E663,'5.1 Budget'!$A$4:$G$729,7,0)</f>
        <v>0</v>
      </c>
      <c r="V663" s="462">
        <f t="shared" si="11"/>
        <v>0</v>
      </c>
    </row>
    <row r="664" spans="1:22" x14ac:dyDescent="0.25">
      <c r="A664" s="465">
        <v>7</v>
      </c>
      <c r="B664" s="12" t="s">
        <v>180</v>
      </c>
      <c r="C664" s="12" t="s">
        <v>155</v>
      </c>
      <c r="D664" s="12" t="s">
        <v>127</v>
      </c>
      <c r="E664" s="12" t="s">
        <v>1246</v>
      </c>
      <c r="F664" s="469" t="str">
        <f>VLOOKUP(E664,'5. Consolidation'!$E$3:$F$715,2,0)</f>
        <v>Sensibiliser/informer les exploitants de chantier à la valorisation des eaux issues des rabattements de nappe</v>
      </c>
      <c r="G664" s="12"/>
      <c r="H664" s="12"/>
      <c r="I664" s="12"/>
      <c r="J664" s="12"/>
      <c r="K664" s="12"/>
      <c r="L664" s="12"/>
      <c r="M664" s="12"/>
      <c r="N664" s="12"/>
      <c r="O664" s="12"/>
      <c r="P664" s="462">
        <f>VLOOKUP($E664,'5.1 Budget'!$A$4:$G$729,2,0)</f>
        <v>0</v>
      </c>
      <c r="Q664" s="462">
        <f>VLOOKUP($E664,'5.1 Budget'!$A$4:$G$729,3,0)</f>
        <v>0</v>
      </c>
      <c r="R664" s="462">
        <f>VLOOKUP($E664,'5.1 Budget'!$A$4:$G$729,4,0)</f>
        <v>0</v>
      </c>
      <c r="S664" s="462">
        <f>VLOOKUP($E664,'5.1 Budget'!$A$4:$G$729,5,0)</f>
        <v>0</v>
      </c>
      <c r="T664" s="462">
        <f>VLOOKUP($E664,'5.1 Budget'!$A$4:$G$729,6,0)</f>
        <v>0</v>
      </c>
      <c r="U664" s="462">
        <f>VLOOKUP($E664,'5.1 Budget'!$A$4:$G$729,7,0)</f>
        <v>0</v>
      </c>
      <c r="V664" s="462">
        <f t="shared" si="11"/>
        <v>0</v>
      </c>
    </row>
    <row r="665" spans="1:22" ht="26.25" x14ac:dyDescent="0.25">
      <c r="A665" s="465">
        <v>7</v>
      </c>
      <c r="B665" s="12" t="s">
        <v>180</v>
      </c>
      <c r="C665" s="12" t="s">
        <v>155</v>
      </c>
      <c r="D665" s="12" t="s">
        <v>127</v>
      </c>
      <c r="E665" s="12" t="s">
        <v>1247</v>
      </c>
      <c r="F665" s="469" t="str">
        <f>VLOOKUP(E665,'5. Consolidation'!$E$3:$F$715,2,0)</f>
        <v>Prévoir des conditions spécifiques dans les autorisations de captage visant à encourager une valorisation des eaux de rabattements et encadrant cette valorisation.</v>
      </c>
      <c r="G665" s="12"/>
      <c r="H665" s="12"/>
      <c r="I665" s="12"/>
      <c r="J665" s="12"/>
      <c r="K665" s="12"/>
      <c r="L665" s="12"/>
      <c r="M665" s="12"/>
      <c r="N665" s="12"/>
      <c r="O665" s="12"/>
      <c r="P665" s="462">
        <f>VLOOKUP($E665,'5.1 Budget'!$A$4:$G$729,2,0)</f>
        <v>0</v>
      </c>
      <c r="Q665" s="462">
        <f>VLOOKUP($E665,'5.1 Budget'!$A$4:$G$729,3,0)</f>
        <v>0</v>
      </c>
      <c r="R665" s="462">
        <f>VLOOKUP($E665,'5.1 Budget'!$A$4:$G$729,4,0)</f>
        <v>0</v>
      </c>
      <c r="S665" s="462">
        <f>VLOOKUP($E665,'5.1 Budget'!$A$4:$G$729,5,0)</f>
        <v>0</v>
      </c>
      <c r="T665" s="462">
        <f>VLOOKUP($E665,'5.1 Budget'!$A$4:$G$729,6,0)</f>
        <v>0</v>
      </c>
      <c r="U665" s="462">
        <f>VLOOKUP($E665,'5.1 Budget'!$A$4:$G$729,7,0)</f>
        <v>0</v>
      </c>
      <c r="V665" s="462">
        <f t="shared" si="11"/>
        <v>0</v>
      </c>
    </row>
    <row r="666" spans="1:22" ht="90" x14ac:dyDescent="0.25">
      <c r="A666" s="465">
        <v>7</v>
      </c>
      <c r="B666" s="12" t="s">
        <v>180</v>
      </c>
      <c r="C666" s="12" t="s">
        <v>155</v>
      </c>
      <c r="D666" s="12" t="s">
        <v>127</v>
      </c>
      <c r="E666" s="12" t="s">
        <v>1248</v>
      </c>
      <c r="F666" s="469" t="str">
        <f>VLOOKUP(E666,'5. Consolidation'!$E$3:$F$715,2,0)</f>
        <v xml:space="preserve">Lever les éventuels freins pour le rejet des eaux de rabattement vers le réseau hydrographique :
- Faire évoluer les procédures permettant une valorisation de l’eau issue de rabattement temporaires et permanents en eau de surface ;
- Assurer la cohérence entre les  normes de qualité des eaux de surface avec celles des eaux du sol en cas de rabattement effectué dans le cadre d’un assainissement de sol pollué ;
- Prévoir ensuite les conditions spécifiques en cas de de rejet direct dans le réseau hydrographique (respect des berges et des normes de rejet) </v>
      </c>
      <c r="G666" s="12"/>
      <c r="H666" s="12"/>
      <c r="I666" s="12"/>
      <c r="J666" s="12"/>
      <c r="K666" s="12"/>
      <c r="L666" s="12"/>
      <c r="M666" s="12"/>
      <c r="N666" s="12"/>
      <c r="O666" s="12"/>
      <c r="P666" s="462">
        <f>VLOOKUP($E666,'5.1 Budget'!$A$4:$G$729,2,0)</f>
        <v>0</v>
      </c>
      <c r="Q666" s="462">
        <f>VLOOKUP($E666,'5.1 Budget'!$A$4:$G$729,3,0)</f>
        <v>0</v>
      </c>
      <c r="R666" s="462">
        <f>VLOOKUP($E666,'5.1 Budget'!$A$4:$G$729,4,0)</f>
        <v>0</v>
      </c>
      <c r="S666" s="462">
        <f>VLOOKUP($E666,'5.1 Budget'!$A$4:$G$729,5,0)</f>
        <v>0</v>
      </c>
      <c r="T666" s="462">
        <f>VLOOKUP($E666,'5.1 Budget'!$A$4:$G$729,6,0)</f>
        <v>0</v>
      </c>
      <c r="U666" s="462">
        <f>VLOOKUP($E666,'5.1 Budget'!$A$4:$G$729,7,0)</f>
        <v>0</v>
      </c>
      <c r="V666" s="462">
        <f t="shared" si="11"/>
        <v>0</v>
      </c>
    </row>
    <row r="667" spans="1:22" ht="26.25" x14ac:dyDescent="0.25">
      <c r="A667" s="465">
        <v>7</v>
      </c>
      <c r="B667" s="12" t="s">
        <v>180</v>
      </c>
      <c r="C667" s="12" t="s">
        <v>155</v>
      </c>
      <c r="D667" s="12" t="s">
        <v>127</v>
      </c>
      <c r="E667" s="12" t="s">
        <v>1249</v>
      </c>
      <c r="F667" s="469" t="str">
        <f>VLOOKUP(E667,'5. Consolidation'!$E$3:$F$715,2,0)</f>
        <v>Envisager une clause particulière dans les marchés publics de travaux des autorités publiques impliquant un rabattement de nappe afin de valoriser les eaux de rabattement et assurer un rôle d’exemplarité(*)</v>
      </c>
      <c r="G667" s="12"/>
      <c r="H667" s="12"/>
      <c r="I667" s="12"/>
      <c r="J667" s="12"/>
      <c r="K667" s="12"/>
      <c r="L667" s="12"/>
      <c r="M667" s="12"/>
      <c r="N667" s="12"/>
      <c r="O667" s="12"/>
      <c r="P667" s="462">
        <f>VLOOKUP($E667,'5.1 Budget'!$A$4:$G$729,2,0)</f>
        <v>0</v>
      </c>
      <c r="Q667" s="462">
        <f>VLOOKUP($E667,'5.1 Budget'!$A$4:$G$729,3,0)</f>
        <v>0</v>
      </c>
      <c r="R667" s="462">
        <f>VLOOKUP($E667,'5.1 Budget'!$A$4:$G$729,4,0)</f>
        <v>0</v>
      </c>
      <c r="S667" s="462">
        <f>VLOOKUP($E667,'5.1 Budget'!$A$4:$G$729,5,0)</f>
        <v>0</v>
      </c>
      <c r="T667" s="462">
        <f>VLOOKUP($E667,'5.1 Budget'!$A$4:$G$729,6,0)</f>
        <v>0</v>
      </c>
      <c r="U667" s="462">
        <f>VLOOKUP($E667,'5.1 Budget'!$A$4:$G$729,7,0)</f>
        <v>0</v>
      </c>
      <c r="V667" s="462">
        <f t="shared" si="11"/>
        <v>0</v>
      </c>
    </row>
    <row r="668" spans="1:22" x14ac:dyDescent="0.25">
      <c r="A668" s="465">
        <v>7</v>
      </c>
      <c r="B668" s="12" t="s">
        <v>180</v>
      </c>
      <c r="C668" s="12" t="s">
        <v>155</v>
      </c>
      <c r="D668" s="12" t="s">
        <v>128</v>
      </c>
      <c r="E668" s="12" t="s">
        <v>1251</v>
      </c>
      <c r="F668" s="469" t="str">
        <f>VLOOKUP(E668,'5. Consolidation'!$E$3:$F$715,2,0)</f>
        <v>Mise en place d’une installation pilote d’eau de "re-use" industrielle</v>
      </c>
      <c r="G668" s="12"/>
      <c r="H668" s="12"/>
      <c r="I668" s="12"/>
      <c r="J668" s="12"/>
      <c r="K668" s="12"/>
      <c r="L668" s="12"/>
      <c r="M668" s="12"/>
      <c r="N668" s="459">
        <v>2022</v>
      </c>
      <c r="O668" s="12"/>
      <c r="P668" s="462">
        <f>VLOOKUP($E668,'5.1 Budget'!$A$4:$G$729,2,0)</f>
        <v>500000</v>
      </c>
      <c r="Q668" s="462">
        <f>VLOOKUP($E668,'5.1 Budget'!$A$4:$G$729,3,0)</f>
        <v>0</v>
      </c>
      <c r="R668" s="462">
        <f>VLOOKUP($E668,'5.1 Budget'!$A$4:$G$729,4,0)</f>
        <v>0</v>
      </c>
      <c r="S668" s="462">
        <f>VLOOKUP($E668,'5.1 Budget'!$A$4:$G$729,5,0)</f>
        <v>0</v>
      </c>
      <c r="T668" s="462">
        <f>VLOOKUP($E668,'5.1 Budget'!$A$4:$G$729,6,0)</f>
        <v>0</v>
      </c>
      <c r="U668" s="462">
        <f>VLOOKUP($E668,'5.1 Budget'!$A$4:$G$729,7,0)</f>
        <v>0</v>
      </c>
      <c r="V668" s="462">
        <f t="shared" si="11"/>
        <v>500000</v>
      </c>
    </row>
    <row r="669" spans="1:22" x14ac:dyDescent="0.25">
      <c r="A669" s="465">
        <v>7</v>
      </c>
      <c r="B669" s="12" t="s">
        <v>180</v>
      </c>
      <c r="C669" s="12" t="s">
        <v>155</v>
      </c>
      <c r="D669" s="12" t="s">
        <v>128</v>
      </c>
      <c r="E669" s="12" t="s">
        <v>1252</v>
      </c>
      <c r="F669" s="469" t="str">
        <f>VLOOKUP(E669,'5. Consolidation'!$E$3:$F$715,2,0)</f>
        <v xml:space="preserve">Adoption d’un arrêté spécifique à la réutilisation de l’eau de 2ème circuit (water reuse) </v>
      </c>
      <c r="G669" s="12"/>
      <c r="H669" s="12"/>
      <c r="I669" s="12"/>
      <c r="J669" s="12"/>
      <c r="K669" s="12"/>
      <c r="L669" s="12"/>
      <c r="M669" s="12"/>
      <c r="N669" s="12"/>
      <c r="O669" s="12"/>
      <c r="P669" s="462">
        <f>VLOOKUP($E669,'5.1 Budget'!$A$4:$G$729,2,0)</f>
        <v>0</v>
      </c>
      <c r="Q669" s="462">
        <f>VLOOKUP($E669,'5.1 Budget'!$A$4:$G$729,3,0)</f>
        <v>0</v>
      </c>
      <c r="R669" s="462">
        <f>VLOOKUP($E669,'5.1 Budget'!$A$4:$G$729,4,0)</f>
        <v>0</v>
      </c>
      <c r="S669" s="462">
        <f>VLOOKUP($E669,'5.1 Budget'!$A$4:$G$729,5,0)</f>
        <v>0</v>
      </c>
      <c r="T669" s="462">
        <f>VLOOKUP($E669,'5.1 Budget'!$A$4:$G$729,6,0)</f>
        <v>0</v>
      </c>
      <c r="U669" s="462">
        <f>VLOOKUP($E669,'5.1 Budget'!$A$4:$G$729,7,0)</f>
        <v>0</v>
      </c>
      <c r="V669" s="462">
        <f t="shared" si="11"/>
        <v>0</v>
      </c>
    </row>
    <row r="670" spans="1:22" x14ac:dyDescent="0.25">
      <c r="A670" s="465">
        <v>7</v>
      </c>
      <c r="B670" s="12" t="s">
        <v>180</v>
      </c>
      <c r="C670" s="12" t="s">
        <v>155</v>
      </c>
      <c r="D670" s="12" t="s">
        <v>128</v>
      </c>
      <c r="E670" s="12" t="s">
        <v>1253</v>
      </c>
      <c r="F670" s="469" t="str">
        <f>VLOOKUP(E670,'5. Consolidation'!$E$3:$F$715,2,0)</f>
        <v>Encourager le développement et le recours à l’eau de "re-use"</v>
      </c>
      <c r="G670" s="12"/>
      <c r="H670" s="12"/>
      <c r="I670" s="12"/>
      <c r="J670" s="12"/>
      <c r="K670" s="12"/>
      <c r="L670" s="12"/>
      <c r="M670" s="12"/>
      <c r="N670" s="12"/>
      <c r="O670" s="12"/>
      <c r="P670" s="462">
        <f>VLOOKUP($E670,'5.1 Budget'!$A$4:$G$729,2,0)</f>
        <v>0</v>
      </c>
      <c r="Q670" s="462">
        <f>VLOOKUP($E670,'5.1 Budget'!$A$4:$G$729,3,0)</f>
        <v>0</v>
      </c>
      <c r="R670" s="462">
        <f>VLOOKUP($E670,'5.1 Budget'!$A$4:$G$729,4,0)</f>
        <v>0</v>
      </c>
      <c r="S670" s="462">
        <f>VLOOKUP($E670,'5.1 Budget'!$A$4:$G$729,5,0)</f>
        <v>0</v>
      </c>
      <c r="T670" s="462">
        <f>VLOOKUP($E670,'5.1 Budget'!$A$4:$G$729,6,0)</f>
        <v>0</v>
      </c>
      <c r="U670" s="462">
        <f>VLOOKUP($E670,'5.1 Budget'!$A$4:$G$729,7,0)</f>
        <v>0</v>
      </c>
      <c r="V670" s="462">
        <f t="shared" si="11"/>
        <v>0</v>
      </c>
    </row>
    <row r="671" spans="1:22" ht="26.25" x14ac:dyDescent="0.25">
      <c r="A671" s="465">
        <v>7</v>
      </c>
      <c r="B671" s="12" t="s">
        <v>180</v>
      </c>
      <c r="C671" s="12" t="s">
        <v>155</v>
      </c>
      <c r="D671" s="12" t="s">
        <v>129</v>
      </c>
      <c r="E671" s="12" t="s">
        <v>1254</v>
      </c>
      <c r="F671" s="469" t="str">
        <f>VLOOKUP(E671,'5. Consolidation'!$E$3:$F$715,2,0)</f>
        <v>Déterminer les usages qui peuvent être faits des sources inventoriées en fonction de leur productivité et de la qualité des eaux</v>
      </c>
      <c r="G671" s="12"/>
      <c r="H671" s="12"/>
      <c r="I671" s="12"/>
      <c r="J671" s="12"/>
      <c r="K671" s="12"/>
      <c r="L671" s="12"/>
      <c r="M671" s="12"/>
      <c r="N671" s="12"/>
      <c r="O671" s="12"/>
      <c r="P671" s="462">
        <f>VLOOKUP($E671,'5.1 Budget'!$A$4:$G$729,2,0)</f>
        <v>0</v>
      </c>
      <c r="Q671" s="462">
        <f>VLOOKUP($E671,'5.1 Budget'!$A$4:$G$729,3,0)</f>
        <v>0</v>
      </c>
      <c r="R671" s="462">
        <f>VLOOKUP($E671,'5.1 Budget'!$A$4:$G$729,4,0)</f>
        <v>0</v>
      </c>
      <c r="S671" s="462">
        <f>VLOOKUP($E671,'5.1 Budget'!$A$4:$G$729,5,0)</f>
        <v>0</v>
      </c>
      <c r="T671" s="462">
        <f>VLOOKUP($E671,'5.1 Budget'!$A$4:$G$729,6,0)</f>
        <v>0</v>
      </c>
      <c r="U671" s="462">
        <f>VLOOKUP($E671,'5.1 Budget'!$A$4:$G$729,7,0)</f>
        <v>0</v>
      </c>
      <c r="V671" s="462">
        <f t="shared" si="11"/>
        <v>0</v>
      </c>
    </row>
    <row r="672" spans="1:22" x14ac:dyDescent="0.25">
      <c r="A672" s="465">
        <v>7</v>
      </c>
      <c r="B672" s="12" t="s">
        <v>180</v>
      </c>
      <c r="C672" s="12" t="s">
        <v>155</v>
      </c>
      <c r="D672" s="12" t="s">
        <v>129</v>
      </c>
      <c r="E672" s="12" t="s">
        <v>1255</v>
      </c>
      <c r="F672" s="469" t="str">
        <f>VLOOKUP(E672,'5. Consolidation'!$E$3:$F$715,2,0)</f>
        <v>Mettre en place une signalétique adéquate en fonction des usages autorisés, lorsque l’usage de l’eau est autorisé.</v>
      </c>
      <c r="G672" s="12"/>
      <c r="H672" s="12"/>
      <c r="I672" s="12"/>
      <c r="J672" s="12"/>
      <c r="K672" s="12"/>
      <c r="L672" s="12"/>
      <c r="M672" s="12"/>
      <c r="N672" s="12"/>
      <c r="O672" s="12"/>
      <c r="P672" s="462">
        <f>VLOOKUP($E672,'5.1 Budget'!$A$4:$G$729,2,0)</f>
        <v>0</v>
      </c>
      <c r="Q672" s="462">
        <f>VLOOKUP($E672,'5.1 Budget'!$A$4:$G$729,3,0)</f>
        <v>0</v>
      </c>
      <c r="R672" s="462">
        <f>VLOOKUP($E672,'5.1 Budget'!$A$4:$G$729,4,0)</f>
        <v>0</v>
      </c>
      <c r="S672" s="462">
        <f>VLOOKUP($E672,'5.1 Budget'!$A$4:$G$729,5,0)</f>
        <v>0</v>
      </c>
      <c r="T672" s="462">
        <f>VLOOKUP($E672,'5.1 Budget'!$A$4:$G$729,6,0)</f>
        <v>0</v>
      </c>
      <c r="U672" s="462">
        <f>VLOOKUP($E672,'5.1 Budget'!$A$4:$G$729,7,0)</f>
        <v>0</v>
      </c>
      <c r="V672" s="462">
        <f t="shared" si="11"/>
        <v>0</v>
      </c>
    </row>
    <row r="673" spans="1:22" x14ac:dyDescent="0.25">
      <c r="A673" s="465">
        <v>7</v>
      </c>
      <c r="B673" s="12" t="s">
        <v>181</v>
      </c>
      <c r="C673" s="12" t="s">
        <v>182</v>
      </c>
      <c r="D673" s="12" t="s">
        <v>130</v>
      </c>
      <c r="E673" s="12" t="s">
        <v>1256</v>
      </c>
      <c r="F673" s="469" t="str">
        <f>VLOOKUP(E673,'5. Consolidation'!$E$3:$F$715,2,0)</f>
        <v>Consultation des experts et du secteur sur la règlementation à mettre en place pour les systèmes géothermiques fermés</v>
      </c>
      <c r="G673" s="12"/>
      <c r="H673" s="12"/>
      <c r="I673" s="12"/>
      <c r="J673" s="12"/>
      <c r="K673" s="12"/>
      <c r="L673" s="12"/>
      <c r="M673" s="12"/>
      <c r="N673" s="12"/>
      <c r="O673" s="12"/>
      <c r="P673" s="462">
        <f>VLOOKUP($E673,'5.1 Budget'!$A$4:$G$729,2,0)</f>
        <v>0</v>
      </c>
      <c r="Q673" s="462">
        <f>VLOOKUP($E673,'5.1 Budget'!$A$4:$G$729,3,0)</f>
        <v>0</v>
      </c>
      <c r="R673" s="462">
        <f>VLOOKUP($E673,'5.1 Budget'!$A$4:$G$729,4,0)</f>
        <v>0</v>
      </c>
      <c r="S673" s="462">
        <f>VLOOKUP($E673,'5.1 Budget'!$A$4:$G$729,5,0)</f>
        <v>0</v>
      </c>
      <c r="T673" s="462">
        <f>VLOOKUP($E673,'5.1 Budget'!$A$4:$G$729,6,0)</f>
        <v>0</v>
      </c>
      <c r="U673" s="462">
        <f>VLOOKUP($E673,'5.1 Budget'!$A$4:$G$729,7,0)</f>
        <v>0</v>
      </c>
      <c r="V673" s="462">
        <f t="shared" si="11"/>
        <v>0</v>
      </c>
    </row>
    <row r="674" spans="1:22" x14ac:dyDescent="0.25">
      <c r="A674" s="465">
        <v>7</v>
      </c>
      <c r="B674" s="12" t="s">
        <v>181</v>
      </c>
      <c r="C674" s="12" t="s">
        <v>182</v>
      </c>
      <c r="D674" s="12" t="s">
        <v>130</v>
      </c>
      <c r="E674" s="12" t="s">
        <v>1257</v>
      </c>
      <c r="F674" s="469" t="str">
        <f>VLOOKUP(E674,'5. Consolidation'!$E$3:$F$715,2,0)</f>
        <v xml:space="preserve"> Rédaction d’un arrêté relatif aux systèmes géothermiques fermés</v>
      </c>
      <c r="G674" s="12"/>
      <c r="H674" s="12"/>
      <c r="I674" s="12"/>
      <c r="J674" s="12"/>
      <c r="K674" s="12"/>
      <c r="L674" s="12"/>
      <c r="M674" s="12"/>
      <c r="N674" s="12"/>
      <c r="O674" s="12"/>
      <c r="P674" s="462">
        <f>VLOOKUP($E674,'5.1 Budget'!$A$4:$G$729,2,0)</f>
        <v>0</v>
      </c>
      <c r="Q674" s="462">
        <f>VLOOKUP($E674,'5.1 Budget'!$A$4:$G$729,3,0)</f>
        <v>0</v>
      </c>
      <c r="R674" s="462">
        <f>VLOOKUP($E674,'5.1 Budget'!$A$4:$G$729,4,0)</f>
        <v>0</v>
      </c>
      <c r="S674" s="462">
        <f>VLOOKUP($E674,'5.1 Budget'!$A$4:$G$729,5,0)</f>
        <v>0</v>
      </c>
      <c r="T674" s="462">
        <f>VLOOKUP($E674,'5.1 Budget'!$A$4:$G$729,6,0)</f>
        <v>0</v>
      </c>
      <c r="U674" s="462">
        <f>VLOOKUP($E674,'5.1 Budget'!$A$4:$G$729,7,0)</f>
        <v>0</v>
      </c>
      <c r="V674" s="462">
        <f t="shared" si="11"/>
        <v>0</v>
      </c>
    </row>
    <row r="675" spans="1:22" x14ac:dyDescent="0.25">
      <c r="A675" s="465">
        <v>7</v>
      </c>
      <c r="B675" s="12" t="s">
        <v>181</v>
      </c>
      <c r="C675" s="12" t="s">
        <v>182</v>
      </c>
      <c r="D675" s="12" t="s">
        <v>130</v>
      </c>
      <c r="E675" s="12" t="s">
        <v>1258</v>
      </c>
      <c r="F675" s="469" t="str">
        <f>VLOOKUP(E675,'5. Consolidation'!$E$3:$F$715,2,0)</f>
        <v>Adoption d’un arrêté déterminant des conditions-types pour les systèmes géothermiques fermés</v>
      </c>
      <c r="G675" s="12"/>
      <c r="H675" s="12"/>
      <c r="I675" s="12"/>
      <c r="J675" s="12"/>
      <c r="K675" s="12"/>
      <c r="L675" s="12"/>
      <c r="M675" s="12"/>
      <c r="N675" s="12"/>
      <c r="O675" s="12"/>
      <c r="P675" s="462">
        <f>VLOOKUP($E675,'5.1 Budget'!$A$4:$G$729,2,0)</f>
        <v>0</v>
      </c>
      <c r="Q675" s="462">
        <f>VLOOKUP($E675,'5.1 Budget'!$A$4:$G$729,3,0)</f>
        <v>0</v>
      </c>
      <c r="R675" s="462">
        <f>VLOOKUP($E675,'5.1 Budget'!$A$4:$G$729,4,0)</f>
        <v>0</v>
      </c>
      <c r="S675" s="462">
        <f>VLOOKUP($E675,'5.1 Budget'!$A$4:$G$729,5,0)</f>
        <v>0</v>
      </c>
      <c r="T675" s="462">
        <f>VLOOKUP($E675,'5.1 Budget'!$A$4:$G$729,6,0)</f>
        <v>0</v>
      </c>
      <c r="U675" s="462">
        <f>VLOOKUP($E675,'5.1 Budget'!$A$4:$G$729,7,0)</f>
        <v>0</v>
      </c>
      <c r="V675" s="462">
        <f t="shared" si="11"/>
        <v>0</v>
      </c>
    </row>
    <row r="676" spans="1:22" x14ac:dyDescent="0.25">
      <c r="A676" s="465">
        <v>7</v>
      </c>
      <c r="B676" s="12" t="s">
        <v>181</v>
      </c>
      <c r="C676" s="12" t="s">
        <v>182</v>
      </c>
      <c r="D676" s="12" t="s">
        <v>131</v>
      </c>
      <c r="E676" s="12" t="s">
        <v>1212</v>
      </c>
      <c r="F676" s="469" t="str">
        <f>VLOOKUP(E676,'5. Consolidation'!$E$3:$F$715,2,0)</f>
        <v>Recensement des installations géothermiques en Région de Bruxelles-Capitale</v>
      </c>
      <c r="G676" s="12"/>
      <c r="H676" s="12"/>
      <c r="I676" s="12"/>
      <c r="J676" s="12"/>
      <c r="K676" s="12"/>
      <c r="L676" s="12"/>
      <c r="M676" s="12"/>
      <c r="N676" s="12"/>
      <c r="O676" s="12"/>
      <c r="P676" s="462">
        <f>VLOOKUP($E676,'5.1 Budget'!$A$4:$G$729,2,0)</f>
        <v>0</v>
      </c>
      <c r="Q676" s="462">
        <f>VLOOKUP($E676,'5.1 Budget'!$A$4:$G$729,3,0)</f>
        <v>0</v>
      </c>
      <c r="R676" s="462">
        <f>VLOOKUP($E676,'5.1 Budget'!$A$4:$G$729,4,0)</f>
        <v>0</v>
      </c>
      <c r="S676" s="462">
        <f>VLOOKUP($E676,'5.1 Budget'!$A$4:$G$729,5,0)</f>
        <v>0</v>
      </c>
      <c r="T676" s="462">
        <f>VLOOKUP($E676,'5.1 Budget'!$A$4:$G$729,6,0)</f>
        <v>0</v>
      </c>
      <c r="U676" s="462">
        <f>VLOOKUP($E676,'5.1 Budget'!$A$4:$G$729,7,0)</f>
        <v>0</v>
      </c>
      <c r="V676" s="462">
        <f t="shared" si="11"/>
        <v>0</v>
      </c>
    </row>
    <row r="677" spans="1:22" ht="26.25" x14ac:dyDescent="0.25">
      <c r="A677" s="465">
        <v>7</v>
      </c>
      <c r="B677" s="12" t="s">
        <v>181</v>
      </c>
      <c r="C677" s="12" t="s">
        <v>182</v>
      </c>
      <c r="D677" s="12" t="s">
        <v>131</v>
      </c>
      <c r="E677" s="12" t="s">
        <v>1213</v>
      </c>
      <c r="F677" s="469" t="str">
        <f>VLOOKUP(E677,'5. Consolidation'!$E$3:$F$715,2,0)</f>
        <v>Régularisation des installations mises en service avant le 1er avril 2019 et n’ayant pas rempli une déclaration environnementale ne disposant pas d’un permis d’environnement pour exploiter</v>
      </c>
      <c r="G677" s="12"/>
      <c r="H677" s="12"/>
      <c r="I677" s="12"/>
      <c r="J677" s="12"/>
      <c r="K677" s="12"/>
      <c r="L677" s="12"/>
      <c r="M677" s="12"/>
      <c r="N677" s="12"/>
      <c r="O677" s="12"/>
      <c r="P677" s="462">
        <f>VLOOKUP($E677,'5.1 Budget'!$A$4:$G$729,2,0)</f>
        <v>0</v>
      </c>
      <c r="Q677" s="462">
        <f>VLOOKUP($E677,'5.1 Budget'!$A$4:$G$729,3,0)</f>
        <v>0</v>
      </c>
      <c r="R677" s="462">
        <f>VLOOKUP($E677,'5.1 Budget'!$A$4:$G$729,4,0)</f>
        <v>0</v>
      </c>
      <c r="S677" s="462">
        <f>VLOOKUP($E677,'5.1 Budget'!$A$4:$G$729,5,0)</f>
        <v>0</v>
      </c>
      <c r="T677" s="462">
        <f>VLOOKUP($E677,'5.1 Budget'!$A$4:$G$729,6,0)</f>
        <v>0</v>
      </c>
      <c r="U677" s="462">
        <f>VLOOKUP($E677,'5.1 Budget'!$A$4:$G$729,7,0)</f>
        <v>0</v>
      </c>
      <c r="V677" s="462">
        <f t="shared" si="11"/>
        <v>0</v>
      </c>
    </row>
    <row r="678" spans="1:22" x14ac:dyDescent="0.25">
      <c r="A678" s="465">
        <v>7</v>
      </c>
      <c r="B678" s="12" t="s">
        <v>181</v>
      </c>
      <c r="C678" s="12" t="s">
        <v>182</v>
      </c>
      <c r="D678" s="12" t="s">
        <v>131</v>
      </c>
      <c r="E678" s="12" t="s">
        <v>1214</v>
      </c>
      <c r="F678" s="469" t="str">
        <f>VLOOKUP(E678,'5. Consolidation'!$E$3:$F$715,2,0)</f>
        <v>Mise à jour continue du cadastre des installations géothermiques</v>
      </c>
      <c r="G678" s="12"/>
      <c r="H678" s="12"/>
      <c r="I678" s="12"/>
      <c r="J678" s="12"/>
      <c r="K678" s="12"/>
      <c r="L678" s="12"/>
      <c r="M678" s="12"/>
      <c r="N678" s="12"/>
      <c r="O678" s="12"/>
      <c r="P678" s="462">
        <f>VLOOKUP($E678,'5.1 Budget'!$A$4:$G$729,2,0)</f>
        <v>0</v>
      </c>
      <c r="Q678" s="462">
        <f>VLOOKUP($E678,'5.1 Budget'!$A$4:$G$729,3,0)</f>
        <v>0</v>
      </c>
      <c r="R678" s="462">
        <f>VLOOKUP($E678,'5.1 Budget'!$A$4:$G$729,4,0)</f>
        <v>0</v>
      </c>
      <c r="S678" s="462">
        <f>VLOOKUP($E678,'5.1 Budget'!$A$4:$G$729,5,0)</f>
        <v>0</v>
      </c>
      <c r="T678" s="462">
        <f>VLOOKUP($E678,'5.1 Budget'!$A$4:$G$729,6,0)</f>
        <v>0</v>
      </c>
      <c r="U678" s="462">
        <f>VLOOKUP($E678,'5.1 Budget'!$A$4:$G$729,7,0)</f>
        <v>0</v>
      </c>
      <c r="V678" s="462">
        <f t="shared" si="11"/>
        <v>0</v>
      </c>
    </row>
    <row r="679" spans="1:22" x14ac:dyDescent="0.25">
      <c r="A679" s="465">
        <v>7</v>
      </c>
      <c r="B679" s="12" t="s">
        <v>181</v>
      </c>
      <c r="C679" s="12" t="s">
        <v>182</v>
      </c>
      <c r="D679" s="12" t="s">
        <v>132</v>
      </c>
      <c r="E679" s="12" t="s">
        <v>1215</v>
      </c>
      <c r="F679" s="469" t="str">
        <f>VLOOKUP(E679,'5. Consolidation'!$E$3:$F$715,2,0)</f>
        <v>Procéder aux upgrades de BrugeoTool (v2+) – fonctionnalité « analyse géothermique »</v>
      </c>
      <c r="G679" s="12"/>
      <c r="H679" s="12"/>
      <c r="I679" s="12"/>
      <c r="J679" s="12"/>
      <c r="K679" s="12"/>
      <c r="L679" s="12"/>
      <c r="M679" s="12"/>
      <c r="N679" s="12"/>
      <c r="O679" s="12"/>
      <c r="P679" s="462">
        <f>VLOOKUP($E679,'5.1 Budget'!$A$4:$G$729,2,0)</f>
        <v>0</v>
      </c>
      <c r="Q679" s="462">
        <f>VLOOKUP($E679,'5.1 Budget'!$A$4:$G$729,3,0)</f>
        <v>0</v>
      </c>
      <c r="R679" s="462">
        <f>VLOOKUP($E679,'5.1 Budget'!$A$4:$G$729,4,0)</f>
        <v>0</v>
      </c>
      <c r="S679" s="462">
        <f>VLOOKUP($E679,'5.1 Budget'!$A$4:$G$729,5,0)</f>
        <v>0</v>
      </c>
      <c r="T679" s="462">
        <f>VLOOKUP($E679,'5.1 Budget'!$A$4:$G$729,6,0)</f>
        <v>0</v>
      </c>
      <c r="U679" s="462">
        <f>VLOOKUP($E679,'5.1 Budget'!$A$4:$G$729,7,0)</f>
        <v>0</v>
      </c>
      <c r="V679" s="462">
        <f t="shared" si="11"/>
        <v>0</v>
      </c>
    </row>
    <row r="680" spans="1:22" x14ac:dyDescent="0.25">
      <c r="A680" s="465">
        <v>7</v>
      </c>
      <c r="B680" s="12" t="s">
        <v>181</v>
      </c>
      <c r="C680" s="12" t="s">
        <v>182</v>
      </c>
      <c r="D680" s="12" t="s">
        <v>132</v>
      </c>
      <c r="E680" s="12" t="s">
        <v>1216</v>
      </c>
      <c r="F680" s="469" t="str">
        <f>VLOOKUP(E680,'5. Consolidation'!$E$3:$F$715,2,0)</f>
        <v>Pérenniser le réseau institutionnel et académique bruxellois constitué d’experts en géothermie</v>
      </c>
      <c r="G680" s="12"/>
      <c r="H680" s="12"/>
      <c r="I680" s="12"/>
      <c r="J680" s="12"/>
      <c r="K680" s="12"/>
      <c r="L680" s="12"/>
      <c r="M680" s="12"/>
      <c r="N680" s="12"/>
      <c r="O680" s="12"/>
      <c r="P680" s="462">
        <f>VLOOKUP($E680,'5.1 Budget'!$A$4:$G$729,2,0)</f>
        <v>0</v>
      </c>
      <c r="Q680" s="462">
        <f>VLOOKUP($E680,'5.1 Budget'!$A$4:$G$729,3,0)</f>
        <v>0</v>
      </c>
      <c r="R680" s="462">
        <f>VLOOKUP($E680,'5.1 Budget'!$A$4:$G$729,4,0)</f>
        <v>0</v>
      </c>
      <c r="S680" s="462">
        <f>VLOOKUP($E680,'5.1 Budget'!$A$4:$G$729,5,0)</f>
        <v>0</v>
      </c>
      <c r="T680" s="462">
        <f>VLOOKUP($E680,'5.1 Budget'!$A$4:$G$729,6,0)</f>
        <v>0</v>
      </c>
      <c r="U680" s="462">
        <f>VLOOKUP($E680,'5.1 Budget'!$A$4:$G$729,7,0)</f>
        <v>0</v>
      </c>
      <c r="V680" s="462">
        <f t="shared" si="11"/>
        <v>0</v>
      </c>
    </row>
    <row r="681" spans="1:22" x14ac:dyDescent="0.25">
      <c r="A681" s="465">
        <v>7</v>
      </c>
      <c r="B681" s="12" t="s">
        <v>181</v>
      </c>
      <c r="C681" s="12" t="s">
        <v>182</v>
      </c>
      <c r="D681" s="12" t="s">
        <v>132</v>
      </c>
      <c r="E681" s="12" t="s">
        <v>1217</v>
      </c>
      <c r="F681" s="469" t="str">
        <f>VLOOKUP(E681,'5. Consolidation'!$E$3:$F$715,2,0)</f>
        <v>Réaliser des missions de facilitation et de formations sur le thème de la géothermie</v>
      </c>
      <c r="G681" s="12"/>
      <c r="H681" s="12"/>
      <c r="I681" s="12"/>
      <c r="J681" s="12"/>
      <c r="K681" s="12"/>
      <c r="L681" s="12"/>
      <c r="M681" s="12"/>
      <c r="N681" s="12"/>
      <c r="O681" s="12"/>
      <c r="P681" s="462">
        <f>VLOOKUP($E681,'5.1 Budget'!$A$4:$G$729,2,0)</f>
        <v>0</v>
      </c>
      <c r="Q681" s="462">
        <f>VLOOKUP($E681,'5.1 Budget'!$A$4:$G$729,3,0)</f>
        <v>0</v>
      </c>
      <c r="R681" s="462">
        <f>VLOOKUP($E681,'5.1 Budget'!$A$4:$G$729,4,0)</f>
        <v>0</v>
      </c>
      <c r="S681" s="462">
        <f>VLOOKUP($E681,'5.1 Budget'!$A$4:$G$729,5,0)</f>
        <v>0</v>
      </c>
      <c r="T681" s="462">
        <f>VLOOKUP($E681,'5.1 Budget'!$A$4:$G$729,6,0)</f>
        <v>0</v>
      </c>
      <c r="U681" s="462">
        <f>VLOOKUP($E681,'5.1 Budget'!$A$4:$G$729,7,0)</f>
        <v>0</v>
      </c>
      <c r="V681" s="462">
        <f t="shared" si="11"/>
        <v>0</v>
      </c>
    </row>
    <row r="682" spans="1:22" x14ac:dyDescent="0.25">
      <c r="A682" s="465">
        <v>7</v>
      </c>
      <c r="B682" s="12" t="s">
        <v>181</v>
      </c>
      <c r="C682" s="12" t="s">
        <v>183</v>
      </c>
      <c r="D682" s="12" t="s">
        <v>133</v>
      </c>
      <c r="E682" s="12" t="s">
        <v>1218</v>
      </c>
      <c r="F682" s="469" t="str">
        <f>VLOOKUP(E682,'5. Consolidation'!$E$3:$F$715,2,0)</f>
        <v>Assurer un monitoring du premier projet à Uccle afin de pouvoir évaluer les performances du système</v>
      </c>
      <c r="G682" s="12"/>
      <c r="H682" s="12"/>
      <c r="I682" s="12"/>
      <c r="J682" s="12"/>
      <c r="K682" s="12"/>
      <c r="L682" s="12"/>
      <c r="M682" s="12"/>
      <c r="N682" s="459">
        <v>2022</v>
      </c>
      <c r="O682" s="12"/>
      <c r="P682" s="462">
        <f>VLOOKUP($E682,'5.1 Budget'!$A$4:$G$729,2,0)</f>
        <v>20000</v>
      </c>
      <c r="Q682" s="462">
        <f>VLOOKUP($E682,'5.1 Budget'!$A$4:$G$729,3,0)</f>
        <v>5000</v>
      </c>
      <c r="R682" s="462">
        <f>VLOOKUP($E682,'5.1 Budget'!$A$4:$G$729,4,0)</f>
        <v>5000</v>
      </c>
      <c r="S682" s="462">
        <f>VLOOKUP($E682,'5.1 Budget'!$A$4:$G$729,5,0)</f>
        <v>0</v>
      </c>
      <c r="T682" s="462">
        <f>VLOOKUP($E682,'5.1 Budget'!$A$4:$G$729,6,0)</f>
        <v>0</v>
      </c>
      <c r="U682" s="462">
        <f>VLOOKUP($E682,'5.1 Budget'!$A$4:$G$729,7,0)</f>
        <v>0</v>
      </c>
      <c r="V682" s="462">
        <f t="shared" si="11"/>
        <v>30000</v>
      </c>
    </row>
    <row r="683" spans="1:22" ht="26.25" x14ac:dyDescent="0.25">
      <c r="A683" s="465">
        <v>7</v>
      </c>
      <c r="B683" s="12" t="s">
        <v>181</v>
      </c>
      <c r="C683" s="12" t="s">
        <v>183</v>
      </c>
      <c r="D683" s="12" t="s">
        <v>133</v>
      </c>
      <c r="E683" s="12" t="s">
        <v>1219</v>
      </c>
      <c r="F683" s="469" t="str">
        <f>VLOOKUP(E683,'5. Consolidation'!$E$3:$F$715,2,0)</f>
        <v>Mise en œuvre d’un dispositif de riothermie pour le futur centre administratif de Bruxelles-Ville et assurer un monitoring de ce projet afin de pouvoir évaluer les performances du système</v>
      </c>
      <c r="G683" s="12"/>
      <c r="H683" s="12"/>
      <c r="I683" s="12"/>
      <c r="J683" s="12"/>
      <c r="K683" s="12"/>
      <c r="L683" s="12"/>
      <c r="M683" s="12"/>
      <c r="N683" s="459">
        <v>2022</v>
      </c>
      <c r="O683" s="12"/>
      <c r="P683" s="462">
        <f>VLOOKUP($E683,'5.1 Budget'!$A$4:$G$729,2,0)</f>
        <v>20000</v>
      </c>
      <c r="Q683" s="462">
        <f>VLOOKUP($E683,'5.1 Budget'!$A$4:$G$729,3,0)</f>
        <v>10000</v>
      </c>
      <c r="R683" s="462">
        <f>VLOOKUP($E683,'5.1 Budget'!$A$4:$G$729,4,0)</f>
        <v>5000</v>
      </c>
      <c r="S683" s="462">
        <f>VLOOKUP($E683,'5.1 Budget'!$A$4:$G$729,5,0)</f>
        <v>5000</v>
      </c>
      <c r="T683" s="462">
        <f>VLOOKUP($E683,'5.1 Budget'!$A$4:$G$729,6,0)</f>
        <v>0</v>
      </c>
      <c r="U683" s="462">
        <f>VLOOKUP($E683,'5.1 Budget'!$A$4:$G$729,7,0)</f>
        <v>0</v>
      </c>
      <c r="V683" s="462">
        <f t="shared" si="11"/>
        <v>40000</v>
      </c>
    </row>
    <row r="684" spans="1:22" ht="26.25" x14ac:dyDescent="0.25">
      <c r="A684" s="465">
        <v>7</v>
      </c>
      <c r="B684" s="12" t="s">
        <v>181</v>
      </c>
      <c r="C684" s="12" t="s">
        <v>183</v>
      </c>
      <c r="D684" s="12" t="s">
        <v>133</v>
      </c>
      <c r="E684" s="12" t="s">
        <v>1220</v>
      </c>
      <c r="F684" s="469" t="str">
        <f>VLOOKUP(E684,'5. Consolidation'!$E$3:$F$715,2,0)</f>
        <v>Assurer une veille technologique et collaborer avec les bureaux d’études et maitres d’ouvrage intéressés afin de développer différents projets et déterminer les avantages et limites de cette technique</v>
      </c>
      <c r="G684" s="12"/>
      <c r="H684" s="12"/>
      <c r="I684" s="12"/>
      <c r="J684" s="12"/>
      <c r="K684" s="12"/>
      <c r="L684" s="12"/>
      <c r="M684" s="12"/>
      <c r="N684" s="459">
        <v>2022</v>
      </c>
      <c r="O684" s="12">
        <v>2027</v>
      </c>
      <c r="P684" s="462">
        <f>VLOOKUP($E684,'5.1 Budget'!$A$4:$G$729,2,0)</f>
        <v>5000</v>
      </c>
      <c r="Q684" s="462">
        <f>VLOOKUP($E684,'5.1 Budget'!$A$4:$G$729,3,0)</f>
        <v>10000</v>
      </c>
      <c r="R684" s="462">
        <f>VLOOKUP($E684,'5.1 Budget'!$A$4:$G$729,4,0)</f>
        <v>10000</v>
      </c>
      <c r="S684" s="462">
        <f>VLOOKUP($E684,'5.1 Budget'!$A$4:$G$729,5,0)</f>
        <v>10000</v>
      </c>
      <c r="T684" s="462">
        <f>VLOOKUP($E684,'5.1 Budget'!$A$4:$G$729,6,0)</f>
        <v>10000</v>
      </c>
      <c r="U684" s="462">
        <f>VLOOKUP($E684,'5.1 Budget'!$A$4:$G$729,7,0)</f>
        <v>10000</v>
      </c>
      <c r="V684" s="462">
        <f t="shared" si="11"/>
        <v>55000</v>
      </c>
    </row>
    <row r="685" spans="1:22" x14ac:dyDescent="0.25">
      <c r="A685" s="465">
        <v>8</v>
      </c>
      <c r="B685" s="12" t="s">
        <v>184</v>
      </c>
      <c r="C685" s="12" t="s">
        <v>155</v>
      </c>
      <c r="D685" s="12" t="s">
        <v>134</v>
      </c>
      <c r="E685" s="12" t="s">
        <v>1259</v>
      </c>
      <c r="F685" s="469" t="str">
        <f>VLOOKUP(E685,'5. Consolidation'!$E$3:$F$715,2,0)</f>
        <v xml:space="preserve">Rédaction coordonnée et concertée du plan faîtier </v>
      </c>
      <c r="G685" s="12"/>
      <c r="H685" s="12"/>
      <c r="I685" s="12"/>
      <c r="J685" s="12"/>
      <c r="K685" s="12"/>
      <c r="L685" s="12"/>
      <c r="M685" s="12"/>
      <c r="N685" s="12"/>
      <c r="O685" s="12"/>
      <c r="P685" s="462">
        <f>VLOOKUP($E685,'5.1 Budget'!$A$4:$G$729,2,0)</f>
        <v>0</v>
      </c>
      <c r="Q685" s="462">
        <f>VLOOKUP($E685,'5.1 Budget'!$A$4:$G$729,3,0)</f>
        <v>0</v>
      </c>
      <c r="R685" s="462">
        <f>VLOOKUP($E685,'5.1 Budget'!$A$4:$G$729,4,0)</f>
        <v>0</v>
      </c>
      <c r="S685" s="462">
        <f>VLOOKUP($E685,'5.1 Budget'!$A$4:$G$729,5,0)</f>
        <v>0</v>
      </c>
      <c r="T685" s="462">
        <f>VLOOKUP($E685,'5.1 Budget'!$A$4:$G$729,6,0)</f>
        <v>0</v>
      </c>
      <c r="U685" s="462">
        <f>VLOOKUP($E685,'5.1 Budget'!$A$4:$G$729,7,0)</f>
        <v>0</v>
      </c>
      <c r="V685" s="462">
        <f t="shared" si="11"/>
        <v>0</v>
      </c>
    </row>
    <row r="686" spans="1:22" x14ac:dyDescent="0.25">
      <c r="A686" s="465">
        <v>8</v>
      </c>
      <c r="B686" s="12" t="s">
        <v>184</v>
      </c>
      <c r="C686" s="12" t="s">
        <v>155</v>
      </c>
      <c r="D686" s="12" t="s">
        <v>134</v>
      </c>
      <c r="E686" s="12" t="s">
        <v>1260</v>
      </c>
      <c r="F686" s="469" t="str">
        <f>VLOOKUP(E686,'5. Consolidation'!$E$3:$F$715,2,0)</f>
        <v>Coordination et partage d’informations entre les Etats membres du DHI de l’Escaut</v>
      </c>
      <c r="G686" s="12"/>
      <c r="H686" s="12"/>
      <c r="I686" s="12"/>
      <c r="J686" s="12"/>
      <c r="K686" s="12"/>
      <c r="L686" s="12"/>
      <c r="M686" s="12"/>
      <c r="N686" s="12"/>
      <c r="O686" s="12"/>
      <c r="P686" s="462">
        <f>VLOOKUP($E686,'5.1 Budget'!$A$4:$G$729,2,0)</f>
        <v>0</v>
      </c>
      <c r="Q686" s="462">
        <f>VLOOKUP($E686,'5.1 Budget'!$A$4:$G$729,3,0)</f>
        <v>0</v>
      </c>
      <c r="R686" s="462">
        <f>VLOOKUP($E686,'5.1 Budget'!$A$4:$G$729,4,0)</f>
        <v>0</v>
      </c>
      <c r="S686" s="462">
        <f>VLOOKUP($E686,'5.1 Budget'!$A$4:$G$729,5,0)</f>
        <v>0</v>
      </c>
      <c r="T686" s="462">
        <f>VLOOKUP($E686,'5.1 Budget'!$A$4:$G$729,6,0)</f>
        <v>0</v>
      </c>
      <c r="U686" s="462">
        <f>VLOOKUP($E686,'5.1 Budget'!$A$4:$G$729,7,0)</f>
        <v>0</v>
      </c>
      <c r="V686" s="462">
        <f t="shared" si="11"/>
        <v>0</v>
      </c>
    </row>
    <row r="687" spans="1:22" x14ac:dyDescent="0.25">
      <c r="A687" s="465">
        <v>8</v>
      </c>
      <c r="B687" s="12" t="s">
        <v>184</v>
      </c>
      <c r="C687" s="12" t="s">
        <v>155</v>
      </c>
      <c r="D687" s="12" t="s">
        <v>135</v>
      </c>
      <c r="E687" s="12" t="s">
        <v>1261</v>
      </c>
      <c r="F687" s="469" t="str">
        <f>VLOOKUP(E687,'5. Consolidation'!$E$3:$F$715,2,0)</f>
        <v xml:space="preserve">Participer aux réunions CCPIE </v>
      </c>
      <c r="G687" s="12"/>
      <c r="H687" s="12"/>
      <c r="I687" s="12"/>
      <c r="J687" s="12"/>
      <c r="K687" s="12"/>
      <c r="L687" s="12"/>
      <c r="M687" s="12"/>
      <c r="N687" s="12"/>
      <c r="O687" s="12"/>
      <c r="P687" s="462">
        <f>VLOOKUP($E687,'5.1 Budget'!$A$4:$G$729,2,0)</f>
        <v>0</v>
      </c>
      <c r="Q687" s="462">
        <f>VLOOKUP($E687,'5.1 Budget'!$A$4:$G$729,3,0)</f>
        <v>0</v>
      </c>
      <c r="R687" s="462">
        <f>VLOOKUP($E687,'5.1 Budget'!$A$4:$G$729,4,0)</f>
        <v>0</v>
      </c>
      <c r="S687" s="462">
        <f>VLOOKUP($E687,'5.1 Budget'!$A$4:$G$729,5,0)</f>
        <v>0</v>
      </c>
      <c r="T687" s="462">
        <f>VLOOKUP($E687,'5.1 Budget'!$A$4:$G$729,6,0)</f>
        <v>0</v>
      </c>
      <c r="U687" s="462">
        <f>VLOOKUP($E687,'5.1 Budget'!$A$4:$G$729,7,0)</f>
        <v>0</v>
      </c>
      <c r="V687" s="462">
        <f t="shared" si="11"/>
        <v>0</v>
      </c>
    </row>
    <row r="688" spans="1:22" x14ac:dyDescent="0.25">
      <c r="A688" s="465">
        <v>8</v>
      </c>
      <c r="B688" s="12" t="s">
        <v>184</v>
      </c>
      <c r="C688" s="12" t="s">
        <v>155</v>
      </c>
      <c r="D688" s="12" t="s">
        <v>135</v>
      </c>
      <c r="E688" s="12" t="s">
        <v>1262</v>
      </c>
      <c r="F688" s="469" t="str">
        <f>VLOOKUP(E688,'5. Consolidation'!$E$3:$F$715,2,0)</f>
        <v>Participer à la concertation transfrontière au niveau local (‘GOW’) (+- 1/an)</v>
      </c>
      <c r="G688" s="12"/>
      <c r="H688" s="12"/>
      <c r="I688" s="12"/>
      <c r="J688" s="12"/>
      <c r="K688" s="12"/>
      <c r="L688" s="12"/>
      <c r="M688" s="12"/>
      <c r="N688" s="12"/>
      <c r="O688" s="12"/>
      <c r="P688" s="462">
        <f>VLOOKUP($E688,'5.1 Budget'!$A$4:$G$729,2,0)</f>
        <v>0</v>
      </c>
      <c r="Q688" s="462">
        <f>VLOOKUP($E688,'5.1 Budget'!$A$4:$G$729,3,0)</f>
        <v>0</v>
      </c>
      <c r="R688" s="462">
        <f>VLOOKUP($E688,'5.1 Budget'!$A$4:$G$729,4,0)</f>
        <v>0</v>
      </c>
      <c r="S688" s="462">
        <f>VLOOKUP($E688,'5.1 Budget'!$A$4:$G$729,5,0)</f>
        <v>0</v>
      </c>
      <c r="T688" s="462">
        <f>VLOOKUP($E688,'5.1 Budget'!$A$4:$G$729,6,0)</f>
        <v>0</v>
      </c>
      <c r="U688" s="462">
        <f>VLOOKUP($E688,'5.1 Budget'!$A$4:$G$729,7,0)</f>
        <v>0</v>
      </c>
      <c r="V688" s="462">
        <f t="shared" si="11"/>
        <v>0</v>
      </c>
    </row>
    <row r="689" spans="1:22" x14ac:dyDescent="0.25">
      <c r="A689" s="465">
        <v>8</v>
      </c>
      <c r="B689" s="12" t="s">
        <v>184</v>
      </c>
      <c r="C689" s="12" t="s">
        <v>155</v>
      </c>
      <c r="D689" s="12" t="s">
        <v>135</v>
      </c>
      <c r="E689" s="12" t="s">
        <v>1263</v>
      </c>
      <c r="F689" s="469" t="str">
        <f>VLOOKUP(E689,'5. Consolidation'!$E$3:$F$715,2,0)</f>
        <v>Mener à terme les actions bruxelloises inscrites dans le projet inter-régional LIFE Belini d’ici fin 2026 </v>
      </c>
      <c r="G689" s="12"/>
      <c r="H689" s="12"/>
      <c r="I689" s="12"/>
      <c r="J689" s="12"/>
      <c r="K689" s="12"/>
      <c r="L689" s="12"/>
      <c r="M689" s="12"/>
      <c r="N689" s="12"/>
      <c r="O689" s="12"/>
      <c r="P689" s="462">
        <f>VLOOKUP($E689,'5.1 Budget'!$A$4:$G$729,2,0)</f>
        <v>0</v>
      </c>
      <c r="Q689" s="462">
        <f>VLOOKUP($E689,'5.1 Budget'!$A$4:$G$729,3,0)</f>
        <v>0</v>
      </c>
      <c r="R689" s="462">
        <f>VLOOKUP($E689,'5.1 Budget'!$A$4:$G$729,4,0)</f>
        <v>0</v>
      </c>
      <c r="S689" s="462">
        <f>VLOOKUP($E689,'5.1 Budget'!$A$4:$G$729,5,0)</f>
        <v>0</v>
      </c>
      <c r="T689" s="462">
        <f>VLOOKUP($E689,'5.1 Budget'!$A$4:$G$729,6,0)</f>
        <v>0</v>
      </c>
      <c r="U689" s="462">
        <f>VLOOKUP($E689,'5.1 Budget'!$A$4:$G$729,7,0)</f>
        <v>0</v>
      </c>
      <c r="V689" s="462">
        <f t="shared" si="11"/>
        <v>0</v>
      </c>
    </row>
    <row r="690" spans="1:22" x14ac:dyDescent="0.25">
      <c r="A690" s="465">
        <v>8</v>
      </c>
      <c r="B690" s="12" t="s">
        <v>184</v>
      </c>
      <c r="C690" s="12" t="s">
        <v>155</v>
      </c>
      <c r="D690" s="12" t="s">
        <v>135</v>
      </c>
      <c r="E690" s="12" t="s">
        <v>1264</v>
      </c>
      <c r="F690" s="469" t="str">
        <f>VLOOKUP(E690,'5. Consolidation'!$E$3:$F$715,2,0)</f>
        <v>Faciliter l'échange d'informations et en améliorer la transparence</v>
      </c>
      <c r="G690" s="12"/>
      <c r="H690" s="12"/>
      <c r="I690" s="12"/>
      <c r="J690" s="12"/>
      <c r="K690" s="12"/>
      <c r="L690" s="12"/>
      <c r="M690" s="12"/>
      <c r="N690" s="12"/>
      <c r="O690" s="12"/>
      <c r="P690" s="462">
        <f>VLOOKUP($E690,'5.1 Budget'!$A$4:$G$729,2,0)</f>
        <v>0</v>
      </c>
      <c r="Q690" s="462">
        <f>VLOOKUP($E690,'5.1 Budget'!$A$4:$G$729,3,0)</f>
        <v>0</v>
      </c>
      <c r="R690" s="462">
        <f>VLOOKUP($E690,'5.1 Budget'!$A$4:$G$729,4,0)</f>
        <v>0</v>
      </c>
      <c r="S690" s="462">
        <f>VLOOKUP($E690,'5.1 Budget'!$A$4:$G$729,5,0)</f>
        <v>0</v>
      </c>
      <c r="T690" s="462">
        <f>VLOOKUP($E690,'5.1 Budget'!$A$4:$G$729,6,0)</f>
        <v>0</v>
      </c>
      <c r="U690" s="462">
        <f>VLOOKUP($E690,'5.1 Budget'!$A$4:$G$729,7,0)</f>
        <v>0</v>
      </c>
      <c r="V690" s="462">
        <f t="shared" si="11"/>
        <v>0</v>
      </c>
    </row>
    <row r="691" spans="1:22" x14ac:dyDescent="0.25">
      <c r="A691" s="465">
        <v>8</v>
      </c>
      <c r="B691" s="12" t="s">
        <v>184</v>
      </c>
      <c r="C691" s="12" t="s">
        <v>155</v>
      </c>
      <c r="D691" s="12" t="s">
        <v>135</v>
      </c>
      <c r="E691" s="12" t="s">
        <v>1265</v>
      </c>
      <c r="F691" s="469" t="str">
        <f>VLOOKUP(E691,'5. Consolidation'!$E$3:$F$715,2,0)</f>
        <v>Poursuivre les échanges interrégionaux menant à une gestion coordonnée des voies navigables</v>
      </c>
      <c r="G691" s="12"/>
      <c r="H691" s="12"/>
      <c r="I691" s="12"/>
      <c r="J691" s="12"/>
      <c r="K691" s="12"/>
      <c r="L691" s="12"/>
      <c r="M691" s="12"/>
      <c r="N691" s="12"/>
      <c r="O691" s="12"/>
      <c r="P691" s="462">
        <f>VLOOKUP($E691,'5.1 Budget'!$A$4:$G$729,2,0)</f>
        <v>0</v>
      </c>
      <c r="Q691" s="462">
        <f>VLOOKUP($E691,'5.1 Budget'!$A$4:$G$729,3,0)</f>
        <v>0</v>
      </c>
      <c r="R691" s="462">
        <f>VLOOKUP($E691,'5.1 Budget'!$A$4:$G$729,4,0)</f>
        <v>0</v>
      </c>
      <c r="S691" s="462">
        <f>VLOOKUP($E691,'5.1 Budget'!$A$4:$G$729,5,0)</f>
        <v>0</v>
      </c>
      <c r="T691" s="462">
        <f>VLOOKUP($E691,'5.1 Budget'!$A$4:$G$729,6,0)</f>
        <v>0</v>
      </c>
      <c r="U691" s="462">
        <f>VLOOKUP($E691,'5.1 Budget'!$A$4:$G$729,7,0)</f>
        <v>0</v>
      </c>
      <c r="V691" s="462">
        <f t="shared" si="11"/>
        <v>0</v>
      </c>
    </row>
    <row r="692" spans="1:22" x14ac:dyDescent="0.25">
      <c r="A692" s="465">
        <v>8</v>
      </c>
      <c r="B692" s="12" t="s">
        <v>184</v>
      </c>
      <c r="C692" s="12" t="s">
        <v>155</v>
      </c>
      <c r="D692" s="12" t="s">
        <v>136</v>
      </c>
      <c r="E692" s="12" t="s">
        <v>1266</v>
      </c>
      <c r="F692" s="469" t="str">
        <f>VLOOKUP(E692,'5. Consolidation'!$E$3:$F$715,2,0)</f>
        <v>Coordonner les missions de service public des opérateurs et acteurs dans la mise en œuvre de la politique de l’eau.</v>
      </c>
      <c r="G692" s="12"/>
      <c r="H692" s="12"/>
      <c r="I692" s="12"/>
      <c r="J692" s="12"/>
      <c r="K692" s="12"/>
      <c r="L692" s="12"/>
      <c r="M692" s="12"/>
      <c r="N692" s="459">
        <v>2022</v>
      </c>
      <c r="O692" s="12">
        <v>2027</v>
      </c>
      <c r="P692" s="462">
        <f>VLOOKUP($E692,'5.1 Budget'!$A$4:$G$729,2,0)</f>
        <v>100000</v>
      </c>
      <c r="Q692" s="462">
        <f>VLOOKUP($E692,'5.1 Budget'!$A$4:$G$729,3,0)</f>
        <v>100000</v>
      </c>
      <c r="R692" s="462">
        <f>VLOOKUP($E692,'5.1 Budget'!$A$4:$G$729,4,0)</f>
        <v>100000</v>
      </c>
      <c r="S692" s="462">
        <f>VLOOKUP($E692,'5.1 Budget'!$A$4:$G$729,5,0)</f>
        <v>100000</v>
      </c>
      <c r="T692" s="462">
        <f>VLOOKUP($E692,'5.1 Budget'!$A$4:$G$729,6,0)</f>
        <v>100000</v>
      </c>
      <c r="U692" s="462">
        <f>VLOOKUP($E692,'5.1 Budget'!$A$4:$G$729,7,0)</f>
        <v>100000</v>
      </c>
      <c r="V692" s="462">
        <f t="shared" si="11"/>
        <v>600000</v>
      </c>
    </row>
    <row r="693" spans="1:22" ht="26.25" x14ac:dyDescent="0.25">
      <c r="A693" s="465">
        <v>8</v>
      </c>
      <c r="B693" s="12" t="s">
        <v>184</v>
      </c>
      <c r="C693" s="12" t="s">
        <v>155</v>
      </c>
      <c r="D693" s="12" t="s">
        <v>136</v>
      </c>
      <c r="E693" s="12" t="s">
        <v>1267</v>
      </c>
      <c r="F693" s="469" t="str">
        <f>VLOOKUP(E693,'5. Consolidation'!$E$3:$F$715,2,0)</f>
        <v>Renforcer la coordination thématique au sein de groupes de travail ad hoc créés dans le cadre de la Plateforme de coordination.</v>
      </c>
      <c r="G693" s="12"/>
      <c r="H693" s="12"/>
      <c r="I693" s="12"/>
      <c r="J693" s="12"/>
      <c r="K693" s="12"/>
      <c r="L693" s="12"/>
      <c r="M693" s="12"/>
      <c r="N693" s="12"/>
      <c r="O693" s="12"/>
      <c r="P693" s="462">
        <f>VLOOKUP($E693,'5.1 Budget'!$A$4:$G$729,2,0)</f>
        <v>0</v>
      </c>
      <c r="Q693" s="462">
        <f>VLOOKUP($E693,'5.1 Budget'!$A$4:$G$729,3,0)</f>
        <v>0</v>
      </c>
      <c r="R693" s="462">
        <f>VLOOKUP($E693,'5.1 Budget'!$A$4:$G$729,4,0)</f>
        <v>0</v>
      </c>
      <c r="S693" s="462">
        <f>VLOOKUP($E693,'5.1 Budget'!$A$4:$G$729,5,0)</f>
        <v>0</v>
      </c>
      <c r="T693" s="462">
        <f>VLOOKUP($E693,'5.1 Budget'!$A$4:$G$729,6,0)</f>
        <v>0</v>
      </c>
      <c r="U693" s="462">
        <f>VLOOKUP($E693,'5.1 Budget'!$A$4:$G$729,7,0)</f>
        <v>0</v>
      </c>
      <c r="V693" s="462">
        <f t="shared" si="11"/>
        <v>0</v>
      </c>
    </row>
    <row r="694" spans="1:22" ht="26.25" x14ac:dyDescent="0.25">
      <c r="A694" s="465">
        <v>8</v>
      </c>
      <c r="B694" s="12" t="s">
        <v>184</v>
      </c>
      <c r="C694" s="12" t="s">
        <v>155</v>
      </c>
      <c r="D694" s="12" t="s">
        <v>136</v>
      </c>
      <c r="E694" s="12" t="s">
        <v>1268</v>
      </c>
      <c r="F694" s="469" t="str">
        <f>VLOOKUP(E694,'5. Consolidation'!$E$3:$F$715,2,0)</f>
        <v>Renforcer la coordination par bassin versant au sein de groupes de travail ad hoc créés dans le cadre de la Plateforme de coordination.</v>
      </c>
      <c r="G694" s="12"/>
      <c r="H694" s="12"/>
      <c r="I694" s="12"/>
      <c r="J694" s="12"/>
      <c r="K694" s="12"/>
      <c r="L694" s="12"/>
      <c r="M694" s="12"/>
      <c r="N694" s="12"/>
      <c r="O694" s="12"/>
      <c r="P694" s="462">
        <f>VLOOKUP($E694,'5.1 Budget'!$A$4:$G$729,2,0)</f>
        <v>0</v>
      </c>
      <c r="Q694" s="462">
        <f>VLOOKUP($E694,'5.1 Budget'!$A$4:$G$729,3,0)</f>
        <v>0</v>
      </c>
      <c r="R694" s="462">
        <f>VLOOKUP($E694,'5.1 Budget'!$A$4:$G$729,4,0)</f>
        <v>0</v>
      </c>
      <c r="S694" s="462">
        <f>VLOOKUP($E694,'5.1 Budget'!$A$4:$G$729,5,0)</f>
        <v>0</v>
      </c>
      <c r="T694" s="462">
        <f>VLOOKUP($E694,'5.1 Budget'!$A$4:$G$729,6,0)</f>
        <v>0</v>
      </c>
      <c r="U694" s="462">
        <f>VLOOKUP($E694,'5.1 Budget'!$A$4:$G$729,7,0)</f>
        <v>0</v>
      </c>
      <c r="V694" s="462">
        <f t="shared" si="11"/>
        <v>0</v>
      </c>
    </row>
    <row r="695" spans="1:22" ht="26.25" x14ac:dyDescent="0.25">
      <c r="A695" s="465">
        <v>8</v>
      </c>
      <c r="B695" s="12" t="s">
        <v>184</v>
      </c>
      <c r="C695" s="12" t="s">
        <v>155</v>
      </c>
      <c r="D695" s="12" t="s">
        <v>136</v>
      </c>
      <c r="E695" s="12" t="s">
        <v>1269</v>
      </c>
      <c r="F695" s="469" t="str">
        <f>VLOOKUP(E695,'5. Consolidation'!$E$3:$F$715,2,0)</f>
        <v>Renforcer la coordination et l’échange entre les différents groupes de travail thématiques et par bassin versant avec les acteurs de l’eau (administrations régionales, associations, monde académique et de la recherche, etc.).</v>
      </c>
      <c r="G695" s="12"/>
      <c r="H695" s="12"/>
      <c r="I695" s="12"/>
      <c r="J695" s="12"/>
      <c r="K695" s="12"/>
      <c r="L695" s="12"/>
      <c r="M695" s="12"/>
      <c r="N695" s="12"/>
      <c r="O695" s="12"/>
      <c r="P695" s="462">
        <f>VLOOKUP($E695,'5.1 Budget'!$A$4:$G$729,2,0)</f>
        <v>0</v>
      </c>
      <c r="Q695" s="462">
        <f>VLOOKUP($E695,'5.1 Budget'!$A$4:$G$729,3,0)</f>
        <v>0</v>
      </c>
      <c r="R695" s="462">
        <f>VLOOKUP($E695,'5.1 Budget'!$A$4:$G$729,4,0)</f>
        <v>0</v>
      </c>
      <c r="S695" s="462">
        <f>VLOOKUP($E695,'5.1 Budget'!$A$4:$G$729,5,0)</f>
        <v>0</v>
      </c>
      <c r="T695" s="462">
        <f>VLOOKUP($E695,'5.1 Budget'!$A$4:$G$729,6,0)</f>
        <v>0</v>
      </c>
      <c r="U695" s="462">
        <f>VLOOKUP($E695,'5.1 Budget'!$A$4:$G$729,7,0)</f>
        <v>0</v>
      </c>
      <c r="V695" s="462">
        <f t="shared" si="11"/>
        <v>0</v>
      </c>
    </row>
    <row r="696" spans="1:22" ht="26.25" x14ac:dyDescent="0.25">
      <c r="A696" s="465">
        <v>8</v>
      </c>
      <c r="B696" s="12" t="s">
        <v>184</v>
      </c>
      <c r="C696" s="12" t="s">
        <v>155</v>
      </c>
      <c r="D696" s="12" t="s">
        <v>136</v>
      </c>
      <c r="E696" s="12" t="s">
        <v>1270</v>
      </c>
      <c r="F696" s="469" t="str">
        <f>VLOOKUP(E696,'5. Consolidation'!$E$3:$F$715,2,0)</f>
        <v>Faciliter l'échange d'informations en améliorant la transparence de la Plateforme de coordination et en intensifiant les échanges avec les autres acteurs régionaux concernés.</v>
      </c>
      <c r="G696" s="12"/>
      <c r="H696" s="12"/>
      <c r="I696" s="12"/>
      <c r="J696" s="12"/>
      <c r="K696" s="12"/>
      <c r="L696" s="12"/>
      <c r="M696" s="12"/>
      <c r="N696" s="12"/>
      <c r="O696" s="12"/>
      <c r="P696" s="462">
        <f>VLOOKUP($E696,'5.1 Budget'!$A$4:$G$729,2,0)</f>
        <v>0</v>
      </c>
      <c r="Q696" s="462">
        <f>VLOOKUP($E696,'5.1 Budget'!$A$4:$G$729,3,0)</f>
        <v>0</v>
      </c>
      <c r="R696" s="462">
        <f>VLOOKUP($E696,'5.1 Budget'!$A$4:$G$729,4,0)</f>
        <v>0</v>
      </c>
      <c r="S696" s="462">
        <f>VLOOKUP($E696,'5.1 Budget'!$A$4:$G$729,5,0)</f>
        <v>0</v>
      </c>
      <c r="T696" s="462">
        <f>VLOOKUP($E696,'5.1 Budget'!$A$4:$G$729,6,0)</f>
        <v>0</v>
      </c>
      <c r="U696" s="462">
        <f>VLOOKUP($E696,'5.1 Budget'!$A$4:$G$729,7,0)</f>
        <v>0</v>
      </c>
      <c r="V696" s="462">
        <f t="shared" si="11"/>
        <v>0</v>
      </c>
    </row>
    <row r="697" spans="1:22" ht="39" x14ac:dyDescent="0.25">
      <c r="A697" s="465">
        <v>8</v>
      </c>
      <c r="B697" s="12" t="s">
        <v>184</v>
      </c>
      <c r="C697" s="12" t="s">
        <v>155</v>
      </c>
      <c r="D697" s="12" t="s">
        <v>136</v>
      </c>
      <c r="E697" s="12" t="s">
        <v>1271</v>
      </c>
      <c r="F697" s="469" t="str">
        <f>VLOOKUP(E697,'5. Consolidation'!$E$3:$F$715,2,0)</f>
        <v>Émettre des avis coordonnés dans le cadre de modifications réglementaires, sur des projets d’aménagement du territoire, le développement d’outils, de méthodes ayant un impact sur le secteur de l’eau. Mais également émettre des réponses coordonnées suite à des interpellations d’un ou plusieurs opérateurs de l’eau.</v>
      </c>
      <c r="G697" s="12"/>
      <c r="H697" s="12"/>
      <c r="I697" s="12"/>
      <c r="J697" s="12"/>
      <c r="K697" s="12"/>
      <c r="L697" s="12"/>
      <c r="M697" s="12"/>
      <c r="N697" s="12"/>
      <c r="O697" s="12"/>
      <c r="P697" s="462">
        <f>VLOOKUP($E697,'5.1 Budget'!$A$4:$G$729,2,0)</f>
        <v>0</v>
      </c>
      <c r="Q697" s="462">
        <f>VLOOKUP($E697,'5.1 Budget'!$A$4:$G$729,3,0)</f>
        <v>0</v>
      </c>
      <c r="R697" s="462">
        <f>VLOOKUP($E697,'5.1 Budget'!$A$4:$G$729,4,0)</f>
        <v>0</v>
      </c>
      <c r="S697" s="462">
        <f>VLOOKUP($E697,'5.1 Budget'!$A$4:$G$729,5,0)</f>
        <v>0</v>
      </c>
      <c r="T697" s="462">
        <f>VLOOKUP($E697,'5.1 Budget'!$A$4:$G$729,6,0)</f>
        <v>0</v>
      </c>
      <c r="U697" s="462">
        <f>VLOOKUP($E697,'5.1 Budget'!$A$4:$G$729,7,0)</f>
        <v>0</v>
      </c>
      <c r="V697" s="462">
        <f t="shared" si="11"/>
        <v>0</v>
      </c>
    </row>
    <row r="698" spans="1:22" ht="51.75" x14ac:dyDescent="0.25">
      <c r="A698" s="465">
        <v>8</v>
      </c>
      <c r="B698" s="12" t="s">
        <v>184</v>
      </c>
      <c r="C698" s="12" t="s">
        <v>155</v>
      </c>
      <c r="D698" s="12" t="s">
        <v>136</v>
      </c>
      <c r="E698" s="12" t="s">
        <v>1272</v>
      </c>
      <c r="F698" s="469" t="str">
        <f>VLOOKUP(E698,'5. Consolidation'!$E$3:$F$715,2,0)</f>
        <v>Organiser des événements d’échanges de connaissance :
avec les associations et le monde académique (les rencontres bruxelloises de l’eau) ;
avec les professionnels (la journée mondiale de l’eau)
avec les citoyens (les journées bruxelloises de l’eau)</v>
      </c>
      <c r="G698" s="12"/>
      <c r="H698" s="12"/>
      <c r="I698" s="12"/>
      <c r="J698" s="12"/>
      <c r="K698" s="12"/>
      <c r="L698" s="12"/>
      <c r="M698" s="12"/>
      <c r="N698" s="459">
        <v>2022</v>
      </c>
      <c r="O698" s="12">
        <v>2027</v>
      </c>
      <c r="P698" s="462">
        <f>VLOOKUP($E698,'5.1 Budget'!$A$4:$G$729,2,0)</f>
        <v>100000</v>
      </c>
      <c r="Q698" s="462">
        <f>VLOOKUP($E698,'5.1 Budget'!$A$4:$G$729,3,0)</f>
        <v>100000</v>
      </c>
      <c r="R698" s="462">
        <f>VLOOKUP($E698,'5.1 Budget'!$A$4:$G$729,4,0)</f>
        <v>100000</v>
      </c>
      <c r="S698" s="462">
        <f>VLOOKUP($E698,'5.1 Budget'!$A$4:$G$729,5,0)</f>
        <v>100000</v>
      </c>
      <c r="T698" s="462">
        <f>VLOOKUP($E698,'5.1 Budget'!$A$4:$G$729,6,0)</f>
        <v>100000</v>
      </c>
      <c r="U698" s="462">
        <f>VLOOKUP($E698,'5.1 Budget'!$A$4:$G$729,7,0)</f>
        <v>100000</v>
      </c>
      <c r="V698" s="462">
        <f t="shared" si="11"/>
        <v>600000</v>
      </c>
    </row>
    <row r="699" spans="1:22" ht="26.25" x14ac:dyDescent="0.25">
      <c r="A699" s="465">
        <v>8</v>
      </c>
      <c r="B699" s="12" t="s">
        <v>185</v>
      </c>
      <c r="C699" s="12" t="s">
        <v>155</v>
      </c>
      <c r="D699" s="12" t="s">
        <v>137</v>
      </c>
      <c r="E699" s="12" t="s">
        <v>1273</v>
      </c>
      <c r="F699" s="469" t="str">
        <f>VLOOKUP(E699,'5. Consolidation'!$E$3:$F$715,2,0)</f>
        <v>Assurer l’organisation de séminaires/colloques sur les différentes thématiques de l’eau afin de permettre l’échange de bonnes pratiques et/ou de savoirs scientifiques.</v>
      </c>
      <c r="G699" s="12"/>
      <c r="H699" s="12"/>
      <c r="I699" s="12"/>
      <c r="J699" s="12"/>
      <c r="K699" s="12"/>
      <c r="L699" s="12"/>
      <c r="M699" s="12"/>
      <c r="N699" s="12"/>
      <c r="O699" s="12"/>
      <c r="P699" s="462">
        <f>VLOOKUP($E699,'5.1 Budget'!$A$4:$G$729,2,0)</f>
        <v>0</v>
      </c>
      <c r="Q699" s="462">
        <f>VLOOKUP($E699,'5.1 Budget'!$A$4:$G$729,3,0)</f>
        <v>0</v>
      </c>
      <c r="R699" s="462">
        <f>VLOOKUP($E699,'5.1 Budget'!$A$4:$G$729,4,0)</f>
        <v>0</v>
      </c>
      <c r="S699" s="462">
        <f>VLOOKUP($E699,'5.1 Budget'!$A$4:$G$729,5,0)</f>
        <v>0</v>
      </c>
      <c r="T699" s="462">
        <f>VLOOKUP($E699,'5.1 Budget'!$A$4:$G$729,6,0)</f>
        <v>0</v>
      </c>
      <c r="U699" s="462">
        <f>VLOOKUP($E699,'5.1 Budget'!$A$4:$G$729,7,0)</f>
        <v>0</v>
      </c>
      <c r="V699" s="462">
        <f t="shared" si="11"/>
        <v>0</v>
      </c>
    </row>
    <row r="700" spans="1:22" ht="39" x14ac:dyDescent="0.25">
      <c r="A700" s="465">
        <v>8</v>
      </c>
      <c r="B700" s="12" t="s">
        <v>185</v>
      </c>
      <c r="C700" s="12" t="s">
        <v>155</v>
      </c>
      <c r="D700" s="12" t="s">
        <v>137</v>
      </c>
      <c r="E700" s="12" t="s">
        <v>1274</v>
      </c>
      <c r="F700" s="469" t="str">
        <f>VLOOKUP(E700,'5. Consolidation'!$E$3:$F$715,2,0)</f>
        <v>Participer en tant qu’observateur ou orateur aux séminaires/colloques/forums sur les différentes thématiques de l’eau pour veiller à ce que la RBC reste parfaitement informée des bonnes pratiques et/ou savoirs scientifiques internationaux, ou veiller en tant qu’orateur à partager/informer sur les bonnes pratiques et/ou savoirs scientifiques développés au sein de la Région.</v>
      </c>
      <c r="G700" s="12"/>
      <c r="H700" s="12"/>
      <c r="I700" s="12"/>
      <c r="J700" s="12"/>
      <c r="K700" s="12"/>
      <c r="L700" s="12"/>
      <c r="M700" s="12"/>
      <c r="N700" s="12"/>
      <c r="O700" s="12"/>
      <c r="P700" s="462">
        <f>VLOOKUP($E700,'5.1 Budget'!$A$4:$G$729,2,0)</f>
        <v>0</v>
      </c>
      <c r="Q700" s="462">
        <f>VLOOKUP($E700,'5.1 Budget'!$A$4:$G$729,3,0)</f>
        <v>0</v>
      </c>
      <c r="R700" s="462">
        <f>VLOOKUP($E700,'5.1 Budget'!$A$4:$G$729,4,0)</f>
        <v>0</v>
      </c>
      <c r="S700" s="462">
        <f>VLOOKUP($E700,'5.1 Budget'!$A$4:$G$729,5,0)</f>
        <v>0</v>
      </c>
      <c r="T700" s="462">
        <f>VLOOKUP($E700,'5.1 Budget'!$A$4:$G$729,6,0)</f>
        <v>0</v>
      </c>
      <c r="U700" s="462">
        <f>VLOOKUP($E700,'5.1 Budget'!$A$4:$G$729,7,0)</f>
        <v>0</v>
      </c>
      <c r="V700" s="462">
        <f t="shared" si="11"/>
        <v>0</v>
      </c>
    </row>
    <row r="701" spans="1:22" ht="26.25" x14ac:dyDescent="0.25">
      <c r="A701" s="465">
        <v>8</v>
      </c>
      <c r="B701" s="12" t="s">
        <v>185</v>
      </c>
      <c r="C701" s="12" t="s">
        <v>155</v>
      </c>
      <c r="D701" s="12" t="s">
        <v>137</v>
      </c>
      <c r="E701" s="12" t="s">
        <v>1275</v>
      </c>
      <c r="F701" s="469" t="str">
        <f>VLOOKUP(E701,'5. Consolidation'!$E$3:$F$715,2,0)</f>
        <v>Valoriser toujours davantage l’expérience de la RBC en matière de gestion de l’eau spécifique au milieu urbain au travers de la participation aux séminaires/colloques/forums sur les différentes thématiques de l’eau.</v>
      </c>
      <c r="G701" s="12"/>
      <c r="H701" s="12"/>
      <c r="I701" s="12"/>
      <c r="J701" s="12"/>
      <c r="K701" s="12"/>
      <c r="L701" s="12"/>
      <c r="M701" s="12"/>
      <c r="N701" s="12"/>
      <c r="O701" s="12"/>
      <c r="P701" s="462">
        <f>VLOOKUP($E701,'5.1 Budget'!$A$4:$G$729,2,0)</f>
        <v>0</v>
      </c>
      <c r="Q701" s="462">
        <f>VLOOKUP($E701,'5.1 Budget'!$A$4:$G$729,3,0)</f>
        <v>0</v>
      </c>
      <c r="R701" s="462">
        <f>VLOOKUP($E701,'5.1 Budget'!$A$4:$G$729,4,0)</f>
        <v>0</v>
      </c>
      <c r="S701" s="462">
        <f>VLOOKUP($E701,'5.1 Budget'!$A$4:$G$729,5,0)</f>
        <v>0</v>
      </c>
      <c r="T701" s="462">
        <f>VLOOKUP($E701,'5.1 Budget'!$A$4:$G$729,6,0)</f>
        <v>0</v>
      </c>
      <c r="U701" s="462">
        <f>VLOOKUP($E701,'5.1 Budget'!$A$4:$G$729,7,0)</f>
        <v>0</v>
      </c>
      <c r="V701" s="462">
        <f t="shared" si="11"/>
        <v>0</v>
      </c>
    </row>
    <row r="702" spans="1:22" ht="90" x14ac:dyDescent="0.25">
      <c r="A702" s="465">
        <v>8</v>
      </c>
      <c r="B702" s="12" t="s">
        <v>185</v>
      </c>
      <c r="C702" s="12" t="s">
        <v>155</v>
      </c>
      <c r="D702" s="12" t="s">
        <v>139</v>
      </c>
      <c r="E702" s="12" t="s">
        <v>1276</v>
      </c>
      <c r="F702" s="469" t="str">
        <f>VLOOKUP(E702,'5. Consolidation'!$E$3:$F$715,2,0)</f>
        <v>Continuer l’« appel à projets » auprès des communes et CPAS bruxellois afin d’encourager prioritairement à réaliser des travaux d’aménagement « nature-based solutions » ou des études préalables. Les subsides ainsi octroyés sont de l’ordre de 400.000€/an pour les travaux et de 200.000€/an pour les études.
Les objectifs de l’appel à projets recouvrent également l’ensemble des mesures du PGE (donc lutte contre les inondations, utilisation rationnelle des ressources, etc.)
A noter l’existence d’un soutien complémentaire de Bruxelles Mobilité aux communes, via appel à projet pour petits projets de déminéralisation.</v>
      </c>
      <c r="G702" s="12"/>
      <c r="H702" s="12"/>
      <c r="I702" s="12"/>
      <c r="J702" s="12"/>
      <c r="K702" s="12"/>
      <c r="L702" s="12"/>
      <c r="M702" s="12"/>
      <c r="N702" s="459">
        <v>2022</v>
      </c>
      <c r="O702" s="12">
        <v>2027</v>
      </c>
      <c r="P702" s="462">
        <f>VLOOKUP($E702,'5.1 Budget'!$A$4:$G$729,2,0)</f>
        <v>800000</v>
      </c>
      <c r="Q702" s="462">
        <f>VLOOKUP($E702,'5.1 Budget'!$A$4:$G$729,3,0)</f>
        <v>800000</v>
      </c>
      <c r="R702" s="462">
        <f>VLOOKUP($E702,'5.1 Budget'!$A$4:$G$729,4,0)</f>
        <v>800000</v>
      </c>
      <c r="S702" s="462">
        <f>VLOOKUP($E702,'5.1 Budget'!$A$4:$G$729,5,0)</f>
        <v>800000</v>
      </c>
      <c r="T702" s="462">
        <f>VLOOKUP($E702,'5.1 Budget'!$A$4:$G$729,6,0)</f>
        <v>800000</v>
      </c>
      <c r="U702" s="462">
        <f>VLOOKUP($E702,'5.1 Budget'!$A$4:$G$729,7,0)</f>
        <v>800000</v>
      </c>
      <c r="V702" s="462">
        <f t="shared" si="11"/>
        <v>4800000</v>
      </c>
    </row>
    <row r="703" spans="1:22" ht="51.75" x14ac:dyDescent="0.25">
      <c r="A703" s="465">
        <v>8</v>
      </c>
      <c r="B703" s="12" t="s">
        <v>185</v>
      </c>
      <c r="C703" s="12" t="s">
        <v>155</v>
      </c>
      <c r="D703" s="12" t="s">
        <v>139</v>
      </c>
      <c r="E703" s="12" t="s">
        <v>1279</v>
      </c>
      <c r="F703" s="469" t="str">
        <f>VLOOKUP(E703,'5. Consolidation'!$E$3:$F$715,2,0)</f>
        <v>Mettre en place ou étendre l’appel à projet 
- à d’autres institutions régionales (ex : STIB, BM,…) pour développer des projets « GIEP » d’aménagement du territoire ;
- vers des acteurs privés pour développer des initiatives GIEP sur leurs parcelles 
Action à développer dans l’appel à projets « Inspirons le quartier ».</v>
      </c>
      <c r="G703" s="12"/>
      <c r="H703" s="12"/>
      <c r="I703" s="12"/>
      <c r="J703" s="12"/>
      <c r="K703" s="12"/>
      <c r="L703" s="12"/>
      <c r="M703" s="12"/>
      <c r="N703" s="459">
        <v>2024</v>
      </c>
      <c r="O703" s="12"/>
      <c r="P703" s="462">
        <f>VLOOKUP($E703,'5.1 Budget'!$A$4:$G$729,2,0)</f>
        <v>0</v>
      </c>
      <c r="Q703" s="462">
        <f>VLOOKUP($E703,'5.1 Budget'!$A$4:$G$729,3,0)</f>
        <v>0</v>
      </c>
      <c r="R703" s="462">
        <f>VLOOKUP($E703,'5.1 Budget'!$A$4:$G$729,4,0)</f>
        <v>400000</v>
      </c>
      <c r="S703" s="462">
        <f>VLOOKUP($E703,'5.1 Budget'!$A$4:$G$729,5,0)</f>
        <v>400000</v>
      </c>
      <c r="T703" s="462">
        <f>VLOOKUP($E703,'5.1 Budget'!$A$4:$G$729,6,0)</f>
        <v>600000</v>
      </c>
      <c r="U703" s="462">
        <f>VLOOKUP($E703,'5.1 Budget'!$A$4:$G$729,7,0)</f>
        <v>600000</v>
      </c>
      <c r="V703" s="462">
        <f t="shared" si="11"/>
        <v>2000000</v>
      </c>
    </row>
    <row r="704" spans="1:22" x14ac:dyDescent="0.25">
      <c r="A704" s="465">
        <v>8</v>
      </c>
      <c r="B704" s="12" t="s">
        <v>185</v>
      </c>
      <c r="C704" s="12" t="s">
        <v>155</v>
      </c>
      <c r="D704" s="12" t="s">
        <v>139</v>
      </c>
      <c r="E704" s="12" t="s">
        <v>1280</v>
      </c>
      <c r="F704" s="469" t="str">
        <f>VLOOKUP(E704,'5. Consolidation'!$E$3:$F$715,2,0)</f>
        <v>Introduire la thématique Eau dans l’appel à projets           « Inspirons Le Quartier».</v>
      </c>
      <c r="G704" s="12"/>
      <c r="H704" s="12"/>
      <c r="I704" s="12"/>
      <c r="J704" s="12"/>
      <c r="K704" s="12"/>
      <c r="L704" s="12"/>
      <c r="M704" s="12"/>
      <c r="N704" s="459">
        <v>2023</v>
      </c>
      <c r="O704" s="12"/>
      <c r="P704" s="462">
        <f>VLOOKUP($E704,'5.1 Budget'!$A$4:$G$729,2,0)</f>
        <v>0</v>
      </c>
      <c r="Q704" s="462">
        <f>VLOOKUP($E704,'5.1 Budget'!$A$4:$G$729,3,0)</f>
        <v>100000</v>
      </c>
      <c r="R704" s="462">
        <f>VLOOKUP($E704,'5.1 Budget'!$A$4:$G$729,4,0)</f>
        <v>100000</v>
      </c>
      <c r="S704" s="462">
        <f>VLOOKUP($E704,'5.1 Budget'!$A$4:$G$729,5,0)</f>
        <v>100000</v>
      </c>
      <c r="T704" s="462">
        <f>VLOOKUP($E704,'5.1 Budget'!$A$4:$G$729,6,0)</f>
        <v>100000</v>
      </c>
      <c r="U704" s="462">
        <f>VLOOKUP($E704,'5.1 Budget'!$A$4:$G$729,7,0)</f>
        <v>100000</v>
      </c>
      <c r="V704" s="462">
        <f t="shared" si="11"/>
        <v>500000</v>
      </c>
    </row>
    <row r="705" spans="1:22" ht="26.25" x14ac:dyDescent="0.25">
      <c r="A705" s="465">
        <v>8</v>
      </c>
      <c r="B705" s="12" t="s">
        <v>185</v>
      </c>
      <c r="C705" s="12" t="s">
        <v>155</v>
      </c>
      <c r="D705" s="12" t="s">
        <v>139</v>
      </c>
      <c r="E705" s="12" t="s">
        <v>1281</v>
      </c>
      <c r="F705" s="469" t="str">
        <f>VLOOKUP(E705,'5. Consolidation'!$E$3:$F$715,2,0)</f>
        <v>Soutenir les Pouvoirs organisateurs des écoles pour des projets de déminéralisation et végétalisation via l’appel à projet ‘Ré-création’.</v>
      </c>
      <c r="G705" s="12"/>
      <c r="H705" s="12"/>
      <c r="I705" s="12"/>
      <c r="J705" s="12"/>
      <c r="K705" s="12"/>
      <c r="L705" s="12"/>
      <c r="M705" s="12"/>
      <c r="N705" s="459">
        <v>2022</v>
      </c>
      <c r="O705" s="12"/>
      <c r="P705" s="462">
        <f>VLOOKUP($E705,'5.1 Budget'!$A$4:$G$729,2,0)</f>
        <v>4500000</v>
      </c>
      <c r="Q705" s="462">
        <f>VLOOKUP($E705,'5.1 Budget'!$A$4:$G$729,3,0)</f>
        <v>0</v>
      </c>
      <c r="R705" s="462">
        <f>VLOOKUP($E705,'5.1 Budget'!$A$4:$G$729,4,0)</f>
        <v>0</v>
      </c>
      <c r="S705" s="462">
        <f>VLOOKUP($E705,'5.1 Budget'!$A$4:$G$729,5,0)</f>
        <v>0</v>
      </c>
      <c r="T705" s="462">
        <f>VLOOKUP($E705,'5.1 Budget'!$A$4:$G$729,6,0)</f>
        <v>0</v>
      </c>
      <c r="U705" s="462">
        <f>VLOOKUP($E705,'5.1 Budget'!$A$4:$G$729,7,0)</f>
        <v>0</v>
      </c>
      <c r="V705" s="462">
        <f t="shared" si="11"/>
        <v>4500000</v>
      </c>
    </row>
    <row r="706" spans="1:22" x14ac:dyDescent="0.25">
      <c r="A706" s="465">
        <v>8</v>
      </c>
      <c r="B706" s="12" t="s">
        <v>185</v>
      </c>
      <c r="C706" s="12" t="s">
        <v>155</v>
      </c>
      <c r="D706" s="12" t="s">
        <v>139</v>
      </c>
      <c r="E706" s="12" t="s">
        <v>1282</v>
      </c>
      <c r="F706" s="469" t="str">
        <f>VLOOKUP(E706,'5. Consolidation'!$E$3:$F$715,2,0)</f>
        <v>Evaluer l’opportunité d’octroyer des primes aux communes plutôt que des subventions, pour faciliter leurs actions positives.</v>
      </c>
      <c r="G706" s="12"/>
      <c r="H706" s="12"/>
      <c r="I706" s="12"/>
      <c r="J706" s="12"/>
      <c r="K706" s="12"/>
      <c r="L706" s="12"/>
      <c r="M706" s="12"/>
      <c r="N706" s="12"/>
      <c r="O706" s="12"/>
      <c r="P706" s="462">
        <f>VLOOKUP($E706,'5.1 Budget'!$A$4:$G$729,2,0)</f>
        <v>0</v>
      </c>
      <c r="Q706" s="462">
        <f>VLOOKUP($E706,'5.1 Budget'!$A$4:$G$729,3,0)</f>
        <v>0</v>
      </c>
      <c r="R706" s="462">
        <f>VLOOKUP($E706,'5.1 Budget'!$A$4:$G$729,4,0)</f>
        <v>0</v>
      </c>
      <c r="S706" s="462">
        <f>VLOOKUP($E706,'5.1 Budget'!$A$4:$G$729,5,0)</f>
        <v>0</v>
      </c>
      <c r="T706" s="462">
        <f>VLOOKUP($E706,'5.1 Budget'!$A$4:$G$729,6,0)</f>
        <v>0</v>
      </c>
      <c r="U706" s="462">
        <f>VLOOKUP($E706,'5.1 Budget'!$A$4:$G$729,7,0)</f>
        <v>0</v>
      </c>
      <c r="V706" s="462">
        <f t="shared" si="11"/>
        <v>0</v>
      </c>
    </row>
    <row r="707" spans="1:22" ht="26.25" x14ac:dyDescent="0.25">
      <c r="A707" s="465">
        <v>8</v>
      </c>
      <c r="B707" s="12" t="s">
        <v>185</v>
      </c>
      <c r="C707" s="12" t="s">
        <v>155</v>
      </c>
      <c r="D707" s="12" t="s">
        <v>139</v>
      </c>
      <c r="E707" s="12" t="s">
        <v>1283</v>
      </c>
      <c r="F707" s="469" t="str">
        <f>VLOOKUP(E707,'5. Consolidation'!$E$3:$F$715,2,0)</f>
        <v xml:space="preserve">Promouvoir un label visant à encourager et valoriser les projets GiEP « exemplaires » dans le domaine public ou privé en RBC.  </v>
      </c>
      <c r="G707" s="12"/>
      <c r="H707" s="12"/>
      <c r="I707" s="12"/>
      <c r="J707" s="12"/>
      <c r="K707" s="12"/>
      <c r="L707" s="12"/>
      <c r="M707" s="12"/>
      <c r="N707" s="12"/>
      <c r="O707" s="12"/>
      <c r="P707" s="462">
        <f>VLOOKUP($E707,'5.1 Budget'!$A$4:$G$729,2,0)</f>
        <v>0</v>
      </c>
      <c r="Q707" s="462">
        <f>VLOOKUP($E707,'5.1 Budget'!$A$4:$G$729,3,0)</f>
        <v>0</v>
      </c>
      <c r="R707" s="462">
        <f>VLOOKUP($E707,'5.1 Budget'!$A$4:$G$729,4,0)</f>
        <v>0</v>
      </c>
      <c r="S707" s="462">
        <f>VLOOKUP($E707,'5.1 Budget'!$A$4:$G$729,5,0)</f>
        <v>0</v>
      </c>
      <c r="T707" s="462">
        <f>VLOOKUP($E707,'5.1 Budget'!$A$4:$G$729,6,0)</f>
        <v>0</v>
      </c>
      <c r="U707" s="462">
        <f>VLOOKUP($E707,'5.1 Budget'!$A$4:$G$729,7,0)</f>
        <v>0</v>
      </c>
      <c r="V707" s="462">
        <f t="shared" ref="V707:V712" si="12">SUM(P707:U707)</f>
        <v>0</v>
      </c>
    </row>
    <row r="708" spans="1:22" ht="26.25" x14ac:dyDescent="0.25">
      <c r="A708" s="465">
        <v>8</v>
      </c>
      <c r="B708" s="12" t="s">
        <v>185</v>
      </c>
      <c r="C708" s="12" t="s">
        <v>155</v>
      </c>
      <c r="D708" s="12" t="s">
        <v>139</v>
      </c>
      <c r="E708" s="12" t="s">
        <v>1284</v>
      </c>
      <c r="F708" s="469" t="str">
        <f>VLOOKUP(E708,'5. Consolidation'!$E$3:$F$715,2,0)</f>
        <v>Soutenir les mouvements citoyens et associatifs qui mettent en œuvre le PGE 2022-2027 et plus large (comme par exemple le soutien à l’éducation à l’eau sur la qualité de l’eau du robinet).</v>
      </c>
      <c r="G708" s="12"/>
      <c r="H708" s="12"/>
      <c r="I708" s="12"/>
      <c r="J708" s="12"/>
      <c r="K708" s="12"/>
      <c r="L708" s="12"/>
      <c r="M708" s="12"/>
      <c r="N708" s="459">
        <v>2022</v>
      </c>
      <c r="O708" s="12">
        <v>2027</v>
      </c>
      <c r="P708" s="462">
        <f>VLOOKUP($E708,'5.1 Budget'!$A$4:$G$729,2,0)</f>
        <v>450000</v>
      </c>
      <c r="Q708" s="462">
        <f>VLOOKUP($E708,'5.1 Budget'!$A$4:$G$729,3,0)</f>
        <v>450000</v>
      </c>
      <c r="R708" s="462">
        <f>VLOOKUP($E708,'5.1 Budget'!$A$4:$G$729,4,0)</f>
        <v>450000</v>
      </c>
      <c r="S708" s="462">
        <f>VLOOKUP($E708,'5.1 Budget'!$A$4:$G$729,5,0)</f>
        <v>450000</v>
      </c>
      <c r="T708" s="462">
        <f>VLOOKUP($E708,'5.1 Budget'!$A$4:$G$729,6,0)</f>
        <v>450000</v>
      </c>
      <c r="U708" s="462">
        <f>VLOOKUP($E708,'5.1 Budget'!$A$4:$G$729,7,0)</f>
        <v>450000</v>
      </c>
      <c r="V708" s="462">
        <f t="shared" si="12"/>
        <v>2700000</v>
      </c>
    </row>
    <row r="709" spans="1:22" ht="51.75" x14ac:dyDescent="0.25">
      <c r="A709" s="465">
        <v>8</v>
      </c>
      <c r="B709" s="12" t="s">
        <v>185</v>
      </c>
      <c r="C709" s="12" t="s">
        <v>155</v>
      </c>
      <c r="D709" s="12" t="s">
        <v>139</v>
      </c>
      <c r="E709" s="12" t="s">
        <v>1285</v>
      </c>
      <c r="F709" s="469" t="str">
        <f>VLOOKUP(E709,'5. Consolidation'!$E$3:$F$715,2,0)</f>
        <v>Réaliser un diagnostic des mécanismes financiers existants au sein des institutions régionales et communales  et assurer la promotion et diffusion large de cet existant via leurs canaux de communication, les différents canaux de communication de Bruxelles Environnement ainsi que ceux des autres organismes pour lesquels la thématique s’inscrit dans les missions quotidiennes (e.g. réseau habitat, Homegrade,…).</v>
      </c>
      <c r="G709" s="12"/>
      <c r="H709" s="12"/>
      <c r="I709" s="12"/>
      <c r="J709" s="12"/>
      <c r="K709" s="12"/>
      <c r="L709" s="12"/>
      <c r="M709" s="12"/>
      <c r="N709" s="459">
        <v>2022</v>
      </c>
      <c r="O709" s="12"/>
      <c r="P709" s="462">
        <f>VLOOKUP($E709,'5.1 Budget'!$A$4:$G$729,2,0)</f>
        <v>20000</v>
      </c>
      <c r="Q709" s="462">
        <f>VLOOKUP($E709,'5.1 Budget'!$A$4:$G$729,3,0)</f>
        <v>0</v>
      </c>
      <c r="R709" s="462">
        <f>VLOOKUP($E709,'5.1 Budget'!$A$4:$G$729,4,0)</f>
        <v>0</v>
      </c>
      <c r="S709" s="462">
        <f>VLOOKUP($E709,'5.1 Budget'!$A$4:$G$729,5,0)</f>
        <v>0</v>
      </c>
      <c r="T709" s="462">
        <f>VLOOKUP($E709,'5.1 Budget'!$A$4:$G$729,6,0)</f>
        <v>0</v>
      </c>
      <c r="U709" s="462">
        <f>VLOOKUP($E709,'5.1 Budget'!$A$4:$G$729,7,0)</f>
        <v>0</v>
      </c>
      <c r="V709" s="462">
        <f t="shared" si="12"/>
        <v>20000</v>
      </c>
    </row>
    <row r="710" spans="1:22" ht="26.25" x14ac:dyDescent="0.25">
      <c r="A710" s="465">
        <v>8</v>
      </c>
      <c r="B710" s="12" t="s">
        <v>185</v>
      </c>
      <c r="C710" s="12" t="s">
        <v>155</v>
      </c>
      <c r="D710" s="12" t="s">
        <v>139</v>
      </c>
      <c r="E710" s="12" t="s">
        <v>1286</v>
      </c>
      <c r="F710" s="469" t="str">
        <f>VLOOKUP(E710,'5. Consolidation'!$E$3:$F$715,2,0)</f>
        <v>Réaliser un diagnostic des besoins spécifiques identifiés (e.g. demandes récurrentes, manques, raisons derrière le fait que certaines primes fonctionnement et d’autres moins, analyse des situations socio-économiques…).</v>
      </c>
      <c r="G710" s="12"/>
      <c r="H710" s="12"/>
      <c r="I710" s="12"/>
      <c r="J710" s="12"/>
      <c r="K710" s="12"/>
      <c r="L710" s="12"/>
      <c r="M710" s="12"/>
      <c r="N710" s="459">
        <v>2022</v>
      </c>
      <c r="O710" s="12"/>
      <c r="P710" s="462">
        <f>VLOOKUP($E710,'5.1 Budget'!$A$4:$G$729,2,0)</f>
        <v>20000</v>
      </c>
      <c r="Q710" s="462">
        <f>VLOOKUP($E710,'5.1 Budget'!$A$4:$G$729,3,0)</f>
        <v>0</v>
      </c>
      <c r="R710" s="462">
        <f>VLOOKUP($E710,'5.1 Budget'!$A$4:$G$729,4,0)</f>
        <v>0</v>
      </c>
      <c r="S710" s="462">
        <f>VLOOKUP($E710,'5.1 Budget'!$A$4:$G$729,5,0)</f>
        <v>0</v>
      </c>
      <c r="T710" s="462">
        <f>VLOOKUP($E710,'5.1 Budget'!$A$4:$G$729,6,0)</f>
        <v>0</v>
      </c>
      <c r="U710" s="462">
        <f>VLOOKUP($E710,'5.1 Budget'!$A$4:$G$729,7,0)</f>
        <v>0</v>
      </c>
      <c r="V710" s="462">
        <f t="shared" si="12"/>
        <v>20000</v>
      </c>
    </row>
    <row r="711" spans="1:22" ht="64.5" x14ac:dyDescent="0.25">
      <c r="A711" s="465">
        <v>8</v>
      </c>
      <c r="B711" s="12" t="s">
        <v>185</v>
      </c>
      <c r="C711" s="12" t="s">
        <v>155</v>
      </c>
      <c r="D711" s="12" t="s">
        <v>139</v>
      </c>
      <c r="E711" s="12" t="s">
        <v>1277</v>
      </c>
      <c r="F711" s="469" t="str">
        <f>VLOOKUP(E711,'5. Consolidation'!$E$3:$F$715,2,0)</f>
        <v>Mettre en place des primes ou des ajouts/extensions de champ d’application pour des primes existantes à destination des particuliers et des professionnels, avec les informations sur les étapes juridiques à établir et les couts liés à l’encadrement RH.
Cette mesure devra être accompagnée d’une réflexion sur la situation socio-économique du public-cible (locataire ou propriétaire par exemple).</v>
      </c>
      <c r="G711" s="12"/>
      <c r="H711" s="12"/>
      <c r="I711" s="12"/>
      <c r="J711" s="12"/>
      <c r="K711" s="12"/>
      <c r="L711" s="12"/>
      <c r="M711" s="12"/>
      <c r="N711" s="459">
        <v>2024</v>
      </c>
      <c r="O711" s="12"/>
      <c r="P711" s="462">
        <f>VLOOKUP($E711,'5.1 Budget'!$A$4:$G$729,2,0)</f>
        <v>0</v>
      </c>
      <c r="Q711" s="462">
        <f>VLOOKUP($E711,'5.1 Budget'!$A$4:$G$729,3,0)</f>
        <v>0</v>
      </c>
      <c r="R711" s="462">
        <f>VLOOKUP($E711,'5.1 Budget'!$A$4:$G$729,4,0)</f>
        <v>50000</v>
      </c>
      <c r="S711" s="462">
        <f>VLOOKUP($E711,'5.1 Budget'!$A$4:$G$729,5,0)</f>
        <v>50000</v>
      </c>
      <c r="T711" s="462">
        <f>VLOOKUP($E711,'5.1 Budget'!$A$4:$G$729,6,0)</f>
        <v>50000</v>
      </c>
      <c r="U711" s="462">
        <f>VLOOKUP($E711,'5.1 Budget'!$A$4:$G$729,7,0)</f>
        <v>50000</v>
      </c>
      <c r="V711" s="462">
        <f t="shared" si="12"/>
        <v>200000</v>
      </c>
    </row>
    <row r="712" spans="1:22" ht="39" x14ac:dyDescent="0.25">
      <c r="A712" s="465">
        <v>8</v>
      </c>
      <c r="B712" s="12" t="s">
        <v>185</v>
      </c>
      <c r="C712" s="12" t="s">
        <v>155</v>
      </c>
      <c r="D712" s="12" t="s">
        <v>139</v>
      </c>
      <c r="E712" s="12" t="s">
        <v>1278</v>
      </c>
      <c r="F712" s="469" t="str">
        <f>VLOOKUP(E712,'5. Consolidation'!$E$3:$F$715,2,0)</f>
        <v>Assurer l’actualisation régulière des informations disponibles sur les canaux de communication des instances délivrantes, les différents canaux de communication de Bruxelles Environnement ainsi que sur ceux des autres organismes pour lesquels la thématique s’inscrit dans les missions quotidiennes (e.g. réseau habitat, Homegrade,…).</v>
      </c>
      <c r="G712" s="12"/>
      <c r="H712" s="12"/>
      <c r="I712" s="12"/>
      <c r="J712" s="12"/>
      <c r="K712" s="12"/>
      <c r="L712" s="12"/>
      <c r="M712" s="12"/>
      <c r="N712" s="12"/>
      <c r="O712" s="12"/>
      <c r="P712" s="462">
        <f>VLOOKUP($E712,'5.1 Budget'!$A$4:$G$729,2,0)</f>
        <v>0</v>
      </c>
      <c r="Q712" s="462">
        <f>VLOOKUP($E712,'5.1 Budget'!$A$4:$G$729,3,0)</f>
        <v>0</v>
      </c>
      <c r="R712" s="462">
        <f>VLOOKUP($E712,'5.1 Budget'!$A$4:$G$729,4,0)</f>
        <v>0</v>
      </c>
      <c r="S712" s="462">
        <f>VLOOKUP($E712,'5.1 Budget'!$A$4:$G$729,5,0)</f>
        <v>0</v>
      </c>
      <c r="T712" s="462">
        <f>VLOOKUP($E712,'5.1 Budget'!$A$4:$G$729,6,0)</f>
        <v>0</v>
      </c>
      <c r="U712" s="462">
        <f>VLOOKUP($E712,'5.1 Budget'!$A$4:$G$729,7,0)</f>
        <v>0</v>
      </c>
      <c r="V712" s="462">
        <f t="shared" si="12"/>
        <v>0</v>
      </c>
    </row>
    <row r="713" spans="1:22" x14ac:dyDescent="0.25">
      <c r="N713" s="459"/>
      <c r="P713" s="458"/>
      <c r="Q713" s="252"/>
      <c r="R713" s="252"/>
      <c r="S713" s="252"/>
      <c r="T713" s="252"/>
      <c r="U713" s="252"/>
      <c r="V713" s="252"/>
    </row>
    <row r="714" spans="1:22" x14ac:dyDescent="0.25">
      <c r="P714" s="252"/>
      <c r="Q714" s="252"/>
      <c r="R714" s="252"/>
      <c r="S714" s="252"/>
      <c r="T714" s="252"/>
      <c r="U714" s="252"/>
      <c r="V714" s="252"/>
    </row>
    <row r="715" spans="1:22" x14ac:dyDescent="0.25">
      <c r="P715" s="252"/>
      <c r="Q715" s="252"/>
      <c r="R715" s="252"/>
      <c r="S715" s="252"/>
      <c r="T715" s="252"/>
      <c r="U715" s="252"/>
      <c r="V715" s="252"/>
    </row>
    <row r="716" spans="1:22" x14ac:dyDescent="0.25">
      <c r="P716" s="252"/>
      <c r="Q716" s="252"/>
      <c r="R716" s="252"/>
      <c r="S716" s="252"/>
      <c r="T716" s="252"/>
      <c r="U716" s="252"/>
      <c r="V716" s="252"/>
    </row>
    <row r="717" spans="1:22" x14ac:dyDescent="0.25">
      <c r="P717" s="252"/>
      <c r="Q717" s="252"/>
      <c r="R717" s="252"/>
      <c r="S717" s="252"/>
      <c r="T717" s="252"/>
      <c r="U717" s="252"/>
      <c r="V717" s="252"/>
    </row>
    <row r="718" spans="1:22" x14ac:dyDescent="0.25">
      <c r="P718" s="252"/>
      <c r="Q718" s="252"/>
      <c r="R718" s="252"/>
      <c r="S718" s="252"/>
      <c r="T718" s="252"/>
      <c r="U718" s="252"/>
      <c r="V718" s="252"/>
    </row>
    <row r="719" spans="1:22" x14ac:dyDescent="0.25">
      <c r="P719" s="252"/>
      <c r="Q719" s="252"/>
      <c r="R719" s="252"/>
      <c r="S719" s="252"/>
      <c r="T719" s="252"/>
      <c r="U719" s="252"/>
      <c r="V719" s="252"/>
    </row>
    <row r="720" spans="1:22" x14ac:dyDescent="0.25">
      <c r="P720" s="252"/>
      <c r="Q720" s="252"/>
      <c r="R720" s="252"/>
      <c r="S720" s="252"/>
      <c r="T720" s="252"/>
      <c r="U720" s="252"/>
      <c r="V720" s="252"/>
    </row>
    <row r="721" spans="16:22" x14ac:dyDescent="0.25">
      <c r="P721" s="252"/>
      <c r="Q721" s="252"/>
      <c r="R721" s="252"/>
      <c r="S721" s="252"/>
      <c r="T721" s="252"/>
      <c r="U721" s="252"/>
      <c r="V721" s="252"/>
    </row>
    <row r="722" spans="16:22" x14ac:dyDescent="0.25">
      <c r="P722" s="252"/>
      <c r="Q722" s="252"/>
      <c r="R722" s="252"/>
      <c r="S722" s="252"/>
      <c r="T722" s="252"/>
      <c r="U722" s="252"/>
      <c r="V722" s="252"/>
    </row>
    <row r="723" spans="16:22" x14ac:dyDescent="0.25">
      <c r="P723" s="252"/>
      <c r="Q723" s="252"/>
      <c r="R723" s="252"/>
      <c r="S723" s="252"/>
      <c r="T723" s="252"/>
      <c r="U723" s="252"/>
      <c r="V723" s="252"/>
    </row>
    <row r="724" spans="16:22" x14ac:dyDescent="0.25">
      <c r="P724" s="252"/>
      <c r="Q724" s="252"/>
      <c r="R724" s="252"/>
      <c r="S724" s="252"/>
      <c r="T724" s="252"/>
      <c r="U724" s="252"/>
      <c r="V724" s="252"/>
    </row>
    <row r="725" spans="16:22" x14ac:dyDescent="0.25">
      <c r="P725" s="252"/>
      <c r="Q725" s="252"/>
      <c r="R725" s="252"/>
      <c r="S725" s="252"/>
      <c r="T725" s="252"/>
      <c r="U725" s="252"/>
      <c r="V725" s="252"/>
    </row>
    <row r="726" spans="16:22" x14ac:dyDescent="0.25">
      <c r="P726" s="252"/>
      <c r="Q726" s="252"/>
      <c r="R726" s="252"/>
      <c r="S726" s="252"/>
      <c r="T726" s="252"/>
      <c r="U726" s="252"/>
      <c r="V726" s="252"/>
    </row>
    <row r="727" spans="16:22" x14ac:dyDescent="0.25">
      <c r="P727" s="252"/>
      <c r="Q727" s="252"/>
      <c r="R727" s="252"/>
      <c r="S727" s="252"/>
      <c r="T727" s="252"/>
      <c r="U727" s="252"/>
      <c r="V727" s="252"/>
    </row>
    <row r="728" spans="16:22" x14ac:dyDescent="0.25">
      <c r="P728" s="252"/>
      <c r="Q728" s="252"/>
      <c r="R728" s="252"/>
      <c r="S728" s="252"/>
      <c r="T728" s="252"/>
      <c r="U728" s="252"/>
      <c r="V728" s="252"/>
    </row>
    <row r="729" spans="16:22" x14ac:dyDescent="0.25">
      <c r="P729" s="252"/>
      <c r="Q729" s="252"/>
      <c r="R729" s="252"/>
      <c r="S729" s="252"/>
      <c r="T729" s="252"/>
      <c r="U729" s="252"/>
      <c r="V729" s="252"/>
    </row>
    <row r="730" spans="16:22" x14ac:dyDescent="0.25">
      <c r="P730" s="252"/>
      <c r="Q730" s="252"/>
      <c r="R730" s="252"/>
      <c r="S730" s="252"/>
      <c r="T730" s="252"/>
      <c r="U730" s="252"/>
      <c r="V730" s="252"/>
    </row>
    <row r="731" spans="16:22" x14ac:dyDescent="0.25">
      <c r="P731" s="252"/>
      <c r="Q731" s="252"/>
      <c r="R731" s="252"/>
      <c r="S731" s="252"/>
      <c r="T731" s="252"/>
      <c r="U731" s="252"/>
      <c r="V731" s="252"/>
    </row>
  </sheetData>
  <autoFilter ref="A1:V712" xr:uid="{00000000-0009-0000-0000-00001400000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8"/>
  <dimension ref="A1:H26"/>
  <sheetViews>
    <sheetView showGridLines="0" topLeftCell="A6" workbookViewId="0">
      <selection activeCell="B22" sqref="B22"/>
    </sheetView>
  </sheetViews>
  <sheetFormatPr baseColWidth="10" defaultColWidth="10.85546875" defaultRowHeight="15" x14ac:dyDescent="0.25"/>
  <cols>
    <col min="1" max="1" width="12.42578125" bestFit="1" customWidth="1"/>
    <col min="2" max="2" width="20.85546875" bestFit="1" customWidth="1"/>
    <col min="4" max="4" width="59.5703125" customWidth="1"/>
    <col min="5" max="5" width="50.85546875" style="441" bestFit="1" customWidth="1"/>
    <col min="6" max="6" width="26.5703125" bestFit="1" customWidth="1"/>
  </cols>
  <sheetData>
    <row r="1" spans="1:8" x14ac:dyDescent="0.25">
      <c r="A1" s="442" t="s">
        <v>2740</v>
      </c>
      <c r="B1" s="442" t="s">
        <v>2746</v>
      </c>
      <c r="C1" s="443" t="s">
        <v>2738</v>
      </c>
      <c r="D1" s="443" t="s">
        <v>2747</v>
      </c>
      <c r="E1" s="444" t="s">
        <v>2748</v>
      </c>
      <c r="F1" s="438" t="s">
        <v>2774</v>
      </c>
      <c r="G1" s="437" t="s">
        <v>2775</v>
      </c>
      <c r="H1" s="439" t="s">
        <v>2859</v>
      </c>
    </row>
    <row r="2" spans="1:8" ht="30" x14ac:dyDescent="0.25">
      <c r="A2" s="445" t="s">
        <v>2224</v>
      </c>
      <c r="B2" s="445" t="s">
        <v>2741</v>
      </c>
      <c r="C2" s="446">
        <v>1</v>
      </c>
      <c r="D2" s="446" t="s">
        <v>2749</v>
      </c>
      <c r="E2" s="447" t="s">
        <v>2912</v>
      </c>
      <c r="F2" s="448" t="s">
        <v>2866</v>
      </c>
      <c r="G2" s="445" t="s">
        <v>2776</v>
      </c>
      <c r="H2" s="445" t="s">
        <v>2860</v>
      </c>
    </row>
    <row r="3" spans="1:8" x14ac:dyDescent="0.25">
      <c r="A3" s="445" t="s">
        <v>2744</v>
      </c>
      <c r="B3" s="445" t="s">
        <v>2743</v>
      </c>
      <c r="C3" s="446">
        <v>2</v>
      </c>
      <c r="D3" s="446" t="s">
        <v>2750</v>
      </c>
      <c r="E3" s="447" t="s">
        <v>2913</v>
      </c>
      <c r="F3" s="448" t="s">
        <v>2867</v>
      </c>
      <c r="G3" s="445" t="s">
        <v>2777</v>
      </c>
      <c r="H3" s="445" t="s">
        <v>2706</v>
      </c>
    </row>
    <row r="4" spans="1:8" x14ac:dyDescent="0.25">
      <c r="A4" s="445" t="s">
        <v>2742</v>
      </c>
      <c r="B4" s="445" t="s">
        <v>2745</v>
      </c>
      <c r="C4" s="446">
        <v>3</v>
      </c>
      <c r="D4" s="446" t="s">
        <v>2751</v>
      </c>
      <c r="E4" s="447" t="s">
        <v>2914</v>
      </c>
      <c r="F4" s="445" t="s">
        <v>2868</v>
      </c>
      <c r="G4" s="445"/>
      <c r="H4" s="445" t="s">
        <v>2707</v>
      </c>
    </row>
    <row r="5" spans="1:8" ht="30" x14ac:dyDescent="0.25">
      <c r="A5" s="445"/>
      <c r="B5" s="445"/>
      <c r="C5" s="446">
        <v>4</v>
      </c>
      <c r="D5" s="446" t="s">
        <v>2752</v>
      </c>
      <c r="E5" s="447" t="s">
        <v>2915</v>
      </c>
      <c r="F5" s="445" t="s">
        <v>2869</v>
      </c>
      <c r="G5" s="445"/>
      <c r="H5" s="445" t="s">
        <v>2708</v>
      </c>
    </row>
    <row r="6" spans="1:8" ht="30" x14ac:dyDescent="0.25">
      <c r="A6" s="445"/>
      <c r="B6" s="445"/>
      <c r="C6" s="446">
        <v>5</v>
      </c>
      <c r="D6" s="446" t="s">
        <v>2753</v>
      </c>
      <c r="E6" s="447" t="s">
        <v>2916</v>
      </c>
      <c r="F6" s="445" t="s">
        <v>2870</v>
      </c>
      <c r="G6" s="445"/>
      <c r="H6" s="445" t="s">
        <v>2709</v>
      </c>
    </row>
    <row r="7" spans="1:8" ht="30" x14ac:dyDescent="0.25">
      <c r="A7" s="445"/>
      <c r="B7" s="445"/>
      <c r="C7" s="446">
        <v>6</v>
      </c>
      <c r="D7" s="446" t="s">
        <v>2754</v>
      </c>
      <c r="E7" s="447" t="s">
        <v>2917</v>
      </c>
      <c r="F7" s="445" t="s">
        <v>2871</v>
      </c>
      <c r="G7" s="445"/>
      <c r="H7" s="445" t="s">
        <v>2710</v>
      </c>
    </row>
    <row r="8" spans="1:8" ht="30" x14ac:dyDescent="0.25">
      <c r="A8" s="445"/>
      <c r="B8" s="445"/>
      <c r="C8" s="446">
        <v>7</v>
      </c>
      <c r="D8" s="446" t="s">
        <v>2755</v>
      </c>
      <c r="E8" s="447" t="s">
        <v>2918</v>
      </c>
      <c r="F8" s="445" t="s">
        <v>2872</v>
      </c>
      <c r="G8" s="445"/>
      <c r="H8" s="445" t="s">
        <v>2711</v>
      </c>
    </row>
    <row r="9" spans="1:8" ht="30" x14ac:dyDescent="0.25">
      <c r="A9" s="445"/>
      <c r="B9" s="445"/>
      <c r="C9" s="446">
        <v>8</v>
      </c>
      <c r="D9" s="446" t="s">
        <v>2756</v>
      </c>
      <c r="E9" s="447" t="s">
        <v>2919</v>
      </c>
      <c r="F9" s="445" t="s">
        <v>2873</v>
      </c>
      <c r="G9" s="445"/>
      <c r="H9" s="445" t="s">
        <v>2712</v>
      </c>
    </row>
    <row r="10" spans="1:8" ht="45" x14ac:dyDescent="0.25">
      <c r="A10" s="445"/>
      <c r="B10" s="445"/>
      <c r="C10" s="446">
        <v>9</v>
      </c>
      <c r="D10" s="446" t="s">
        <v>2757</v>
      </c>
      <c r="E10" s="447" t="s">
        <v>2920</v>
      </c>
      <c r="F10" s="445" t="s">
        <v>2874</v>
      </c>
      <c r="G10" s="445"/>
      <c r="H10" s="445"/>
    </row>
    <row r="11" spans="1:8" ht="45" x14ac:dyDescent="0.25">
      <c r="A11" s="445"/>
      <c r="B11" s="445"/>
      <c r="C11" s="446">
        <v>10</v>
      </c>
      <c r="D11" s="446" t="s">
        <v>2758</v>
      </c>
      <c r="E11" s="447" t="s">
        <v>2921</v>
      </c>
      <c r="F11" s="445" t="s">
        <v>2875</v>
      </c>
      <c r="G11" s="445"/>
      <c r="H11" s="445"/>
    </row>
    <row r="12" spans="1:8" ht="45" x14ac:dyDescent="0.25">
      <c r="A12" s="445"/>
      <c r="B12" s="445"/>
      <c r="C12" s="446">
        <v>11</v>
      </c>
      <c r="D12" s="446" t="s">
        <v>2759</v>
      </c>
      <c r="E12" s="447" t="s">
        <v>2922</v>
      </c>
      <c r="F12" s="445" t="s">
        <v>2876</v>
      </c>
      <c r="G12" s="445"/>
      <c r="H12" s="445"/>
    </row>
    <row r="13" spans="1:8" x14ac:dyDescent="0.25">
      <c r="A13" s="445"/>
      <c r="B13" s="445"/>
      <c r="C13" s="446">
        <v>12</v>
      </c>
      <c r="D13" s="446" t="s">
        <v>2760</v>
      </c>
      <c r="E13" s="447" t="s">
        <v>2923</v>
      </c>
      <c r="F13" s="445" t="s">
        <v>2877</v>
      </c>
      <c r="G13" s="445"/>
      <c r="H13" s="445"/>
    </row>
    <row r="14" spans="1:8" ht="30" x14ac:dyDescent="0.25">
      <c r="A14" s="445"/>
      <c r="B14" s="445"/>
      <c r="C14" s="446">
        <v>13</v>
      </c>
      <c r="D14" s="446" t="s">
        <v>2761</v>
      </c>
      <c r="E14" s="447" t="s">
        <v>2924</v>
      </c>
      <c r="F14" s="445" t="s">
        <v>2878</v>
      </c>
      <c r="G14" s="445"/>
      <c r="H14" s="445"/>
    </row>
    <row r="15" spans="1:8" ht="30" x14ac:dyDescent="0.25">
      <c r="A15" s="445"/>
      <c r="B15" s="445"/>
      <c r="C15" s="446">
        <v>14</v>
      </c>
      <c r="D15" s="446" t="s">
        <v>2762</v>
      </c>
      <c r="E15" s="447" t="s">
        <v>2925</v>
      </c>
      <c r="F15" s="445" t="s">
        <v>2879</v>
      </c>
      <c r="G15" s="445"/>
      <c r="H15" s="445"/>
    </row>
    <row r="16" spans="1:8" ht="60" x14ac:dyDescent="0.25">
      <c r="A16" s="445"/>
      <c r="B16" s="445"/>
      <c r="C16" s="446">
        <v>15</v>
      </c>
      <c r="D16" s="446" t="s">
        <v>2763</v>
      </c>
      <c r="E16" s="447" t="s">
        <v>2926</v>
      </c>
      <c r="F16" s="445" t="s">
        <v>2880</v>
      </c>
      <c r="G16" s="445"/>
      <c r="H16" s="445"/>
    </row>
    <row r="17" spans="1:8" ht="30" x14ac:dyDescent="0.25">
      <c r="A17" s="445"/>
      <c r="B17" s="445"/>
      <c r="C17" s="446">
        <v>16</v>
      </c>
      <c r="D17" s="446" t="s">
        <v>2764</v>
      </c>
      <c r="E17" s="447" t="s">
        <v>2927</v>
      </c>
      <c r="F17" s="445" t="s">
        <v>2881</v>
      </c>
      <c r="G17" s="445"/>
      <c r="H17" s="445"/>
    </row>
    <row r="18" spans="1:8" ht="30" x14ac:dyDescent="0.25">
      <c r="A18" s="445"/>
      <c r="B18" s="445"/>
      <c r="C18" s="446">
        <v>17</v>
      </c>
      <c r="D18" s="446" t="s">
        <v>2765</v>
      </c>
      <c r="E18" s="447" t="s">
        <v>2928</v>
      </c>
      <c r="F18" s="445"/>
      <c r="G18" s="445"/>
      <c r="H18" s="445"/>
    </row>
    <row r="19" spans="1:8" ht="30" x14ac:dyDescent="0.25">
      <c r="A19" s="445"/>
      <c r="B19" s="445"/>
      <c r="C19" s="446">
        <v>18</v>
      </c>
      <c r="D19" s="446" t="s">
        <v>2766</v>
      </c>
      <c r="E19" s="447" t="s">
        <v>2929</v>
      </c>
      <c r="F19" s="445"/>
      <c r="G19" s="445"/>
      <c r="H19" s="445"/>
    </row>
    <row r="20" spans="1:8" ht="30" x14ac:dyDescent="0.25">
      <c r="A20" s="445"/>
      <c r="B20" s="445"/>
      <c r="C20" s="446">
        <v>19</v>
      </c>
      <c r="D20" s="446" t="s">
        <v>2767</v>
      </c>
      <c r="E20" s="447" t="s">
        <v>2930</v>
      </c>
      <c r="F20" s="445"/>
      <c r="G20" s="445"/>
      <c r="H20" s="445"/>
    </row>
    <row r="21" spans="1:8" ht="45" x14ac:dyDescent="0.25">
      <c r="A21" s="445"/>
      <c r="B21" s="445"/>
      <c r="C21" s="446">
        <v>20</v>
      </c>
      <c r="D21" s="446" t="s">
        <v>2768</v>
      </c>
      <c r="E21" s="447" t="s">
        <v>2931</v>
      </c>
      <c r="F21" s="445"/>
      <c r="G21" s="445"/>
      <c r="H21" s="445"/>
    </row>
    <row r="22" spans="1:8" ht="45" x14ac:dyDescent="0.25">
      <c r="A22" s="445"/>
      <c r="B22" s="445"/>
      <c r="C22" s="446">
        <v>21</v>
      </c>
      <c r="D22" s="446" t="s">
        <v>2769</v>
      </c>
      <c r="E22" s="447" t="s">
        <v>2932</v>
      </c>
      <c r="F22" s="445"/>
      <c r="G22" s="445"/>
      <c r="H22" s="445"/>
    </row>
    <row r="23" spans="1:8" ht="30" x14ac:dyDescent="0.25">
      <c r="A23" s="445"/>
      <c r="B23" s="445"/>
      <c r="C23" s="446">
        <v>22</v>
      </c>
      <c r="D23" s="446" t="s">
        <v>2770</v>
      </c>
      <c r="E23" s="447" t="s">
        <v>2933</v>
      </c>
      <c r="F23" s="445"/>
      <c r="G23" s="445"/>
      <c r="H23" s="445"/>
    </row>
    <row r="24" spans="1:8" x14ac:dyDescent="0.25">
      <c r="A24" s="445"/>
      <c r="B24" s="445"/>
      <c r="C24" s="446">
        <v>23</v>
      </c>
      <c r="D24" s="446" t="s">
        <v>2771</v>
      </c>
      <c r="E24" s="447" t="s">
        <v>2934</v>
      </c>
      <c r="F24" s="445"/>
      <c r="G24" s="445"/>
      <c r="H24" s="445"/>
    </row>
    <row r="25" spans="1:8" x14ac:dyDescent="0.25">
      <c r="A25" s="445"/>
      <c r="B25" s="445"/>
      <c r="C25" s="446">
        <v>24</v>
      </c>
      <c r="D25" s="446" t="s">
        <v>2772</v>
      </c>
      <c r="E25" s="447" t="s">
        <v>2935</v>
      </c>
      <c r="F25" s="445"/>
      <c r="G25" s="445"/>
      <c r="H25" s="445"/>
    </row>
    <row r="26" spans="1:8" x14ac:dyDescent="0.25">
      <c r="A26" s="445"/>
      <c r="B26" s="445"/>
      <c r="C26" s="446">
        <v>25</v>
      </c>
      <c r="D26" s="446" t="s">
        <v>2773</v>
      </c>
      <c r="E26" s="447" t="s">
        <v>2936</v>
      </c>
      <c r="F26" s="445"/>
      <c r="G26" s="445"/>
      <c r="H26" s="445"/>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A805-1D31-44B7-98DD-B751B1B2E4B0}">
  <sheetPr filterMode="1">
    <outlinePr applyStyles="1" summaryBelow="0"/>
  </sheetPr>
  <dimension ref="A1:I1385"/>
  <sheetViews>
    <sheetView showGridLines="0" topLeftCell="D1" zoomScale="85" zoomScaleNormal="85" workbookViewId="0">
      <selection activeCell="I498" sqref="I498"/>
    </sheetView>
  </sheetViews>
  <sheetFormatPr baseColWidth="10" defaultRowHeight="15" outlineLevelRow="2" x14ac:dyDescent="0.25"/>
  <cols>
    <col min="1" max="1" width="11.5703125" hidden="1" customWidth="1"/>
    <col min="2" max="2" width="6.140625" hidden="1" customWidth="1"/>
    <col min="3" max="3" width="7.140625" hidden="1" customWidth="1"/>
    <col min="4" max="4" width="13.85546875" bestFit="1" customWidth="1"/>
    <col min="6" max="6" width="145.42578125" customWidth="1"/>
    <col min="7" max="7" width="9.140625" bestFit="1" customWidth="1"/>
    <col min="8" max="8" width="15.7109375" bestFit="1" customWidth="1"/>
    <col min="9" max="9" width="24.42578125" customWidth="1"/>
  </cols>
  <sheetData>
    <row r="1" spans="1:9" x14ac:dyDescent="0.25">
      <c r="A1" t="s">
        <v>1659</v>
      </c>
      <c r="B1" t="s">
        <v>3033</v>
      </c>
      <c r="C1" t="s">
        <v>3034</v>
      </c>
      <c r="D1" s="499" t="s">
        <v>412</v>
      </c>
      <c r="E1" s="499" t="s">
        <v>413</v>
      </c>
      <c r="F1" s="499" t="s">
        <v>29</v>
      </c>
      <c r="G1" s="499" t="s">
        <v>1500</v>
      </c>
      <c r="H1" s="499" t="s">
        <v>1501</v>
      </c>
      <c r="I1" s="499" t="s">
        <v>2557</v>
      </c>
    </row>
    <row r="2" spans="1:9" s="492" customFormat="1" hidden="1" x14ac:dyDescent="0.25">
      <c r="D2" s="504" t="s">
        <v>411</v>
      </c>
      <c r="E2" s="504"/>
      <c r="F2" s="505"/>
      <c r="G2" s="505"/>
      <c r="H2" s="505"/>
      <c r="I2" s="506">
        <f>SUBTOTAL(9,I4:I813)</f>
        <v>2260000</v>
      </c>
    </row>
    <row r="3" spans="1:9" s="494" customFormat="1" hidden="1" outlineLevel="1" collapsed="1" x14ac:dyDescent="0.25">
      <c r="D3" s="500" t="s">
        <v>0</v>
      </c>
      <c r="E3" s="500"/>
      <c r="F3" s="501" t="str">
        <f>VLOOKUP(D3,'1. Mesures'!$A$2:$B$116,2,0)</f>
        <v xml:space="preserve">Remettre à ciel ouvert le réseau hydrographique  </v>
      </c>
      <c r="G3" s="501"/>
      <c r="H3" s="501"/>
      <c r="I3" s="502">
        <f>SUBTOTAL(9,I4:I15)</f>
        <v>0</v>
      </c>
    </row>
    <row r="4" spans="1:9" ht="30" hidden="1" outlineLevel="2" x14ac:dyDescent="0.25">
      <c r="A4" s="114" t="str">
        <f t="shared" ref="A4:A15" si="0">MID(E4,1,1)</f>
        <v>1</v>
      </c>
      <c r="B4" s="114" t="str">
        <f t="shared" ref="B4:B15" si="1">MID(E4,3,1)</f>
        <v>1</v>
      </c>
      <c r="C4" s="114" t="str">
        <f t="shared" ref="C4:C15" si="2">MID(E4,5,2)</f>
        <v>1</v>
      </c>
      <c r="D4" s="495" t="s">
        <v>0</v>
      </c>
      <c r="E4" s="495" t="s">
        <v>636</v>
      </c>
      <c r="F4" s="496" t="str">
        <f>VLOOKUP(E4,'5.2 Actions'!$A$3:$B$720,2,0)</f>
        <v>Projet « Max-sur-Senne » : réaménagement du parc Maximilien avec mise à ciel ouvert de la Senne sur une longueur de 580 m minimum – Etude (également sur M6.6) (action C13_6 Belini)</v>
      </c>
      <c r="G4" s="496" t="str">
        <f>"ACE"&amp;"-"&amp;VLOOKUP(D4,'6. Mesures_ Budget_ Maximaliste'!$A$4:$C$32,3,0)</f>
        <v>ACE-PP</v>
      </c>
      <c r="H4" s="496" t="str">
        <f>VLOOKUP(E4,'5.2 Actions'!$A$3:$D$720,4,0)</f>
        <v>SEN</v>
      </c>
      <c r="I4" s="497">
        <v>100000</v>
      </c>
    </row>
    <row r="5" spans="1:9" ht="30" hidden="1" outlineLevel="2" x14ac:dyDescent="0.25">
      <c r="A5" s="114" t="str">
        <f t="shared" si="0"/>
        <v>1</v>
      </c>
      <c r="B5" s="114" t="str">
        <f t="shared" si="1"/>
        <v>1</v>
      </c>
      <c r="C5" s="114" t="str">
        <f t="shared" si="2"/>
        <v>2</v>
      </c>
      <c r="D5" s="495" t="s">
        <v>0</v>
      </c>
      <c r="E5" s="495" t="s">
        <v>640</v>
      </c>
      <c r="F5" s="496" t="str">
        <f>VLOOKUP(E5,'5.2 Actions'!$A$3:$B$720,2,0)</f>
        <v>Projet « Max-sur-Senne » : réaménagement du parc Maximilien avec mise à ciel ouvert de la Senne sur une longueur de 580 m minimum – Travaux (également sur M6.6)</v>
      </c>
      <c r="G5" s="496" t="str">
        <f>"ACE"&amp;"-"&amp;VLOOKUP(D5,'6. Mesures_ Budget_ Maximaliste'!$A$4:$C$32,3,0)</f>
        <v>ACE-PP</v>
      </c>
      <c r="H5" s="496" t="str">
        <f>VLOOKUP(E5,'5.2 Actions'!$A$3:$D$720,4,0)</f>
        <v>SEN</v>
      </c>
      <c r="I5" s="497">
        <v>3700000</v>
      </c>
    </row>
    <row r="6" spans="1:9" hidden="1" outlineLevel="2" x14ac:dyDescent="0.25">
      <c r="A6" s="114" t="str">
        <f t="shared" si="0"/>
        <v>1</v>
      </c>
      <c r="B6" s="114" t="str">
        <f t="shared" si="1"/>
        <v>1</v>
      </c>
      <c r="C6" s="114" t="str">
        <f t="shared" si="2"/>
        <v>3</v>
      </c>
      <c r="D6" s="495" t="s">
        <v>0</v>
      </c>
      <c r="E6" s="495" t="s">
        <v>641</v>
      </c>
      <c r="F6" s="496" t="str">
        <f>VLOOKUP(E6,'5.2 Actions'!$A$3:$B$720,2,0)</f>
        <v>Projet Schaerbeek Formation : mise à ciel ouvert de la Senne sur le site de Schaerbeek Formation – Etude (également sur M6.6)</v>
      </c>
      <c r="G6" s="496" t="str">
        <f>"ACE"&amp;"-"&amp;VLOOKUP(D6,'6. Mesures_ Budget_ Maximaliste'!$A$4:$C$32,3,0)</f>
        <v>ACE-PP</v>
      </c>
      <c r="H6" s="496" t="str">
        <f>VLOOKUP(E6,'5.2 Actions'!$A$3:$D$720,4,0)</f>
        <v>SEN</v>
      </c>
      <c r="I6" s="497">
        <v>100000</v>
      </c>
    </row>
    <row r="7" spans="1:9" hidden="1" outlineLevel="2" x14ac:dyDescent="0.25">
      <c r="A7" s="114" t="str">
        <f t="shared" si="0"/>
        <v>1</v>
      </c>
      <c r="B7" s="114" t="str">
        <f t="shared" si="1"/>
        <v>1</v>
      </c>
      <c r="C7" s="114" t="str">
        <f t="shared" si="2"/>
        <v>4</v>
      </c>
      <c r="D7" s="495" t="s">
        <v>0</v>
      </c>
      <c r="E7" s="495" t="s">
        <v>642</v>
      </c>
      <c r="F7" s="496" t="str">
        <f>VLOOKUP(E7,'5.2 Actions'!$A$3:$B$720,2,0)</f>
        <v>Projet Schaerbeek Formation : mise à ciel ouvert de la Senne sur le site de Schaerbeek Formation –Travaux (également sur M6.6)</v>
      </c>
      <c r="G7" s="496" t="str">
        <f>"ACE"&amp;"-"&amp;VLOOKUP(D7,'6. Mesures_ Budget_ Maximaliste'!$A$4:$C$32,3,0)</f>
        <v>ACE-PP</v>
      </c>
      <c r="H7" s="496" t="str">
        <f>VLOOKUP(E7,'5.2 Actions'!$A$3:$D$720,4,0)</f>
        <v>SEN</v>
      </c>
      <c r="I7" s="497">
        <v>0</v>
      </c>
    </row>
    <row r="8" spans="1:9" hidden="1" outlineLevel="2" x14ac:dyDescent="0.25">
      <c r="A8" s="114" t="str">
        <f t="shared" si="0"/>
        <v>1</v>
      </c>
      <c r="B8" s="114" t="str">
        <f t="shared" si="1"/>
        <v>1</v>
      </c>
      <c r="C8" s="114" t="str">
        <f t="shared" si="2"/>
        <v>5</v>
      </c>
      <c r="D8" s="495" t="s">
        <v>0</v>
      </c>
      <c r="E8" s="495" t="s">
        <v>643</v>
      </c>
      <c r="F8" s="496" t="str">
        <f>VLOOKUP(E8,'5.2 Actions'!$A$3:$B$720,2,0)</f>
        <v>Projet Poincaré : mise en perspective de la Senne au niveau du musée des égouts - Etude (fait partie de l’action C12_4 Belini)</v>
      </c>
      <c r="G8" s="496" t="str">
        <f>"ACE"&amp;"-"&amp;VLOOKUP(D8,'6. Mesures_ Budget_ Maximaliste'!$A$4:$C$32,3,0)</f>
        <v>ACE-PP</v>
      </c>
      <c r="H8" s="496" t="str">
        <f>VLOOKUP(E8,'5.2 Actions'!$A$3:$D$720,4,0)</f>
        <v>SEN</v>
      </c>
      <c r="I8" s="497">
        <v>50000</v>
      </c>
    </row>
    <row r="9" spans="1:9" hidden="1" outlineLevel="2" x14ac:dyDescent="0.25">
      <c r="A9" s="114" t="str">
        <f t="shared" si="0"/>
        <v>1</v>
      </c>
      <c r="B9" s="114" t="str">
        <f t="shared" si="1"/>
        <v>1</v>
      </c>
      <c r="C9" s="114" t="str">
        <f t="shared" si="2"/>
        <v>6</v>
      </c>
      <c r="D9" s="495" t="s">
        <v>0</v>
      </c>
      <c r="E9" s="495" t="s">
        <v>644</v>
      </c>
      <c r="F9" s="496" t="str">
        <f>VLOOKUP(E9,'5.2 Actions'!$A$3:$B$720,2,0)</f>
        <v>Projet Poincaré : mise en perspective de la Senne au niveau du musée des égouts – Travaux</v>
      </c>
      <c r="G9" s="496" t="str">
        <f>"ACE"&amp;"-"&amp;VLOOKUP(D9,'6. Mesures_ Budget_ Maximaliste'!$A$4:$C$32,3,0)</f>
        <v>ACE-PP</v>
      </c>
      <c r="H9" s="496" t="str">
        <f>VLOOKUP(E9,'5.2 Actions'!$A$3:$D$720,4,0)</f>
        <v>SEN</v>
      </c>
      <c r="I9" s="497">
        <v>2000000</v>
      </c>
    </row>
    <row r="10" spans="1:9" hidden="1" outlineLevel="2" x14ac:dyDescent="0.25">
      <c r="A10" s="114" t="str">
        <f t="shared" si="0"/>
        <v>1</v>
      </c>
      <c r="B10" s="114" t="str">
        <f t="shared" si="1"/>
        <v>1</v>
      </c>
      <c r="C10" s="114" t="str">
        <f t="shared" si="2"/>
        <v>7</v>
      </c>
      <c r="D10" s="495" t="s">
        <v>0</v>
      </c>
      <c r="E10" s="495" t="s">
        <v>645</v>
      </c>
      <c r="F10" s="496" t="str">
        <f>VLOOKUP(E10,'5.2 Actions'!$A$3:$B$720,2,0)</f>
        <v>Projet site « Royale Belge » : Mise à ciel ouvert de la Woluwe sur une longueur de 250 m – Etude (voir également fiche M1.2)</v>
      </c>
      <c r="G10" s="496" t="str">
        <f>"ACE"&amp;"-"&amp;VLOOKUP(D10,'6. Mesures_ Budget_ Maximaliste'!$A$4:$C$32,3,0)</f>
        <v>ACE-PP</v>
      </c>
      <c r="H10" s="496" t="str">
        <f>VLOOKUP(E10,'5.2 Actions'!$A$3:$D$720,4,0)</f>
        <v>WOL</v>
      </c>
      <c r="I10" s="497">
        <v>140000</v>
      </c>
    </row>
    <row r="11" spans="1:9" ht="30" hidden="1" outlineLevel="2" x14ac:dyDescent="0.25">
      <c r="A11" s="114" t="str">
        <f t="shared" si="0"/>
        <v>1</v>
      </c>
      <c r="B11" s="114" t="str">
        <f t="shared" si="1"/>
        <v>1</v>
      </c>
      <c r="C11" s="114" t="str">
        <f t="shared" si="2"/>
        <v>8</v>
      </c>
      <c r="D11" s="495" t="s">
        <v>0</v>
      </c>
      <c r="E11" s="495" t="s">
        <v>646</v>
      </c>
      <c r="F11" s="496" t="str">
        <f>VLOOKUP(E11,'5.2 Actions'!$A$3:$B$720,2,0)</f>
        <v>Projet site « Royale Belge »: Mise à ciel ouvert de la Woluwe sur une longueur de 250 m – Travaux (financés par des charges d’urbanisme) (voir également fiche M1.2)</v>
      </c>
      <c r="G11" s="496" t="str">
        <f>"ACE"&amp;"-"&amp;VLOOKUP(D11,'6. Mesures_ Budget_ Maximaliste'!$A$4:$C$32,3,0)</f>
        <v>ACE-PP</v>
      </c>
      <c r="H11" s="496" t="str">
        <f>VLOOKUP(E11,'5.2 Actions'!$A$3:$D$720,4,0)</f>
        <v>WOL</v>
      </c>
      <c r="I11" s="497">
        <v>1200000</v>
      </c>
    </row>
    <row r="12" spans="1:9" hidden="1" outlineLevel="2" x14ac:dyDescent="0.25">
      <c r="A12" s="114" t="str">
        <f t="shared" si="0"/>
        <v>1</v>
      </c>
      <c r="B12" s="114" t="str">
        <f t="shared" si="1"/>
        <v>1</v>
      </c>
      <c r="C12" s="114" t="str">
        <f t="shared" si="2"/>
        <v>9</v>
      </c>
      <c r="D12" s="495" t="s">
        <v>0</v>
      </c>
      <c r="E12" s="495" t="s">
        <v>647</v>
      </c>
      <c r="F12" s="496" t="str">
        <f>VLOOKUP(E12,'5.2 Actions'!$A$3:$B$720,2,0)</f>
        <v>Mise à ciel ouvert du Roodkloosterbeek dans le parc Bergoge sur 100m – Etude (également sur M1.2)</v>
      </c>
      <c r="G12" s="496" t="str">
        <f>"ACE"&amp;"-"&amp;VLOOKUP(D12,'6. Mesures_ Budget_ Maximaliste'!$A$4:$C$32,3,0)</f>
        <v>ACE-PP</v>
      </c>
      <c r="H12" s="496" t="str">
        <f>VLOOKUP(E12,'5.2 Actions'!$A$3:$D$720,4,0)</f>
        <v>WOL</v>
      </c>
      <c r="I12" s="497">
        <v>90000</v>
      </c>
    </row>
    <row r="13" spans="1:9" hidden="1" outlineLevel="2" x14ac:dyDescent="0.25">
      <c r="A13" s="114" t="str">
        <f t="shared" si="0"/>
        <v>1</v>
      </c>
      <c r="B13" s="114" t="str">
        <f t="shared" si="1"/>
        <v>1</v>
      </c>
      <c r="C13" s="114" t="str">
        <f t="shared" si="2"/>
        <v>10</v>
      </c>
      <c r="D13" s="495" t="s">
        <v>0</v>
      </c>
      <c r="E13" s="495" t="s">
        <v>637</v>
      </c>
      <c r="F13" s="496" t="str">
        <f>VLOOKUP(E13,'5.2 Actions'!$A$3:$B$720,2,0)</f>
        <v>Mise à ciel ouvert du Roodkloosterbeek dans le parc Bergoge sur 100m - Travaux (également sur M1.2)</v>
      </c>
      <c r="G13" s="496" t="str">
        <f>"ACE"&amp;"-"&amp;VLOOKUP(D13,'6. Mesures_ Budget_ Maximaliste'!$A$4:$C$32,3,0)</f>
        <v>ACE-PP</v>
      </c>
      <c r="H13" s="496" t="str">
        <f>VLOOKUP(E13,'5.2 Actions'!$A$3:$D$720,4,0)</f>
        <v>WOL</v>
      </c>
      <c r="I13" s="497">
        <v>900000</v>
      </c>
    </row>
    <row r="14" spans="1:9" hidden="1" outlineLevel="2" x14ac:dyDescent="0.25">
      <c r="A14" s="114" t="str">
        <f t="shared" si="0"/>
        <v>1</v>
      </c>
      <c r="B14" s="114" t="str">
        <f t="shared" si="1"/>
        <v>1</v>
      </c>
      <c r="C14" s="114" t="str">
        <f t="shared" si="2"/>
        <v>11</v>
      </c>
      <c r="D14" s="495" t="s">
        <v>0</v>
      </c>
      <c r="E14" s="495" t="s">
        <v>638</v>
      </c>
      <c r="F14" s="496" t="str">
        <f>VLOOKUP(E14,'5.2 Actions'!$A$3:$B$720,2,0)</f>
        <v xml:space="preserve">Étude de faisabilité de mise à ciel ouvert du Kerkebeek sur 800 m au niveau du Moeraske </v>
      </c>
      <c r="G14" s="496" t="str">
        <f>"ACE"&amp;"-"&amp;VLOOKUP(D14,'6. Mesures_ Budget_ Maximaliste'!$A$4:$C$32,3,0)</f>
        <v>ACE-PP</v>
      </c>
      <c r="H14" s="496" t="str">
        <f>VLOOKUP(E14,'5.2 Actions'!$A$3:$D$720,4,0)</f>
        <v>SEN</v>
      </c>
      <c r="I14" s="497">
        <v>100000</v>
      </c>
    </row>
    <row r="15" spans="1:9" hidden="1" outlineLevel="2" x14ac:dyDescent="0.25">
      <c r="A15" s="114" t="str">
        <f t="shared" si="0"/>
        <v>1</v>
      </c>
      <c r="B15" s="114" t="str">
        <f t="shared" si="1"/>
        <v>1</v>
      </c>
      <c r="C15" s="114" t="str">
        <f t="shared" si="2"/>
        <v>12</v>
      </c>
      <c r="D15" s="495" t="s">
        <v>0</v>
      </c>
      <c r="E15" s="495" t="s">
        <v>639</v>
      </c>
      <c r="F15" s="496" t="str">
        <f>VLOOKUP(E15,'5.2 Actions'!$A$3:$B$720,2,0)</f>
        <v xml:space="preserve">Etude Étude de faisabilité de mise à ciel ouvert du Hollebeek sur 100 m au niveau du site Citydev, rue du Bruel – Etude </v>
      </c>
      <c r="G15" s="496" t="str">
        <f>"ACE"&amp;"-"&amp;VLOOKUP(D15,'6. Mesures_ Budget_ Maximaliste'!$A$4:$C$32,3,0)</f>
        <v>ACE-PP</v>
      </c>
      <c r="H15" s="496" t="str">
        <f>VLOOKUP(E15,'5.2 Actions'!$A$3:$D$720,4,0)</f>
        <v>SEN</v>
      </c>
      <c r="I15" s="497">
        <v>70000</v>
      </c>
    </row>
    <row r="16" spans="1:9" s="494" customFormat="1" ht="28.5" hidden="1" outlineLevel="1" collapsed="1" x14ac:dyDescent="0.25">
      <c r="D16" s="500" t="s">
        <v>1</v>
      </c>
      <c r="E16" s="500"/>
      <c r="F16" s="501" t="str">
        <f>VLOOKUP(D16,'1. Mesures'!$A$2:$B$116,2,0)</f>
        <v>Améliorer la qualité des berges et des lits du réseau hydrographique, créer des méandres et aménager des zones propices au développement de la faune et de la flore aquatiques</v>
      </c>
      <c r="G16" s="501"/>
      <c r="H16" s="501"/>
      <c r="I16" s="502">
        <f>SUBTOTAL(9,I17:I44)</f>
        <v>0</v>
      </c>
    </row>
    <row r="17" spans="1:9" hidden="1" outlineLevel="2" x14ac:dyDescent="0.25">
      <c r="A17" s="114" t="str">
        <f t="shared" ref="A17:A44" si="3">MID(E17,1,1)</f>
        <v>1</v>
      </c>
      <c r="B17" s="114" t="str">
        <f t="shared" ref="B17:B44" si="4">MID(E17,3,1)</f>
        <v>2</v>
      </c>
      <c r="C17" s="114" t="str">
        <f t="shared" ref="C17:C44" si="5">MID(E17,5,2)</f>
        <v>1</v>
      </c>
      <c r="D17" s="495" t="s">
        <v>1</v>
      </c>
      <c r="E17" s="495" t="s">
        <v>700</v>
      </c>
      <c r="F17" s="496" t="str">
        <f>VLOOKUP(E17,'5.2 Actions'!$A$3:$B$720,2,0)</f>
        <v>Amélioration de la berge et l’aménagement d’une annexe hydraulique abritée (frayère) à hauteur du site d’Aquiris (action C12_2 Belini) – Etude (*)</v>
      </c>
      <c r="G17" s="496" t="str">
        <f>"ACE"&amp;"-"&amp;VLOOKUP(D17,'6. Mesures_ Budget_ Maximaliste'!$A$4:$C$32,3,0)</f>
        <v>ACE-PP</v>
      </c>
      <c r="H17" s="496" t="str">
        <f>VLOOKUP(E17,'5.2 Actions'!$A$3:$D$720,4,0)</f>
        <v>SEN</v>
      </c>
      <c r="I17" s="497">
        <v>80000</v>
      </c>
    </row>
    <row r="18" spans="1:9" hidden="1" outlineLevel="2" x14ac:dyDescent="0.25">
      <c r="A18" s="114" t="str">
        <f t="shared" si="3"/>
        <v>1</v>
      </c>
      <c r="B18" s="114" t="str">
        <f t="shared" si="4"/>
        <v>2</v>
      </c>
      <c r="C18" s="114" t="str">
        <f t="shared" si="5"/>
        <v>2</v>
      </c>
      <c r="D18" s="495" t="s">
        <v>1</v>
      </c>
      <c r="E18" s="495" t="s">
        <v>711</v>
      </c>
      <c r="F18" s="496" t="str">
        <f>VLOOKUP(E18,'5.2 Actions'!$A$3:$B$720,2,0)</f>
        <v>Aménager la berge et une annexe hydraulique abritée (frayère) à hauteur d’Aquiris (action C12_2 Belini) – Travaux (*)</v>
      </c>
      <c r="G18" s="496" t="str">
        <f>"ACE"&amp;"-"&amp;VLOOKUP(D18,'6. Mesures_ Budget_ Maximaliste'!$A$4:$C$32,3,0)</f>
        <v>ACE-PP</v>
      </c>
      <c r="H18" s="496" t="str">
        <f>VLOOKUP(E18,'5.2 Actions'!$A$3:$D$720,4,0)</f>
        <v>SEN</v>
      </c>
      <c r="I18" s="497">
        <v>1500000</v>
      </c>
    </row>
    <row r="19" spans="1:9" hidden="1" outlineLevel="2" x14ac:dyDescent="0.25">
      <c r="A19" s="114" t="str">
        <f t="shared" si="3"/>
        <v>1</v>
      </c>
      <c r="B19" s="114" t="str">
        <f t="shared" si="4"/>
        <v>2</v>
      </c>
      <c r="C19" s="114" t="str">
        <f t="shared" si="5"/>
        <v>3</v>
      </c>
      <c r="D19" s="495" t="s">
        <v>1</v>
      </c>
      <c r="E19" s="495" t="s">
        <v>721</v>
      </c>
      <c r="F19" s="496" t="str">
        <f>VLOOKUP(E19,'5.2 Actions'!$A$3:$B$720,2,0)</f>
        <v>Aménager un lit et des berges naturelles en rives gauche et droite au niveau de l’Avenue de Vilvorde (action C13_4 Belini) - Travaux</v>
      </c>
      <c r="G19" s="496" t="str">
        <f>"ACE"&amp;"-"&amp;VLOOKUP(D19,'6. Mesures_ Budget_ Maximaliste'!$A$4:$C$32,3,0)</f>
        <v>ACE-PP</v>
      </c>
      <c r="H19" s="496" t="str">
        <f>VLOOKUP(E19,'5.2 Actions'!$A$3:$D$720,4,0)</f>
        <v>SEN</v>
      </c>
      <c r="I19" s="497">
        <v>2500000</v>
      </c>
    </row>
    <row r="20" spans="1:9" ht="30" hidden="1" outlineLevel="2" x14ac:dyDescent="0.25">
      <c r="A20" s="114" t="str">
        <f t="shared" si="3"/>
        <v>1</v>
      </c>
      <c r="B20" s="114" t="str">
        <f t="shared" si="4"/>
        <v>2</v>
      </c>
      <c r="C20" s="114" t="str">
        <f t="shared" si="5"/>
        <v>4</v>
      </c>
      <c r="D20" s="495" t="s">
        <v>1</v>
      </c>
      <c r="E20" s="495" t="s">
        <v>722</v>
      </c>
      <c r="F20" s="496" t="str">
        <f>VLOOKUP(E20,'5.2 Actions'!$A$3:$B$720,2,0)</f>
        <v>Poursuivre l’aménagement de berges et lit naturels et d’un bras mort à hauteur de la Rue du Charroi (île Sainte Hélène, en aval du Boulevard Paepsem) – Etude (cf. aussi M 6.6) (*)</v>
      </c>
      <c r="G20" s="496" t="str">
        <f>"ACE"&amp;"-"&amp;VLOOKUP(D20,'6. Mesures_ Budget_ Maximaliste'!$A$4:$C$32,3,0)</f>
        <v>ACE-PP</v>
      </c>
      <c r="H20" s="496" t="str">
        <f>VLOOKUP(E20,'5.2 Actions'!$A$3:$D$720,4,0)</f>
        <v>SEN</v>
      </c>
      <c r="I20" s="497">
        <v>90000</v>
      </c>
    </row>
    <row r="21" spans="1:9" ht="30" hidden="1" outlineLevel="2" x14ac:dyDescent="0.25">
      <c r="A21" s="114" t="str">
        <f t="shared" si="3"/>
        <v>1</v>
      </c>
      <c r="B21" s="114" t="str">
        <f t="shared" si="4"/>
        <v>2</v>
      </c>
      <c r="C21" s="114" t="str">
        <f t="shared" si="5"/>
        <v>5</v>
      </c>
      <c r="D21" s="495" t="s">
        <v>1</v>
      </c>
      <c r="E21" s="495" t="s">
        <v>723</v>
      </c>
      <c r="F21" s="496" t="str">
        <f>VLOOKUP(E21,'5.2 Actions'!$A$3:$B$720,2,0)</f>
        <v>Poursuivre l’aménagement de berges et lit naturels et d’un bras mort à hauteur de la Rue du Charroi (île Sainte Hélène, en aval du Boulevard Paepsem) – Travaux (également sur Mesure 6.6)</v>
      </c>
      <c r="G21" s="496" t="str">
        <f>"ACE"&amp;"-"&amp;VLOOKUP(D21,'6. Mesures_ Budget_ Maximaliste'!$A$4:$C$32,3,0)</f>
        <v>ACE-PP</v>
      </c>
      <c r="H21" s="496" t="str">
        <f>VLOOKUP(E21,'5.2 Actions'!$A$3:$D$720,4,0)</f>
        <v>SEN</v>
      </c>
      <c r="I21" s="497">
        <v>550000</v>
      </c>
    </row>
    <row r="22" spans="1:9" hidden="1" outlineLevel="2" x14ac:dyDescent="0.25">
      <c r="A22" s="114" t="str">
        <f t="shared" si="3"/>
        <v>1</v>
      </c>
      <c r="B22" s="114" t="str">
        <f t="shared" si="4"/>
        <v>2</v>
      </c>
      <c r="C22" s="114" t="str">
        <f t="shared" si="5"/>
        <v>6</v>
      </c>
      <c r="D22" s="495" t="s">
        <v>1</v>
      </c>
      <c r="E22" s="495" t="s">
        <v>724</v>
      </c>
      <c r="F22" s="496" t="str">
        <f>VLOOKUP(E22,'5.2 Actions'!$A$3:$B$720,2,0)</f>
        <v>Aménager des berges naturelles entre la Dérivation d’Aa et la Rue Bollinckx – Etude (voir également fiche M6.6)</v>
      </c>
      <c r="G22" s="496" t="str">
        <f>"ACE"&amp;"-"&amp;VLOOKUP(D22,'6. Mesures_ Budget_ Maximaliste'!$A$4:$C$32,3,0)</f>
        <v>ACE-PP</v>
      </c>
      <c r="H22" s="496" t="str">
        <f>VLOOKUP(E22,'5.2 Actions'!$A$3:$D$720,4,0)</f>
        <v>SEN</v>
      </c>
      <c r="I22" s="497">
        <v>150000</v>
      </c>
    </row>
    <row r="23" spans="1:9" hidden="1" outlineLevel="2" x14ac:dyDescent="0.25">
      <c r="A23" s="114" t="str">
        <f t="shared" si="3"/>
        <v>1</v>
      </c>
      <c r="B23" s="114" t="str">
        <f t="shared" si="4"/>
        <v>2</v>
      </c>
      <c r="C23" s="114" t="str">
        <f t="shared" si="5"/>
        <v>7</v>
      </c>
      <c r="D23" s="495" t="s">
        <v>1</v>
      </c>
      <c r="E23" s="495" t="s">
        <v>725</v>
      </c>
      <c r="F23" s="496" t="str">
        <f>VLOOKUP(E23,'5.2 Actions'!$A$3:$B$720,2,0)</f>
        <v>Aménager des berges naturelles entre la Dérivation d’Aa et la Rue Bollinckx – Travaux (voir également fiche M6.6)</v>
      </c>
      <c r="G23" s="496" t="str">
        <f>"ACE"&amp;"-"&amp;VLOOKUP(D23,'6. Mesures_ Budget_ Maximaliste'!$A$4:$C$32,3,0)</f>
        <v>ACE-PP</v>
      </c>
      <c r="H23" s="496" t="str">
        <f>VLOOKUP(E23,'5.2 Actions'!$A$3:$D$720,4,0)</f>
        <v>SEN</v>
      </c>
      <c r="I23" s="497">
        <v>600000</v>
      </c>
    </row>
    <row r="24" spans="1:9" hidden="1" outlineLevel="2" x14ac:dyDescent="0.25">
      <c r="A24" s="114" t="str">
        <f t="shared" si="3"/>
        <v>1</v>
      </c>
      <c r="B24" s="114" t="str">
        <f t="shared" si="4"/>
        <v>2</v>
      </c>
      <c r="C24" s="114" t="str">
        <f t="shared" si="5"/>
        <v>8</v>
      </c>
      <c r="D24" s="495" t="s">
        <v>1</v>
      </c>
      <c r="E24" s="495" t="s">
        <v>726</v>
      </c>
      <c r="F24" s="496" t="str">
        <f>VLOOKUP(E24,'5.2 Actions'!$A$3:$B$720,2,0)</f>
        <v>Aménager des berges naturelles et d’une promenade entre la Rue du Charroi et la Rue des Vétérinaires – Etude (voir également fiche M6.6)</v>
      </c>
      <c r="G24" s="496" t="str">
        <f>"ACE"&amp;"-"&amp;VLOOKUP(D24,'6. Mesures_ Budget_ Maximaliste'!$A$4:$C$32,3,0)</f>
        <v>ACE-PP</v>
      </c>
      <c r="H24" s="496" t="str">
        <f>VLOOKUP(E24,'5.2 Actions'!$A$3:$D$720,4,0)</f>
        <v>SEN</v>
      </c>
      <c r="I24" s="497">
        <v>150000</v>
      </c>
    </row>
    <row r="25" spans="1:9" ht="30" hidden="1" outlineLevel="2" x14ac:dyDescent="0.25">
      <c r="A25" s="114" t="str">
        <f t="shared" si="3"/>
        <v>1</v>
      </c>
      <c r="B25" s="114" t="str">
        <f t="shared" si="4"/>
        <v>2</v>
      </c>
      <c r="C25" s="114" t="str">
        <f t="shared" si="5"/>
        <v>9</v>
      </c>
      <c r="D25" s="495" t="s">
        <v>1</v>
      </c>
      <c r="E25" s="495" t="s">
        <v>727</v>
      </c>
      <c r="F25" s="496" t="str">
        <f>VLOOKUP(E25,'5.2 Actions'!$A$3:$B$720,2,0)</f>
        <v>Améliorer l’hydromorphologie de la Senne entre la Rue du Rupel (aval du Pont Van Praet) et la Rampe du Lion (état actuel : berges bétonnées au niveau d’Elia, voire également le lit) - Etude</v>
      </c>
      <c r="G25" s="496" t="str">
        <f>"ACE"&amp;"-"&amp;VLOOKUP(D25,'6. Mesures_ Budget_ Maximaliste'!$A$4:$C$32,3,0)</f>
        <v>ACE-PP</v>
      </c>
      <c r="H25" s="496" t="str">
        <f>VLOOKUP(E25,'5.2 Actions'!$A$3:$D$720,4,0)</f>
        <v>SEN</v>
      </c>
      <c r="I25" s="497">
        <v>50000</v>
      </c>
    </row>
    <row r="26" spans="1:9" ht="30" hidden="1" outlineLevel="2" x14ac:dyDescent="0.25">
      <c r="A26" s="114" t="str">
        <f t="shared" si="3"/>
        <v>1</v>
      </c>
      <c r="B26" s="114" t="str">
        <f t="shared" si="4"/>
        <v>2</v>
      </c>
      <c r="C26" s="114" t="str">
        <f t="shared" si="5"/>
        <v>10</v>
      </c>
      <c r="D26" s="495" t="s">
        <v>1</v>
      </c>
      <c r="E26" s="495" t="s">
        <v>701</v>
      </c>
      <c r="F26" s="496" t="str">
        <f>VLOOKUP(E26,'5.2 Actions'!$A$3:$B$720,2,0)</f>
        <v>Améliorer l’hydromorphologie de la Senne entre la Rue du Rupel (aval du Pont Van Praet) et la Rampe du Lion (état actuel : berges bétonnées au niveau d’Elia, voire également le lit) - Travaux</v>
      </c>
      <c r="G26" s="496" t="str">
        <f>"ACE"&amp;"-"&amp;VLOOKUP(D26,'6. Mesures_ Budget_ Maximaliste'!$A$4:$C$32,3,0)</f>
        <v>ACE-PP</v>
      </c>
      <c r="H26" s="496" t="str">
        <f>VLOOKUP(E26,'5.2 Actions'!$A$3:$D$720,4,0)</f>
        <v>SEN</v>
      </c>
      <c r="I26" s="497">
        <v>0</v>
      </c>
    </row>
    <row r="27" spans="1:9" hidden="1" outlineLevel="2" x14ac:dyDescent="0.25">
      <c r="A27" s="114" t="str">
        <f t="shared" si="3"/>
        <v>1</v>
      </c>
      <c r="B27" s="114" t="str">
        <f t="shared" si="4"/>
        <v>2</v>
      </c>
      <c r="C27" s="114" t="str">
        <f t="shared" si="5"/>
        <v>11</v>
      </c>
      <c r="D27" s="495" t="s">
        <v>1</v>
      </c>
      <c r="E27" s="495" t="s">
        <v>702</v>
      </c>
      <c r="F27" s="496" t="str">
        <f>VLOOKUP(E27,'5.2 Actions'!$A$3:$B$720,2,0)</f>
        <v>Aménager les berges et lit naturels entre la Chaussée de Buda et la sortie de la région, tenant compte du curage prévu de ce tronçon - Etude</v>
      </c>
      <c r="G27" s="496" t="str">
        <f>"ACE"&amp;"-"&amp;VLOOKUP(D27,'6. Mesures_ Budget_ Maximaliste'!$A$4:$C$32,3,0)</f>
        <v>ACE-PP</v>
      </c>
      <c r="H27" s="496" t="str">
        <f>VLOOKUP(E27,'5.2 Actions'!$A$3:$D$720,4,0)</f>
        <v>SEN</v>
      </c>
      <c r="I27" s="497">
        <v>0</v>
      </c>
    </row>
    <row r="28" spans="1:9" hidden="1" outlineLevel="2" x14ac:dyDescent="0.25">
      <c r="A28" s="114" t="str">
        <f t="shared" si="3"/>
        <v>1</v>
      </c>
      <c r="B28" s="114" t="str">
        <f t="shared" si="4"/>
        <v>2</v>
      </c>
      <c r="C28" s="114" t="str">
        <f t="shared" si="5"/>
        <v>12</v>
      </c>
      <c r="D28" s="495" t="s">
        <v>1</v>
      </c>
      <c r="E28" s="495" t="s">
        <v>703</v>
      </c>
      <c r="F28" s="496" t="str">
        <f>VLOOKUP(E28,'5.2 Actions'!$A$3:$B$720,2,0)</f>
        <v>Aménager les berges et lit naturels entre la Chaussée de Buda et la sortie de la région, tenant compte du curage de ce tronçon - Travaux</v>
      </c>
      <c r="G28" s="496" t="str">
        <f>"ACE"&amp;"-"&amp;VLOOKUP(D28,'6. Mesures_ Budget_ Maximaliste'!$A$4:$C$32,3,0)</f>
        <v>ACE-PP</v>
      </c>
      <c r="H28" s="496" t="str">
        <f>VLOOKUP(E28,'5.2 Actions'!$A$3:$D$720,4,0)</f>
        <v>SEN</v>
      </c>
      <c r="I28" s="497">
        <v>0</v>
      </c>
    </row>
    <row r="29" spans="1:9" hidden="1" outlineLevel="2" x14ac:dyDescent="0.25">
      <c r="A29" s="114" t="str">
        <f t="shared" si="3"/>
        <v>1</v>
      </c>
      <c r="B29" s="114" t="str">
        <f t="shared" si="4"/>
        <v>2</v>
      </c>
      <c r="C29" s="114" t="str">
        <f t="shared" si="5"/>
        <v>13</v>
      </c>
      <c r="D29" s="495" t="s">
        <v>1</v>
      </c>
      <c r="E29" s="495" t="s">
        <v>704</v>
      </c>
      <c r="F29" s="496" t="str">
        <f>VLOOKUP(E29,'5.2 Actions'!$A$3:$B$720,2,0)</f>
        <v>Aménager de berges naturelles entre la Rue de la Bienvenue et le Boulevard International - Etude</v>
      </c>
      <c r="G29" s="496" t="str">
        <f>"ACE"&amp;"-"&amp;VLOOKUP(D29,'6. Mesures_ Budget_ Maximaliste'!$A$4:$C$32,3,0)</f>
        <v>ACE-PP</v>
      </c>
      <c r="H29" s="496" t="str">
        <f>VLOOKUP(E29,'5.2 Actions'!$A$3:$D$720,4,0)</f>
        <v>SEN</v>
      </c>
      <c r="I29" s="497">
        <v>0</v>
      </c>
    </row>
    <row r="30" spans="1:9" hidden="1" outlineLevel="2" x14ac:dyDescent="0.25">
      <c r="A30" s="114" t="str">
        <f t="shared" si="3"/>
        <v>1</v>
      </c>
      <c r="B30" s="114" t="str">
        <f t="shared" si="4"/>
        <v>2</v>
      </c>
      <c r="C30" s="114" t="str">
        <f t="shared" si="5"/>
        <v>14</v>
      </c>
      <c r="D30" s="495" t="s">
        <v>1</v>
      </c>
      <c r="E30" s="495" t="s">
        <v>705</v>
      </c>
      <c r="F30" s="496" t="str">
        <f>VLOOKUP(E30,'5.2 Actions'!$A$3:$B$720,2,0)</f>
        <v>Travaux pour aménager une zone humide le long de la Woluwe au niveau de l’étang rond, Parc de la Woluwe – Etude</v>
      </c>
      <c r="G30" s="496" t="str">
        <f>"ACE"&amp;"-"&amp;VLOOKUP(D30,'6. Mesures_ Budget_ Maximaliste'!$A$4:$C$32,3,0)</f>
        <v>ACE-PP</v>
      </c>
      <c r="H30" s="496" t="str">
        <f>VLOOKUP(E30,'5.2 Actions'!$A$3:$D$720,4,0)</f>
        <v>WOL</v>
      </c>
      <c r="I30" s="497">
        <v>90000</v>
      </c>
    </row>
    <row r="31" spans="1:9" hidden="1" outlineLevel="2" x14ac:dyDescent="0.25">
      <c r="A31" s="114" t="str">
        <f t="shared" si="3"/>
        <v>1</v>
      </c>
      <c r="B31" s="114" t="str">
        <f t="shared" si="4"/>
        <v>2</v>
      </c>
      <c r="C31" s="114" t="str">
        <f t="shared" si="5"/>
        <v>15</v>
      </c>
      <c r="D31" s="495" t="s">
        <v>1</v>
      </c>
      <c r="E31" s="495" t="s">
        <v>706</v>
      </c>
      <c r="F31" s="496" t="str">
        <f>VLOOKUP(E31,'5.2 Actions'!$A$3:$B$720,2,0)</f>
        <v>Travaux pour aménager une zone humide le long de la Woluwe au niveau de l’étang rond, Parc de la Woluwe – Travaux</v>
      </c>
      <c r="G31" s="496" t="str">
        <f>"ACE"&amp;"-"&amp;VLOOKUP(D31,'6. Mesures_ Budget_ Maximaliste'!$A$4:$C$32,3,0)</f>
        <v>ACE-PP</v>
      </c>
      <c r="H31" s="496" t="str">
        <f>VLOOKUP(E31,'5.2 Actions'!$A$3:$D$720,4,0)</f>
        <v>WOL</v>
      </c>
      <c r="I31" s="497">
        <v>600000</v>
      </c>
    </row>
    <row r="32" spans="1:9" hidden="1" outlineLevel="2" x14ac:dyDescent="0.25">
      <c r="A32" s="114" t="str">
        <f t="shared" si="3"/>
        <v>1</v>
      </c>
      <c r="B32" s="114" t="str">
        <f t="shared" si="4"/>
        <v>2</v>
      </c>
      <c r="C32" s="114" t="str">
        <f t="shared" si="5"/>
        <v>16</v>
      </c>
      <c r="D32" s="495" t="s">
        <v>1</v>
      </c>
      <c r="E32" s="495" t="s">
        <v>707</v>
      </c>
      <c r="F32" s="496" t="str">
        <f>VLOOKUP(E32,'5.2 Actions'!$A$3:$B$720,2,0)</f>
        <v xml:space="preserve">Réaliser une étude pour l’aménagement de berges naturelles sur la Woluwe entre l’Avenue Debecker et l’Avenue Vandervelde </v>
      </c>
      <c r="G32" s="496" t="str">
        <f>"ACE"&amp;"-"&amp;VLOOKUP(D32,'6. Mesures_ Budget_ Maximaliste'!$A$4:$C$32,3,0)</f>
        <v>ACE-PP</v>
      </c>
      <c r="H32" s="496" t="str">
        <f>VLOOKUP(E32,'5.2 Actions'!$A$3:$D$720,4,0)</f>
        <v>WOL</v>
      </c>
      <c r="I32" s="497">
        <v>0</v>
      </c>
    </row>
    <row r="33" spans="1:9" hidden="1" outlineLevel="2" x14ac:dyDescent="0.25">
      <c r="A33" s="114" t="str">
        <f t="shared" si="3"/>
        <v>1</v>
      </c>
      <c r="B33" s="114" t="str">
        <f t="shared" si="4"/>
        <v>2</v>
      </c>
      <c r="C33" s="114" t="str">
        <f t="shared" si="5"/>
        <v>17</v>
      </c>
      <c r="D33" s="495" t="s">
        <v>1</v>
      </c>
      <c r="E33" s="495" t="s">
        <v>708</v>
      </c>
      <c r="F33" s="496" t="str">
        <f>VLOOKUP(E33,'5.2 Actions'!$A$3:$B$720,2,0)</f>
        <v>Aménager des berges naturelles sur la Woluwe entre l’Avenue Debecker et l’Avenue Vandervelde</v>
      </c>
      <c r="G33" s="496" t="str">
        <f>"ACE"&amp;"-"&amp;VLOOKUP(D33,'6. Mesures_ Budget_ Maximaliste'!$A$4:$C$32,3,0)</f>
        <v>ACE-PP</v>
      </c>
      <c r="H33" s="496" t="str">
        <f>VLOOKUP(E33,'5.2 Actions'!$A$3:$D$720,4,0)</f>
        <v>WOL</v>
      </c>
      <c r="I33" s="497">
        <v>0</v>
      </c>
    </row>
    <row r="34" spans="1:9" ht="30" hidden="1" outlineLevel="2" x14ac:dyDescent="0.25">
      <c r="A34" s="114" t="str">
        <f t="shared" si="3"/>
        <v>1</v>
      </c>
      <c r="B34" s="114" t="str">
        <f t="shared" si="4"/>
        <v>2</v>
      </c>
      <c r="C34" s="114" t="str">
        <f t="shared" si="5"/>
        <v>18</v>
      </c>
      <c r="D34" s="495" t="s">
        <v>1</v>
      </c>
      <c r="E34" s="495" t="s">
        <v>709</v>
      </c>
      <c r="F34" s="496" t="str">
        <f>VLOOKUP(E34,'5.2 Actions'!$A$3:$B$720,2,0)</f>
        <v>Analyser les perspectives d’adoucissement de la pente des berges et d’augmentation de la sinuosité de la Woluwe entre le tronçon Vandervelde et l’Avenue Chapelle-aux-Champs</v>
      </c>
      <c r="G34" s="496" t="str">
        <f>"ACE"&amp;"-"&amp;VLOOKUP(D34,'6. Mesures_ Budget_ Maximaliste'!$A$4:$C$32,3,0)</f>
        <v>ACE-PP</v>
      </c>
      <c r="H34" s="496" t="str">
        <f>VLOOKUP(E34,'5.2 Actions'!$A$3:$D$720,4,0)</f>
        <v>WOL</v>
      </c>
      <c r="I34" s="497">
        <v>0</v>
      </c>
    </row>
    <row r="35" spans="1:9" hidden="1" outlineLevel="2" x14ac:dyDescent="0.25">
      <c r="A35" s="114" t="str">
        <f t="shared" si="3"/>
        <v>1</v>
      </c>
      <c r="B35" s="114" t="str">
        <f t="shared" si="4"/>
        <v>2</v>
      </c>
      <c r="C35" s="114" t="str">
        <f t="shared" si="5"/>
        <v>19</v>
      </c>
      <c r="D35" s="495" t="s">
        <v>1</v>
      </c>
      <c r="E35" s="495" t="s">
        <v>710</v>
      </c>
      <c r="F35" s="496" t="str">
        <f>VLOOKUP(E35,'5.2 Actions'!$A$3:$B$720,2,0)</f>
        <v xml:space="preserve">Analyser les perspectives d’adoucissement de la pente des berges et d’augmentation de la sinuosité de la Woluwe au niveau du domaine de Val Duchesse </v>
      </c>
      <c r="G35" s="496" t="str">
        <f>"ACE"&amp;"-"&amp;VLOOKUP(D35,'6. Mesures_ Budget_ Maximaliste'!$A$4:$C$32,3,0)</f>
        <v>ACE-PP</v>
      </c>
      <c r="H35" s="496" t="str">
        <f>VLOOKUP(E35,'5.2 Actions'!$A$3:$D$720,4,0)</f>
        <v>WOL</v>
      </c>
      <c r="I35" s="497">
        <v>0</v>
      </c>
    </row>
    <row r="36" spans="1:9" hidden="1" outlineLevel="2" x14ac:dyDescent="0.25">
      <c r="A36" s="114" t="str">
        <f t="shared" si="3"/>
        <v>1</v>
      </c>
      <c r="B36" s="114" t="str">
        <f t="shared" si="4"/>
        <v>2</v>
      </c>
      <c r="C36" s="114" t="str">
        <f t="shared" si="5"/>
        <v>20</v>
      </c>
      <c r="D36" s="495" t="s">
        <v>1</v>
      </c>
      <c r="E36" s="495" t="s">
        <v>712</v>
      </c>
      <c r="F36" s="496" t="str">
        <f>VLOOKUP(E36,'5.2 Actions'!$A$3:$B$720,2,0)</f>
        <v>Réaliser une étude de faisabilité pour l’installation d’un dispositif-test d’île flottante/radeaux végétalisés (cf. aussi M 5.21)</v>
      </c>
      <c r="G36" s="496" t="str">
        <f>"ACE"&amp;"-"&amp;VLOOKUP(D36,'6. Mesures_ Budget_ Maximaliste'!$A$4:$C$32,3,0)</f>
        <v>ACE-PP</v>
      </c>
      <c r="H36" s="496" t="str">
        <f>VLOOKUP(E36,'5.2 Actions'!$A$3:$D$720,4,0)</f>
        <v>CAN</v>
      </c>
      <c r="I36" s="497">
        <v>0</v>
      </c>
    </row>
    <row r="37" spans="1:9" hidden="1" outlineLevel="2" x14ac:dyDescent="0.25">
      <c r="A37" s="114" t="str">
        <f t="shared" si="3"/>
        <v>1</v>
      </c>
      <c r="B37" s="114" t="str">
        <f t="shared" si="4"/>
        <v>2</v>
      </c>
      <c r="C37" s="114" t="str">
        <f t="shared" si="5"/>
        <v>21</v>
      </c>
      <c r="D37" s="495" t="s">
        <v>1</v>
      </c>
      <c r="E37" s="495" t="s">
        <v>713</v>
      </c>
      <c r="F37" s="496" t="str">
        <f>VLOOKUP(E37,'5.2 Actions'!$A$3:$B$720,2,0)</f>
        <v>Installer un dispositif-test d’île flottante (en cours à hauteur du BRYC)</v>
      </c>
      <c r="G37" s="496" t="str">
        <f>"ACE"&amp;"-"&amp;VLOOKUP(D37,'6. Mesures_ Budget_ Maximaliste'!$A$4:$C$32,3,0)</f>
        <v>ACE-PP</v>
      </c>
      <c r="H37" s="496" t="str">
        <f>VLOOKUP(E37,'5.2 Actions'!$A$3:$D$720,4,0)</f>
        <v>CAN</v>
      </c>
      <c r="I37" s="497">
        <v>200000</v>
      </c>
    </row>
    <row r="38" spans="1:9" ht="30" hidden="1" outlineLevel="2" x14ac:dyDescent="0.25">
      <c r="A38" s="114" t="str">
        <f t="shared" si="3"/>
        <v>1</v>
      </c>
      <c r="B38" s="114" t="str">
        <f t="shared" si="4"/>
        <v>2</v>
      </c>
      <c r="C38" s="114" t="str">
        <f t="shared" si="5"/>
        <v>22</v>
      </c>
      <c r="D38" s="495" t="s">
        <v>1</v>
      </c>
      <c r="E38" s="495" t="s">
        <v>714</v>
      </c>
      <c r="F38" s="496" t="str">
        <f>VLOOKUP(E38,'5.2 Actions'!$A$3:$B$720,2,0)</f>
        <v>Réaliser une étude de faisabilité pour l’aménagement d’une berge naturelle avec zone de lagunage et éventuelle annexe hydraulique en rive gauche du bassin de batelage</v>
      </c>
      <c r="G38" s="496" t="str">
        <f>"ACE"&amp;"-"&amp;VLOOKUP(D38,'6. Mesures_ Budget_ Maximaliste'!$A$4:$C$32,3,0)</f>
        <v>ACE-PP</v>
      </c>
      <c r="H38" s="496" t="str">
        <f>VLOOKUP(E38,'5.2 Actions'!$A$3:$D$720,4,0)</f>
        <v>CAN</v>
      </c>
      <c r="I38" s="497">
        <v>30000</v>
      </c>
    </row>
    <row r="39" spans="1:9" hidden="1" outlineLevel="2" x14ac:dyDescent="0.25">
      <c r="A39" s="114" t="str">
        <f t="shared" si="3"/>
        <v>1</v>
      </c>
      <c r="B39" s="114" t="str">
        <f t="shared" si="4"/>
        <v>2</v>
      </c>
      <c r="C39" s="114" t="str">
        <f t="shared" si="5"/>
        <v>23</v>
      </c>
      <c r="D39" s="495" t="s">
        <v>1</v>
      </c>
      <c r="E39" s="495" t="s">
        <v>715</v>
      </c>
      <c r="F39" s="496" t="str">
        <f>VLOOKUP(E39,'5.2 Actions'!$A$3:$B$720,2,0)</f>
        <v>Evaluer le résultat et l’expérience acquise avec le dispositif-test d’île flottante pour orienter l’extension de ce type d’aménagements à d’autres zones</v>
      </c>
      <c r="G39" s="496" t="str">
        <f>"ACE"&amp;"-"&amp;VLOOKUP(D39,'6. Mesures_ Budget_ Maximaliste'!$A$4:$C$32,3,0)</f>
        <v>ACE-PP</v>
      </c>
      <c r="H39" s="496" t="str">
        <f>VLOOKUP(E39,'5.2 Actions'!$A$3:$D$720,4,0)</f>
        <v>CAN</v>
      </c>
      <c r="I39" s="497">
        <v>0</v>
      </c>
    </row>
    <row r="40" spans="1:9" ht="30" hidden="1" outlineLevel="2" x14ac:dyDescent="0.25">
      <c r="A40" s="114" t="str">
        <f t="shared" si="3"/>
        <v>1</v>
      </c>
      <c r="B40" s="114" t="str">
        <f t="shared" si="4"/>
        <v>2</v>
      </c>
      <c r="C40" s="114" t="str">
        <f t="shared" si="5"/>
        <v>24</v>
      </c>
      <c r="D40" s="495" t="s">
        <v>1</v>
      </c>
      <c r="E40" s="495" t="s">
        <v>716</v>
      </c>
      <c r="F40" s="496" t="str">
        <f>VLOOKUP(E40,'5.2 Actions'!$A$3:$B$720,2,0)</f>
        <v xml:space="preserve">Installer des aménagements de berges (tels que des îles flottantes) à d’autres endroits, en fonction du résultat et de l’expérience acquise avec le dispositif-test d’île flottante </v>
      </c>
      <c r="G40" s="496" t="str">
        <f>"ACE"&amp;"-"&amp;VLOOKUP(D40,'6. Mesures_ Budget_ Maximaliste'!$A$4:$C$32,3,0)</f>
        <v>ACE-PP</v>
      </c>
      <c r="H40" s="496" t="str">
        <f>VLOOKUP(E40,'5.2 Actions'!$A$3:$D$720,4,0)</f>
        <v>CAN</v>
      </c>
      <c r="I40" s="497">
        <v>835000</v>
      </c>
    </row>
    <row r="41" spans="1:9" ht="30" hidden="1" outlineLevel="2" x14ac:dyDescent="0.25">
      <c r="A41" s="114" t="str">
        <f t="shared" si="3"/>
        <v>1</v>
      </c>
      <c r="B41" s="114" t="str">
        <f t="shared" si="4"/>
        <v>2</v>
      </c>
      <c r="C41" s="114" t="str">
        <f t="shared" si="5"/>
        <v>25</v>
      </c>
      <c r="D41" s="495" t="s">
        <v>1</v>
      </c>
      <c r="E41" s="495" t="s">
        <v>717</v>
      </c>
      <c r="F41" s="496" t="str">
        <f>VLOOKUP(E41,'5.2 Actions'!$A$3:$B$720,2,0)</f>
        <v>Aménager la berge en rive gauche du bassin de batelage en fonction des résultats de l’étude de faisabilité (actuellement envisagé : berge naturelle avec zone de lagunage protégée des remous)</v>
      </c>
      <c r="G41" s="496" t="str">
        <f>"ACE"&amp;"-"&amp;VLOOKUP(D41,'6. Mesures_ Budget_ Maximaliste'!$A$4:$C$32,3,0)</f>
        <v>ACE-PP</v>
      </c>
      <c r="H41" s="496" t="str">
        <f>VLOOKUP(E41,'5.2 Actions'!$A$3:$D$720,4,0)</f>
        <v>CAN</v>
      </c>
      <c r="I41" s="497">
        <v>200000</v>
      </c>
    </row>
    <row r="42" spans="1:9" hidden="1" outlineLevel="2" x14ac:dyDescent="0.25">
      <c r="A42" s="114" t="str">
        <f t="shared" si="3"/>
        <v>1</v>
      </c>
      <c r="B42" s="114" t="str">
        <f t="shared" si="4"/>
        <v>2</v>
      </c>
      <c r="C42" s="114" t="str">
        <f t="shared" si="5"/>
        <v>26</v>
      </c>
      <c r="D42" s="495" t="s">
        <v>1</v>
      </c>
      <c r="E42" s="495" t="s">
        <v>718</v>
      </c>
      <c r="F42" s="496" t="str">
        <f>VLOOKUP(E42,'5.2 Actions'!$A$3:$B$720,2,0)</f>
        <v>Mise en valeur des berges du Zuunbeek dans le cadre de l’aménagement du parc du Zuun - Travaux</v>
      </c>
      <c r="G42" s="496" t="str">
        <f>"ACE"&amp;"-"&amp;VLOOKUP(D42,'6. Mesures_ Budget_ Maximaliste'!$A$4:$C$32,3,0)</f>
        <v>ACE-PP</v>
      </c>
      <c r="H42" s="496" t="str">
        <f>VLOOKUP(E42,'5.2 Actions'!$A$3:$D$720,4,0)</f>
        <v>SEN</v>
      </c>
      <c r="I42" s="497">
        <v>300000</v>
      </c>
    </row>
    <row r="43" spans="1:9" hidden="1" outlineLevel="2" x14ac:dyDescent="0.25">
      <c r="A43" s="114" t="str">
        <f t="shared" si="3"/>
        <v>1</v>
      </c>
      <c r="B43" s="114" t="str">
        <f t="shared" si="4"/>
        <v>2</v>
      </c>
      <c r="C43" s="114" t="str">
        <f t="shared" si="5"/>
        <v>27</v>
      </c>
      <c r="D43" s="495" t="s">
        <v>1</v>
      </c>
      <c r="E43" s="495" t="s">
        <v>719</v>
      </c>
      <c r="F43" s="496" t="str">
        <f>VLOOKUP(E43,'5.2 Actions'!$A$3:$B$720,2,0)</f>
        <v>Aménagement des berges du Molenbeek au niveau du Marais de Jette</v>
      </c>
      <c r="G43" s="496" t="str">
        <f>"ACE"&amp;"-"&amp;VLOOKUP(D43,'6. Mesures_ Budget_ Maximaliste'!$A$4:$C$32,3,0)</f>
        <v>ACE-PP</v>
      </c>
      <c r="H43" s="496" t="str">
        <f>VLOOKUP(E43,'5.2 Actions'!$A$3:$D$720,4,0)</f>
        <v>SEN</v>
      </c>
      <c r="I43" s="497">
        <v>500000</v>
      </c>
    </row>
    <row r="44" spans="1:9" hidden="1" outlineLevel="2" x14ac:dyDescent="0.25">
      <c r="A44" s="114" t="str">
        <f t="shared" si="3"/>
        <v>1</v>
      </c>
      <c r="B44" s="114" t="str">
        <f t="shared" si="4"/>
        <v>2</v>
      </c>
      <c r="C44" s="114" t="str">
        <f t="shared" si="5"/>
        <v>28</v>
      </c>
      <c r="D44" s="495" t="s">
        <v>1</v>
      </c>
      <c r="E44" s="495" t="s">
        <v>720</v>
      </c>
      <c r="F44" s="496" t="str">
        <f>VLOOKUP(E44,'5.2 Actions'!$A$3:$B$720,2,0)</f>
        <v>Création de zone refuge en cas d’étiage du Molenbeek au niveau du Parc Roi Baudouin</v>
      </c>
      <c r="G44" s="496" t="str">
        <f>"ACE"&amp;"-"&amp;VLOOKUP(D44,'6. Mesures_ Budget_ Maximaliste'!$A$4:$C$32,3,0)</f>
        <v>ACE-PP</v>
      </c>
      <c r="H44" s="496" t="str">
        <f>VLOOKUP(E44,'5.2 Actions'!$A$3:$D$720,4,0)</f>
        <v>SEN</v>
      </c>
      <c r="I44" s="497">
        <v>200000</v>
      </c>
    </row>
    <row r="45" spans="1:9" s="494" customFormat="1" hidden="1" outlineLevel="1" collapsed="1" x14ac:dyDescent="0.25">
      <c r="D45" s="500" t="s">
        <v>2</v>
      </c>
      <c r="E45" s="500"/>
      <c r="F45" s="501" t="str">
        <f>VLOOKUP(D45,'1. Mesures'!$A$2:$B$116,2,0)</f>
        <v>Supprimer les obstacles à la libre circulation des poissons</v>
      </c>
      <c r="G45" s="501"/>
      <c r="H45" s="501"/>
      <c r="I45" s="502">
        <f>SUBTOTAL(9,I46:I54)</f>
        <v>0</v>
      </c>
    </row>
    <row r="46" spans="1:9" ht="30" hidden="1" outlineLevel="2" x14ac:dyDescent="0.25">
      <c r="A46" s="114" t="str">
        <f t="shared" ref="A46:A54" si="6">MID(E46,1,1)</f>
        <v>1</v>
      </c>
      <c r="B46" t="str">
        <f t="shared" ref="B46:B54" si="7">MID(E46,3,1)</f>
        <v>3</v>
      </c>
      <c r="C46" s="114" t="str">
        <f t="shared" ref="C46:C54" si="8">MID(E46,5,2)</f>
        <v>1</v>
      </c>
      <c r="D46" s="495" t="s">
        <v>2</v>
      </c>
      <c r="E46" s="495" t="s">
        <v>775</v>
      </c>
      <c r="F46" s="496" t="str">
        <f>VLOOKUP(E46,'5.2 Actions'!$A$3:$B$720,2,0)</f>
        <v>Réaliser une étude de faisabilité pour l’aménagement d’une 1ère série d’obstacles sur la Woluwe (4 obstacles dans partie aval) et la Senne (action C12_1 Belini pour la Senne)</v>
      </c>
      <c r="G46" s="496" t="str">
        <f>"ACE"&amp;"-"&amp;VLOOKUP(D46,'6. Mesures_ Budget_ Maximaliste'!$A$4:$C$32,3,0)</f>
        <v>ACE-PP</v>
      </c>
      <c r="H46" s="496" t="str">
        <f>VLOOKUP(E46,'5.2 Actions'!$A$3:$D$720,4,0)</f>
        <v>WOL</v>
      </c>
      <c r="I46" s="497">
        <v>50000</v>
      </c>
    </row>
    <row r="47" spans="1:9" hidden="1" outlineLevel="2" x14ac:dyDescent="0.25">
      <c r="A47" s="114" t="str">
        <f t="shared" si="6"/>
        <v>1</v>
      </c>
      <c r="B47" t="str">
        <f t="shared" si="7"/>
        <v>3</v>
      </c>
      <c r="C47" s="114" t="str">
        <f t="shared" si="8"/>
        <v>2</v>
      </c>
      <c r="D47" s="495" t="s">
        <v>2</v>
      </c>
      <c r="E47" s="495" t="s">
        <v>776</v>
      </c>
      <c r="F47" s="496" t="str">
        <f>VLOOKUP(E47,'5.2 Actions'!$A$3:$B$720,2,0)</f>
        <v>Mener une étude de projet pour l’aménagement d’une 1ère série de 4 obstacles sur la Woluwe (partie aval) + 1 obstacle sur la Senne</v>
      </c>
      <c r="G47" s="496" t="str">
        <f>"ACE"&amp;"-"&amp;VLOOKUP(D47,'6. Mesures_ Budget_ Maximaliste'!$A$4:$C$32,3,0)</f>
        <v>ACE-PP</v>
      </c>
      <c r="H47" s="496" t="str">
        <f>VLOOKUP(E47,'5.2 Actions'!$A$3:$D$720,4,0)</f>
        <v>WOL</v>
      </c>
      <c r="I47" s="497">
        <v>50000</v>
      </c>
    </row>
    <row r="48" spans="1:9" hidden="1" outlineLevel="2" x14ac:dyDescent="0.25">
      <c r="A48" s="114" t="str">
        <f t="shared" si="6"/>
        <v>1</v>
      </c>
      <c r="B48" t="str">
        <f t="shared" si="7"/>
        <v>3</v>
      </c>
      <c r="C48" s="114" t="str">
        <f t="shared" si="8"/>
        <v>3</v>
      </c>
      <c r="D48" s="495" t="s">
        <v>2</v>
      </c>
      <c r="E48" s="495" t="s">
        <v>777</v>
      </c>
      <c r="F48" s="496" t="str">
        <f>VLOOKUP(E48,'5.2 Actions'!$A$3:$B$720,2,0)</f>
        <v>Travaux d’aménagement de 2 obstacles parmi la 1ère série de 4 sur la Woluwe (partie aval)</v>
      </c>
      <c r="G48" s="496" t="str">
        <f>"ACE"&amp;"-"&amp;VLOOKUP(D48,'6. Mesures_ Budget_ Maximaliste'!$A$4:$C$32,3,0)</f>
        <v>ACE-PP</v>
      </c>
      <c r="H48" s="496" t="str">
        <f>VLOOKUP(E48,'5.2 Actions'!$A$3:$D$720,4,0)</f>
        <v>WOL</v>
      </c>
      <c r="I48" s="497">
        <v>100000</v>
      </c>
    </row>
    <row r="49" spans="1:9" hidden="1" outlineLevel="2" x14ac:dyDescent="0.25">
      <c r="A49" s="114" t="str">
        <f t="shared" si="6"/>
        <v>1</v>
      </c>
      <c r="B49" t="str">
        <f t="shared" si="7"/>
        <v>3</v>
      </c>
      <c r="C49" s="114" t="str">
        <f t="shared" si="8"/>
        <v>4</v>
      </c>
      <c r="D49" s="495" t="s">
        <v>2</v>
      </c>
      <c r="E49" s="495" t="s">
        <v>778</v>
      </c>
      <c r="F49" s="496" t="str">
        <f>VLOOKUP(E49,'5.2 Actions'!$A$3:$B$720,2,0)</f>
        <v>Travaux d’aménagement des 2 derniers obstacles parmi la 1ère série de 4 sur la Woluwe (partie aval)</v>
      </c>
      <c r="G49" s="496" t="str">
        <f>"ACE"&amp;"-"&amp;VLOOKUP(D49,'6. Mesures_ Budget_ Maximaliste'!$A$4:$C$32,3,0)</f>
        <v>ACE-PP</v>
      </c>
      <c r="H49" s="496" t="str">
        <f>VLOOKUP(E49,'5.2 Actions'!$A$3:$D$720,4,0)</f>
        <v>WOL</v>
      </c>
      <c r="I49" s="497">
        <v>0</v>
      </c>
    </row>
    <row r="50" spans="1:9" hidden="1" outlineLevel="2" x14ac:dyDescent="0.25">
      <c r="A50" s="114" t="str">
        <f t="shared" si="6"/>
        <v>1</v>
      </c>
      <c r="B50" t="str">
        <f t="shared" si="7"/>
        <v>3</v>
      </c>
      <c r="C50" s="114" t="str">
        <f t="shared" si="8"/>
        <v>5</v>
      </c>
      <c r="D50" s="495" t="s">
        <v>2</v>
      </c>
      <c r="E50" s="495" t="s">
        <v>779</v>
      </c>
      <c r="F50" s="496" t="str">
        <f>VLOOKUP(E50,'5.2 Actions'!$A$3:$B$720,2,0)</f>
        <v>Travaux d’aménagement de l’obstacle sur la Senne</v>
      </c>
      <c r="G50" s="496" t="str">
        <f>"ACE"&amp;"-"&amp;VLOOKUP(D50,'6. Mesures_ Budget_ Maximaliste'!$A$4:$C$32,3,0)</f>
        <v>ACE-PP</v>
      </c>
      <c r="H50" s="496" t="str">
        <f>VLOOKUP(E50,'5.2 Actions'!$A$3:$D$720,4,0)</f>
        <v>SEN</v>
      </c>
      <c r="I50" s="497">
        <v>250000</v>
      </c>
    </row>
    <row r="51" spans="1:9" hidden="1" outlineLevel="2" x14ac:dyDescent="0.25">
      <c r="A51" s="114" t="str">
        <f t="shared" si="6"/>
        <v>1</v>
      </c>
      <c r="B51" t="str">
        <f t="shared" si="7"/>
        <v>3</v>
      </c>
      <c r="C51" s="114" t="str">
        <f t="shared" si="8"/>
        <v>6</v>
      </c>
      <c r="D51" s="495" t="s">
        <v>2</v>
      </c>
      <c r="E51" s="495" t="s">
        <v>780</v>
      </c>
      <c r="F51" s="496" t="str">
        <f>VLOOKUP(E51,'5.2 Actions'!$A$3:$B$720,2,0)</f>
        <v>Réaliser une étude de faisabilité pour l’aménagement d’une 2ème série de 5 obstacles sur la Woluwe (partie amont)</v>
      </c>
      <c r="G51" s="496" t="str">
        <f>"ACE"&amp;"-"&amp;VLOOKUP(D51,'6. Mesures_ Budget_ Maximaliste'!$A$4:$C$32,3,0)</f>
        <v>ACE-PP</v>
      </c>
      <c r="H51" s="496" t="str">
        <f>VLOOKUP(E51,'5.2 Actions'!$A$3:$D$720,4,0)</f>
        <v>WOL</v>
      </c>
      <c r="I51" s="497">
        <v>0</v>
      </c>
    </row>
    <row r="52" spans="1:9" hidden="1" outlineLevel="2" x14ac:dyDescent="0.25">
      <c r="A52" s="114" t="str">
        <f t="shared" si="6"/>
        <v>1</v>
      </c>
      <c r="B52" t="str">
        <f t="shared" si="7"/>
        <v>3</v>
      </c>
      <c r="C52" s="114" t="str">
        <f t="shared" si="8"/>
        <v>7</v>
      </c>
      <c r="D52" s="495" t="s">
        <v>2</v>
      </c>
      <c r="E52" s="495" t="s">
        <v>781</v>
      </c>
      <c r="F52" s="496" t="str">
        <f>VLOOKUP(E52,'5.2 Actions'!$A$3:$B$720,2,0)</f>
        <v>Réaliser une étude de projet pour l’aménagement d’une 2ème série de 5 obstacles sur la Woluwe (partie amont)</v>
      </c>
      <c r="G52" s="496" t="str">
        <f>"ACE"&amp;"-"&amp;VLOOKUP(D52,'6. Mesures_ Budget_ Maximaliste'!$A$4:$C$32,3,0)</f>
        <v>ACE-PP</v>
      </c>
      <c r="H52" s="496" t="str">
        <f>VLOOKUP(E52,'5.2 Actions'!$A$3:$D$720,4,0)</f>
        <v>WOL</v>
      </c>
      <c r="I52" s="497">
        <v>0</v>
      </c>
    </row>
    <row r="53" spans="1:9" hidden="1" outlineLevel="2" x14ac:dyDescent="0.25">
      <c r="A53" s="114" t="str">
        <f t="shared" si="6"/>
        <v>1</v>
      </c>
      <c r="B53" t="str">
        <f t="shared" si="7"/>
        <v>3</v>
      </c>
      <c r="C53" s="114" t="str">
        <f t="shared" si="8"/>
        <v>8</v>
      </c>
      <c r="D53" s="495" t="s">
        <v>2</v>
      </c>
      <c r="E53" s="495" t="s">
        <v>782</v>
      </c>
      <c r="F53" s="496" t="str">
        <f>VLOOKUP(E53,'5.2 Actions'!$A$3:$B$720,2,0)</f>
        <v>Travaux d’aménagement des 5 obstacles de la 2ème série sur la Woluwe (partie amont)</v>
      </c>
      <c r="G53" s="496" t="str">
        <f>"ACE"&amp;"-"&amp;VLOOKUP(D53,'6. Mesures_ Budget_ Maximaliste'!$A$4:$C$32,3,0)</f>
        <v>ACE-PP</v>
      </c>
      <c r="H53" s="496" t="str">
        <f>VLOOKUP(E53,'5.2 Actions'!$A$3:$D$720,4,0)</f>
        <v>WOL</v>
      </c>
      <c r="I53" s="497">
        <v>0</v>
      </c>
    </row>
    <row r="54" spans="1:9" hidden="1" outlineLevel="2" x14ac:dyDescent="0.25">
      <c r="A54" s="114" t="str">
        <f t="shared" si="6"/>
        <v>1</v>
      </c>
      <c r="B54" t="str">
        <f t="shared" si="7"/>
        <v>3</v>
      </c>
      <c r="C54" s="114" t="str">
        <f t="shared" si="8"/>
        <v>A</v>
      </c>
      <c r="D54" s="495" t="s">
        <v>2</v>
      </c>
      <c r="E54" s="495" t="s">
        <v>783</v>
      </c>
      <c r="F54" s="496" t="str">
        <f>VLOOKUP(E54,'5.2 Actions'!$A$3:$B$720,2,0)</f>
        <v>Aménager les écluses du Canal de passes à poissons</v>
      </c>
      <c r="G54" s="496" t="str">
        <f>"ACE"&amp;"-"&amp;VLOOKUP(D54,'6. Mesures_ Budget_ Maximaliste'!$A$4:$C$32,3,0)</f>
        <v>ACE-PP</v>
      </c>
      <c r="H54" s="496" t="str">
        <f>VLOOKUP(E54,'5.2 Actions'!$A$3:$D$720,4,0)</f>
        <v>CAN</v>
      </c>
      <c r="I54" s="497">
        <v>0</v>
      </c>
    </row>
    <row r="55" spans="1:9" s="494" customFormat="1" ht="28.5" hidden="1" outlineLevel="1" collapsed="1" x14ac:dyDescent="0.25">
      <c r="D55" s="500" t="s">
        <v>3</v>
      </c>
      <c r="E55" s="500"/>
      <c r="F55" s="501" t="str">
        <f>VLOOKUP(D55,'1. Mesures'!$A$2:$B$116,2,0)</f>
        <v>Lutter contre les espèces exotiques envahissantes qui portent atteinte ou présentent un risque pour le bon potentiel écologique des masses d'eau de surface</v>
      </c>
      <c r="G55" s="501"/>
      <c r="H55" s="501"/>
      <c r="I55" s="502">
        <f>SUBTOTAL(9,I56:I69)</f>
        <v>0</v>
      </c>
    </row>
    <row r="56" spans="1:9" ht="165" hidden="1" outlineLevel="2" x14ac:dyDescent="0.25">
      <c r="A56" s="114" t="str">
        <f t="shared" ref="A56:A69" si="9">MID(E56,1,1)</f>
        <v>1</v>
      </c>
      <c r="B56" t="str">
        <f t="shared" ref="B56:B69" si="10">MID(E56,3,1)</f>
        <v>4</v>
      </c>
      <c r="C56" s="114" t="str">
        <f t="shared" ref="C56:C69" si="11">MID(E56,5,2)</f>
        <v>1</v>
      </c>
      <c r="D56" s="495" t="s">
        <v>3</v>
      </c>
      <c r="E56" s="495" t="s">
        <v>784</v>
      </c>
      <c r="F56" s="496" t="str">
        <f>VLOOKUP(E56,'5.2 Actions'!$A$3:$B$720,2,0)</f>
        <v xml:space="preserve">Réaliser un diagnostic global de l’état d’invasion et risque d’invasion des milieux aquatiques et ripariens dans la région :
    -         ²fournir des données de surveillance pour chaque EEE mentionnée dans la section ‘motivation’ :
                   o    Port pour les berges du Canal
                   o    BE Dpt. Eau pour espèces aquatiques et les berges des autres eaux de surface
                   o    BE Serv. Biodiversité pour des données complémentaires, notamment de LIFE RIPARIAS  et                         de Observations.be/Waarnemingen.be
   -       rassembler ces données (BE Serv. Biodiversité)
   -       établir un statut de distribution et stade d’invasion pour chaque EEE (BE Serv. Biodiversité),
   -       identifier les espèces invasives potentielles (ex : capables de s’acclimater à la région et déjà présentes dans des régions proches aux mêmes conditions environnementales) et établir un risque d’invasion) (BE Serv. Biodiversité)
</v>
      </c>
      <c r="G56" s="496" t="str">
        <f>"ACE"&amp;"-"&amp;VLOOKUP(D56,'6. Mesures_ Budget_ Maximaliste'!$A$4:$C$32,3,0)</f>
        <v>ACE-PP</v>
      </c>
      <c r="H56" s="496" t="str">
        <f>VLOOKUP(E56,'5.2 Actions'!$A$3:$D$720,4,0)</f>
        <v>SEN / WOL / CAN</v>
      </c>
      <c r="I56" s="497">
        <v>0</v>
      </c>
    </row>
    <row r="57" spans="1:9" ht="165" hidden="1" outlineLevel="2" x14ac:dyDescent="0.25">
      <c r="A57" s="114" t="str">
        <f t="shared" si="9"/>
        <v>1</v>
      </c>
      <c r="B57" t="str">
        <f t="shared" si="10"/>
        <v>4</v>
      </c>
      <c r="C57" s="114" t="str">
        <f t="shared" si="11"/>
        <v>2</v>
      </c>
      <c r="D57" s="495" t="s">
        <v>3</v>
      </c>
      <c r="E57" s="495" t="s">
        <v>789</v>
      </c>
      <c r="F57" s="496" t="str">
        <f>VLOOKUP(E57,'5.2 Actions'!$A$3:$B$720,2,0)</f>
        <v xml:space="preserve">Élaboration d’une stratégie de gestion des EEE :
- rassembler des informations bibliographiques pour chaque EEE sur les meilleures techniques de prévention, quant à l’introduction et la dispersion, et de gestion (éradication/contrôle/confinement)
- définir des objectifs à atteindre pour chaque espèce,
- établir des protocoles d’intervention (workflows décisionnels) spécifiques par espèce, y compris des réactions rapides (rapid responses) en cas de détection précoce d’une nouvelle EEE ou de détection en dehors d’une zone de confinement, 
- identifier les espèces et zones d’actions prioritaires (tenant compte de l’ampleur de la problématique pour chaque espèce* mais aussi du besoin d’agir à un stade précoce d’invasion) nécessitant des interventions notamment via l’évaluation du rapport risque/bénéfice,
- planifier les interventions en vue des objectifs, 
- diffuser les protocoles d’intervention auprès de professionnels (agents BE - Eau, Port de Bruxelles, BE - espaces verts, Bruxelles Mobilité - entretien…)
</v>
      </c>
      <c r="G57" s="496" t="str">
        <f>"ACE"&amp;"-"&amp;VLOOKUP(D57,'6. Mesures_ Budget_ Maximaliste'!$A$4:$C$32,3,0)</f>
        <v>ACE-PP</v>
      </c>
      <c r="H57" s="496" t="str">
        <f>VLOOKUP(E57,'5.2 Actions'!$A$3:$D$720,4,0)</f>
        <v>SEN / WOL / CAN</v>
      </c>
      <c r="I57" s="497">
        <v>0</v>
      </c>
    </row>
    <row r="58" spans="1:9" ht="150" hidden="1" outlineLevel="2" x14ac:dyDescent="0.25">
      <c r="A58" s="114" t="str">
        <f t="shared" si="9"/>
        <v>1</v>
      </c>
      <c r="B58" t="str">
        <f t="shared" si="10"/>
        <v>4</v>
      </c>
      <c r="C58" s="114" t="str">
        <f t="shared" si="11"/>
        <v>3</v>
      </c>
      <c r="D58" s="495" t="s">
        <v>3</v>
      </c>
      <c r="E58" s="495" t="s">
        <v>790</v>
      </c>
      <c r="F58" s="496" t="str">
        <f>VLOOKUP(E58,'5.2 Actions'!$A$3:$B$720,2,0)</f>
        <v xml:space="preserve">Mise en place d’une stratégie de surveillance des EEE liées à l’eau et de signalement précoce (early warning) de l’apparition de nouvelles espèces
- surveillance des EEE :
   o Port pour les berges du Canal
   o BE Dpt. Eau pour espèces aquatiques et les berges des autres eaux de surface
   o BE Serv. Biodiversité pour des données complémentaires, notamment de RiparIAS et de Observations.be/Waarnemingen.be
- développement/Utilisation d’un outil d’encodage des EEE et de signalement précoce d’une nouvelle EEE sur le territoire bruxellois (notamment via le site observations.be/ waarnemingen.be) (BE Serv. Biodiversité)
- sensibilisation à la reconnaissance et à l’encodage des EEE par des professionnels (agents BE - Eau, Port de Bruxelles, BE - espaces verts…)
- sensibilisation par des campagnes sur une espèce et participation citoyenne à la reconnaissance et encodage des EEE
</v>
      </c>
      <c r="G58" s="496" t="str">
        <f>"ACE"&amp;"-"&amp;VLOOKUP(D58,'6. Mesures_ Budget_ Maximaliste'!$A$4:$C$32,3,0)</f>
        <v>ACE-PP</v>
      </c>
      <c r="H58" s="496" t="str">
        <f>VLOOKUP(E58,'5.2 Actions'!$A$3:$D$720,4,0)</f>
        <v>SEN / WOL / CAN</v>
      </c>
      <c r="I58" s="497">
        <v>0</v>
      </c>
    </row>
    <row r="59" spans="1:9" ht="75" hidden="1" outlineLevel="2" x14ac:dyDescent="0.25">
      <c r="A59" s="114" t="str">
        <f t="shared" si="9"/>
        <v>1</v>
      </c>
      <c r="B59" t="str">
        <f t="shared" si="10"/>
        <v>4</v>
      </c>
      <c r="C59" s="114" t="str">
        <f t="shared" si="11"/>
        <v>4</v>
      </c>
      <c r="D59" s="495" t="s">
        <v>3</v>
      </c>
      <c r="E59" s="495" t="s">
        <v>791</v>
      </c>
      <c r="F59" s="496" t="str">
        <f>VLOOKUP(E59,'5.2 Actions'!$A$3:$B$720,2,0)</f>
        <v xml:space="preserve">Appliquer les techniques de prévention usuelles :
    - respecter des clauses bio-sanitaires spécifiques selon les espèces en présences durant les chantiers (engins de chantier, gestion de terres contaminées, excavées, …), 
    - éviter l’introduction de nouvelles EEE et la propagation des EEE existantes
</v>
      </c>
      <c r="G59" s="496" t="str">
        <f>"ACE"&amp;"-"&amp;VLOOKUP(D59,'6. Mesures_ Budget_ Maximaliste'!$A$4:$C$32,3,0)</f>
        <v>ACE-PP</v>
      </c>
      <c r="H59" s="496" t="str">
        <f>VLOOKUP(E59,'5.2 Actions'!$A$3:$D$720,4,0)</f>
        <v>SEN / WOL / CAN</v>
      </c>
      <c r="I59" s="497">
        <v>0</v>
      </c>
    </row>
    <row r="60" spans="1:9" ht="90" hidden="1" outlineLevel="2" x14ac:dyDescent="0.25">
      <c r="A60" s="114" t="str">
        <f t="shared" si="9"/>
        <v>1</v>
      </c>
      <c r="B60" t="str">
        <f t="shared" si="10"/>
        <v>4</v>
      </c>
      <c r="C60" s="114" t="str">
        <f t="shared" si="11"/>
        <v>5</v>
      </c>
      <c r="D60" s="495" t="s">
        <v>3</v>
      </c>
      <c r="E60" s="495" t="s">
        <v>792</v>
      </c>
      <c r="F60" s="496" t="str">
        <f>VLOOKUP(E60,'5.2 Actions'!$A$3:$B$720,2,0)</f>
        <v xml:space="preserve">Développer et valider des « zones-tests » afin d’expérimenter des techniques nouvelles :
- d’éradication précoce,
- de contrôle (notamment biologique),
- de confinement.
Ex : pièges à écrevisses, plantation de plantes indigènes compétitrices, éco-pâturage
</v>
      </c>
      <c r="G60" s="496" t="str">
        <f>"ACE"&amp;"-"&amp;VLOOKUP(D60,'6. Mesures_ Budget_ Maximaliste'!$A$4:$C$32,3,0)</f>
        <v>ACE-PP</v>
      </c>
      <c r="H60" s="496" t="str">
        <f>VLOOKUP(E60,'5.2 Actions'!$A$3:$D$720,4,0)</f>
        <v>SEN / WOL / CAN</v>
      </c>
      <c r="I60" s="497">
        <v>0</v>
      </c>
    </row>
    <row r="61" spans="1:9" ht="30" hidden="1" outlineLevel="2" x14ac:dyDescent="0.25">
      <c r="A61" s="114" t="str">
        <f t="shared" si="9"/>
        <v>1</v>
      </c>
      <c r="B61" t="str">
        <f t="shared" si="10"/>
        <v>4</v>
      </c>
      <c r="C61" s="114" t="str">
        <f t="shared" si="11"/>
        <v>6</v>
      </c>
      <c r="D61" s="495" t="s">
        <v>3</v>
      </c>
      <c r="E61" s="495" t="s">
        <v>793</v>
      </c>
      <c r="F61" s="496" t="str">
        <f>VLOOKUP(E61,'5.2 Actions'!$A$3:$B$720,2,0)</f>
        <v>Pour les techniques de gestion déjà connues pour être efficaces, poursuivre les opérations de régulation visant à éliminer directement les individus/patches/propagules d’EEE (ex : destruction des œufs de bernaches du Canada et d’ouettes d’Egypte, enlèvement de tortues de Floride)</v>
      </c>
      <c r="G61" s="496" t="str">
        <f>"ACE"&amp;"-"&amp;VLOOKUP(D61,'6. Mesures_ Budget_ Maximaliste'!$A$4:$C$32,3,0)</f>
        <v>ACE-PP</v>
      </c>
      <c r="H61" s="496" t="str">
        <f>VLOOKUP(E61,'5.2 Actions'!$A$3:$D$720,4,0)</f>
        <v>SEN / WOL / CAN</v>
      </c>
      <c r="I61" s="497">
        <v>0</v>
      </c>
    </row>
    <row r="62" spans="1:9" ht="75" hidden="1" outlineLevel="2" x14ac:dyDescent="0.25">
      <c r="A62" s="114" t="str">
        <f t="shared" si="9"/>
        <v>1</v>
      </c>
      <c r="B62" t="str">
        <f t="shared" si="10"/>
        <v>4</v>
      </c>
      <c r="C62" s="114" t="str">
        <f t="shared" si="11"/>
        <v>7</v>
      </c>
      <c r="D62" s="495" t="s">
        <v>3</v>
      </c>
      <c r="E62" s="495" t="s">
        <v>794</v>
      </c>
      <c r="F62" s="496" t="str">
        <f>VLOOKUP(E62,'5.2 Actions'!$A$3:$B$720,2,0)</f>
        <v xml:space="preserve">Coopérer avec les régions flamande et wallonne dans la lutte contre les EEE aquatiques et ripariennes
- comparer les techniques et protocoles d’actions avec ceux utilisés dans les autres régions,
- participer aux échanges et réunions
- suivre l’évolution des invasions en amont et en aval de la région
</v>
      </c>
      <c r="G62" s="496" t="str">
        <f>"ACE"&amp;"-"&amp;VLOOKUP(D62,'6. Mesures_ Budget_ Maximaliste'!$A$4:$C$32,3,0)</f>
        <v>ACE-PP</v>
      </c>
      <c r="H62" s="496" t="str">
        <f>VLOOKUP(E62,'5.2 Actions'!$A$3:$D$720,4,0)</f>
        <v>SEN / WOL / CAN</v>
      </c>
      <c r="I62" s="497">
        <v>0</v>
      </c>
    </row>
    <row r="63" spans="1:9" ht="30" hidden="1" outlineLevel="2" x14ac:dyDescent="0.25">
      <c r="A63" s="114" t="str">
        <f t="shared" si="9"/>
        <v>1</v>
      </c>
      <c r="B63" t="str">
        <f t="shared" si="10"/>
        <v>4</v>
      </c>
      <c r="C63" s="114" t="str">
        <f t="shared" si="11"/>
        <v>8</v>
      </c>
      <c r="D63" s="495" t="s">
        <v>3</v>
      </c>
      <c r="E63" s="495" t="s">
        <v>795</v>
      </c>
      <c r="F63" s="496" t="str">
        <f>VLOOKUP(E63,'5.2 Actions'!$A$3:$B$720,2,0)</f>
        <v>Etendre les mesures de lutte contre les EEE aquatiques sur le territoire de la région en fonction des résultats des zones-tests</v>
      </c>
      <c r="G63" s="496" t="str">
        <f>"ACE"&amp;"-"&amp;VLOOKUP(D63,'6. Mesures_ Budget_ Maximaliste'!$A$4:$C$32,3,0)</f>
        <v>ACE-PP</v>
      </c>
      <c r="H63" s="496" t="str">
        <f>VLOOKUP(E63,'5.2 Actions'!$A$3:$D$720,4,0)</f>
        <v>SEN / WOL / CAN</v>
      </c>
      <c r="I63" s="497">
        <v>165000</v>
      </c>
    </row>
    <row r="64" spans="1:9" ht="45" hidden="1" outlineLevel="2" x14ac:dyDescent="0.25">
      <c r="A64" s="114" t="str">
        <f t="shared" si="9"/>
        <v>1</v>
      </c>
      <c r="B64" t="str">
        <f t="shared" si="10"/>
        <v>4</v>
      </c>
      <c r="C64" s="114" t="str">
        <f t="shared" si="11"/>
        <v>9</v>
      </c>
      <c r="D64" s="495" t="s">
        <v>3</v>
      </c>
      <c r="E64" s="495" t="s">
        <v>796</v>
      </c>
      <c r="F64" s="496" t="str">
        <f>VLOOKUP(E64,'5.2 Actions'!$A$3:$B$720,2,0)</f>
        <v xml:space="preserve">Identifier les structures d’accueil pour les tortues de Floride (et éventuellement d’autres EEE) extraits de l’environnement ou abandonnées par leurs propriétaires pour éviter qu’elles ne causent des dommages dans la nature. L’accueil n’impliquera pas une euthanasie systématique afin de ne pas décourager les dépôts.  </v>
      </c>
      <c r="G64" s="496" t="str">
        <f>"ACE"&amp;"-"&amp;VLOOKUP(D64,'6. Mesures_ Budget_ Maximaliste'!$A$4:$C$32,3,0)</f>
        <v>ACE-PP</v>
      </c>
      <c r="H64" s="496" t="str">
        <f>VLOOKUP(E64,'5.2 Actions'!$A$3:$D$720,4,0)</f>
        <v>SEN / WOL / CAN</v>
      </c>
      <c r="I64" s="497">
        <v>0</v>
      </c>
    </row>
    <row r="65" spans="1:9" ht="30" hidden="1" outlineLevel="2" x14ac:dyDescent="0.25">
      <c r="A65" s="114" t="str">
        <f t="shared" si="9"/>
        <v>1</v>
      </c>
      <c r="B65" t="str">
        <f t="shared" si="10"/>
        <v>4</v>
      </c>
      <c r="C65" s="114" t="str">
        <f t="shared" si="11"/>
        <v>10</v>
      </c>
      <c r="D65" s="495" t="s">
        <v>3</v>
      </c>
      <c r="E65" s="495" t="s">
        <v>785</v>
      </c>
      <c r="F65" s="496" t="str">
        <f>VLOOKUP(E65,'5.2 Actions'!$A$3:$B$720,2,0)</f>
        <v>Porter  auprès des instances compétentes la problématique de la vente des EEE (pépinières, animaleries, etc.) de la liste européenne pour réaliser les contrôles nécessaires à faire appliquer l’interdiction. Sensibiliser les commerces quant à cette interdiction</v>
      </c>
      <c r="G65" s="496" t="str">
        <f>"ACE"&amp;"-"&amp;VLOOKUP(D65,'6. Mesures_ Budget_ Maximaliste'!$A$4:$C$32,3,0)</f>
        <v>ACE-PP</v>
      </c>
      <c r="H65" s="496" t="str">
        <f>VLOOKUP(E65,'5.2 Actions'!$A$3:$D$720,4,0)</f>
        <v>SEN / WOL / CAN</v>
      </c>
      <c r="I65" s="497">
        <v>0</v>
      </c>
    </row>
    <row r="66" spans="1:9" ht="60" hidden="1" outlineLevel="2" x14ac:dyDescent="0.25">
      <c r="A66" s="114" t="str">
        <f t="shared" si="9"/>
        <v>1</v>
      </c>
      <c r="B66" t="str">
        <f t="shared" si="10"/>
        <v>4</v>
      </c>
      <c r="C66" s="114" t="str">
        <f t="shared" si="11"/>
        <v>11</v>
      </c>
      <c r="D66" s="495" t="s">
        <v>3</v>
      </c>
      <c r="E66" s="495" t="s">
        <v>786</v>
      </c>
      <c r="F66" s="496" t="str">
        <f>VLOOKUP(E66,'5.2 Actions'!$A$3:$B$720,2,0)</f>
        <v>Sensibiliser les Bruxellois quant aux impacts des EEE dans l’environnement aquatique et à ce qu’il faut faire s'ils identifient une EEE dans la nature, quant au fait qu’il est interdit de détenir une EEE de la liste européenne et qu’un animal exotique doit rester en captivité en tout temps, quant au fait qu’il faut privilégier de planter à l’extérieur des végétaux indigènes, et quant aux impacts de certains gestes (ex : relâcher une EEE dans la nature, nourrir la faune sauvage) et aux alternatives (centre d’accueil, observer sans nourrir, etc.).</v>
      </c>
      <c r="G66" s="496" t="str">
        <f>"ACE"&amp;"-"&amp;VLOOKUP(D66,'6. Mesures_ Budget_ Maximaliste'!$A$4:$C$32,3,0)</f>
        <v>ACE-PP</v>
      </c>
      <c r="H66" s="496" t="str">
        <f>VLOOKUP(E66,'5.2 Actions'!$A$3:$D$720,4,0)</f>
        <v>SEN / WOL / CAN</v>
      </c>
      <c r="I66" s="497">
        <v>0</v>
      </c>
    </row>
    <row r="67" spans="1:9" ht="45" hidden="1" outlineLevel="2" x14ac:dyDescent="0.25">
      <c r="A67" s="114" t="str">
        <f t="shared" si="9"/>
        <v>1</v>
      </c>
      <c r="B67" t="str">
        <f t="shared" si="10"/>
        <v>4</v>
      </c>
      <c r="C67" s="114" t="str">
        <f t="shared" si="11"/>
        <v>12</v>
      </c>
      <c r="D67" s="495" t="s">
        <v>3</v>
      </c>
      <c r="E67" s="495" t="s">
        <v>787</v>
      </c>
      <c r="F67" s="496" t="str">
        <f>VLOOKUP(E67,'5.2 Actions'!$A$3:$B$720,2,0)</f>
        <v>Sensibiliser les entités publiques susceptibles de faire des plantations (structures régionales, fédérales, communales) aux abords d’eaux de surface à la problématique des EEE, à l’interdiction de planter des EEE de la liste européenne, à éviter également de planter des EEE ne figurant pas sur la liste européenne (si nécessaire en discutant d’alternatives selon le but recherché) et à élaborer des programmes de remplacement/éradication des plantations existantes</v>
      </c>
      <c r="G67" s="496" t="str">
        <f>"ACE"&amp;"-"&amp;VLOOKUP(D67,'6. Mesures_ Budget_ Maximaliste'!$A$4:$C$32,3,0)</f>
        <v>ACE-PP</v>
      </c>
      <c r="H67" s="496" t="str">
        <f>VLOOKUP(E67,'5.2 Actions'!$A$3:$D$720,4,0)</f>
        <v>SEN / WOL / CAN</v>
      </c>
      <c r="I67" s="497">
        <v>0</v>
      </c>
    </row>
    <row r="68" spans="1:9" ht="30" hidden="1" outlineLevel="2" x14ac:dyDescent="0.25">
      <c r="A68" s="114" t="str">
        <f t="shared" si="9"/>
        <v>1</v>
      </c>
      <c r="B68" t="str">
        <f t="shared" si="10"/>
        <v>4</v>
      </c>
      <c r="C68" s="114" t="str">
        <f t="shared" si="11"/>
        <v>13</v>
      </c>
      <c r="D68" s="495" t="s">
        <v>3</v>
      </c>
      <c r="E68" s="495" t="s">
        <v>788</v>
      </c>
      <c r="F68" s="496" t="str">
        <f>VLOOKUP(E68,'5.2 Actions'!$A$3:$B$720,2,0)</f>
        <v xml:space="preserve">Actions de confinement de certaines plantes aquatiques et ripicoles envahissantes dans des zones spécifiques </v>
      </c>
      <c r="G68" s="496" t="str">
        <f>"ACE"&amp;"-"&amp;VLOOKUP(D68,'6. Mesures_ Budget_ Maximaliste'!$A$4:$C$32,3,0)</f>
        <v>ACE-PP</v>
      </c>
      <c r="H68" s="496" t="str">
        <f>VLOOKUP(E68,'5.2 Actions'!$A$3:$D$720,4,0)</f>
        <v>SEN / WOL / CAN</v>
      </c>
      <c r="I68" s="497">
        <v>165000</v>
      </c>
    </row>
    <row r="69" spans="1:9" ht="30" hidden="1" outlineLevel="2" x14ac:dyDescent="0.25">
      <c r="A69" s="114" t="str">
        <f t="shared" si="9"/>
        <v>1</v>
      </c>
      <c r="B69" t="str">
        <f t="shared" si="10"/>
        <v>4</v>
      </c>
      <c r="C69" s="114" t="str">
        <f t="shared" si="11"/>
        <v>A</v>
      </c>
      <c r="D69" s="495" t="s">
        <v>3</v>
      </c>
      <c r="E69" s="495" t="s">
        <v>797</v>
      </c>
      <c r="F69" s="496" t="str">
        <f>VLOOKUP(E69,'5.2 Actions'!$A$3:$B$720,2,0)</f>
        <v>Sensibiliser et contrôler l’interdiction de nourrissage des animaux sauvages (oiseaux, poissons) à proximité des étangs et du Canal, car le nourrissage favorise les espèces invasives (= M 5.22.2)</v>
      </c>
      <c r="G69" s="496" t="str">
        <f>"ACE"&amp;"-"&amp;VLOOKUP(D69,'6. Mesures_ Budget_ Maximaliste'!$A$4:$C$32,3,0)</f>
        <v>ACE-PP</v>
      </c>
      <c r="H69" s="496" t="str">
        <f>VLOOKUP(E69,'5.2 Actions'!$A$3:$D$720,4,0)</f>
        <v>SEN / WOL / CAN</v>
      </c>
      <c r="I69" s="497">
        <v>0</v>
      </c>
    </row>
    <row r="70" spans="1:9" s="494" customFormat="1" hidden="1" outlineLevel="1" collapsed="1" x14ac:dyDescent="0.25">
      <c r="D70" s="500" t="s">
        <v>4</v>
      </c>
      <c r="E70" s="500"/>
      <c r="F70" s="501" t="str">
        <f>VLOOKUP(D70,'1. Mesures'!$A$2:$B$116,2,0)</f>
        <v xml:space="preserve">Inventorier les rejets directs dans une base de données dynamique </v>
      </c>
      <c r="G70" s="501"/>
      <c r="H70" s="501"/>
      <c r="I70" s="502">
        <f>SUBTOTAL(9,I71:I93)</f>
        <v>0</v>
      </c>
    </row>
    <row r="71" spans="1:9" ht="30" hidden="1" outlineLevel="2" x14ac:dyDescent="0.25">
      <c r="A71" s="114" t="str">
        <f t="shared" ref="A71:A93" si="12">MID(E71,1,1)</f>
        <v>1</v>
      </c>
      <c r="B71" t="str">
        <f t="shared" ref="B71:B93" si="13">MID(E71,3,1)</f>
        <v>5</v>
      </c>
      <c r="C71" s="114" t="str">
        <f t="shared" ref="C71:C93" si="14">MID(E71,5,2)</f>
        <v>1</v>
      </c>
      <c r="D71" s="495" t="s">
        <v>4</v>
      </c>
      <c r="E71" s="495" t="s">
        <v>798</v>
      </c>
      <c r="F71" s="496" t="str">
        <f>VLOOKUP(E71,'5.2 Actions'!$A$3:$B$720,2,0)</f>
        <v xml:space="preserve">Définir les informations à récolter par point de rejet et créer un format permettant l’encodage dans la base de données géographique BE des rejets </v>
      </c>
      <c r="G71" s="496" t="str">
        <f>"ACE"&amp;"-"&amp;VLOOKUP(D71,'6. Mesures_ Budget_ Maximaliste'!$A$4:$C$32,3,0)</f>
        <v>ACE-</v>
      </c>
      <c r="H71" s="496" t="str">
        <f>VLOOKUP(E71,'5.2 Actions'!$A$3:$D$720,4,0)</f>
        <v>SEN / WOL / CAN</v>
      </c>
      <c r="I71" s="497">
        <v>0</v>
      </c>
    </row>
    <row r="72" spans="1:9" ht="30" hidden="1" outlineLevel="2" x14ac:dyDescent="0.25">
      <c r="A72" s="114" t="str">
        <f t="shared" si="12"/>
        <v>1</v>
      </c>
      <c r="B72" t="str">
        <f t="shared" si="13"/>
        <v>5</v>
      </c>
      <c r="C72" s="114" t="str">
        <f t="shared" si="14"/>
        <v>2</v>
      </c>
      <c r="D72" s="495" t="s">
        <v>4</v>
      </c>
      <c r="E72" s="495" t="s">
        <v>809</v>
      </c>
      <c r="F72" s="496" t="str">
        <f>VLOOKUP(E72,'5.2 Actions'!$A$3:$B$720,2,0)</f>
        <v>Récupérer les données complémentaires disponibles auprès des opérateurs (chainons manquants, zones non raccordées…)</v>
      </c>
      <c r="G72" s="496" t="str">
        <f>"ACE"&amp;"-"&amp;VLOOKUP(D72,'6. Mesures_ Budget_ Maximaliste'!$A$4:$C$32,3,0)</f>
        <v>ACE-</v>
      </c>
      <c r="H72" s="496" t="str">
        <f>VLOOKUP(E72,'5.2 Actions'!$A$3:$D$720,4,0)</f>
        <v>SEN / WOL / CAN</v>
      </c>
      <c r="I72" s="497">
        <v>0</v>
      </c>
    </row>
    <row r="73" spans="1:9" ht="30" hidden="1" outlineLevel="2" x14ac:dyDescent="0.25">
      <c r="A73" s="114" t="str">
        <f t="shared" si="12"/>
        <v>1</v>
      </c>
      <c r="B73" t="str">
        <f t="shared" si="13"/>
        <v>5</v>
      </c>
      <c r="C73" s="114" t="str">
        <f t="shared" si="14"/>
        <v>3</v>
      </c>
      <c r="D73" s="495" t="s">
        <v>4</v>
      </c>
      <c r="E73" s="495" t="s">
        <v>814</v>
      </c>
      <c r="F73" s="496" t="str">
        <f>VLOOKUP(E73,'5.2 Actions'!$A$3:$B$720,2,0)</f>
        <v xml:space="preserve">Dresser une carte des rejets avec les informations de la base de données </v>
      </c>
      <c r="G73" s="496" t="str">
        <f>"ACE"&amp;"-"&amp;VLOOKUP(D73,'6. Mesures_ Budget_ Maximaliste'!$A$4:$C$32,3,0)</f>
        <v>ACE-</v>
      </c>
      <c r="H73" s="496" t="str">
        <f>VLOOKUP(E73,'5.2 Actions'!$A$3:$D$720,4,0)</f>
        <v>SEN / WOL / CAN</v>
      </c>
      <c r="I73" s="497">
        <v>0</v>
      </c>
    </row>
    <row r="74" spans="1:9" ht="30" hidden="1" outlineLevel="2" x14ac:dyDescent="0.25">
      <c r="A74" s="114" t="str">
        <f t="shared" si="12"/>
        <v>1</v>
      </c>
      <c r="B74" t="str">
        <f t="shared" si="13"/>
        <v>5</v>
      </c>
      <c r="C74" s="114" t="str">
        <f t="shared" si="14"/>
        <v>4</v>
      </c>
      <c r="D74" s="495" t="s">
        <v>4</v>
      </c>
      <c r="E74" s="495" t="s">
        <v>815</v>
      </c>
      <c r="F74" s="496" t="str">
        <f>VLOOKUP(E74,'5.2 Actions'!$A$3:$B$720,2,0)</f>
        <v>Mettre la carte des rejets et les résultats à disposition du Port, de VVQ et de la SBGE</v>
      </c>
      <c r="G74" s="496" t="str">
        <f>"ACE"&amp;"-"&amp;VLOOKUP(D74,'6. Mesures_ Budget_ Maximaliste'!$A$4:$C$32,3,0)</f>
        <v>ACE-</v>
      </c>
      <c r="H74" s="496" t="str">
        <f>VLOOKUP(E74,'5.2 Actions'!$A$3:$D$720,4,0)</f>
        <v>SEN / WOL / CAN</v>
      </c>
      <c r="I74" s="497">
        <v>0</v>
      </c>
    </row>
    <row r="75" spans="1:9" ht="30" hidden="1" outlineLevel="2" x14ac:dyDescent="0.25">
      <c r="A75" s="114" t="str">
        <f t="shared" si="12"/>
        <v>1</v>
      </c>
      <c r="B75" t="str">
        <f t="shared" si="13"/>
        <v>5</v>
      </c>
      <c r="C75" s="114" t="str">
        <f t="shared" si="14"/>
        <v>5</v>
      </c>
      <c r="D75" s="495" t="s">
        <v>4</v>
      </c>
      <c r="E75" s="495" t="s">
        <v>816</v>
      </c>
      <c r="F75" s="496" t="str">
        <f>VLOOKUP(E75,'5.2 Actions'!$A$3:$B$720,2,0)</f>
        <v>Mettre à disposition les données pertinentes (masse d’eau réceptrice, localisation du point de rejet, source/propriétaire, éléments permettant d’estimer la charge et le débit de rejet, traitement d’épuration éventuel) des autorisations de rejet vers les eaux de surface</v>
      </c>
      <c r="G75" s="496" t="str">
        <f>"ACE"&amp;"-"&amp;VLOOKUP(D75,'6. Mesures_ Budget_ Maximaliste'!$A$4:$C$32,3,0)</f>
        <v>ACE-</v>
      </c>
      <c r="H75" s="496" t="str">
        <f>VLOOKUP(E75,'5.2 Actions'!$A$3:$D$720,4,0)</f>
        <v>SEN / WOL / CAN</v>
      </c>
      <c r="I75" s="497">
        <v>0</v>
      </c>
    </row>
    <row r="76" spans="1:9" ht="30" hidden="1" outlineLevel="2" x14ac:dyDescent="0.25">
      <c r="A76" s="114" t="str">
        <f t="shared" si="12"/>
        <v>1</v>
      </c>
      <c r="B76" t="str">
        <f t="shared" si="13"/>
        <v>5</v>
      </c>
      <c r="C76" s="114" t="str">
        <f t="shared" si="14"/>
        <v>6</v>
      </c>
      <c r="D76" s="495" t="s">
        <v>4</v>
      </c>
      <c r="E76" s="495" t="s">
        <v>817</v>
      </c>
      <c r="F76" s="496" t="str">
        <f>VLOOKUP(E76,'5.2 Actions'!$A$3:$B$720,2,0)</f>
        <v>Mener des investigations sur l’origine des rejets non identifiés en remontant les tuyaux</v>
      </c>
      <c r="G76" s="496" t="str">
        <f>"ACE"&amp;"-"&amp;VLOOKUP(D76,'6. Mesures_ Budget_ Maximaliste'!$A$4:$C$32,3,0)</f>
        <v>ACE-</v>
      </c>
      <c r="H76" s="496" t="str">
        <f>VLOOKUP(E76,'5.2 Actions'!$A$3:$D$720,4,0)</f>
        <v>SEN / WOL / CAN</v>
      </c>
      <c r="I76" s="497">
        <v>0</v>
      </c>
    </row>
    <row r="77" spans="1:9" ht="30" hidden="1" outlineLevel="2" x14ac:dyDescent="0.25">
      <c r="A77" s="114" t="str">
        <f t="shared" si="12"/>
        <v>1</v>
      </c>
      <c r="B77" t="str">
        <f t="shared" si="13"/>
        <v>5</v>
      </c>
      <c r="C77" s="114" t="str">
        <f t="shared" si="14"/>
        <v>7</v>
      </c>
      <c r="D77" s="495" t="s">
        <v>4</v>
      </c>
      <c r="E77" s="495" t="s">
        <v>818</v>
      </c>
      <c r="F77" s="496" t="str">
        <f>VLOOKUP(E77,'5.2 Actions'!$A$3:$B$720,2,0)</f>
        <v>Caractériser la qualité d'effluents/rejets quand cela s’avère nécessaire pour déterminer la solution à privilégier pour le traiter</v>
      </c>
      <c r="G77" s="496" t="str">
        <f>"ACE"&amp;"-"&amp;VLOOKUP(D77,'6. Mesures_ Budget_ Maximaliste'!$A$4:$C$32,3,0)</f>
        <v>ACE-</v>
      </c>
      <c r="H77" s="496" t="str">
        <f>VLOOKUP(E77,'5.2 Actions'!$A$3:$D$720,4,0)</f>
        <v>SEN / WOL / CAN</v>
      </c>
      <c r="I77" s="497">
        <v>0</v>
      </c>
    </row>
    <row r="78" spans="1:9" ht="60" hidden="1" outlineLevel="2" x14ac:dyDescent="0.25">
      <c r="A78" s="114" t="str">
        <f t="shared" si="12"/>
        <v>1</v>
      </c>
      <c r="B78" t="str">
        <f t="shared" si="13"/>
        <v>5</v>
      </c>
      <c r="C78" s="114" t="str">
        <f t="shared" si="14"/>
        <v>8</v>
      </c>
      <c r="D78" s="495" t="s">
        <v>4</v>
      </c>
      <c r="E78" s="495" t="s">
        <v>819</v>
      </c>
      <c r="F78" s="496" t="str">
        <f>VLOOKUP(E78,'5.2 Actions'!$A$3:$B$720,2,0)</f>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
      <c r="G78" s="496" t="str">
        <f>"ACE"&amp;"-"&amp;VLOOKUP(D78,'6. Mesures_ Budget_ Maximaliste'!$A$4:$C$32,3,0)</f>
        <v>ACE-</v>
      </c>
      <c r="H78" s="496" t="str">
        <f>VLOOKUP(E78,'5.2 Actions'!$A$3:$D$720,4,0)</f>
        <v>SEN / WOL / CAN</v>
      </c>
      <c r="I78" s="497">
        <v>0</v>
      </c>
    </row>
    <row r="79" spans="1:9" ht="45" hidden="1" outlineLevel="2" x14ac:dyDescent="0.25">
      <c r="A79" s="114" t="str">
        <f t="shared" si="12"/>
        <v>1</v>
      </c>
      <c r="B79" t="str">
        <f t="shared" si="13"/>
        <v>5</v>
      </c>
      <c r="C79" s="114" t="str">
        <f t="shared" si="14"/>
        <v>9</v>
      </c>
      <c r="D79" s="495" t="s">
        <v>4</v>
      </c>
      <c r="E79" s="495" t="s">
        <v>820</v>
      </c>
      <c r="F79" s="496" t="str">
        <f>VLOOKUP(E79,'5.2 Actions'!$A$3:$B$720,2,0)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
      <c r="G79" s="496" t="str">
        <f>"ACE"&amp;"-"&amp;VLOOKUP(D79,'6. Mesures_ Budget_ Maximaliste'!$A$4:$C$32,3,0)</f>
        <v>ACE-</v>
      </c>
      <c r="H79" s="496" t="str">
        <f>VLOOKUP(E79,'5.2 Actions'!$A$3:$D$720,4,0)</f>
        <v>SEN</v>
      </c>
      <c r="I79" s="497">
        <v>25000</v>
      </c>
    </row>
    <row r="80" spans="1:9" ht="30" hidden="1" outlineLevel="2" x14ac:dyDescent="0.25">
      <c r="A80" s="114" t="str">
        <f t="shared" si="12"/>
        <v>1</v>
      </c>
      <c r="B80" t="str">
        <f t="shared" si="13"/>
        <v>5</v>
      </c>
      <c r="C80" s="114" t="str">
        <f t="shared" si="14"/>
        <v>10</v>
      </c>
      <c r="D80" s="495" t="s">
        <v>4</v>
      </c>
      <c r="E80" s="495" t="s">
        <v>799</v>
      </c>
      <c r="F80" s="496" t="str">
        <f>VLOOKUP(E80,'5.2 Actions'!$A$3:$B$720,2,0)</f>
        <v xml:space="preserve">Compiler les données relatives au réseau d’écoulement des parcelles privées du domaine portuaire et les fournir à BE afin qu’elles soient intégrées dans la base de données BE des rejets </v>
      </c>
      <c r="G80" s="496" t="str">
        <f>"ACE"&amp;"-"&amp;VLOOKUP(D80,'6. Mesures_ Budget_ Maximaliste'!$A$4:$C$32,3,0)</f>
        <v>ACE-</v>
      </c>
      <c r="H80" s="496" t="str">
        <f>VLOOKUP(E80,'5.2 Actions'!$A$3:$D$720,4,0)</f>
        <v>SEN</v>
      </c>
      <c r="I80" s="497">
        <v>0</v>
      </c>
    </row>
    <row r="81" spans="1:9" hidden="1" outlineLevel="2" x14ac:dyDescent="0.25">
      <c r="A81" s="114" t="str">
        <f t="shared" si="12"/>
        <v>1</v>
      </c>
      <c r="B81" t="str">
        <f t="shared" si="13"/>
        <v>5</v>
      </c>
      <c r="C81" s="114" t="str">
        <f t="shared" si="14"/>
        <v>11</v>
      </c>
      <c r="D81" s="495" t="s">
        <v>4</v>
      </c>
      <c r="E81" s="495" t="s">
        <v>800</v>
      </c>
      <c r="F81" s="496" t="str">
        <f>VLOOKUP(E81,'5.2 Actions'!$A$3:$B$720,2,0)</f>
        <v>Étudier la possibilité de caractériser un point noir (débit, charge EH, sources potentielles, photos…)</v>
      </c>
      <c r="G81" s="496" t="str">
        <f>"ACE"&amp;"-"&amp;VLOOKUP(D81,'6. Mesures_ Budget_ Maximaliste'!$A$4:$C$32,3,0)</f>
        <v>ACE-</v>
      </c>
      <c r="H81" s="496" t="str">
        <f>VLOOKUP(E81,'5.2 Actions'!$A$3:$D$720,4,0)</f>
        <v>SEN</v>
      </c>
      <c r="I81" s="497">
        <v>0</v>
      </c>
    </row>
    <row r="82" spans="1:9" ht="30" hidden="1" outlineLevel="2" x14ac:dyDescent="0.25">
      <c r="A82" s="114" t="str">
        <f t="shared" si="12"/>
        <v>1</v>
      </c>
      <c r="B82" t="str">
        <f t="shared" si="13"/>
        <v>5</v>
      </c>
      <c r="C82" s="114" t="str">
        <f t="shared" si="14"/>
        <v>12</v>
      </c>
      <c r="D82" s="495" t="s">
        <v>4</v>
      </c>
      <c r="E82" s="495" t="s">
        <v>801</v>
      </c>
      <c r="F82" s="496" t="str">
        <f>VLOOKUP(E82,'5.2 Actions'!$A$3:$B$720,2,0)</f>
        <v>Mise à jour du relevé sur terrain des rejets vers la Senne, notamment en s’aidant des connaissances déjà disponibles, et les compiler dans la base de données BE des rejets</v>
      </c>
      <c r="G82" s="496" t="str">
        <f>"ACE"&amp;"-"&amp;VLOOKUP(D82,'6. Mesures_ Budget_ Maximaliste'!$A$4:$C$32,3,0)</f>
        <v>ACE-</v>
      </c>
      <c r="H82" s="496" t="str">
        <f>VLOOKUP(E82,'5.2 Actions'!$A$3:$D$720,4,0)</f>
        <v>SEN</v>
      </c>
      <c r="I82" s="497">
        <v>0</v>
      </c>
    </row>
    <row r="83" spans="1:9" ht="30" hidden="1" outlineLevel="2" x14ac:dyDescent="0.25">
      <c r="A83" s="114" t="str">
        <f t="shared" si="12"/>
        <v>1</v>
      </c>
      <c r="B83" t="str">
        <f t="shared" si="13"/>
        <v>5</v>
      </c>
      <c r="C83" s="114" t="str">
        <f t="shared" si="14"/>
        <v>13</v>
      </c>
      <c r="D83" s="495" t="s">
        <v>4</v>
      </c>
      <c r="E83" s="495" t="s">
        <v>802</v>
      </c>
      <c r="F83" s="496" t="str">
        <f>VLOOKUP(E83,'5.2 Actions'!$A$3:$B$720,2,0)</f>
        <v>Faire un relevé sur terrain des rejets vers le Hollebeek, notamment en s’aidant des connaissances déjà disponibles, et les compiler dans la base de données BE des rejets</v>
      </c>
      <c r="G83" s="496" t="str">
        <f>"ACE"&amp;"-"&amp;VLOOKUP(D83,'6. Mesures_ Budget_ Maximaliste'!$A$4:$C$32,3,0)</f>
        <v>ACE-</v>
      </c>
      <c r="H83" s="496" t="str">
        <f>VLOOKUP(E83,'5.2 Actions'!$A$3:$D$720,4,0)</f>
        <v>SEN</v>
      </c>
      <c r="I83" s="497">
        <v>0</v>
      </c>
    </row>
    <row r="84" spans="1:9" ht="30" hidden="1" outlineLevel="2" x14ac:dyDescent="0.25">
      <c r="A84" s="114" t="str">
        <f t="shared" si="12"/>
        <v>1</v>
      </c>
      <c r="B84" t="str">
        <f t="shared" si="13"/>
        <v>5</v>
      </c>
      <c r="C84" s="114" t="str">
        <f t="shared" si="14"/>
        <v>14</v>
      </c>
      <c r="D84" s="495" t="s">
        <v>4</v>
      </c>
      <c r="E84" s="495" t="s">
        <v>803</v>
      </c>
      <c r="F84" s="496" t="str">
        <f>VLOOKUP(E84,'5.2 Actions'!$A$3:$B$720,2,0)</f>
        <v>Faire un relevé sur terrain des rejets vers le Vogelzangbeek, notamment en s’aidant des connaissances déjà disponibles, et les compiler dans la base de données BE des rejets</v>
      </c>
      <c r="G84" s="496" t="str">
        <f>"ACE"&amp;"-"&amp;VLOOKUP(D84,'6. Mesures_ Budget_ Maximaliste'!$A$4:$C$32,3,0)</f>
        <v>ACE-</v>
      </c>
      <c r="H84" s="496" t="str">
        <f>VLOOKUP(E84,'5.2 Actions'!$A$3:$D$720,4,0)</f>
        <v>SEN</v>
      </c>
      <c r="I84" s="497">
        <v>0</v>
      </c>
    </row>
    <row r="85" spans="1:9" ht="30" hidden="1" outlineLevel="2" x14ac:dyDescent="0.25">
      <c r="A85" s="114" t="str">
        <f t="shared" si="12"/>
        <v>1</v>
      </c>
      <c r="B85" t="str">
        <f t="shared" si="13"/>
        <v>5</v>
      </c>
      <c r="C85" s="114" t="str">
        <f t="shared" si="14"/>
        <v>15</v>
      </c>
      <c r="D85" s="495" t="s">
        <v>4</v>
      </c>
      <c r="E85" s="495" t="s">
        <v>804</v>
      </c>
      <c r="F85" s="496" t="str">
        <f>VLOOKUP(E85,'5.2 Actions'!$A$3:$B$720,2,0)</f>
        <v>Faire un relevé sur terrain des rejets vers le Verrewinkelbeek, notamment en s’aidant des connaissances déjà disponibles, et les compiler dans la base de données BE des rejets</v>
      </c>
      <c r="G85" s="496" t="str">
        <f>"ACE"&amp;"-"&amp;VLOOKUP(D85,'6. Mesures_ Budget_ Maximaliste'!$A$4:$C$32,3,0)</f>
        <v>ACE-</v>
      </c>
      <c r="H85" s="496" t="str">
        <f>VLOOKUP(E85,'5.2 Actions'!$A$3:$D$720,4,0)</f>
        <v>SEN</v>
      </c>
      <c r="I85" s="497">
        <v>0</v>
      </c>
    </row>
    <row r="86" spans="1:9" ht="30" hidden="1" outlineLevel="2" x14ac:dyDescent="0.25">
      <c r="A86" s="114" t="str">
        <f t="shared" si="12"/>
        <v>1</v>
      </c>
      <c r="B86" t="str">
        <f t="shared" si="13"/>
        <v>5</v>
      </c>
      <c r="C86" s="114" t="str">
        <f t="shared" si="14"/>
        <v>16</v>
      </c>
      <c r="D86" s="495" t="s">
        <v>4</v>
      </c>
      <c r="E86" s="495" t="s">
        <v>805</v>
      </c>
      <c r="F86" s="496" t="str">
        <f>VLOOKUP(E86,'5.2 Actions'!$A$3:$B$720,2,0)</f>
        <v>Mise à jour du relevé sur terrain des rejets vers le Neerpedebeek, notamment en s’aidant des connaissances déjà disponibles, et les compiler dans la base de données BE des rejets</v>
      </c>
      <c r="G86" s="496" t="str">
        <f>"ACE"&amp;"-"&amp;VLOOKUP(D86,'6. Mesures_ Budget_ Maximaliste'!$A$4:$C$32,3,0)</f>
        <v>ACE-</v>
      </c>
      <c r="H86" s="496" t="str">
        <f>VLOOKUP(E86,'5.2 Actions'!$A$3:$D$720,4,0)</f>
        <v>SEN</v>
      </c>
      <c r="I86" s="497">
        <v>0</v>
      </c>
    </row>
    <row r="87" spans="1:9" ht="135" hidden="1" outlineLevel="2" x14ac:dyDescent="0.25">
      <c r="A87" s="114" t="str">
        <f t="shared" si="12"/>
        <v>1</v>
      </c>
      <c r="B87" t="str">
        <f t="shared" si="13"/>
        <v>5</v>
      </c>
      <c r="C87" s="114" t="str">
        <f t="shared" si="14"/>
        <v>17</v>
      </c>
      <c r="D87" s="495" t="s">
        <v>4</v>
      </c>
      <c r="E87" s="495" t="s">
        <v>806</v>
      </c>
      <c r="F87" s="496" t="str">
        <f>VLOOKUP(E87,'5.2 Actions'!$A$3:$B$720,2,0)</f>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
      <c r="G87" s="496" t="str">
        <f>"ACE"&amp;"-"&amp;VLOOKUP(D87,'6. Mesures_ Budget_ Maximaliste'!$A$4:$C$32,3,0)</f>
        <v>ACE-</v>
      </c>
      <c r="H87" s="496" t="str">
        <f>VLOOKUP(E87,'5.2 Actions'!$A$3:$D$720,4,0)</f>
        <v>CAN</v>
      </c>
      <c r="I87" s="497">
        <v>17000</v>
      </c>
    </row>
    <row r="88" spans="1:9" hidden="1" outlineLevel="2" x14ac:dyDescent="0.25">
      <c r="A88" s="114" t="str">
        <f t="shared" si="12"/>
        <v>1</v>
      </c>
      <c r="B88" t="str">
        <f t="shared" si="13"/>
        <v>5</v>
      </c>
      <c r="C88" s="114" t="str">
        <f t="shared" si="14"/>
        <v>18</v>
      </c>
      <c r="D88" s="495" t="s">
        <v>4</v>
      </c>
      <c r="E88" s="495" t="s">
        <v>807</v>
      </c>
      <c r="F88" s="496" t="str">
        <f>VLOOKUP(E88,'5.2 Actions'!$A$3:$B$720,2,0)</f>
        <v xml:space="preserve">Compiler les données des points de rejets des bateaux/navires permanents dans la base de données BE des rejets </v>
      </c>
      <c r="G88" s="496" t="str">
        <f>"ACE"&amp;"-"&amp;VLOOKUP(D88,'6. Mesures_ Budget_ Maximaliste'!$A$4:$C$32,3,0)</f>
        <v>ACE-</v>
      </c>
      <c r="H88" s="496" t="str">
        <f>VLOOKUP(E88,'5.2 Actions'!$A$3:$D$720,4,0)</f>
        <v>CAN</v>
      </c>
      <c r="I88" s="497">
        <v>0</v>
      </c>
    </row>
    <row r="89" spans="1:9" ht="45" hidden="1" outlineLevel="2" x14ac:dyDescent="0.25">
      <c r="A89" s="114" t="str">
        <f t="shared" si="12"/>
        <v>1</v>
      </c>
      <c r="B89" t="str">
        <f t="shared" si="13"/>
        <v>5</v>
      </c>
      <c r="C89" s="114" t="str">
        <f t="shared" si="14"/>
        <v>19</v>
      </c>
      <c r="D89" s="495" t="s">
        <v>4</v>
      </c>
      <c r="E89" s="495" t="s">
        <v>808</v>
      </c>
      <c r="F89" s="496" t="str">
        <f>VLOOKUP(E89,'5.2 Actions'!$A$3:$B$720,2,0)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
      <c r="G89" s="496" t="str">
        <f>"ACE"&amp;"-"&amp;VLOOKUP(D89,'6. Mesures_ Budget_ Maximaliste'!$A$4:$C$32,3,0)</f>
        <v>ACE-</v>
      </c>
      <c r="H89" s="496" t="str">
        <f>VLOOKUP(E89,'5.2 Actions'!$A$3:$D$720,4,0)</f>
        <v>CAN</v>
      </c>
      <c r="I89" s="497">
        <v>25000</v>
      </c>
    </row>
    <row r="90" spans="1:9" hidden="1" outlineLevel="2" x14ac:dyDescent="0.25">
      <c r="A90" s="114" t="str">
        <f t="shared" si="12"/>
        <v>1</v>
      </c>
      <c r="B90" t="str">
        <f t="shared" si="13"/>
        <v>5</v>
      </c>
      <c r="C90" s="114" t="str">
        <f t="shared" si="14"/>
        <v>20</v>
      </c>
      <c r="D90" s="495" t="s">
        <v>4</v>
      </c>
      <c r="E90" s="495" t="s">
        <v>810</v>
      </c>
      <c r="F90" s="496" t="str">
        <f>VLOOKUP(E90,'5.2 Actions'!$A$3:$B$720,2,0)</f>
        <v xml:space="preserve">Compiler les données relatives au réseau d’écoulement des parcelles privées du domaine portuaire dans la base de données BE des rejets </v>
      </c>
      <c r="G90" s="496" t="str">
        <f>"ACE"&amp;"-"&amp;VLOOKUP(D90,'6. Mesures_ Budget_ Maximaliste'!$A$4:$C$32,3,0)</f>
        <v>ACE-</v>
      </c>
      <c r="H90" s="496" t="str">
        <f>VLOOKUP(E90,'5.2 Actions'!$A$3:$D$720,4,0)</f>
        <v>CAN</v>
      </c>
      <c r="I90" s="497">
        <v>0</v>
      </c>
    </row>
    <row r="91" spans="1:9" hidden="1" outlineLevel="2" x14ac:dyDescent="0.25">
      <c r="A91" s="114" t="str">
        <f t="shared" si="12"/>
        <v>1</v>
      </c>
      <c r="B91" t="str">
        <f t="shared" si="13"/>
        <v>5</v>
      </c>
      <c r="C91" s="114" t="str">
        <f t="shared" si="14"/>
        <v>21</v>
      </c>
      <c r="D91" s="495" t="s">
        <v>4</v>
      </c>
      <c r="E91" s="495" t="s">
        <v>811</v>
      </c>
      <c r="F91" s="496" t="str">
        <f>VLOOKUP(E91,'5.2 Actions'!$A$3:$B$720,2,0)</f>
        <v>Compiler les données du Port relatives aux autorisations de rejet dans le Canal dans la base de données BE des rejets</v>
      </c>
      <c r="G91" s="496" t="str">
        <f>"ACE"&amp;"-"&amp;VLOOKUP(D91,'6. Mesures_ Budget_ Maximaliste'!$A$4:$C$32,3,0)</f>
        <v>ACE-</v>
      </c>
      <c r="H91" s="496" t="str">
        <f>VLOOKUP(E91,'5.2 Actions'!$A$3:$D$720,4,0)</f>
        <v>CAN</v>
      </c>
      <c r="I91" s="497">
        <v>0</v>
      </c>
    </row>
    <row r="92" spans="1:9" ht="30" hidden="1" outlineLevel="2" x14ac:dyDescent="0.25">
      <c r="A92" s="114" t="str">
        <f t="shared" si="12"/>
        <v>1</v>
      </c>
      <c r="B92" t="str">
        <f t="shared" si="13"/>
        <v>5</v>
      </c>
      <c r="C92" s="114" t="str">
        <f t="shared" si="14"/>
        <v>22</v>
      </c>
      <c r="D92" s="495" t="s">
        <v>4</v>
      </c>
      <c r="E92" s="495" t="s">
        <v>812</v>
      </c>
      <c r="F92" s="496" t="str">
        <f>VLOOKUP(E92,'5.2 Actions'!$A$3:$B$720,2,0)</f>
        <v>Faire un relevé sur terrain des rejets vers la Woluwe et les étangs de la Woluwe (y compris l’égout qui déborderait ponctuellement au Parc des Sources), notamment en s’aidant des connaissances déjà disponibles, et les compiler dans la base de données BE des rejets</v>
      </c>
      <c r="G92" s="496" t="str">
        <f>"ACE"&amp;"-"&amp;VLOOKUP(D92,'6. Mesures_ Budget_ Maximaliste'!$A$4:$C$32,3,0)</f>
        <v>ACE-</v>
      </c>
      <c r="H92" s="496" t="str">
        <f>VLOOKUP(E92,'5.2 Actions'!$A$3:$D$720,4,0)</f>
        <v>WOL</v>
      </c>
      <c r="I92" s="497">
        <v>0</v>
      </c>
    </row>
    <row r="93" spans="1:9" hidden="1" outlineLevel="2" x14ac:dyDescent="0.25">
      <c r="A93" s="114" t="str">
        <f t="shared" si="12"/>
        <v>1</v>
      </c>
      <c r="B93" t="str">
        <f t="shared" si="13"/>
        <v>5</v>
      </c>
      <c r="C93" s="114" t="str">
        <f t="shared" si="14"/>
        <v>23</v>
      </c>
      <c r="D93" s="495" t="s">
        <v>4</v>
      </c>
      <c r="E93" s="495" t="s">
        <v>813</v>
      </c>
      <c r="F93" s="496" t="str">
        <f>VLOOKUP(E93,'5.2 Actions'!$A$3:$B$720,2,0)</f>
        <v>Finir les investigations des sources des rejets vers le Zwanewijdebeek qui ont été relevés sur terrain et les compiler dans la base de données BE des rejets</v>
      </c>
      <c r="G93" s="496" t="str">
        <f>"ACE"&amp;"-"&amp;VLOOKUP(D93,'6. Mesures_ Budget_ Maximaliste'!$A$4:$C$32,3,0)</f>
        <v>ACE-</v>
      </c>
      <c r="H93" s="496" t="str">
        <f>VLOOKUP(E93,'5.2 Actions'!$A$3:$D$720,4,0)</f>
        <v>WOL</v>
      </c>
      <c r="I93" s="497">
        <v>0</v>
      </c>
    </row>
    <row r="94" spans="1:9" s="494" customFormat="1" hidden="1" outlineLevel="1" collapsed="1" x14ac:dyDescent="0.25">
      <c r="D94" s="500" t="s">
        <v>5</v>
      </c>
      <c r="E94" s="500"/>
      <c r="F94" s="501" t="str">
        <f>VLOOKUP(D94,'1. Mesures'!$A$2:$B$116,2,0)</f>
        <v xml:space="preserve">Assurer le raccordement effectif des points de rejet d’eaux usées domestiques et non domestiques vers le réseau d’égouttage </v>
      </c>
      <c r="G94" s="501"/>
      <c r="H94" s="501"/>
      <c r="I94" s="502">
        <f>SUBTOTAL(9,I95:I101)</f>
        <v>0</v>
      </c>
    </row>
    <row r="95" spans="1:9" ht="30" hidden="1" outlineLevel="2" x14ac:dyDescent="0.25">
      <c r="A95" s="114" t="str">
        <f t="shared" ref="A95:A101" si="15">MID(E95,1,1)</f>
        <v>1</v>
      </c>
      <c r="B95" t="str">
        <f t="shared" ref="B95:B101" si="16">MID(E95,3,1)</f>
        <v>6</v>
      </c>
      <c r="C95" s="114" t="str">
        <f t="shared" ref="C95:C101" si="17">MID(E95,5,2)</f>
        <v>1</v>
      </c>
      <c r="D95" s="495" t="s">
        <v>5</v>
      </c>
      <c r="E95" s="495" t="s">
        <v>821</v>
      </c>
      <c r="F95" s="496" t="str">
        <f>VLOOKUP(E95,'5.2 Actions'!$A$3:$B$720,2,0)</f>
        <v xml:space="preserve">Identifier et prioriser les travaux d’extension et de raccordement au réseau d’égouttage sur base de l’inventaire visé par la M  1.5 et de la cartographie des zones égouttables et des opportunités </v>
      </c>
      <c r="G95" s="496" t="str">
        <f>"ACE"&amp;"-"&amp;VLOOKUP(D95,'6. Mesures_ Budget_ Maximaliste'!$A$4:$C$32,3,0)</f>
        <v>ACE-CV</v>
      </c>
      <c r="H95" s="496" t="str">
        <f>VLOOKUP(E95,'5.2 Actions'!$A$3:$D$720,4,0)</f>
        <v>SEN / WOL / CAN</v>
      </c>
      <c r="I95" s="497">
        <v>0</v>
      </c>
    </row>
    <row r="96" spans="1:9" ht="30" hidden="1" outlineLevel="2" x14ac:dyDescent="0.25">
      <c r="A96" s="114" t="str">
        <f t="shared" si="15"/>
        <v>1</v>
      </c>
      <c r="B96" t="str">
        <f t="shared" si="16"/>
        <v>6</v>
      </c>
      <c r="C96" s="114" t="str">
        <f t="shared" si="17"/>
        <v>2</v>
      </c>
      <c r="D96" s="495" t="s">
        <v>5</v>
      </c>
      <c r="E96" s="495" t="s">
        <v>822</v>
      </c>
      <c r="F96" s="496" t="str">
        <f>VLOOKUP(E96,'5.2 Actions'!$A$3:$B$720,2,0)</f>
        <v>Identifier et prioriser les travaux d’extension et de raccordement au réseau d’égouttage  sur les parcelles privées du domaine portuaire sur base de l’inventaire visé par la M  1.5 pour les concessions du Port de Bruxelles</v>
      </c>
      <c r="G96" s="496" t="str">
        <f>"ACE"&amp;"-"&amp;VLOOKUP(D96,'6. Mesures_ Budget_ Maximaliste'!$A$4:$C$32,3,0)</f>
        <v>ACE-CV</v>
      </c>
      <c r="H96" s="496" t="str">
        <f>VLOOKUP(E96,'5.2 Actions'!$A$3:$D$720,4,0)</f>
        <v>CAN</v>
      </c>
      <c r="I96" s="497">
        <v>200000</v>
      </c>
    </row>
    <row r="97" spans="1:9" ht="30" hidden="1" outlineLevel="2" x14ac:dyDescent="0.25">
      <c r="A97" s="114" t="str">
        <f t="shared" si="15"/>
        <v>1</v>
      </c>
      <c r="B97" t="str">
        <f t="shared" si="16"/>
        <v>6</v>
      </c>
      <c r="C97" s="114" t="str">
        <f t="shared" si="17"/>
        <v>3</v>
      </c>
      <c r="D97" s="495" t="s">
        <v>5</v>
      </c>
      <c r="E97" s="495" t="s">
        <v>823</v>
      </c>
      <c r="F97" s="496" t="str">
        <f>VLOOKUP(E97,'5.2 Actions'!$A$3:$B$720,2,0)</f>
        <v>Sur base de la DB reprenant les rejets directs d’eaux usées dans les cours d’eau (M1.5) procéder, lorsque c’est possible au niveau du cours d’eau, aux correctifs pour remédier à ces mauvaises connexions</v>
      </c>
      <c r="G97" s="496" t="str">
        <f>"ACE"&amp;"-"&amp;VLOOKUP(D97,'6. Mesures_ Budget_ Maximaliste'!$A$4:$C$32,3,0)</f>
        <v>ACE-CV</v>
      </c>
      <c r="H97" s="496" t="str">
        <f>VLOOKUP(E97,'5.2 Actions'!$A$3:$D$720,4,0)</f>
        <v>SEN / WOL / CAN</v>
      </c>
      <c r="I97" s="497">
        <v>0</v>
      </c>
    </row>
    <row r="98" spans="1:9" ht="30" hidden="1" outlineLevel="2" x14ac:dyDescent="0.25">
      <c r="A98" s="114" t="str">
        <f t="shared" si="15"/>
        <v>1</v>
      </c>
      <c r="B98" t="str">
        <f t="shared" si="16"/>
        <v>6</v>
      </c>
      <c r="C98" s="114" t="str">
        <f t="shared" si="17"/>
        <v>4</v>
      </c>
      <c r="D98" s="495" t="s">
        <v>5</v>
      </c>
      <c r="E98" s="495" t="s">
        <v>824</v>
      </c>
      <c r="F98" s="496" t="str">
        <f>VLOOKUP(E98,'5.2 Actions'!$A$3:$B$720,2,0)</f>
        <v>Définir et mettre en place une procédure de « raccordement »  permettant de coordonner les actions de chaque acteur et d’en clarifier les responsabilités</v>
      </c>
      <c r="G98" s="496" t="str">
        <f>"ACE"&amp;"-"&amp;VLOOKUP(D98,'6. Mesures_ Budget_ Maximaliste'!$A$4:$C$32,3,0)</f>
        <v>ACE-CV</v>
      </c>
      <c r="H98" s="496" t="str">
        <f>VLOOKUP(E98,'5.2 Actions'!$A$3:$D$720,4,0)</f>
        <v>SEN / WOL / CAN</v>
      </c>
      <c r="I98" s="497">
        <v>0</v>
      </c>
    </row>
    <row r="99" spans="1:9" ht="45" hidden="1" outlineLevel="2" x14ac:dyDescent="0.25">
      <c r="A99" s="114" t="str">
        <f t="shared" si="15"/>
        <v>1</v>
      </c>
      <c r="B99" t="str">
        <f t="shared" si="16"/>
        <v>6</v>
      </c>
      <c r="C99" s="114" t="str">
        <f t="shared" si="17"/>
        <v>5</v>
      </c>
      <c r="D99" s="495" t="s">
        <v>5</v>
      </c>
      <c r="E99" s="495" t="s">
        <v>825</v>
      </c>
      <c r="F99" s="496" t="str">
        <f>VLOOKUP(E99,'5.2 Actions'!$A$3:$B$720,2,0)</f>
        <v xml:space="preserve">Informer les habitants, les entreprises et promoteurs immobiliers (qui déversent actuellement dans les eaux de surface), en amont des travaux d’égouttage ou lors de l’identification d’un mauvais raccordement, de leurs obligations en termes de raccordement à l’égout et le cas échéant les contraindre au respect de ces dernières. </v>
      </c>
      <c r="G99" s="496" t="str">
        <f>"ACE"&amp;"-"&amp;VLOOKUP(D99,'6. Mesures_ Budget_ Maximaliste'!$A$4:$C$32,3,0)</f>
        <v>ACE-CV</v>
      </c>
      <c r="H99" s="496" t="str">
        <f>VLOOKUP(E99,'5.2 Actions'!$A$3:$D$720,4,0)</f>
        <v>SEN / CAN</v>
      </c>
      <c r="I99" s="497">
        <v>0</v>
      </c>
    </row>
    <row r="100" spans="1:9" ht="30" hidden="1" outlineLevel="2" x14ac:dyDescent="0.25">
      <c r="A100" s="114" t="str">
        <f t="shared" si="15"/>
        <v>1</v>
      </c>
      <c r="B100" t="str">
        <f t="shared" si="16"/>
        <v>6</v>
      </c>
      <c r="C100" s="114" t="str">
        <f t="shared" si="17"/>
        <v>6</v>
      </c>
      <c r="D100" s="495" t="s">
        <v>5</v>
      </c>
      <c r="E100" s="495" t="s">
        <v>826</v>
      </c>
      <c r="F100" s="496" t="str">
        <f>VLOOKUP(E100,'5.2 Actions'!$A$3:$B$720,2,0)</f>
        <v>Actualiser la carte des zones égouttées raccordées aux stations d’épuration dans l’inventaire des émissions polluantes vers les eaux de surface (WEISS)</v>
      </c>
      <c r="G100" s="496" t="str">
        <f>"ACE"&amp;"-"&amp;VLOOKUP(D100,'6. Mesures_ Budget_ Maximaliste'!$A$4:$C$32,3,0)</f>
        <v>ACE-CV</v>
      </c>
      <c r="H100" s="496" t="str">
        <f>VLOOKUP(E100,'5.2 Actions'!$A$3:$D$720,4,0)</f>
        <v>SEN / WOL / CAN</v>
      </c>
      <c r="I100" s="497">
        <v>0</v>
      </c>
    </row>
    <row r="101" spans="1:9" ht="30" hidden="1" outlineLevel="2" x14ac:dyDescent="0.25">
      <c r="A101" s="114" t="str">
        <f t="shared" si="15"/>
        <v>1</v>
      </c>
      <c r="B101" t="str">
        <f t="shared" si="16"/>
        <v>6</v>
      </c>
      <c r="C101" s="114" t="str">
        <f t="shared" si="17"/>
        <v>7</v>
      </c>
      <c r="D101" s="495" t="s">
        <v>5</v>
      </c>
      <c r="E101" s="495" t="s">
        <v>827</v>
      </c>
      <c r="F101" s="496" t="str">
        <f>VLOOKUP(E101,'5.2 Actions'!$A$3:$B$720,2,0)</f>
        <v xml:space="preserve">Etudier l’opportunité de mettre en place un système de certification des installations privées à l’instar du système PEB existant pour l’énergie </v>
      </c>
      <c r="G101" s="496" t="str">
        <f>"ACE"&amp;"-"&amp;VLOOKUP(D101,'6. Mesures_ Budget_ Maximaliste'!$A$4:$C$32,3,0)</f>
        <v>ACE-CV</v>
      </c>
      <c r="H101" s="496" t="str">
        <f>VLOOKUP(E101,'5.2 Actions'!$A$3:$D$720,4,0)</f>
        <v>SEN / WOL / CAN</v>
      </c>
      <c r="I101" s="497">
        <v>0</v>
      </c>
    </row>
    <row r="102" spans="1:9" s="494" customFormat="1" hidden="1" outlineLevel="1" collapsed="1" x14ac:dyDescent="0.25">
      <c r="D102" s="500" t="s">
        <v>6</v>
      </c>
      <c r="E102" s="500"/>
      <c r="F102" s="501" t="str">
        <f>VLOOKUP(D102,'1. Mesures'!$A$2:$B$116,2,0)</f>
        <v>Gérer les rejets d'eaux usées non raccordables aux stations d'épuration collectives</v>
      </c>
      <c r="G102" s="501"/>
      <c r="H102" s="501"/>
      <c r="I102" s="502">
        <f>SUBTOTAL(9,I103:I108)</f>
        <v>0</v>
      </c>
    </row>
    <row r="103" spans="1:9" ht="30" hidden="1" outlineLevel="2" x14ac:dyDescent="0.25">
      <c r="A103" s="114" t="str">
        <f t="shared" ref="A103:A108" si="18">MID(E103,1,1)</f>
        <v>1</v>
      </c>
      <c r="B103" t="str">
        <f t="shared" ref="B103:B108" si="19">MID(E103,3,1)</f>
        <v>7</v>
      </c>
      <c r="C103" s="114" t="str">
        <f t="shared" ref="C103:C108" si="20">MID(E103,5,2)</f>
        <v>1</v>
      </c>
      <c r="D103" s="495" t="s">
        <v>6</v>
      </c>
      <c r="E103" s="495" t="s">
        <v>828</v>
      </c>
      <c r="F103" s="496" t="str">
        <f>VLOOKUP(E103,'5.2 Actions'!$A$3:$B$720,2,0)</f>
        <v>Informer les communes quant à l’obligation d’installation et de contrôle  d’une épuration autonome pour les habitations et entreprises situées en zones non-égouttables, et de la possibilité qu’ils demandent l’exonération de la partie assainissement de la facture d’eau dans ce cas</v>
      </c>
      <c r="G103" s="496" t="str">
        <f>"ACE"&amp;"-"&amp;VLOOKUP(D103,'6. Mesures_ Budget_ Maximaliste'!$A$4:$C$32,3,0)</f>
        <v>ACE-CV</v>
      </c>
      <c r="H103" s="496" t="str">
        <f>VLOOKUP(E103,'5.2 Actions'!$A$3:$D$720,4,0)</f>
        <v>SEN / WOL / CAN</v>
      </c>
      <c r="I103" s="497">
        <v>0</v>
      </c>
    </row>
    <row r="104" spans="1:9" ht="60" hidden="1" outlineLevel="2" x14ac:dyDescent="0.25">
      <c r="A104" s="114" t="str">
        <f t="shared" si="18"/>
        <v>1</v>
      </c>
      <c r="B104" t="str">
        <f t="shared" si="19"/>
        <v>7</v>
      </c>
      <c r="C104" s="114" t="str">
        <f t="shared" si="20"/>
        <v>2</v>
      </c>
      <c r="D104" s="495" t="s">
        <v>6</v>
      </c>
      <c r="E104" s="495" t="s">
        <v>829</v>
      </c>
      <c r="F104" s="496" t="str">
        <f>VLOOKUP(E104,'5.2 Actions'!$A$3:$B$720,2,0)</f>
        <v xml:space="preserve">Informer les habitants, entreprises et promoteurs immobiliers de leurs obligations en termes d’installation d’un système d’épuration autonome (stations d’épuration individuelle ou systèmes extensifs) dans le cas où des habitations ou entreprises générant des eaux usées (non-) domestiques ne sont pas raccordables à une des deux stations d'épuration collectives, et le cas échéant les contraindre au respect de ces obligations. Egalement les informer de la possibilité qu’ils demandent l’exonération de la partie assainissement de la facture d’eau en cas d’épuration individuelle. </v>
      </c>
      <c r="G104" s="496" t="str">
        <f>"ACE"&amp;"-"&amp;VLOOKUP(D104,'6. Mesures_ Budget_ Maximaliste'!$A$4:$C$32,3,0)</f>
        <v>ACE-CV</v>
      </c>
      <c r="H104" s="496" t="str">
        <f>VLOOKUP(E104,'5.2 Actions'!$A$3:$D$720,4,0)</f>
        <v>SEN / WOL / CAN</v>
      </c>
      <c r="I104" s="497">
        <v>0</v>
      </c>
    </row>
    <row r="105" spans="1:9" ht="30" hidden="1" outlineLevel="2" x14ac:dyDescent="0.25">
      <c r="A105" s="114" t="str">
        <f t="shared" si="18"/>
        <v>1</v>
      </c>
      <c r="B105" t="str">
        <f t="shared" si="19"/>
        <v>7</v>
      </c>
      <c r="C105" s="114" t="str">
        <f t="shared" si="20"/>
        <v>3</v>
      </c>
      <c r="D105" s="495" t="s">
        <v>6</v>
      </c>
      <c r="E105" s="495" t="s">
        <v>830</v>
      </c>
      <c r="F105" s="496" t="str">
        <f>VLOOKUP(E105,'5.2 Actions'!$A$3:$B$720,2,0)</f>
        <v>Assurer le contrôle des systèmes d’épuration individuels</v>
      </c>
      <c r="G105" s="496" t="str">
        <f>"ACE"&amp;"-"&amp;VLOOKUP(D105,'6. Mesures_ Budget_ Maximaliste'!$A$4:$C$32,3,0)</f>
        <v>ACE-CV</v>
      </c>
      <c r="H105" s="496" t="str">
        <f>VLOOKUP(E105,'5.2 Actions'!$A$3:$D$720,4,0)</f>
        <v>SEN / WOL / CAN</v>
      </c>
      <c r="I105" s="497">
        <v>0</v>
      </c>
    </row>
    <row r="106" spans="1:9" ht="30" hidden="1" outlineLevel="2" x14ac:dyDescent="0.25">
      <c r="A106" s="114" t="str">
        <f t="shared" si="18"/>
        <v>1</v>
      </c>
      <c r="B106" t="str">
        <f t="shared" si="19"/>
        <v>7</v>
      </c>
      <c r="C106" s="114" t="str">
        <f t="shared" si="20"/>
        <v>4</v>
      </c>
      <c r="D106" s="495" t="s">
        <v>6</v>
      </c>
      <c r="E106" s="495" t="s">
        <v>831</v>
      </c>
      <c r="F106" s="496" t="str">
        <f>VLOOKUP(E106,'5.2 Actions'!$A$3:$B$720,2,0)</f>
        <v>Offrir un soutien technique aux communes dans le cadre de la mise en œuvre de cette mesure M1.7</v>
      </c>
      <c r="G106" s="496" t="str">
        <f>"ACE"&amp;"-"&amp;VLOOKUP(D106,'6. Mesures_ Budget_ Maximaliste'!$A$4:$C$32,3,0)</f>
        <v>ACE-CV</v>
      </c>
      <c r="H106" s="496" t="str">
        <f>VLOOKUP(E106,'5.2 Actions'!$A$3:$D$720,4,0)</f>
        <v>SEN / WOL / CAN</v>
      </c>
      <c r="I106" s="497">
        <v>0</v>
      </c>
    </row>
    <row r="107" spans="1:9" ht="60" hidden="1" outlineLevel="2" x14ac:dyDescent="0.25">
      <c r="A107" s="114" t="str">
        <f t="shared" si="18"/>
        <v>1</v>
      </c>
      <c r="B107" t="str">
        <f t="shared" si="19"/>
        <v>7</v>
      </c>
      <c r="C107" s="114" t="str">
        <f t="shared" si="20"/>
        <v>5</v>
      </c>
      <c r="D107" s="495" t="s">
        <v>6</v>
      </c>
      <c r="E107" s="495" t="s">
        <v>832</v>
      </c>
      <c r="F107" s="496" t="str">
        <f>VLOOKUP(E107,'5.2 Actions'!$A$3:$B$720,2,0)</f>
        <v>Suite à l’étude visée dans la mesure M 1.5, mettre en place les solutions et/ou infrastructures retenues pour permettre une épuration des rejets des navires et bateaux garantissant la préservation de la qualité du Canal, avec l’aide de BE (pour la cartographie des rejets et l’évaluation de la dangerosité de la charge polluante), de Vivaqua (pour les solutions qui impliqueraient le réseau d’égouttage) et de la SBGE (pour les solutions qui impliqueraient les stations d’épuration)</v>
      </c>
      <c r="G107" s="496" t="str">
        <f>"ACE"&amp;"-"&amp;VLOOKUP(D107,'6. Mesures_ Budget_ Maximaliste'!$A$4:$C$32,3,0)</f>
        <v>ACE-CV</v>
      </c>
      <c r="H107" s="496" t="str">
        <f>VLOOKUP(E107,'5.2 Actions'!$A$3:$D$720,4,0)</f>
        <v>CAN</v>
      </c>
      <c r="I107" s="497">
        <v>75000</v>
      </c>
    </row>
    <row r="108" spans="1:9" ht="30" hidden="1" outlineLevel="2" x14ac:dyDescent="0.25">
      <c r="A108" s="114" t="str">
        <f t="shared" si="18"/>
        <v>1</v>
      </c>
      <c r="B108" t="str">
        <f t="shared" si="19"/>
        <v>7</v>
      </c>
      <c r="C108" s="114" t="str">
        <f t="shared" si="20"/>
        <v>6</v>
      </c>
      <c r="D108" s="495" t="s">
        <v>6</v>
      </c>
      <c r="E108" s="495" t="s">
        <v>833</v>
      </c>
      <c r="F108" s="496" t="str">
        <f>VLOOKUP(E108,'5.2 Actions'!$A$3:$B$720,2,0)</f>
        <v>Actualiser la carte des zones non égouttées soumises à épuration autonome dans l’inventaire BE des émissions polluantes vers les eaux de surface (WEISS), y compris les rejets ponctuels des bateaux/navires</v>
      </c>
      <c r="G108" s="496" t="str">
        <f>"ACE"&amp;"-"&amp;VLOOKUP(D108,'6. Mesures_ Budget_ Maximaliste'!$A$4:$C$32,3,0)</f>
        <v>ACE-CV</v>
      </c>
      <c r="H108" s="496" t="str">
        <f>VLOOKUP(E108,'5.2 Actions'!$A$3:$D$720,4,0)</f>
        <v>SEN / WOL / CAN</v>
      </c>
      <c r="I108" s="497">
        <v>0</v>
      </c>
    </row>
    <row r="109" spans="1:9" s="494" customFormat="1" ht="28.5" outlineLevel="1" x14ac:dyDescent="0.25">
      <c r="D109" s="500" t="s">
        <v>7</v>
      </c>
      <c r="E109" s="500"/>
      <c r="F109" s="501" t="str">
        <f>VLOOKUP(D109,'1. Mesures'!$A$2:$B$116,2,0)</f>
        <v>Réaliser l'état de l'art des déversoirs d'orages actuels et optimaliser leur conception pour réduire le transfert de polluants vers les masses d’eau de surface</v>
      </c>
      <c r="G109" s="501"/>
      <c r="H109" s="501"/>
      <c r="I109" s="502">
        <f>SUBTOTAL(9,I110:I118)</f>
        <v>2260000</v>
      </c>
    </row>
    <row r="110" spans="1:9" ht="30" outlineLevel="2" x14ac:dyDescent="0.25">
      <c r="A110" s="114" t="str">
        <f t="shared" ref="A110:A118" si="21">MID(E110,1,1)</f>
        <v>1</v>
      </c>
      <c r="B110" t="str">
        <f t="shared" ref="B110:B118" si="22">MID(E110,3,1)</f>
        <v>8</v>
      </c>
      <c r="C110" s="114" t="str">
        <f t="shared" ref="C110:C118" si="23">MID(E110,5,2)</f>
        <v>1</v>
      </c>
      <c r="D110" s="495" t="s">
        <v>7</v>
      </c>
      <c r="E110" s="495" t="s">
        <v>834</v>
      </c>
      <c r="F110" s="496" t="str">
        <f>VLOOKUP(E110,'5.2 Actions'!$A$3:$B$720,2,0)</f>
        <v>Réaliser les plans des déversoirs d’orage principaux sous gestion de Vivaqua</v>
      </c>
      <c r="G110" s="496" t="str">
        <f>"ACE"&amp;"-"&amp;VLOOKUP(D110,'6. Mesures_ Budget_ Maximaliste'!$A$4:$C$32,3,0)</f>
        <v>ACE-CV</v>
      </c>
      <c r="H110" s="496" t="str">
        <f>VLOOKUP(E110,'5.2 Actions'!$A$3:$D$720,4,0)</f>
        <v>SEN / WOL / CAN</v>
      </c>
      <c r="I110" s="497">
        <v>15000</v>
      </c>
    </row>
    <row r="111" spans="1:9" ht="30" outlineLevel="2" x14ac:dyDescent="0.25">
      <c r="A111" s="114" t="str">
        <f t="shared" si="21"/>
        <v>1</v>
      </c>
      <c r="B111" t="str">
        <f t="shared" si="22"/>
        <v>8</v>
      </c>
      <c r="C111" s="114" t="str">
        <f t="shared" si="23"/>
        <v>2</v>
      </c>
      <c r="D111" s="495" t="s">
        <v>7</v>
      </c>
      <c r="E111" s="495" t="s">
        <v>835</v>
      </c>
      <c r="F111" s="496" t="str">
        <f>VLOOKUP(E111,'5.2 Actions'!$A$3:$B$720,2,0)</f>
        <v>Réaliser les plans des déversoirs d’orage principaux sous gestion de la SBGE</v>
      </c>
      <c r="G111" s="496" t="str">
        <f>"ACE"&amp;"-"&amp;VLOOKUP(D111,'6. Mesures_ Budget_ Maximaliste'!$A$4:$C$32,3,0)</f>
        <v>ACE-CV</v>
      </c>
      <c r="H111" s="496" t="str">
        <f>VLOOKUP(E111,'5.2 Actions'!$A$3:$D$720,4,0)</f>
        <v>SEN / WOL / CAN</v>
      </c>
      <c r="I111" s="497">
        <v>15000</v>
      </c>
    </row>
    <row r="112" spans="1:9" ht="30" outlineLevel="2" x14ac:dyDescent="0.25">
      <c r="A112" s="114" t="str">
        <f t="shared" si="21"/>
        <v>1</v>
      </c>
      <c r="B112" t="str">
        <f t="shared" si="22"/>
        <v>8</v>
      </c>
      <c r="C112" s="114" t="str">
        <f t="shared" si="23"/>
        <v>3</v>
      </c>
      <c r="D112" s="495" t="s">
        <v>7</v>
      </c>
      <c r="E112" s="495" t="s">
        <v>836</v>
      </c>
      <c r="F112" s="496" t="str">
        <f>VLOOKUP(E112,'5.2 Actions'!$A$3:$B$720,2,0)</f>
        <v>Installer des capteurs de fréquence ou de débit sur les déversoirs principaux et les ajouter à Flowbru (voir la mesure M1.22)</v>
      </c>
      <c r="G112" s="496" t="str">
        <f>"ACE"&amp;"-"&amp;VLOOKUP(D112,'6. Mesures_ Budget_ Maximaliste'!$A$4:$C$32,3,0)</f>
        <v>ACE-CV</v>
      </c>
      <c r="H112" s="496" t="str">
        <f>VLOOKUP(E112,'5.2 Actions'!$A$3:$D$720,4,0)</f>
        <v>SEN / WOL / CAN</v>
      </c>
      <c r="I112" s="497">
        <v>0</v>
      </c>
    </row>
    <row r="113" spans="1:9" ht="30" outlineLevel="2" x14ac:dyDescent="0.25">
      <c r="A113" s="114" t="str">
        <f t="shared" si="21"/>
        <v>1</v>
      </c>
      <c r="B113" t="str">
        <f t="shared" si="22"/>
        <v>8</v>
      </c>
      <c r="C113" s="114" t="str">
        <f t="shared" si="23"/>
        <v>4</v>
      </c>
      <c r="D113" s="495" t="s">
        <v>7</v>
      </c>
      <c r="E113" s="495" t="s">
        <v>837</v>
      </c>
      <c r="F113" s="496" t="str">
        <f>VLOOKUP(E113,'5.2 Actions'!$A$3:$B$720,2,0)</f>
        <v>Calculer les fréquences et débit de déversements</v>
      </c>
      <c r="G113" s="496" t="str">
        <f>"ACE"&amp;"-"&amp;VLOOKUP(D113,'6. Mesures_ Budget_ Maximaliste'!$A$4:$C$32,3,0)</f>
        <v>ACE-CV</v>
      </c>
      <c r="H113" s="496" t="str">
        <f>VLOOKUP(E113,'5.2 Actions'!$A$3:$D$720,4,0)</f>
        <v>SEN / WOL / CAN</v>
      </c>
      <c r="I113" s="497">
        <v>10000</v>
      </c>
    </row>
    <row r="114" spans="1:9" ht="30" outlineLevel="2" x14ac:dyDescent="0.25">
      <c r="A114" s="114" t="str">
        <f t="shared" si="21"/>
        <v>1</v>
      </c>
      <c r="B114" t="str">
        <f t="shared" si="22"/>
        <v>8</v>
      </c>
      <c r="C114" s="114" t="str">
        <f t="shared" si="23"/>
        <v>5</v>
      </c>
      <c r="D114" s="495" t="s">
        <v>7</v>
      </c>
      <c r="E114" s="495" t="s">
        <v>838</v>
      </c>
      <c r="F114" s="496" t="str">
        <f>VLOOKUP(E114,'5.2 Actions'!$A$3:$B$720,2,0)</f>
        <v>Déterminer les niveaux idéaux des seuils de déversements des déversoirs sous gestion de Vivaqua et procéder à leur rehausse et/ou optimisation par la mise en place de vannes modulables et siphons/barrières aux flottants</v>
      </c>
      <c r="G114" s="496" t="str">
        <f>"ACE"&amp;"-"&amp;VLOOKUP(D114,'6. Mesures_ Budget_ Maximaliste'!$A$4:$C$32,3,0)</f>
        <v>ACE-CV</v>
      </c>
      <c r="H114" s="496" t="str">
        <f>VLOOKUP(E114,'5.2 Actions'!$A$3:$D$720,4,0)</f>
        <v>SEN</v>
      </c>
      <c r="I114" s="497">
        <v>1000000</v>
      </c>
    </row>
    <row r="115" spans="1:9" ht="30" outlineLevel="2" x14ac:dyDescent="0.25">
      <c r="A115" s="114" t="str">
        <f t="shared" si="21"/>
        <v>1</v>
      </c>
      <c r="B115" t="str">
        <f t="shared" si="22"/>
        <v>8</v>
      </c>
      <c r="C115" s="114" t="str">
        <f t="shared" si="23"/>
        <v>6</v>
      </c>
      <c r="D115" s="495" t="s">
        <v>7</v>
      </c>
      <c r="E115" s="495" t="s">
        <v>839</v>
      </c>
      <c r="F115" s="496" t="str">
        <f>VLOOKUP(E115,'5.2 Actions'!$A$3:$B$720,2,0)</f>
        <v>Déterminer les niveaux idéaux des seuils de déversements des déversoirs sous gestion de SBGE  et procéder à leur rehausse  et/ou optimisation par la mise en place de vannes modulables et  siphons/barrières aux flottants</v>
      </c>
      <c r="G115" s="496" t="str">
        <f>"ACE"&amp;"-"&amp;VLOOKUP(D115,'6. Mesures_ Budget_ Maximaliste'!$A$4:$C$32,3,0)</f>
        <v>ACE-CV</v>
      </c>
      <c r="H115" s="496" t="str">
        <f>VLOOKUP(E115,'5.2 Actions'!$A$3:$D$720,4,0)</f>
        <v>SEN</v>
      </c>
      <c r="I115" s="497">
        <v>800000</v>
      </c>
    </row>
    <row r="116" spans="1:9" outlineLevel="2" x14ac:dyDescent="0.25">
      <c r="A116" s="114" t="str">
        <f t="shared" si="21"/>
        <v>1</v>
      </c>
      <c r="B116" t="str">
        <f t="shared" si="22"/>
        <v>8</v>
      </c>
      <c r="C116" s="114" t="str">
        <f t="shared" si="23"/>
        <v>7</v>
      </c>
      <c r="D116" s="495" t="s">
        <v>7</v>
      </c>
      <c r="E116" s="495" t="s">
        <v>840</v>
      </c>
      <c r="F116" s="496" t="str">
        <f>VLOOKUP(E116,'5.2 Actions'!$A$3:$B$720,2,0)</f>
        <v>Adaptation des interceptions orifices limitant l’évacuation des flux vers les STEPS  dans le cadre de l’optimisation des déversoirs.</v>
      </c>
      <c r="G116" s="496" t="str">
        <f>"ACE"&amp;"-"&amp;VLOOKUP(D116,'6. Mesures_ Budget_ Maximaliste'!$A$4:$C$32,3,0)</f>
        <v>ACE-CV</v>
      </c>
      <c r="H116" s="496" t="str">
        <f>VLOOKUP(E116,'5.2 Actions'!$A$3:$D$720,4,0)</f>
        <v>SEN</v>
      </c>
      <c r="I116" s="497">
        <v>300000</v>
      </c>
    </row>
    <row r="117" spans="1:9" ht="45" outlineLevel="2" x14ac:dyDescent="0.25">
      <c r="A117" s="114" t="str">
        <f t="shared" si="21"/>
        <v>1</v>
      </c>
      <c r="B117" t="str">
        <f t="shared" si="22"/>
        <v>8</v>
      </c>
      <c r="C117" s="114" t="str">
        <f t="shared" si="23"/>
        <v>8</v>
      </c>
      <c r="D117" s="495" t="s">
        <v>7</v>
      </c>
      <c r="E117" s="495" t="s">
        <v>841</v>
      </c>
      <c r="F117" s="496" t="str">
        <f>VLOOKUP(E117,'5.2 Actions'!$A$3:$B$720,2,0)</f>
        <v>Réévaluer l’impact, sur le milieu récepteur, de l’activation des déversoirs après optimisation (en parallèle de l’implémentation progressive de la gestion dynamique du réseau d’assainissement) sur base de mesures qualitatives et/ou quantitatives, et vérifier sa conformité avec la ligne directrice établie quant au fonctionnement maximal autorisé des déversoirs</v>
      </c>
      <c r="G117" s="496" t="str">
        <f>"ACE"&amp;"-"&amp;VLOOKUP(D117,'6. Mesures_ Budget_ Maximaliste'!$A$4:$C$32,3,0)</f>
        <v>ACE-CV</v>
      </c>
      <c r="H117" s="496" t="str">
        <f>VLOOKUP(E117,'5.2 Actions'!$A$3:$D$720,4,0)</f>
        <v>SEN</v>
      </c>
      <c r="I117" s="497">
        <v>120000</v>
      </c>
    </row>
    <row r="118" spans="1:9" ht="30" outlineLevel="2" x14ac:dyDescent="0.25">
      <c r="A118" s="114" t="str">
        <f t="shared" si="21"/>
        <v>1</v>
      </c>
      <c r="B118" t="str">
        <f t="shared" si="22"/>
        <v>8</v>
      </c>
      <c r="C118" s="114" t="str">
        <f t="shared" si="23"/>
        <v>A</v>
      </c>
      <c r="D118" s="495" t="s">
        <v>7</v>
      </c>
      <c r="E118" s="495" t="s">
        <v>842</v>
      </c>
      <c r="F118" s="496" t="str">
        <f>VLOOKUP(E118,'5.2 Actions'!$A$3:$B$720,2,0)</f>
        <v>Réaménager les déversoirs en "déversoirs améliorés" pour retenir le maximum de charge polluante à l’aval des  déversoirs (création de zone de rétention des sédiments et des flottants).   Scénario maximaliste</v>
      </c>
      <c r="G118" s="496" t="str">
        <f>"ACE"&amp;"-"&amp;VLOOKUP(D118,'6. Mesures_ Budget_ Maximaliste'!$A$4:$C$32,3,0)</f>
        <v>ACE-CV</v>
      </c>
      <c r="H118" s="496" t="str">
        <f>VLOOKUP(E118,'5.2 Actions'!$A$3:$D$720,4,0)</f>
        <v>SEN / CAN</v>
      </c>
      <c r="I118" s="497">
        <v>0</v>
      </c>
    </row>
    <row r="119" spans="1:9" s="494" customFormat="1" ht="28.5" hidden="1" outlineLevel="1" collapsed="1" x14ac:dyDescent="0.25">
      <c r="D119" s="500" t="s">
        <v>8</v>
      </c>
      <c r="E119" s="500"/>
      <c r="F119" s="501" t="str">
        <f>VLOOKUP(D119,'1. Mesures'!$A$2:$B$116,2,0)</f>
        <v>Mettre en place un système de régulation des débits circulant dans le réseau d’assainissement pour réduire la fréquence des déversements au niveau des déversoirs d’orage et assurer un meilleur traitement des eaux usées</v>
      </c>
      <c r="G119" s="501"/>
      <c r="H119" s="501"/>
      <c r="I119" s="502">
        <f>SUBTOTAL(9,I120:I128)</f>
        <v>0</v>
      </c>
    </row>
    <row r="120" spans="1:9" ht="30" hidden="1" outlineLevel="2" x14ac:dyDescent="0.25">
      <c r="A120" s="114" t="str">
        <f t="shared" ref="A120:A128" si="24">MID(E120,1,1)</f>
        <v>1</v>
      </c>
      <c r="B120" t="str">
        <f t="shared" ref="B120:B128" si="25">MID(E120,3,1)</f>
        <v>9</v>
      </c>
      <c r="C120" s="114" t="str">
        <f t="shared" ref="C120:C128" si="26">MID(E120,5,2)</f>
        <v>1</v>
      </c>
      <c r="D120" s="495" t="s">
        <v>8</v>
      </c>
      <c r="E120" s="495" t="s">
        <v>843</v>
      </c>
      <c r="F120" s="496" t="str">
        <f>VLOOKUP(E120,'5.2 Actions'!$A$3:$B$720,2,0)</f>
        <v xml:space="preserve">Coordonner les acteurs de l'eau autour de cette thématique </v>
      </c>
      <c r="G120" s="496" t="str">
        <f>"ACE"&amp;"-"&amp;VLOOKUP(D120,'6. Mesures_ Budget_ Maximaliste'!$A$4:$C$32,3,0)</f>
        <v>ACE-CV</v>
      </c>
      <c r="H120" s="496" t="str">
        <f>VLOOKUP(E120,'5.2 Actions'!$A$3:$D$720,4,0)</f>
        <v>SEN / WOL / CAN</v>
      </c>
      <c r="I120" s="497">
        <v>0</v>
      </c>
    </row>
    <row r="121" spans="1:9" hidden="1" outlineLevel="2" x14ac:dyDescent="0.25">
      <c r="A121" s="114" t="str">
        <f t="shared" si="24"/>
        <v>1</v>
      </c>
      <c r="B121" t="str">
        <f t="shared" si="25"/>
        <v>9</v>
      </c>
      <c r="C121" s="114" t="str">
        <f t="shared" si="26"/>
        <v>2</v>
      </c>
      <c r="D121" s="495" t="s">
        <v>8</v>
      </c>
      <c r="E121" s="495" t="s">
        <v>844</v>
      </c>
      <c r="F121" s="496" t="str">
        <f>VLOOKUP(E121,'5.2 Actions'!$A$3:$B$720,2,0)</f>
        <v>Analyser les modifications des règles de fonctionnement des bassins d'orage</v>
      </c>
      <c r="G121" s="496" t="str">
        <f>"ACE"&amp;"-"&amp;VLOOKUP(D121,'6. Mesures_ Budget_ Maximaliste'!$A$4:$C$32,3,0)</f>
        <v>ACE-CV</v>
      </c>
      <c r="H121" s="496" t="str">
        <f>VLOOKUP(E121,'5.2 Actions'!$A$3:$D$720,4,0)</f>
        <v>SEN / WOL</v>
      </c>
      <c r="I121" s="497">
        <v>0</v>
      </c>
    </row>
    <row r="122" spans="1:9" hidden="1" outlineLevel="2" x14ac:dyDescent="0.25">
      <c r="A122" s="114" t="str">
        <f t="shared" si="24"/>
        <v>1</v>
      </c>
      <c r="B122" t="str">
        <f t="shared" si="25"/>
        <v>9</v>
      </c>
      <c r="C122" s="114" t="str">
        <f t="shared" si="26"/>
        <v>3</v>
      </c>
      <c r="D122" s="495" t="s">
        <v>8</v>
      </c>
      <c r="E122" s="495" t="s">
        <v>845</v>
      </c>
      <c r="F122" s="496" t="str">
        <f>VLOOKUP(E122,'5.2 Actions'!$A$3:$B$720,2,0)</f>
        <v xml:space="preserve">Procéder à la mise en œuvre d’un projet-pilote dans la vallée du Maelbeek </v>
      </c>
      <c r="G122" s="496" t="str">
        <f>"ACE"&amp;"-"&amp;VLOOKUP(D122,'6. Mesures_ Budget_ Maximaliste'!$A$4:$C$32,3,0)</f>
        <v>ACE-CV</v>
      </c>
      <c r="H122" s="496" t="str">
        <f>VLOOKUP(E122,'5.2 Actions'!$A$3:$D$720,4,0)</f>
        <v>SEN</v>
      </c>
      <c r="I122" s="497">
        <v>1400000</v>
      </c>
    </row>
    <row r="123" spans="1:9" hidden="1" outlineLevel="2" x14ac:dyDescent="0.25">
      <c r="A123" s="114" t="str">
        <f t="shared" si="24"/>
        <v>1</v>
      </c>
      <c r="B123" t="str">
        <f t="shared" si="25"/>
        <v>9</v>
      </c>
      <c r="C123" s="114" t="str">
        <f t="shared" si="26"/>
        <v>4</v>
      </c>
      <c r="D123" s="495" t="s">
        <v>8</v>
      </c>
      <c r="E123" s="495" t="s">
        <v>846</v>
      </c>
      <c r="F123" s="496" t="str">
        <f>VLOOKUP(E123,'5.2 Actions'!$A$3:$B$720,2,0)</f>
        <v>Assurer la surveillance et le bon fonctionnement du système mis place (1.9.4), établir un retour d’expérience pour l’élargir à d’autres vallées</v>
      </c>
      <c r="G123" s="496" t="str">
        <f>"ACE"&amp;"-"&amp;VLOOKUP(D123,'6. Mesures_ Budget_ Maximaliste'!$A$4:$C$32,3,0)</f>
        <v>ACE-CV</v>
      </c>
      <c r="H123" s="496" t="str">
        <f>VLOOKUP(E123,'5.2 Actions'!$A$3:$D$720,4,0)</f>
        <v>SEN</v>
      </c>
      <c r="I123" s="497">
        <v>100000</v>
      </c>
    </row>
    <row r="124" spans="1:9" ht="30" hidden="1" outlineLevel="2" x14ac:dyDescent="0.25">
      <c r="A124" s="114" t="str">
        <f t="shared" si="24"/>
        <v>1</v>
      </c>
      <c r="B124" t="str">
        <f t="shared" si="25"/>
        <v>9</v>
      </c>
      <c r="C124" s="114" t="str">
        <f t="shared" si="26"/>
        <v>5</v>
      </c>
      <c r="D124" s="495" t="s">
        <v>8</v>
      </c>
      <c r="E124" s="495" t="s">
        <v>847</v>
      </c>
      <c r="F124" s="496" t="str">
        <f>VLOOKUP(E124,'5.2 Actions'!$A$3:$B$720,2,0)</f>
        <v>Etudier et élaborer un système de prévisions du comportement du réseau et une stratégie de régulation des débits dans la vallée de la Senne (Bruxelles-centre)</v>
      </c>
      <c r="G124" s="496" t="str">
        <f>"ACE"&amp;"-"&amp;VLOOKUP(D124,'6. Mesures_ Budget_ Maximaliste'!$A$4:$C$32,3,0)</f>
        <v>ACE-CV</v>
      </c>
      <c r="H124" s="496" t="str">
        <f>VLOOKUP(E124,'5.2 Actions'!$A$3:$D$720,4,0)</f>
        <v>SEN</v>
      </c>
      <c r="I124" s="497">
        <v>100000</v>
      </c>
    </row>
    <row r="125" spans="1:9" hidden="1" outlineLevel="2" x14ac:dyDescent="0.25">
      <c r="A125" s="114" t="str">
        <f t="shared" si="24"/>
        <v>1</v>
      </c>
      <c r="B125" t="str">
        <f t="shared" si="25"/>
        <v>9</v>
      </c>
      <c r="C125" s="114" t="str">
        <f t="shared" si="26"/>
        <v>6</v>
      </c>
      <c r="D125" s="495" t="s">
        <v>8</v>
      </c>
      <c r="E125" s="495" t="s">
        <v>848</v>
      </c>
      <c r="F125" s="496" t="str">
        <f>VLOOKUP(E125,'5.2 Actions'!$A$3:$B$720,2,0)</f>
        <v>Mettre en place des dispositifs de contrôle des débits  (Projet-pilote dans la vallée de la Senne (Bruxelles-centre)</v>
      </c>
      <c r="G125" s="496" t="str">
        <f>"ACE"&amp;"-"&amp;VLOOKUP(D125,'6. Mesures_ Budget_ Maximaliste'!$A$4:$C$32,3,0)</f>
        <v>ACE-CV</v>
      </c>
      <c r="H125" s="496" t="str">
        <f>VLOOKUP(E125,'5.2 Actions'!$A$3:$D$720,4,0)</f>
        <v>SEN</v>
      </c>
      <c r="I125" s="497">
        <v>300000</v>
      </c>
    </row>
    <row r="126" spans="1:9" hidden="1" outlineLevel="2" x14ac:dyDescent="0.25">
      <c r="A126" s="114" t="str">
        <f t="shared" si="24"/>
        <v>1</v>
      </c>
      <c r="B126" t="str">
        <f t="shared" si="25"/>
        <v>9</v>
      </c>
      <c r="C126" s="114" t="str">
        <f t="shared" si="26"/>
        <v>7</v>
      </c>
      <c r="D126" s="495" t="s">
        <v>8</v>
      </c>
      <c r="E126" s="495" t="s">
        <v>849</v>
      </c>
      <c r="F126" s="496" t="str">
        <f>VLOOKUP(E126,'5.2 Actions'!$A$3:$B$720,2,0)</f>
        <v>Assurer la surveillance et le bon fonctionnement du système mis en place (1.9.7), établir un retour d’expérience pour l’élargir à d’autres vallées</v>
      </c>
      <c r="G126" s="496" t="str">
        <f>"ACE"&amp;"-"&amp;VLOOKUP(D126,'6. Mesures_ Budget_ Maximaliste'!$A$4:$C$32,3,0)</f>
        <v>ACE-CV</v>
      </c>
      <c r="H126" s="496" t="str">
        <f>VLOOKUP(E126,'5.2 Actions'!$A$3:$D$720,4,0)</f>
        <v>SEN</v>
      </c>
      <c r="I126" s="497">
        <v>20000</v>
      </c>
    </row>
    <row r="127" spans="1:9" hidden="1" outlineLevel="2" x14ac:dyDescent="0.25">
      <c r="A127" s="114" t="str">
        <f t="shared" si="24"/>
        <v>1</v>
      </c>
      <c r="B127" t="str">
        <f t="shared" si="25"/>
        <v>9</v>
      </c>
      <c r="C127" s="114" t="str">
        <f t="shared" si="26"/>
        <v>8</v>
      </c>
      <c r="D127" s="495" t="s">
        <v>8</v>
      </c>
      <c r="E127" s="495" t="s">
        <v>850</v>
      </c>
      <c r="F127" s="496" t="str">
        <f>VLOOKUP(E127,'5.2 Actions'!$A$3:$B$720,2,0)</f>
        <v>Procéder à la mise en œuvre dans d’autres vallées sur base du retour d’expérience dans la vallée du Maelbeek (si pertinent)</v>
      </c>
      <c r="G127" s="496" t="str">
        <f>"ACE"&amp;"-"&amp;VLOOKUP(D127,'6. Mesures_ Budget_ Maximaliste'!$A$4:$C$32,3,0)</f>
        <v>ACE-CV</v>
      </c>
      <c r="H127" s="496" t="str">
        <f>VLOOKUP(E127,'5.2 Actions'!$A$3:$D$720,4,0)</f>
        <v>SEN / WOL</v>
      </c>
      <c r="I127" s="497">
        <v>2950000</v>
      </c>
    </row>
    <row r="128" spans="1:9" ht="30" hidden="1" outlineLevel="2" x14ac:dyDescent="0.25">
      <c r="A128" s="114" t="str">
        <f t="shared" si="24"/>
        <v>1</v>
      </c>
      <c r="B128" t="str">
        <f t="shared" si="25"/>
        <v>9</v>
      </c>
      <c r="C128" s="114" t="str">
        <f t="shared" si="26"/>
        <v>A</v>
      </c>
      <c r="D128" s="495" t="s">
        <v>8</v>
      </c>
      <c r="E128" s="495" t="s">
        <v>851</v>
      </c>
      <c r="F128" s="496" t="str">
        <f>VLOOKUP(E128,'5.2 Actions'!$A$3:$B$720,2,0)</f>
        <v>Etudier le fonctionnement des réseaux et leurs interactions, par le biais d’actions de modélisation (cf. M 5.29)</v>
      </c>
      <c r="G128" s="496" t="str">
        <f>"ACE"&amp;"-"&amp;VLOOKUP(D128,'6. Mesures_ Budget_ Maximaliste'!$A$4:$C$32,3,0)</f>
        <v>ACE-CV</v>
      </c>
      <c r="H128" s="496" t="str">
        <f>VLOOKUP(E128,'5.2 Actions'!$A$3:$D$720,4,0)</f>
        <v>SEN / WOL / CAN</v>
      </c>
      <c r="I128" s="497">
        <v>0</v>
      </c>
    </row>
    <row r="129" spans="1:9" s="494" customFormat="1" hidden="1" outlineLevel="1" collapsed="1" x14ac:dyDescent="0.25">
      <c r="D129" s="500" t="s">
        <v>9</v>
      </c>
      <c r="E129" s="500"/>
      <c r="F129" s="501" t="str">
        <f>VLOOKUP(D129,'1. Mesures'!$A$2:$B$116,2,0)</f>
        <v>Réaliser les chainons manquants entre le réseau public d'égouttage et les collecteurs (égouts "orphelins")</v>
      </c>
      <c r="G129" s="501"/>
      <c r="H129" s="501"/>
      <c r="I129" s="502">
        <f>SUBTOTAL(9,I130:I133)</f>
        <v>0</v>
      </c>
    </row>
    <row r="130" spans="1:9" ht="30" hidden="1" outlineLevel="2" x14ac:dyDescent="0.25">
      <c r="A130" s="114" t="str">
        <f>MID(E130,1,1)</f>
        <v>1</v>
      </c>
      <c r="B130" t="str">
        <f>MID(E130,3,2)</f>
        <v>10</v>
      </c>
      <c r="C130" s="114" t="str">
        <f>MID(E130,6,2)</f>
        <v>1</v>
      </c>
      <c r="D130" s="495" t="s">
        <v>9</v>
      </c>
      <c r="E130" s="495" t="s">
        <v>650</v>
      </c>
      <c r="F130" s="496" t="str">
        <f>VLOOKUP(E130,'5.2 Actions'!$A$3:$B$720,2,0)</f>
        <v>Pour les 4 points de rejets identifiés, procéder à la finalisation des études, à l’obtention des autorisations et aux travaux de raccordement de ces égouts orphelins aux réseaux d’égouttage connectés aux STEPs</v>
      </c>
      <c r="G130" s="496" t="str">
        <f>"ACE"&amp;"-"&amp;VLOOKUP(D130,'6. Mesures_ Budget_ Maximaliste'!$A$4:$C$32,3,0)</f>
        <v>ACE-CV</v>
      </c>
      <c r="H130" s="496" t="str">
        <f>VLOOKUP(E130,'5.2 Actions'!$A$3:$D$720,4,0)</f>
        <v>SEN</v>
      </c>
      <c r="I130" s="497">
        <v>1400000</v>
      </c>
    </row>
    <row r="131" spans="1:9" hidden="1" outlineLevel="2" x14ac:dyDescent="0.25">
      <c r="A131" s="114" t="str">
        <f>MID(E131,1,1)</f>
        <v>1</v>
      </c>
      <c r="B131" t="str">
        <f>MID(E131,3,2)</f>
        <v>10</v>
      </c>
      <c r="C131" s="114" t="str">
        <f>MID(E131,6,2)</f>
        <v>2</v>
      </c>
      <c r="D131" s="495" t="s">
        <v>9</v>
      </c>
      <c r="E131" s="495" t="s">
        <v>651</v>
      </c>
      <c r="F131" s="496" t="str">
        <f>VLOOKUP(E131,'5.2 Actions'!$A$3:$B$720,2,0)</f>
        <v xml:space="preserve"> Identifier d’autres chainons manquants du réseau d’assainissement public (« égouts orphelins ») sur base de pollution éventuelle et de la mesure M1.5</v>
      </c>
      <c r="G131" s="496" t="str">
        <f>"ACE"&amp;"-"&amp;VLOOKUP(D131,'6. Mesures_ Budget_ Maximaliste'!$A$4:$C$32,3,0)</f>
        <v>ACE-CV</v>
      </c>
      <c r="H131" s="496" t="str">
        <f>VLOOKUP(E131,'5.2 Actions'!$A$3:$D$720,4,0)</f>
        <v>SEN / CAN</v>
      </c>
      <c r="I131" s="497">
        <v>0</v>
      </c>
    </row>
    <row r="132" spans="1:9" hidden="1" outlineLevel="2" x14ac:dyDescent="0.25">
      <c r="A132" s="114" t="str">
        <f>MID(E132,1,1)</f>
        <v>1</v>
      </c>
      <c r="B132" t="str">
        <f>MID(E132,3,2)</f>
        <v>10</v>
      </c>
      <c r="C132" s="114" t="str">
        <f>MID(E132,6,2)</f>
        <v>3</v>
      </c>
      <c r="D132" s="495" t="s">
        <v>9</v>
      </c>
      <c r="E132" s="495" t="s">
        <v>652</v>
      </c>
      <c r="F132" s="496" t="str">
        <f>VLOOKUP(E132,'5.2 Actions'!$A$3:$B$720,2,0)</f>
        <v>Procéder aux études et travaux de raccordement  aux réseaux d’égouttage connectés aux STEPs d’autres égouts orphelins qui auraient été identifiés</v>
      </c>
      <c r="G132" s="496" t="str">
        <f>"ACE"&amp;"-"&amp;VLOOKUP(D132,'6. Mesures_ Budget_ Maximaliste'!$A$4:$C$32,3,0)</f>
        <v>ACE-CV</v>
      </c>
      <c r="H132" s="496" t="str">
        <f>VLOOKUP(E132,'5.2 Actions'!$A$3:$D$720,4,0)</f>
        <v>SEN / CAN</v>
      </c>
      <c r="I132" s="497">
        <v>900000</v>
      </c>
    </row>
    <row r="133" spans="1:9" ht="30" hidden="1" outlineLevel="2" x14ac:dyDescent="0.25">
      <c r="A133" s="114" t="str">
        <f>MID(E133,1,1)</f>
        <v>1</v>
      </c>
      <c r="B133" t="str">
        <f>MID(E133,3,2)</f>
        <v>10</v>
      </c>
      <c r="C133" s="114" t="str">
        <f>MID(E133,6,2)</f>
        <v>4</v>
      </c>
      <c r="D133" s="495" t="s">
        <v>9</v>
      </c>
      <c r="E133" s="495" t="s">
        <v>653</v>
      </c>
      <c r="F133" s="496" t="str">
        <f>VLOOKUP(E133,'5.2 Actions'!$A$3:$B$720,2,0)</f>
        <v>Actualiser la carte des zones égouttées, mais non raccordées aux stations d’épuration dans l’inventaire BE des émissions polluantes vers les eaux de surface (WEISS)</v>
      </c>
      <c r="G133" s="496" t="str">
        <f>"ACE"&amp;"-"&amp;VLOOKUP(D133,'6. Mesures_ Budget_ Maximaliste'!$A$4:$C$32,3,0)</f>
        <v>ACE-CV</v>
      </c>
      <c r="H133" s="496" t="str">
        <f>VLOOKUP(E133,'5.2 Actions'!$A$3:$D$720,4,0)</f>
        <v>SEN / WOL / CAN</v>
      </c>
      <c r="I133" s="497">
        <v>0</v>
      </c>
    </row>
    <row r="134" spans="1:9" s="494" customFormat="1" hidden="1" outlineLevel="1" collapsed="1" x14ac:dyDescent="0.25">
      <c r="D134" s="500" t="s">
        <v>10</v>
      </c>
      <c r="E134" s="500"/>
      <c r="F134" s="501" t="str">
        <f>VLOOKUP(D134,'1. Mesures'!$A$2:$B$116,2,0)</f>
        <v>Assurer la gestion des déchets macroscopiques dans les masses d'eau, en particulier après les épisodes de déversement</v>
      </c>
      <c r="G134" s="501"/>
      <c r="H134" s="501"/>
      <c r="I134" s="502">
        <f>SUBTOTAL(9,I135:I148)</f>
        <v>0</v>
      </c>
    </row>
    <row r="135" spans="1:9" ht="30" hidden="1" outlineLevel="2" x14ac:dyDescent="0.25">
      <c r="A135" s="114" t="str">
        <f t="shared" ref="A135:A148" si="27">MID(E135,1,1)</f>
        <v>1</v>
      </c>
      <c r="B135" t="str">
        <f t="shared" ref="B135:B148" si="28">MID(E135,3,2)</f>
        <v>11</v>
      </c>
      <c r="C135" s="114" t="str">
        <f t="shared" ref="C135:C148" si="29">MID(E135,6,2)</f>
        <v>1</v>
      </c>
      <c r="D135" s="495" t="s">
        <v>10</v>
      </c>
      <c r="E135" s="495" t="s">
        <v>654</v>
      </c>
      <c r="F135" s="496" t="str">
        <f>VLOOKUP(E135,'5.2 Actions'!$A$3:$B$720,2,0)</f>
        <v>Poursuivre le nettoyage régulier des macro-déchets flottants du Canal au moyen des bateaux et des litter traps, et des éventuels nouveaux dispositifs installés au niveau du Canal</v>
      </c>
      <c r="G135" s="496" t="str">
        <f>"ACE"&amp;"-"&amp;VLOOKUP(D135,'6. Mesures_ Budget_ Maximaliste'!$A$4:$C$32,3,0)</f>
        <v>ACE-PP</v>
      </c>
      <c r="H135" s="496" t="str">
        <f>VLOOKUP(E135,'5.2 Actions'!$A$3:$D$720,4,0)</f>
        <v>CAN</v>
      </c>
      <c r="I135" s="497">
        <v>0</v>
      </c>
    </row>
    <row r="136" spans="1:9" hidden="1" outlineLevel="2" x14ac:dyDescent="0.25">
      <c r="A136" s="114" t="str">
        <f t="shared" si="27"/>
        <v>1</v>
      </c>
      <c r="B136" t="str">
        <f t="shared" si="28"/>
        <v>11</v>
      </c>
      <c r="C136" s="114" t="str">
        <f t="shared" si="29"/>
        <v>2</v>
      </c>
      <c r="D136" s="495" t="s">
        <v>10</v>
      </c>
      <c r="E136" s="495" t="s">
        <v>657</v>
      </c>
      <c r="F136" s="496" t="str">
        <f>VLOOKUP(E136,'5.2 Actions'!$A$3:$B$720,2,0)</f>
        <v>Identifier les zones d’accumulation de macro-déchets flottants dans le Canal, et des conditions et voies d’entrée principales</v>
      </c>
      <c r="G136" s="496" t="str">
        <f>"ACE"&amp;"-"&amp;VLOOKUP(D136,'6. Mesures_ Budget_ Maximaliste'!$A$4:$C$32,3,0)</f>
        <v>ACE-PP</v>
      </c>
      <c r="H136" s="496" t="str">
        <f>VLOOKUP(E136,'5.2 Actions'!$A$3:$D$720,4,0)</f>
        <v>CAN</v>
      </c>
      <c r="I136" s="497">
        <v>0</v>
      </c>
    </row>
    <row r="137" spans="1:9" ht="30" hidden="1" outlineLevel="2" x14ac:dyDescent="0.25">
      <c r="A137" s="114" t="str">
        <f t="shared" si="27"/>
        <v>1</v>
      </c>
      <c r="B137" t="str">
        <f t="shared" si="28"/>
        <v>11</v>
      </c>
      <c r="C137" s="114" t="str">
        <f t="shared" si="29"/>
        <v>3</v>
      </c>
      <c r="D137" s="495" t="s">
        <v>10</v>
      </c>
      <c r="E137" s="495" t="s">
        <v>658</v>
      </c>
      <c r="F137" s="496" t="str">
        <f>VLOOKUP(E137,'5.2 Actions'!$A$3:$B$720,2,0)</f>
        <v>Réaliser une étude sur la gestion actuelle des macro-déchets flottants dans le Canal (évaluation sur une éventuelle optimisation de cette gestion par de nouveaux dispositifs et le choix de ceux-ci)</v>
      </c>
      <c r="G137" s="496" t="str">
        <f>"ACE"&amp;"-"&amp;VLOOKUP(D137,'6. Mesures_ Budget_ Maximaliste'!$A$4:$C$32,3,0)</f>
        <v>ACE-PP</v>
      </c>
      <c r="H137" s="496" t="str">
        <f>VLOOKUP(E137,'5.2 Actions'!$A$3:$D$720,4,0)</f>
        <v>CAN</v>
      </c>
      <c r="I137" s="497">
        <v>22000</v>
      </c>
    </row>
    <row r="138" spans="1:9" ht="30" hidden="1" outlineLevel="2" x14ac:dyDescent="0.25">
      <c r="A138" s="114" t="str">
        <f t="shared" si="27"/>
        <v>1</v>
      </c>
      <c r="B138" t="str">
        <f t="shared" si="28"/>
        <v>11</v>
      </c>
      <c r="C138" s="114" t="str">
        <f t="shared" si="29"/>
        <v>4</v>
      </c>
      <c r="D138" s="495" t="s">
        <v>10</v>
      </c>
      <c r="E138" s="495" t="s">
        <v>659</v>
      </c>
      <c r="F138" s="496" t="str">
        <f>VLOOKUP(E138,'5.2 Actions'!$A$3:$B$720,2,0)</f>
        <v>Installer de nouveaux dispositifs de capture des macro-déchets flottants au niveau du Canal et mettre en œuvre de nouvelles mesures de gestion, suivant les recommandations de l’étude (1.11.3)</v>
      </c>
      <c r="G138" s="496" t="str">
        <f>"ACE"&amp;"-"&amp;VLOOKUP(D138,'6. Mesures_ Budget_ Maximaliste'!$A$4:$C$32,3,0)</f>
        <v>ACE-PP</v>
      </c>
      <c r="H138" s="496" t="str">
        <f>VLOOKUP(E138,'5.2 Actions'!$A$3:$D$720,4,0)</f>
        <v>CAN</v>
      </c>
      <c r="I138" s="497">
        <v>200000</v>
      </c>
    </row>
    <row r="139" spans="1:9" hidden="1" outlineLevel="2" x14ac:dyDescent="0.25">
      <c r="A139" s="114" t="str">
        <f t="shared" si="27"/>
        <v>1</v>
      </c>
      <c r="B139" t="str">
        <f t="shared" si="28"/>
        <v>11</v>
      </c>
      <c r="C139" s="114" t="str">
        <f t="shared" si="29"/>
        <v>5</v>
      </c>
      <c r="D139" s="495" t="s">
        <v>10</v>
      </c>
      <c r="E139" s="495" t="s">
        <v>660</v>
      </c>
      <c r="F139" s="496" t="str">
        <f>VLOOKUP(E139,'5.2 Actions'!$A$3:$B$720,2,0)</f>
        <v>Faire l’acquisition d’un troisième bateau de ramassage de déchets</v>
      </c>
      <c r="G139" s="496" t="str">
        <f>"ACE"&amp;"-"&amp;VLOOKUP(D139,'6. Mesures_ Budget_ Maximaliste'!$A$4:$C$32,3,0)</f>
        <v>ACE-PP</v>
      </c>
      <c r="H139" s="496" t="str">
        <f>VLOOKUP(E139,'5.2 Actions'!$A$3:$D$720,4,0)</f>
        <v>CAN</v>
      </c>
      <c r="I139" s="497">
        <v>0</v>
      </c>
    </row>
    <row r="140" spans="1:9" hidden="1" outlineLevel="2" x14ac:dyDescent="0.25">
      <c r="A140" s="114" t="str">
        <f t="shared" si="27"/>
        <v>1</v>
      </c>
      <c r="B140" t="str">
        <f t="shared" si="28"/>
        <v>11</v>
      </c>
      <c r="C140" s="114" t="str">
        <f t="shared" si="29"/>
        <v>6</v>
      </c>
      <c r="D140" s="495" t="s">
        <v>10</v>
      </c>
      <c r="E140" s="495" t="s">
        <v>661</v>
      </c>
      <c r="F140" s="496" t="str">
        <f>VLOOKUP(E140,'5.2 Actions'!$A$3:$B$720,2,0)</f>
        <v>Créer un pool de nettoyage à l’écluse d’Anderlecht</v>
      </c>
      <c r="G140" s="496" t="str">
        <f>"ACE"&amp;"-"&amp;VLOOKUP(D140,'6. Mesures_ Budget_ Maximaliste'!$A$4:$C$32,3,0)</f>
        <v>ACE-PP</v>
      </c>
      <c r="H140" s="496" t="str">
        <f>VLOOKUP(E140,'5.2 Actions'!$A$3:$D$720,4,0)</f>
        <v>CAN</v>
      </c>
      <c r="I140" s="497">
        <v>0</v>
      </c>
    </row>
    <row r="141" spans="1:9" hidden="1" outlineLevel="2" x14ac:dyDescent="0.25">
      <c r="A141" s="114" t="str">
        <f t="shared" si="27"/>
        <v>1</v>
      </c>
      <c r="B141" t="str">
        <f t="shared" si="28"/>
        <v>11</v>
      </c>
      <c r="C141" s="114" t="str">
        <f t="shared" si="29"/>
        <v>7</v>
      </c>
      <c r="D141" s="495" t="s">
        <v>10</v>
      </c>
      <c r="E141" s="495" t="s">
        <v>662</v>
      </c>
      <c r="F141" s="496" t="str">
        <f>VLOOKUP(E141,'5.2 Actions'!$A$3:$B$720,2,0)</f>
        <v>Assurer le dégrillage des eaux du Neerpedebeek en amont de sa confluence avec le Canal</v>
      </c>
      <c r="G141" s="496" t="str">
        <f>"ACE"&amp;"-"&amp;VLOOKUP(D141,'6. Mesures_ Budget_ Maximaliste'!$A$4:$C$32,3,0)</f>
        <v>ACE-PP</v>
      </c>
      <c r="H141" s="496" t="str">
        <f>VLOOKUP(E141,'5.2 Actions'!$A$3:$D$720,4,0)</f>
        <v>CAN</v>
      </c>
      <c r="I141" s="497">
        <v>0</v>
      </c>
    </row>
    <row r="142" spans="1:9" hidden="1" outlineLevel="2" x14ac:dyDescent="0.25">
      <c r="A142" s="114" t="str">
        <f t="shared" si="27"/>
        <v>1</v>
      </c>
      <c r="B142" t="str">
        <f t="shared" si="28"/>
        <v>11</v>
      </c>
      <c r="C142" s="114" t="str">
        <f t="shared" si="29"/>
        <v>8</v>
      </c>
      <c r="D142" s="495" t="s">
        <v>10</v>
      </c>
      <c r="E142" s="495" t="s">
        <v>663</v>
      </c>
      <c r="F142" s="496" t="str">
        <f>VLOOKUP(E142,'5.2 Actions'!$A$3:$B$720,2,0)</f>
        <v>Etudier les meilleures solutions de rétention ou de collecte des macro-déchets flottants au niveau des déversoirs</v>
      </c>
      <c r="G142" s="496" t="str">
        <f>"ACE"&amp;"-"&amp;VLOOKUP(D142,'6. Mesures_ Budget_ Maximaliste'!$A$4:$C$32,3,0)</f>
        <v>ACE-PP</v>
      </c>
      <c r="H142" s="496" t="str">
        <f>VLOOKUP(E142,'5.2 Actions'!$A$3:$D$720,4,0)</f>
        <v>SEN / CAN</v>
      </c>
      <c r="I142" s="497">
        <v>0</v>
      </c>
    </row>
    <row r="143" spans="1:9" hidden="1" outlineLevel="2" x14ac:dyDescent="0.25">
      <c r="A143" s="114" t="str">
        <f t="shared" si="27"/>
        <v>1</v>
      </c>
      <c r="B143" t="str">
        <f t="shared" si="28"/>
        <v>11</v>
      </c>
      <c r="C143" s="114" t="str">
        <f t="shared" si="29"/>
        <v>9</v>
      </c>
      <c r="D143" s="495" t="s">
        <v>10</v>
      </c>
      <c r="E143" s="495" t="s">
        <v>664</v>
      </c>
      <c r="F143" s="496" t="str">
        <f>VLOOKUP(E143,'5.2 Actions'!$A$3:$B$720,2,0)</f>
        <v>Équiper les déversoirs des dispositifs retenus (lien vers la mesure M 1.8)</v>
      </c>
      <c r="G143" s="496" t="str">
        <f>"ACE"&amp;"-"&amp;VLOOKUP(D143,'6. Mesures_ Budget_ Maximaliste'!$A$4:$C$32,3,0)</f>
        <v>ACE-PP</v>
      </c>
      <c r="H143" s="496" t="str">
        <f>VLOOKUP(E143,'5.2 Actions'!$A$3:$D$720,4,0)</f>
        <v>SEN / CAN</v>
      </c>
      <c r="I143" s="497">
        <v>0</v>
      </c>
    </row>
    <row r="144" spans="1:9" hidden="1" outlineLevel="2" x14ac:dyDescent="0.25">
      <c r="A144" s="114" t="str">
        <f t="shared" si="27"/>
        <v>1</v>
      </c>
      <c r="B144" t="str">
        <f t="shared" si="28"/>
        <v>11</v>
      </c>
      <c r="C144" s="114" t="str">
        <f t="shared" si="29"/>
        <v>10</v>
      </c>
      <c r="D144" s="495" t="s">
        <v>10</v>
      </c>
      <c r="E144" s="495" t="s">
        <v>655</v>
      </c>
      <c r="F144" s="496" t="str">
        <f>VLOOKUP(E144,'5.2 Actions'!$A$3:$B$720,2,0)</f>
        <v>Entretenir le système de dégrillage de la Senne au niveau de la rue des Vétérinaires à Anderlecht</v>
      </c>
      <c r="G144" s="496" t="str">
        <f>"ACE"&amp;"-"&amp;VLOOKUP(D144,'6. Mesures_ Budget_ Maximaliste'!$A$4:$C$32,3,0)</f>
        <v>ACE-PP</v>
      </c>
      <c r="H144" s="496" t="str">
        <f>VLOOKUP(E144,'5.2 Actions'!$A$3:$D$720,4,0)</f>
        <v>SEN</v>
      </c>
      <c r="I144" s="497">
        <v>210000</v>
      </c>
    </row>
    <row r="145" spans="1:9" ht="30" hidden="1" outlineLevel="2" x14ac:dyDescent="0.25">
      <c r="A145" s="114" t="str">
        <f t="shared" si="27"/>
        <v>1</v>
      </c>
      <c r="B145" t="str">
        <f t="shared" si="28"/>
        <v>11</v>
      </c>
      <c r="C145" s="114" t="str">
        <f t="shared" si="29"/>
        <v>11</v>
      </c>
      <c r="D145" s="495" t="s">
        <v>10</v>
      </c>
      <c r="E145" s="495" t="s">
        <v>656</v>
      </c>
      <c r="F145" s="496" t="str">
        <f>VLOOKUP(E145,'5.2 Actions'!$A$3:$B$720,2,0)</f>
        <v xml:space="preserve">Etudier et expérimenter la mise en place de systèmes de rétention des macro-déchets flottants sur les affluents de la Senne, en coordination avec les éco-cantonniers de BE </v>
      </c>
      <c r="G145" s="496" t="str">
        <f>"ACE"&amp;"-"&amp;VLOOKUP(D145,'6. Mesures_ Budget_ Maximaliste'!$A$4:$C$32,3,0)</f>
        <v>ACE-PP</v>
      </c>
      <c r="H145" s="496" t="str">
        <f>VLOOKUP(E145,'5.2 Actions'!$A$3:$D$720,4,0)</f>
        <v>SEN</v>
      </c>
      <c r="I145" s="497">
        <v>25000</v>
      </c>
    </row>
    <row r="146" spans="1:9" hidden="1" outlineLevel="2" x14ac:dyDescent="0.25">
      <c r="A146" s="114" t="str">
        <f t="shared" si="27"/>
        <v>1</v>
      </c>
      <c r="B146" t="str">
        <f t="shared" si="28"/>
        <v>11</v>
      </c>
      <c r="C146" s="114" t="str">
        <f t="shared" si="29"/>
        <v>A</v>
      </c>
      <c r="D146" s="495" t="s">
        <v>10</v>
      </c>
      <c r="E146" s="495" t="s">
        <v>665</v>
      </c>
      <c r="F146" s="496" t="str">
        <f>VLOOKUP(E146,'5.2 Actions'!$A$3:$B$720,2,0)</f>
        <v>Etudier la possibilité de reconnecter le Neerpedebeek à la Senne via un siphon existant (cf. M 1.27).</v>
      </c>
      <c r="G146" s="496" t="str">
        <f>"ACE"&amp;"-"&amp;VLOOKUP(D146,'6. Mesures_ Budget_ Maximaliste'!$A$4:$C$32,3,0)</f>
        <v>ACE-PP</v>
      </c>
      <c r="H146" s="496" t="str">
        <f>VLOOKUP(E146,'5.2 Actions'!$A$3:$D$720,4,0)</f>
        <v>SEN</v>
      </c>
      <c r="I146" s="497">
        <v>0</v>
      </c>
    </row>
    <row r="147" spans="1:9" ht="30" hidden="1" outlineLevel="2" x14ac:dyDescent="0.25">
      <c r="A147" s="114" t="str">
        <f t="shared" si="27"/>
        <v>1</v>
      </c>
      <c r="B147" t="str">
        <f t="shared" si="28"/>
        <v>11</v>
      </c>
      <c r="C147" s="114" t="str">
        <f t="shared" si="29"/>
        <v>B</v>
      </c>
      <c r="D147" s="495" t="s">
        <v>10</v>
      </c>
      <c r="E147" s="495" t="s">
        <v>666</v>
      </c>
      <c r="F147" s="496" t="str">
        <f>VLOOKUP(E147,'5.2 Actions'!$A$3:$B$720,2,0)</f>
        <v>Installer un système de dégrillage en aval de la Senne (au niveau de la STEP Nord) pour diminuer la quantité de macro-déchets flottants sur la Senne en aval des déversoirs principaux de la région</v>
      </c>
      <c r="G147" s="496" t="str">
        <f>"ACE"&amp;"-"&amp;VLOOKUP(D147,'6. Mesures_ Budget_ Maximaliste'!$A$4:$C$32,3,0)</f>
        <v>ACE-PP</v>
      </c>
      <c r="H147" s="496" t="str">
        <f>VLOOKUP(E147,'5.2 Actions'!$A$3:$D$720,4,0)</f>
        <v>SEN</v>
      </c>
      <c r="I147" s="497">
        <v>0</v>
      </c>
    </row>
    <row r="148" spans="1:9" ht="30" hidden="1" outlineLevel="2" x14ac:dyDescent="0.25">
      <c r="A148" s="114" t="str">
        <f t="shared" si="27"/>
        <v>1</v>
      </c>
      <c r="B148" t="str">
        <f t="shared" si="28"/>
        <v>11</v>
      </c>
      <c r="C148" s="114" t="str">
        <f t="shared" si="29"/>
        <v>C</v>
      </c>
      <c r="D148" s="495" t="s">
        <v>10</v>
      </c>
      <c r="E148" s="495" t="s">
        <v>667</v>
      </c>
      <c r="F148" s="496" t="str">
        <f>VLOOKUP(E148,'5.2 Actions'!$A$3:$B$720,2,0)</f>
        <v>Continuer la sensibilisation des citoyens pour limiter l’abandon des déchets (cf. M 1.25)</v>
      </c>
      <c r="G148" s="496" t="str">
        <f>"ACE"&amp;"-"&amp;VLOOKUP(D148,'6. Mesures_ Budget_ Maximaliste'!$A$4:$C$32,3,0)</f>
        <v>ACE-PP</v>
      </c>
      <c r="H148" s="496" t="str">
        <f>VLOOKUP(E148,'5.2 Actions'!$A$3:$D$720,4,0)</f>
        <v>SEN / WOL / CAN</v>
      </c>
      <c r="I148" s="497">
        <v>0</v>
      </c>
    </row>
    <row r="149" spans="1:9" s="494" customFormat="1" hidden="1" outlineLevel="1" collapsed="1" x14ac:dyDescent="0.25">
      <c r="D149" s="500" t="s">
        <v>11</v>
      </c>
      <c r="E149" s="500"/>
      <c r="F149" s="501" t="str">
        <f>VLOOKUP(D149,'1. Mesures'!$A$2:$B$116,2,0)</f>
        <v>Améliorer le rendement épuratoire des stations d'épuration collectives</v>
      </c>
      <c r="G149" s="501"/>
      <c r="H149" s="501"/>
      <c r="I149" s="502">
        <f>SUBTOTAL(9,I150:I156)</f>
        <v>0</v>
      </c>
    </row>
    <row r="150" spans="1:9" ht="45" hidden="1" outlineLevel="2" x14ac:dyDescent="0.25">
      <c r="A150" s="114" t="str">
        <f t="shared" ref="A150:A156" si="30">MID(E150,1,1)</f>
        <v>1</v>
      </c>
      <c r="B150" t="str">
        <f t="shared" ref="B150:B156" si="31">MID(E150,3,2)</f>
        <v>12</v>
      </c>
      <c r="C150" s="114" t="str">
        <f t="shared" ref="C150:C156" si="32">MID(E150,6,2)</f>
        <v>2</v>
      </c>
      <c r="D150" s="495" t="s">
        <v>11</v>
      </c>
      <c r="E150" s="495" t="s">
        <v>668</v>
      </c>
      <c r="F150" s="496" t="str">
        <f>VLOOKUP(E150,'5.2 Actions'!$A$3:$B$720,2,0)</f>
        <v>Etablir une liste de paramètres à étudier sur base de leur caractère problématique pour les eaux de surface (notamment ceux causant un déclassement de l’état, dont le phosphore et les micropolluants), de leur concentration dans les effluents et sur base des rendements épuratoires observés des STEPs Bruxelles-Nord et Sud</v>
      </c>
      <c r="G150" s="496" t="str">
        <f>"ACE"&amp;"-"&amp;VLOOKUP(D150,'6. Mesures_ Budget_ Maximaliste'!$A$4:$C$32,3,0)</f>
        <v>ACE-CV</v>
      </c>
      <c r="H150" s="496" t="str">
        <f>VLOOKUP(E150,'5.2 Actions'!$A$3:$D$720,4,0)</f>
        <v>SEN</v>
      </c>
      <c r="I150" s="497">
        <v>0</v>
      </c>
    </row>
    <row r="151" spans="1:9" ht="75" hidden="1" outlineLevel="2" x14ac:dyDescent="0.25">
      <c r="A151" s="114" t="str">
        <f t="shared" si="30"/>
        <v>1</v>
      </c>
      <c r="B151" t="str">
        <f t="shared" si="31"/>
        <v>12</v>
      </c>
      <c r="C151" s="114" t="str">
        <f t="shared" si="32"/>
        <v>3</v>
      </c>
      <c r="D151" s="495" t="s">
        <v>11</v>
      </c>
      <c r="E151" s="495" t="s">
        <v>669</v>
      </c>
      <c r="F151" s="496" t="str">
        <f>VLOOKUP(E151,'5.2 Actions'!$A$3:$B$720,2,0)</f>
        <v xml:space="preserve">Réaliser une étude indépendante de faisabilité de l’amélioration du rendement épuratoire des STEPs Bruxelles-Nord et Sud pour les paramètres établis précédemment : techniques disponibles, aménagements requis, coûts, besoins énergétiques et matériels et leur empreinte carbone, bénéfices attendus, planning d’implémentation possible, autres contraintes ou désavantages (comme le temps de résidence, l’emprise au sol, les besoins d’entretien de l’équipement et la génération de produits d’oxydation), et benchmarking des techniques mises en œuvre ou envisagées dans les STEPs de grandes villes européennes se rejetant également dans des cours d’eau à faible débit (notamment : Madrid, Milan, Berlin). </v>
      </c>
      <c r="G151" s="496" t="str">
        <f>"ACE"&amp;"-"&amp;VLOOKUP(D151,'6. Mesures_ Budget_ Maximaliste'!$A$4:$C$32,3,0)</f>
        <v>ACE-CV</v>
      </c>
      <c r="H151" s="496" t="str">
        <f>VLOOKUP(E151,'5.2 Actions'!$A$3:$D$720,4,0)</f>
        <v>SEN</v>
      </c>
      <c r="I151" s="497">
        <v>0</v>
      </c>
    </row>
    <row r="152" spans="1:9" hidden="1" outlineLevel="2" x14ac:dyDescent="0.25">
      <c r="A152" s="114" t="str">
        <f t="shared" si="30"/>
        <v>1</v>
      </c>
      <c r="B152" t="str">
        <f t="shared" si="31"/>
        <v>12</v>
      </c>
      <c r="C152" s="114" t="str">
        <f t="shared" si="32"/>
        <v>4</v>
      </c>
      <c r="D152" s="495" t="s">
        <v>11</v>
      </c>
      <c r="E152" s="495" t="s">
        <v>670</v>
      </c>
      <c r="F152" s="496" t="str">
        <f>VLOOKUP(E152,'5.2 Actions'!$A$3:$B$720,2,0)</f>
        <v>Evaluer l’impact de la mise en œuvre des solutions proposées sur le prix de l’eau</v>
      </c>
      <c r="G152" s="496" t="str">
        <f>"ACE"&amp;"-"&amp;VLOOKUP(D152,'6. Mesures_ Budget_ Maximaliste'!$A$4:$C$32,3,0)</f>
        <v>ACE-CV</v>
      </c>
      <c r="H152" s="496" t="str">
        <f>VLOOKUP(E152,'5.2 Actions'!$A$3:$D$720,4,0)</f>
        <v>SEN</v>
      </c>
      <c r="I152" s="497">
        <v>0</v>
      </c>
    </row>
    <row r="153" spans="1:9" hidden="1" outlineLevel="2" x14ac:dyDescent="0.25">
      <c r="A153" s="114" t="str">
        <f t="shared" si="30"/>
        <v>1</v>
      </c>
      <c r="B153" t="str">
        <f t="shared" si="31"/>
        <v>12</v>
      </c>
      <c r="C153" s="114" t="str">
        <f t="shared" si="32"/>
        <v>5</v>
      </c>
      <c r="D153" s="495" t="s">
        <v>11</v>
      </c>
      <c r="E153" s="495" t="s">
        <v>671</v>
      </c>
      <c r="F153" s="496" t="str">
        <f>VLOOKUP(E153,'5.2 Actions'!$A$3:$B$720,2,0)</f>
        <v>Etude de définition de détails et rédaction du cahier des charges des travaux</v>
      </c>
      <c r="G153" s="496" t="str">
        <f>"ACE"&amp;"-"&amp;VLOOKUP(D153,'6. Mesures_ Budget_ Maximaliste'!$A$4:$C$32,3,0)</f>
        <v>ACE-CV</v>
      </c>
      <c r="H153" s="496" t="str">
        <f>VLOOKUP(E153,'5.2 Actions'!$A$3:$D$720,4,0)</f>
        <v>SEN</v>
      </c>
      <c r="I153" s="497">
        <v>0</v>
      </c>
    </row>
    <row r="154" spans="1:9" hidden="1" outlineLevel="2" x14ac:dyDescent="0.25">
      <c r="A154" s="114" t="str">
        <f t="shared" si="30"/>
        <v>1</v>
      </c>
      <c r="B154" t="str">
        <f t="shared" si="31"/>
        <v>12</v>
      </c>
      <c r="C154" s="114" t="str">
        <f t="shared" si="32"/>
        <v>6</v>
      </c>
      <c r="D154" s="495" t="s">
        <v>11</v>
      </c>
      <c r="E154" s="495" t="s">
        <v>672</v>
      </c>
      <c r="F154" s="496" t="str">
        <f>VLOOKUP(E154,'5.2 Actions'!$A$3:$B$720,2,0)</f>
        <v>Procédure d’obtention des permis d’environnement et d’urbanisme associés au projet</v>
      </c>
      <c r="G154" s="496" t="str">
        <f>"ACE"&amp;"-"&amp;VLOOKUP(D154,'6. Mesures_ Budget_ Maximaliste'!$A$4:$C$32,3,0)</f>
        <v>ACE-CV</v>
      </c>
      <c r="H154" s="496" t="str">
        <f>VLOOKUP(E154,'5.2 Actions'!$A$3:$D$720,4,0)</f>
        <v>SEN</v>
      </c>
      <c r="I154" s="497">
        <v>0</v>
      </c>
    </row>
    <row r="155" spans="1:9" hidden="1" outlineLevel="2" x14ac:dyDescent="0.25">
      <c r="A155" s="114" t="str">
        <f t="shared" si="30"/>
        <v>1</v>
      </c>
      <c r="B155" t="str">
        <f t="shared" si="31"/>
        <v>12</v>
      </c>
      <c r="C155" s="114" t="str">
        <f t="shared" si="32"/>
        <v>7</v>
      </c>
      <c r="D155" s="495" t="s">
        <v>11</v>
      </c>
      <c r="E155" s="495" t="s">
        <v>673</v>
      </c>
      <c r="F155" s="496" t="str">
        <f>VLOOKUP(E155,'5.2 Actions'!$A$3:$B$720,2,0)</f>
        <v>Attribution du marché de travaux</v>
      </c>
      <c r="G155" s="496" t="str">
        <f>"ACE"&amp;"-"&amp;VLOOKUP(D155,'6. Mesures_ Budget_ Maximaliste'!$A$4:$C$32,3,0)</f>
        <v>ACE-CV</v>
      </c>
      <c r="H155" s="496" t="str">
        <f>VLOOKUP(E155,'5.2 Actions'!$A$3:$D$720,4,0)</f>
        <v>SEN</v>
      </c>
      <c r="I155" s="497">
        <v>0</v>
      </c>
    </row>
    <row r="156" spans="1:9" hidden="1" outlineLevel="2" x14ac:dyDescent="0.25">
      <c r="A156" s="114" t="str">
        <f t="shared" si="30"/>
        <v>1</v>
      </c>
      <c r="B156" t="str">
        <f t="shared" si="31"/>
        <v>12</v>
      </c>
      <c r="C156" s="114" t="str">
        <f t="shared" si="32"/>
        <v>8</v>
      </c>
      <c r="D156" s="495" t="s">
        <v>11</v>
      </c>
      <c r="E156" s="495" t="s">
        <v>674</v>
      </c>
      <c r="F156" s="496" t="str">
        <f>VLOOKUP(E156,'5.2 Actions'!$A$3:$B$720,2,0)</f>
        <v>Réalisation des travaux sur l’usine en fonctionnement</v>
      </c>
      <c r="G156" s="496" t="str">
        <f>"ACE"&amp;"-"&amp;VLOOKUP(D156,'6. Mesures_ Budget_ Maximaliste'!$A$4:$C$32,3,0)</f>
        <v>ACE-CV</v>
      </c>
      <c r="H156" s="496" t="str">
        <f>VLOOKUP(E156,'5.2 Actions'!$A$3:$D$720,4,0)</f>
        <v>SEN</v>
      </c>
      <c r="I156" s="497">
        <v>0</v>
      </c>
    </row>
    <row r="157" spans="1:9" s="494" customFormat="1" hidden="1" outlineLevel="1" collapsed="1" x14ac:dyDescent="0.25">
      <c r="D157" s="500" t="s">
        <v>12</v>
      </c>
      <c r="E157" s="500"/>
      <c r="F157" s="501" t="str">
        <f>VLOOKUP(D157,'1. Mesures'!$A$2:$B$116,2,0)</f>
        <v xml:space="preserve">Actualiser les normes de rejets des eaux usées </v>
      </c>
      <c r="G157" s="501"/>
      <c r="H157" s="501"/>
      <c r="I157" s="502">
        <f>SUBTOTAL(9,I158:I162)</f>
        <v>0</v>
      </c>
    </row>
    <row r="158" spans="1:9" hidden="1" outlineLevel="2" x14ac:dyDescent="0.25">
      <c r="A158" s="114" t="str">
        <f>MID(E158,1,1)</f>
        <v>1</v>
      </c>
      <c r="B158" t="str">
        <f>MID(E158,3,2)</f>
        <v>13</v>
      </c>
      <c r="C158" s="114" t="str">
        <f>MID(E158,6,2)</f>
        <v>1</v>
      </c>
      <c r="D158" s="495" t="s">
        <v>12</v>
      </c>
      <c r="E158" s="495" t="s">
        <v>2572</v>
      </c>
      <c r="F158" s="496" t="str">
        <f>VLOOKUP(E158,'5.2 Actions'!$A$3:$B$720,2,0)</f>
        <v>Réaliser un benchmarking des conditions générales et sectorielles de déversement d’eaux usées en Flandre et en Wallonie</v>
      </c>
      <c r="G158" s="496" t="str">
        <f>"ACE"&amp;"-"&amp;VLOOKUP(D158,'6. Mesures_ Budget_ Maximaliste'!$A$4:$C$32,3,0)</f>
        <v>ACE-</v>
      </c>
      <c r="H158" s="496" t="str">
        <f>VLOOKUP(E158,'5.2 Actions'!$A$3:$D$720,4,0)</f>
        <v>?</v>
      </c>
      <c r="I158" s="497">
        <v>0</v>
      </c>
    </row>
    <row r="159" spans="1:9" ht="30" hidden="1" outlineLevel="2" x14ac:dyDescent="0.25">
      <c r="A159" s="114" t="str">
        <f>MID(E159,1,1)</f>
        <v>1</v>
      </c>
      <c r="B159" t="str">
        <f>MID(E159,3,2)</f>
        <v>13</v>
      </c>
      <c r="C159" s="114" t="str">
        <f>MID(E159,6,2)</f>
        <v>2</v>
      </c>
      <c r="D159" s="495" t="s">
        <v>12</v>
      </c>
      <c r="E159" s="495" t="s">
        <v>2574</v>
      </c>
      <c r="F159" s="496" t="str">
        <f>VLOOKUP(E159,'5.2 Actions'!$A$3:$B$720,2,0)</f>
        <v xml:space="preserve">Réaliser une campagne de mesures des polluants problématiques (pour une large gamme de paramètres, connus et potentiels) émis dans les eaux usées par les principaux secteurs d’activités de la Région, dont les secteurs industriels et les hôpitaux. </v>
      </c>
      <c r="G159" s="496" t="str">
        <f>"ACE"&amp;"-"&amp;VLOOKUP(D159,'6. Mesures_ Budget_ Maximaliste'!$A$4:$C$32,3,0)</f>
        <v>ACE-</v>
      </c>
      <c r="H159" s="496" t="str">
        <f>VLOOKUP(E159,'5.2 Actions'!$A$3:$D$720,4,0)</f>
        <v>?</v>
      </c>
      <c r="I159" s="497">
        <v>100000</v>
      </c>
    </row>
    <row r="160" spans="1:9" ht="30" hidden="1" outlineLevel="2" x14ac:dyDescent="0.25">
      <c r="A160" s="114" t="str">
        <f>MID(E160,1,1)</f>
        <v>1</v>
      </c>
      <c r="B160" t="str">
        <f>MID(E160,3,2)</f>
        <v>13</v>
      </c>
      <c r="C160" s="114" t="str">
        <f>MID(E160,6,2)</f>
        <v>3</v>
      </c>
      <c r="D160" s="495" t="s">
        <v>12</v>
      </c>
      <c r="E160" s="495" t="s">
        <v>2576</v>
      </c>
      <c r="F160" s="496" t="str">
        <f>VLOOKUP(E160,'5.2 Actions'!$A$3:$B$720,2,0)</f>
        <v xml:space="preserve">Sur base des résultats de l’action 1.13.2, analyser les possibilités de réduction à la source pour l’utilisation et le rejet de certaines substances et évaluer les améliorations possibles de leur traitement  pour fixer des normes acceptables environnementalement et pouvant être respectées techniquement </v>
      </c>
      <c r="G160" s="496" t="str">
        <f>"ACE"&amp;"-"&amp;VLOOKUP(D160,'6. Mesures_ Budget_ Maximaliste'!$A$4:$C$32,3,0)</f>
        <v>ACE-</v>
      </c>
      <c r="H160" s="496" t="str">
        <f>VLOOKUP(E160,'5.2 Actions'!$A$3:$D$720,4,0)</f>
        <v>?</v>
      </c>
      <c r="I160" s="497">
        <v>100000</v>
      </c>
    </row>
    <row r="161" spans="1:9" ht="30" hidden="1" outlineLevel="2" x14ac:dyDescent="0.25">
      <c r="A161" s="114" t="str">
        <f>MID(E161,1,1)</f>
        <v>1</v>
      </c>
      <c r="B161" t="str">
        <f>MID(E161,3,2)</f>
        <v>13</v>
      </c>
      <c r="C161" s="114" t="str">
        <f>MID(E161,6,2)</f>
        <v>4</v>
      </c>
      <c r="D161" s="495" t="s">
        <v>12</v>
      </c>
      <c r="E161" s="495" t="s">
        <v>2578</v>
      </c>
      <c r="F161" s="496" t="str">
        <f>VLOOKUP(E161,'5.2 Actions'!$A$3:$B$720,2,0)</f>
        <v>Proposer un arrêté du Gouvernement actualisant les conditions générales de déversement d’eaux usées, en établissant un lien avec les objectifs de qualité des eaux de surface lorsque le rejet a lieu dans une eau de surface</v>
      </c>
      <c r="G161" s="496" t="str">
        <f>"ACE"&amp;"-"&amp;VLOOKUP(D161,'6. Mesures_ Budget_ Maximaliste'!$A$4:$C$32,3,0)</f>
        <v>ACE-</v>
      </c>
      <c r="H161" s="496" t="str">
        <f>VLOOKUP(E161,'5.2 Actions'!$A$3:$D$720,4,0)</f>
        <v>?</v>
      </c>
      <c r="I161" s="497">
        <v>0</v>
      </c>
    </row>
    <row r="162" spans="1:9" ht="30" hidden="1" outlineLevel="2" x14ac:dyDescent="0.25">
      <c r="A162" s="114" t="str">
        <f>MID(E162,1,1)</f>
        <v>1</v>
      </c>
      <c r="B162" t="str">
        <f>MID(E162,3,2)</f>
        <v>13</v>
      </c>
      <c r="C162" s="114" t="str">
        <f>MID(E162,6,2)</f>
        <v>5</v>
      </c>
      <c r="D162" s="495" t="s">
        <v>12</v>
      </c>
      <c r="E162" s="495" t="s">
        <v>2580</v>
      </c>
      <c r="F162" s="496" t="str">
        <f>VLOOKUP(E162,'5.2 Actions'!$A$3:$B$720,2,0)</f>
        <v>Actualiser les normes de rejet spécifiques dans le cadre des permis d’environnement et inclure l’obligation d’un automonitoring des eaux usées déversées dans les permis d’environnement pour certaines substances et industries pertinentes</v>
      </c>
      <c r="G162" s="496" t="str">
        <f>"ACE"&amp;"-"&amp;VLOOKUP(D162,'6. Mesures_ Budget_ Maximaliste'!$A$4:$C$32,3,0)</f>
        <v>ACE-</v>
      </c>
      <c r="H162" s="496" t="str">
        <f>VLOOKUP(E162,'5.2 Actions'!$A$3:$D$720,4,0)</f>
        <v>?</v>
      </c>
      <c r="I162" s="497">
        <v>0</v>
      </c>
    </row>
    <row r="163" spans="1:9" s="494" customFormat="1" hidden="1" outlineLevel="1" collapsed="1" x14ac:dyDescent="0.25">
      <c r="D163" s="500" t="s">
        <v>13</v>
      </c>
      <c r="E163" s="500"/>
      <c r="F163" s="501" t="str">
        <f>VLOOKUP(D163,'1. Mesures'!$A$2:$B$116,2,0)</f>
        <v>Assurer un contrôle réglementaire sur le respect des normes de rejet en eaux de surface et en égout</v>
      </c>
      <c r="G163" s="501"/>
      <c r="H163" s="501"/>
      <c r="I163" s="502">
        <f>SUBTOTAL(9,I164:I167)</f>
        <v>0</v>
      </c>
    </row>
    <row r="164" spans="1:9" ht="30" hidden="1" outlineLevel="2" x14ac:dyDescent="0.25">
      <c r="A164" s="114" t="str">
        <f>MID(E164,1,1)</f>
        <v>1</v>
      </c>
      <c r="B164" t="str">
        <f>MID(E164,3,2)</f>
        <v>14</v>
      </c>
      <c r="C164" s="114" t="str">
        <f>MID(E164,6,2)</f>
        <v>1</v>
      </c>
      <c r="D164" s="495" t="s">
        <v>13</v>
      </c>
      <c r="E164" s="495" t="s">
        <v>675</v>
      </c>
      <c r="F164" s="496" t="str">
        <f>VLOOKUP(E164,'5.2 Actions'!$A$3:$B$720,2,0)</f>
        <v>Identifier les entreprises qui rejettent directement des eaux non domestiques dans les eaux de surface et encoder l’information dans la base de données des permis d’environnement</v>
      </c>
      <c r="G164" s="496" t="str">
        <f>"ACE"&amp;"-"&amp;VLOOKUP(D164,'6. Mesures_ Budget_ Maximaliste'!$A$4:$C$32,3,0)</f>
        <v>ACE-</v>
      </c>
      <c r="H164" s="496" t="str">
        <f>VLOOKUP(E164,'5.2 Actions'!$A$3:$D$720,4,0)</f>
        <v>SEN / WOL / CAN</v>
      </c>
      <c r="I164" s="497">
        <v>0</v>
      </c>
    </row>
    <row r="165" spans="1:9" ht="30" hidden="1" outlineLevel="2" x14ac:dyDescent="0.25">
      <c r="A165" s="114" t="str">
        <f>MID(E165,1,1)</f>
        <v>1</v>
      </c>
      <c r="B165" t="str">
        <f>MID(E165,3,2)</f>
        <v>14</v>
      </c>
      <c r="C165" s="114" t="str">
        <f>MID(E165,6,2)</f>
        <v>2</v>
      </c>
      <c r="D165" s="495" t="s">
        <v>13</v>
      </c>
      <c r="E165" s="495" t="s">
        <v>676</v>
      </c>
      <c r="F165" s="496" t="str">
        <f>VLOOKUP(E165,'5.2 Actions'!$A$3:$B$720,2,0)</f>
        <v xml:space="preserve">Recenser, dans la base de données des permis d’environnement, les installations classées dont les rejets sont potentiellement problématiques au regard des objectifs de qualité des eaux de surface afin de permettre un contrôle ciblé de celles-ci.  </v>
      </c>
      <c r="G165" s="496" t="str">
        <f>"ACE"&amp;"-"&amp;VLOOKUP(D165,'6. Mesures_ Budget_ Maximaliste'!$A$4:$C$32,3,0)</f>
        <v>ACE-</v>
      </c>
      <c r="H165" s="496" t="str">
        <f>VLOOKUP(E165,'5.2 Actions'!$A$3:$D$720,4,0)</f>
        <v>SEN / WOL / CAN</v>
      </c>
      <c r="I165" s="497">
        <v>0</v>
      </c>
    </row>
    <row r="166" spans="1:9" ht="30" hidden="1" outlineLevel="2" x14ac:dyDescent="0.25">
      <c r="A166" s="114" t="str">
        <f>MID(E166,1,1)</f>
        <v>1</v>
      </c>
      <c r="B166" t="str">
        <f>MID(E166,3,2)</f>
        <v>14</v>
      </c>
      <c r="C166" s="114" t="str">
        <f>MID(E166,6,2)</f>
        <v>3</v>
      </c>
      <c r="D166" s="495" t="s">
        <v>13</v>
      </c>
      <c r="E166" s="495" t="s">
        <v>677</v>
      </c>
      <c r="F166" s="496" t="str">
        <f>VLOOKUP(E166,'5.2 Actions'!$A$3:$B$720,2,0)</f>
        <v>Etablissement d’un programme d’inspection spécifique pour ces installations classées en tenant compte des priorités proposées et réalise progressivement le contrôle les rejets.</v>
      </c>
      <c r="G166" s="496" t="str">
        <f>"ACE"&amp;"-"&amp;VLOOKUP(D166,'6. Mesures_ Budget_ Maximaliste'!$A$4:$C$32,3,0)</f>
        <v>ACE-</v>
      </c>
      <c r="H166" s="496" t="str">
        <f>VLOOKUP(E166,'5.2 Actions'!$A$3:$D$720,4,0)</f>
        <v>SEN / WOL / CAN</v>
      </c>
      <c r="I166" s="497">
        <v>90000</v>
      </c>
    </row>
    <row r="167" spans="1:9" ht="30" hidden="1" outlineLevel="2" x14ac:dyDescent="0.25">
      <c r="A167" s="114" t="str">
        <f>MID(E167,1,1)</f>
        <v>1</v>
      </c>
      <c r="B167" t="str">
        <f>MID(E167,3,2)</f>
        <v>14</v>
      </c>
      <c r="C167" s="114" t="str">
        <f>MID(E167,6,2)</f>
        <v>A</v>
      </c>
      <c r="D167" s="495" t="s">
        <v>13</v>
      </c>
      <c r="E167" s="495" t="s">
        <v>678</v>
      </c>
      <c r="F167" s="496" t="str">
        <f>VLOOKUP(E167,'5.2 Actions'!$A$3:$B$720,2,0)</f>
        <v>Sur base des résultats de l’analyse de secteurs (mesure 1.13.2), sélection des secteurs les plus problématiques et proposition de priorisation par secteur</v>
      </c>
      <c r="G167" s="496" t="str">
        <f>"ACE"&amp;"-"&amp;VLOOKUP(D167,'6. Mesures_ Budget_ Maximaliste'!$A$4:$C$32,3,0)</f>
        <v>ACE-</v>
      </c>
      <c r="H167" s="496" t="str">
        <f>VLOOKUP(E167,'5.2 Actions'!$A$3:$D$720,4,0)</f>
        <v>SEN / WOL / CAN</v>
      </c>
      <c r="I167" s="497">
        <v>0</v>
      </c>
    </row>
    <row r="168" spans="1:9" s="494" customFormat="1" hidden="1" outlineLevel="1" collapsed="1" x14ac:dyDescent="0.25">
      <c r="D168" s="500" t="s">
        <v>14</v>
      </c>
      <c r="E168" s="500"/>
      <c r="F168" s="501" t="str">
        <f>VLOOKUP(D168,'1. Mesures'!$A$2:$B$116,2,0)</f>
        <v xml:space="preserve">Mettre en œuvre à l’échelle régionale les règlements et plans d’actions visant des substances polluantes, émergentes ou non </v>
      </c>
      <c r="G168" s="501"/>
      <c r="H168" s="501"/>
      <c r="I168" s="502">
        <f>SUBTOTAL(9,I169:I177)</f>
        <v>0</v>
      </c>
    </row>
    <row r="169" spans="1:9" ht="105" hidden="1" outlineLevel="2" x14ac:dyDescent="0.25">
      <c r="A169" s="114" t="str">
        <f t="shared" ref="A169:A177" si="33">MID(E169,1,1)</f>
        <v>1</v>
      </c>
      <c r="B169" t="str">
        <f t="shared" ref="B169:B177" si="34">MID(E169,3,2)</f>
        <v>15</v>
      </c>
      <c r="C169" s="114" t="str">
        <f t="shared" ref="C169:C177" si="35">MID(E169,6,2)</f>
        <v>1</v>
      </c>
      <c r="D169" s="495" t="s">
        <v>14</v>
      </c>
      <c r="E169" s="495" t="s">
        <v>2797</v>
      </c>
      <c r="F169" s="496" t="str">
        <f>VLOOKUP(E169,'5.2 Actions'!$A$3:$B$720,2,0)</f>
        <v xml:space="preserve">Dans le cadre de REACH : 
• Mise en œuvre de la législation REACH : Contrôle et encadrement de l’utilisation/stockage des substances reprises à l’annexe 14 de REACH dans le cadre des permis d’environnement ;
• Identifier les données des permis d’environnement, notamment pour les substances suivantes : Anthracène ; Benzo(a)pyrène ; Benzo(g,h,i)perylène ; Fluoranthène ; Pyrène ; Plomb ; 4-n-nonylphénol ;Di(2-ethylhexyle)-phthalate ; Cadmium ; 1,2,5,6,9,10-hexabromocyclododécane (= alpha- + bêta- + gamma-HBCDD) ; procéder systématiquement à une analyse de risque et fixer les conditions adéquates dans les nouveaux permis ou prolongation de permis.
</v>
      </c>
      <c r="G169" s="496" t="str">
        <f>"ACE"&amp;"-"&amp;VLOOKUP(D169,'6. Mesures_ Budget_ Maximaliste'!$A$4:$C$32,3,0)</f>
        <v>ACE-</v>
      </c>
      <c r="H169" s="496" t="str">
        <f>VLOOKUP(E169,'5.2 Actions'!$A$3:$D$720,4,0)</f>
        <v>?</v>
      </c>
      <c r="I169" s="497">
        <v>0</v>
      </c>
    </row>
    <row r="170" spans="1:9" ht="60" hidden="1" outlineLevel="2" x14ac:dyDescent="0.25">
      <c r="A170" s="114" t="str">
        <f t="shared" si="33"/>
        <v>1</v>
      </c>
      <c r="B170" t="str">
        <f t="shared" si="34"/>
        <v>15</v>
      </c>
      <c r="C170" s="114" t="str">
        <f t="shared" si="35"/>
        <v>2</v>
      </c>
      <c r="D170" s="495" t="s">
        <v>14</v>
      </c>
      <c r="E170" s="495" t="s">
        <v>2799</v>
      </c>
      <c r="F170" s="496" t="str">
        <f>VLOOKUP(E170,'5.2 Actions'!$A$3:$B$720,2,0)</f>
        <v xml:space="preserve">Dans le cadre du NAPED : 
• Mise en œuvre des mesures du NAPED qui sont du ressort de la Région (lorsqu’il sera adopté). 
• Veiller plus précisément à celles concernant le nonylphénols et le di(2-ethylhexyle)-phthalate 
</v>
      </c>
      <c r="G170" s="496" t="str">
        <f>"ACE"&amp;"-"&amp;VLOOKUP(D170,'6. Mesures_ Budget_ Maximaliste'!$A$4:$C$32,3,0)</f>
        <v>ACE-</v>
      </c>
      <c r="H170" s="496" t="str">
        <f>VLOOKUP(E170,'5.2 Actions'!$A$3:$D$720,4,0)</f>
        <v>?</v>
      </c>
      <c r="I170" s="497">
        <v>0</v>
      </c>
    </row>
    <row r="171" spans="1:9" ht="105" hidden="1" outlineLevel="2" x14ac:dyDescent="0.25">
      <c r="A171" s="114" t="str">
        <f t="shared" si="33"/>
        <v>1</v>
      </c>
      <c r="B171" t="str">
        <f t="shared" si="34"/>
        <v>15</v>
      </c>
      <c r="C171" s="114" t="str">
        <f t="shared" si="35"/>
        <v>3</v>
      </c>
      <c r="D171" s="495" t="s">
        <v>14</v>
      </c>
      <c r="E171" s="495" t="s">
        <v>2801</v>
      </c>
      <c r="F171" s="496" t="str">
        <f>VLOOKUP(E171,'5.2 Actions'!$A$3:$B$720,2,0)</f>
        <v xml:space="preserve">Dans le cadre de la Convention de Stockholm et du règlement UE en matière de POP et du NIP belge : 
• Soutenir et appliquer les mesures de la convention par le biais des permis d’environnement et des inventaires des émissions (E-PRTR). 
• Veiller plus précisément à celles concernant l’heptachlore et époxyde d’heptachlore ; l’acide perfluorooctane-sulfonique et ses dérivés PCB ; les diphényléthers bromés (= PBDE28 + 47 + 99 + 100 + 153 + 154) ; 1,2,5,6,9,10-l’hexabromocyclododécane (= alpha- + bêta- + gamma-HBCDD) et les dioxines et composés de type dioxine.
</v>
      </c>
      <c r="G171" s="496" t="str">
        <f>"ACE"&amp;"-"&amp;VLOOKUP(D171,'6. Mesures_ Budget_ Maximaliste'!$A$4:$C$32,3,0)</f>
        <v>ACE-</v>
      </c>
      <c r="H171" s="496" t="str">
        <f>VLOOKUP(E171,'5.2 Actions'!$A$3:$D$720,4,0)</f>
        <v>?</v>
      </c>
      <c r="I171" s="497">
        <v>0</v>
      </c>
    </row>
    <row r="172" spans="1:9" ht="45" hidden="1" outlineLevel="2" x14ac:dyDescent="0.25">
      <c r="A172" s="114" t="str">
        <f t="shared" si="33"/>
        <v>1</v>
      </c>
      <c r="B172" t="str">
        <f t="shared" si="34"/>
        <v>15</v>
      </c>
      <c r="C172" s="114" t="str">
        <f t="shared" si="35"/>
        <v>4</v>
      </c>
      <c r="D172" s="495" t="s">
        <v>14</v>
      </c>
      <c r="E172" s="495" t="s">
        <v>2803</v>
      </c>
      <c r="F172" s="496" t="str">
        <f>VLOOKUP(E172,'5.2 Actions'!$A$3:$B$720,2,0)</f>
        <v xml:space="preserve">Dans le cadre du NAP-AMR : 
• Mise en œuvre des mesures du NAP-AMR. 
</v>
      </c>
      <c r="G172" s="496" t="str">
        <f>"ACE"&amp;"-"&amp;VLOOKUP(D172,'6. Mesures_ Budget_ Maximaliste'!$A$4:$C$32,3,0)</f>
        <v>ACE-</v>
      </c>
      <c r="H172" s="496" t="str">
        <f>VLOOKUP(E172,'5.2 Actions'!$A$3:$D$720,4,0)</f>
        <v>?</v>
      </c>
      <c r="I172" s="497">
        <v>0</v>
      </c>
    </row>
    <row r="173" spans="1:9" ht="150" hidden="1" outlineLevel="2" x14ac:dyDescent="0.25">
      <c r="A173" s="114" t="str">
        <f t="shared" si="33"/>
        <v>1</v>
      </c>
      <c r="B173" t="str">
        <f t="shared" si="34"/>
        <v>15</v>
      </c>
      <c r="C173" s="114" t="str">
        <f t="shared" si="35"/>
        <v>5</v>
      </c>
      <c r="D173" s="495" t="s">
        <v>14</v>
      </c>
      <c r="E173" s="495" t="s">
        <v>2805</v>
      </c>
      <c r="F173" s="496" t="str">
        <f>VLOOKUP(E173,'5.2 Actions'!$A$3:$B$720,2,0)</f>
        <v xml:space="preserve">Dans le cadre du PRRP et du NAPAN : 
• Mise en œuvre des mesures du PRRP et NAPAN (cf. aussi M 3.6)
• Définition d’une stratégie de monitoring et mise en œuvre d’une campagne de mesure spécifique:
• Définition d’une liste de substances à analyser, au-delà des listes de substances prioritaires et de vigilance européennes faisant déjà l’objet de monitoring, notamment au regard des données disponibles dans les autres régions ;
• Définition des sites les plus à risque (proximité des zones agricoles, proximité des voies ferrées, proximité de terrains de sport engazonnés, etc.)
• Définition du protocole d’échantillonnage (périodes de prélèvement, répétition dans le temps,…)
En cas de pollutions constatées dans les eaux souterraines ou de surface, les causes de celles-ci seront recherchées afin de proposer d’éventuelles mesures de remédiation.
</v>
      </c>
      <c r="G173" s="496" t="str">
        <f>"ACE"&amp;"-"&amp;VLOOKUP(D173,'6. Mesures_ Budget_ Maximaliste'!$A$4:$C$32,3,0)</f>
        <v>ACE-</v>
      </c>
      <c r="H173" s="496" t="str">
        <f>VLOOKUP(E173,'5.2 Actions'!$A$3:$D$720,4,0)</f>
        <v>?</v>
      </c>
      <c r="I173" s="497">
        <v>0</v>
      </c>
    </row>
    <row r="174" spans="1:9" ht="75" hidden="1" outlineLevel="2" x14ac:dyDescent="0.25">
      <c r="A174" s="114" t="str">
        <f t="shared" si="33"/>
        <v>1</v>
      </c>
      <c r="B174" t="str">
        <f t="shared" si="34"/>
        <v>15</v>
      </c>
      <c r="C174" s="114" t="str">
        <f t="shared" si="35"/>
        <v>6</v>
      </c>
      <c r="D174" s="495" t="s">
        <v>14</v>
      </c>
      <c r="E174" s="495" t="s">
        <v>2807</v>
      </c>
      <c r="F174" s="496" t="str">
        <f>VLOOKUP(E174,'5.2 Actions'!$A$3:$B$720,2,0)</f>
        <v xml:space="preserve">Dans le cadre du PRRP et du NAPAN : 
• Géolocaliser les données d’utilisation des pesticides 
• Analyser ces données avec celles des concentrations dans les eaux
</v>
      </c>
      <c r="G174" s="496" t="str">
        <f>"ACE"&amp;"-"&amp;VLOOKUP(D174,'6. Mesures_ Budget_ Maximaliste'!$A$4:$C$32,3,0)</f>
        <v>ACE-</v>
      </c>
      <c r="H174" s="496" t="str">
        <f>VLOOKUP(E174,'5.2 Actions'!$A$3:$D$720,4,0)</f>
        <v>?</v>
      </c>
      <c r="I174" s="497">
        <v>0</v>
      </c>
    </row>
    <row r="175" spans="1:9" ht="150" hidden="1" outlineLevel="2" x14ac:dyDescent="0.25">
      <c r="A175" s="114" t="str">
        <f t="shared" si="33"/>
        <v>1</v>
      </c>
      <c r="B175" t="str">
        <f t="shared" si="34"/>
        <v>15</v>
      </c>
      <c r="C175" s="114" t="str">
        <f t="shared" si="35"/>
        <v>7</v>
      </c>
      <c r="D175" s="495" t="s">
        <v>14</v>
      </c>
      <c r="E175" s="495" t="s">
        <v>2809</v>
      </c>
      <c r="F175" s="496" t="str">
        <f>VLOOKUP(E175,'5.2 Actions'!$A$3:$B$720,2,0)</f>
        <v xml:space="preserve">Dans le cadre du PRRP et du NAPAN : 
• Analyser des données scientifiques récentes sur l’efficacité de différentes modalités de zones tampons pour la protection du milieu aquatique ;
• Evaluer des mesures applicables dans d’autres pays et régions ; 
• Uniformiser, dans la mesure du possible, les mesures de réduction du risque pour les organismes aquatiques non cibles à l’échelle du pays, conformément à l’action belge 3.6.1 du NAPAN (Charte pour la lutte contre les dépassements des valeurs de référence des produits phytopharmaceutiques dans les eaux de surface en Belgique, mise en œuvre par le secteur de plans de réduction des émissions (PRE) pour certaines substances actives ;
• Évaluer la pertinence des zones tampons régionales actuellement d’application pour la protection du milieu aquatique pour les adapter, le cas échéant. (en complément de l’action belge 3.6.2 du NAPAN)
</v>
      </c>
      <c r="G175" s="496" t="str">
        <f>"ACE"&amp;"-"&amp;VLOOKUP(D175,'6. Mesures_ Budget_ Maximaliste'!$A$4:$C$32,3,0)</f>
        <v>ACE-</v>
      </c>
      <c r="H175" s="496" t="str">
        <f>VLOOKUP(E175,'5.2 Actions'!$A$3:$D$720,4,0)</f>
        <v>?</v>
      </c>
      <c r="I175" s="497">
        <v>0</v>
      </c>
    </row>
    <row r="176" spans="1:9" ht="120" hidden="1" outlineLevel="2" x14ac:dyDescent="0.25">
      <c r="A176" s="114" t="str">
        <f t="shared" si="33"/>
        <v>1</v>
      </c>
      <c r="B176" t="str">
        <f t="shared" si="34"/>
        <v>15</v>
      </c>
      <c r="C176" s="114" t="str">
        <f t="shared" si="35"/>
        <v>8</v>
      </c>
      <c r="D176" s="495" t="s">
        <v>14</v>
      </c>
      <c r="E176" s="495" t="s">
        <v>2811</v>
      </c>
      <c r="F176" s="496" t="str">
        <f>VLOOKUP(E176,'5.2 Actions'!$A$3:$B$720,2,0)</f>
        <v xml:space="preserve">Dans le cadre du Plan Climat Energie bruxellois:
• Faire le suivi de la mise en œuvre quant à l’impact sur la qualité des masses d’eau
• Réduire sur le territoire régional la combustion de pétrole (essence, diesel, mazout), de charbon et de bois ou encore l’incinération de déchets - contribuera à réduire les émissions de substances déclassant l’état chimique : les HAPs (Benzo(g,h,i)perylène, le fluoranthène, le benzo(a)pyrène, l'anthracène et le pyrène) et les métaux lourds (cadmium, plomb, nickel, cadmium, zinc) 
En addition de ce Plan Climat Energie, une analyse croisée des données de l’inventaire des émissions atmosphériques couvrant la période 1990-2019 réalisé par le département Evaluation Air Climat Energie et de celles de la qualité des eaux de surface pourrait être réalisée.
</v>
      </c>
      <c r="G176" s="496" t="str">
        <f>"ACE"&amp;"-"&amp;VLOOKUP(D176,'6. Mesures_ Budget_ Maximaliste'!$A$4:$C$32,3,0)</f>
        <v>ACE-</v>
      </c>
      <c r="H176" s="496" t="str">
        <f>VLOOKUP(E176,'5.2 Actions'!$A$3:$D$720,4,0)</f>
        <v>?</v>
      </c>
      <c r="I176" s="497">
        <v>0</v>
      </c>
    </row>
    <row r="177" spans="1:9" ht="60" hidden="1" outlineLevel="2" x14ac:dyDescent="0.25">
      <c r="A177" s="114" t="str">
        <f t="shared" si="33"/>
        <v>1</v>
      </c>
      <c r="B177" t="str">
        <f t="shared" si="34"/>
        <v>15</v>
      </c>
      <c r="C177" s="114" t="str">
        <f t="shared" si="35"/>
        <v>9</v>
      </c>
      <c r="D177" s="495" t="s">
        <v>14</v>
      </c>
      <c r="E177" s="495" t="s">
        <v>2813</v>
      </c>
      <c r="F177" s="496" t="str">
        <f>VLOOKUP(E177,'5.2 Actions'!$A$3:$B$720,2,0)</f>
        <v xml:space="preserve">Dans le cadre du règlement UE sur le mercure
Si à ce jour, aucune activité industrielle présente sur le territoire bruxellois n’est sujette au règlement UE, il y a lieu de suivre l’exploitation de l’incinérateur de déchets urbains au niveau des émissions et des meilleures techniques disponibles au sens de l’article 8 de la Convention de Minamata.
</v>
      </c>
      <c r="G177" s="496" t="str">
        <f>"ACE"&amp;"-"&amp;VLOOKUP(D177,'6. Mesures_ Budget_ Maximaliste'!$A$4:$C$32,3,0)</f>
        <v>ACE-</v>
      </c>
      <c r="H177" s="496" t="str">
        <f>VLOOKUP(E177,'5.2 Actions'!$A$3:$D$720,4,0)</f>
        <v>?</v>
      </c>
      <c r="I177" s="497">
        <v>0</v>
      </c>
    </row>
    <row r="178" spans="1:9" s="494" customFormat="1" hidden="1" outlineLevel="1" collapsed="1" x14ac:dyDescent="0.25">
      <c r="D178" s="500" t="s">
        <v>15</v>
      </c>
      <c r="E178" s="500"/>
      <c r="F178" s="501" t="str">
        <f>VLOOKUP(D178,'1. Mesures'!$A$2:$B$116,2,0)</f>
        <v>Réaliser le curage sur les derniers tronçons du réseau hydrographique pour enlever la pollution «historique »</v>
      </c>
      <c r="G178" s="501"/>
      <c r="H178" s="501"/>
      <c r="I178" s="502">
        <f>SUBTOTAL(9,I179:I182)</f>
        <v>0</v>
      </c>
    </row>
    <row r="179" spans="1:9" hidden="1" outlineLevel="2" x14ac:dyDescent="0.25">
      <c r="A179" s="114" t="str">
        <f>MID(E179,1,1)</f>
        <v>1</v>
      </c>
      <c r="B179" t="str">
        <f>MID(E179,3,2)</f>
        <v>16</v>
      </c>
      <c r="C179" s="114" t="str">
        <f>MID(E179,6,2)</f>
        <v>1</v>
      </c>
      <c r="D179" s="495" t="s">
        <v>15</v>
      </c>
      <c r="E179" s="495" t="s">
        <v>679</v>
      </c>
      <c r="F179" s="496" t="str">
        <f>VLOOKUP(E179,'5.2 Actions'!$A$3:$B$720,2,0)</f>
        <v>Mener une étude des sédiments présents sur les 2 tronçons de la Senne qui n’ont pas encore été curés : Aquiris et Buda (bathymétrie et qualité des sédiments)</v>
      </c>
      <c r="G179" s="496" t="str">
        <f>"ACE"&amp;"-"&amp;VLOOKUP(D179,'6. Mesures_ Budget_ Maximaliste'!$A$4:$C$32,3,0)</f>
        <v>ACE-PP</v>
      </c>
      <c r="H179" s="496" t="str">
        <f>VLOOKUP(E179,'5.2 Actions'!$A$3:$D$720,4,0)</f>
        <v>SEN</v>
      </c>
      <c r="I179" s="497">
        <v>50000</v>
      </c>
    </row>
    <row r="180" spans="1:9" hidden="1" outlineLevel="2" x14ac:dyDescent="0.25">
      <c r="A180" s="114" t="str">
        <f>MID(E180,1,1)</f>
        <v>1</v>
      </c>
      <c r="B180" t="str">
        <f>MID(E180,3,2)</f>
        <v>16</v>
      </c>
      <c r="C180" s="114" t="str">
        <f>MID(E180,6,2)</f>
        <v>2</v>
      </c>
      <c r="D180" s="495" t="s">
        <v>15</v>
      </c>
      <c r="E180" s="495" t="s">
        <v>680</v>
      </c>
      <c r="F180" s="496" t="str">
        <f>VLOOKUP(E180,'5.2 Actions'!$A$3:$B$720,2,0)</f>
        <v>Curer le tronçon ‘Aquiris’ et éliminer les boues polluées (Senne)</v>
      </c>
      <c r="G180" s="496" t="str">
        <f>"ACE"&amp;"-"&amp;VLOOKUP(D180,'6. Mesures_ Budget_ Maximaliste'!$A$4:$C$32,3,0)</f>
        <v>ACE-PP</v>
      </c>
      <c r="H180" s="496" t="str">
        <f>VLOOKUP(E180,'5.2 Actions'!$A$3:$D$720,4,0)</f>
        <v>SEN</v>
      </c>
      <c r="I180" s="497">
        <v>750000</v>
      </c>
    </row>
    <row r="181" spans="1:9" hidden="1" outlineLevel="2" x14ac:dyDescent="0.25">
      <c r="A181" s="114" t="str">
        <f>MID(E181,1,1)</f>
        <v>1</v>
      </c>
      <c r="B181" t="str">
        <f>MID(E181,3,2)</f>
        <v>16</v>
      </c>
      <c r="C181" s="114" t="str">
        <f>MID(E181,6,2)</f>
        <v>3</v>
      </c>
      <c r="D181" s="495" t="s">
        <v>15</v>
      </c>
      <c r="E181" s="495" t="s">
        <v>681</v>
      </c>
      <c r="F181" s="496" t="str">
        <f>VLOOKUP(E181,'5.2 Actions'!$A$3:$B$720,2,0)</f>
        <v>Curer le tronçon ‘Buda’ et éliminer les boues polluées (Senne)</v>
      </c>
      <c r="G181" s="496" t="str">
        <f>"ACE"&amp;"-"&amp;VLOOKUP(D181,'6. Mesures_ Budget_ Maximaliste'!$A$4:$C$32,3,0)</f>
        <v>ACE-PP</v>
      </c>
      <c r="H181" s="496" t="str">
        <f>VLOOKUP(E181,'5.2 Actions'!$A$3:$D$720,4,0)</f>
        <v>SEN</v>
      </c>
      <c r="I181" s="497">
        <v>850000</v>
      </c>
    </row>
    <row r="182" spans="1:9" ht="30" hidden="1" outlineLevel="2" x14ac:dyDescent="0.25">
      <c r="A182" s="114" t="str">
        <f>MID(E182,1,1)</f>
        <v>1</v>
      </c>
      <c r="B182" t="str">
        <f>MID(E182,3,2)</f>
        <v>16</v>
      </c>
      <c r="C182" s="114" t="str">
        <f>MID(E182,6,2)</f>
        <v>4</v>
      </c>
      <c r="D182" s="495" t="s">
        <v>15</v>
      </c>
      <c r="E182" s="495" t="s">
        <v>682</v>
      </c>
      <c r="F182" s="496" t="str">
        <f>VLOOKUP(E182,'5.2 Actions'!$A$3:$B$720,2,0)</f>
        <v>Etablir une base de données des curages réalisés (en tant qu’outil de planification future)</v>
      </c>
      <c r="G182" s="496" t="str">
        <f>"ACE"&amp;"-"&amp;VLOOKUP(D182,'6. Mesures_ Budget_ Maximaliste'!$A$4:$C$32,3,0)</f>
        <v>ACE-PP</v>
      </c>
      <c r="H182" s="496" t="str">
        <f>VLOOKUP(E182,'5.2 Actions'!$A$3:$D$720,4,0)</f>
        <v>SEN / WOL / CAN</v>
      </c>
      <c r="I182" s="497">
        <v>0</v>
      </c>
    </row>
    <row r="183" spans="1:9" s="494" customFormat="1" hidden="1" outlineLevel="1" collapsed="1" x14ac:dyDescent="0.25">
      <c r="D183" s="500" t="s">
        <v>16</v>
      </c>
      <c r="E183" s="500"/>
      <c r="F183" s="501" t="str">
        <f>VLOOKUP(D183,'1. Mesures'!$A$2:$B$116,2,0)</f>
        <v>Diminuer les sources de matières en suspension vers le canal par l’optimisation de la dérivation d’Aa</v>
      </c>
      <c r="G183" s="501"/>
      <c r="H183" s="501"/>
      <c r="I183" s="502">
        <f>SUBTOTAL(9,I184:I189)</f>
        <v>0</v>
      </c>
    </row>
    <row r="184" spans="1:9" ht="30" hidden="1" outlineLevel="2" x14ac:dyDescent="0.25">
      <c r="A184" s="114" t="str">
        <f t="shared" ref="A184:A189" si="36">MID(E184,1,1)</f>
        <v>1</v>
      </c>
      <c r="B184" t="str">
        <f t="shared" ref="B184:B189" si="37">MID(E184,3,2)</f>
        <v>17</v>
      </c>
      <c r="C184" s="114" t="str">
        <f t="shared" ref="C184:C189" si="38">MID(E184,6,2)</f>
        <v>1</v>
      </c>
      <c r="D184" s="495" t="s">
        <v>16</v>
      </c>
      <c r="E184" s="495" t="s">
        <v>683</v>
      </c>
      <c r="F184" s="496" t="str">
        <f>VLOOKUP(E184,'5.2 Actions'!$A$3:$B$720,2,0)</f>
        <v>Évaluer le besoin réel de déviation d’eau de la Senne vers le Canal, déterminer les règles d’activation des vannes en tenant compte des risques d’inondation (lien avec la M5.8) et de la surveillance des paramètres principaux (niveau d’eau)</v>
      </c>
      <c r="G184" s="496" t="str">
        <f>"ACE"&amp;"-"&amp;VLOOKUP(D184,'6. Mesures_ Budget_ Maximaliste'!$A$4:$C$32,3,0)</f>
        <v>ACE-</v>
      </c>
      <c r="H184" s="496" t="str">
        <f>VLOOKUP(E184,'5.2 Actions'!$A$3:$D$720,4,0)</f>
        <v>CAN</v>
      </c>
      <c r="I184" s="497">
        <v>20000</v>
      </c>
    </row>
    <row r="185" spans="1:9" hidden="1" outlineLevel="2" x14ac:dyDescent="0.25">
      <c r="A185" s="114" t="str">
        <f t="shared" si="36"/>
        <v>1</v>
      </c>
      <c r="B185" t="str">
        <f t="shared" si="37"/>
        <v>17</v>
      </c>
      <c r="C185" s="114" t="str">
        <f t="shared" si="38"/>
        <v>2</v>
      </c>
      <c r="D185" s="495" t="s">
        <v>16</v>
      </c>
      <c r="E185" s="495" t="s">
        <v>684</v>
      </c>
      <c r="F185" s="496" t="str">
        <f>VLOOKUP(E185,'5.2 Actions'!$A$3:$B$720,2,0)</f>
        <v>Remplacer les vannes en bois par des vannes métalliques</v>
      </c>
      <c r="G185" s="496" t="str">
        <f>"ACE"&amp;"-"&amp;VLOOKUP(D185,'6. Mesures_ Budget_ Maximaliste'!$A$4:$C$32,3,0)</f>
        <v>ACE-</v>
      </c>
      <c r="H185" s="496" t="str">
        <f>VLOOKUP(E185,'5.2 Actions'!$A$3:$D$720,4,0)</f>
        <v>CAN</v>
      </c>
      <c r="I185" s="497">
        <v>40000</v>
      </c>
    </row>
    <row r="186" spans="1:9" ht="60" hidden="1" outlineLevel="2" x14ac:dyDescent="0.25">
      <c r="A186" s="114" t="str">
        <f t="shared" si="36"/>
        <v>1</v>
      </c>
      <c r="B186" t="str">
        <f t="shared" si="37"/>
        <v>17</v>
      </c>
      <c r="C186" s="114" t="str">
        <f t="shared" si="38"/>
        <v>3</v>
      </c>
      <c r="D186" s="495" t="s">
        <v>16</v>
      </c>
      <c r="E186" s="495" t="s">
        <v>685</v>
      </c>
      <c r="F186" s="496" t="str">
        <f>VLOOKUP(E186,'5.2 Actions'!$A$3:$B$720,2,0)</f>
        <v xml:space="preserve">Installation des systèmes de surveillance des paramètres principaux sur base des résultats de l’étude hydraulique (niveau d’eau) 
Etude de remplacement du système de levage au cric par un système oléo-hydraulique (règles d’utilisation des vannes, coût, fiabilité du système,…).
Décision d’adapter ou pas le système de levage, selon le budget disponible (nb: un système au cric est beaucoup moins susceptible aux pannes, qu’un système oléo-hydraulique/électrique qui sera peu utilisé). </v>
      </c>
      <c r="G186" s="496" t="str">
        <f>"ACE"&amp;"-"&amp;VLOOKUP(D186,'6. Mesures_ Budget_ Maximaliste'!$A$4:$C$32,3,0)</f>
        <v>ACE-</v>
      </c>
      <c r="H186" s="496" t="str">
        <f>VLOOKUP(E186,'5.2 Actions'!$A$3:$D$720,4,0)</f>
        <v>CAN</v>
      </c>
      <c r="I186" s="497">
        <v>50000</v>
      </c>
    </row>
    <row r="187" spans="1:9" hidden="1" outlineLevel="2" x14ac:dyDescent="0.25">
      <c r="A187" s="114" t="str">
        <f t="shared" si="36"/>
        <v>1</v>
      </c>
      <c r="B187" t="str">
        <f t="shared" si="37"/>
        <v>17</v>
      </c>
      <c r="C187" s="114" t="str">
        <f t="shared" si="38"/>
        <v>4</v>
      </c>
      <c r="D187" s="495" t="s">
        <v>16</v>
      </c>
      <c r="E187" s="495" t="s">
        <v>686</v>
      </c>
      <c r="F187" s="496" t="str">
        <f>VLOOKUP(E187,'5.2 Actions'!$A$3:$B$720,2,0)</f>
        <v>Aménager les vannes et implémenter les nouvelles règles de déviation d’eaux en fonction des étapes M 1.17.1 à M1.17.3</v>
      </c>
      <c r="G187" s="496" t="str">
        <f>"ACE"&amp;"-"&amp;VLOOKUP(D187,'6. Mesures_ Budget_ Maximaliste'!$A$4:$C$32,3,0)</f>
        <v>ACE-</v>
      </c>
      <c r="H187" s="496" t="str">
        <f>VLOOKUP(E187,'5.2 Actions'!$A$3:$D$720,4,0)</f>
        <v>CAN</v>
      </c>
      <c r="I187" s="497">
        <v>100000</v>
      </c>
    </row>
    <row r="188" spans="1:9" ht="30" hidden="1" outlineLevel="2" x14ac:dyDescent="0.25">
      <c r="A188" s="114" t="str">
        <f t="shared" si="36"/>
        <v>1</v>
      </c>
      <c r="B188" t="str">
        <f t="shared" si="37"/>
        <v>17</v>
      </c>
      <c r="C188" s="114" t="str">
        <f t="shared" si="38"/>
        <v>5</v>
      </c>
      <c r="D188" s="495" t="s">
        <v>16</v>
      </c>
      <c r="E188" s="495" t="s">
        <v>687</v>
      </c>
      <c r="F188" s="496" t="str">
        <f>VLOOKUP(E188,'5.2 Actions'!$A$3:$B$720,2,0)</f>
        <v>Assurer la veille des niveaux d’eau
Mesures de sécurité additionnelle à prendre en compte</v>
      </c>
      <c r="G188" s="496" t="str">
        <f>"ACE"&amp;"-"&amp;VLOOKUP(D188,'6. Mesures_ Budget_ Maximaliste'!$A$4:$C$32,3,0)</f>
        <v>ACE-</v>
      </c>
      <c r="H188" s="496" t="str">
        <f>VLOOKUP(E188,'5.2 Actions'!$A$3:$D$720,4,0)</f>
        <v>SEN</v>
      </c>
      <c r="I188" s="497">
        <v>18000</v>
      </c>
    </row>
    <row r="189" spans="1:9" hidden="1" outlineLevel="2" x14ac:dyDescent="0.25">
      <c r="A189" s="114" t="str">
        <f t="shared" si="36"/>
        <v>1</v>
      </c>
      <c r="B189" t="str">
        <f t="shared" si="37"/>
        <v>17</v>
      </c>
      <c r="C189" s="114" t="str">
        <f t="shared" si="38"/>
        <v>6</v>
      </c>
      <c r="D189" s="495" t="s">
        <v>16</v>
      </c>
      <c r="E189" s="495" t="s">
        <v>688</v>
      </c>
      <c r="F189" s="496" t="str">
        <f>VLOOKUP(E189,'5.2 Actions'!$A$3:$B$720,2,0)</f>
        <v>Assurer le fonctionnement des vannes</v>
      </c>
      <c r="G189" s="496" t="str">
        <f>"ACE"&amp;"-"&amp;VLOOKUP(D189,'6. Mesures_ Budget_ Maximaliste'!$A$4:$C$32,3,0)</f>
        <v>ACE-</v>
      </c>
      <c r="H189" s="496" t="str">
        <f>VLOOKUP(E189,'5.2 Actions'!$A$3:$D$720,4,0)</f>
        <v>SEN / CAN</v>
      </c>
      <c r="I189" s="497">
        <v>0</v>
      </c>
    </row>
    <row r="190" spans="1:9" s="494" customFormat="1" hidden="1" outlineLevel="1" collapsed="1" x14ac:dyDescent="0.25">
      <c r="D190" s="500" t="s">
        <v>18</v>
      </c>
      <c r="E190" s="500"/>
      <c r="F190" s="501" t="str">
        <f>VLOOKUP(D190,'1. Mesures'!$A$2:$B$116,2,0)</f>
        <v xml:space="preserve">Lutter contre les décharges de matériaux autour et dans le Canal et assurer le dragage et l'élimination des sédiments pollués </v>
      </c>
      <c r="G190" s="501"/>
      <c r="H190" s="501"/>
      <c r="I190" s="502">
        <f>SUBTOTAL(9,I191:I201)</f>
        <v>0</v>
      </c>
    </row>
    <row r="191" spans="1:9" hidden="1" outlineLevel="2" x14ac:dyDescent="0.25">
      <c r="A191" s="114" t="str">
        <f t="shared" ref="A191:A201" si="39">MID(E191,1,1)</f>
        <v>1</v>
      </c>
      <c r="B191" t="str">
        <f t="shared" ref="B191:B201" si="40">MID(E191,3,2)</f>
        <v>18</v>
      </c>
      <c r="C191" s="114" t="str">
        <f t="shared" ref="C191:C201" si="41">MID(E191,6,2)</f>
        <v>1</v>
      </c>
      <c r="D191" s="495" t="s">
        <v>18</v>
      </c>
      <c r="E191" s="495" t="s">
        <v>689</v>
      </c>
      <c r="F191" s="496" t="str">
        <f>VLOOKUP(E191,'5.2 Actions'!$A$3:$B$720,2,0)</f>
        <v>Bathymétrie, localisation et mesure du volume de boue</v>
      </c>
      <c r="G191" s="496" t="str">
        <f>"ACE"&amp;"-"&amp;VLOOKUP(D191,'6. Mesures_ Budget_ Maximaliste'!$A$4:$C$32,3,0)</f>
        <v>ACE-PP</v>
      </c>
      <c r="H191" s="496" t="str">
        <f>VLOOKUP(E191,'5.2 Actions'!$A$3:$D$720,4,0)</f>
        <v>CAN</v>
      </c>
      <c r="I191" s="497">
        <v>153480</v>
      </c>
    </row>
    <row r="192" spans="1:9" hidden="1" outlineLevel="2" x14ac:dyDescent="0.25">
      <c r="A192" s="114" t="str">
        <f t="shared" si="39"/>
        <v>1</v>
      </c>
      <c r="B192" t="str">
        <f t="shared" si="40"/>
        <v>18</v>
      </c>
      <c r="C192" s="114" t="str">
        <f t="shared" si="41"/>
        <v>2</v>
      </c>
      <c r="D192" s="495" t="s">
        <v>18</v>
      </c>
      <c r="E192" s="495" t="s">
        <v>691</v>
      </c>
      <c r="F192" s="496" t="str">
        <f>VLOOKUP(E192,'5.2 Actions'!$A$3:$B$720,2,0)</f>
        <v>Poursuivre le dragage mécanique et l'élimination des sédiments pollués du Canal</v>
      </c>
      <c r="G192" s="496" t="str">
        <f>"ACE"&amp;"-"&amp;VLOOKUP(D192,'6. Mesures_ Budget_ Maximaliste'!$A$4:$C$32,3,0)</f>
        <v>ACE-PP</v>
      </c>
      <c r="H192" s="496" t="str">
        <f>VLOOKUP(E192,'5.2 Actions'!$A$3:$D$720,4,0)</f>
        <v>CAN</v>
      </c>
      <c r="I192" s="497">
        <v>10896000</v>
      </c>
    </row>
    <row r="193" spans="1:9" ht="30" hidden="1" outlineLevel="2" x14ac:dyDescent="0.25">
      <c r="A193" s="114" t="str">
        <f t="shared" si="39"/>
        <v>1</v>
      </c>
      <c r="B193" t="str">
        <f t="shared" si="40"/>
        <v>18</v>
      </c>
      <c r="C193" s="114" t="str">
        <f t="shared" si="41"/>
        <v>3</v>
      </c>
      <c r="D193" s="495" t="s">
        <v>18</v>
      </c>
      <c r="E193" s="495" t="s">
        <v>692</v>
      </c>
      <c r="F193" s="496" t="str">
        <f>VLOOKUP(E193,'5.2 Actions'!$A$3:$B$720,2,0)</f>
        <v>Mettre en évidence des zones préférentielles d’accumulation des sédiments pour en faciliter le curage, et pour alimenter l’étude des zones privilégiées d’accumulation des pollutions afin d’aider à identifier les sources et voies d’entrée des polluants dans le Canal</v>
      </c>
      <c r="G193" s="496" t="str">
        <f>"ACE"&amp;"-"&amp;VLOOKUP(D193,'6. Mesures_ Budget_ Maximaliste'!$A$4:$C$32,3,0)</f>
        <v>ACE-PP</v>
      </c>
      <c r="H193" s="496" t="str">
        <f>VLOOKUP(E193,'5.2 Actions'!$A$3:$D$720,4,0)</f>
        <v>CAN</v>
      </c>
      <c r="I193" s="497">
        <v>0</v>
      </c>
    </row>
    <row r="194" spans="1:9" ht="30" hidden="1" outlineLevel="2" x14ac:dyDescent="0.25">
      <c r="A194" s="114" t="str">
        <f t="shared" si="39"/>
        <v>1</v>
      </c>
      <c r="B194" t="str">
        <f t="shared" si="40"/>
        <v>18</v>
      </c>
      <c r="C194" s="114" t="str">
        <f t="shared" si="41"/>
        <v>4</v>
      </c>
      <c r="D194" s="495" t="s">
        <v>18</v>
      </c>
      <c r="E194" s="495" t="s">
        <v>693</v>
      </c>
      <c r="F194" s="496" t="str">
        <f>VLOOKUP(E194,'5.2 Actions'!$A$3:$B$720,2,0)</f>
        <v>Suivre la problématique des sédiments et de leur curage dans la voie navigable du Canal Bruxelles-Escaut avec les régions flamande et wallonne pour une gestion cohérente de part et d’autre des frontières</v>
      </c>
      <c r="G194" s="496" t="str">
        <f>"ACE"&amp;"-"&amp;VLOOKUP(D194,'6. Mesures_ Budget_ Maximaliste'!$A$4:$C$32,3,0)</f>
        <v>ACE-PP</v>
      </c>
      <c r="H194" s="496" t="str">
        <f>VLOOKUP(E194,'5.2 Actions'!$A$3:$D$720,4,0)</f>
        <v>CAN</v>
      </c>
      <c r="I194" s="497">
        <v>0</v>
      </c>
    </row>
    <row r="195" spans="1:9" ht="30" hidden="1" outlineLevel="2" x14ac:dyDescent="0.25">
      <c r="A195" s="114" t="str">
        <f t="shared" si="39"/>
        <v>1</v>
      </c>
      <c r="B195" t="str">
        <f t="shared" si="40"/>
        <v>18</v>
      </c>
      <c r="C195" s="114" t="str">
        <f t="shared" si="41"/>
        <v>5</v>
      </c>
      <c r="D195" s="495" t="s">
        <v>18</v>
      </c>
      <c r="E195" s="495" t="s">
        <v>694</v>
      </c>
      <c r="F195" s="496" t="str">
        <f>VLOOKUP(E195,'5.2 Actions'!$A$3:$B$720,2,0)</f>
        <v>Etude de l'efficacité de méthodes alternatives au curage mécanique (ex. : bio-dragage, précipitation du phosphore sous forme inerte) et de leurs conditions d'application sur zone(s)-test(s). Évaluer leurs contraintes, coûts et bénéfices respectifs, et surveiller l'absence d'impact environnemental.</v>
      </c>
      <c r="G195" s="496" t="str">
        <f>"ACE"&amp;"-"&amp;VLOOKUP(D195,'6. Mesures_ Budget_ Maximaliste'!$A$4:$C$32,3,0)</f>
        <v>ACE-PP</v>
      </c>
      <c r="H195" s="496" t="str">
        <f>VLOOKUP(E195,'5.2 Actions'!$A$3:$D$720,4,0)</f>
        <v>CAN</v>
      </c>
      <c r="I195" s="497">
        <v>30000</v>
      </c>
    </row>
    <row r="196" spans="1:9" ht="60" hidden="1" outlineLevel="2" x14ac:dyDescent="0.25">
      <c r="A196" s="114" t="str">
        <f t="shared" si="39"/>
        <v>1</v>
      </c>
      <c r="B196" t="str">
        <f t="shared" si="40"/>
        <v>18</v>
      </c>
      <c r="C196" s="114" t="str">
        <f t="shared" si="41"/>
        <v>6</v>
      </c>
      <c r="D196" s="495" t="s">
        <v>18</v>
      </c>
      <c r="E196" s="495" t="s">
        <v>695</v>
      </c>
      <c r="F196" s="496" t="str">
        <f>VLOOKUP(E196,'5.2 Actions'!$A$3:$B$720,2,0)</f>
        <v>Valoriser les données de bathymétrie ainsi que les données de pollution des boues curées du Port et les données de monitoring de la qualité des sédiments du Canal de BE pour déterminer les zones privilégiées d'accumulation des sédiments et des pollutions et tenter d'identifier les sources et voies d'entrée possibles des polluants (en particulier métaux lourds, HAPs, PBDE, phtalates, alkylphénols, organostanniques, PCBs, ainsi que le phosphore, les huiles minérales et les cyanures)</v>
      </c>
      <c r="G196" s="496" t="str">
        <f>"ACE"&amp;"-"&amp;VLOOKUP(D196,'6. Mesures_ Budget_ Maximaliste'!$A$4:$C$32,3,0)</f>
        <v>ACE-PP</v>
      </c>
      <c r="H196" s="496" t="str">
        <f>VLOOKUP(E196,'5.2 Actions'!$A$3:$D$720,4,0)</f>
        <v>CAN</v>
      </c>
      <c r="I196" s="497">
        <v>30000</v>
      </c>
    </row>
    <row r="197" spans="1:9" hidden="1" outlineLevel="2" x14ac:dyDescent="0.25">
      <c r="A197" s="114" t="str">
        <f t="shared" si="39"/>
        <v>1</v>
      </c>
      <c r="B197" t="str">
        <f t="shared" si="40"/>
        <v>18</v>
      </c>
      <c r="C197" s="114" t="str">
        <f t="shared" si="41"/>
        <v>7</v>
      </c>
      <c r="D197" s="495" t="s">
        <v>18</v>
      </c>
      <c r="E197" s="495" t="s">
        <v>696</v>
      </c>
      <c r="F197" s="496" t="str">
        <f>VLOOKUP(E197,'5.2 Actions'!$A$3:$B$720,2,0)</f>
        <v>Sensibiliser les usagers quant aux pollutions diffuses des navires et bateaux caractérisées dans la mesure M1.5</v>
      </c>
      <c r="G197" s="496" t="str">
        <f>"ACE"&amp;"-"&amp;VLOOKUP(D197,'6. Mesures_ Budget_ Maximaliste'!$A$4:$C$32,3,0)</f>
        <v>ACE-PP</v>
      </c>
      <c r="H197" s="496" t="str">
        <f>VLOOKUP(E197,'5.2 Actions'!$A$3:$D$720,4,0)</f>
        <v>CAN</v>
      </c>
      <c r="I197" s="497">
        <v>0</v>
      </c>
    </row>
    <row r="198" spans="1:9" hidden="1" outlineLevel="2" x14ac:dyDescent="0.25">
      <c r="A198" s="114" t="str">
        <f t="shared" si="39"/>
        <v>1</v>
      </c>
      <c r="B198" t="str">
        <f t="shared" si="40"/>
        <v>18</v>
      </c>
      <c r="C198" s="114" t="str">
        <f t="shared" si="41"/>
        <v>8</v>
      </c>
      <c r="D198" s="495" t="s">
        <v>18</v>
      </c>
      <c r="E198" s="495" t="s">
        <v>697</v>
      </c>
      <c r="F198" s="496" t="str">
        <f>VLOOKUP(E198,'5.2 Actions'!$A$3:$B$720,2,0)</f>
        <v>Émettre des recommandations pour limiter les pollutions diffuses des navires et bateaux caractérisées dans la mesure M1.5</v>
      </c>
      <c r="G198" s="496" t="str">
        <f>"ACE"&amp;"-"&amp;VLOOKUP(D198,'6. Mesures_ Budget_ Maximaliste'!$A$4:$C$32,3,0)</f>
        <v>ACE-PP</v>
      </c>
      <c r="H198" s="496" t="str">
        <f>VLOOKUP(E198,'5.2 Actions'!$A$3:$D$720,4,0)</f>
        <v>CAN</v>
      </c>
      <c r="I198" s="497">
        <v>0</v>
      </c>
    </row>
    <row r="199" spans="1:9" hidden="1" outlineLevel="2" x14ac:dyDescent="0.25">
      <c r="A199" s="114" t="str">
        <f t="shared" si="39"/>
        <v>1</v>
      </c>
      <c r="B199" t="str">
        <f t="shared" si="40"/>
        <v>18</v>
      </c>
      <c r="C199" s="114" t="str">
        <f t="shared" si="41"/>
        <v>9</v>
      </c>
      <c r="D199" s="495" t="s">
        <v>18</v>
      </c>
      <c r="E199" s="495" t="s">
        <v>698</v>
      </c>
      <c r="F199" s="496" t="str">
        <f>VLOOKUP(E199,'5.2 Actions'!$A$3:$B$720,2,0)</f>
        <v>Contrôler le respect de l'arrêté pour le transport et la manutention des marchandises dangereuses ou non dans le Canal</v>
      </c>
      <c r="G199" s="496" t="str">
        <f>"ACE"&amp;"-"&amp;VLOOKUP(D199,'6. Mesures_ Budget_ Maximaliste'!$A$4:$C$32,3,0)</f>
        <v>ACE-PP</v>
      </c>
      <c r="H199" s="496" t="str">
        <f>VLOOKUP(E199,'5.2 Actions'!$A$3:$D$720,4,0)</f>
        <v>CAN</v>
      </c>
      <c r="I199" s="497">
        <v>0</v>
      </c>
    </row>
    <row r="200" spans="1:9" ht="30" hidden="1" outlineLevel="2" x14ac:dyDescent="0.25">
      <c r="A200" s="114" t="str">
        <f t="shared" si="39"/>
        <v>1</v>
      </c>
      <c r="B200" t="str">
        <f t="shared" si="40"/>
        <v>18</v>
      </c>
      <c r="C200" s="114" t="str">
        <f t="shared" si="41"/>
        <v>10</v>
      </c>
      <c r="D200" s="495" t="s">
        <v>18</v>
      </c>
      <c r="E200" s="495" t="s">
        <v>690</v>
      </c>
      <c r="F200" s="496" t="str">
        <f>VLOOKUP(E200,'5.2 Actions'!$A$3:$B$720,2,0)</f>
        <v>Identifier les décharges clandestines le long du canal, les éliminer et poursuivre les auteurs, et prévenir ces décharges (ex : surveillance des zones fortement sujettes, affichages)</v>
      </c>
      <c r="G200" s="496" t="str">
        <f>"ACE"&amp;"-"&amp;VLOOKUP(D200,'6. Mesures_ Budget_ Maximaliste'!$A$4:$C$32,3,0)</f>
        <v>ACE-PP</v>
      </c>
      <c r="H200" s="496" t="str">
        <f>VLOOKUP(E200,'5.2 Actions'!$A$3:$D$720,4,0)</f>
        <v>CAN</v>
      </c>
      <c r="I200" s="497">
        <v>0</v>
      </c>
    </row>
    <row r="201" spans="1:9" hidden="1" outlineLevel="2" x14ac:dyDescent="0.25">
      <c r="A201" s="114" t="str">
        <f t="shared" si="39"/>
        <v>1</v>
      </c>
      <c r="B201" t="str">
        <f t="shared" si="40"/>
        <v>18</v>
      </c>
      <c r="C201" s="114" t="str">
        <f t="shared" si="41"/>
        <v>A</v>
      </c>
      <c r="D201" s="495" t="s">
        <v>18</v>
      </c>
      <c r="E201" s="495" t="s">
        <v>699</v>
      </c>
      <c r="F201" s="496" t="str">
        <f>VLOOKUP(E201,'5.2 Actions'!$A$3:$B$720,2,0)</f>
        <v>Curer la totalité des sédiments du Canal pour retirer la pollution historique. Scénario Maximaliste</v>
      </c>
      <c r="G201" s="496" t="str">
        <f>"ACE"&amp;"-"&amp;VLOOKUP(D201,'6. Mesures_ Budget_ Maximaliste'!$A$4:$C$32,3,0)</f>
        <v>ACE-PP</v>
      </c>
      <c r="H201" s="496" t="str">
        <f>VLOOKUP(E201,'5.2 Actions'!$A$3:$D$720,4,0)</f>
        <v>CAN</v>
      </c>
      <c r="I201" s="497">
        <v>0</v>
      </c>
    </row>
    <row r="202" spans="1:9" s="494" customFormat="1" hidden="1" outlineLevel="1" collapsed="1" x14ac:dyDescent="0.25">
      <c r="D202" s="500" t="s">
        <v>19</v>
      </c>
      <c r="E202" s="500"/>
      <c r="F202" s="501" t="str">
        <f>VLOOKUP(D202,'1. Mesures'!$A$2:$B$116,2,0)</f>
        <v>Actualiser les objectifs de qualité des eaux de surface dans l’arrêté "NQE"</v>
      </c>
      <c r="G202" s="501"/>
      <c r="H202" s="501"/>
      <c r="I202" s="502">
        <f>SUBTOTAL(9,I203:I206)</f>
        <v>0</v>
      </c>
    </row>
    <row r="203" spans="1:9" ht="30" hidden="1" outlineLevel="2" x14ac:dyDescent="0.25">
      <c r="A203" s="114" t="str">
        <f>MID(E203,1,1)</f>
        <v>1</v>
      </c>
      <c r="B203" t="str">
        <f>MID(E203,3,2)</f>
        <v>19</v>
      </c>
      <c r="C203" s="114" t="str">
        <f>MID(E203,6,2)</f>
        <v>1</v>
      </c>
      <c r="D203" s="495" t="s">
        <v>19</v>
      </c>
      <c r="E203" s="495" t="s">
        <v>2815</v>
      </c>
      <c r="F203" s="496" t="str">
        <f>VLOOKUP(E203,'5.2 Actions'!$A$3:$B$720,2,0)</f>
        <v xml:space="preserve">Analyser les paramètres et normes de l’arrêté NQE devant être actualisés ou inclus (paramètres chimiques et physico-chimiques) </v>
      </c>
      <c r="G203" s="496" t="str">
        <f>"ACE"&amp;"-"&amp;VLOOKUP(D203,'6. Mesures_ Budget_ Maximaliste'!$A$4:$C$32,3,0)</f>
        <v>ACE-</v>
      </c>
      <c r="H203" s="496" t="str">
        <f>VLOOKUP(E203,'5.2 Actions'!$A$3:$D$720,4,0)</f>
        <v>SEN / WOL / CAN</v>
      </c>
      <c r="I203" s="497">
        <v>0</v>
      </c>
    </row>
    <row r="204" spans="1:9" ht="30" hidden="1" outlineLevel="2" x14ac:dyDescent="0.25">
      <c r="A204" s="114" t="str">
        <f>MID(E204,1,1)</f>
        <v>1</v>
      </c>
      <c r="B204" t="str">
        <f>MID(E204,3,2)</f>
        <v>19</v>
      </c>
      <c r="C204" s="114" t="str">
        <f>MID(E204,6,2)</f>
        <v>2</v>
      </c>
      <c r="D204" s="495" t="s">
        <v>19</v>
      </c>
      <c r="E204" s="495" t="s">
        <v>2817</v>
      </c>
      <c r="F204" s="496" t="str">
        <f>VLOOKUP(E204,'5.2 Actions'!$A$3:$B$720,2,0)</f>
        <v>Identifier les polluants spécifiques au bassin versant (‘river basin specific pollutants’) dans l’arrêté NQE et les normes qui leur sont applicables</v>
      </c>
      <c r="G204" s="496" t="str">
        <f>"ACE"&amp;"-"&amp;VLOOKUP(D204,'6. Mesures_ Budget_ Maximaliste'!$A$4:$C$32,3,0)</f>
        <v>ACE-</v>
      </c>
      <c r="H204" s="496" t="str">
        <f>VLOOKUP(E204,'5.2 Actions'!$A$3:$D$720,4,0)</f>
        <v>SEN / WOL / CAN</v>
      </c>
      <c r="I204" s="497">
        <v>0</v>
      </c>
    </row>
    <row r="205" spans="1:9" ht="30" hidden="1" outlineLevel="2" x14ac:dyDescent="0.25">
      <c r="A205" s="114" t="str">
        <f>MID(E205,1,1)</f>
        <v>1</v>
      </c>
      <c r="B205" t="str">
        <f>MID(E205,3,2)</f>
        <v>19</v>
      </c>
      <c r="C205" s="114" t="str">
        <f>MID(E205,6,2)</f>
        <v>3</v>
      </c>
      <c r="D205" s="495" t="s">
        <v>19</v>
      </c>
      <c r="E205" s="495" t="s">
        <v>2819</v>
      </c>
      <c r="F205" s="496" t="str">
        <f>VLOOKUP(E205,'5.2 Actions'!$A$3:$B$720,2,0)</f>
        <v>Intégrer les objectifs de qualité écologique dans l’arrêté NQE (en ce compris les objectifs de potentiel hydromorphologique) et y expliciter la méthode d’évaluation du potentiel écologique</v>
      </c>
      <c r="G205" s="496" t="str">
        <f>"ACE"&amp;"-"&amp;VLOOKUP(D205,'6. Mesures_ Budget_ Maximaliste'!$A$4:$C$32,3,0)</f>
        <v>ACE-</v>
      </c>
      <c r="H205" s="496" t="str">
        <f>VLOOKUP(E205,'5.2 Actions'!$A$3:$D$720,4,0)</f>
        <v>SEN / WOL / CAN</v>
      </c>
      <c r="I205" s="497">
        <v>0</v>
      </c>
    </row>
    <row r="206" spans="1:9" ht="30" hidden="1" outlineLevel="2" x14ac:dyDescent="0.25">
      <c r="A206" s="114" t="str">
        <f>MID(E206,1,1)</f>
        <v>1</v>
      </c>
      <c r="B206" t="str">
        <f>MID(E206,3,2)</f>
        <v>19</v>
      </c>
      <c r="C206" s="114" t="str">
        <f>MID(E206,6,2)</f>
        <v>4</v>
      </c>
      <c r="D206" s="495" t="s">
        <v>19</v>
      </c>
      <c r="E206" s="495" t="s">
        <v>2821</v>
      </c>
      <c r="F206" s="496" t="str">
        <f>VLOOKUP(E206,'5.2 Actions'!$A$3:$B$720,2,0)</f>
        <v>Rédiger un projet d’arrêté actualisant l’ensemble des objectifs de qualité applicables aux masses d’eau de surface et le soumettre aux autres régions (consultations transfrontalières au sein du CCPIE) et le faire adopter</v>
      </c>
      <c r="G206" s="496" t="str">
        <f>"ACE"&amp;"-"&amp;VLOOKUP(D206,'6. Mesures_ Budget_ Maximaliste'!$A$4:$C$32,3,0)</f>
        <v>ACE-</v>
      </c>
      <c r="H206" s="496" t="str">
        <f>VLOOKUP(E206,'5.2 Actions'!$A$3:$D$720,4,0)</f>
        <v>SEN / WOL / CAN</v>
      </c>
      <c r="I206" s="497">
        <v>0</v>
      </c>
    </row>
    <row r="207" spans="1:9" s="494" customFormat="1" ht="28.5" hidden="1" outlineLevel="1" collapsed="1" x14ac:dyDescent="0.25">
      <c r="D207" s="500" t="s">
        <v>20</v>
      </c>
      <c r="E207" s="500"/>
      <c r="F207" s="501" t="str">
        <f>VLOOKUP(D207,'1. Mesures'!$A$2:$B$116,2,0)</f>
        <v>Mener des investigations et des actions ciblées pour les paramètres chimiques et physico-chimiques qui peuvent s’avérer problématiques pour les eaux de surface</v>
      </c>
      <c r="G207" s="501"/>
      <c r="H207" s="501"/>
      <c r="I207" s="502">
        <f>SUBTOTAL(9,I208:I216)</f>
        <v>0</v>
      </c>
    </row>
    <row r="208" spans="1:9" ht="45" hidden="1" outlineLevel="2" x14ac:dyDescent="0.25">
      <c r="A208" s="114" t="str">
        <f t="shared" ref="A208:A216" si="42">MID(E208,1,1)</f>
        <v>1</v>
      </c>
      <c r="B208" s="114" t="str">
        <f t="shared" ref="B208:B216" si="43">MID(E208,3,2)</f>
        <v>20</v>
      </c>
      <c r="C208" s="114" t="str">
        <f t="shared" ref="C208:C216" si="44">MID(E208,6,2)</f>
        <v>1</v>
      </c>
      <c r="D208" s="495" t="s">
        <v>20</v>
      </c>
      <c r="E208" s="495" t="s">
        <v>2823</v>
      </c>
      <c r="F208" s="496" t="str">
        <f>VLOOKUP(E208,'5.2 Actions'!$A$3:$B$720,2,0)</f>
        <v xml:space="preserve">Rassembler dans une base de données les informations renseignées dans les permis d’environnement (entre autre via les directives et législations comme REACH ou IED) et les inventaires sols et de pollution de l’air concernant les sources et les quantités émises de chaque substance déclassant l’état des masses d’eau pour alimenter l’inventaire des émissions, pertes et rejets des substances prioritaires et prioritaires dangereuses et d’autres polluants.  </v>
      </c>
      <c r="G208" s="496" t="str">
        <f>"ACE"&amp;"-"&amp;VLOOKUP(D208,'6. Mesures_ Budget_ Maximaliste'!$A$4:$C$32,3,0)</f>
        <v>ACE-</v>
      </c>
      <c r="H208" s="496" t="str">
        <f>VLOOKUP(E208,'5.2 Actions'!$A$3:$D$720,4,0)</f>
        <v>SEN / WOL / CAN</v>
      </c>
      <c r="I208" s="497">
        <v>0</v>
      </c>
    </row>
    <row r="209" spans="1:9" ht="30" hidden="1" outlineLevel="2" x14ac:dyDescent="0.25">
      <c r="A209" s="114" t="str">
        <f t="shared" si="42"/>
        <v>1</v>
      </c>
      <c r="B209" s="114" t="str">
        <f t="shared" si="43"/>
        <v>20</v>
      </c>
      <c r="C209" s="114" t="str">
        <f t="shared" si="44"/>
        <v>2</v>
      </c>
      <c r="D209" s="495" t="s">
        <v>20</v>
      </c>
      <c r="E209" s="495" t="s">
        <v>2825</v>
      </c>
      <c r="F209" s="496" t="str">
        <f>VLOOKUP(E209,'5.2 Actions'!$A$3:$B$720,2,0)</f>
        <v xml:space="preserve">Faire une analyse comparative des résultats des campagnes de mesures prévues aux M 1.12 et M 1.13 au regard de données d’E-PRTR afin de valider les émissions prédites dans WEISS </v>
      </c>
      <c r="G209" s="496" t="str">
        <f>"ACE"&amp;"-"&amp;VLOOKUP(D209,'6. Mesures_ Budget_ Maximaliste'!$A$4:$C$32,3,0)</f>
        <v>ACE-</v>
      </c>
      <c r="H209" s="496" t="str">
        <f>VLOOKUP(E209,'5.2 Actions'!$A$3:$D$720,4,0)</f>
        <v>SEN / WOL / CAN</v>
      </c>
      <c r="I209" s="497">
        <v>0</v>
      </c>
    </row>
    <row r="210" spans="1:9" ht="30" hidden="1" outlineLevel="2" x14ac:dyDescent="0.25">
      <c r="A210" s="114" t="str">
        <f t="shared" si="42"/>
        <v>1</v>
      </c>
      <c r="B210" s="114" t="str">
        <f t="shared" si="43"/>
        <v>20</v>
      </c>
      <c r="C210" s="114" t="str">
        <f t="shared" si="44"/>
        <v>3</v>
      </c>
      <c r="D210" s="495" t="s">
        <v>20</v>
      </c>
      <c r="E210" s="495" t="s">
        <v>2827</v>
      </c>
      <c r="F210" s="496" t="str">
        <f>VLOOKUP(E210,'5.2 Actions'!$A$3:$B$720,2,0)</f>
        <v>Identifier les sources lacunaires et estimer les émissions des paramètres déclassant  via une revue de la littérature</v>
      </c>
      <c r="G210" s="496" t="str">
        <f>"ACE"&amp;"-"&amp;VLOOKUP(D210,'6. Mesures_ Budget_ Maximaliste'!$A$4:$C$32,3,0)</f>
        <v>ACE-</v>
      </c>
      <c r="H210" s="496" t="str">
        <f>VLOOKUP(E210,'5.2 Actions'!$A$3:$D$720,4,0)</f>
        <v>SEN / WOL / CAN</v>
      </c>
      <c r="I210" s="497">
        <v>0</v>
      </c>
    </row>
    <row r="211" spans="1:9" ht="60" hidden="1" outlineLevel="2" x14ac:dyDescent="0.25">
      <c r="A211" s="114" t="str">
        <f t="shared" si="42"/>
        <v>1</v>
      </c>
      <c r="B211" s="114" t="str">
        <f t="shared" si="43"/>
        <v>20</v>
      </c>
      <c r="C211" s="114" t="str">
        <f t="shared" si="44"/>
        <v>4</v>
      </c>
      <c r="D211" s="495" t="s">
        <v>20</v>
      </c>
      <c r="E211" s="495" t="s">
        <v>2829</v>
      </c>
      <c r="F211" s="496" t="str">
        <f>VLOOKUP(E211,'5.2 Actions'!$A$3:$B$720,2,0)</f>
        <v xml:space="preserve">Identifier les sources lacunaires et estimer les émissions des métaux déclassant l’état chimique de la Senne et du Canal (plomb, nickel, mercure, cadmium, zinc) via une campagne de mesures.
Cette campagne s’intéressera à l’apport de polluants via les affluents ainsi qu’aux rejets diffus issus du lessivage des parcelles portuaires.
</v>
      </c>
      <c r="G211" s="496" t="str">
        <f>"ACE"&amp;"-"&amp;VLOOKUP(D211,'6. Mesures_ Budget_ Maximaliste'!$A$4:$C$32,3,0)</f>
        <v>ACE-</v>
      </c>
      <c r="H211" s="496" t="str">
        <f>VLOOKUP(E211,'5.2 Actions'!$A$3:$D$720,4,0)</f>
        <v>SEN / WOL / CAN</v>
      </c>
      <c r="I211" s="497">
        <v>0</v>
      </c>
    </row>
    <row r="212" spans="1:9" ht="30" hidden="1" outlineLevel="2" x14ac:dyDescent="0.25">
      <c r="A212" s="114" t="str">
        <f t="shared" si="42"/>
        <v>1</v>
      </c>
      <c r="B212" s="114" t="str">
        <f t="shared" si="43"/>
        <v>20</v>
      </c>
      <c r="C212" s="114" t="str">
        <f t="shared" si="44"/>
        <v>5</v>
      </c>
      <c r="D212" s="495" t="s">
        <v>20</v>
      </c>
      <c r="E212" s="495" t="s">
        <v>2832</v>
      </c>
      <c r="F212" s="496" t="str">
        <f>VLOOKUP(E212,'5.2 Actions'!$A$3:$B$720,2,0)</f>
        <v>Comprendre la dynamique des nutriments et plus spécifiquement, du phosphore dans la vallée de la Woluwe via une campagne de mesures</v>
      </c>
      <c r="G212" s="496" t="str">
        <f>"ACE"&amp;"-"&amp;VLOOKUP(D212,'6. Mesures_ Budget_ Maximaliste'!$A$4:$C$32,3,0)</f>
        <v>ACE-</v>
      </c>
      <c r="H212" s="496" t="str">
        <f>VLOOKUP(E212,'5.2 Actions'!$A$3:$D$720,4,0)</f>
        <v>SEN / WOL / CAN</v>
      </c>
      <c r="I212" s="497">
        <v>0</v>
      </c>
    </row>
    <row r="213" spans="1:9" ht="30" hidden="1" outlineLevel="2" x14ac:dyDescent="0.25">
      <c r="A213" s="114" t="str">
        <f t="shared" si="42"/>
        <v>1</v>
      </c>
      <c r="B213" s="114" t="str">
        <f t="shared" si="43"/>
        <v>20</v>
      </c>
      <c r="C213" s="114" t="str">
        <f t="shared" si="44"/>
        <v>6</v>
      </c>
      <c r="D213" s="495" t="s">
        <v>20</v>
      </c>
      <c r="E213" s="495" t="s">
        <v>2835</v>
      </c>
      <c r="F213" s="496" t="str">
        <f>VLOOKUP(E213,'5.2 Actions'!$A$3:$B$720,2,0)</f>
        <v>Actualiser er améliorer l’outil de modélisation des émissions « WEISS »</v>
      </c>
      <c r="G213" s="496" t="str">
        <f>"ACE"&amp;"-"&amp;VLOOKUP(D213,'6. Mesures_ Budget_ Maximaliste'!$A$4:$C$32,3,0)</f>
        <v>ACE-</v>
      </c>
      <c r="H213" s="496" t="str">
        <f>VLOOKUP(E213,'5.2 Actions'!$A$3:$D$720,4,0)</f>
        <v>SEN / WOL / CAN</v>
      </c>
      <c r="I213" s="497">
        <v>120000</v>
      </c>
    </row>
    <row r="214" spans="1:9" ht="30" hidden="1" outlineLevel="2" x14ac:dyDescent="0.25">
      <c r="A214" s="114" t="str">
        <f t="shared" si="42"/>
        <v>1</v>
      </c>
      <c r="B214" s="114" t="str">
        <f t="shared" si="43"/>
        <v>20</v>
      </c>
      <c r="C214" s="114" t="str">
        <f t="shared" si="44"/>
        <v>7</v>
      </c>
      <c r="D214" s="495" t="s">
        <v>20</v>
      </c>
      <c r="E214" s="495" t="s">
        <v>2837</v>
      </c>
      <c r="F214" s="496" t="str">
        <f>VLOOKUP(E214,'5.2 Actions'!$A$3:$B$720,2,0)</f>
        <v>Valider les données physico-chimiques et chimiques des eaux de surface de 2000 à 2027 et les analyser spatio-temporellement</v>
      </c>
      <c r="G214" s="496" t="str">
        <f>"ACE"&amp;"-"&amp;VLOOKUP(D214,'6. Mesures_ Budget_ Maximaliste'!$A$4:$C$32,3,0)</f>
        <v>ACE-</v>
      </c>
      <c r="H214" s="496" t="str">
        <f>VLOOKUP(E214,'5.2 Actions'!$A$3:$D$720,4,0)</f>
        <v>SEN / WOL / CAN</v>
      </c>
      <c r="I214" s="497">
        <v>0</v>
      </c>
    </row>
    <row r="215" spans="1:9" ht="30" hidden="1" outlineLevel="2" x14ac:dyDescent="0.25">
      <c r="A215" s="114" t="str">
        <f t="shared" si="42"/>
        <v>1</v>
      </c>
      <c r="B215" s="114" t="str">
        <f t="shared" si="43"/>
        <v>20</v>
      </c>
      <c r="C215" s="114" t="str">
        <f t="shared" si="44"/>
        <v>8</v>
      </c>
      <c r="D215" s="495" t="s">
        <v>20</v>
      </c>
      <c r="E215" s="495" t="s">
        <v>2839</v>
      </c>
      <c r="F215" s="496" t="str">
        <f>VLOOKUP(E215,'5.2 Actions'!$A$3:$B$720,2,0)</f>
        <v>Identifier les leviers d’action afin de diminuer les concentrations des paramètres déclassant l’état physico-chimique et chimique des masses d’eau de surface</v>
      </c>
      <c r="G215" s="496" t="str">
        <f>"ACE"&amp;"-"&amp;VLOOKUP(D215,'6. Mesures_ Budget_ Maximaliste'!$A$4:$C$32,3,0)</f>
        <v>ACE-</v>
      </c>
      <c r="H215" s="496" t="str">
        <f>VLOOKUP(E215,'5.2 Actions'!$A$3:$D$720,4,0)</f>
        <v>SEN / WOL / CAN</v>
      </c>
      <c r="I215" s="497">
        <v>0</v>
      </c>
    </row>
    <row r="216" spans="1:9" ht="30" hidden="1" outlineLevel="2" x14ac:dyDescent="0.25">
      <c r="A216" s="114" t="str">
        <f t="shared" si="42"/>
        <v>1</v>
      </c>
      <c r="B216" s="114" t="str">
        <f t="shared" si="43"/>
        <v>20</v>
      </c>
      <c r="C216" s="114" t="str">
        <f t="shared" si="44"/>
        <v>9</v>
      </c>
      <c r="D216" s="495" t="s">
        <v>20</v>
      </c>
      <c r="E216" s="495" t="s">
        <v>2841</v>
      </c>
      <c r="F216" s="496" t="str">
        <f>VLOOKUP(E216,'5.2 Actions'!$A$3:$B$720,2,0)</f>
        <v>Valoriser l’étude réalisée durant le PGE 2016-2021 portant sur la qualité des eaux de ruissellement (voiries, chemins de fer, trams, toitures)</v>
      </c>
      <c r="G216" s="496" t="str">
        <f>"ACE"&amp;"-"&amp;VLOOKUP(D216,'6. Mesures_ Budget_ Maximaliste'!$A$4:$C$32,3,0)</f>
        <v>ACE-</v>
      </c>
      <c r="H216" s="496" t="str">
        <f>VLOOKUP(E216,'5.2 Actions'!$A$3:$D$720,4,0)</f>
        <v>SEN / WOL / CAN</v>
      </c>
      <c r="I216" s="497">
        <v>0</v>
      </c>
    </row>
    <row r="217" spans="1:9" s="494" customFormat="1" hidden="1" outlineLevel="1" collapsed="1" x14ac:dyDescent="0.25">
      <c r="D217" s="500" t="s">
        <v>21</v>
      </c>
      <c r="E217" s="500"/>
      <c r="F217" s="501" t="str">
        <f>VLOOKUP(D217,'1. Mesures'!$A$2:$B$116,2,0)</f>
        <v>Assurer la surveillance de la qualité de la colonne d’eau, des sédiments, du biote, de la biologie et de l’hydromorphologie</v>
      </c>
      <c r="G217" s="501"/>
      <c r="H217" s="501"/>
      <c r="I217" s="502">
        <f>SUBTOTAL(9,I218:I227)</f>
        <v>0</v>
      </c>
    </row>
    <row r="218" spans="1:9" ht="30" hidden="1" outlineLevel="2" x14ac:dyDescent="0.25">
      <c r="A218" s="114" t="str">
        <f t="shared" ref="A218:A227" si="45">MID(E218,1,1)</f>
        <v>1</v>
      </c>
      <c r="B218" s="114" t="str">
        <f t="shared" ref="B218:B227" si="46">MID(E218,3,2)</f>
        <v>21</v>
      </c>
      <c r="C218" s="114" t="str">
        <f t="shared" ref="C218:C227" si="47">MID(E218,6,2)</f>
        <v>1</v>
      </c>
      <c r="D218" s="495" t="s">
        <v>21</v>
      </c>
      <c r="E218" s="495" t="s">
        <v>728</v>
      </c>
      <c r="F218" s="496" t="str">
        <f>VLOOKUP(E218,'5.2 Actions'!$A$3:$B$720,2,0)</f>
        <v>Monitoring biologique dans les cours d'eau et étangs</v>
      </c>
      <c r="G218" s="496" t="str">
        <f>"ACE"&amp;"-"&amp;VLOOKUP(D218,'6. Mesures_ Budget_ Maximaliste'!$A$4:$C$32,3,0)</f>
        <v>ACE-</v>
      </c>
      <c r="H218" s="496" t="str">
        <f>VLOOKUP(E218,'5.2 Actions'!$A$3:$D$720,4,0)</f>
        <v>SEN / WOL / CAN</v>
      </c>
      <c r="I218" s="497">
        <v>332500</v>
      </c>
    </row>
    <row r="219" spans="1:9" ht="30" hidden="1" outlineLevel="2" x14ac:dyDescent="0.25">
      <c r="A219" s="114" t="str">
        <f t="shared" si="45"/>
        <v>1</v>
      </c>
      <c r="B219" s="114" t="str">
        <f t="shared" si="46"/>
        <v>21</v>
      </c>
      <c r="C219" s="114" t="str">
        <f t="shared" si="47"/>
        <v>2</v>
      </c>
      <c r="D219" s="495" t="s">
        <v>21</v>
      </c>
      <c r="E219" s="495" t="s">
        <v>730</v>
      </c>
      <c r="F219" s="496" t="str">
        <f>VLOOKUP(E219,'5.2 Actions'!$A$3:$B$720,2,0)</f>
        <v>Monitoring mensuel de la qualité de la colonne d'eau des eaux de surface</v>
      </c>
      <c r="G219" s="496" t="str">
        <f>"ACE"&amp;"-"&amp;VLOOKUP(D219,'6. Mesures_ Budget_ Maximaliste'!$A$4:$C$32,3,0)</f>
        <v>ACE-</v>
      </c>
      <c r="H219" s="496" t="str">
        <f>VLOOKUP(E219,'5.2 Actions'!$A$3:$D$720,4,0)</f>
        <v>SEN / WOL / CAN</v>
      </c>
      <c r="I219" s="497">
        <v>1292000</v>
      </c>
    </row>
    <row r="220" spans="1:9" ht="30" hidden="1" outlineLevel="2" x14ac:dyDescent="0.25">
      <c r="A220" s="114" t="str">
        <f t="shared" si="45"/>
        <v>1</v>
      </c>
      <c r="B220" s="114" t="str">
        <f t="shared" si="46"/>
        <v>21</v>
      </c>
      <c r="C220" s="114" t="str">
        <f t="shared" si="47"/>
        <v>3</v>
      </c>
      <c r="D220" s="495" t="s">
        <v>21</v>
      </c>
      <c r="E220" s="495" t="s">
        <v>731</v>
      </c>
      <c r="F220" s="496" t="str">
        <f>VLOOKUP(E220,'5.2 Actions'!$A$3:$B$720,2,0)</f>
        <v xml:space="preserve">Monitoring de la qualité des sédiments des eaux de surface </v>
      </c>
      <c r="G220" s="496" t="str">
        <f>"ACE"&amp;"-"&amp;VLOOKUP(D220,'6. Mesures_ Budget_ Maximaliste'!$A$4:$C$32,3,0)</f>
        <v>ACE-</v>
      </c>
      <c r="H220" s="496" t="str">
        <f>VLOOKUP(E220,'5.2 Actions'!$A$3:$D$720,4,0)</f>
        <v>SEN / WOL / CAN</v>
      </c>
      <c r="I220" s="497">
        <v>95000</v>
      </c>
    </row>
    <row r="221" spans="1:9" ht="30" hidden="1" outlineLevel="2" x14ac:dyDescent="0.25">
      <c r="A221" s="114" t="str">
        <f t="shared" si="45"/>
        <v>1</v>
      </c>
      <c r="B221" s="114" t="str">
        <f t="shared" si="46"/>
        <v>21</v>
      </c>
      <c r="C221" s="114" t="str">
        <f t="shared" si="47"/>
        <v>4</v>
      </c>
      <c r="D221" s="495" t="s">
        <v>21</v>
      </c>
      <c r="E221" s="495" t="s">
        <v>732</v>
      </c>
      <c r="F221" s="496" t="str">
        <f>VLOOKUP(E221,'5.2 Actions'!$A$3:$B$720,2,0)</f>
        <v>Monitoring de la qualité du biote des eaux de surface</v>
      </c>
      <c r="G221" s="496" t="str">
        <f>"ACE"&amp;"-"&amp;VLOOKUP(D221,'6. Mesures_ Budget_ Maximaliste'!$A$4:$C$32,3,0)</f>
        <v>ACE-</v>
      </c>
      <c r="H221" s="496" t="str">
        <f>VLOOKUP(E221,'5.2 Actions'!$A$3:$D$720,4,0)</f>
        <v>SEN / WOL / CAN</v>
      </c>
      <c r="I221" s="497">
        <v>50000</v>
      </c>
    </row>
    <row r="222" spans="1:9" ht="30" hidden="1" outlineLevel="2" x14ac:dyDescent="0.25">
      <c r="A222" s="114" t="str">
        <f t="shared" si="45"/>
        <v>1</v>
      </c>
      <c r="B222" s="114" t="str">
        <f t="shared" si="46"/>
        <v>21</v>
      </c>
      <c r="C222" s="114" t="str">
        <f t="shared" si="47"/>
        <v>5</v>
      </c>
      <c r="D222" s="495" t="s">
        <v>21</v>
      </c>
      <c r="E222" s="495" t="s">
        <v>733</v>
      </c>
      <c r="F222" s="496" t="str">
        <f>VLOOKUP(E222,'5.2 Actions'!$A$3:$B$720,2,0)</f>
        <v>Intégrer et valider les données de chaque nouvelle année de qualité de la colonne d'eau dans la base de données des eaux de surface</v>
      </c>
      <c r="G222" s="496" t="str">
        <f>"ACE"&amp;"-"&amp;VLOOKUP(D222,'6. Mesures_ Budget_ Maximaliste'!$A$4:$C$32,3,0)</f>
        <v>ACE-</v>
      </c>
      <c r="H222" s="496" t="str">
        <f>VLOOKUP(E222,'5.2 Actions'!$A$3:$D$720,4,0)</f>
        <v>SEN / WOL / CAN</v>
      </c>
      <c r="I222" s="497">
        <v>0</v>
      </c>
    </row>
    <row r="223" spans="1:9" ht="30" hidden="1" outlineLevel="2" x14ac:dyDescent="0.25">
      <c r="A223" s="114" t="str">
        <f t="shared" si="45"/>
        <v>1</v>
      </c>
      <c r="B223" s="114" t="str">
        <f t="shared" si="46"/>
        <v>21</v>
      </c>
      <c r="C223" s="114" t="str">
        <f t="shared" si="47"/>
        <v>6</v>
      </c>
      <c r="D223" s="495" t="s">
        <v>21</v>
      </c>
      <c r="E223" s="495" t="s">
        <v>734</v>
      </c>
      <c r="F223" s="496" t="str">
        <f>VLOOKUP(E223,'5.2 Actions'!$A$3:$B$720,2,0)</f>
        <v>Intégrer les données de qualité des sédiments et les données de qualité du biote dans la base de données des eaux de surface</v>
      </c>
      <c r="G223" s="496" t="str">
        <f>"ACE"&amp;"-"&amp;VLOOKUP(D223,'6. Mesures_ Budget_ Maximaliste'!$A$4:$C$32,3,0)</f>
        <v>ACE-</v>
      </c>
      <c r="H223" s="496" t="str">
        <f>VLOOKUP(E223,'5.2 Actions'!$A$3:$D$720,4,0)</f>
        <v>SEN / WOL / CAN</v>
      </c>
      <c r="I223" s="497">
        <v>0</v>
      </c>
    </row>
    <row r="224" spans="1:9" ht="30" hidden="1" outlineLevel="2" x14ac:dyDescent="0.25">
      <c r="A224" s="114" t="str">
        <f t="shared" si="45"/>
        <v>1</v>
      </c>
      <c r="B224" s="114" t="str">
        <f t="shared" si="46"/>
        <v>21</v>
      </c>
      <c r="C224" s="114" t="str">
        <f t="shared" si="47"/>
        <v>7</v>
      </c>
      <c r="D224" s="495" t="s">
        <v>21</v>
      </c>
      <c r="E224" s="495" t="s">
        <v>735</v>
      </c>
      <c r="F224" s="496" t="str">
        <f>VLOOKUP(E224,'5.2 Actions'!$A$3:$B$720,2,0)</f>
        <v>Diffuser librement les données de surveillance de la qualité de l'eau</v>
      </c>
      <c r="G224" s="496" t="str">
        <f>"ACE"&amp;"-"&amp;VLOOKUP(D224,'6. Mesures_ Budget_ Maximaliste'!$A$4:$C$32,3,0)</f>
        <v>ACE-</v>
      </c>
      <c r="H224" s="496" t="str">
        <f>VLOOKUP(E224,'5.2 Actions'!$A$3:$D$720,4,0)</f>
        <v>SEN / WOL / CAN</v>
      </c>
      <c r="I224" s="497">
        <v>0</v>
      </c>
    </row>
    <row r="225" spans="1:9" ht="30" hidden="1" outlineLevel="2" x14ac:dyDescent="0.25">
      <c r="A225" s="114" t="str">
        <f t="shared" si="45"/>
        <v>1</v>
      </c>
      <c r="B225" s="114" t="str">
        <f t="shared" si="46"/>
        <v>21</v>
      </c>
      <c r="C225" s="114" t="str">
        <f t="shared" si="47"/>
        <v>8</v>
      </c>
      <c r="D225" s="495" t="s">
        <v>21</v>
      </c>
      <c r="E225" s="495" t="s">
        <v>736</v>
      </c>
      <c r="F225" s="496" t="str">
        <f>VLOOKUP(E225,'5.2 Actions'!$A$3:$B$720,2,0)</f>
        <v>Inventorier les modifications hydromorphologiques des eaux de surface</v>
      </c>
      <c r="G225" s="496" t="str">
        <f>"ACE"&amp;"-"&amp;VLOOKUP(D225,'6. Mesures_ Budget_ Maximaliste'!$A$4:$C$32,3,0)</f>
        <v>ACE-</v>
      </c>
      <c r="H225" s="496" t="str">
        <f>VLOOKUP(E225,'5.2 Actions'!$A$3:$D$720,4,0)</f>
        <v>SEN / WOL / CAN</v>
      </c>
      <c r="I225" s="497">
        <v>0</v>
      </c>
    </row>
    <row r="226" spans="1:9" ht="30" hidden="1" outlineLevel="2" x14ac:dyDescent="0.25">
      <c r="A226" s="114" t="str">
        <f t="shared" si="45"/>
        <v>1</v>
      </c>
      <c r="B226" s="114" t="str">
        <f t="shared" si="46"/>
        <v>21</v>
      </c>
      <c r="C226" s="114" t="str">
        <f t="shared" si="47"/>
        <v>9</v>
      </c>
      <c r="D226" s="495" t="s">
        <v>21</v>
      </c>
      <c r="E226" s="495" t="s">
        <v>737</v>
      </c>
      <c r="F226" s="496" t="str">
        <f>VLOOKUP(E226,'5.2 Actions'!$A$3:$B$720,2,0)</f>
        <v>Communiquer sur les états biologiques et hydromorphologiques via des publications de l'état de l'environnement</v>
      </c>
      <c r="G226" s="496" t="str">
        <f>"ACE"&amp;"-"&amp;VLOOKUP(D226,'6. Mesures_ Budget_ Maximaliste'!$A$4:$C$32,3,0)</f>
        <v>ACE-</v>
      </c>
      <c r="H226" s="496" t="str">
        <f>VLOOKUP(E226,'5.2 Actions'!$A$3:$D$720,4,0)</f>
        <v>SEN / WOL / CAN</v>
      </c>
      <c r="I226" s="497">
        <v>0</v>
      </c>
    </row>
    <row r="227" spans="1:9" ht="30" hidden="1" outlineLevel="2" x14ac:dyDescent="0.25">
      <c r="A227" s="114" t="str">
        <f t="shared" si="45"/>
        <v>1</v>
      </c>
      <c r="B227" s="114" t="str">
        <f t="shared" si="46"/>
        <v>21</v>
      </c>
      <c r="C227" s="114" t="str">
        <f t="shared" si="47"/>
        <v>10</v>
      </c>
      <c r="D227" s="495" t="s">
        <v>21</v>
      </c>
      <c r="E227" s="495" t="s">
        <v>729</v>
      </c>
      <c r="F227" s="496" t="str">
        <f>VLOOKUP(E227,'5.2 Actions'!$A$3:$B$720,2,0)</f>
        <v>Actualisation du potentiel écologique et de l'état chimique des eaux de surface</v>
      </c>
      <c r="G227" s="496" t="str">
        <f>"ACE"&amp;"-"&amp;VLOOKUP(D227,'6. Mesures_ Budget_ Maximaliste'!$A$4:$C$32,3,0)</f>
        <v>ACE-</v>
      </c>
      <c r="H227" s="496" t="str">
        <f>VLOOKUP(E227,'5.2 Actions'!$A$3:$D$720,4,0)</f>
        <v>SEN / WOL / CAN</v>
      </c>
      <c r="I227" s="497">
        <v>0</v>
      </c>
    </row>
    <row r="228" spans="1:9" s="494" customFormat="1" hidden="1" outlineLevel="1" collapsed="1" x14ac:dyDescent="0.25">
      <c r="D228" s="500" t="s">
        <v>22</v>
      </c>
      <c r="E228" s="500"/>
      <c r="F228" s="501" t="str">
        <f>VLOOKUP(D228,'1. Mesures'!$A$2:$B$116,2,0)</f>
        <v>Assurer et développer le réseau de monitoring qualitatif et quantitatif en continu FlowBru</v>
      </c>
      <c r="G228" s="501"/>
      <c r="H228" s="501"/>
      <c r="I228" s="502">
        <f>SUBTOTAL(9,I229:I240)</f>
        <v>0</v>
      </c>
    </row>
    <row r="229" spans="1:9" ht="30" hidden="1" outlineLevel="2" x14ac:dyDescent="0.25">
      <c r="A229" s="114" t="str">
        <f t="shared" ref="A229:A240" si="48">MID(E229,1,1)</f>
        <v>1</v>
      </c>
      <c r="B229" s="114" t="str">
        <f t="shared" ref="B229:B240" si="49">MID(E229,3,2)</f>
        <v>22</v>
      </c>
      <c r="C229" s="114" t="str">
        <f t="shared" ref="C229:C240" si="50">MID(E229,6,2)</f>
        <v>1</v>
      </c>
      <c r="D229" s="495" t="s">
        <v>22</v>
      </c>
      <c r="E229" s="495" t="s">
        <v>738</v>
      </c>
      <c r="F229" s="496" t="str">
        <f>VLOOKUP(E229,'5.2 Actions'!$A$3:$B$720,2,0)</f>
        <v>Entretien et réparation/remplacement des sondes du réseau Flowbru existantes et nouvellement installées</v>
      </c>
      <c r="G229" s="496" t="str">
        <f>"ACE"&amp;"-"&amp;VLOOKUP(D229,'6. Mesures_ Budget_ Maximaliste'!$A$4:$C$32,3,0)</f>
        <v>ACE-</v>
      </c>
      <c r="H229" s="496" t="str">
        <f>VLOOKUP(E229,'5.2 Actions'!$A$3:$D$720,4,0)</f>
        <v>SEN / WOL / CAN</v>
      </c>
      <c r="I229" s="497">
        <v>2000000</v>
      </c>
    </row>
    <row r="230" spans="1:9" ht="45" hidden="1" outlineLevel="2" x14ac:dyDescent="0.25">
      <c r="A230" s="114" t="str">
        <f t="shared" si="48"/>
        <v>1</v>
      </c>
      <c r="B230" s="114" t="str">
        <f t="shared" si="49"/>
        <v>22</v>
      </c>
      <c r="C230" s="114" t="str">
        <f t="shared" si="50"/>
        <v>2</v>
      </c>
      <c r="D230" s="495" t="s">
        <v>22</v>
      </c>
      <c r="E230" s="495" t="s">
        <v>742</v>
      </c>
      <c r="F230" s="496" t="str">
        <f>VLOOKUP(E230,'5.2 Actions'!$A$3:$B$720,2,0)</f>
        <v>Extension du réseau Flowbru avec le déploiement de sondes (débit, hauteur d'eau, fréquence) surveillant en continu (via dépôt sur un serveur FTP ou webservice) les bassins d'orage, les grands collecteurs, les déversoirs d'orage et leur confluence dans les eaux de surface dans le but de mieux monitorer les surverses et leur impact sur les eaux de surface et d'alimenter la gestion dynamique (M1.9) et la modélisation hydraulique des réseaux (M5.29)</v>
      </c>
      <c r="G230" s="496" t="str">
        <f>"ACE"&amp;"-"&amp;VLOOKUP(D230,'6. Mesures_ Budget_ Maximaliste'!$A$4:$C$32,3,0)</f>
        <v>ACE-</v>
      </c>
      <c r="H230" s="496" t="str">
        <f>VLOOKUP(E230,'5.2 Actions'!$A$3:$D$720,4,0)</f>
        <v>SEN / WOL / CAN</v>
      </c>
      <c r="I230" s="497">
        <v>335000</v>
      </c>
    </row>
    <row r="231" spans="1:9" ht="45" hidden="1" outlineLevel="2" x14ac:dyDescent="0.25">
      <c r="A231" s="114" t="str">
        <f t="shared" si="48"/>
        <v>1</v>
      </c>
      <c r="B231" s="114" t="str">
        <f t="shared" si="49"/>
        <v>22</v>
      </c>
      <c r="C231" s="114" t="str">
        <f t="shared" si="50"/>
        <v>3</v>
      </c>
      <c r="D231" s="495" t="s">
        <v>22</v>
      </c>
      <c r="E231" s="495" t="s">
        <v>743</v>
      </c>
      <c r="F231" s="496" t="str">
        <f>VLOOKUP(E231,'5.2 Actions'!$A$3:$B$720,2,0)</f>
        <v xml:space="preserve">Extension du réseau Flowbru avec le déploiement/renouvellement de sondes de mesures en continu (via un FTP ou webservice) de la qualité de cours d'eau  (pH, température de l'eau, oxygène dissous, conductivité et turbidité, voire également phycocyanine et chlorophylle ?) et des hauteurs d'eau dans le Canal et la Senne </v>
      </c>
      <c r="G231" s="496" t="str">
        <f>"ACE"&amp;"-"&amp;VLOOKUP(D231,'6. Mesures_ Budget_ Maximaliste'!$A$4:$C$32,3,0)</f>
        <v>ACE-</v>
      </c>
      <c r="H231" s="496" t="str">
        <f>VLOOKUP(E231,'5.2 Actions'!$A$3:$D$720,4,0)</f>
        <v>SEN / CAN</v>
      </c>
      <c r="I231" s="497">
        <v>280000</v>
      </c>
    </row>
    <row r="232" spans="1:9" ht="30" hidden="1" outlineLevel="2" x14ac:dyDescent="0.25">
      <c r="A232" s="114" t="str">
        <f t="shared" si="48"/>
        <v>1</v>
      </c>
      <c r="B232" s="114" t="str">
        <f t="shared" si="49"/>
        <v>22</v>
      </c>
      <c r="C232" s="114" t="str">
        <f t="shared" si="50"/>
        <v>4</v>
      </c>
      <c r="D232" s="495" t="s">
        <v>22</v>
      </c>
      <c r="E232" s="495" t="s">
        <v>744</v>
      </c>
      <c r="F232" s="496" t="str">
        <f>VLOOKUP(E232,'5.2 Actions'!$A$3:$B$720,2,0)</f>
        <v>Intégration des sondes déployées dans le site web de diffusion des données Flowbru et diffusion des données de toutes les sondes</v>
      </c>
      <c r="G232" s="496" t="str">
        <f>"ACE"&amp;"-"&amp;VLOOKUP(D232,'6. Mesures_ Budget_ Maximaliste'!$A$4:$C$32,3,0)</f>
        <v>ACE-</v>
      </c>
      <c r="H232" s="496" t="str">
        <f>VLOOKUP(E232,'5.2 Actions'!$A$3:$D$720,4,0)</f>
        <v>SEN / WOL / CAN</v>
      </c>
      <c r="I232" s="497">
        <v>30000</v>
      </c>
    </row>
    <row r="233" spans="1:9" ht="30" hidden="1" outlineLevel="2" x14ac:dyDescent="0.25">
      <c r="A233" s="114" t="str">
        <f t="shared" si="48"/>
        <v>1</v>
      </c>
      <c r="B233" s="114" t="str">
        <f t="shared" si="49"/>
        <v>22</v>
      </c>
      <c r="C233" s="114" t="str">
        <f t="shared" si="50"/>
        <v>5</v>
      </c>
      <c r="D233" s="495" t="s">
        <v>22</v>
      </c>
      <c r="E233" s="495" t="s">
        <v>745</v>
      </c>
      <c r="F233" s="496" t="str">
        <f>VLOOKUP(E233,'5.2 Actions'!$A$3:$B$720,2,0)</f>
        <v>Poursuivre la validation des nouvelles données pluviométriques, poursuivre la validation des données</v>
      </c>
      <c r="G233" s="496" t="str">
        <f>"ACE"&amp;"-"&amp;VLOOKUP(D233,'6. Mesures_ Budget_ Maximaliste'!$A$4:$C$32,3,0)</f>
        <v>ACE-</v>
      </c>
      <c r="H233" s="496" t="str">
        <f>VLOOKUP(E233,'5.2 Actions'!$A$3:$D$720,4,0)</f>
        <v>SEN / WOL / CAN</v>
      </c>
      <c r="I233" s="497">
        <v>30000</v>
      </c>
    </row>
    <row r="234" spans="1:9" ht="45" hidden="1" outlineLevel="2" x14ac:dyDescent="0.25">
      <c r="A234" s="114" t="str">
        <f t="shared" si="48"/>
        <v>1</v>
      </c>
      <c r="B234" s="114" t="str">
        <f t="shared" si="49"/>
        <v>22</v>
      </c>
      <c r="C234" s="114" t="str">
        <f t="shared" si="50"/>
        <v>6</v>
      </c>
      <c r="D234" s="495" t="s">
        <v>22</v>
      </c>
      <c r="E234" s="495" t="s">
        <v>746</v>
      </c>
      <c r="F234" s="496" t="str">
        <f>VLOOKUP(E234,'5.2 Actions'!$A$3:$B$720,2,0)</f>
        <v xml:space="preserve">Etude, au moyen de sondes mobiles (de qualité température-conductivité au niveau de déversoirs et de leurs points de confluence dans les eaux de surface), visant à analyser la corrélation entre la conductivité dans le cours d'eau récepteur et la charge polluante déversée par les surverses dans le cours d'eau, afin de pouvoir en tenir compte dans la gestion dynamique (en particulier : éviter de déverser le first flush). </v>
      </c>
      <c r="G234" s="496" t="str">
        <f>"ACE"&amp;"-"&amp;VLOOKUP(D234,'6. Mesures_ Budget_ Maximaliste'!$A$4:$C$32,3,0)</f>
        <v>ACE-</v>
      </c>
      <c r="H234" s="496" t="str">
        <f>VLOOKUP(E234,'5.2 Actions'!$A$3:$D$720,4,0)</f>
        <v>SEN / CAN</v>
      </c>
      <c r="I234" s="497">
        <v>0</v>
      </c>
    </row>
    <row r="235" spans="1:9" ht="30" hidden="1" outlineLevel="2" x14ac:dyDescent="0.25">
      <c r="A235" s="114" t="str">
        <f t="shared" si="48"/>
        <v>1</v>
      </c>
      <c r="B235" s="114" t="str">
        <f t="shared" si="49"/>
        <v>22</v>
      </c>
      <c r="C235" s="114" t="str">
        <f t="shared" si="50"/>
        <v>7</v>
      </c>
      <c r="D235" s="495" t="s">
        <v>22</v>
      </c>
      <c r="E235" s="495" t="s">
        <v>747</v>
      </c>
      <c r="F235" s="496" t="str">
        <f>VLOOKUP(E235,'5.2 Actions'!$A$3:$B$720,2,0)</f>
        <v>Etude d'utilisation des données du réseau Flowbru afin d'améliorer la prédiction de la maintenance des sondes et la gestion dynamique.</v>
      </c>
      <c r="G235" s="496" t="str">
        <f>"ACE"&amp;"-"&amp;VLOOKUP(D235,'6. Mesures_ Budget_ Maximaliste'!$A$4:$C$32,3,0)</f>
        <v>ACE-</v>
      </c>
      <c r="H235" s="496" t="str">
        <f>VLOOKUP(E235,'5.2 Actions'!$A$3:$D$720,4,0)</f>
        <v>SEN / WOL / CAN</v>
      </c>
      <c r="I235" s="497">
        <v>315000</v>
      </c>
    </row>
    <row r="236" spans="1:9" ht="30" hidden="1" outlineLevel="2" x14ac:dyDescent="0.25">
      <c r="A236" s="114" t="str">
        <f t="shared" si="48"/>
        <v>1</v>
      </c>
      <c r="B236" s="114" t="str">
        <f t="shared" si="49"/>
        <v>22</v>
      </c>
      <c r="C236" s="114" t="str">
        <f t="shared" si="50"/>
        <v>8</v>
      </c>
      <c r="D236" s="495" t="s">
        <v>22</v>
      </c>
      <c r="E236" s="495" t="s">
        <v>748</v>
      </c>
      <c r="F236" s="496" t="str">
        <f>VLOOKUP(E236,'5.2 Actions'!$A$3:$B$720,2,0)</f>
        <v>Amélioration du site web de diffusion des données mesurées Flowbru (https://www.Flowbru.be/fr) et développement d'une application mobile.</v>
      </c>
      <c r="G236" s="496" t="str">
        <f>"ACE"&amp;"-"&amp;VLOOKUP(D236,'6. Mesures_ Budget_ Maximaliste'!$A$4:$C$32,3,0)</f>
        <v>ACE-</v>
      </c>
      <c r="H236" s="496" t="str">
        <f>VLOOKUP(E236,'5.2 Actions'!$A$3:$D$720,4,0)</f>
        <v>SEN / WOL / CAN</v>
      </c>
      <c r="I236" s="497">
        <v>60000</v>
      </c>
    </row>
    <row r="237" spans="1:9" ht="30" hidden="1" outlineLevel="2" x14ac:dyDescent="0.25">
      <c r="A237" s="114" t="str">
        <f t="shared" si="48"/>
        <v>1</v>
      </c>
      <c r="B237" s="114" t="str">
        <f t="shared" si="49"/>
        <v>22</v>
      </c>
      <c r="C237" s="114" t="str">
        <f t="shared" si="50"/>
        <v>9</v>
      </c>
      <c r="D237" s="495" t="s">
        <v>22</v>
      </c>
      <c r="E237" s="495" t="s">
        <v>749</v>
      </c>
      <c r="F237" s="496" t="str">
        <f>VLOOKUP(E237,'5.2 Actions'!$A$3:$B$720,2,0)</f>
        <v>Développement d'une API du site Flowbru pour faciliter la diffusion des données</v>
      </c>
      <c r="G237" s="496" t="str">
        <f>"ACE"&amp;"-"&amp;VLOOKUP(D237,'6. Mesures_ Budget_ Maximaliste'!$A$4:$C$32,3,0)</f>
        <v>ACE-</v>
      </c>
      <c r="H237" s="496" t="str">
        <f>VLOOKUP(E237,'5.2 Actions'!$A$3:$D$720,4,0)</f>
        <v>SEN / WOL / CAN</v>
      </c>
      <c r="I237" s="497">
        <v>20000</v>
      </c>
    </row>
    <row r="238" spans="1:9" ht="30" hidden="1" outlineLevel="2" x14ac:dyDescent="0.25">
      <c r="A238" s="114" t="str">
        <f t="shared" si="48"/>
        <v>1</v>
      </c>
      <c r="B238" s="114" t="str">
        <f t="shared" si="49"/>
        <v>22</v>
      </c>
      <c r="C238" s="114" t="str">
        <f t="shared" si="50"/>
        <v>10</v>
      </c>
      <c r="D238" s="495" t="s">
        <v>22</v>
      </c>
      <c r="E238" s="495" t="s">
        <v>739</v>
      </c>
      <c r="F238" s="496" t="str">
        <f>VLOOKUP(E238,'5.2 Actions'!$A$3:$B$720,2,0)</f>
        <v>Développer des alertes automatiques pour une liste de contacts (dont SBGE, Port, BE) en cas de modification alarmante de paramètres mesurés par les sondes Flowbru, en particulier concernant des chutes d'oxygène, ou hausses de conductivité ou de pigments de cyanobactéries</v>
      </c>
      <c r="G238" s="496" t="str">
        <f>"ACE"&amp;"-"&amp;VLOOKUP(D238,'6. Mesures_ Budget_ Maximaliste'!$A$4:$C$32,3,0)</f>
        <v>ACE-</v>
      </c>
      <c r="H238" s="496" t="str">
        <f>VLOOKUP(E238,'5.2 Actions'!$A$3:$D$720,4,0)</f>
        <v>SEN / CAN</v>
      </c>
      <c r="I238" s="497">
        <v>0</v>
      </c>
    </row>
    <row r="239" spans="1:9" ht="30" hidden="1" outlineLevel="2" x14ac:dyDescent="0.25">
      <c r="A239" s="114" t="str">
        <f t="shared" si="48"/>
        <v>1</v>
      </c>
      <c r="B239" s="114" t="str">
        <f t="shared" si="49"/>
        <v>22</v>
      </c>
      <c r="C239" s="114" t="str">
        <f t="shared" si="50"/>
        <v>11</v>
      </c>
      <c r="D239" s="495" t="s">
        <v>22</v>
      </c>
      <c r="E239" s="495" t="s">
        <v>740</v>
      </c>
      <c r="F239" s="496" t="str">
        <f>VLOOKUP(E239,'5.2 Actions'!$A$3:$B$720,2,0)</f>
        <v>Déployer 1-2 sondes supplémentaires, en amont/aval de la première sonde (prévue au niveau du bassin Béco), si celle-ci démontre que cela s'avère utile (dans la M 1.22.3)</v>
      </c>
      <c r="G239" s="496" t="str">
        <f>"ACE"&amp;"-"&amp;VLOOKUP(D239,'6. Mesures_ Budget_ Maximaliste'!$A$4:$C$32,3,0)</f>
        <v>ACE-</v>
      </c>
      <c r="H239" s="496" t="str">
        <f>VLOOKUP(E239,'5.2 Actions'!$A$3:$D$720,4,0)</f>
        <v>CAN</v>
      </c>
      <c r="I239" s="497">
        <v>20000</v>
      </c>
    </row>
    <row r="240" spans="1:9" hidden="1" outlineLevel="2" x14ac:dyDescent="0.25">
      <c r="A240" s="114" t="str">
        <f t="shared" si="48"/>
        <v>1</v>
      </c>
      <c r="B240" s="114" t="str">
        <f t="shared" si="49"/>
        <v>22</v>
      </c>
      <c r="C240" s="114" t="str">
        <f t="shared" si="50"/>
        <v>12</v>
      </c>
      <c r="D240" s="495" t="s">
        <v>22</v>
      </c>
      <c r="E240" s="495" t="s">
        <v>1597</v>
      </c>
      <c r="F240" s="496" t="str">
        <f>VLOOKUP(E240,'5.2 Actions'!$A$3:$B$720,2,0)</f>
        <v>Analyser les données recueillies et les mettre à disposition du Port pour communiquer vers les usagers du Canal.</v>
      </c>
      <c r="G240" s="496" t="str">
        <f>"ACE"&amp;"-"&amp;VLOOKUP(D240,'6. Mesures_ Budget_ Maximaliste'!$A$4:$C$32,3,0)</f>
        <v>ACE-</v>
      </c>
      <c r="H240" s="496" t="str">
        <f>VLOOKUP(E240,'5.2 Actions'!$A$3:$D$720,4,0)</f>
        <v>CAN</v>
      </c>
      <c r="I240" s="497">
        <v>0</v>
      </c>
    </row>
    <row r="241" spans="1:9" s="494" customFormat="1" hidden="1" outlineLevel="1" collapsed="1" x14ac:dyDescent="0.25">
      <c r="D241" s="500" t="s">
        <v>24</v>
      </c>
      <c r="E241" s="500"/>
      <c r="F241" s="501" t="str">
        <f>VLOOKUP(D241,'1. Mesures'!$A$2:$B$116,2,0)</f>
        <v>Développer un modèle de qualité physico-chimique de la Senne pour déterminer les objectifs réalisables à long terme pour cette masse d’eau</v>
      </c>
      <c r="G241" s="501"/>
      <c r="H241" s="501"/>
      <c r="I241" s="502">
        <f>SUBTOTAL(9,I242:I244)</f>
        <v>0</v>
      </c>
    </row>
    <row r="242" spans="1:9" hidden="1" outlineLevel="2" x14ac:dyDescent="0.25">
      <c r="A242" s="114" t="str">
        <f>MID(E242,1,1)</f>
        <v>1</v>
      </c>
      <c r="B242" s="114" t="str">
        <f>MID(E242,3,2)</f>
        <v>23</v>
      </c>
      <c r="C242" s="114" t="str">
        <f>MID(E242,6,2)</f>
        <v>1</v>
      </c>
      <c r="D242" s="495" t="s">
        <v>24</v>
      </c>
      <c r="E242" s="495" t="s">
        <v>2599</v>
      </c>
      <c r="F242" s="496" t="str">
        <f>VLOOKUP(E242,'5.2 Actions'!$A$3:$B$720,2,0)</f>
        <v>Réaliser une caractérisation fine des entrées de polluants physico-chimique dans la Senne</v>
      </c>
      <c r="G242" s="496" t="str">
        <f>"ACE"&amp;"-"&amp;VLOOKUP(D242,'6. Mesures_ Budget_ Maximaliste'!$A$4:$C$32,3,0)</f>
        <v>ACE-</v>
      </c>
      <c r="H242" s="496" t="str">
        <f>VLOOKUP(E242,'5.2 Actions'!$A$3:$D$720,4,0)</f>
        <v xml:space="preserve">SEN </v>
      </c>
      <c r="I242" s="497">
        <v>0</v>
      </c>
    </row>
    <row r="243" spans="1:9" hidden="1" outlineLevel="2" x14ac:dyDescent="0.25">
      <c r="A243" s="114" t="str">
        <f>MID(E243,1,1)</f>
        <v>1</v>
      </c>
      <c r="B243" s="114" t="str">
        <f>MID(E243,3,2)</f>
        <v>23</v>
      </c>
      <c r="C243" s="114" t="str">
        <f>MID(E243,6,2)</f>
        <v>2</v>
      </c>
      <c r="D243" s="495" t="s">
        <v>24</v>
      </c>
      <c r="E243" s="495" t="s">
        <v>2600</v>
      </c>
      <c r="F243" s="496" t="str">
        <f>VLOOKUP(E243,'5.2 Actions'!$A$3:$B$720,2,0)</f>
        <v>Utiliser un modèle biogéochimique adapté pour la Senne en collaboration avec la VMM</v>
      </c>
      <c r="G243" s="496" t="str">
        <f>"ACE"&amp;"-"&amp;VLOOKUP(D243,'6. Mesures_ Budget_ Maximaliste'!$A$4:$C$32,3,0)</f>
        <v>ACE-</v>
      </c>
      <c r="H243" s="496" t="str">
        <f>VLOOKUP(E243,'5.2 Actions'!$A$3:$D$720,4,0)</f>
        <v xml:space="preserve">SEN </v>
      </c>
      <c r="I243" s="497">
        <v>0</v>
      </c>
    </row>
    <row r="244" spans="1:9" ht="30" hidden="1" outlineLevel="2" x14ac:dyDescent="0.25">
      <c r="A244" s="114" t="str">
        <f>MID(E244,1,1)</f>
        <v>1</v>
      </c>
      <c r="B244" s="114" t="str">
        <f>MID(E244,3,2)</f>
        <v>23</v>
      </c>
      <c r="C244" s="114" t="str">
        <f>MID(E244,6,2)</f>
        <v>3</v>
      </c>
      <c r="D244" s="495" t="s">
        <v>24</v>
      </c>
      <c r="E244" s="495" t="s">
        <v>2601</v>
      </c>
      <c r="F244" s="496" t="str">
        <f>VLOOKUP(E244,'5.2 Actions'!$A$3:$B$720,2,0)</f>
        <v>Analyser les scénarios permettant d’améliorer la qualité physico-chimique de la Senne en collaboration avec la VMM et, le cas échéant, entamer l’argumentaire pour la formulation d’éventuels objectifs moins stricts)</v>
      </c>
      <c r="G244" s="496" t="str">
        <f>"ACE"&amp;"-"&amp;VLOOKUP(D244,'6. Mesures_ Budget_ Maximaliste'!$A$4:$C$32,3,0)</f>
        <v>ACE-</v>
      </c>
      <c r="H244" s="496" t="str">
        <f>VLOOKUP(E244,'5.2 Actions'!$A$3:$D$720,4,0)</f>
        <v xml:space="preserve">SEN </v>
      </c>
      <c r="I244" s="497">
        <v>0</v>
      </c>
    </row>
    <row r="245" spans="1:9" s="494" customFormat="1" hidden="1" outlineLevel="1" collapsed="1" x14ac:dyDescent="0.25">
      <c r="D245" s="500" t="s">
        <v>25</v>
      </c>
      <c r="E245" s="500"/>
      <c r="F245" s="501" t="str">
        <f>VLOOKUP(D245,'1. Mesures'!$A$2:$B$116,2,0)</f>
        <v>Sensibiliser les Bruxellois.e.s à l'impact des certaines pratiques sur les eaux de surface</v>
      </c>
      <c r="G245" s="501"/>
      <c r="H245" s="501"/>
      <c r="I245" s="502">
        <f>SUBTOTAL(9,I246:I252)</f>
        <v>0</v>
      </c>
    </row>
    <row r="246" spans="1:9" ht="60" hidden="1" outlineLevel="2" x14ac:dyDescent="0.25">
      <c r="A246" s="114" t="str">
        <f t="shared" ref="A246:A252" si="51">MID(E246,1,1)</f>
        <v>1</v>
      </c>
      <c r="B246" s="114" t="str">
        <f t="shared" ref="B246:B252" si="52">MID(E246,3,2)</f>
        <v>24</v>
      </c>
      <c r="C246" s="114" t="str">
        <f t="shared" ref="C246:C252" si="53">MID(E246,6,2)</f>
        <v>1</v>
      </c>
      <c r="D246" s="495" t="s">
        <v>25</v>
      </c>
      <c r="E246" s="495" t="s">
        <v>750</v>
      </c>
      <c r="F246" s="496" t="str">
        <f>VLOOKUP(E246,'5.2 Actions'!$A$3:$B$720,2,0)</f>
        <v>Rassembler et diffuser une information claire et cohérente sur les sites internet de l’administration et des opérateurs concernant :
-         Les déchets ne pouvant pas être jetés dans les égouts
-         Les alternatives aux produits d’entretien (ménagers, jardins, trottoirs, terrasses, toitures, …) nocifs
-         La bonne utilisation des autres produits d’entretien (sel de déneigement,…)</v>
      </c>
      <c r="G246" s="496" t="str">
        <f>"ACE"&amp;"-"&amp;VLOOKUP(D246,'6. Mesures_ Budget_ Maximaliste'!$A$4:$C$32,3,0)</f>
        <v>ACE-</v>
      </c>
      <c r="H246" s="496" t="str">
        <f>VLOOKUP(E246,'5.2 Actions'!$A$3:$D$720,4,0)</f>
        <v>SEN / WOL / CAN</v>
      </c>
      <c r="I246" s="497">
        <v>0</v>
      </c>
    </row>
    <row r="247" spans="1:9" ht="45" hidden="1" outlineLevel="2" x14ac:dyDescent="0.25">
      <c r="A247" s="114" t="str">
        <f t="shared" si="51"/>
        <v>1</v>
      </c>
      <c r="B247" s="114" t="str">
        <f t="shared" si="52"/>
        <v>24</v>
      </c>
      <c r="C247" s="114" t="str">
        <f t="shared" si="53"/>
        <v>2</v>
      </c>
      <c r="D247" s="495" t="s">
        <v>25</v>
      </c>
      <c r="E247" s="495" t="s">
        <v>751</v>
      </c>
      <c r="F247" s="496" t="str">
        <f>VLOOKUP(E247,'5.2 Actions'!$A$3:$B$720,2,0)</f>
        <v xml:space="preserve">Mener des campagnes d’information et de sensibilisation pour faire évoluer les pratiques et les comportements permettant de limiter l’impact néfaste des déchets dans le réseau d’assainissement et pour l’environnement (1x tous les deux ans) en utilisant les canaux les plus adéquats pour toucher au mieux les publics professionnels et domestique. </v>
      </c>
      <c r="G247" s="496" t="str">
        <f>"ACE"&amp;"-"&amp;VLOOKUP(D247,'6. Mesures_ Budget_ Maximaliste'!$A$4:$C$32,3,0)</f>
        <v>ACE-</v>
      </c>
      <c r="H247" s="496" t="str">
        <f>VLOOKUP(E247,'5.2 Actions'!$A$3:$D$720,4,0)</f>
        <v>SEN / WOL / CAN</v>
      </c>
      <c r="I247" s="497">
        <v>0</v>
      </c>
    </row>
    <row r="248" spans="1:9" ht="30" hidden="1" outlineLevel="2" x14ac:dyDescent="0.25">
      <c r="A248" s="114" t="str">
        <f t="shared" si="51"/>
        <v>1</v>
      </c>
      <c r="B248" s="114" t="str">
        <f t="shared" si="52"/>
        <v>24</v>
      </c>
      <c r="C248" s="114" t="str">
        <f t="shared" si="53"/>
        <v>3</v>
      </c>
      <c r="D248" s="495" t="s">
        <v>25</v>
      </c>
      <c r="E248" s="495" t="s">
        <v>752</v>
      </c>
      <c r="F248" s="496" t="str">
        <f>VLOOKUP(E248,'5.2 Actions'!$A$3:$B$720,2,0)</f>
        <v>Fournir des informations au Musée des égouts (et autres lieux culturels relayant la préservation de l’environnement) en tant que lieu de sensibilisation</v>
      </c>
      <c r="G248" s="496" t="str">
        <f>"ACE"&amp;"-"&amp;VLOOKUP(D248,'6. Mesures_ Budget_ Maximaliste'!$A$4:$C$32,3,0)</f>
        <v>ACE-</v>
      </c>
      <c r="H248" s="496" t="str">
        <f>VLOOKUP(E248,'5.2 Actions'!$A$3:$D$720,4,0)</f>
        <v>SEN / WOL / CAN</v>
      </c>
      <c r="I248" s="497">
        <v>0</v>
      </c>
    </row>
    <row r="249" spans="1:9" ht="30" hidden="1" outlineLevel="2" x14ac:dyDescent="0.25">
      <c r="A249" s="114" t="str">
        <f t="shared" si="51"/>
        <v>1</v>
      </c>
      <c r="B249" s="114" t="str">
        <f t="shared" si="52"/>
        <v>24</v>
      </c>
      <c r="C249" s="114" t="str">
        <f t="shared" si="53"/>
        <v>4</v>
      </c>
      <c r="D249" s="495" t="s">
        <v>25</v>
      </c>
      <c r="E249" s="495" t="s">
        <v>753</v>
      </c>
      <c r="F249" s="496" t="str">
        <f>VLOOKUP(E249,'5.2 Actions'!$A$3:$B$720,2,0)</f>
        <v>Promouvoir l’interdiction d’utilisation des objets en plastique à usage unique et favoriser les alternatives réutilisables/durables.
Cette mesure s’établira en synergie également avec la M.7.2 sur la promotion de l’eau de distribution pour les besoins potables.</v>
      </c>
      <c r="G249" s="496" t="str">
        <f>"ACE"&amp;"-"&amp;VLOOKUP(D249,'6. Mesures_ Budget_ Maximaliste'!$A$4:$C$32,3,0)</f>
        <v>ACE-</v>
      </c>
      <c r="H249" s="496" t="str">
        <f>VLOOKUP(E249,'5.2 Actions'!$A$3:$D$720,4,0)</f>
        <v>SEN / WOL / CAN</v>
      </c>
      <c r="I249" s="497">
        <v>0</v>
      </c>
    </row>
    <row r="250" spans="1:9" ht="30" hidden="1" outlineLevel="2" x14ac:dyDescent="0.25">
      <c r="A250" s="114" t="str">
        <f t="shared" si="51"/>
        <v>1</v>
      </c>
      <c r="B250" s="114" t="str">
        <f t="shared" si="52"/>
        <v>24</v>
      </c>
      <c r="C250" s="114" t="str">
        <f t="shared" si="53"/>
        <v>5</v>
      </c>
      <c r="D250" s="495" t="s">
        <v>25</v>
      </c>
      <c r="E250" s="495" t="s">
        <v>754</v>
      </c>
      <c r="F250" s="496" t="str">
        <f>VLOOKUP(E250,'5.2 Actions'!$A$3:$B$720,2,0)</f>
        <v xml:space="preserve">Renforcer les campagnes existantes sur la promotion de la propreté urbaine via différents outils et canaux de communication </v>
      </c>
      <c r="G250" s="496" t="str">
        <f>"ACE"&amp;"-"&amp;VLOOKUP(D250,'6. Mesures_ Budget_ Maximaliste'!$A$4:$C$32,3,0)</f>
        <v>ACE-</v>
      </c>
      <c r="H250" s="496" t="str">
        <f>VLOOKUP(E250,'5.2 Actions'!$A$3:$D$720,4,0)</f>
        <v>SEN / WOL / CAN</v>
      </c>
      <c r="I250" s="497">
        <v>0</v>
      </c>
    </row>
    <row r="251" spans="1:9" ht="30" hidden="1" outlineLevel="2" x14ac:dyDescent="0.25">
      <c r="A251" s="114" t="str">
        <f t="shared" si="51"/>
        <v>1</v>
      </c>
      <c r="B251" s="114" t="str">
        <f t="shared" si="52"/>
        <v>24</v>
      </c>
      <c r="C251" s="114" t="str">
        <f t="shared" si="53"/>
        <v>6</v>
      </c>
      <c r="D251" s="495" t="s">
        <v>25</v>
      </c>
      <c r="E251" s="495" t="s">
        <v>2602</v>
      </c>
      <c r="F251" s="496" t="str">
        <f>VLOOKUP(E251,'5.2 Actions'!$A$3:$B$720,2,0)</f>
        <v xml:space="preserve">Poursuivre et renforcer la campagne « Ici commence la mer » tout en considérant l’opportunité d’en étendre le périmètre. </v>
      </c>
      <c r="G251" s="496" t="str">
        <f>"ACE"&amp;"-"&amp;VLOOKUP(D251,'6. Mesures_ Budget_ Maximaliste'!$A$4:$C$32,3,0)</f>
        <v>ACE-</v>
      </c>
      <c r="H251" s="496" t="str">
        <f>VLOOKUP(E251,'5.2 Actions'!$A$3:$D$720,4,0)</f>
        <v>SEN / WOL / CAN</v>
      </c>
      <c r="I251" s="497"/>
    </row>
    <row r="252" spans="1:9" ht="30" hidden="1" outlineLevel="2" x14ac:dyDescent="0.25">
      <c r="A252" s="114" t="str">
        <f t="shared" si="51"/>
        <v>1</v>
      </c>
      <c r="B252" s="114" t="str">
        <f t="shared" si="52"/>
        <v>24</v>
      </c>
      <c r="C252" s="114" t="str">
        <f t="shared" si="53"/>
        <v>7</v>
      </c>
      <c r="D252" s="495" t="s">
        <v>25</v>
      </c>
      <c r="E252" s="495" t="s">
        <v>2603</v>
      </c>
      <c r="F252" s="496" t="str">
        <f>VLOOKUP(E252,'5.2 Actions'!$A$3:$B$720,2,0)</f>
        <v>Développement d’une application de sensibilisation et de participation citoyenne à l’observation de pollution des eaux de surface</v>
      </c>
      <c r="G252" s="496" t="str">
        <f>"ACE"&amp;"-"&amp;VLOOKUP(D252,'6. Mesures_ Budget_ Maximaliste'!$A$4:$C$32,3,0)</f>
        <v>ACE-</v>
      </c>
      <c r="H252" s="496" t="str">
        <f>VLOOKUP(E252,'5.2 Actions'!$A$3:$D$720,4,0)</f>
        <v>SEN / WOL / CAN</v>
      </c>
      <c r="I252" s="497">
        <v>40000</v>
      </c>
    </row>
    <row r="253" spans="1:9" s="494" customFormat="1" hidden="1" outlineLevel="1" collapsed="1" x14ac:dyDescent="0.25">
      <c r="D253" s="500" t="s">
        <v>26</v>
      </c>
      <c r="E253" s="500"/>
      <c r="F253" s="501" t="str">
        <f>VLOOKUP(D253,'1. Mesures'!$A$2:$B$116,2,0)</f>
        <v>Assurer la gestion des pollutions intra régionales et transfrontalières</v>
      </c>
      <c r="G253" s="501"/>
      <c r="H253" s="501"/>
      <c r="I253" s="502">
        <f>SUBTOTAL(9,I254:I266)</f>
        <v>0</v>
      </c>
    </row>
    <row r="254" spans="1:9" ht="30" hidden="1" outlineLevel="2" x14ac:dyDescent="0.25">
      <c r="A254" s="114" t="str">
        <f t="shared" ref="A254:A266" si="54">MID(E254,1,1)</f>
        <v>1</v>
      </c>
      <c r="B254" s="114" t="str">
        <f t="shared" ref="B254:B266" si="55">MID(E254,3,2)</f>
        <v>25</v>
      </c>
      <c r="C254" s="114" t="str">
        <f t="shared" ref="C254:C266" si="56">MID(E254,6,2)</f>
        <v>1</v>
      </c>
      <c r="D254" s="495" t="s">
        <v>26</v>
      </c>
      <c r="E254" s="495" t="s">
        <v>755</v>
      </c>
      <c r="F254" s="496" t="str">
        <f>VLOOKUP(E254,'5.2 Actions'!$A$3:$B$720,2,0)</f>
        <v>Intégrer les principes de gestion développés au niveau de la CIE dans les procédures de gestion de pollution au niveau bruxellois (Voir plan faitier CIE)</v>
      </c>
      <c r="G254" s="496" t="str">
        <f>"ACE"&amp;"-"&amp;VLOOKUP(D254,'6. Mesures_ Budget_ Maximaliste'!$A$4:$C$32,3,0)</f>
        <v>ACE-</v>
      </c>
      <c r="H254" s="496" t="str">
        <f>VLOOKUP(E254,'5.2 Actions'!$A$3:$D$720,4,0)</f>
        <v>SEN / WOL / CAN</v>
      </c>
      <c r="I254" s="497">
        <v>0</v>
      </c>
    </row>
    <row r="255" spans="1:9" ht="30" hidden="1" outlineLevel="2" x14ac:dyDescent="0.25">
      <c r="A255" s="114" t="str">
        <f t="shared" si="54"/>
        <v>1</v>
      </c>
      <c r="B255" s="114" t="str">
        <f t="shared" si="55"/>
        <v>25</v>
      </c>
      <c r="C255" s="114" t="str">
        <f t="shared" si="56"/>
        <v>2</v>
      </c>
      <c r="D255" s="495" t="s">
        <v>26</v>
      </c>
      <c r="E255" s="495" t="s">
        <v>756</v>
      </c>
      <c r="F255" s="496" t="str">
        <f>VLOOKUP(E255,'5.2 Actions'!$A$3:$B$720,2,0)</f>
        <v>Appliquer les recommandations délivrées par la CIE en vue d’améliorer le fonctionnement et la communication au sein du SAAE (Voir plan faitier CIE)</v>
      </c>
      <c r="G255" s="496" t="str">
        <f>"ACE"&amp;"-"&amp;VLOOKUP(D255,'6. Mesures_ Budget_ Maximaliste'!$A$4:$C$32,3,0)</f>
        <v>ACE-</v>
      </c>
      <c r="H255" s="496" t="str">
        <f>VLOOKUP(E255,'5.2 Actions'!$A$3:$D$720,4,0)</f>
        <v>SEN / WOL / CAN</v>
      </c>
      <c r="I255" s="497">
        <v>0</v>
      </c>
    </row>
    <row r="256" spans="1:9" ht="30" hidden="1" outlineLevel="2" x14ac:dyDescent="0.25">
      <c r="A256" s="114" t="str">
        <f t="shared" si="54"/>
        <v>1</v>
      </c>
      <c r="B256" s="114" t="str">
        <f t="shared" si="55"/>
        <v>25</v>
      </c>
      <c r="C256" s="114" t="str">
        <f t="shared" si="56"/>
        <v>3</v>
      </c>
      <c r="D256" s="495" t="s">
        <v>26</v>
      </c>
      <c r="E256" s="495" t="s">
        <v>757</v>
      </c>
      <c r="F256" s="496" t="str">
        <f>VLOOKUP(E256,'5.2 Actions'!$A$3:$B$720,2,0)</f>
        <v>Intégrer le Port de Bruxelles dans le marché de Bruxelles Environnement pour le CPA du Système d’alarme et d’alerte pour le district hydrographique de l’Escaut (Voir plan faitier CIE)</v>
      </c>
      <c r="G256" s="496" t="str">
        <f>"ACE"&amp;"-"&amp;VLOOKUP(D256,'6. Mesures_ Budget_ Maximaliste'!$A$4:$C$32,3,0)</f>
        <v>ACE-</v>
      </c>
      <c r="H256" s="496" t="str">
        <f>VLOOKUP(E256,'5.2 Actions'!$A$3:$D$720,4,0)</f>
        <v>SEN / WOL / CAN</v>
      </c>
      <c r="I256" s="497">
        <v>22800</v>
      </c>
    </row>
    <row r="257" spans="1:9" ht="30" hidden="1" outlineLevel="2" x14ac:dyDescent="0.25">
      <c r="A257" s="114" t="str">
        <f t="shared" si="54"/>
        <v>1</v>
      </c>
      <c r="B257" s="114" t="str">
        <f t="shared" si="55"/>
        <v>25</v>
      </c>
      <c r="C257" s="114" t="str">
        <f t="shared" si="56"/>
        <v>4</v>
      </c>
      <c r="D257" s="495" t="s">
        <v>26</v>
      </c>
      <c r="E257" s="495" t="s">
        <v>758</v>
      </c>
      <c r="F257" s="496" t="str">
        <f>VLOOKUP(E257,'5.2 Actions'!$A$3:$B$720,2,0)</f>
        <v>Clarifier la procédure de gestion de crise pour prendre les mesures rapides et efficaces en cas de pollution, notamment via la Protection civile</v>
      </c>
      <c r="G257" s="496" t="str">
        <f>"ACE"&amp;"-"&amp;VLOOKUP(D257,'6. Mesures_ Budget_ Maximaliste'!$A$4:$C$32,3,0)</f>
        <v>ACE-</v>
      </c>
      <c r="H257" s="496" t="str">
        <f>VLOOKUP(E257,'5.2 Actions'!$A$3:$D$720,4,0)</f>
        <v>SEN / WOL / CAN</v>
      </c>
      <c r="I257" s="497">
        <v>0</v>
      </c>
    </row>
    <row r="258" spans="1:9" ht="30" hidden="1" outlineLevel="2" x14ac:dyDescent="0.25">
      <c r="A258" s="114" t="str">
        <f t="shared" si="54"/>
        <v>1</v>
      </c>
      <c r="B258" s="114" t="str">
        <f t="shared" si="55"/>
        <v>25</v>
      </c>
      <c r="C258" s="114" t="str">
        <f t="shared" si="56"/>
        <v>5</v>
      </c>
      <c r="D258" s="495" t="s">
        <v>26</v>
      </c>
      <c r="E258" s="495" t="s">
        <v>759</v>
      </c>
      <c r="F258" s="496" t="str">
        <f>VLOOKUP(E258,'5.2 Actions'!$A$3:$B$720,2,0)</f>
        <v>Etudier la faisabilité et définir les besoins de Bruxelles Environnement en vue de basculer vers un système de garde 24h/24 et 7j/7 commun aux thématiques de l’Eau et Seveso</v>
      </c>
      <c r="G258" s="496" t="str">
        <f>"ACE"&amp;"-"&amp;VLOOKUP(D258,'6. Mesures_ Budget_ Maximaliste'!$A$4:$C$32,3,0)</f>
        <v>ACE-</v>
      </c>
      <c r="H258" s="496" t="str">
        <f>VLOOKUP(E258,'5.2 Actions'!$A$3:$D$720,4,0)</f>
        <v>SEN / WOL / CAN</v>
      </c>
      <c r="I258" s="497">
        <v>0</v>
      </c>
    </row>
    <row r="259" spans="1:9" ht="30" hidden="1" outlineLevel="2" x14ac:dyDescent="0.25">
      <c r="A259" s="114" t="str">
        <f t="shared" si="54"/>
        <v>1</v>
      </c>
      <c r="B259" s="114" t="str">
        <f t="shared" si="55"/>
        <v>25</v>
      </c>
      <c r="C259" s="114" t="str">
        <f t="shared" si="56"/>
        <v>6</v>
      </c>
      <c r="D259" s="495" t="s">
        <v>26</v>
      </c>
      <c r="E259" s="495" t="s">
        <v>760</v>
      </c>
      <c r="F259" s="496" t="str">
        <f>VLOOKUP(E259,'5.2 Actions'!$A$3:$B$720,2,0)</f>
        <v>Définir le cadre du service de garde en lien avec la thématique de l'eau et en coordination avec les opérateurs de l'eau</v>
      </c>
      <c r="G259" s="496" t="str">
        <f>"ACE"&amp;"-"&amp;VLOOKUP(D259,'6. Mesures_ Budget_ Maximaliste'!$A$4:$C$32,3,0)</f>
        <v>ACE-</v>
      </c>
      <c r="H259" s="496" t="str">
        <f>VLOOKUP(E259,'5.2 Actions'!$A$3:$D$720,4,0)</f>
        <v>SEN / WOL / CAN</v>
      </c>
      <c r="I259" s="497">
        <v>0</v>
      </c>
    </row>
    <row r="260" spans="1:9" ht="30" hidden="1" outlineLevel="2" x14ac:dyDescent="0.25">
      <c r="A260" s="114" t="str">
        <f t="shared" si="54"/>
        <v>1</v>
      </c>
      <c r="B260" s="114" t="str">
        <f t="shared" si="55"/>
        <v>25</v>
      </c>
      <c r="C260" s="114" t="str">
        <f t="shared" si="56"/>
        <v>7</v>
      </c>
      <c r="D260" s="495" t="s">
        <v>26</v>
      </c>
      <c r="E260" s="495" t="s">
        <v>761</v>
      </c>
      <c r="F260" s="496" t="str">
        <f>VLOOKUP(E260,'5.2 Actions'!$A$3:$B$720,2,0)</f>
        <v>Organiser les procédures et contacts avec les services d’urgence en collaboration avec Bruxelles Prévention et Sécurité</v>
      </c>
      <c r="G260" s="496" t="str">
        <f>"ACE"&amp;"-"&amp;VLOOKUP(D260,'6. Mesures_ Budget_ Maximaliste'!$A$4:$C$32,3,0)</f>
        <v>ACE-</v>
      </c>
      <c r="H260" s="496" t="str">
        <f>VLOOKUP(E260,'5.2 Actions'!$A$3:$D$720,4,0)</f>
        <v>SEN / WOL / CAN</v>
      </c>
      <c r="I260" s="497">
        <v>0</v>
      </c>
    </row>
    <row r="261" spans="1:9" ht="90" hidden="1" outlineLevel="2" x14ac:dyDescent="0.25">
      <c r="A261" s="114" t="str">
        <f t="shared" si="54"/>
        <v>1</v>
      </c>
      <c r="B261" s="114" t="str">
        <f t="shared" si="55"/>
        <v>25</v>
      </c>
      <c r="C261" s="114" t="str">
        <f t="shared" si="56"/>
        <v>8</v>
      </c>
      <c r="D261" s="495" t="s">
        <v>26</v>
      </c>
      <c r="E261" s="495" t="s">
        <v>762</v>
      </c>
      <c r="F261" s="496" t="str">
        <f>VLOOKUP(E261,'5.2 Actions'!$A$3:$B$720,2,0)</f>
        <v xml:space="preserve">Dresser des constats d’infraction
- Réaliser des analyses physico-chimiques/chimiques de l’eau/de la pollution pour vérifier l’infraction et joindre au dossier
- Monter et suivre les dossiers d’infraction
- Poursuivre le pollueur pour dommage environnementale
- Utiliser les nouveaux mécanismes de perception directe
</v>
      </c>
      <c r="G261" s="496" t="str">
        <f>"ACE"&amp;"-"&amp;VLOOKUP(D261,'6. Mesures_ Budget_ Maximaliste'!$A$4:$C$32,3,0)</f>
        <v>ACE-</v>
      </c>
      <c r="H261" s="496" t="str">
        <f>VLOOKUP(E261,'5.2 Actions'!$A$3:$D$720,4,0)</f>
        <v>SEN / WOL / CAN</v>
      </c>
      <c r="I261" s="497">
        <v>0</v>
      </c>
    </row>
    <row r="262" spans="1:9" hidden="1" outlineLevel="2" x14ac:dyDescent="0.25">
      <c r="A262" s="114" t="str">
        <f t="shared" si="54"/>
        <v>1</v>
      </c>
      <c r="B262" s="114" t="str">
        <f t="shared" si="55"/>
        <v>25</v>
      </c>
      <c r="C262" s="114" t="str">
        <f t="shared" si="56"/>
        <v>9</v>
      </c>
      <c r="D262" s="495" t="s">
        <v>26</v>
      </c>
      <c r="E262" s="495" t="s">
        <v>2605</v>
      </c>
      <c r="F262" s="496" t="str">
        <f>VLOOKUP(E262,'5.2 Actions'!$A$3:$B$720,2,0)</f>
        <v xml:space="preserve">Mener des actions contre la récurrence des pollutions aux hydrocarbures dans les égouts. </v>
      </c>
      <c r="G262" s="496" t="str">
        <f>"ACE"&amp;"-"&amp;VLOOKUP(D262,'6. Mesures_ Budget_ Maximaliste'!$A$4:$C$32,3,0)</f>
        <v>ACE-</v>
      </c>
      <c r="H262" s="496" t="str">
        <f>VLOOKUP(E262,'5.2 Actions'!$A$3:$D$720,4,0)</f>
        <v>SEN / CAN</v>
      </c>
      <c r="I262" s="497">
        <v>0</v>
      </c>
    </row>
    <row r="263" spans="1:9" ht="165" hidden="1" outlineLevel="2" x14ac:dyDescent="0.25">
      <c r="A263" s="114" t="str">
        <f t="shared" si="54"/>
        <v>1</v>
      </c>
      <c r="B263" s="114" t="str">
        <f t="shared" si="55"/>
        <v>25</v>
      </c>
      <c r="C263" s="114" t="str">
        <f t="shared" si="56"/>
        <v>10</v>
      </c>
      <c r="D263" s="495" t="s">
        <v>26</v>
      </c>
      <c r="E263" s="495" t="s">
        <v>2861</v>
      </c>
      <c r="F263" s="496" t="str">
        <f>VLOOKUP(E263,'5.2 Actions'!$A$3:$B$720,2,0)</f>
        <v>Optimiser et appliquer la procédure d’alerte lors d’une pollution intra-régionale :
-         Identifier le contact des personnes/services à alerter dans l’ensemble des administrations régionales et des grands opérateurs publics (SNCB, Infrabel, Sibelga, …)
.         Réalisation d’un logigramme selon :
·        La personne/institution qui alerte,
·        Le type de pollution,
·        L’heure de pollution (jour ou garde) permettant d’établir les actions à mettre en œuvre,
.·        Sur le terrain  
·        De communication entre acteurs/opérateurs ou vers la presse et le grand public  
-         Evaluer les moyens nécessaires disponibles dans les différentes administrations (matériels, marchés publics, …) pour la mise en œuvre de mesures de protection et/ou de remise en état</v>
      </c>
      <c r="G263" s="496" t="str">
        <f>"ACE"&amp;"-"&amp;VLOOKUP(D263,'6. Mesures_ Budget_ Maximaliste'!$A$4:$C$32,3,0)</f>
        <v>ACE-</v>
      </c>
      <c r="H263" s="496" t="str">
        <f>VLOOKUP(E263,'5.2 Actions'!$A$3:$D$720,4,0)</f>
        <v>SEN / WOL / CAN</v>
      </c>
      <c r="I263" s="497">
        <v>0</v>
      </c>
    </row>
    <row r="264" spans="1:9" ht="45" hidden="1" outlineLevel="2" x14ac:dyDescent="0.25">
      <c r="A264" s="114" t="str">
        <f t="shared" si="54"/>
        <v>1</v>
      </c>
      <c r="B264" s="114" t="str">
        <f t="shared" si="55"/>
        <v>25</v>
      </c>
      <c r="C264" s="114" t="str">
        <f t="shared" si="56"/>
        <v>11</v>
      </c>
      <c r="D264" s="495" t="s">
        <v>26</v>
      </c>
      <c r="E264" s="495" t="s">
        <v>2607</v>
      </c>
      <c r="F264" s="496" t="str">
        <f>VLOOKUP(E264,'5.2 Actions'!$A$3:$B$720,2,0)</f>
        <v>Sensibiliser les services d’intervention urgente quant à la pollution potentielle de l’environnement (en particulier les eaux de surface) en cas de gestion d’accident de voirie dont les avaloirs ne vont pas directement à l’égout. 
En autre en mettant à leur disposition la plateforme de SIG de Vivaqua (SIGASS)</v>
      </c>
      <c r="G264" s="496" t="str">
        <f>"ACE"&amp;"-"&amp;VLOOKUP(D264,'6. Mesures_ Budget_ Maximaliste'!$A$4:$C$32,3,0)</f>
        <v>ACE-</v>
      </c>
      <c r="H264" s="496" t="str">
        <f>VLOOKUP(E264,'5.2 Actions'!$A$3:$D$720,4,0)</f>
        <v>SEN / WOL / CAN</v>
      </c>
      <c r="I264" s="497">
        <v>0</v>
      </c>
    </row>
    <row r="265" spans="1:9" ht="30" hidden="1" outlineLevel="2" x14ac:dyDescent="0.25">
      <c r="A265" s="114" t="str">
        <f t="shared" si="54"/>
        <v>1</v>
      </c>
      <c r="B265" s="114" t="str">
        <f t="shared" si="55"/>
        <v>25</v>
      </c>
      <c r="C265" s="114" t="str">
        <f t="shared" si="56"/>
        <v>12</v>
      </c>
      <c r="D265" s="495" t="s">
        <v>26</v>
      </c>
      <c r="E265" s="495" t="s">
        <v>2608</v>
      </c>
      <c r="F265" s="496" t="str">
        <f>VLOOKUP(E265,'5.2 Actions'!$A$3:$B$720,2,0)</f>
        <v xml:space="preserve">Mise en œuvre des mesures définies (voir 1.25.11)
</v>
      </c>
      <c r="G265" s="496" t="str">
        <f>"ACE"&amp;"-"&amp;VLOOKUP(D265,'6. Mesures_ Budget_ Maximaliste'!$A$4:$C$32,3,0)</f>
        <v>ACE-</v>
      </c>
      <c r="H265" s="496" t="str">
        <f>VLOOKUP(E265,'5.2 Actions'!$A$3:$D$720,4,0)</f>
        <v>SEN / WOL / CAN</v>
      </c>
      <c r="I265" s="497">
        <v>0</v>
      </c>
    </row>
    <row r="266" spans="1:9" hidden="1" outlineLevel="2" x14ac:dyDescent="0.25">
      <c r="A266" s="114" t="str">
        <f t="shared" si="54"/>
        <v>1</v>
      </c>
      <c r="B266" s="114" t="str">
        <f t="shared" si="55"/>
        <v>25</v>
      </c>
      <c r="C266" s="114" t="str">
        <f t="shared" si="56"/>
        <v>A</v>
      </c>
      <c r="D266" s="495" t="s">
        <v>26</v>
      </c>
      <c r="E266" s="495" t="s">
        <v>2862</v>
      </c>
      <c r="F266" s="496" t="e">
        <f>VLOOKUP(E266,'5.2 Actions'!$A$3:$B$720,2,0)</f>
        <v>#N/A</v>
      </c>
      <c r="G266" s="496" t="str">
        <f>"ACE"&amp;"-"&amp;VLOOKUP(D266,'6. Mesures_ Budget_ Maximaliste'!$A$4:$C$32,3,0)</f>
        <v>ACE-</v>
      </c>
      <c r="H266" s="496" t="e">
        <f>VLOOKUP(E266,'5.2 Actions'!$A$3:$D$720,4,0)</f>
        <v>#N/A</v>
      </c>
      <c r="I266" s="497">
        <v>0</v>
      </c>
    </row>
    <row r="267" spans="1:9" s="494" customFormat="1" ht="28.5" hidden="1" outlineLevel="1" collapsed="1" x14ac:dyDescent="0.25">
      <c r="D267" s="500" t="s">
        <v>27</v>
      </c>
      <c r="E267" s="500"/>
      <c r="F267" s="501" t="str">
        <f>VLOOKUP(D267,'1. Mesures'!$A$2:$B$116,2,0)</f>
        <v>Identifier les opportunités de connexion au réseau hydrographique des eaux claires actuellement perdues par temps sec dans le réseau d’égouttage et définir un débit minimum écologique et une hauteur d'eau minimale pour les masses d'eau</v>
      </c>
      <c r="G267" s="501"/>
      <c r="H267" s="501"/>
      <c r="I267" s="502">
        <f>SUBTOTAL(9,I268:I280)</f>
        <v>0</v>
      </c>
    </row>
    <row r="268" spans="1:9" ht="30" hidden="1" outlineLevel="2" x14ac:dyDescent="0.25">
      <c r="A268" s="114" t="str">
        <f t="shared" ref="A268:A280" si="57">MID(E268,1,1)</f>
        <v>1</v>
      </c>
      <c r="B268" s="114" t="str">
        <f t="shared" ref="B268:B280" si="58">MID(E268,3,2)</f>
        <v>26</v>
      </c>
      <c r="C268" s="114" t="str">
        <f t="shared" ref="C268:C280" si="59">MID(E268,6,2)</f>
        <v>1</v>
      </c>
      <c r="D268" s="495" t="s">
        <v>27</v>
      </c>
      <c r="E268" s="495" t="s">
        <v>763</v>
      </c>
      <c r="F268" s="496" t="str">
        <f>VLOOKUP(E268,'5.2 Actions'!$A$3:$B$720,2,0)</f>
        <v>Développer par vallée une vision des offres potentielles d'eau supplémentaire actuellement perdues à l'égout et des besoins des milieux récepteurs en aval qui pourraient bénéficier de ces eaux supplémentaires</v>
      </c>
      <c r="G268" s="496" t="str">
        <f>"ACE"&amp;"-"&amp;VLOOKUP(D268,'6. Mesures_ Budget_ Maximaliste'!$A$4:$C$32,3,0)</f>
        <v>ACE-</v>
      </c>
      <c r="H268" s="496" t="str">
        <f>VLOOKUP(E268,'5.2 Actions'!$A$3:$D$720,4,0)</f>
        <v>SEN / WOL / CAN</v>
      </c>
      <c r="I268" s="497">
        <v>0</v>
      </c>
    </row>
    <row r="269" spans="1:9" hidden="1" outlineLevel="2" x14ac:dyDescent="0.25">
      <c r="A269" s="114" t="str">
        <f t="shared" si="57"/>
        <v>1</v>
      </c>
      <c r="B269" s="114" t="str">
        <f t="shared" si="58"/>
        <v>26</v>
      </c>
      <c r="C269" s="114" t="str">
        <f t="shared" si="59"/>
        <v>2</v>
      </c>
      <c r="D269" s="495" t="s">
        <v>27</v>
      </c>
      <c r="E269" s="495" t="s">
        <v>767</v>
      </c>
      <c r="F269" s="496" t="str">
        <f>VLOOKUP(E269,'5.2 Actions'!$A$3:$B$720,2,0)</f>
        <v>Etude de faisabilité de reconnexion du Molenbeek à la Senne (action C13_1 Belini) + analyse du coûts-bénéfices</v>
      </c>
      <c r="G269" s="496" t="str">
        <f>"ACE"&amp;"-"&amp;VLOOKUP(D269,'6. Mesures_ Budget_ Maximaliste'!$A$4:$C$32,3,0)</f>
        <v>ACE-</v>
      </c>
      <c r="H269" s="496" t="str">
        <f>VLOOKUP(E269,'5.2 Actions'!$A$3:$D$720,4,0)</f>
        <v>SEN</v>
      </c>
      <c r="I269" s="497">
        <v>77000</v>
      </c>
    </row>
    <row r="270" spans="1:9" hidden="1" outlineLevel="2" x14ac:dyDescent="0.25">
      <c r="A270" s="114" t="str">
        <f t="shared" si="57"/>
        <v>1</v>
      </c>
      <c r="B270" s="114" t="str">
        <f t="shared" si="58"/>
        <v>26</v>
      </c>
      <c r="C270" s="114" t="str">
        <f t="shared" si="59"/>
        <v>3</v>
      </c>
      <c r="D270" s="495" t="s">
        <v>27</v>
      </c>
      <c r="E270" s="495" t="s">
        <v>768</v>
      </c>
      <c r="F270" s="496" t="str">
        <f>VLOOKUP(E270,'5.2 Actions'!$A$3:$B$720,2,0)</f>
        <v>Etude de faisabilité de reconnexion du Neerpedebeek à la Senne + analyse du coûts-bénéfices</v>
      </c>
      <c r="G270" s="496" t="str">
        <f>"ACE"&amp;"-"&amp;VLOOKUP(D270,'6. Mesures_ Budget_ Maximaliste'!$A$4:$C$32,3,0)</f>
        <v>ACE-</v>
      </c>
      <c r="H270" s="496" t="str">
        <f>VLOOKUP(E270,'5.2 Actions'!$A$3:$D$720,4,0)</f>
        <v>SEN</v>
      </c>
      <c r="I270" s="497">
        <v>50000</v>
      </c>
    </row>
    <row r="271" spans="1:9" hidden="1" outlineLevel="2" x14ac:dyDescent="0.25">
      <c r="A271" s="114" t="str">
        <f t="shared" si="57"/>
        <v>1</v>
      </c>
      <c r="B271" s="114" t="str">
        <f t="shared" si="58"/>
        <v>26</v>
      </c>
      <c r="C271" s="114" t="str">
        <f t="shared" si="59"/>
        <v>4</v>
      </c>
      <c r="D271" s="495" t="s">
        <v>27</v>
      </c>
      <c r="E271" s="495" t="s">
        <v>769</v>
      </c>
      <c r="F271" s="496" t="str">
        <f>VLOOKUP(E271,'5.2 Actions'!$A$3:$B$720,2,0)</f>
        <v>Réflexions sur la reconnexion du Watermaelbeek à la Woluwe + analyse du coûts-bénéfices</v>
      </c>
      <c r="G271" s="496" t="str">
        <f>"ACE"&amp;"-"&amp;VLOOKUP(D271,'6. Mesures_ Budget_ Maximaliste'!$A$4:$C$32,3,0)</f>
        <v>ACE-</v>
      </c>
      <c r="H271" s="496" t="str">
        <f>VLOOKUP(E271,'5.2 Actions'!$A$3:$D$720,4,0)</f>
        <v>WOL</v>
      </c>
      <c r="I271" s="497">
        <v>40000</v>
      </c>
    </row>
    <row r="272" spans="1:9" ht="30" hidden="1" outlineLevel="2" x14ac:dyDescent="0.25">
      <c r="A272" s="114" t="str">
        <f t="shared" si="57"/>
        <v>1</v>
      </c>
      <c r="B272" s="114" t="str">
        <f t="shared" si="58"/>
        <v>26</v>
      </c>
      <c r="C272" s="114" t="str">
        <f t="shared" si="59"/>
        <v>5</v>
      </c>
      <c r="D272" s="495" t="s">
        <v>27</v>
      </c>
      <c r="E272" s="495" t="s">
        <v>770</v>
      </c>
      <c r="F272" s="496" t="str">
        <f>VLOOKUP(E272,'5.2 Actions'!$A$3:$B$720,2,0)</f>
        <v>Etude de faisabilité de reconnexion du Ru du Zeyp à Ganshoren (étang Rivieren et Clos des tarins) au Marais de Jette et au Molenbeek + analyse du coûts-bénéfices</v>
      </c>
      <c r="G272" s="496" t="str">
        <f>"ACE"&amp;"-"&amp;VLOOKUP(D272,'6. Mesures_ Budget_ Maximaliste'!$A$4:$C$32,3,0)</f>
        <v>ACE-</v>
      </c>
      <c r="H272" s="496" t="str">
        <f>VLOOKUP(E272,'5.2 Actions'!$A$3:$D$720,4,0)</f>
        <v>SEN</v>
      </c>
      <c r="I272" s="497">
        <v>50000</v>
      </c>
    </row>
    <row r="273" spans="1:9" hidden="1" outlineLevel="2" x14ac:dyDescent="0.25">
      <c r="A273" s="114" t="str">
        <f t="shared" si="57"/>
        <v>1</v>
      </c>
      <c r="B273" s="114" t="str">
        <f t="shared" si="58"/>
        <v>26</v>
      </c>
      <c r="C273" s="114" t="str">
        <f t="shared" si="59"/>
        <v>6</v>
      </c>
      <c r="D273" s="495" t="s">
        <v>27</v>
      </c>
      <c r="E273" s="495" t="s">
        <v>771</v>
      </c>
      <c r="F273" s="496" t="str">
        <f>VLOOKUP(E273,'5.2 Actions'!$A$3:$B$720,2,0)</f>
        <v>Investigation et Etude de faisabilité de reconnexion de l'Ukkelbeek à la Senne + analyse du coûts-bénéfices</v>
      </c>
      <c r="G273" s="496" t="str">
        <f>"ACE"&amp;"-"&amp;VLOOKUP(D273,'6. Mesures_ Budget_ Maximaliste'!$A$4:$C$32,3,0)</f>
        <v>ACE-</v>
      </c>
      <c r="H273" s="496" t="str">
        <f>VLOOKUP(E273,'5.2 Actions'!$A$3:$D$720,4,0)</f>
        <v>SEN</v>
      </c>
      <c r="I273" s="497">
        <v>80000</v>
      </c>
    </row>
    <row r="274" spans="1:9" ht="30" hidden="1" outlineLevel="2" x14ac:dyDescent="0.25">
      <c r="A274" s="114" t="str">
        <f t="shared" si="57"/>
        <v>1</v>
      </c>
      <c r="B274" s="114" t="str">
        <f t="shared" si="58"/>
        <v>26</v>
      </c>
      <c r="C274" s="114" t="str">
        <f t="shared" si="59"/>
        <v>7</v>
      </c>
      <c r="D274" s="495" t="s">
        <v>27</v>
      </c>
      <c r="E274" s="495" t="s">
        <v>772</v>
      </c>
      <c r="F274" s="496" t="str">
        <f>VLOOKUP(E274,'5.2 Actions'!$A$3:$B$720,2,0)</f>
        <v>Réflexions sur la récupération vers le réseau hydrographique des eaux claires de drainage s'infiltrant dans les collecteurs + analyse du coûts-bénéfices. (dont le collecteur passant dans le marais de Jette et Ganshoren)</v>
      </c>
      <c r="G274" s="496" t="str">
        <f>"ACE"&amp;"-"&amp;VLOOKUP(D274,'6. Mesures_ Budget_ Maximaliste'!$A$4:$C$32,3,0)</f>
        <v>ACE-</v>
      </c>
      <c r="H274" s="496" t="str">
        <f>VLOOKUP(E274,'5.2 Actions'!$A$3:$D$720,4,0)</f>
        <v>SEN</v>
      </c>
      <c r="I274" s="497">
        <v>0</v>
      </c>
    </row>
    <row r="275" spans="1:9" ht="30" hidden="1" outlineLevel="2" x14ac:dyDescent="0.25">
      <c r="A275" s="114" t="str">
        <f t="shared" si="57"/>
        <v>1</v>
      </c>
      <c r="B275" s="114" t="str">
        <f t="shared" si="58"/>
        <v>26</v>
      </c>
      <c r="C275" s="114" t="str">
        <f t="shared" si="59"/>
        <v>8</v>
      </c>
      <c r="D275" s="495" t="s">
        <v>27</v>
      </c>
      <c r="E275" s="495" t="s">
        <v>773</v>
      </c>
      <c r="F275" s="496" t="str">
        <f>VLOOKUP(E275,'5.2 Actions'!$A$3:$B$720,2,0)</f>
        <v>Travaux de reconnexion du Molenbeek à la Senne : 
Ces travaux ne pourront être envisagés qu'après les résultats de l'étude de faisabilité (1.26.2)</v>
      </c>
      <c r="G275" s="496" t="str">
        <f>"ACE"&amp;"-"&amp;VLOOKUP(D275,'6. Mesures_ Budget_ Maximaliste'!$A$4:$C$32,3,0)</f>
        <v>ACE-</v>
      </c>
      <c r="H275" s="496" t="str">
        <f>VLOOKUP(E275,'5.2 Actions'!$A$3:$D$720,4,0)</f>
        <v>SEN</v>
      </c>
      <c r="I275" s="497">
        <v>2000000</v>
      </c>
    </row>
    <row r="276" spans="1:9" ht="30" hidden="1" outlineLevel="2" x14ac:dyDescent="0.25">
      <c r="A276" s="114" t="str">
        <f t="shared" si="57"/>
        <v>1</v>
      </c>
      <c r="B276" s="114" t="str">
        <f t="shared" si="58"/>
        <v>26</v>
      </c>
      <c r="C276" s="114" t="str">
        <f t="shared" si="59"/>
        <v>9</v>
      </c>
      <c r="D276" s="495" t="s">
        <v>27</v>
      </c>
      <c r="E276" s="495" t="s">
        <v>774</v>
      </c>
      <c r="F276" s="496" t="str">
        <f>VLOOKUP(E276,'5.2 Actions'!$A$3:$B$720,2,0)</f>
        <v>Travaux de reconnexion du Neerpedebeek à la Senne :
Ces travaux ne pourront être envisagés qu'après les résultats de l'étude de faisabilité (1.26.3)</v>
      </c>
      <c r="G276" s="496" t="str">
        <f>"ACE"&amp;"-"&amp;VLOOKUP(D276,'6. Mesures_ Budget_ Maximaliste'!$A$4:$C$32,3,0)</f>
        <v>ACE-</v>
      </c>
      <c r="H276" s="496" t="str">
        <f>VLOOKUP(E276,'5.2 Actions'!$A$3:$D$720,4,0)</f>
        <v>SEN</v>
      </c>
      <c r="I276" s="497">
        <v>300000</v>
      </c>
    </row>
    <row r="277" spans="1:9" ht="30" hidden="1" outlineLevel="2" x14ac:dyDescent="0.25">
      <c r="A277" s="114" t="str">
        <f t="shared" si="57"/>
        <v>1</v>
      </c>
      <c r="B277" s="114" t="str">
        <f t="shared" si="58"/>
        <v>26</v>
      </c>
      <c r="C277" s="114" t="str">
        <f t="shared" si="59"/>
        <v>10</v>
      </c>
      <c r="D277" s="495" t="s">
        <v>27</v>
      </c>
      <c r="E277" s="495" t="s">
        <v>764</v>
      </c>
      <c r="F277" s="496" t="str">
        <f>VLOOKUP(E277,'5.2 Actions'!$A$3:$B$720,2,0)</f>
        <v>Travaux de reconnexion de l'Ukkelbeek à la Senne :
Ces travaux ne pourront être envisagés qu'après les résultats de l'étude de faisabilité (1.26.6)</v>
      </c>
      <c r="G277" s="496" t="str">
        <f>"ACE"&amp;"-"&amp;VLOOKUP(D277,'6. Mesures_ Budget_ Maximaliste'!$A$4:$C$32,3,0)</f>
        <v>ACE-</v>
      </c>
      <c r="H277" s="496" t="str">
        <f>VLOOKUP(E277,'5.2 Actions'!$A$3:$D$720,4,0)</f>
        <v>SEN</v>
      </c>
      <c r="I277" s="497">
        <v>0</v>
      </c>
    </row>
    <row r="278" spans="1:9" hidden="1" outlineLevel="2" x14ac:dyDescent="0.25">
      <c r="A278" s="114" t="str">
        <f t="shared" si="57"/>
        <v>1</v>
      </c>
      <c r="B278" s="114" t="str">
        <f t="shared" si="58"/>
        <v>26</v>
      </c>
      <c r="C278" s="114" t="str">
        <f t="shared" si="59"/>
        <v>11</v>
      </c>
      <c r="D278" s="495" t="s">
        <v>27</v>
      </c>
      <c r="E278" s="495" t="s">
        <v>765</v>
      </c>
      <c r="F278" s="496" t="str">
        <f>VLOOKUP(E278,'5.2 Actions'!$A$3:$B$720,2,0)</f>
        <v>Programme Brusseau-Bis dans la vallée du Molenbeek</v>
      </c>
      <c r="G278" s="496" t="str">
        <f>"ACE"&amp;"-"&amp;VLOOKUP(D278,'6. Mesures_ Budget_ Maximaliste'!$A$4:$C$32,3,0)</f>
        <v>ACE-</v>
      </c>
      <c r="H278" s="496" t="str">
        <f>VLOOKUP(E278,'5.2 Actions'!$A$3:$D$720,4,0)</f>
        <v>SEN</v>
      </c>
      <c r="I278" s="497">
        <v>0</v>
      </c>
    </row>
    <row r="279" spans="1:9" hidden="1" outlineLevel="2" x14ac:dyDescent="0.25">
      <c r="A279" s="114" t="str">
        <f t="shared" si="57"/>
        <v>1</v>
      </c>
      <c r="B279" s="114" t="str">
        <f t="shared" si="58"/>
        <v>26</v>
      </c>
      <c r="C279" s="114" t="str">
        <f t="shared" si="59"/>
        <v>12</v>
      </c>
      <c r="D279" s="495" t="s">
        <v>27</v>
      </c>
      <c r="E279" s="495" t="s">
        <v>766</v>
      </c>
      <c r="F279" s="496" t="str">
        <f>VLOOKUP(E279,'5.2 Actions'!$A$3:$B$720,2,0)</f>
        <v>Vérifier l'étanchéité des moines vers les collecteurs présents sur certains étangs spécifiques</v>
      </c>
      <c r="G279" s="496" t="str">
        <f>"ACE"&amp;"-"&amp;VLOOKUP(D279,'6. Mesures_ Budget_ Maximaliste'!$A$4:$C$32,3,0)</f>
        <v>ACE-</v>
      </c>
      <c r="H279" s="496" t="str">
        <f>VLOOKUP(E279,'5.2 Actions'!$A$3:$D$720,4,0)</f>
        <v>WOL</v>
      </c>
      <c r="I279" s="497">
        <v>0</v>
      </c>
    </row>
    <row r="280" spans="1:9" ht="30" hidden="1" outlineLevel="2" x14ac:dyDescent="0.25">
      <c r="A280" s="114" t="str">
        <f t="shared" si="57"/>
        <v>1</v>
      </c>
      <c r="B280" s="114" t="str">
        <f t="shared" si="58"/>
        <v>26</v>
      </c>
      <c r="C280" s="114" t="str">
        <f t="shared" si="59"/>
        <v>13</v>
      </c>
      <c r="D280" s="495" t="s">
        <v>27</v>
      </c>
      <c r="E280" s="495" t="s">
        <v>1599</v>
      </c>
      <c r="F280" s="496" t="str">
        <f>VLOOKUP(E280,'5.2 Actions'!$A$3:$B$720,2,0)</f>
        <v>Établir une méthodologie de calcul des débits minimums écologiques (ecological flows), l'appliquer aux différents tronçons du réseau hydrographique</v>
      </c>
      <c r="G280" s="496" t="str">
        <f>"ACE"&amp;"-"&amp;VLOOKUP(D280,'6. Mesures_ Budget_ Maximaliste'!$A$4:$C$32,3,0)</f>
        <v>ACE-</v>
      </c>
      <c r="H280" s="496" t="str">
        <f>VLOOKUP(E280,'5.2 Actions'!$A$3:$D$720,4,0)</f>
        <v>SEN / CAN / WOL</v>
      </c>
      <c r="I280" s="497">
        <v>0</v>
      </c>
    </row>
    <row r="281" spans="1:9" s="494" customFormat="1" hidden="1" outlineLevel="1" collapsed="1" x14ac:dyDescent="0.25">
      <c r="D281" s="500" t="s">
        <v>36</v>
      </c>
      <c r="E281" s="500"/>
      <c r="F281" s="501" t="str">
        <f>VLOOKUP(D281,'1. Mesures'!$A$2:$B$116,2,0)</f>
        <v>Améliorer l'état des connaissances des masses d'eau souterraine et poursuivre l’identification des pressions anthropiques</v>
      </c>
      <c r="G281" s="501"/>
      <c r="H281" s="503"/>
      <c r="I281" s="502">
        <f>SUBTOTAL(9,I282:I297)</f>
        <v>0</v>
      </c>
    </row>
    <row r="282" spans="1:9" hidden="1" outlineLevel="2" x14ac:dyDescent="0.25">
      <c r="A282" s="114" t="str">
        <f t="shared" ref="A282:A297" si="60">MID(E282,1,1)</f>
        <v>2</v>
      </c>
      <c r="B282" t="str">
        <f t="shared" ref="B282:B297" si="61">MID(E282,3,1)</f>
        <v>1</v>
      </c>
      <c r="C282" s="114" t="str">
        <f t="shared" ref="C282:C297" si="62">MID(E282,5,2)</f>
        <v>1</v>
      </c>
      <c r="D282" s="495" t="s">
        <v>36</v>
      </c>
      <c r="E282" s="495" t="s">
        <v>852</v>
      </c>
      <c r="F282" s="496" t="str">
        <f>VLOOKUP(E282,'5.2 Actions'!$A$3:$B$720,2,0)</f>
        <v>Poursuivre et élargir les programmes qualitatifs  de surveillance des eaux souterraines à d’autres sites de surveillance et à d’autres paramètres</v>
      </c>
      <c r="G282" s="496"/>
      <c r="H282" s="498">
        <f>VLOOKUP(E282,'5.2 Actions'!$A$3:$D$720,4,0)</f>
        <v>0</v>
      </c>
      <c r="I282" s="497">
        <v>0</v>
      </c>
    </row>
    <row r="283" spans="1:9" ht="45" hidden="1" outlineLevel="2" x14ac:dyDescent="0.25">
      <c r="A283" s="114" t="str">
        <f t="shared" si="60"/>
        <v>2</v>
      </c>
      <c r="B283" t="str">
        <f t="shared" si="61"/>
        <v>1</v>
      </c>
      <c r="C283" s="114" t="str">
        <f t="shared" si="62"/>
        <v>2</v>
      </c>
      <c r="D283" s="495" t="s">
        <v>36</v>
      </c>
      <c r="E283" s="495" t="s">
        <v>860</v>
      </c>
      <c r="F283" s="496" t="str">
        <f>VLOOKUP(E283,'5.2 Actions'!$A$3:$B$720,2,0)</f>
        <v>Améliorer l’estimation des concentrations de référence des paramètres présents naturellement dans les eaux souterraines et la compréhension aux processus chimiques influençant la composition géochimique de chacune des masses d’eau et de la présence de certains paramètres présents dans les masses d’eau souterraine, notamment pour l’ammonium, les chlorures et les sulfates des masses d’eau concernées</v>
      </c>
      <c r="G283" s="496"/>
      <c r="H283" s="498">
        <f>VLOOKUP(E283,'5.2 Actions'!$A$3:$D$720,4,0)</f>
        <v>0</v>
      </c>
      <c r="I283" s="497">
        <v>0</v>
      </c>
    </row>
    <row r="284" spans="1:9" ht="45" hidden="1" outlineLevel="2" x14ac:dyDescent="0.25">
      <c r="A284" s="114" t="str">
        <f t="shared" si="60"/>
        <v>2</v>
      </c>
      <c r="B284" t="str">
        <f t="shared" si="61"/>
        <v>1</v>
      </c>
      <c r="C284" s="114" t="str">
        <f t="shared" si="62"/>
        <v>3</v>
      </c>
      <c r="D284" s="495" t="s">
        <v>36</v>
      </c>
      <c r="E284" s="495" t="s">
        <v>861</v>
      </c>
      <c r="F284" s="496" t="str">
        <f>VLOOKUP(E284,'5.2 Actions'!$A$3:$B$720,2,0)</f>
        <v>Suite à l’acquisition de nouvelles données, renforcer les conclusions de l’étude réalisée sur l’identification des sources de pollution nitrique quant aux facteurs de pollution exerçant une pression sur la masse d’eau des sables du Bruxellien et renforcer la capacité de discrimination des sources de pollution nitriques provenant des eaux usées et des fertilisants organiques.</v>
      </c>
      <c r="G284" s="496"/>
      <c r="H284" s="498">
        <f>VLOOKUP(E284,'5.2 Actions'!$A$3:$D$720,4,0)</f>
        <v>0</v>
      </c>
      <c r="I284" s="497">
        <v>0</v>
      </c>
    </row>
    <row r="285" spans="1:9" ht="30" hidden="1" outlineLevel="2" x14ac:dyDescent="0.25">
      <c r="A285" s="114" t="str">
        <f t="shared" si="60"/>
        <v>2</v>
      </c>
      <c r="B285" t="str">
        <f t="shared" si="61"/>
        <v>1</v>
      </c>
      <c r="C285" s="114" t="str">
        <f t="shared" si="62"/>
        <v>4</v>
      </c>
      <c r="D285" s="495" t="s">
        <v>36</v>
      </c>
      <c r="E285" s="495" t="s">
        <v>862</v>
      </c>
      <c r="F285" s="496" t="str">
        <f>VLOOKUP(E285,'5.2 Actions'!$A$3:$B$720,2,0)</f>
        <v>Identifier les sources de pollution des sites présentant des contaminations aux pesticides, en particulier ceux qui présentent des tendances à la hausse de pesticides interdits d’usage</v>
      </c>
      <c r="G285" s="496"/>
      <c r="H285" s="498">
        <f>VLOOKUP(E285,'5.2 Actions'!$A$3:$D$720,4,0)</f>
        <v>0</v>
      </c>
      <c r="I285" s="497">
        <v>0</v>
      </c>
    </row>
    <row r="286" spans="1:9" ht="30" hidden="1" outlineLevel="2" x14ac:dyDescent="0.25">
      <c r="A286" s="114" t="str">
        <f t="shared" si="60"/>
        <v>2</v>
      </c>
      <c r="B286" t="str">
        <f t="shared" si="61"/>
        <v>1</v>
      </c>
      <c r="C286" s="114" t="str">
        <f t="shared" si="62"/>
        <v>5</v>
      </c>
      <c r="D286" s="495" t="s">
        <v>36</v>
      </c>
      <c r="E286" s="495" t="s">
        <v>863</v>
      </c>
      <c r="F286" s="496" t="str">
        <f>VLOOKUP(E286,'5.2 Actions'!$A$3:$B$720,2,0)</f>
        <v>Identification les sources de la pollution au tétrachloroéthylène et autres composés organochlorés volatils (trichloroéthylène, chloroforme et chlorure de vinyl) (cf. aussi M.2.6 et M.3.2)</v>
      </c>
      <c r="G286" s="496"/>
      <c r="H286" s="498">
        <f>VLOOKUP(E286,'5.2 Actions'!$A$3:$D$720,4,0)</f>
        <v>0</v>
      </c>
      <c r="I286" s="497">
        <v>0</v>
      </c>
    </row>
    <row r="287" spans="1:9" hidden="1" outlineLevel="2" x14ac:dyDescent="0.25">
      <c r="A287" s="114" t="str">
        <f t="shared" si="60"/>
        <v>2</v>
      </c>
      <c r="B287" t="str">
        <f t="shared" si="61"/>
        <v>1</v>
      </c>
      <c r="C287" s="114" t="str">
        <f t="shared" si="62"/>
        <v>6</v>
      </c>
      <c r="D287" s="495" t="s">
        <v>36</v>
      </c>
      <c r="E287" s="495" t="s">
        <v>864</v>
      </c>
      <c r="F287" s="496" t="str">
        <f>VLOOKUP(E287,'5.2 Actions'!$A$3:$B$720,2,0)</f>
        <v>Identifier les pressions ayant un impact sur la salinisation de la masse d’eau souterraine des sables du Bruxellien</v>
      </c>
      <c r="G287" s="496"/>
      <c r="H287" s="498">
        <f>VLOOKUP(E287,'5.2 Actions'!$A$3:$D$720,4,0)</f>
        <v>0</v>
      </c>
      <c r="I287" s="497">
        <v>0</v>
      </c>
    </row>
    <row r="288" spans="1:9" ht="45" hidden="1" outlineLevel="2" x14ac:dyDescent="0.25">
      <c r="A288" s="114" t="str">
        <f t="shared" si="60"/>
        <v>2</v>
      </c>
      <c r="B288" t="str">
        <f t="shared" si="61"/>
        <v>1</v>
      </c>
      <c r="C288" s="114" t="str">
        <f t="shared" si="62"/>
        <v>7</v>
      </c>
      <c r="D288" s="495" t="s">
        <v>36</v>
      </c>
      <c r="E288" s="495" t="s">
        <v>865</v>
      </c>
      <c r="F288" s="496" t="str">
        <f>VLOOKUP(E288,'5.2 Actions'!$A$3:$B$720,2,0)</f>
        <v>En cas de contamination mise en évidence dans les résultats des programmes de surveillance, croiser la cartographie des sols pollués avec les résultats des analyses des programmes de surveillance et identifier les activités à risque actuelles ou passées dans les zones d’influence des sites de surveillance contaminés en vue d’identifier les sources de pollutioni</v>
      </c>
      <c r="G288" s="496"/>
      <c r="H288" s="498">
        <f>VLOOKUP(E288,'5.2 Actions'!$A$3:$D$720,4,0)</f>
        <v>0</v>
      </c>
      <c r="I288" s="497">
        <v>0</v>
      </c>
    </row>
    <row r="289" spans="1:9" ht="30" hidden="1" outlineLevel="2" x14ac:dyDescent="0.25">
      <c r="A289" s="114" t="str">
        <f t="shared" si="60"/>
        <v>2</v>
      </c>
      <c r="B289" t="str">
        <f t="shared" si="61"/>
        <v>1</v>
      </c>
      <c r="C289" s="114" t="str">
        <f t="shared" si="62"/>
        <v>9</v>
      </c>
      <c r="D289" s="495" t="s">
        <v>36</v>
      </c>
      <c r="E289" s="495" t="s">
        <v>867</v>
      </c>
      <c r="F289" s="496" t="str">
        <f>VLOOKUP(E289,'5.2 Actions'!$A$3:$B$720,2,0)</f>
        <v xml:space="preserve">Poursuivre la caractérisation de l’état physico-chimique des eaux pluviales et de ruissellement en l’étendant à d’autres polluants et d’autres types de surface de ruissellement, notamment les toitures </v>
      </c>
      <c r="G289" s="496"/>
      <c r="H289" s="498">
        <f>VLOOKUP(E289,'5.2 Actions'!$A$3:$D$720,4,0)</f>
        <v>0</v>
      </c>
      <c r="I289" s="497">
        <v>0</v>
      </c>
    </row>
    <row r="290" spans="1:9" ht="30" hidden="1" outlineLevel="2" x14ac:dyDescent="0.25">
      <c r="A290" s="114" t="str">
        <f t="shared" si="60"/>
        <v>2</v>
      </c>
      <c r="B290" t="str">
        <f t="shared" si="61"/>
        <v>1</v>
      </c>
      <c r="C290" s="114" t="str">
        <f t="shared" si="62"/>
        <v>10</v>
      </c>
      <c r="D290" s="495" t="s">
        <v>36</v>
      </c>
      <c r="E290" s="495" t="s">
        <v>853</v>
      </c>
      <c r="F290" s="496" t="str">
        <f>VLOOKUP(E290,'5.2 Actions'!$A$3:$B$720,2,0)</f>
        <v>Poursuivre la cartographie de la vulnérabilité intrinsèque et spécifique du système phréatique bruxellois pour les polluants pertinents pour les eaux souterraines ayant été caractérisés dans les eaux pluviales de ruissellement et dans les eaux usées domestiques</v>
      </c>
      <c r="G290" s="496"/>
      <c r="H290" s="498">
        <f>VLOOKUP(E290,'5.2 Actions'!$A$3:$D$720,4,0)</f>
        <v>0</v>
      </c>
      <c r="I290" s="497">
        <v>0</v>
      </c>
    </row>
    <row r="291" spans="1:9" ht="30" hidden="1" outlineLevel="2" x14ac:dyDescent="0.25">
      <c r="A291" s="114" t="str">
        <f t="shared" si="60"/>
        <v>2</v>
      </c>
      <c r="B291" t="str">
        <f t="shared" si="61"/>
        <v>1</v>
      </c>
      <c r="C291" s="114" t="str">
        <f t="shared" si="62"/>
        <v>11</v>
      </c>
      <c r="D291" s="495" t="s">
        <v>36</v>
      </c>
      <c r="E291" s="495" t="s">
        <v>854</v>
      </c>
      <c r="F291" s="496" t="str">
        <f>VLOOKUP(E291,'5.2 Actions'!$A$3:$B$720,2,0)</f>
        <v>Développer un modèle de transfert de risques de dissémination de la pollution par lessivage et transport latéral vers les eaux souterraines phréatiques et les écosystèmes associés pour tout dispositif d’infiltration des eaux tant des eaux pluviales que des eaux usées domestiques</v>
      </c>
      <c r="G291" s="496"/>
      <c r="H291" s="498">
        <f>VLOOKUP(E291,'5.2 Actions'!$A$3:$D$720,4,0)</f>
        <v>0</v>
      </c>
      <c r="I291" s="497">
        <v>0</v>
      </c>
    </row>
    <row r="292" spans="1:9" hidden="1" outlineLevel="2" x14ac:dyDescent="0.25">
      <c r="A292" s="114" t="str">
        <f t="shared" si="60"/>
        <v>2</v>
      </c>
      <c r="B292" t="str">
        <f t="shared" si="61"/>
        <v>1</v>
      </c>
      <c r="C292" s="114" t="str">
        <f t="shared" si="62"/>
        <v>12</v>
      </c>
      <c r="D292" s="495" t="s">
        <v>36</v>
      </c>
      <c r="E292" s="495" t="s">
        <v>855</v>
      </c>
      <c r="F292" s="496" t="str">
        <f>VLOOKUP(E292,'5.2 Actions'!$A$3:$B$720,2,0)</f>
        <v>Développer la carte des sols bruxellois en tenant compte de la teneur en matière organique des sols</v>
      </c>
      <c r="G292" s="496"/>
      <c r="H292" s="498">
        <f>VLOOKUP(E292,'5.2 Actions'!$A$3:$D$720,4,0)</f>
        <v>0</v>
      </c>
      <c r="I292" s="497">
        <v>0</v>
      </c>
    </row>
    <row r="293" spans="1:9" ht="30" hidden="1" outlineLevel="2" x14ac:dyDescent="0.25">
      <c r="A293" s="114" t="str">
        <f t="shared" si="60"/>
        <v>2</v>
      </c>
      <c r="B293" t="str">
        <f t="shared" si="61"/>
        <v>1</v>
      </c>
      <c r="C293" s="114" t="str">
        <f t="shared" si="62"/>
        <v>13</v>
      </c>
      <c r="D293" s="495" t="s">
        <v>36</v>
      </c>
      <c r="E293" s="495" t="s">
        <v>856</v>
      </c>
      <c r="F293" s="496" t="str">
        <f>VLOOKUP(E293,'5.2 Actions'!$A$3:$B$720,2,0)</f>
        <v>Mettre à jour l’inventaire des sources des émissions de la pollution, l’élargir à d’autres polluants pertinents pour les eaux souterraines et modéliser leur cheminement vers les eaux souterraines</v>
      </c>
      <c r="G293" s="496"/>
      <c r="H293" s="498">
        <f>VLOOKUP(E293,'5.2 Actions'!$A$3:$D$720,4,0)</f>
        <v>0</v>
      </c>
      <c r="I293" s="497">
        <v>0</v>
      </c>
    </row>
    <row r="294" spans="1:9" ht="30" hidden="1" outlineLevel="2" x14ac:dyDescent="0.25">
      <c r="A294" s="114" t="str">
        <f t="shared" si="60"/>
        <v>2</v>
      </c>
      <c r="B294" t="str">
        <f t="shared" si="61"/>
        <v>1</v>
      </c>
      <c r="C294" s="114" t="str">
        <f t="shared" si="62"/>
        <v>14</v>
      </c>
      <c r="D294" s="495" t="s">
        <v>36</v>
      </c>
      <c r="E294" s="495" t="s">
        <v>857</v>
      </c>
      <c r="F294" s="496" t="str">
        <f>VLOOKUP(E294,'5.2 Actions'!$A$3:$B$720,2,0)</f>
        <v xml:space="preserve">Evaluer les impacts d’une variation de température des eaux souterraines résultant de la présence de forte densité d’exploitations géothermiques en milieu urbain sur la qualité des eaux souterraines et les conflits d’usage susceptibles d’être engendrés. </v>
      </c>
      <c r="G294" s="496"/>
      <c r="H294" s="498">
        <f>VLOOKUP(E294,'5.2 Actions'!$A$3:$D$720,4,0)</f>
        <v>0</v>
      </c>
      <c r="I294" s="497">
        <v>0</v>
      </c>
    </row>
    <row r="295" spans="1:9" ht="30" hidden="1" outlineLevel="2" x14ac:dyDescent="0.25">
      <c r="A295" s="114" t="str">
        <f t="shared" si="60"/>
        <v>2</v>
      </c>
      <c r="B295" t="str">
        <f t="shared" si="61"/>
        <v>1</v>
      </c>
      <c r="C295" s="114" t="str">
        <f t="shared" si="62"/>
        <v>15</v>
      </c>
      <c r="D295" s="495" t="s">
        <v>36</v>
      </c>
      <c r="E295" s="495" t="s">
        <v>858</v>
      </c>
      <c r="F295" s="496" t="str">
        <f>VLOOKUP(E295,'5.2 Actions'!$A$3:$B$720,2,0)</f>
        <v>Renforcer les programmes de surveillance par l’extension des réseaux à de nouveaux sites de contrôle au sein des 5 masses d’eau et plus particulièrement au sein de la masse d’eau du système du Socle et des craies du Crétacé</v>
      </c>
      <c r="G295" s="496"/>
      <c r="H295" s="498">
        <f>VLOOKUP(E295,'5.2 Actions'!$A$3:$D$720,4,0)</f>
        <v>0</v>
      </c>
      <c r="I295" s="497">
        <v>0</v>
      </c>
    </row>
    <row r="296" spans="1:9" hidden="1" outlineLevel="2" x14ac:dyDescent="0.25">
      <c r="A296" s="114" t="str">
        <f t="shared" si="60"/>
        <v>2</v>
      </c>
      <c r="B296" t="str">
        <f t="shared" si="61"/>
        <v>1</v>
      </c>
      <c r="C296" s="114" t="str">
        <f t="shared" si="62"/>
        <v>16</v>
      </c>
      <c r="D296" s="495" t="s">
        <v>36</v>
      </c>
      <c r="E296" s="495" t="s">
        <v>859</v>
      </c>
      <c r="F296" s="496" t="str">
        <f>VLOOKUP(E296,'5.2 Actions'!$A$3:$B$720,2,0)</f>
        <v>Renforcer la pérennité des sites de contrôle existants et futurs faisant partie des programmes de surveillance de l’état chimique</v>
      </c>
      <c r="G296" s="496"/>
      <c r="H296" s="498">
        <f>VLOOKUP(E296,'5.2 Actions'!$A$3:$D$720,4,0)</f>
        <v>0</v>
      </c>
      <c r="I296" s="497">
        <v>0</v>
      </c>
    </row>
    <row r="297" spans="1:9" ht="30" hidden="1" outlineLevel="2" x14ac:dyDescent="0.25">
      <c r="A297" s="114" t="str">
        <f t="shared" si="60"/>
        <v>2</v>
      </c>
      <c r="B297" t="str">
        <f t="shared" si="61"/>
        <v>1</v>
      </c>
      <c r="C297" s="114" t="str">
        <f t="shared" si="62"/>
        <v>8.</v>
      </c>
      <c r="D297" s="495" t="s">
        <v>36</v>
      </c>
      <c r="E297" s="495" t="s">
        <v>866</v>
      </c>
      <c r="F297" s="496" t="str">
        <f>VLOOKUP(E297,'5.2 Actions'!$A$3:$B$720,2,0)</f>
        <v>Poursuivre les études d’évaluation des risques de transfert de polluants sur sols pollués ou potentiellement non pollués par lessivage et transport latéral lors de réaffectation des sols dans le cadre de la gestion des sols pollués</v>
      </c>
      <c r="G297" s="496"/>
      <c r="H297" s="498">
        <f>VLOOKUP(E297,'5.2 Actions'!$A$3:$D$720,4,0)</f>
        <v>0</v>
      </c>
      <c r="I297" s="497">
        <v>0</v>
      </c>
    </row>
    <row r="298" spans="1:9" s="494" customFormat="1" hidden="1" outlineLevel="1" collapsed="1" x14ac:dyDescent="0.25">
      <c r="D298" s="500" t="s">
        <v>37</v>
      </c>
      <c r="E298" s="500"/>
      <c r="F298" s="501" t="str">
        <f>VLOOKUP(D298,'1. Mesures'!$A$2:$B$116,2,0)</f>
        <v>Modifier la réglementation relative à la qualité des eaux souterraines</v>
      </c>
      <c r="G298" s="501"/>
      <c r="H298" s="503"/>
      <c r="I298" s="502">
        <f>SUBTOTAL(9,I299:I304)</f>
        <v>0</v>
      </c>
    </row>
    <row r="299" spans="1:9" ht="30" hidden="1" outlineLevel="2" x14ac:dyDescent="0.25">
      <c r="A299" s="114" t="str">
        <f t="shared" ref="A299:A304" si="63">MID(E299,1,1)</f>
        <v>2</v>
      </c>
      <c r="B299" t="str">
        <f t="shared" ref="B299:B304" si="64">MID(E299,3,1)</f>
        <v>2</v>
      </c>
      <c r="C299" s="114" t="str">
        <f t="shared" ref="C299:C304" si="65">MID(E299,5,2)</f>
        <v>1</v>
      </c>
      <c r="D299" s="495" t="s">
        <v>37</v>
      </c>
      <c r="E299" s="495" t="s">
        <v>886</v>
      </c>
      <c r="F299" s="496" t="str">
        <f>VLOOKUP(E299,'5.2 Actions'!$A$3:$B$720,2,0)</f>
        <v>Réviser les critères d’évaluation de l’état chimique des masses d’eau souterraine de l’annexe II de l’AGRBC du 10 juin 2010 en ce qui concerne les paramètres à risque et leurs valeurs</v>
      </c>
      <c r="G299" s="496"/>
      <c r="H299" s="498">
        <f>VLOOKUP(E299,'5.2 Actions'!$A$3:$D$720,4,0)</f>
        <v>0</v>
      </c>
      <c r="I299" s="497">
        <v>0</v>
      </c>
    </row>
    <row r="300" spans="1:9" ht="45" hidden="1" outlineLevel="2" x14ac:dyDescent="0.25">
      <c r="A300" s="114" t="str">
        <f t="shared" si="63"/>
        <v>2</v>
      </c>
      <c r="B300" t="str">
        <f t="shared" si="64"/>
        <v>2</v>
      </c>
      <c r="C300" s="114" t="str">
        <f t="shared" si="65"/>
        <v>2</v>
      </c>
      <c r="D300" s="495" t="s">
        <v>37</v>
      </c>
      <c r="E300" s="495" t="s">
        <v>887</v>
      </c>
      <c r="F300" s="496" t="str">
        <f>VLOOKUP(E300,'5.2 Actions'!$A$3:$B$720,2,0)</f>
        <v>Réviser l’annexe II de l’AGRBC du 10 juin 2010 en y précisant les valeurs seuils des critères d’évaluation de qualité plus stricts considérés au sein des zones d’alimentation hydrogéologiques des écosystèmes aquatiques et terrestres associés à la masse d’eau souterraine des sables du Bruxellien pour les nitrates, chlorures et sulfates (cf. aussi M 3.8)</v>
      </c>
      <c r="G300" s="496"/>
      <c r="H300" s="498">
        <f>VLOOKUP(E300,'5.2 Actions'!$A$3:$D$720,4,0)</f>
        <v>0</v>
      </c>
      <c r="I300" s="497">
        <v>0</v>
      </c>
    </row>
    <row r="301" spans="1:9" ht="30" hidden="1" outlineLevel="2" x14ac:dyDescent="0.25">
      <c r="A301" s="114" t="str">
        <f t="shared" si="63"/>
        <v>2</v>
      </c>
      <c r="B301" t="str">
        <f t="shared" si="64"/>
        <v>2</v>
      </c>
      <c r="C301" s="114" t="str">
        <f t="shared" si="65"/>
        <v>3</v>
      </c>
      <c r="D301" s="495" t="s">
        <v>37</v>
      </c>
      <c r="E301" s="495" t="s">
        <v>888</v>
      </c>
      <c r="F301" s="496" t="str">
        <f>VLOOKUP(E301,'5.2 Actions'!$A$3:$B$720,2,0)</f>
        <v>Compléter l’annexe II de l’AGRBC du 10 juin 2010 en y joignant les valeurs des concentrations de référence des paramètres présents naturellement dans les masses d’eau souterraine par paramètre et par masse d’eau</v>
      </c>
      <c r="G301" s="496"/>
      <c r="H301" s="498">
        <f>VLOOKUP(E301,'5.2 Actions'!$A$3:$D$720,4,0)</f>
        <v>0</v>
      </c>
      <c r="I301" s="497">
        <v>0</v>
      </c>
    </row>
    <row r="302" spans="1:9" ht="30" hidden="1" outlineLevel="2" x14ac:dyDescent="0.25">
      <c r="A302" s="114" t="str">
        <f t="shared" si="63"/>
        <v>2</v>
      </c>
      <c r="B302" t="str">
        <f t="shared" si="64"/>
        <v>2</v>
      </c>
      <c r="C302" s="114" t="str">
        <f t="shared" si="65"/>
        <v>4</v>
      </c>
      <c r="D302" s="495" t="s">
        <v>37</v>
      </c>
      <c r="E302" s="495" t="s">
        <v>889</v>
      </c>
      <c r="F302" s="496" t="str">
        <f>VLOOKUP(E302,'5.2 Actions'!$A$3:$B$720,2,0)</f>
        <v>Compléter l’annexe II de l’AGRBC du 10 juin 2010 en y joignant la liste des métabolites considérés comme pertinents et non-pertinents suivis dans le cadre du programme de surveillance mené au cours du Plan de Gestion (2016-2021)</v>
      </c>
      <c r="G302" s="496"/>
      <c r="H302" s="498">
        <f>VLOOKUP(E302,'5.2 Actions'!$A$3:$D$720,4,0)</f>
        <v>0</v>
      </c>
      <c r="I302" s="497">
        <v>0</v>
      </c>
    </row>
    <row r="303" spans="1:9" ht="30" hidden="1" outlineLevel="2" x14ac:dyDescent="0.25">
      <c r="A303" s="114" t="str">
        <f t="shared" si="63"/>
        <v>2</v>
      </c>
      <c r="B303" t="str">
        <f t="shared" si="64"/>
        <v>2</v>
      </c>
      <c r="C303" s="114" t="str">
        <f t="shared" si="65"/>
        <v>5</v>
      </c>
      <c r="D303" s="495" t="s">
        <v>37</v>
      </c>
      <c r="E303" s="495" t="s">
        <v>890</v>
      </c>
      <c r="F303" s="496" t="str">
        <f>VLOOKUP(E303,'5.2 Actions'!$A$3:$B$720,2,0)</f>
        <v>Réaliser une veille juridique et transposer en droit bruxellois, le cas échéant, les révisions qui seraient aux annexes I et/ou II de la Directive 2006/118/CE en ce qui concerne notamment l’ajout de polluants émergents (PFAS, substances pharmaceutiques, métabolites de pesticides non pertinents) et leurs valeurs</v>
      </c>
      <c r="G303" s="496"/>
      <c r="H303" s="498">
        <f>VLOOKUP(E303,'5.2 Actions'!$A$3:$D$720,4,0)</f>
        <v>0</v>
      </c>
      <c r="I303" s="497">
        <v>0</v>
      </c>
    </row>
    <row r="304" spans="1:9" ht="30" hidden="1" outlineLevel="2" x14ac:dyDescent="0.25">
      <c r="A304" s="114" t="str">
        <f t="shared" si="63"/>
        <v>2</v>
      </c>
      <c r="B304" t="str">
        <f t="shared" si="64"/>
        <v>2</v>
      </c>
      <c r="C304" s="114" t="str">
        <f t="shared" si="65"/>
        <v>6</v>
      </c>
      <c r="D304" s="495" t="s">
        <v>37</v>
      </c>
      <c r="E304" s="495" t="s">
        <v>891</v>
      </c>
      <c r="F304" s="496" t="str">
        <f>VLOOKUP(E304,'5.2 Actions'!$A$3:$B$720,2,0)</f>
        <v>Réviser la liste et les valeurs seuils des critères d’évaluation de la qualité des masses d’eau de l’annexe II de l’AGRBC du 10 juin 2010 compte tenu de la révision des exigences minimales relatives aux valeurs paramétriques utilisées pour évaluer la qualité des eaux destinées à la consommation humaine</v>
      </c>
      <c r="G304" s="496"/>
      <c r="H304" s="498">
        <f>VLOOKUP(E304,'5.2 Actions'!$A$3:$D$720,4,0)</f>
        <v>0</v>
      </c>
      <c r="I304" s="497">
        <v>0</v>
      </c>
    </row>
    <row r="305" spans="1:9" s="494" customFormat="1" hidden="1" outlineLevel="1" collapsed="1" x14ac:dyDescent="0.25">
      <c r="D305" s="500" t="s">
        <v>38</v>
      </c>
      <c r="E305" s="500"/>
      <c r="F305" s="501" t="str">
        <f>VLOOKUP(D305,'1. Mesures'!$A$2:$B$116,2,0)</f>
        <v xml:space="preserve">Rénover et étendre le réseau d'assainissement afin de réduire les concentrations en nitrates d’origine non agricole </v>
      </c>
      <c r="G305" s="501"/>
      <c r="H305" s="501"/>
      <c r="I305" s="502">
        <f>SUBTOTAL(9,I306:I311)</f>
        <v>0</v>
      </c>
    </row>
    <row r="306" spans="1:9" ht="30" hidden="1" outlineLevel="2" x14ac:dyDescent="0.25">
      <c r="A306" s="114" t="str">
        <f t="shared" ref="A306:A311" si="66">MID(E306,1,1)</f>
        <v>2</v>
      </c>
      <c r="B306" t="str">
        <f t="shared" ref="B306:B311" si="67">MID(E306,3,1)</f>
        <v>3</v>
      </c>
      <c r="C306" s="114" t="str">
        <f t="shared" ref="C306:C311" si="68">MID(E306,5,2)</f>
        <v>1</v>
      </c>
      <c r="D306" s="495" t="s">
        <v>38</v>
      </c>
      <c r="E306" s="495" t="s">
        <v>892</v>
      </c>
      <c r="F306" s="496" t="str">
        <f>VLOOKUP(E306,'5.2 Actions'!$A$3:$B$720,2,0)</f>
        <v>Finaliser et adopter la cartographie des zones égouttables et non égouttables prévue par l’article 40/1 de l’Ordonnance Cadre Eau</v>
      </c>
      <c r="G306" s="496" t="str">
        <f>"ACE"&amp;"-"&amp;VLOOKUP(D306,'6. Mesures_ Budget_ Maximaliste'!$A$4:$C$32,3,0)</f>
        <v>ACE-CV</v>
      </c>
      <c r="H306" s="496" t="str">
        <f>VLOOKUP(E306,'5.2 Actions'!$A$3:$D$720,4,0)</f>
        <v>SEN / WOL / CAN</v>
      </c>
      <c r="I306" s="497">
        <v>0</v>
      </c>
    </row>
    <row r="307" spans="1:9" ht="30" hidden="1" outlineLevel="2" x14ac:dyDescent="0.25">
      <c r="A307" s="114" t="str">
        <f t="shared" si="66"/>
        <v>2</v>
      </c>
      <c r="B307" t="str">
        <f t="shared" si="67"/>
        <v>3</v>
      </c>
      <c r="C307" s="114" t="str">
        <f t="shared" si="68"/>
        <v>2</v>
      </c>
      <c r="D307" s="495" t="s">
        <v>38</v>
      </c>
      <c r="E307" s="495" t="s">
        <v>893</v>
      </c>
      <c r="F307" s="496" t="str">
        <f>VLOOKUP(E307,'5.2 Actions'!$A$3:$B$720,2,0)</f>
        <v>Poursuivre l’inventaire de l’état des lieux et le cartographier (projet ETAL)</v>
      </c>
      <c r="G307" s="496" t="str">
        <f>"ACE"&amp;"-"&amp;VLOOKUP(D307,'6. Mesures_ Budget_ Maximaliste'!$A$4:$C$32,3,0)</f>
        <v>ACE-CV</v>
      </c>
      <c r="H307" s="496" t="str">
        <f>VLOOKUP(E307,'5.2 Actions'!$A$3:$D$720,4,0)</f>
        <v>SEN / WOL / CAN</v>
      </c>
      <c r="I307" s="497">
        <v>11916800</v>
      </c>
    </row>
    <row r="308" spans="1:9" ht="45" hidden="1" outlineLevel="2" x14ac:dyDescent="0.25">
      <c r="A308" s="114" t="str">
        <f t="shared" si="66"/>
        <v>2</v>
      </c>
      <c r="B308" t="str">
        <f t="shared" si="67"/>
        <v>3</v>
      </c>
      <c r="C308" s="114" t="str">
        <f t="shared" si="68"/>
        <v>3</v>
      </c>
      <c r="D308" s="495" t="s">
        <v>38</v>
      </c>
      <c r="E308" s="495" t="s">
        <v>894</v>
      </c>
      <c r="F308" s="496" t="str">
        <f>VLOOKUP(E308,'5.2 Actions'!$A$3:$B$720,2,0)</f>
        <v>Planifier les travaux de rénovation du réseau d’égouttage à l’horizon 2027 en maintenant un objectif de taux de rénovation entre 0.8% et 1.1% par an en priorisant la rénovation dans les zones de vulnérabilité élevée de la masse d’eau des sables du Bruxellien fortement urbanisée et dans les zones de protection des captages d’eau destinée à la consommation humaine</v>
      </c>
      <c r="G308" s="496" t="str">
        <f>"ACE"&amp;"-"&amp;VLOOKUP(D308,'6. Mesures_ Budget_ Maximaliste'!$A$4:$C$32,3,0)</f>
        <v>ACE-CV</v>
      </c>
      <c r="H308" s="496" t="str">
        <f>VLOOKUP(E308,'5.2 Actions'!$A$3:$D$720,4,0)</f>
        <v>SEN / WOL / CAN</v>
      </c>
      <c r="I308" s="497">
        <v>0</v>
      </c>
    </row>
    <row r="309" spans="1:9" ht="30" hidden="1" outlineLevel="2" x14ac:dyDescent="0.25">
      <c r="A309" s="114" t="str">
        <f t="shared" si="66"/>
        <v>2</v>
      </c>
      <c r="B309" t="str">
        <f t="shared" si="67"/>
        <v>3</v>
      </c>
      <c r="C309" s="114" t="str">
        <f t="shared" si="68"/>
        <v>4</v>
      </c>
      <c r="D309" s="495" t="s">
        <v>38</v>
      </c>
      <c r="E309" s="495" t="s">
        <v>895</v>
      </c>
      <c r="F309" s="496" t="str">
        <f>VLOOKUP(E309,'5.2 Actions'!$A$3:$B$720,2,0)</f>
        <v>Réaliser les travaux de rénovation du réseau d’égouttage (à concurrence de 0.8 à 1.1% /an)</v>
      </c>
      <c r="G309" s="496" t="str">
        <f>"ACE"&amp;"-"&amp;VLOOKUP(D309,'6. Mesures_ Budget_ Maximaliste'!$A$4:$C$32,3,0)</f>
        <v>ACE-CV</v>
      </c>
      <c r="H309" s="496" t="str">
        <f>VLOOKUP(E309,'5.2 Actions'!$A$3:$D$720,4,0)</f>
        <v>SEN / WOL / CAN</v>
      </c>
      <c r="I309" s="497">
        <v>340480000</v>
      </c>
    </row>
    <row r="310" spans="1:9" ht="30" hidden="1" outlineLevel="2" x14ac:dyDescent="0.25">
      <c r="A310" s="114" t="str">
        <f t="shared" si="66"/>
        <v>2</v>
      </c>
      <c r="B310" t="str">
        <f t="shared" si="67"/>
        <v>3</v>
      </c>
      <c r="C310" s="114" t="str">
        <f t="shared" si="68"/>
        <v>5</v>
      </c>
      <c r="D310" s="495" t="s">
        <v>38</v>
      </c>
      <c r="E310" s="495" t="s">
        <v>896</v>
      </c>
      <c r="F310" s="496" t="str">
        <f>VLOOKUP(E310,'5.2 Actions'!$A$3:$B$720,2,0)</f>
        <v>Etendre le réseau d’égouttage sur base de la cartographie des zones d’assainissement collectif et autonome.</v>
      </c>
      <c r="G310" s="496" t="str">
        <f>"ACE"&amp;"-"&amp;VLOOKUP(D310,'6. Mesures_ Budget_ Maximaliste'!$A$4:$C$32,3,0)</f>
        <v>ACE-CV</v>
      </c>
      <c r="H310" s="496" t="str">
        <f>VLOOKUP(E310,'5.2 Actions'!$A$3:$D$720,4,0)</f>
        <v>SEN / WOL / CAN</v>
      </c>
      <c r="I310" s="497">
        <v>15300000</v>
      </c>
    </row>
    <row r="311" spans="1:9" ht="30" hidden="1" outlineLevel="2" x14ac:dyDescent="0.25">
      <c r="A311" s="114" t="str">
        <f t="shared" si="66"/>
        <v>2</v>
      </c>
      <c r="B311" t="str">
        <f t="shared" si="67"/>
        <v>3</v>
      </c>
      <c r="C311" s="114" t="str">
        <f t="shared" si="68"/>
        <v>6</v>
      </c>
      <c r="D311" s="495" t="s">
        <v>38</v>
      </c>
      <c r="E311" s="495" t="s">
        <v>897</v>
      </c>
      <c r="F311" s="496" t="str">
        <f>VLOOKUP(E311,'5.2 Actions'!$A$3:$B$720,2,0)</f>
        <v xml:space="preserve">Etablir une programmation des investissements pour la réhabilitation de certains collecteurs avec une priorisation dans les zones à enjeux environnementaux </v>
      </c>
      <c r="G311" s="496" t="str">
        <f>"ACE"&amp;"-"&amp;VLOOKUP(D311,'6. Mesures_ Budget_ Maximaliste'!$A$4:$C$32,3,0)</f>
        <v>ACE-CV</v>
      </c>
      <c r="H311" s="496" t="str">
        <f>VLOOKUP(E311,'5.2 Actions'!$A$3:$D$720,4,0)</f>
        <v>SEN / WOL / CAN</v>
      </c>
      <c r="I311" s="497">
        <v>1980000</v>
      </c>
    </row>
    <row r="312" spans="1:9" s="494" customFormat="1" ht="28.5" hidden="1" outlineLevel="1" collapsed="1" x14ac:dyDescent="0.25">
      <c r="D312" s="500" t="s">
        <v>39</v>
      </c>
      <c r="E312" s="500"/>
      <c r="F312" s="501" t="str">
        <f>VLOOKUP(D312,'1. Mesures'!$A$2:$B$116,2,0)</f>
        <v>Contraindre le raccordement au réseau d’égouttage existant ou à l'installation d'un système d'épuration  individuelle performant dans les zones non égouttées et renforcer le contrôle de ces obligations</v>
      </c>
      <c r="G312" s="501"/>
      <c r="H312" s="501"/>
      <c r="I312" s="502">
        <f>SUBTOTAL(9,I313:I318)</f>
        <v>0</v>
      </c>
    </row>
    <row r="313" spans="1:9" ht="30" hidden="1" outlineLevel="2" x14ac:dyDescent="0.25">
      <c r="A313" s="114" t="str">
        <f t="shared" ref="A313:A318" si="69">MID(E313,1,1)</f>
        <v>2</v>
      </c>
      <c r="B313" t="str">
        <f t="shared" ref="B313:B318" si="70">MID(E313,3,1)</f>
        <v>4</v>
      </c>
      <c r="C313" s="114" t="str">
        <f t="shared" ref="C313:C318" si="71">MID(E313,5,2)</f>
        <v>1</v>
      </c>
      <c r="D313" s="495" t="s">
        <v>39</v>
      </c>
      <c r="E313" s="495" t="s">
        <v>898</v>
      </c>
      <c r="F313" s="496" t="str">
        <f>VLOOKUP(E313,'5.2 Actions'!$A$3:$B$720,2,0)</f>
        <v>(In)former et soutenir les communes dans leur mise à jour des règlements communaux relatifs à l’égouttage et assurer la cohérence régionale.</v>
      </c>
      <c r="G313" s="496"/>
      <c r="H313" s="496" t="str">
        <f>VLOOKUP(E313,'5.2 Actions'!$A$3:$D$720,4,0)</f>
        <v>SEN / WOL / CAN</v>
      </c>
      <c r="I313" s="497">
        <v>0</v>
      </c>
    </row>
    <row r="314" spans="1:9" ht="30" hidden="1" outlineLevel="2" x14ac:dyDescent="0.25">
      <c r="A314" s="114" t="str">
        <f t="shared" si="69"/>
        <v>2</v>
      </c>
      <c r="B314" t="str">
        <f t="shared" si="70"/>
        <v>4</v>
      </c>
      <c r="C314" s="114" t="str">
        <f t="shared" si="71"/>
        <v>2</v>
      </c>
      <c r="D314" s="495" t="s">
        <v>39</v>
      </c>
      <c r="E314" s="495" t="s">
        <v>899</v>
      </c>
      <c r="F314" s="496" t="str">
        <f>VLOOKUP(E314,'5.2 Actions'!$A$3:$B$720,2,0)</f>
        <v>Informer les habitants de leur obligation de raccordement, en priorité là où des tronçons d’égouttage ont été récemment installés ou sont en cours de pose, et à terme, à toute la zone d’assainissement collectif</v>
      </c>
      <c r="G314" s="496"/>
      <c r="H314" s="496" t="str">
        <f>VLOOKUP(E314,'5.2 Actions'!$A$3:$D$720,4,0)</f>
        <v>SEN / WOL / CAN</v>
      </c>
      <c r="I314" s="497">
        <v>0</v>
      </c>
    </row>
    <row r="315" spans="1:9" ht="30" hidden="1" outlineLevel="2" x14ac:dyDescent="0.25">
      <c r="A315" s="114" t="str">
        <f t="shared" si="69"/>
        <v>2</v>
      </c>
      <c r="B315" t="str">
        <f t="shared" si="70"/>
        <v>4</v>
      </c>
      <c r="C315" s="114" t="str">
        <f t="shared" si="71"/>
        <v>3</v>
      </c>
      <c r="D315" s="495" t="s">
        <v>39</v>
      </c>
      <c r="E315" s="495" t="s">
        <v>900</v>
      </c>
      <c r="F315" s="496" t="str">
        <f>VLOOKUP(E315,'5.2 Actions'!$A$3:$B$720,2,0)</f>
        <v>Contrôler le raccordement effectif au réseau d’égouttage en priorité pour les tronçons récemment égouttés et à terme pour l’ensemble du réseau d’assainissement collectif présent sur le territoire bruxellois</v>
      </c>
      <c r="G315" s="496"/>
      <c r="H315" s="496" t="str">
        <f>VLOOKUP(E315,'5.2 Actions'!$A$3:$D$720,4,0)</f>
        <v>SEN / WOL / CAN</v>
      </c>
      <c r="I315" s="497">
        <v>0</v>
      </c>
    </row>
    <row r="316" spans="1:9" ht="30" hidden="1" outlineLevel="2" x14ac:dyDescent="0.25">
      <c r="A316" s="114" t="str">
        <f t="shared" si="69"/>
        <v>2</v>
      </c>
      <c r="B316" t="str">
        <f t="shared" si="70"/>
        <v>4</v>
      </c>
      <c r="C316" s="114" t="str">
        <f t="shared" si="71"/>
        <v>4</v>
      </c>
      <c r="D316" s="495" t="s">
        <v>39</v>
      </c>
      <c r="E316" s="495" t="s">
        <v>901</v>
      </c>
      <c r="F316" s="496" t="str">
        <f>VLOOKUP(E316,'5.2 Actions'!$A$3:$B$720,2,0)</f>
        <v>Etablir l’inventaire des systèmes d’épuration et de dispersion dans les zones non égouttées et non égouttables, faisant l’objet d’un permis d’environnement</v>
      </c>
      <c r="G316" s="496"/>
      <c r="H316" s="496" t="str">
        <f>VLOOKUP(E316,'5.2 Actions'!$A$3:$D$720,4,0)</f>
        <v>SEN / WOL / CAN</v>
      </c>
      <c r="I316" s="497">
        <v>0</v>
      </c>
    </row>
    <row r="317" spans="1:9" ht="30" hidden="1" outlineLevel="2" x14ac:dyDescent="0.25">
      <c r="A317" s="114" t="str">
        <f t="shared" si="69"/>
        <v>2</v>
      </c>
      <c r="B317" t="str">
        <f t="shared" si="70"/>
        <v>4</v>
      </c>
      <c r="C317" s="114" t="str">
        <f t="shared" si="71"/>
        <v>5</v>
      </c>
      <c r="D317" s="495" t="s">
        <v>39</v>
      </c>
      <c r="E317" s="495" t="s">
        <v>902</v>
      </c>
      <c r="F317" s="496" t="str">
        <f>VLOOKUP(E317,'5.2 Actions'!$A$3:$B$720,2,0)</f>
        <v>Mettre en place un cadre règlementaire précis pour les systèmes d’épuration individuels et un système de contrôle et d’entretien de ces systèmes</v>
      </c>
      <c r="G317" s="496"/>
      <c r="H317" s="496" t="str">
        <f>VLOOKUP(E317,'5.2 Actions'!$A$3:$D$720,4,0)</f>
        <v>SEN / WOL / CAN</v>
      </c>
      <c r="I317" s="497">
        <v>0</v>
      </c>
    </row>
    <row r="318" spans="1:9" ht="45" hidden="1" outlineLevel="2" x14ac:dyDescent="0.25">
      <c r="A318" s="114" t="str">
        <f t="shared" si="69"/>
        <v>2</v>
      </c>
      <c r="B318" t="str">
        <f t="shared" si="70"/>
        <v>4</v>
      </c>
      <c r="C318" s="114" t="str">
        <f t="shared" si="71"/>
        <v>6</v>
      </c>
      <c r="D318" s="495" t="s">
        <v>39</v>
      </c>
      <c r="E318" s="495" t="s">
        <v>903</v>
      </c>
      <c r="F318" s="496" t="str">
        <f>VLOOKUP(E318,'5.2 Actions'!$A$3:$B$720,2,0)</f>
        <v>Informer et contraindre tout habitant se trouvant dans la zone d’assainissement autonome à la mise en place d’un système d’épuration individuel performant et supprimer si possible les puits perdants, en priorité dans les zones de protection des captages destinées à la consommation humaine et où des écosystèmes aquatiques et terrestres sont présents</v>
      </c>
      <c r="G318" s="496"/>
      <c r="H318" s="496" t="str">
        <f>VLOOKUP(E318,'5.2 Actions'!$A$3:$D$720,4,0)</f>
        <v>SEN / WOL / CAN</v>
      </c>
      <c r="I318" s="497">
        <v>0</v>
      </c>
    </row>
    <row r="319" spans="1:9" s="494" customFormat="1" ht="28.5" hidden="1" outlineLevel="1" collapsed="1" x14ac:dyDescent="0.25">
      <c r="D319" s="500" t="s">
        <v>40</v>
      </c>
      <c r="E319" s="500"/>
      <c r="F319" s="501" t="str">
        <f>VLOOKUP(D319,'1. Mesures'!$A$2:$B$116,2,0)</f>
        <v xml:space="preserve">Approfondir l’analyse de la problématique des nitrates d’origine agricole et assimilés, mettre en œuvre les mesures d’atténuation nécessaires et sensibiliser à une bonne pratique agricole et maraichère </v>
      </c>
      <c r="G319" s="501"/>
      <c r="H319" s="501"/>
      <c r="I319" s="502">
        <f>SUBTOTAL(9,I320:I323)</f>
        <v>0</v>
      </c>
    </row>
    <row r="320" spans="1:9" ht="30" hidden="1" outlineLevel="2" x14ac:dyDescent="0.25">
      <c r="A320" s="114" t="str">
        <f>MID(E320,1,1)</f>
        <v>2</v>
      </c>
      <c r="B320" t="str">
        <f>MID(E320,3,1)</f>
        <v>5</v>
      </c>
      <c r="C320" s="114" t="str">
        <f>MID(E320,5,2)</f>
        <v>1</v>
      </c>
      <c r="D320" s="495" t="s">
        <v>40</v>
      </c>
      <c r="E320" s="495" t="s">
        <v>904</v>
      </c>
      <c r="F320" s="496" t="str">
        <f>VLOOKUP(E320,'5.2 Actions'!$A$3:$B$720,2,0)</f>
        <v xml:space="preserve">Approfondir l’analyse liée à la légère augmentation statistique en nitrates des zones faiblement urbanisée et analyser des pressions qui pourraient y être liées </v>
      </c>
      <c r="G320" s="496"/>
      <c r="H320" s="496" t="str">
        <f>VLOOKUP(E320,'5.2 Actions'!$A$3:$D$720,4,0)</f>
        <v>SEN / WOL / CAN</v>
      </c>
      <c r="I320" s="497">
        <v>50000</v>
      </c>
    </row>
    <row r="321" spans="1:9" ht="30" hidden="1" outlineLevel="2" x14ac:dyDescent="0.25">
      <c r="A321" s="114" t="str">
        <f>MID(E321,1,1)</f>
        <v>2</v>
      </c>
      <c r="B321" t="str">
        <f>MID(E321,3,1)</f>
        <v>5</v>
      </c>
      <c r="C321" s="114" t="str">
        <f>MID(E321,5,2)</f>
        <v>2</v>
      </c>
      <c r="D321" s="495" t="s">
        <v>40</v>
      </c>
      <c r="E321" s="495" t="s">
        <v>905</v>
      </c>
      <c r="F321" s="496" t="str">
        <f>VLOOKUP(E321,'5.2 Actions'!$A$3:$B$720,2,0)</f>
        <v>Si nécessaire sur base de l’analyse en 2.5.1, contrôler le respect des conditions d’exploiter pour les exploitations à risques nitriques autorisées par permis d’environnement</v>
      </c>
      <c r="G321" s="496"/>
      <c r="H321" s="496" t="str">
        <f>VLOOKUP(E321,'5.2 Actions'!$A$3:$D$720,4,0)</f>
        <v>SEN / WOL / CAN</v>
      </c>
      <c r="I321" s="497">
        <v>0</v>
      </c>
    </row>
    <row r="322" spans="1:9" ht="30" hidden="1" outlineLevel="2" x14ac:dyDescent="0.25">
      <c r="A322" s="114" t="str">
        <f>MID(E322,1,1)</f>
        <v>2</v>
      </c>
      <c r="B322" t="str">
        <f>MID(E322,3,1)</f>
        <v>5</v>
      </c>
      <c r="C322" s="114" t="str">
        <f>MID(E322,5,2)</f>
        <v>3</v>
      </c>
      <c r="D322" s="495" t="s">
        <v>40</v>
      </c>
      <c r="E322" s="495" t="s">
        <v>906</v>
      </c>
      <c r="F322" s="496" t="str">
        <f>VLOOKUP(E322,'5.2 Actions'!$A$3:$B$720,2,0)</f>
        <v>Si nécessaire, revoir l’AGRBC du 19 novembre afin d’en garantir une meilleure applicabilité par les activités agricoles présentes sur le territoire bruxellois et y adapter le code de Bonnes Pratiques</v>
      </c>
      <c r="G322" s="496"/>
      <c r="H322" s="496" t="str">
        <f>VLOOKUP(E322,'5.2 Actions'!$A$3:$D$720,4,0)</f>
        <v>SEN / WOL / CAN</v>
      </c>
      <c r="I322" s="497">
        <v>0</v>
      </c>
    </row>
    <row r="323" spans="1:9" ht="30" hidden="1" outlineLevel="2" x14ac:dyDescent="0.25">
      <c r="A323" s="114" t="str">
        <f>MID(E323,1,1)</f>
        <v>2</v>
      </c>
      <c r="B323" t="str">
        <f>MID(E323,3,1)</f>
        <v>5</v>
      </c>
      <c r="C323" s="114" t="str">
        <f>MID(E323,5,2)</f>
        <v>4</v>
      </c>
      <c r="D323" s="495" t="s">
        <v>40</v>
      </c>
      <c r="E323" s="495" t="s">
        <v>907</v>
      </c>
      <c r="F323" s="496" t="str">
        <f>VLOOKUP(E323,'5.2 Actions'!$A$3:$B$720,2,0)</f>
        <v>Editer une brochure de sensibilisation à l’égard des exploitants, notamment sur base du Code de Bonnes Pratiques</v>
      </c>
      <c r="G323" s="496"/>
      <c r="H323" s="496" t="str">
        <f>VLOOKUP(E323,'5.2 Actions'!$A$3:$D$720,4,0)</f>
        <v>SEN / WOL / CAN</v>
      </c>
      <c r="I323" s="497">
        <v>50000</v>
      </c>
    </row>
    <row r="324" spans="1:9" s="494" customFormat="1" ht="28.5" hidden="1" outlineLevel="1" collapsed="1" x14ac:dyDescent="0.25">
      <c r="D324" s="500" t="s">
        <v>42</v>
      </c>
      <c r="E324" s="500"/>
      <c r="F324" s="501" t="str">
        <f>VLOOKUP(D324,'1. Mesures'!$A$2:$B$116,2,0)</f>
        <v>Interdire les rejets directs de tetrachloroéthylène, prévenir et limiter ses rejets indirects et renforcer son contrôle dans la masse d’eau des sables du Bruxellien</v>
      </c>
      <c r="G324" s="501"/>
      <c r="H324" s="503"/>
      <c r="I324" s="502">
        <f>SUBTOTAL(9,I325:I329)</f>
        <v>0</v>
      </c>
    </row>
    <row r="325" spans="1:9" hidden="1" outlineLevel="2" x14ac:dyDescent="0.25">
      <c r="A325" s="114" t="str">
        <f>MID(E325,1,1)</f>
        <v>2</v>
      </c>
      <c r="B325" t="str">
        <f>MID(E325,3,1)</f>
        <v>6</v>
      </c>
      <c r="C325" s="114" t="str">
        <f>MID(E325,5,2)</f>
        <v>1</v>
      </c>
      <c r="D325" s="495" t="s">
        <v>42</v>
      </c>
      <c r="E325" s="495" t="s">
        <v>908</v>
      </c>
      <c r="F325" s="496" t="str">
        <f>VLOOKUP(E325,'5.2 Actions'!$A$3:$B$720,2,0)</f>
        <v>Poursuivre  l’assainissement des sols pollués au tétrachloroéthylène et des composés organochlorés tel que prévu à l’OSOL (cf.  M 2.13 et M 3.3)</v>
      </c>
      <c r="G325" s="496"/>
      <c r="H325" s="498">
        <f>VLOOKUP(E325,'5.2 Actions'!$A$3:$D$720,4,0)</f>
        <v>0</v>
      </c>
      <c r="I325" s="497">
        <v>0</v>
      </c>
    </row>
    <row r="326" spans="1:9" hidden="1" outlineLevel="2" x14ac:dyDescent="0.25">
      <c r="A326" s="114" t="str">
        <f>MID(E326,1,1)</f>
        <v>2</v>
      </c>
      <c r="B326" t="str">
        <f>MID(E326,3,1)</f>
        <v>6</v>
      </c>
      <c r="C326" s="114" t="str">
        <f>MID(E326,5,2)</f>
        <v>2</v>
      </c>
      <c r="D326" s="495" t="s">
        <v>42</v>
      </c>
      <c r="E326" s="495" t="s">
        <v>909</v>
      </c>
      <c r="F326" s="496" t="str">
        <f>VLOOKUP(E326,'5.2 Actions'!$A$3:$B$720,2,0)</f>
        <v>Contrôler les conditions d’exploiter des permis d’environnement liés à des activités  utilisant du tétrachloroéthylène (cf. aussi M. 3.3)</v>
      </c>
      <c r="G326" s="496"/>
      <c r="H326" s="498">
        <f>VLOOKUP(E326,'5.2 Actions'!$A$3:$D$720,4,0)</f>
        <v>0</v>
      </c>
      <c r="I326" s="497">
        <v>0</v>
      </c>
    </row>
    <row r="327" spans="1:9" hidden="1" outlineLevel="2" x14ac:dyDescent="0.25">
      <c r="A327" s="114" t="str">
        <f>MID(E327,1,1)</f>
        <v>2</v>
      </c>
      <c r="B327" t="str">
        <f>MID(E327,3,1)</f>
        <v>6</v>
      </c>
      <c r="C327" s="114" t="str">
        <f>MID(E327,5,2)</f>
        <v>3</v>
      </c>
      <c r="D327" s="495" t="s">
        <v>42</v>
      </c>
      <c r="E327" s="495" t="s">
        <v>910</v>
      </c>
      <c r="F327" s="496" t="str">
        <f>VLOOKUP(E327,'5.2 Actions'!$A$3:$B$720,2,0)</f>
        <v>Promouvoir l’usage de substances alternatives au tétrachloroéthylène, pour en réduire l’usage et à terme l’interdire</v>
      </c>
      <c r="G327" s="496"/>
      <c r="H327" s="498">
        <f>VLOOKUP(E327,'5.2 Actions'!$A$3:$D$720,4,0)</f>
        <v>0</v>
      </c>
      <c r="I327" s="497">
        <v>0</v>
      </c>
    </row>
    <row r="328" spans="1:9" ht="30" hidden="1" outlineLevel="2" x14ac:dyDescent="0.25">
      <c r="A328" s="114" t="str">
        <f>MID(E328,1,1)</f>
        <v>2</v>
      </c>
      <c r="B328" t="str">
        <f>MID(E328,3,1)</f>
        <v>6</v>
      </c>
      <c r="C328" s="114" t="str">
        <f>MID(E328,5,2)</f>
        <v>A</v>
      </c>
      <c r="D328" s="495" t="s">
        <v>42</v>
      </c>
      <c r="E328" s="495" t="s">
        <v>911</v>
      </c>
      <c r="F328" s="496" t="str">
        <f>VLOOKUP(E328,'5.2 Actions'!$A$3:$B$720,2,0)</f>
        <v>Identifier les sources de la pollution au tétrachloroéthylène (cf. M.2.1 et M.3.3)</v>
      </c>
      <c r="G328" s="496"/>
      <c r="H328" s="496" t="str">
        <f>VLOOKUP(E328,'5.2 Actions'!$A$3:$D$720,4,0)</f>
        <v>SEN / WOL / CAN</v>
      </c>
      <c r="I328" s="497">
        <v>0</v>
      </c>
    </row>
    <row r="329" spans="1:9" ht="30" hidden="1" outlineLevel="2" x14ac:dyDescent="0.25">
      <c r="A329" s="114" t="str">
        <f>MID(E329,1,1)</f>
        <v>2</v>
      </c>
      <c r="B329" t="str">
        <f>MID(E329,3,1)</f>
        <v>6</v>
      </c>
      <c r="C329" s="114" t="str">
        <f>MID(E329,5,2)</f>
        <v>B</v>
      </c>
      <c r="D329" s="495" t="s">
        <v>42</v>
      </c>
      <c r="E329" s="495" t="s">
        <v>912</v>
      </c>
      <c r="F329" s="496" t="str">
        <f>VLOOKUP(E329,'5.2 Actions'!$A$3:$B$720,2,0)</f>
        <v>Poursuivre l’inventaire de l’état des sols pollués en matière de tétrachloroéthylène et les composés organochlorés volatils et le cartographier (cf. M.2.1 et M.3.3)</v>
      </c>
      <c r="G329" s="496"/>
      <c r="H329" s="496" t="str">
        <f>VLOOKUP(E329,'5.2 Actions'!$A$3:$D$720,4,0)</f>
        <v>SEN / WOL / CAN</v>
      </c>
      <c r="I329" s="497">
        <v>0</v>
      </c>
    </row>
    <row r="330" spans="1:9" s="494" customFormat="1" hidden="1" outlineLevel="1" collapsed="1" x14ac:dyDescent="0.25">
      <c r="D330" s="500" t="s">
        <v>43</v>
      </c>
      <c r="E330" s="500"/>
      <c r="F330" s="501" t="str">
        <f>VLOOKUP(D330,'1. Mesures'!$A$2:$B$116,2,0)</f>
        <v xml:space="preserve">Interdire les rejets directs de polluants dans les masses d’eau souterraine notamment pour l'ammonium et renforcer les contrôles </v>
      </c>
      <c r="G330" s="501"/>
      <c r="H330" s="503"/>
      <c r="I330" s="502">
        <f>SUBTOTAL(9,I331:I337)</f>
        <v>0</v>
      </c>
    </row>
    <row r="331" spans="1:9" ht="30" hidden="1" outlineLevel="2" x14ac:dyDescent="0.25">
      <c r="A331" s="114" t="str">
        <f t="shared" ref="A331:A337" si="72">MID(E331,1,1)</f>
        <v>2</v>
      </c>
      <c r="B331" t="str">
        <f t="shared" ref="B331:B337" si="73">MID(E331,3,1)</f>
        <v>7</v>
      </c>
      <c r="C331" s="114" t="str">
        <f t="shared" ref="C331:C337" si="74">MID(E331,5,2)</f>
        <v>1</v>
      </c>
      <c r="D331" s="495" t="s">
        <v>43</v>
      </c>
      <c r="E331" s="495" t="s">
        <v>913</v>
      </c>
      <c r="F331" s="496" t="str">
        <f>VLOOKUP(E331,'5.2 Actions'!$A$3:$B$720,2,0)</f>
        <v>Contrôler l’absence de rejets directs dans les prises d’eau autorisées, en priorité pour les activités à risque de pollution autorisées et présentes à proximité des prises d’eau</v>
      </c>
      <c r="G331" s="496"/>
      <c r="H331" s="498">
        <f>VLOOKUP(E331,'5.2 Actions'!$A$3:$D$720,4,0)</f>
        <v>0</v>
      </c>
      <c r="I331" s="497">
        <v>0</v>
      </c>
    </row>
    <row r="332" spans="1:9" ht="30" hidden="1" outlineLevel="2" x14ac:dyDescent="0.25">
      <c r="A332" s="114" t="str">
        <f t="shared" si="72"/>
        <v>2</v>
      </c>
      <c r="B332" t="str">
        <f t="shared" si="73"/>
        <v>7</v>
      </c>
      <c r="C332" s="114" t="str">
        <f t="shared" si="74"/>
        <v>2</v>
      </c>
      <c r="D332" s="495" t="s">
        <v>43</v>
      </c>
      <c r="E332" s="495" t="s">
        <v>914</v>
      </c>
      <c r="F332" s="496" t="str">
        <f>VLOOKUP(E332,'5.2 Actions'!$A$3:$B$720,2,0)</f>
        <v>Contrôler la mise en œuvre des conditions imposées dans les permis lors de la réalisation de l’installation de prise d’eau et des piézomètres mis en place pour le suivi de chantiers (imposition d’une hauteur de l’ouvrage, d’une fermeture) et dans le cadre des études de reconnaissance de l’état des sols (M.2.8)</v>
      </c>
      <c r="G332" s="496"/>
      <c r="H332" s="498">
        <f>VLOOKUP(E332,'5.2 Actions'!$A$3:$D$720,4,0)</f>
        <v>0</v>
      </c>
      <c r="I332" s="497">
        <v>0</v>
      </c>
    </row>
    <row r="333" spans="1:9" ht="45" hidden="1" outlineLevel="2" x14ac:dyDescent="0.25">
      <c r="A333" s="114" t="str">
        <f t="shared" si="72"/>
        <v>2</v>
      </c>
      <c r="B333" t="str">
        <f t="shared" si="73"/>
        <v>7</v>
      </c>
      <c r="C333" s="114" t="str">
        <f t="shared" si="74"/>
        <v>3</v>
      </c>
      <c r="D333" s="495" t="s">
        <v>43</v>
      </c>
      <c r="E333" s="495" t="s">
        <v>915</v>
      </c>
      <c r="F333" s="496" t="str">
        <f>VLOOKUP(E333,'5.2 Actions'!$A$3:$B$720,2,0)</f>
        <v>Assurer une gestion appropriée des ouvrages soumis à permis d’environnement en contrôlant le respect des conditions liées à la cessation de l’activité, à savoir le rebouchage de l’ouvrage ou, le cas échéant, l’intégration dans un programme de surveillance tant pour les puits que pour les piézomètres (contrôle via attestation)</v>
      </c>
      <c r="G333" s="496"/>
      <c r="H333" s="498">
        <f>VLOOKUP(E333,'5.2 Actions'!$A$3:$D$720,4,0)</f>
        <v>0</v>
      </c>
      <c r="I333" s="497">
        <v>0</v>
      </c>
    </row>
    <row r="334" spans="1:9" ht="45" hidden="1" outlineLevel="2" x14ac:dyDescent="0.25">
      <c r="A334" s="114" t="str">
        <f t="shared" si="72"/>
        <v>2</v>
      </c>
      <c r="B334" t="str">
        <f t="shared" si="73"/>
        <v>7</v>
      </c>
      <c r="C334" s="114" t="str">
        <f t="shared" si="74"/>
        <v>4</v>
      </c>
      <c r="D334" s="495" t="s">
        <v>43</v>
      </c>
      <c r="E334" s="495" t="s">
        <v>916</v>
      </c>
      <c r="F334" s="496" t="str">
        <f>VLOOKUP(E334,'5.2 Actions'!$A$3:$B$720,2,0)</f>
        <v>Assurer un contrôle approprié des piézomètres mis en place lors d’ études de reconnaissance de l’état des sols dans le cadre de la gestion de l’assainissement des sols pollués, en fin de procédure, imposer et contrôler le rebouchage des piézomètre selon la procédure reprise à l’AR du 8 novembre 2018 – art 11 § 6 3° réglementant les captages dans les eaux souterraines</v>
      </c>
      <c r="G334" s="496"/>
      <c r="H334" s="498">
        <f>VLOOKUP(E334,'5.2 Actions'!$A$3:$D$720,4,0)</f>
        <v>0</v>
      </c>
      <c r="I334" s="497">
        <v>0</v>
      </c>
    </row>
    <row r="335" spans="1:9" ht="30" hidden="1" outlineLevel="2" x14ac:dyDescent="0.25">
      <c r="A335" s="114" t="str">
        <f t="shared" si="72"/>
        <v>2</v>
      </c>
      <c r="B335" t="str">
        <f t="shared" si="73"/>
        <v>7</v>
      </c>
      <c r="C335" s="114" t="str">
        <f t="shared" si="74"/>
        <v>5</v>
      </c>
      <c r="D335" s="495" t="s">
        <v>43</v>
      </c>
      <c r="E335" s="495" t="s">
        <v>917</v>
      </c>
      <c r="F335" s="496" t="str">
        <f>VLOOKUP(E335,'5.2 Actions'!$A$3:$B$720,2,0)</f>
        <v>Etablir un inventaire des ouvrages et des piézomètres dont le permis d’environnement est échu ou non autorisés sur le territoire bruxellois et contraindre leur rebouchage ou le cas échéant l’intégration dans un programme de surveillance</v>
      </c>
      <c r="G335" s="496"/>
      <c r="H335" s="498">
        <f>VLOOKUP(E335,'5.2 Actions'!$A$3:$D$720,4,0)</f>
        <v>0</v>
      </c>
      <c r="I335" s="497">
        <v>50000</v>
      </c>
    </row>
    <row r="336" spans="1:9" hidden="1" outlineLevel="2" x14ac:dyDescent="0.25">
      <c r="A336" s="114" t="str">
        <f t="shared" si="72"/>
        <v>2</v>
      </c>
      <c r="B336" t="str">
        <f t="shared" si="73"/>
        <v>7</v>
      </c>
      <c r="C336" s="114" t="str">
        <f t="shared" si="74"/>
        <v>6</v>
      </c>
      <c r="D336" s="495" t="s">
        <v>43</v>
      </c>
      <c r="E336" s="495" t="s">
        <v>918</v>
      </c>
      <c r="F336" s="496" t="str">
        <f>VLOOKUP(E336,'5.2 Actions'!$A$3:$B$720,2,0)</f>
        <v>Évaluer les incidences particulièrement pour la réinjection d’eau utilisée à des fins géothermiques au sein d’une même masse d’eau</v>
      </c>
      <c r="G336" s="496"/>
      <c r="H336" s="498">
        <f>VLOOKUP(E336,'5.2 Actions'!$A$3:$D$720,4,0)</f>
        <v>0</v>
      </c>
      <c r="I336" s="497">
        <v>50000</v>
      </c>
    </row>
    <row r="337" spans="1:9" ht="45" hidden="1" outlineLevel="2" x14ac:dyDescent="0.25">
      <c r="A337" s="114" t="str">
        <f t="shared" si="72"/>
        <v>2</v>
      </c>
      <c r="B337" t="str">
        <f t="shared" si="73"/>
        <v>7</v>
      </c>
      <c r="C337" s="114" t="str">
        <f t="shared" si="74"/>
        <v>A</v>
      </c>
      <c r="D337" s="495" t="s">
        <v>43</v>
      </c>
      <c r="E337" s="495" t="s">
        <v>919</v>
      </c>
      <c r="F337" s="496" t="str">
        <f>VLOOKUP(E337,'5.2 Actions'!$A$3:$B$720,2,0)</f>
        <v>Contrôler l’application de l’interdiction d’usages des pesticides dans les zones à risque accrus délimités dans l’ordonnance du 20 juin 2013 relative à l’utilisation des pesticides compatible avec le développement durable, en particulier dans les zones de protection des zones de prises d’eau des installation de captages en activité ou non</v>
      </c>
      <c r="G337" s="496"/>
      <c r="H337" s="498">
        <f>VLOOKUP(E337,'5.2 Actions'!$A$3:$D$720,4,0)</f>
        <v>0</v>
      </c>
      <c r="I337" s="497">
        <v>0</v>
      </c>
    </row>
    <row r="338" spans="1:9" s="494" customFormat="1" hidden="1" outlineLevel="1" collapsed="1" x14ac:dyDescent="0.25">
      <c r="D338" s="500" t="s">
        <v>44</v>
      </c>
      <c r="E338" s="500"/>
      <c r="F338" s="501" t="str">
        <f>VLOOKUP(D338,'1. Mesures'!$A$2:$B$116,2,0)</f>
        <v>Limiter l’impact des sols pollués sur les eaux souterraines</v>
      </c>
      <c r="G338" s="501"/>
      <c r="H338" s="503"/>
      <c r="I338" s="502">
        <f>SUBTOTAL(9,I339:I341)</f>
        <v>0</v>
      </c>
    </row>
    <row r="339" spans="1:9" hidden="1" outlineLevel="2" x14ac:dyDescent="0.25">
      <c r="A339" s="114" t="str">
        <f>MID(E339,1,1)</f>
        <v>2</v>
      </c>
      <c r="B339" t="str">
        <f>MID(E339,3,1)</f>
        <v>8</v>
      </c>
      <c r="C339" s="114" t="str">
        <f>MID(E339,5,2)</f>
        <v>1</v>
      </c>
      <c r="D339" s="495" t="s">
        <v>44</v>
      </c>
      <c r="E339" s="495" t="s">
        <v>920</v>
      </c>
      <c r="F339" s="496" t="str">
        <f>VLOOKUP(E339,'5.2 Actions'!$A$3:$B$720,2,0)</f>
        <v>Poursuivre la gestion et l’assainissement des sols pollués</v>
      </c>
      <c r="G339" s="496"/>
      <c r="H339" s="498">
        <f>VLOOKUP(E339,'5.2 Actions'!$A$3:$D$720,4,0)</f>
        <v>0</v>
      </c>
      <c r="I339" s="497">
        <v>0</v>
      </c>
    </row>
    <row r="340" spans="1:9" ht="30" hidden="1" outlineLevel="2" x14ac:dyDescent="0.25">
      <c r="A340" s="114" t="str">
        <f>MID(E340,1,1)</f>
        <v>2</v>
      </c>
      <c r="B340" t="str">
        <f>MID(E340,3,1)</f>
        <v>8</v>
      </c>
      <c r="C340" s="114" t="str">
        <f>MID(E340,5,2)</f>
        <v>2</v>
      </c>
      <c r="D340" s="495" t="s">
        <v>44</v>
      </c>
      <c r="E340" s="495" t="s">
        <v>921</v>
      </c>
      <c r="F340" s="496" t="str">
        <f>VLOOKUP(E340,'5.2 Actions'!$A$3:$B$720,2,0)</f>
        <v>Evaluer la pertinence de revoir les normes d’intervention de façon à l’adapter aux paramètres problématiques pour les masses d’eau souterraines, en lien avec la DCE</v>
      </c>
      <c r="G340" s="496"/>
      <c r="H340" s="498">
        <f>VLOOKUP(E340,'5.2 Actions'!$A$3:$D$720,4,0)</f>
        <v>0</v>
      </c>
      <c r="I340" s="497">
        <v>0</v>
      </c>
    </row>
    <row r="341" spans="1:9" ht="30" hidden="1" outlineLevel="2" x14ac:dyDescent="0.25">
      <c r="A341" s="114" t="str">
        <f>MID(E341,1,1)</f>
        <v>2</v>
      </c>
      <c r="B341" t="str">
        <f>MID(E341,3,1)</f>
        <v>8</v>
      </c>
      <c r="C341" s="114" t="str">
        <f>MID(E341,5,2)</f>
        <v>A</v>
      </c>
      <c r="D341" s="495" t="s">
        <v>44</v>
      </c>
      <c r="E341" s="495" t="s">
        <v>922</v>
      </c>
      <c r="F341" s="496" t="str">
        <f>VLOOKUP(E341,'5.2 Actions'!$A$3:$B$720,2,0)</f>
        <v>Assurer un contrôle approprié des piézomètres mis en place lors des études de reconnaissance de l’état des sols et suivi de leur assainissement ; imposer et contrôler en fin de procédure le rebouchage des piézomètres (cf M 2.7)</v>
      </c>
      <c r="G341" s="496"/>
      <c r="H341" s="498">
        <f>VLOOKUP(E341,'5.2 Actions'!$A$3:$D$720,4,0)</f>
        <v>0</v>
      </c>
      <c r="I341" s="497">
        <v>0</v>
      </c>
    </row>
    <row r="342" spans="1:9" s="494" customFormat="1" hidden="1" outlineLevel="1" collapsed="1" x14ac:dyDescent="0.25">
      <c r="D342" s="500" t="s">
        <v>45</v>
      </c>
      <c r="E342" s="500"/>
      <c r="F342" s="501" t="str">
        <f>VLOOKUP(D342,'1. Mesures'!$A$2:$B$116,2,0)</f>
        <v xml:space="preserve">Prévenir et gérer les pollutions accidentelles </v>
      </c>
      <c r="G342" s="501"/>
      <c r="H342" s="503"/>
      <c r="I342" s="502">
        <f>SUBTOTAL(9,I343:I347)</f>
        <v>0</v>
      </c>
    </row>
    <row r="343" spans="1:9" ht="30" hidden="1" outlineLevel="2" x14ac:dyDescent="0.25">
      <c r="A343" s="114" t="str">
        <f>MID(E343,1,1)</f>
        <v>2</v>
      </c>
      <c r="B343" t="str">
        <f>MID(E343,3,1)</f>
        <v>9</v>
      </c>
      <c r="C343" s="114" t="str">
        <f>MID(E343,5,2)</f>
        <v>1</v>
      </c>
      <c r="D343" s="495" t="s">
        <v>45</v>
      </c>
      <c r="E343" s="495" t="s">
        <v>923</v>
      </c>
      <c r="F343" s="496" t="str">
        <f>VLOOKUP(E343,'5.2 Actions'!$A$3:$B$720,2,0)</f>
        <v>Inventorier les activités critiques autour des zones de protection de captages d’eau, grader les risques, et procéder à des aménagements spécifiques pour les contrer</v>
      </c>
      <c r="G343" s="496"/>
      <c r="H343" s="498">
        <f>VLOOKUP(E343,'5.2 Actions'!$A$3:$D$720,4,0)</f>
        <v>0</v>
      </c>
      <c r="I343" s="497">
        <v>0</v>
      </c>
    </row>
    <row r="344" spans="1:9" hidden="1" outlineLevel="2" x14ac:dyDescent="0.25">
      <c r="A344" s="114" t="str">
        <f>MID(E344,1,1)</f>
        <v>2</v>
      </c>
      <c r="B344" t="str">
        <f>MID(E344,3,1)</f>
        <v>9</v>
      </c>
      <c r="C344" s="114" t="str">
        <f>MID(E344,5,2)</f>
        <v>2</v>
      </c>
      <c r="D344" s="495" t="s">
        <v>45</v>
      </c>
      <c r="E344" s="495" t="s">
        <v>924</v>
      </c>
      <c r="F344" s="496" t="str">
        <f>VLOOKUP(E344,'5.2 Actions'!$A$3:$B$720,2,0)</f>
        <v>Renforcer les conditions d’exploiter des permis d’environnement proches de points critiques</v>
      </c>
      <c r="G344" s="496"/>
      <c r="H344" s="498">
        <f>VLOOKUP(E344,'5.2 Actions'!$A$3:$D$720,4,0)</f>
        <v>0</v>
      </c>
      <c r="I344" s="497">
        <v>0</v>
      </c>
    </row>
    <row r="345" spans="1:9" hidden="1" outlineLevel="2" x14ac:dyDescent="0.25">
      <c r="A345" s="114" t="str">
        <f>MID(E345,1,1)</f>
        <v>2</v>
      </c>
      <c r="B345" t="str">
        <f>MID(E345,3,1)</f>
        <v>9</v>
      </c>
      <c r="C345" s="114" t="str">
        <f>MID(E345,5,2)</f>
        <v>3</v>
      </c>
      <c r="D345" s="495" t="s">
        <v>45</v>
      </c>
      <c r="E345" s="495" t="s">
        <v>925</v>
      </c>
      <c r="F345" s="496" t="str">
        <f>VLOOKUP(E345,'5.2 Actions'!$A$3:$B$720,2,0)</f>
        <v>Contrôler la mise en place des conditions d’exploitation renforcées dans les permis environnement</v>
      </c>
      <c r="G345" s="496"/>
      <c r="H345" s="498">
        <f>VLOOKUP(E345,'5.2 Actions'!$A$3:$D$720,4,0)</f>
        <v>0</v>
      </c>
      <c r="I345" s="497">
        <v>0</v>
      </c>
    </row>
    <row r="346" spans="1:9" hidden="1" outlineLevel="2" x14ac:dyDescent="0.25">
      <c r="A346" s="114" t="str">
        <f>MID(E346,1,1)</f>
        <v>2</v>
      </c>
      <c r="B346" t="str">
        <f>MID(E346,3,1)</f>
        <v>9</v>
      </c>
      <c r="C346" s="114" t="str">
        <f>MID(E346,5,2)</f>
        <v>4</v>
      </c>
      <c r="D346" s="495" t="s">
        <v>45</v>
      </c>
      <c r="E346" s="495" t="s">
        <v>926</v>
      </c>
      <c r="F346" s="496" t="str">
        <f>VLOOKUP(E346,'5.2 Actions'!$A$3:$B$720,2,0)</f>
        <v>Développer un système de signalement de pollution accidentelle à usage de la population vers les acteurs concernés</v>
      </c>
      <c r="G346" s="496"/>
      <c r="H346" s="498">
        <f>VLOOKUP(E346,'5.2 Actions'!$A$3:$D$720,4,0)</f>
        <v>0</v>
      </c>
      <c r="I346" s="497">
        <v>30000</v>
      </c>
    </row>
    <row r="347" spans="1:9" hidden="1" outlineLevel="2" x14ac:dyDescent="0.25">
      <c r="A347" s="114" t="str">
        <f>MID(E347,1,1)</f>
        <v>2</v>
      </c>
      <c r="B347" t="str">
        <f>MID(E347,3,1)</f>
        <v>9</v>
      </c>
      <c r="C347" s="114" t="str">
        <f>MID(E347,5,2)</f>
        <v>5</v>
      </c>
      <c r="D347" s="495" t="s">
        <v>45</v>
      </c>
      <c r="E347" s="495" t="s">
        <v>927</v>
      </c>
      <c r="F347" s="496" t="str">
        <f>VLOOKUP(E347,'5.2 Actions'!$A$3:$B$720,2,0)</f>
        <v>Mettre en place un plan d’intervention d’urgence de gestion de pollution avec tous les acteurs concernés</v>
      </c>
      <c r="G347" s="496"/>
      <c r="H347" s="498">
        <f>VLOOKUP(E347,'5.2 Actions'!$A$3:$D$720,4,0)</f>
        <v>0</v>
      </c>
      <c r="I347" s="497">
        <v>0</v>
      </c>
    </row>
    <row r="348" spans="1:9" s="494" customFormat="1" hidden="1" outlineLevel="1" collapsed="1" x14ac:dyDescent="0.25">
      <c r="D348" s="500" t="s">
        <v>46</v>
      </c>
      <c r="E348" s="500"/>
      <c r="F348" s="501" t="str">
        <f>VLOOKUP(D348,'1. Mesures'!$A$2:$B$116,2,0)</f>
        <v>Poursuivre et améliorer la surveillance quantitative pour caractériser l'état des masses d'eau</v>
      </c>
      <c r="G348" s="501"/>
      <c r="H348" s="503"/>
      <c r="I348" s="502">
        <f>SUBTOTAL(9,I349:I351)</f>
        <v>0</v>
      </c>
    </row>
    <row r="349" spans="1:9" hidden="1" outlineLevel="2" x14ac:dyDescent="0.25">
      <c r="A349" s="114" t="str">
        <f>MID(E349,1,1)</f>
        <v>2</v>
      </c>
      <c r="B349" t="str">
        <f>MID(E349,3,2)</f>
        <v>10</v>
      </c>
      <c r="C349" s="114" t="str">
        <f>MID(E349,6,2)</f>
        <v>1</v>
      </c>
      <c r="D349" s="495" t="s">
        <v>46</v>
      </c>
      <c r="E349" s="495" t="s">
        <v>868</v>
      </c>
      <c r="F349" s="496" t="str">
        <f>VLOOKUP(E349,'5.2 Actions'!$A$3:$B$720,2,0)</f>
        <v>Poursuivre la surveillance quantitative (piézomètres et sources pérennes)</v>
      </c>
      <c r="G349" s="496"/>
      <c r="H349" s="498">
        <f>VLOOKUP(E349,'5.2 Actions'!$A$3:$D$720,4,0)</f>
        <v>0</v>
      </c>
      <c r="I349" s="497">
        <v>0</v>
      </c>
    </row>
    <row r="350" spans="1:9" hidden="1" outlineLevel="2" x14ac:dyDescent="0.25">
      <c r="A350" s="114" t="str">
        <f>MID(E350,1,1)</f>
        <v>2</v>
      </c>
      <c r="B350" t="str">
        <f>MID(E350,3,2)</f>
        <v>10</v>
      </c>
      <c r="C350" s="114" t="str">
        <f>MID(E350,6,2)</f>
        <v>2</v>
      </c>
      <c r="D350" s="495" t="s">
        <v>46</v>
      </c>
      <c r="E350" s="495" t="s">
        <v>869</v>
      </c>
      <c r="F350" s="496" t="str">
        <f>VLOOKUP(E350,'5.2 Actions'!$A$3:$B$720,2,0)</f>
        <v>Améliorer la surveillance quantitative, en intégrant de nouveaux sites de surveillance piézométriques au réseau existant</v>
      </c>
      <c r="G350" s="496"/>
      <c r="H350" s="498">
        <f>VLOOKUP(E350,'5.2 Actions'!$A$3:$D$720,4,0)</f>
        <v>0</v>
      </c>
      <c r="I350" s="497">
        <v>150000</v>
      </c>
    </row>
    <row r="351" spans="1:9" hidden="1" outlineLevel="2" x14ac:dyDescent="0.25">
      <c r="A351" s="114" t="str">
        <f>MID(E351,1,1)</f>
        <v>2</v>
      </c>
      <c r="B351" t="str">
        <f>MID(E351,3,2)</f>
        <v>10</v>
      </c>
      <c r="C351" s="114" t="str">
        <f>MID(E351,6,2)</f>
        <v>3</v>
      </c>
      <c r="D351" s="495" t="s">
        <v>46</v>
      </c>
      <c r="E351" s="495" t="s">
        <v>870</v>
      </c>
      <c r="F351" s="496" t="str">
        <f>VLOOKUP(E351,'5.2 Actions'!$A$3:$B$720,2,0)</f>
        <v>Assurer et renforcer la pérennité des sites de surveillance</v>
      </c>
      <c r="G351" s="496"/>
      <c r="H351" s="498">
        <f>VLOOKUP(E351,'5.2 Actions'!$A$3:$D$720,4,0)</f>
        <v>0</v>
      </c>
      <c r="I351" s="497">
        <v>0</v>
      </c>
    </row>
    <row r="352" spans="1:9" s="494" customFormat="1" hidden="1" outlineLevel="1" collapsed="1" x14ac:dyDescent="0.25">
      <c r="D352" s="500" t="s">
        <v>47</v>
      </c>
      <c r="E352" s="500"/>
      <c r="F352" s="501" t="str">
        <f>VLOOKUP(D352,'1. Mesures'!$A$2:$B$116,2,0)</f>
        <v>Modéliser la géologie et l'hydrogéologie du sous-sol bruxellois</v>
      </c>
      <c r="G352" s="501"/>
      <c r="H352" s="503"/>
      <c r="I352" s="502">
        <f>SUBTOTAL(9,I353:I357)</f>
        <v>0</v>
      </c>
    </row>
    <row r="353" spans="1:9" hidden="1" outlineLevel="2" x14ac:dyDescent="0.25">
      <c r="A353" s="114" t="str">
        <f>MID(E353,1,1)</f>
        <v>2</v>
      </c>
      <c r="B353" t="str">
        <f>MID(E353,3,2)</f>
        <v>11</v>
      </c>
      <c r="C353" s="114" t="str">
        <f>MID(E353,6,2)</f>
        <v>1</v>
      </c>
      <c r="D353" s="495" t="s">
        <v>47</v>
      </c>
      <c r="E353" s="495" t="s">
        <v>871</v>
      </c>
      <c r="F353" s="496" t="str">
        <f>VLOOKUP(E353,'5.2 Actions'!$A$3:$B$720,2,0)</f>
        <v>Upgrade BrugeoTool (v2+)</v>
      </c>
      <c r="G353" s="496"/>
      <c r="H353" s="498">
        <f>VLOOKUP(E353,'5.2 Actions'!$A$3:$D$720,4,0)</f>
        <v>0</v>
      </c>
      <c r="I353" s="497">
        <v>60000</v>
      </c>
    </row>
    <row r="354" spans="1:9" hidden="1" outlineLevel="2" x14ac:dyDescent="0.25">
      <c r="A354" s="114" t="str">
        <f>MID(E354,1,1)</f>
        <v>2</v>
      </c>
      <c r="B354" t="str">
        <f>MID(E354,3,2)</f>
        <v>11</v>
      </c>
      <c r="C354" s="114" t="str">
        <f>MID(E354,6,2)</f>
        <v>2</v>
      </c>
      <c r="D354" s="495" t="s">
        <v>47</v>
      </c>
      <c r="E354" s="495" t="s">
        <v>872</v>
      </c>
      <c r="F354" s="496" t="str">
        <f>VLOOKUP(E354,'5.2 Actions'!$A$3:$B$720,2,0)</f>
        <v>Upgrade Brustrati3D (v2+)</v>
      </c>
      <c r="G354" s="496"/>
      <c r="H354" s="498">
        <f>VLOOKUP(E354,'5.2 Actions'!$A$3:$D$720,4,0)</f>
        <v>0</v>
      </c>
      <c r="I354" s="497">
        <v>100000</v>
      </c>
    </row>
    <row r="355" spans="1:9" hidden="1" outlineLevel="2" x14ac:dyDescent="0.25">
      <c r="A355" s="114" t="str">
        <f>MID(E355,1,1)</f>
        <v>2</v>
      </c>
      <c r="B355" t="str">
        <f>MID(E355,3,2)</f>
        <v>11</v>
      </c>
      <c r="C355" s="114" t="str">
        <f>MID(E355,6,2)</f>
        <v>3</v>
      </c>
      <c r="D355" s="495" t="s">
        <v>47</v>
      </c>
      <c r="E355" s="495" t="s">
        <v>873</v>
      </c>
      <c r="F355" s="496" t="str">
        <f>VLOOKUP(E355,'5.2 Actions'!$A$3:$B$720,2,0)</f>
        <v>Upgrade BPSM (v2+)</v>
      </c>
      <c r="G355" s="496"/>
      <c r="H355" s="498">
        <f>VLOOKUP(E355,'5.2 Actions'!$A$3:$D$720,4,0)</f>
        <v>0</v>
      </c>
      <c r="I355" s="497">
        <v>0</v>
      </c>
    </row>
    <row r="356" spans="1:9" hidden="1" outlineLevel="2" x14ac:dyDescent="0.25">
      <c r="A356" s="114" t="str">
        <f>MID(E356,1,1)</f>
        <v>2</v>
      </c>
      <c r="B356" t="str">
        <f>MID(E356,3,2)</f>
        <v>11</v>
      </c>
      <c r="C356" s="114" t="str">
        <f>MID(E356,6,2)</f>
        <v>4</v>
      </c>
      <c r="D356" s="495" t="s">
        <v>47</v>
      </c>
      <c r="E356" s="495" t="s">
        <v>874</v>
      </c>
      <c r="F356" s="496" t="str">
        <f>VLOOKUP(E356,'5.2 Actions'!$A$3:$B$720,2,0)</f>
        <v>Upgrade Hydroland (v2+)</v>
      </c>
      <c r="G356" s="496"/>
      <c r="H356" s="498">
        <f>VLOOKUP(E356,'5.2 Actions'!$A$3:$D$720,4,0)</f>
        <v>0</v>
      </c>
      <c r="I356" s="497">
        <v>0</v>
      </c>
    </row>
    <row r="357" spans="1:9" hidden="1" outlineLevel="2" x14ac:dyDescent="0.25">
      <c r="A357" s="114" t="str">
        <f>MID(E357,1,1)</f>
        <v>2</v>
      </c>
      <c r="B357" t="str">
        <f>MID(E357,3,2)</f>
        <v>11</v>
      </c>
      <c r="C357" s="114" t="str">
        <f>MID(E357,6,2)</f>
        <v>5</v>
      </c>
      <c r="D357" s="495" t="s">
        <v>47</v>
      </c>
      <c r="E357" s="495" t="s">
        <v>875</v>
      </c>
      <c r="F357" s="496" t="str">
        <f>VLOOKUP(E357,'5.2 Actions'!$A$3:$B$720,2,0)</f>
        <v>Simulations prédictives prioritaires (BPSM, Hydroland)</v>
      </c>
      <c r="G357" s="496"/>
      <c r="H357" s="498">
        <f>VLOOKUP(E357,'5.2 Actions'!$A$3:$D$720,4,0)</f>
        <v>0</v>
      </c>
      <c r="I357" s="497">
        <v>0</v>
      </c>
    </row>
    <row r="358" spans="1:9" s="494" customFormat="1" hidden="1" outlineLevel="1" collapsed="1" x14ac:dyDescent="0.25">
      <c r="D358" s="500" t="s">
        <v>48</v>
      </c>
      <c r="E358" s="500"/>
      <c r="F358" s="501" t="str">
        <f>VLOOKUP(D358,'1. Mesures'!$A$2:$B$116,2,0)</f>
        <v>Développer une stratégie de gestion des captages d’eau souterraine</v>
      </c>
      <c r="G358" s="501"/>
      <c r="H358" s="503"/>
      <c r="I358" s="502">
        <f>SUBTOTAL(9,I359:I360)</f>
        <v>0</v>
      </c>
    </row>
    <row r="359" spans="1:9" hidden="1" outlineLevel="2" x14ac:dyDescent="0.25">
      <c r="A359" s="114" t="str">
        <f>MID(E359,1,1)</f>
        <v>2</v>
      </c>
      <c r="B359" t="str">
        <f>MID(E359,3,2)</f>
        <v>12</v>
      </c>
      <c r="C359" s="114" t="str">
        <f>MID(E359,6,2)</f>
        <v>1</v>
      </c>
      <c r="D359" s="495" t="s">
        <v>48</v>
      </c>
      <c r="E359" s="495" t="s">
        <v>876</v>
      </c>
      <c r="F359" s="496" t="str">
        <f>VLOOKUP(E359,'5.2 Actions'!$A$3:$B$720,2,0)</f>
        <v>Développer une stratégie de gestion des captages d’eau souterraine</v>
      </c>
      <c r="G359" s="496"/>
      <c r="H359" s="498">
        <f>VLOOKUP(E359,'5.2 Actions'!$A$3:$D$720,4,0)</f>
        <v>0</v>
      </c>
      <c r="I359" s="497">
        <v>0</v>
      </c>
    </row>
    <row r="360" spans="1:9" hidden="1" outlineLevel="2" x14ac:dyDescent="0.25">
      <c r="A360" s="114" t="str">
        <f>MID(E360,1,1)</f>
        <v>2</v>
      </c>
      <c r="B360" t="str">
        <f>MID(E360,3,2)</f>
        <v>12</v>
      </c>
      <c r="C360" s="114" t="str">
        <f>MID(E360,6,2)</f>
        <v>2</v>
      </c>
      <c r="D360" s="495" t="s">
        <v>48</v>
      </c>
      <c r="E360" s="495" t="s">
        <v>877</v>
      </c>
      <c r="F360" s="496" t="str">
        <f>VLOOKUP(E360,'5.2 Actions'!$A$3:$B$720,2,0)</f>
        <v>Opérationnaliser cette stratégie dans le cadre des futures autorisations de captage et révision d’autorisation.</v>
      </c>
      <c r="G360" s="496"/>
      <c r="H360" s="498">
        <f>VLOOKUP(E360,'5.2 Actions'!$A$3:$D$720,4,0)</f>
        <v>0</v>
      </c>
      <c r="I360" s="497">
        <v>0</v>
      </c>
    </row>
    <row r="361" spans="1:9" s="494" customFormat="1" hidden="1" outlineLevel="1" collapsed="1" x14ac:dyDescent="0.25">
      <c r="D361" s="500" t="s">
        <v>49</v>
      </c>
      <c r="E361" s="500"/>
      <c r="F361" s="501" t="str">
        <f>VLOOKUP(D361,'1. Mesures'!$A$2:$B$116,2,0)</f>
        <v>Gérer les autorisations de captages et en assurer les contrôles</v>
      </c>
      <c r="G361" s="501"/>
      <c r="H361" s="503"/>
      <c r="I361" s="502">
        <f>SUBTOTAL(9,I362:I365)</f>
        <v>0</v>
      </c>
    </row>
    <row r="362" spans="1:9" ht="30" hidden="1" outlineLevel="2" x14ac:dyDescent="0.25">
      <c r="A362" s="114" t="str">
        <f>MID(E362,1,1)</f>
        <v>2</v>
      </c>
      <c r="B362" t="str">
        <f>MID(E362,3,2)</f>
        <v>13</v>
      </c>
      <c r="C362" s="114" t="str">
        <f>MID(E362,6,2)</f>
        <v>1</v>
      </c>
      <c r="D362" s="495" t="s">
        <v>49</v>
      </c>
      <c r="E362" s="495" t="s">
        <v>878</v>
      </c>
      <c r="F362" s="496" t="str">
        <f>VLOOKUP(E362,'5.2 Actions'!$A$3:$B$720,2,0)</f>
        <v>Effectuer un recensement annuel de tous les captages permanents et temporaires existants et dresser un état des lieux des captages actifs, inactifs et hors service</v>
      </c>
      <c r="G362" s="496"/>
      <c r="H362" s="498">
        <f>VLOOKUP(E362,'5.2 Actions'!$A$3:$D$720,4,0)</f>
        <v>0</v>
      </c>
      <c r="I362" s="497">
        <v>0</v>
      </c>
    </row>
    <row r="363" spans="1:9" hidden="1" outlineLevel="2" x14ac:dyDescent="0.25">
      <c r="A363" s="114" t="str">
        <f>MID(E363,1,1)</f>
        <v>2</v>
      </c>
      <c r="B363" t="str">
        <f>MID(E363,3,2)</f>
        <v>13</v>
      </c>
      <c r="C363" s="114" t="str">
        <f>MID(E363,6,2)</f>
        <v>2</v>
      </c>
      <c r="D363" s="495" t="s">
        <v>49</v>
      </c>
      <c r="E363" s="495" t="s">
        <v>879</v>
      </c>
      <c r="F363" s="496" t="str">
        <f>VLOOKUP(E363,'5.2 Actions'!$A$3:$B$720,2,0)</f>
        <v>Tenir à jour la base de données reprenant l’ensemble des données technico-administratives relatives aux captages et à leur autorisation</v>
      </c>
      <c r="G363" s="496"/>
      <c r="H363" s="498">
        <f>VLOOKUP(E363,'5.2 Actions'!$A$3:$D$720,4,0)</f>
        <v>0</v>
      </c>
      <c r="I363" s="497">
        <v>0</v>
      </c>
    </row>
    <row r="364" spans="1:9" ht="45" hidden="1" outlineLevel="2" x14ac:dyDescent="0.25">
      <c r="A364" s="114" t="str">
        <f>MID(E364,1,1)</f>
        <v>2</v>
      </c>
      <c r="B364" t="str">
        <f>MID(E364,3,2)</f>
        <v>13</v>
      </c>
      <c r="C364" s="114" t="str">
        <f>MID(E364,6,2)</f>
        <v>3</v>
      </c>
      <c r="D364" s="495" t="s">
        <v>49</v>
      </c>
      <c r="E364" s="495" t="s">
        <v>880</v>
      </c>
      <c r="F364" s="496" t="str">
        <f>VLOOKUP(E364,'5.2 Actions'!$A$3:$B$720,2,0)</f>
        <v>Evaluer l’application de l’arrêté du Gouvernement de la Région de Bruxelles-Capitale du 8 novembre 2018 règlementant les captages d’eau souterraine et les systèmes géothermiques en circuit ouvert quant à sa mise en œuvre et son efficacité, proposer un agrément des entreprises de forage et faire référence à des conditions de type BATNEEC, le cas échéant.</v>
      </c>
      <c r="G364" s="496"/>
      <c r="H364" s="498">
        <f>VLOOKUP(E364,'5.2 Actions'!$A$3:$D$720,4,0)</f>
        <v>0</v>
      </c>
      <c r="I364" s="497">
        <v>0</v>
      </c>
    </row>
    <row r="365" spans="1:9" hidden="1" outlineLevel="2" x14ac:dyDescent="0.25">
      <c r="A365" s="114" t="str">
        <f>MID(E365,1,1)</f>
        <v>2</v>
      </c>
      <c r="B365" t="str">
        <f>MID(E365,3,2)</f>
        <v>13</v>
      </c>
      <c r="C365" s="114" t="str">
        <f>MID(E365,6,2)</f>
        <v>4</v>
      </c>
      <c r="D365" s="495" t="s">
        <v>49</v>
      </c>
      <c r="E365" s="495" t="s">
        <v>881</v>
      </c>
      <c r="F365" s="496" t="str">
        <f>VLOOKUP(E365,'5.2 Actions'!$A$3:$B$720,2,0)</f>
        <v>Assurer un contrôle spécifique des exploitants de captage, en particulier les captages temporaires (rabattements de nappe)</v>
      </c>
      <c r="G365" s="496"/>
      <c r="H365" s="498">
        <f>VLOOKUP(E365,'5.2 Actions'!$A$3:$D$720,4,0)</f>
        <v>0</v>
      </c>
      <c r="I365" s="497">
        <v>0</v>
      </c>
    </row>
    <row r="366" spans="1:9" s="494" customFormat="1" hidden="1" outlineLevel="1" collapsed="1" x14ac:dyDescent="0.25">
      <c r="D366" s="500" t="s">
        <v>50</v>
      </c>
      <c r="E366" s="500"/>
      <c r="F366" s="501" t="str">
        <f>VLOOKUP(D366,'1. Mesures'!$A$2:$B$116,2,0)</f>
        <v>Veiller au drainage des nappes à l'occasion des travaux de rénovation du réseau d'assainissement public</v>
      </c>
      <c r="G366" s="501"/>
      <c r="H366" s="503"/>
      <c r="I366" s="502">
        <f>SUBTOTAL(9,I367:I368)</f>
        <v>0</v>
      </c>
    </row>
    <row r="367" spans="1:9" ht="30" hidden="1" outlineLevel="2" x14ac:dyDescent="0.25">
      <c r="A367" s="114" t="str">
        <f>MID(E367,1,1)</f>
        <v>2</v>
      </c>
      <c r="B367" t="str">
        <f>MID(E367,3,2)</f>
        <v>14</v>
      </c>
      <c r="C367" s="114" t="str">
        <f>MID(E367,6,2)</f>
        <v>1</v>
      </c>
      <c r="D367" s="495" t="s">
        <v>50</v>
      </c>
      <c r="E367" s="495" t="s">
        <v>882</v>
      </c>
      <c r="F367" s="496" t="str">
        <f>VLOOKUP(E367,'5.2 Actions'!$A$3:$B$720,2,0)</f>
        <v>Assurer la maintenance de la carte des profondeurs de nappe pouvant servir de base pour l’indentification des zones où les collecteurs seraient en contact avec la nappe.</v>
      </c>
      <c r="G367" s="496"/>
      <c r="H367" s="498">
        <f>VLOOKUP(E367,'5.2 Actions'!$A$3:$D$720,4,0)</f>
        <v>0</v>
      </c>
      <c r="I367" s="497">
        <v>0</v>
      </c>
    </row>
    <row r="368" spans="1:9" ht="30" hidden="1" outlineLevel="2" x14ac:dyDescent="0.25">
      <c r="A368" s="114" t="str">
        <f>MID(E368,1,1)</f>
        <v>2</v>
      </c>
      <c r="B368" t="str">
        <f>MID(E368,3,2)</f>
        <v>14</v>
      </c>
      <c r="C368" s="114" t="str">
        <f>MID(E368,6,2)</f>
        <v>2</v>
      </c>
      <c r="D368" s="495" t="s">
        <v>50</v>
      </c>
      <c r="E368" s="495" t="s">
        <v>883</v>
      </c>
      <c r="F368" s="496" t="str">
        <f>VLOOKUP(E368,'5.2 Actions'!$A$3:$B$720,2,0)</f>
        <v>Lors de chantier d’étanchéification d’égout, dans les zones à risque, identifier le risque local de remontée de nappe post-rénovation et étudier la faisabilité de mettre en œuvre, dans le cadre du chantier, dun système de drainage adapté, le cas échéant</v>
      </c>
      <c r="G368" s="496"/>
      <c r="H368" s="498">
        <f>VLOOKUP(E368,'5.2 Actions'!$A$3:$D$720,4,0)</f>
        <v>0</v>
      </c>
      <c r="I368" s="497">
        <v>0</v>
      </c>
    </row>
    <row r="369" spans="1:9" s="494" customFormat="1" hidden="1" outlineLevel="1" collapsed="1" x14ac:dyDescent="0.25">
      <c r="D369" s="500" t="s">
        <v>51</v>
      </c>
      <c r="E369" s="500"/>
      <c r="F369" s="501" t="str">
        <f>VLOOKUP(D369,'1. Mesures'!$A$2:$B$116,2,0)</f>
        <v>Minimiser l'impact des infrastructures souterraines sur l'écoulement des nappes phréatiques</v>
      </c>
      <c r="G369" s="501"/>
      <c r="H369" s="503"/>
      <c r="I369" s="502">
        <f>SUBTOTAL(9,I370:I371)</f>
        <v>0</v>
      </c>
    </row>
    <row r="370" spans="1:9" hidden="1" outlineLevel="2" x14ac:dyDescent="0.25">
      <c r="A370" s="114" t="str">
        <f>MID(E370,1,1)</f>
        <v>2</v>
      </c>
      <c r="B370" t="str">
        <f>MID(E370,3,2)</f>
        <v>15</v>
      </c>
      <c r="C370" s="114" t="str">
        <f>MID(E370,6,2)</f>
        <v>1</v>
      </c>
      <c r="D370" s="495" t="s">
        <v>51</v>
      </c>
      <c r="E370" s="495" t="s">
        <v>884</v>
      </c>
      <c r="F370" s="496" t="str">
        <f>VLOOKUP(E370,'5.2 Actions'!$A$3:$B$720,2,0)</f>
        <v>amélioration continue des cartes de risque d’effet barrage (fonction des upgrades de BPSM)</v>
      </c>
      <c r="G370" s="496"/>
      <c r="H370" s="498">
        <f>VLOOKUP(E370,'5.2 Actions'!$A$3:$D$720,4,0)</f>
        <v>0</v>
      </c>
      <c r="I370" s="497">
        <v>0</v>
      </c>
    </row>
    <row r="371" spans="1:9" hidden="1" outlineLevel="2" x14ac:dyDescent="0.25">
      <c r="A371" s="114" t="str">
        <f>MID(E371,1,1)</f>
        <v>2</v>
      </c>
      <c r="B371" t="str">
        <f>MID(E371,3,2)</f>
        <v>15</v>
      </c>
      <c r="C371" s="114" t="str">
        <f>MID(E371,6,2)</f>
        <v>2</v>
      </c>
      <c r="D371" s="495" t="s">
        <v>51</v>
      </c>
      <c r="E371" s="495" t="s">
        <v>885</v>
      </c>
      <c r="F371" s="496" t="str">
        <f>VLOOKUP(E371,'5.2 Actions'!$A$3:$B$720,2,0)</f>
        <v>amélioration et renforcement de l’analyse du risque d’effet barrage dans le cadre de la procédure d’instruction du permis d’environnement, voire d’urbanisme</v>
      </c>
      <c r="G371" s="496"/>
      <c r="H371" s="498">
        <f>VLOOKUP(E371,'5.2 Actions'!$A$3:$D$720,4,0)</f>
        <v>0</v>
      </c>
      <c r="I371" s="497">
        <v>0</v>
      </c>
    </row>
    <row r="372" spans="1:9" s="494" customFormat="1" hidden="1" outlineLevel="1" collapsed="1" x14ac:dyDescent="0.25">
      <c r="D372" s="500" t="s">
        <v>61</v>
      </c>
      <c r="E372" s="500"/>
      <c r="F372" s="501" t="str">
        <f>VLOOKUP(D372,'1. Mesures'!$A$2:$B$116,2,0)</f>
        <v>Assurer la surveillance qualitative et quantitative des zones de protection de captage et identifier leurs sources potentielles de pollution</v>
      </c>
      <c r="G372" s="501"/>
      <c r="H372" s="503"/>
      <c r="I372" s="502">
        <f>SUBTOTAL(9,I373:I377)</f>
        <v>0</v>
      </c>
    </row>
    <row r="373" spans="1:9" ht="30" hidden="1" outlineLevel="2" x14ac:dyDescent="0.25">
      <c r="A373" s="114" t="str">
        <f>MID(E373,1,1)</f>
        <v>3</v>
      </c>
      <c r="B373" t="str">
        <f>MID(E373,3,1)</f>
        <v>1</v>
      </c>
      <c r="C373" s="114" t="str">
        <f>MID(E373,5,2)</f>
        <v>1</v>
      </c>
      <c r="D373" s="495" t="s">
        <v>61</v>
      </c>
      <c r="E373" s="495" t="s">
        <v>928</v>
      </c>
      <c r="F373" s="496" t="str">
        <f>VLOOKUP(E373,'5.2 Actions'!$A$3:$B$720,2,0)</f>
        <v>Poursuivre la surveillance qualitative et quantitative dans les zones de protection de captages sur les eaux brutes souterraines destinées à la consommation humaine</v>
      </c>
      <c r="G373" s="496"/>
      <c r="H373" s="498">
        <f>VLOOKUP(E373,'5.2 Actions'!$A$3:$D$720,4,0)</f>
        <v>0</v>
      </c>
      <c r="I373" s="497">
        <v>0</v>
      </c>
    </row>
    <row r="374" spans="1:9" hidden="1" outlineLevel="2" x14ac:dyDescent="0.25">
      <c r="A374" s="114" t="str">
        <f>MID(E374,1,1)</f>
        <v>3</v>
      </c>
      <c r="B374" t="str">
        <f>MID(E374,3,1)</f>
        <v>1</v>
      </c>
      <c r="C374" s="114" t="str">
        <f>MID(E374,5,2)</f>
        <v>2</v>
      </c>
      <c r="D374" s="495" t="s">
        <v>61</v>
      </c>
      <c r="E374" s="495" t="s">
        <v>929</v>
      </c>
      <c r="F374" s="496" t="str">
        <f>VLOOKUP(E374,'5.2 Actions'!$A$3:$B$720,2,0)</f>
        <v>Poursuivre la surveillance quantitative dans les zones de protection de captages sur les eaux brutes souterraines destinées à la consommation humaine</v>
      </c>
      <c r="G374" s="496"/>
      <c r="H374" s="498">
        <f>VLOOKUP(E374,'5.2 Actions'!$A$3:$D$720,4,0)</f>
        <v>0</v>
      </c>
      <c r="I374" s="497">
        <v>0</v>
      </c>
    </row>
    <row r="375" spans="1:9" ht="30" hidden="1" outlineLevel="2" x14ac:dyDescent="0.25">
      <c r="A375" s="114" t="str">
        <f>MID(E375,1,1)</f>
        <v>3</v>
      </c>
      <c r="B375" t="str">
        <f>MID(E375,3,1)</f>
        <v>1</v>
      </c>
      <c r="C375" s="114" t="str">
        <f>MID(E375,5,2)</f>
        <v>3</v>
      </c>
      <c r="D375" s="495" t="s">
        <v>61</v>
      </c>
      <c r="E375" s="495" t="s">
        <v>930</v>
      </c>
      <c r="F375" s="496" t="str">
        <f>VLOOKUP(E375,'5.2 Actions'!$A$3:$B$720,2,0)</f>
        <v>Etendre la surveillance qualitative des eaux souterraines brutes destinées à la consommation humaine aux substances polluantes émergentes, aux biocides et aux paramètres repris dans la nouvelle directive « eau potable » (2020/2184/UE)</v>
      </c>
      <c r="G375" s="496"/>
      <c r="H375" s="498">
        <f>VLOOKUP(E375,'5.2 Actions'!$A$3:$D$720,4,0)</f>
        <v>0</v>
      </c>
      <c r="I375" s="497">
        <v>0</v>
      </c>
    </row>
    <row r="376" spans="1:9" ht="30" hidden="1" outlineLevel="2" x14ac:dyDescent="0.25">
      <c r="A376" s="114" t="str">
        <f>MID(E376,1,1)</f>
        <v>3</v>
      </c>
      <c r="B376" t="str">
        <f>MID(E376,3,1)</f>
        <v>1</v>
      </c>
      <c r="C376" s="114" t="str">
        <f>MID(E376,5,2)</f>
        <v>4</v>
      </c>
      <c r="D376" s="495" t="s">
        <v>61</v>
      </c>
      <c r="E376" s="495" t="s">
        <v>931</v>
      </c>
      <c r="F376" s="496" t="str">
        <f>VLOOKUP(E376,'5.2 Actions'!$A$3:$B$720,2,0)</f>
        <v>Evaluer l’état qualitatif de la masse d’eau des Sables du Bruxellien en zone de protection des captages et identifier des tendances globales et individuelles à la hausse pour certains paramètres</v>
      </c>
      <c r="G376" s="496"/>
      <c r="H376" s="498">
        <f>VLOOKUP(E376,'5.2 Actions'!$A$3:$D$720,4,0)</f>
        <v>0</v>
      </c>
      <c r="I376" s="497">
        <v>0</v>
      </c>
    </row>
    <row r="377" spans="1:9" hidden="1" outlineLevel="2" x14ac:dyDescent="0.25">
      <c r="A377" s="114" t="str">
        <f>MID(E377,1,1)</f>
        <v>3</v>
      </c>
      <c r="B377" t="str">
        <f>MID(E377,3,1)</f>
        <v>1</v>
      </c>
      <c r="C377" s="114" t="str">
        <f>MID(E377,5,2)</f>
        <v>A</v>
      </c>
      <c r="D377" s="495" t="s">
        <v>61</v>
      </c>
      <c r="E377" s="495" t="s">
        <v>932</v>
      </c>
      <c r="F377" s="496" t="str">
        <f>VLOOKUP(E377,'5.2 Actions'!$A$3:$B$720,2,0)</f>
        <v>Etablir un inventaire des activités à risques sur base des permis environnement en cours et échus et les contrôler</v>
      </c>
      <c r="G377" s="496"/>
      <c r="H377" s="498">
        <f>VLOOKUP(E377,'5.2 Actions'!$A$3:$D$720,4,0)</f>
        <v>0</v>
      </c>
      <c r="I377" s="497">
        <v>0</v>
      </c>
    </row>
    <row r="378" spans="1:9" s="494" customFormat="1" hidden="1" outlineLevel="1" collapsed="1" x14ac:dyDescent="0.25">
      <c r="D378" s="500" t="s">
        <v>62</v>
      </c>
      <c r="E378" s="500"/>
      <c r="F378" s="501" t="str">
        <f>VLOOKUP(D378,'1. Mesures'!$A$2:$B$116,2,0)</f>
        <v xml:space="preserve">Elaborer et mettre en œuvre un programme spécifique de protection des captages </v>
      </c>
      <c r="G378" s="501"/>
      <c r="H378" s="503"/>
      <c r="I378" s="502">
        <f>SUBTOTAL(9,I379:I384)</f>
        <v>0</v>
      </c>
    </row>
    <row r="379" spans="1:9" ht="45" hidden="1" outlineLevel="2" x14ac:dyDescent="0.25">
      <c r="A379" s="114" t="str">
        <f t="shared" ref="A379:A384" si="75">MID(E379,1,1)</f>
        <v>3</v>
      </c>
      <c r="B379" t="str">
        <f t="shared" ref="B379:B384" si="76">MID(E379,3,1)</f>
        <v>2</v>
      </c>
      <c r="C379" s="114" t="str">
        <f t="shared" ref="C379:C384" si="77">MID(E379,5,2)</f>
        <v>1</v>
      </c>
      <c r="D379" s="495" t="s">
        <v>62</v>
      </c>
      <c r="E379" s="495" t="s">
        <v>933</v>
      </c>
      <c r="F379" s="496" t="str">
        <f>VLOOKUP(E379,'5.2 Actions'!$A$3:$B$720,2,0)</f>
        <v>Elaborer un programme de mesures en vue de protéger les captages d’eau destinée à la consommation humaine intégrant les mesures de restauration de la zone de captage en matière de nitrates et de prévention et de protection globales de façon à éviter la dégradation de la qualité chimique vis-à-vis des autres substances</v>
      </c>
      <c r="G379" s="496"/>
      <c r="H379" s="498">
        <f>VLOOKUP(E379,'5.2 Actions'!$A$3:$D$720,4,0)</f>
        <v>0</v>
      </c>
      <c r="I379" s="497">
        <v>0</v>
      </c>
    </row>
    <row r="380" spans="1:9" ht="30" hidden="1" outlineLevel="2" x14ac:dyDescent="0.25">
      <c r="A380" s="114" t="str">
        <f t="shared" si="75"/>
        <v>3</v>
      </c>
      <c r="B380" t="str">
        <f t="shared" si="76"/>
        <v>2</v>
      </c>
      <c r="C380" s="114" t="str">
        <f t="shared" si="77"/>
        <v>2</v>
      </c>
      <c r="D380" s="495" t="s">
        <v>62</v>
      </c>
      <c r="E380" s="495" t="s">
        <v>934</v>
      </c>
      <c r="F380" s="496" t="str">
        <f>VLOOKUP(E380,'5.2 Actions'!$A$3:$B$720,2,0)</f>
        <v>Poursuivre et renforcer la surveillance préventive et de gestion des risques liés à la contamination malveillante ou accidentelle des eaux souterraines en zone de protection effectuée par les cantonniers de VIVAQUA</v>
      </c>
      <c r="G380" s="496"/>
      <c r="H380" s="498">
        <f>VLOOKUP(E380,'5.2 Actions'!$A$3:$D$720,4,0)</f>
        <v>0</v>
      </c>
      <c r="I380" s="497">
        <v>0</v>
      </c>
    </row>
    <row r="381" spans="1:9" ht="30" hidden="1" outlineLevel="2" x14ac:dyDescent="0.25">
      <c r="A381" s="114" t="str">
        <f t="shared" si="75"/>
        <v>3</v>
      </c>
      <c r="B381" t="str">
        <f t="shared" si="76"/>
        <v>2</v>
      </c>
      <c r="C381" s="114" t="str">
        <f t="shared" si="77"/>
        <v>3</v>
      </c>
      <c r="D381" s="495" t="s">
        <v>62</v>
      </c>
      <c r="E381" s="495" t="s">
        <v>935</v>
      </c>
      <c r="F381" s="496" t="str">
        <f>VLOOKUP(E381,'5.2 Actions'!$A$3:$B$720,2,0)</f>
        <v>Poursuivre et renforcer la sensibilisation des occupants de la zone de captages par la distribution de brochure à l’existence de la zone de captage et à sa protection en matière des risques liés aux pesticides et aux hydrocarbures</v>
      </c>
      <c r="G381" s="496"/>
      <c r="H381" s="498">
        <f>VLOOKUP(E381,'5.2 Actions'!$A$3:$D$720,4,0)</f>
        <v>0</v>
      </c>
      <c r="I381" s="497">
        <v>0</v>
      </c>
    </row>
    <row r="382" spans="1:9" hidden="1" outlineLevel="2" x14ac:dyDescent="0.25">
      <c r="A382" s="114" t="str">
        <f t="shared" si="75"/>
        <v>3</v>
      </c>
      <c r="B382" t="str">
        <f t="shared" si="76"/>
        <v>2</v>
      </c>
      <c r="C382" s="114" t="str">
        <f t="shared" si="77"/>
        <v>4</v>
      </c>
      <c r="D382" s="495" t="s">
        <v>62</v>
      </c>
      <c r="E382" s="495" t="s">
        <v>936</v>
      </c>
      <c r="F382" s="496" t="str">
        <f>VLOOKUP(E382,'5.2 Actions'!$A$3:$B$720,2,0)</f>
        <v>Sensibiliser la population sur la présence de captages d’eaux destinés à la consommation humaine et à sa protection par la pose de panneaux de signalisation</v>
      </c>
      <c r="G382" s="496"/>
      <c r="H382" s="498">
        <f>VLOOKUP(E382,'5.2 Actions'!$A$3:$D$720,4,0)</f>
        <v>0</v>
      </c>
      <c r="I382" s="497">
        <v>0</v>
      </c>
    </row>
    <row r="383" spans="1:9" hidden="1" outlineLevel="2" x14ac:dyDescent="0.25">
      <c r="A383" s="114" t="str">
        <f t="shared" si="75"/>
        <v>3</v>
      </c>
      <c r="B383" t="str">
        <f t="shared" si="76"/>
        <v>2</v>
      </c>
      <c r="C383" s="114" t="str">
        <f t="shared" si="77"/>
        <v>5</v>
      </c>
      <c r="D383" s="495" t="s">
        <v>62</v>
      </c>
      <c r="E383" s="495" t="s">
        <v>937</v>
      </c>
      <c r="F383" s="496" t="str">
        <f>VLOOKUP(E383,'5.2 Actions'!$A$3:$B$720,2,0)</f>
        <v>Renforcer les contrôles pour les réservoirs d’hydrocarbures situés dans la zone de protection III.</v>
      </c>
      <c r="G383" s="496"/>
      <c r="H383" s="498">
        <f>VLOOKUP(E383,'5.2 Actions'!$A$3:$D$720,4,0)</f>
        <v>0</v>
      </c>
      <c r="I383" s="497">
        <v>0</v>
      </c>
    </row>
    <row r="384" spans="1:9" ht="30" hidden="1" outlineLevel="2" x14ac:dyDescent="0.25">
      <c r="A384" s="114" t="str">
        <f t="shared" si="75"/>
        <v>3</v>
      </c>
      <c r="B384" t="str">
        <f t="shared" si="76"/>
        <v>2</v>
      </c>
      <c r="C384" s="114" t="str">
        <f t="shared" si="77"/>
        <v>A</v>
      </c>
      <c r="D384" s="495" t="s">
        <v>62</v>
      </c>
      <c r="E384" s="495" t="s">
        <v>938</v>
      </c>
      <c r="F384" s="496" t="str">
        <f>VLOOKUP(E384,'5.2 Actions'!$A$3:$B$720,2,0)</f>
        <v>Renforcer le contrôle des obligations et interdictions relatives à l’utilisation, le stockage et la manipulation des pesticides dans les zones de protection des captages</v>
      </c>
      <c r="G384" s="496"/>
      <c r="H384" s="498">
        <f>VLOOKUP(E384,'5.2 Actions'!$A$3:$D$720,4,0)</f>
        <v>0</v>
      </c>
      <c r="I384" s="497">
        <v>0</v>
      </c>
    </row>
    <row r="385" spans="1:9" s="494" customFormat="1" ht="28.5" hidden="1" outlineLevel="1" collapsed="1" x14ac:dyDescent="0.25">
      <c r="D385" s="500" t="s">
        <v>63</v>
      </c>
      <c r="E385" s="500"/>
      <c r="F385" s="501" t="str">
        <f>VLOOKUP(D385,'1. Mesures'!$A$2:$B$116,2,0)</f>
        <v>Identifier les sources et causes de pollution par les nitrates dans la zone vulnérable aux nitrates d’origine agricole et prendre des mesures ciblées afin de les éliminer</v>
      </c>
      <c r="G385" s="501"/>
      <c r="H385" s="503"/>
      <c r="I385" s="502">
        <f>SUBTOTAL(9,I386:I388)</f>
        <v>0</v>
      </c>
    </row>
    <row r="386" spans="1:9" hidden="1" outlineLevel="2" x14ac:dyDescent="0.25">
      <c r="A386" s="114" t="str">
        <f>MID(E386,1,1)</f>
        <v>3</v>
      </c>
      <c r="B386" t="str">
        <f>MID(E386,3,1)</f>
        <v>3</v>
      </c>
      <c r="C386" s="114" t="str">
        <f>MID(E386,5,2)</f>
        <v>1</v>
      </c>
      <c r="D386" s="495" t="s">
        <v>63</v>
      </c>
      <c r="E386" s="495" t="s">
        <v>939</v>
      </c>
      <c r="F386" s="496" t="str">
        <f>VLOOKUP(E386,'5.2 Actions'!$A$3:$B$720,2,0)</f>
        <v>Poursuivre la surveillance des eaux souterraines, en ce compris dans la zone vulnérable aux nitrates</v>
      </c>
      <c r="G386" s="496"/>
      <c r="H386" s="498">
        <f>VLOOKUP(E386,'5.2 Actions'!$A$3:$D$720,4,0)</f>
        <v>0</v>
      </c>
      <c r="I386" s="497">
        <v>0</v>
      </c>
    </row>
    <row r="387" spans="1:9" ht="30" hidden="1" outlineLevel="2" x14ac:dyDescent="0.25">
      <c r="A387" s="114" t="str">
        <f>MID(E387,1,1)</f>
        <v>3</v>
      </c>
      <c r="B387" t="str">
        <f>MID(E387,3,1)</f>
        <v>3</v>
      </c>
      <c r="C387" s="114" t="str">
        <f>MID(E387,5,2)</f>
        <v>2</v>
      </c>
      <c r="D387" s="495" t="s">
        <v>63</v>
      </c>
      <c r="E387" s="495" t="s">
        <v>940</v>
      </c>
      <c r="F387" s="496" t="str">
        <f>VLOOKUP(E387,'5.2 Actions'!$A$3:$B$720,2,0)</f>
        <v>Poursuivre la surveillance des composés azotés dans les eaux brutes souterraines prélevées par l’exploitant, VIVAQUA, en application de l’arrêté du Gouvernement du 19 novembre 1998</v>
      </c>
      <c r="G387" s="496"/>
      <c r="H387" s="498">
        <f>VLOOKUP(E387,'5.2 Actions'!$A$3:$D$720,4,0)</f>
        <v>0</v>
      </c>
      <c r="I387" s="497">
        <v>0</v>
      </c>
    </row>
    <row r="388" spans="1:9" hidden="1" outlineLevel="2" x14ac:dyDescent="0.25">
      <c r="A388" s="114" t="str">
        <f>MID(E388,1,1)</f>
        <v>3</v>
      </c>
      <c r="B388" t="str">
        <f>MID(E388,3,1)</f>
        <v>3</v>
      </c>
      <c r="C388" s="114" t="str">
        <f>MID(E388,5,2)</f>
        <v>A</v>
      </c>
      <c r="D388" s="495" t="s">
        <v>63</v>
      </c>
      <c r="E388" s="495" t="s">
        <v>941</v>
      </c>
      <c r="F388" s="496" t="str">
        <f>VLOOKUP(E388,'5.2 Actions'!$A$3:$B$720,2,0)</f>
        <v>Poursuivre et élargir l’identification des sources et cause de pollution nitrique (en lien avec M.2.1) dans la zone vulnérable</v>
      </c>
      <c r="G388" s="496"/>
      <c r="H388" s="498">
        <f>VLOOKUP(E388,'5.2 Actions'!$A$3:$D$720,4,0)</f>
        <v>0</v>
      </c>
      <c r="I388" s="497">
        <v>0</v>
      </c>
    </row>
    <row r="389" spans="1:9" s="494" customFormat="1" ht="28.5" hidden="1" outlineLevel="1" collapsed="1" x14ac:dyDescent="0.25">
      <c r="D389" s="500" t="s">
        <v>64</v>
      </c>
      <c r="E389" s="500"/>
      <c r="F389" s="501" t="str">
        <f>VLOOKUP(D389,'1. Mesures'!$A$2:$B$116,2,0)</f>
        <v>Assurer la surveillance qualitative et quantitative des masses d'eau situées dans les sites Natura 2000 et améliorer la connaissance sur l’interdépendance entre la présence de l’eau et les objectifs de conservation des espèces et habitats qui les composent pour en renforcer la protection</v>
      </c>
      <c r="G389" s="501"/>
      <c r="H389" s="503"/>
      <c r="I389" s="502">
        <f>SUBTOTAL(9,I390:I399)</f>
        <v>0</v>
      </c>
    </row>
    <row r="390" spans="1:9" ht="30" hidden="1" outlineLevel="2" x14ac:dyDescent="0.25">
      <c r="A390" s="114" t="str">
        <f t="shared" ref="A390:A399" si="78">MID(E390,1,1)</f>
        <v>3</v>
      </c>
      <c r="B390" t="str">
        <f t="shared" ref="B390:B399" si="79">MID(E390,3,1)</f>
        <v>4</v>
      </c>
      <c r="C390" s="114" t="str">
        <f t="shared" ref="C390:C399" si="80">MID(E390,5,2)</f>
        <v>1</v>
      </c>
      <c r="D390" s="495" t="s">
        <v>64</v>
      </c>
      <c r="E390" s="495" t="s">
        <v>942</v>
      </c>
      <c r="F390" s="496" t="str">
        <f>VLOOKUP(E390,'5.2 Actions'!$A$3:$B$720,2,0)</f>
        <v>Renforcer et adapter la surveillance des eaux souterraines aux écosystèmes terrestres et aquatiques en interaction hydraulique avec la masse d’eau des sables du Bruxellien,</v>
      </c>
      <c r="G390" s="496"/>
      <c r="H390" s="498">
        <f>VLOOKUP(E390,'5.2 Actions'!$A$3:$D$720,4,0)</f>
        <v>0</v>
      </c>
      <c r="I390" s="497">
        <v>0</v>
      </c>
    </row>
    <row r="391" spans="1:9" ht="30" hidden="1" outlineLevel="2" x14ac:dyDescent="0.25">
      <c r="A391" s="114" t="str">
        <f t="shared" si="78"/>
        <v>3</v>
      </c>
      <c r="B391" t="str">
        <f t="shared" si="79"/>
        <v>4</v>
      </c>
      <c r="C391" s="114" t="str">
        <f t="shared" si="80"/>
        <v>2</v>
      </c>
      <c r="D391" s="495" t="s">
        <v>64</v>
      </c>
      <c r="E391" s="495" t="s">
        <v>943</v>
      </c>
      <c r="F391" s="496" t="str">
        <f>VLOOKUP(E391,'5.2 Actions'!$A$3:$B$720,2,0)</f>
        <v>Poursuivre l’identification des écosystèmes dépendants des eaux souterraines et établir une typologie des interactions eau souterraine, eau de surface et écosystèmes terrestres</v>
      </c>
      <c r="G391" s="496"/>
      <c r="H391" s="498">
        <f>VLOOKUP(E391,'5.2 Actions'!$A$3:$D$720,4,0)</f>
        <v>0</v>
      </c>
      <c r="I391" s="497">
        <v>0</v>
      </c>
    </row>
    <row r="392" spans="1:9" ht="30" hidden="1" outlineLevel="2" x14ac:dyDescent="0.25">
      <c r="A392" s="114" t="str">
        <f t="shared" si="78"/>
        <v>3</v>
      </c>
      <c r="B392" t="str">
        <f t="shared" si="79"/>
        <v>4</v>
      </c>
      <c r="C392" s="114" t="str">
        <f t="shared" si="80"/>
        <v>3</v>
      </c>
      <c r="D392" s="495" t="s">
        <v>64</v>
      </c>
      <c r="E392" s="495" t="s">
        <v>944</v>
      </c>
      <c r="F392" s="496" t="str">
        <f>VLOOKUP(E392,'5.2 Actions'!$A$3:$B$720,2,0)</f>
        <v>Etudier l’impact de variations quantitatives de niveau des eaux souterraines sur les écosystèmes terrestres et caractériser les risques d’altération du bon état de conservation des écosystèmes dépendants</v>
      </c>
      <c r="G392" s="496"/>
      <c r="H392" s="498">
        <f>VLOOKUP(E392,'5.2 Actions'!$A$3:$D$720,4,0)</f>
        <v>0</v>
      </c>
      <c r="I392" s="497">
        <v>0</v>
      </c>
    </row>
    <row r="393" spans="1:9" ht="30" hidden="1" outlineLevel="2" x14ac:dyDescent="0.25">
      <c r="A393" s="114" t="str">
        <f t="shared" si="78"/>
        <v>3</v>
      </c>
      <c r="B393" t="str">
        <f t="shared" si="79"/>
        <v>4</v>
      </c>
      <c r="C393" s="114" t="str">
        <f t="shared" si="80"/>
        <v>4</v>
      </c>
      <c r="D393" s="495" t="s">
        <v>64</v>
      </c>
      <c r="E393" s="495" t="s">
        <v>945</v>
      </c>
      <c r="F393" s="496" t="str">
        <f>VLOOKUP(E393,'5.2 Actions'!$A$3:$B$720,2,0)</f>
        <v>Evaluer le potentiel de migration de polluants des eaux souterraines vers les eaux de surface et écosystèmes aquatiques et terrestres – et inversement – ainsi que leur potentiel d’atténuation.</v>
      </c>
      <c r="G393" s="496"/>
      <c r="H393" s="498">
        <f>VLOOKUP(E393,'5.2 Actions'!$A$3:$D$720,4,0)</f>
        <v>0</v>
      </c>
      <c r="I393" s="497">
        <v>0</v>
      </c>
    </row>
    <row r="394" spans="1:9" hidden="1" outlineLevel="2" x14ac:dyDescent="0.25">
      <c r="A394" s="114" t="str">
        <f t="shared" si="78"/>
        <v>3</v>
      </c>
      <c r="B394" t="str">
        <f t="shared" si="79"/>
        <v>4</v>
      </c>
      <c r="C394" s="114" t="str">
        <f t="shared" si="80"/>
        <v>5</v>
      </c>
      <c r="D394" s="495" t="s">
        <v>64</v>
      </c>
      <c r="E394" s="495" t="s">
        <v>946</v>
      </c>
      <c r="F394" s="496" t="str">
        <f>VLOOKUP(E394,'5.2 Actions'!$A$3:$B$720,2,0)</f>
        <v>Etendre l’identification des écosystèmes dépendants à la masse d’eau du système nord-ouest des sables du Bruxellien et de Tielt</v>
      </c>
      <c r="G394" s="496"/>
      <c r="H394" s="498">
        <f>VLOOKUP(E394,'5.2 Actions'!$A$3:$D$720,4,0)</f>
        <v>0</v>
      </c>
      <c r="I394" s="497">
        <v>0</v>
      </c>
    </row>
    <row r="395" spans="1:9" ht="30" hidden="1" outlineLevel="2" x14ac:dyDescent="0.25">
      <c r="A395" s="114" t="str">
        <f t="shared" si="78"/>
        <v>3</v>
      </c>
      <c r="B395" t="str">
        <f t="shared" si="79"/>
        <v>4</v>
      </c>
      <c r="C395" s="114" t="str">
        <f t="shared" si="80"/>
        <v>6</v>
      </c>
      <c r="D395" s="495" t="s">
        <v>64</v>
      </c>
      <c r="E395" s="495" t="s">
        <v>947</v>
      </c>
      <c r="F395" s="496" t="str">
        <f>VLOOKUP(E395,'5.2 Actions'!$A$3:$B$720,2,0)</f>
        <v>Identifier les pressions exercées par les eaux souterraines dans les zones d’alimentation hydrogéologiques sur les écosystèmes aquatiques et terrestres en matière de nitrates, sulfates et chlorures pour y apporter les mesures adéquates de restauration et de prévention</v>
      </c>
      <c r="G395" s="496"/>
      <c r="H395" s="498">
        <f>VLOOKUP(E395,'5.2 Actions'!$A$3:$D$720,4,0)</f>
        <v>0</v>
      </c>
      <c r="I395" s="497">
        <v>0</v>
      </c>
    </row>
    <row r="396" spans="1:9" ht="30" hidden="1" outlineLevel="2" x14ac:dyDescent="0.25">
      <c r="A396" s="114" t="str">
        <f t="shared" si="78"/>
        <v>3</v>
      </c>
      <c r="B396" t="str">
        <f t="shared" si="79"/>
        <v>4</v>
      </c>
      <c r="C396" s="114" t="str">
        <f t="shared" si="80"/>
        <v>7</v>
      </c>
      <c r="D396" s="495" t="s">
        <v>64</v>
      </c>
      <c r="E396" s="495" t="s">
        <v>948</v>
      </c>
      <c r="F396" s="496" t="str">
        <f>VLOOKUP(E396,'5.2 Actions'!$A$3:$B$720,2,0)</f>
        <v>Mettre en œuvre les mesures de restauration de la qualité des écosystèmes terrestres dépendants de l’eau souterraine et/ou aquatiques en matière de nitrates, sulfates, ammonium, chlorures pour les habitats Natura 2000 au travers des plans de gestion ‘Natura 2000’</v>
      </c>
      <c r="G396" s="496"/>
      <c r="H396" s="498">
        <f>VLOOKUP(E396,'5.2 Actions'!$A$3:$D$720,4,0)</f>
        <v>0</v>
      </c>
      <c r="I396" s="497">
        <v>0</v>
      </c>
    </row>
    <row r="397" spans="1:9" ht="30" hidden="1" outlineLevel="2" x14ac:dyDescent="0.25">
      <c r="A397" s="114" t="str">
        <f t="shared" si="78"/>
        <v>3</v>
      </c>
      <c r="B397" t="str">
        <f t="shared" si="79"/>
        <v>4</v>
      </c>
      <c r="C397" s="114" t="str">
        <f t="shared" si="80"/>
        <v>A</v>
      </c>
      <c r="D397" s="495" t="s">
        <v>64</v>
      </c>
      <c r="E397" s="495" t="s">
        <v>949</v>
      </c>
      <c r="F397" s="496" t="str">
        <f>VLOOKUP(E397,'5.2 Actions'!$A$3:$B$720,2,0)</f>
        <v>Poursuivre le réseau de surveillance et opérationnel des monitorings physico-chimique et chimique de la colonne d’eau, du biote, des sédiments et de la biologie pour la Woluwe (M1.21)</v>
      </c>
      <c r="G397" s="496"/>
      <c r="H397" s="498">
        <f>VLOOKUP(E397,'5.2 Actions'!$A$3:$D$720,4,0)</f>
        <v>0</v>
      </c>
      <c r="I397" s="497">
        <v>0</v>
      </c>
    </row>
    <row r="398" spans="1:9" hidden="1" outlineLevel="2" x14ac:dyDescent="0.25">
      <c r="A398" s="114" t="str">
        <f t="shared" si="78"/>
        <v>3</v>
      </c>
      <c r="B398" t="str">
        <f t="shared" si="79"/>
        <v>4</v>
      </c>
      <c r="C398" s="114" t="str">
        <f t="shared" si="80"/>
        <v>B</v>
      </c>
      <c r="D398" s="495" t="s">
        <v>64</v>
      </c>
      <c r="E398" s="495" t="s">
        <v>950</v>
      </c>
      <c r="F398" s="496" t="str">
        <f>VLOOKUP(E398,'5.2 Actions'!$A$3:$B$720,2,0)</f>
        <v>Identifier les sources des pollutions de la Woluwe (M1.20)</v>
      </c>
      <c r="G398" s="496"/>
      <c r="H398" s="498">
        <f>VLOOKUP(E398,'5.2 Actions'!$A$3:$D$720,4,0)</f>
        <v>0</v>
      </c>
      <c r="I398" s="497">
        <v>0</v>
      </c>
    </row>
    <row r="399" spans="1:9" ht="30" hidden="1" outlineLevel="2" x14ac:dyDescent="0.25">
      <c r="A399" s="114" t="str">
        <f t="shared" si="78"/>
        <v>3</v>
      </c>
      <c r="B399" t="str">
        <f t="shared" si="79"/>
        <v>4</v>
      </c>
      <c r="C399" s="114" t="str">
        <f t="shared" si="80"/>
        <v>C</v>
      </c>
      <c r="D399" s="495" t="s">
        <v>64</v>
      </c>
      <c r="E399" s="495" t="s">
        <v>951</v>
      </c>
      <c r="F399" s="496" t="str">
        <f>VLOOKUP(E399,'5.2 Actions'!$A$3:$B$720,2,0)</f>
        <v>Affiner le développement des outils de modélisation hydrogéologiques existant BPSM en tenant compte de la présence des écosystèmes aquatiques et terrestres dépendants des eaux souterraines</v>
      </c>
      <c r="G399" s="496"/>
      <c r="H399" s="498">
        <f>VLOOKUP(E399,'5.2 Actions'!$A$3:$D$720,4,0)</f>
        <v>0</v>
      </c>
      <c r="I399" s="497">
        <v>0</v>
      </c>
    </row>
    <row r="400" spans="1:9" s="494" customFormat="1" hidden="1" outlineLevel="1" collapsed="1" x14ac:dyDescent="0.25">
      <c r="D400" s="500" t="s">
        <v>65</v>
      </c>
      <c r="E400" s="500"/>
      <c r="F400" s="501" t="str">
        <f>VLOOKUP(D400,'1. Mesures'!$A$2:$B$116,2,0)</f>
        <v>Assurer le traitement des eaux résiduaires urbaines conformément à la directive 91/271/CEE et reprise de l’ensemble des ouvrages d’épuration par le secteur public</v>
      </c>
      <c r="G400" s="501"/>
      <c r="H400" s="503"/>
      <c r="I400" s="502">
        <f>SUBTOTAL(9,I401:I405)</f>
        <v>0</v>
      </c>
    </row>
    <row r="401" spans="1:9" hidden="1" outlineLevel="2" x14ac:dyDescent="0.25">
      <c r="A401" s="114" t="str">
        <f>MID(E401,1,1)</f>
        <v>3</v>
      </c>
      <c r="B401" t="str">
        <f>MID(E401,3,1)</f>
        <v>5</v>
      </c>
      <c r="C401" s="114" t="str">
        <f>MID(E401,5,2)</f>
        <v>1</v>
      </c>
      <c r="D401" s="495" t="s">
        <v>65</v>
      </c>
      <c r="E401" s="495" t="s">
        <v>952</v>
      </c>
      <c r="F401" s="496" t="str">
        <f>VLOOKUP(E401,'5.2 Actions'!$A$3:$B$720,2,0)</f>
        <v>Assurer le traitement tertiaire des deux stations d'épuration situées en Région de Bruxelles-Capitale</v>
      </c>
      <c r="G401" s="496" t="str">
        <f>"ACE"&amp;"-"&amp;VLOOKUP(D401,'6. Mesures_ Budget_ Maximaliste'!$A$4:$C$32,3,0)</f>
        <v>ACE-CV</v>
      </c>
      <c r="H401" s="498" t="str">
        <f>VLOOKUP(E401,'5.2 Actions'!$A$3:$D$720,4,0)</f>
        <v>SEN/WOL</v>
      </c>
      <c r="I401" s="497">
        <v>310800000</v>
      </c>
    </row>
    <row r="402" spans="1:9" hidden="1" outlineLevel="2" x14ac:dyDescent="0.25">
      <c r="A402" s="114" t="str">
        <f>MID(E402,1,1)</f>
        <v>3</v>
      </c>
      <c r="B402" t="str">
        <f>MID(E402,3,1)</f>
        <v>5</v>
      </c>
      <c r="C402" s="114" t="str">
        <f>MID(E402,5,2)</f>
        <v>2</v>
      </c>
      <c r="D402" s="495" t="s">
        <v>65</v>
      </c>
      <c r="E402" s="495" t="s">
        <v>953</v>
      </c>
      <c r="F402" s="496" t="str">
        <f>VLOOKUP(E402,'5.2 Actions'!$A$3:$B$720,2,0)</f>
        <v>Contrôler le respect des performances épuratoires et des normes de déversement des effluents par les STEP collectives régionales</v>
      </c>
      <c r="G402" s="496" t="str">
        <f>"ACE"&amp;"-"&amp;VLOOKUP(D402,'6. Mesures_ Budget_ Maximaliste'!$A$4:$C$32,3,0)</f>
        <v>ACE-CV</v>
      </c>
      <c r="H402" s="498" t="str">
        <f>VLOOKUP(E402,'5.2 Actions'!$A$3:$D$720,4,0)</f>
        <v>SEN/WOL</v>
      </c>
      <c r="I402" s="497">
        <v>0</v>
      </c>
    </row>
    <row r="403" spans="1:9" hidden="1" outlineLevel="2" x14ac:dyDescent="0.25">
      <c r="A403" s="114" t="str">
        <f>MID(E403,1,1)</f>
        <v>3</v>
      </c>
      <c r="B403" t="str">
        <f>MID(E403,3,1)</f>
        <v>5</v>
      </c>
      <c r="C403" s="114" t="str">
        <f>MID(E403,5,2)</f>
        <v>3</v>
      </c>
      <c r="D403" s="495" t="s">
        <v>65</v>
      </c>
      <c r="E403" s="495" t="s">
        <v>954</v>
      </c>
      <c r="F403" s="496" t="str">
        <f>VLOOKUP(E403,'5.2 Actions'!$A$3:$B$720,2,0)</f>
        <v>Contrôler les rejets des stations d’épuration collectives et autonomes au regard des permis d’environnement couvrant chaque installation (cf aussi M 1.12)</v>
      </c>
      <c r="G403" s="496" t="str">
        <f>"ACE"&amp;"-"&amp;VLOOKUP(D403,'6. Mesures_ Budget_ Maximaliste'!$A$4:$C$32,3,0)</f>
        <v>ACE-CV</v>
      </c>
      <c r="H403" s="498">
        <f>VLOOKUP(E403,'5.2 Actions'!$A$3:$D$720,4,0)</f>
        <v>0</v>
      </c>
      <c r="I403" s="497">
        <v>0</v>
      </c>
    </row>
    <row r="404" spans="1:9" hidden="1" outlineLevel="2" x14ac:dyDescent="0.25">
      <c r="A404" s="114" t="str">
        <f>MID(E404,1,1)</f>
        <v>3</v>
      </c>
      <c r="B404" t="str">
        <f>MID(E404,3,1)</f>
        <v>5</v>
      </c>
      <c r="C404" s="114" t="str">
        <f>MID(E404,5,2)</f>
        <v>4</v>
      </c>
      <c r="D404" s="495" t="s">
        <v>65</v>
      </c>
      <c r="E404" s="495" t="s">
        <v>955</v>
      </c>
      <c r="F404" s="496" t="str">
        <f>VLOOKUP(E404,'5.2 Actions'!$A$3:$B$720,2,0)</f>
        <v>Contrôler le bon raccordement des particuliers et entreprises au réseau d'égouttage</v>
      </c>
      <c r="G404" s="496" t="str">
        <f>"ACE"&amp;"-"&amp;VLOOKUP(D404,'6. Mesures_ Budget_ Maximaliste'!$A$4:$C$32,3,0)</f>
        <v>ACE-CV</v>
      </c>
      <c r="H404" s="498">
        <f>VLOOKUP(E404,'5.2 Actions'!$A$3:$D$720,4,0)</f>
        <v>0</v>
      </c>
      <c r="I404" s="497">
        <v>0</v>
      </c>
    </row>
    <row r="405" spans="1:9" ht="30" hidden="1" outlineLevel="2" x14ac:dyDescent="0.25">
      <c r="A405" s="114" t="str">
        <f>MID(E405,1,1)</f>
        <v>3</v>
      </c>
      <c r="B405" t="str">
        <f>MID(E405,3,1)</f>
        <v>5</v>
      </c>
      <c r="C405" s="114" t="str">
        <f>MID(E405,5,2)</f>
        <v>5</v>
      </c>
      <c r="D405" s="495" t="s">
        <v>65</v>
      </c>
      <c r="E405" s="495" t="s">
        <v>956</v>
      </c>
      <c r="F405" s="496" t="str">
        <f>VLOOKUP(E405,'5.2 Actions'!$A$3:$B$720,2,0)</f>
        <v>Imposer l'installation de stations d'épuration individuelles performantes lorsque le raccordement au réseau d'égouttage n'est techniquement et/ou économiquement pas réalisable (cf. M 2.4)</v>
      </c>
      <c r="G405" s="496" t="str">
        <f>"ACE"&amp;"-"&amp;VLOOKUP(D405,'6. Mesures_ Budget_ Maximaliste'!$A$4:$C$32,3,0)</f>
        <v>ACE-CV</v>
      </c>
      <c r="H405" s="498">
        <f>VLOOKUP(E405,'5.2 Actions'!$A$3:$D$720,4,0)</f>
        <v>0</v>
      </c>
      <c r="I405" s="497">
        <v>0</v>
      </c>
    </row>
    <row r="406" spans="1:9" s="494" customFormat="1" ht="28.5" hidden="1" outlineLevel="1" collapsed="1" x14ac:dyDescent="0.25">
      <c r="D406" s="500" t="s">
        <v>66</v>
      </c>
      <c r="E406" s="500"/>
      <c r="F406" s="501" t="str">
        <f>VLOOKUP(D406,'1. Mesures'!$A$2:$B$116,2,0)</f>
        <v>Assurer la surveillance des milieux aquatiques sensibles à l'utilisation des pesticides, en lien avec la bonne application du programme régional de réduction des pesticides</v>
      </c>
      <c r="G406" s="501"/>
      <c r="H406" s="503"/>
      <c r="I406" s="502">
        <f>SUBTOTAL(9,I407:I408)</f>
        <v>0</v>
      </c>
    </row>
    <row r="407" spans="1:9" hidden="1" outlineLevel="2" x14ac:dyDescent="0.25">
      <c r="A407" s="114" t="str">
        <f>MID(E407,1,1)</f>
        <v>3</v>
      </c>
      <c r="B407" t="str">
        <f>MID(E407,3,1)</f>
        <v>6</v>
      </c>
      <c r="C407" s="114" t="str">
        <f>MID(E407,5,2)</f>
        <v>1</v>
      </c>
      <c r="D407" s="495" t="s">
        <v>66</v>
      </c>
      <c r="E407" s="495" t="s">
        <v>957</v>
      </c>
      <c r="F407" s="496" t="str">
        <f>VLOOKUP(E407,'5.2 Actions'!$A$3:$B$720,2,0)</f>
        <v>Assurer la surveillance qualitative des masses d’eau en lien avec les pesticides</v>
      </c>
      <c r="G407" s="496"/>
      <c r="H407" s="498">
        <f>VLOOKUP(E407,'5.2 Actions'!$A$3:$D$720,4,0)</f>
        <v>0</v>
      </c>
      <c r="I407" s="497">
        <v>0</v>
      </c>
    </row>
    <row r="408" spans="1:9" hidden="1" outlineLevel="2" x14ac:dyDescent="0.25">
      <c r="A408" s="114" t="str">
        <f>MID(E408,1,1)</f>
        <v>3</v>
      </c>
      <c r="B408" t="str">
        <f>MID(E408,3,1)</f>
        <v>6</v>
      </c>
      <c r="C408" s="114" t="str">
        <f>MID(E408,5,2)</f>
        <v>2</v>
      </c>
      <c r="D408" s="495" t="s">
        <v>66</v>
      </c>
      <c r="E408" s="495" t="s">
        <v>958</v>
      </c>
      <c r="F408" s="496" t="str">
        <f>VLOOKUP(E408,'5.2 Actions'!$A$3:$B$720,2,0)</f>
        <v>Mettre en œuvre le Programme Régional de Réduction des pesticides</v>
      </c>
      <c r="G408" s="496"/>
      <c r="H408" s="498">
        <f>VLOOKUP(E408,'5.2 Actions'!$A$3:$D$720,4,0)</f>
        <v>0</v>
      </c>
      <c r="I408" s="497">
        <v>0</v>
      </c>
    </row>
    <row r="409" spans="1:9" s="494" customFormat="1" ht="28.5" hidden="1" outlineLevel="1" collapsed="1" x14ac:dyDescent="0.25">
      <c r="D409" s="500" t="s">
        <v>67</v>
      </c>
      <c r="E409" s="500"/>
      <c r="F409" s="501" t="str">
        <f>VLOOKUP(D409,'1. Mesures'!$A$2:$B$116,2,0)</f>
        <v>Assurer le bon potentiel écologique des étangs régionaux afin de leur permettre d’atteindre leurs objectifs et d’exprimer pleinement et durablement leurs services écosystémiques</v>
      </c>
      <c r="G409" s="501"/>
      <c r="H409" s="503"/>
      <c r="I409" s="502">
        <f>SUBTOTAL(9,I410:I430)</f>
        <v>0</v>
      </c>
    </row>
    <row r="410" spans="1:9" hidden="1" outlineLevel="2" x14ac:dyDescent="0.25">
      <c r="A410" s="114" t="str">
        <f t="shared" ref="A410:A430" si="81">MID(E410,1,1)</f>
        <v>3</v>
      </c>
      <c r="B410" t="str">
        <f t="shared" ref="B410:B430" si="82">MID(E410,3,1)</f>
        <v>7</v>
      </c>
      <c r="C410" s="114" t="str">
        <f t="shared" ref="C410:C430" si="83">MID(E410,5,2)</f>
        <v>1</v>
      </c>
      <c r="D410" s="495" t="s">
        <v>67</v>
      </c>
      <c r="E410" s="495" t="s">
        <v>959</v>
      </c>
      <c r="F410" s="496" t="str">
        <f>VLOOKUP(E410,'5.2 Actions'!$A$3:$B$720,2,0)</f>
        <v>Valoriser une zone humide au niveau du grand étang Mellaerts – Etude et Travaux</v>
      </c>
      <c r="G410" s="496"/>
      <c r="H410" s="498">
        <f>VLOOKUP(E410,'5.2 Actions'!$A$3:$D$720,4,0)</f>
        <v>0</v>
      </c>
      <c r="I410" s="497">
        <v>235000</v>
      </c>
    </row>
    <row r="411" spans="1:9" hidden="1" outlineLevel="2" x14ac:dyDescent="0.25">
      <c r="A411" s="114" t="str">
        <f t="shared" si="81"/>
        <v>3</v>
      </c>
      <c r="B411" t="str">
        <f t="shared" si="82"/>
        <v>7</v>
      </c>
      <c r="C411" s="114" t="str">
        <f t="shared" si="83"/>
        <v>2</v>
      </c>
      <c r="D411" s="495" t="s">
        <v>67</v>
      </c>
      <c r="E411" s="495" t="s">
        <v>970</v>
      </c>
      <c r="F411" s="496" t="str">
        <f>VLOOKUP(E411,'5.2 Actions'!$A$3:$B$720,2,0)</f>
        <v>Réaménagement étang Sobieski - Travaux</v>
      </c>
      <c r="G411" s="496"/>
      <c r="H411" s="498">
        <f>VLOOKUP(E411,'5.2 Actions'!$A$3:$D$720,4,0)</f>
        <v>0</v>
      </c>
      <c r="I411" s="497">
        <v>860000</v>
      </c>
    </row>
    <row r="412" spans="1:9" hidden="1" outlineLevel="2" x14ac:dyDescent="0.25">
      <c r="A412" s="114" t="str">
        <f t="shared" si="81"/>
        <v>3</v>
      </c>
      <c r="B412" t="str">
        <f t="shared" si="82"/>
        <v>7</v>
      </c>
      <c r="C412" s="114" t="str">
        <f t="shared" si="83"/>
        <v>3</v>
      </c>
      <c r="D412" s="495" t="s">
        <v>67</v>
      </c>
      <c r="E412" s="495" t="s">
        <v>972</v>
      </c>
      <c r="F412" s="496" t="str">
        <f>VLOOKUP(E412,'5.2 Actions'!$A$3:$B$720,2,0)</f>
        <v>Réhabilitation et assainissement étang Parc Roi Baudouin phase 1 – Etude et Travaux</v>
      </c>
      <c r="G412" s="496"/>
      <c r="H412" s="498">
        <f>VLOOKUP(E412,'5.2 Actions'!$A$3:$D$720,4,0)</f>
        <v>0</v>
      </c>
      <c r="I412" s="497">
        <v>860000</v>
      </c>
    </row>
    <row r="413" spans="1:9" hidden="1" outlineLevel="2" x14ac:dyDescent="0.25">
      <c r="A413" s="114" t="str">
        <f t="shared" si="81"/>
        <v>3</v>
      </c>
      <c r="B413" t="str">
        <f t="shared" si="82"/>
        <v>7</v>
      </c>
      <c r="C413" s="114" t="str">
        <f t="shared" si="83"/>
        <v>4</v>
      </c>
      <c r="D413" s="495" t="s">
        <v>67</v>
      </c>
      <c r="E413" s="495" t="s">
        <v>973</v>
      </c>
      <c r="F413" s="496" t="str">
        <f>VLOOKUP(E413,'5.2 Actions'!$A$3:$B$720,2,0)</f>
        <v>Réhabilitation et assainissement étangs Tournay Solvay – Etude et Travaux</v>
      </c>
      <c r="G413" s="496"/>
      <c r="H413" s="498">
        <f>VLOOKUP(E413,'5.2 Actions'!$A$3:$D$720,4,0)</f>
        <v>0</v>
      </c>
      <c r="I413" s="497">
        <v>1050000</v>
      </c>
    </row>
    <row r="414" spans="1:9" hidden="1" outlineLevel="2" x14ac:dyDescent="0.25">
      <c r="A414" s="114" t="str">
        <f t="shared" si="81"/>
        <v>3</v>
      </c>
      <c r="B414" t="str">
        <f t="shared" si="82"/>
        <v>7</v>
      </c>
      <c r="C414" s="114" t="str">
        <f t="shared" si="83"/>
        <v>5</v>
      </c>
      <c r="D414" s="495" t="s">
        <v>67</v>
      </c>
      <c r="E414" s="495" t="s">
        <v>974</v>
      </c>
      <c r="F414" s="496" t="str">
        <f>VLOOKUP(E414,'5.2 Actions'!$A$3:$B$720,2,0)</f>
        <v>Réhabilitation et assainissement étang Marius Renard – Etude et Travaux</v>
      </c>
      <c r="G414" s="496"/>
      <c r="H414" s="498">
        <f>VLOOKUP(E414,'5.2 Actions'!$A$3:$D$720,4,0)</f>
        <v>0</v>
      </c>
      <c r="I414" s="497">
        <v>1800000</v>
      </c>
    </row>
    <row r="415" spans="1:9" hidden="1" outlineLevel="2" x14ac:dyDescent="0.25">
      <c r="A415" s="114" t="str">
        <f t="shared" si="81"/>
        <v>3</v>
      </c>
      <c r="B415" t="str">
        <f t="shared" si="82"/>
        <v>7</v>
      </c>
      <c r="C415" s="114" t="str">
        <f t="shared" si="83"/>
        <v>6</v>
      </c>
      <c r="D415" s="495" t="s">
        <v>67</v>
      </c>
      <c r="E415" s="495" t="s">
        <v>975</v>
      </c>
      <c r="F415" s="496" t="str">
        <f>VLOOKUP(E415,'5.2 Actions'!$A$3:$B$720,2,0)</f>
        <v>Réhabilitation mare Sauvagère (naturalisation, patrimoine, berge, cascades, ...) – Etude et Travaux</v>
      </c>
      <c r="G415" s="496"/>
      <c r="H415" s="498">
        <f>VLOOKUP(E415,'5.2 Actions'!$A$3:$D$720,4,0)</f>
        <v>0</v>
      </c>
      <c r="I415" s="497">
        <v>300000</v>
      </c>
    </row>
    <row r="416" spans="1:9" hidden="1" outlineLevel="2" x14ac:dyDescent="0.25">
      <c r="A416" s="114" t="str">
        <f t="shared" si="81"/>
        <v>3</v>
      </c>
      <c r="B416" t="str">
        <f t="shared" si="82"/>
        <v>7</v>
      </c>
      <c r="C416" s="114" t="str">
        <f t="shared" si="83"/>
        <v>7</v>
      </c>
      <c r="D416" s="495" t="s">
        <v>67</v>
      </c>
      <c r="E416" s="495" t="s">
        <v>976</v>
      </c>
      <c r="F416" s="496" t="str">
        <f>VLOOKUP(E416,'5.2 Actions'!$A$3:$B$720,2,0)</f>
        <v>Réhabilitation et assainissement étang Ten Reuken - Travaux</v>
      </c>
      <c r="G416" s="496"/>
      <c r="H416" s="498">
        <f>VLOOKUP(E416,'5.2 Actions'!$A$3:$D$720,4,0)</f>
        <v>0</v>
      </c>
      <c r="I416" s="497">
        <v>1000000</v>
      </c>
    </row>
    <row r="417" spans="1:9" hidden="1" outlineLevel="2" x14ac:dyDescent="0.25">
      <c r="A417" s="114" t="str">
        <f t="shared" si="81"/>
        <v>3</v>
      </c>
      <c r="B417" t="str">
        <f t="shared" si="82"/>
        <v>7</v>
      </c>
      <c r="C417" s="114" t="str">
        <f t="shared" si="83"/>
        <v>8</v>
      </c>
      <c r="D417" s="495" t="s">
        <v>67</v>
      </c>
      <c r="E417" s="495" t="s">
        <v>977</v>
      </c>
      <c r="F417" s="496" t="str">
        <f>VLOOKUP(E417,'5.2 Actions'!$A$3:$B$720,2,0)</f>
        <v>Remplacement moine Rouge Cloître Woluwe – Etude et Travaux</v>
      </c>
      <c r="G417" s="496"/>
      <c r="H417" s="498">
        <f>VLOOKUP(E417,'5.2 Actions'!$A$3:$D$720,4,0)</f>
        <v>0</v>
      </c>
      <c r="I417" s="497">
        <v>435000</v>
      </c>
    </row>
    <row r="418" spans="1:9" hidden="1" outlineLevel="2" x14ac:dyDescent="0.25">
      <c r="A418" s="114" t="str">
        <f t="shared" si="81"/>
        <v>3</v>
      </c>
      <c r="B418" t="str">
        <f t="shared" si="82"/>
        <v>7</v>
      </c>
      <c r="C418" s="114" t="str">
        <f t="shared" si="83"/>
        <v>9</v>
      </c>
      <c r="D418" s="495" t="s">
        <v>67</v>
      </c>
      <c r="E418" s="495" t="s">
        <v>978</v>
      </c>
      <c r="F418" s="496" t="str">
        <f>VLOOKUP(E418,'5.2 Actions'!$A$3:$B$720,2,0)</f>
        <v>Aménagement et naturalisation du Marais Wiels – Etude et Travaux</v>
      </c>
      <c r="G418" s="496"/>
      <c r="H418" s="498">
        <f>VLOOKUP(E418,'5.2 Actions'!$A$3:$D$720,4,0)</f>
        <v>0</v>
      </c>
      <c r="I418" s="497">
        <v>1100000</v>
      </c>
    </row>
    <row r="419" spans="1:9" hidden="1" outlineLevel="2" x14ac:dyDescent="0.25">
      <c r="A419" s="114" t="str">
        <f t="shared" si="81"/>
        <v>3</v>
      </c>
      <c r="B419" t="str">
        <f t="shared" si="82"/>
        <v>7</v>
      </c>
      <c r="C419" s="114" t="str">
        <f t="shared" si="83"/>
        <v>10</v>
      </c>
      <c r="D419" s="495" t="s">
        <v>67</v>
      </c>
      <c r="E419" s="495" t="s">
        <v>960</v>
      </c>
      <c r="F419" s="496" t="str">
        <f>VLOOKUP(E419,'5.2 Actions'!$A$3:$B$720,2,0)</f>
        <v>Aménagement et naturalisation de l’étangs Moyen et Mayfair au parc de la Pede (pour la partie baignade, voir également M 6.7) – Etude et Travaux</v>
      </c>
      <c r="G419" s="496"/>
      <c r="H419" s="498">
        <f>VLOOKUP(E419,'5.2 Actions'!$A$3:$D$720,4,0)</f>
        <v>0</v>
      </c>
      <c r="I419" s="497">
        <v>1050000</v>
      </c>
    </row>
    <row r="420" spans="1:9" ht="30" hidden="1" outlineLevel="2" x14ac:dyDescent="0.25">
      <c r="A420" s="114" t="str">
        <f t="shared" si="81"/>
        <v>3</v>
      </c>
      <c r="B420" t="str">
        <f t="shared" si="82"/>
        <v>7</v>
      </c>
      <c r="C420" s="114" t="str">
        <f t="shared" si="83"/>
        <v>11</v>
      </c>
      <c r="D420" s="495" t="s">
        <v>67</v>
      </c>
      <c r="E420" s="495" t="s">
        <v>961</v>
      </c>
      <c r="F420" s="496" t="str">
        <f>VLOOKUP(E420,'5.2 Actions'!$A$3:$B$720,2,0)</f>
        <v>Réaliser une étude pour l’aménagement de berges naturelles aux Etangs Bémel, Long, Denis et Rond du Parc de Woluwe (état actuel : berges en palplanches de bois) tel que prévu dans le Plan de Gestion de site Natura 2000</v>
      </c>
      <c r="G420" s="496"/>
      <c r="H420" s="498">
        <f>VLOOKUP(E420,'5.2 Actions'!$A$3:$D$720,4,0)</f>
        <v>0</v>
      </c>
      <c r="I420" s="497">
        <v>0</v>
      </c>
    </row>
    <row r="421" spans="1:9" ht="30" hidden="1" outlineLevel="2" x14ac:dyDescent="0.25">
      <c r="A421" s="114" t="str">
        <f t="shared" si="81"/>
        <v>3</v>
      </c>
      <c r="B421" t="str">
        <f t="shared" si="82"/>
        <v>7</v>
      </c>
      <c r="C421" s="114" t="str">
        <f t="shared" si="83"/>
        <v>12</v>
      </c>
      <c r="D421" s="495" t="s">
        <v>67</v>
      </c>
      <c r="E421" s="495" t="s">
        <v>962</v>
      </c>
      <c r="F421" s="496" t="str">
        <f>VLOOKUP(E421,'5.2 Actions'!$A$3:$B$720,2,0)</f>
        <v>Aménager des berges naturelles aux Etangs Bémel, Long, Denis et Rond du Parc de Woluwe (état actuel : berges en palplanches de bois) tel que prévu dans le Plan de Gestion de site Natura 2000</v>
      </c>
      <c r="G421" s="496"/>
      <c r="H421" s="498">
        <f>VLOOKUP(E421,'5.2 Actions'!$A$3:$D$720,4,0)</f>
        <v>0</v>
      </c>
      <c r="I421" s="497">
        <v>0</v>
      </c>
    </row>
    <row r="422" spans="1:9" ht="30" hidden="1" outlineLevel="2" x14ac:dyDescent="0.25">
      <c r="A422" s="114" t="str">
        <f t="shared" si="81"/>
        <v>3</v>
      </c>
      <c r="B422" t="str">
        <f t="shared" si="82"/>
        <v>7</v>
      </c>
      <c r="C422" s="114" t="str">
        <f t="shared" si="83"/>
        <v>13</v>
      </c>
      <c r="D422" s="495" t="s">
        <v>67</v>
      </c>
      <c r="E422" s="495" t="s">
        <v>963</v>
      </c>
      <c r="F422" s="496" t="str">
        <f>VLOOKUP(E422,'5.2 Actions'!$A$3:$B$720,2,0)</f>
        <v>Réaliser une étude pour l’aménagement de berges naturelles à l’Etang Grand Mellaerts (état actuel : berges en palplanches en bois) tel que prévu dans le Plan de Gestion de site Natura 2000</v>
      </c>
      <c r="G422" s="496"/>
      <c r="H422" s="498">
        <f>VLOOKUP(E422,'5.2 Actions'!$A$3:$D$720,4,0)</f>
        <v>0</v>
      </c>
      <c r="I422" s="497">
        <v>0</v>
      </c>
    </row>
    <row r="423" spans="1:9" hidden="1" outlineLevel="2" x14ac:dyDescent="0.25">
      <c r="A423" s="114" t="str">
        <f t="shared" si="81"/>
        <v>3</v>
      </c>
      <c r="B423" t="str">
        <f t="shared" si="82"/>
        <v>7</v>
      </c>
      <c r="C423" s="114" t="str">
        <f t="shared" si="83"/>
        <v>14</v>
      </c>
      <c r="D423" s="495" t="s">
        <v>67</v>
      </c>
      <c r="E423" s="495" t="s">
        <v>964</v>
      </c>
      <c r="F423" s="496" t="str">
        <f>VLOOKUP(E423,'5.2 Actions'!$A$3:$B$720,2,0)</f>
        <v>Aménager de berges naturelles à l’Etang Grand Mellaerts (état actuel : berges en palplanches en bois) tel que prévu dans le Plan de Gestion de site Natura 2000</v>
      </c>
      <c r="G423" s="496"/>
      <c r="H423" s="498">
        <f>VLOOKUP(E423,'5.2 Actions'!$A$3:$D$720,4,0)</f>
        <v>0</v>
      </c>
      <c r="I423" s="497">
        <v>0</v>
      </c>
    </row>
    <row r="424" spans="1:9" ht="30" hidden="1" outlineLevel="2" x14ac:dyDescent="0.25">
      <c r="A424" s="114" t="str">
        <f t="shared" si="81"/>
        <v>3</v>
      </c>
      <c r="B424" t="str">
        <f t="shared" si="82"/>
        <v>7</v>
      </c>
      <c r="C424" s="114" t="str">
        <f t="shared" si="83"/>
        <v>15</v>
      </c>
      <c r="D424" s="495" t="s">
        <v>67</v>
      </c>
      <c r="E424" s="495" t="s">
        <v>965</v>
      </c>
      <c r="F424" s="496" t="str">
        <f>VLOOKUP(E424,'5.2 Actions'!$A$3:$B$720,2,0)</f>
        <v>Mener une gestion alternative des étangs, Mise en assec, Culture des vases, Bio-dragage, Installation d’îles flottantes (radeaux végétalisés) (voir également M 1.2 et M 6.2.3).</v>
      </c>
      <c r="G424" s="496"/>
      <c r="H424" s="498">
        <f>VLOOKUP(E424,'5.2 Actions'!$A$3:$D$720,4,0)</f>
        <v>0</v>
      </c>
      <c r="I424" s="497">
        <v>120000</v>
      </c>
    </row>
    <row r="425" spans="1:9" hidden="1" outlineLevel="2" x14ac:dyDescent="0.25">
      <c r="A425" s="114" t="str">
        <f t="shared" si="81"/>
        <v>3</v>
      </c>
      <c r="B425" t="str">
        <f t="shared" si="82"/>
        <v>7</v>
      </c>
      <c r="C425" s="114" t="str">
        <f t="shared" si="83"/>
        <v>16</v>
      </c>
      <c r="D425" s="495" t="s">
        <v>67</v>
      </c>
      <c r="E425" s="495" t="s">
        <v>966</v>
      </c>
      <c r="F425" s="496" t="str">
        <f>VLOOKUP(E425,'5.2 Actions'!$A$3:$B$720,2,0)</f>
        <v>Mener une campagne de mesures des nutriments dans les étangs bruxellois pour initialiser et valider un modèle</v>
      </c>
      <c r="G425" s="496"/>
      <c r="H425" s="498">
        <f>VLOOKUP(E425,'5.2 Actions'!$A$3:$D$720,4,0)</f>
        <v>0</v>
      </c>
      <c r="I425" s="497">
        <v>20000</v>
      </c>
    </row>
    <row r="426" spans="1:9" hidden="1" outlineLevel="2" x14ac:dyDescent="0.25">
      <c r="A426" s="114" t="str">
        <f t="shared" si="81"/>
        <v>3</v>
      </c>
      <c r="B426" t="str">
        <f t="shared" si="82"/>
        <v>7</v>
      </c>
      <c r="C426" s="114" t="str">
        <f t="shared" si="83"/>
        <v>17</v>
      </c>
      <c r="D426" s="495" t="s">
        <v>67</v>
      </c>
      <c r="E426" s="495" t="s">
        <v>967</v>
      </c>
      <c r="F426" s="496" t="str">
        <f>VLOOKUP(E426,'5.2 Actions'!$A$3:$B$720,2,0)</f>
        <v xml:space="preserve">Développer un modèle de prédiction des crises cyanobactéries afin de guider la gestion des étangs </v>
      </c>
      <c r="G426" s="496"/>
      <c r="H426" s="498">
        <f>VLOOKUP(E426,'5.2 Actions'!$A$3:$D$720,4,0)</f>
        <v>0</v>
      </c>
      <c r="I426" s="497">
        <v>89333</v>
      </c>
    </row>
    <row r="427" spans="1:9" hidden="1" outlineLevel="2" x14ac:dyDescent="0.25">
      <c r="A427" s="114" t="str">
        <f t="shared" si="81"/>
        <v>3</v>
      </c>
      <c r="B427" t="str">
        <f t="shared" si="82"/>
        <v>7</v>
      </c>
      <c r="C427" s="114" t="str">
        <f t="shared" si="83"/>
        <v>18</v>
      </c>
      <c r="D427" s="495" t="s">
        <v>67</v>
      </c>
      <c r="E427" s="495" t="s">
        <v>968</v>
      </c>
      <c r="F427" s="496" t="str">
        <f>VLOOKUP(E427,'5.2 Actions'!$A$3:$B$720,2,0)</f>
        <v>Ajuster les niveaux des étangs en fonction des saisons</v>
      </c>
      <c r="G427" s="496"/>
      <c r="H427" s="498">
        <f>VLOOKUP(E427,'5.2 Actions'!$A$3:$D$720,4,0)</f>
        <v>0</v>
      </c>
      <c r="I427" s="497">
        <v>0</v>
      </c>
    </row>
    <row r="428" spans="1:9" hidden="1" outlineLevel="2" x14ac:dyDescent="0.25">
      <c r="A428" s="114" t="str">
        <f t="shared" si="81"/>
        <v>3</v>
      </c>
      <c r="B428" t="str">
        <f t="shared" si="82"/>
        <v>7</v>
      </c>
      <c r="C428" s="114" t="str">
        <f t="shared" si="83"/>
        <v>19</v>
      </c>
      <c r="D428" s="495" t="s">
        <v>67</v>
      </c>
      <c r="E428" s="495" t="s">
        <v>969</v>
      </c>
      <c r="F428" s="496" t="str">
        <f>VLOOKUP(E428,'5.2 Actions'!$A$3:$B$720,2,0)</f>
        <v>Gérer les populations de poissons</v>
      </c>
      <c r="G428" s="496"/>
      <c r="H428" s="498">
        <f>VLOOKUP(E428,'5.2 Actions'!$A$3:$D$720,4,0)</f>
        <v>0</v>
      </c>
      <c r="I428" s="497">
        <v>30000</v>
      </c>
    </row>
    <row r="429" spans="1:9" hidden="1" outlineLevel="2" x14ac:dyDescent="0.25">
      <c r="A429" s="114" t="str">
        <f t="shared" si="81"/>
        <v>3</v>
      </c>
      <c r="B429" t="str">
        <f t="shared" si="82"/>
        <v>7</v>
      </c>
      <c r="C429" s="114" t="str">
        <f t="shared" si="83"/>
        <v>20</v>
      </c>
      <c r="D429" s="495" t="s">
        <v>67</v>
      </c>
      <c r="E429" s="495" t="s">
        <v>971</v>
      </c>
      <c r="F429" s="496" t="str">
        <f>VLOOKUP(E429,'5.2 Actions'!$A$3:$B$720,2,0)</f>
        <v>Mener des campagnes d’information quant à l’interdiction de nourrissage des animaux sauvages (oiseaux, poissons) à proximité des étangs et du Canal</v>
      </c>
      <c r="G429" s="496"/>
      <c r="H429" s="498">
        <f>VLOOKUP(E429,'5.2 Actions'!$A$3:$D$720,4,0)</f>
        <v>0</v>
      </c>
      <c r="I429" s="497">
        <v>0</v>
      </c>
    </row>
    <row r="430" spans="1:9" ht="30" hidden="1" outlineLevel="2" x14ac:dyDescent="0.25">
      <c r="A430" s="114" t="str">
        <f t="shared" si="81"/>
        <v>3</v>
      </c>
      <c r="B430" t="str">
        <f t="shared" si="82"/>
        <v>7</v>
      </c>
      <c r="C430" s="114" t="str">
        <f t="shared" si="83"/>
        <v>A</v>
      </c>
      <c r="D430" s="495" t="s">
        <v>67</v>
      </c>
      <c r="E430" s="495" t="s">
        <v>979</v>
      </c>
      <c r="F430" s="496" t="str">
        <f>VLOOKUP(E430,'5.2 Actions'!$A$3:$B$720,2,0)</f>
        <v>Rendre au réseau hydrographique, y compris les étangs, sa fonction d’exutoire et de zone de débordement naturel, via la reconnexion des eaux claires et la gestion intégrée des eaux pluviales (GiEP), (voir également M 1.27 et 5.4)</v>
      </c>
      <c r="G430" s="496"/>
      <c r="H430" s="498">
        <f>VLOOKUP(E430,'5.2 Actions'!$A$3:$D$720,4,0)</f>
        <v>0</v>
      </c>
      <c r="I430" s="497">
        <v>0</v>
      </c>
    </row>
    <row r="431" spans="1:9" s="494" customFormat="1" hidden="1" outlineLevel="1" collapsed="1" x14ac:dyDescent="0.25">
      <c r="D431" s="500" t="s">
        <v>68</v>
      </c>
      <c r="E431" s="500"/>
      <c r="F431" s="501" t="str">
        <f>VLOOKUP(D431,'1. Mesures'!$A$2:$B$116,2,0)</f>
        <v>Evaluer le mode de facturation du coût du service d'assainissement auprès des entreprises</v>
      </c>
      <c r="G431" s="501"/>
      <c r="H431" s="503"/>
      <c r="I431" s="502">
        <f>SUBTOTAL(9,I432:I435)</f>
        <v>0</v>
      </c>
    </row>
    <row r="432" spans="1:9" hidden="1" outlineLevel="2" x14ac:dyDescent="0.25">
      <c r="A432" s="114" t="str">
        <f>MID(E432,1,1)</f>
        <v>4</v>
      </c>
      <c r="B432" t="str">
        <f>MID(E432,3,1)</f>
        <v>1</v>
      </c>
      <c r="C432" s="114" t="str">
        <f>MID(E432,5,2)</f>
        <v>1</v>
      </c>
      <c r="D432" s="495" t="s">
        <v>68</v>
      </c>
      <c r="E432" s="495" t="s">
        <v>980</v>
      </c>
      <c r="F432" s="496" t="str">
        <f>VLOOKUP(E432,'5.2 Actions'!$A$3:$B$720,2,0)</f>
        <v>Analyse et comparaison des deux approches tarifaires (basée sur le seul volume vs. sur la charge polluante) par rapport au respect du principe Pollueur-Payeur</v>
      </c>
      <c r="G432" s="496"/>
      <c r="H432" s="498">
        <f>VLOOKUP(E432,'5.2 Actions'!$A$3:$D$720,4,0)</f>
        <v>0</v>
      </c>
      <c r="I432" s="497">
        <v>0</v>
      </c>
    </row>
    <row r="433" spans="1:9" hidden="1" outlineLevel="2" x14ac:dyDescent="0.25">
      <c r="A433" s="114" t="str">
        <f>MID(E433,1,1)</f>
        <v>4</v>
      </c>
      <c r="B433" t="str">
        <f>MID(E433,3,1)</f>
        <v>1</v>
      </c>
      <c r="C433" s="114" t="str">
        <f>MID(E433,5,2)</f>
        <v>2</v>
      </c>
      <c r="D433" s="495" t="s">
        <v>68</v>
      </c>
      <c r="E433" s="495" t="s">
        <v>981</v>
      </c>
      <c r="F433" s="496" t="str">
        <f>VLOOKUP(E433,'5.2 Actions'!$A$3:$B$720,2,0)</f>
        <v>Benchmark/analyse des approches mise en place dans les pays européens</v>
      </c>
      <c r="G433" s="496"/>
      <c r="H433" s="498">
        <f>VLOOKUP(E433,'5.2 Actions'!$A$3:$D$720,4,0)</f>
        <v>0</v>
      </c>
      <c r="I433" s="497">
        <v>0</v>
      </c>
    </row>
    <row r="434" spans="1:9" hidden="1" outlineLevel="2" x14ac:dyDescent="0.25">
      <c r="A434" s="114" t="str">
        <f>MID(E434,1,1)</f>
        <v>4</v>
      </c>
      <c r="B434" t="str">
        <f>MID(E434,3,1)</f>
        <v>1</v>
      </c>
      <c r="C434" s="114" t="str">
        <f>MID(E434,5,2)</f>
        <v>3</v>
      </c>
      <c r="D434" s="495" t="s">
        <v>68</v>
      </c>
      <c r="E434" s="495" t="s">
        <v>982</v>
      </c>
      <c r="F434" s="496" t="str">
        <f>VLOOKUP(E434,'5.2 Actions'!$A$3:$B$720,2,0)</f>
        <v>Présentation de nouvelles pistes de réflexion aux parties prenantes et discussion au sein d’un groupe de travail</v>
      </c>
      <c r="G434" s="496"/>
      <c r="H434" s="498">
        <f>VLOOKUP(E434,'5.2 Actions'!$A$3:$D$720,4,0)</f>
        <v>0</v>
      </c>
      <c r="I434" s="497">
        <v>0</v>
      </c>
    </row>
    <row r="435" spans="1:9" hidden="1" outlineLevel="2" x14ac:dyDescent="0.25">
      <c r="A435" s="114" t="str">
        <f>MID(E435,1,1)</f>
        <v>4</v>
      </c>
      <c r="B435" t="str">
        <f>MID(E435,3,1)</f>
        <v>1</v>
      </c>
      <c r="C435" s="114" t="str">
        <f>MID(E435,5,2)</f>
        <v>4</v>
      </c>
      <c r="D435" s="495" t="s">
        <v>68</v>
      </c>
      <c r="E435" s="495" t="s">
        <v>983</v>
      </c>
      <c r="F435" s="496" t="str">
        <f>VLOOKUP(E435,'5.2 Actions'!$A$3:$B$720,2,0)</f>
        <v>Détermination d’une nouvelle modalité de tarification</v>
      </c>
      <c r="G435" s="496"/>
      <c r="H435" s="498">
        <f>VLOOKUP(E435,'5.2 Actions'!$A$3:$D$720,4,0)</f>
        <v>0</v>
      </c>
      <c r="I435" s="497">
        <v>0</v>
      </c>
    </row>
    <row r="436" spans="1:9" s="494" customFormat="1" hidden="1" outlineLevel="1" collapsed="1" x14ac:dyDescent="0.25">
      <c r="D436" s="500" t="s">
        <v>69</v>
      </c>
      <c r="E436" s="500"/>
      <c r="F436" s="501" t="str">
        <f>VLOOKUP(D436,'1. Mesures'!$A$2:$B$116,2,0)</f>
        <v>Calculer la part de la tarification de l'eau liée à l’assainissement des eaux résiduaires urbaines sur base des volumes d'eau effectivement rejetés</v>
      </c>
      <c r="G436" s="501"/>
      <c r="H436" s="503"/>
      <c r="I436" s="502">
        <f>SUBTOTAL(9,I437:I440)</f>
        <v>0</v>
      </c>
    </row>
    <row r="437" spans="1:9" ht="30" hidden="1" outlineLevel="2" x14ac:dyDescent="0.25">
      <c r="A437" s="114" t="str">
        <f>MID(E437,1,1)</f>
        <v>4</v>
      </c>
      <c r="B437" t="str">
        <f>MID(E437,3,1)</f>
        <v>2</v>
      </c>
      <c r="C437" s="114" t="str">
        <f>MID(E437,5,2)</f>
        <v>1</v>
      </c>
      <c r="D437" s="495" t="s">
        <v>69</v>
      </c>
      <c r="E437" s="495" t="s">
        <v>984</v>
      </c>
      <c r="F437" s="496" t="str">
        <f>VLOOKUP(E437,'5.2 Actions'!$A$3:$B$720,2,0)</f>
        <v>Déteriner les coûts liés à l’assainisseent des eaux pluviales et à la lutte contre les inondations supportés par les opérateurs et répercutés sur la facturation en se basant sur leurs données de coptabilité analytique (ventilation des coûts sur les différents étiers des opérateurs)</v>
      </c>
      <c r="G437" s="496"/>
      <c r="H437" s="498">
        <f>VLOOKUP(E437,'5.2 Actions'!$A$3:$D$720,4,0)</f>
        <v>0</v>
      </c>
      <c r="I437" s="497">
        <v>0</v>
      </c>
    </row>
    <row r="438" spans="1:9" ht="30" hidden="1" outlineLevel="2" x14ac:dyDescent="0.25">
      <c r="A438" s="114" t="str">
        <f>MID(E438,1,1)</f>
        <v>4</v>
      </c>
      <c r="B438" t="str">
        <f>MID(E438,3,1)</f>
        <v>2</v>
      </c>
      <c r="C438" s="114" t="str">
        <f>MID(E438,5,2)</f>
        <v>2</v>
      </c>
      <c r="D438" s="495" t="s">
        <v>69</v>
      </c>
      <c r="E438" s="495" t="s">
        <v>985</v>
      </c>
      <c r="F438" s="496" t="str">
        <f>VLOOKUP(E438,'5.2 Actions'!$A$3:$B$720,2,0)</f>
        <v>ener une étude sur la faisabilité de ettre en place de nouveaux écanises de financeent via une analyse coparative de ces différents écanises de financeent à ettre en œuvre dans le cadre de la gestion des eaux pluviales et identifier celui/ceux qui répondraient au ieux aux spécifiés du contexte Bruxellois</v>
      </c>
      <c r="G438" s="496"/>
      <c r="H438" s="498">
        <f>VLOOKUP(E438,'5.2 Actions'!$A$3:$D$720,4,0)</f>
        <v>0</v>
      </c>
      <c r="I438" s="497">
        <v>60000</v>
      </c>
    </row>
    <row r="439" spans="1:9" ht="30" hidden="1" outlineLevel="2" x14ac:dyDescent="0.25">
      <c r="A439" s="114" t="str">
        <f>MID(E439,1,1)</f>
        <v>4</v>
      </c>
      <c r="B439" t="str">
        <f>MID(E439,3,1)</f>
        <v>2</v>
      </c>
      <c r="C439" s="114" t="str">
        <f>MID(E439,5,2)</f>
        <v>3</v>
      </c>
      <c r="D439" s="495" t="s">
        <v>69</v>
      </c>
      <c r="E439" s="495" t="s">
        <v>986</v>
      </c>
      <c r="F439" s="496" t="str">
        <f>VLOOKUP(E439,'5.2 Actions'!$A$3:$B$720,2,0)</f>
        <v>Identifier les odifications d’ordre régleentaire, adinistratif et opérationnel à réaliser aux différentes échelles adinistratives (régionales et counales) pour perettre la ise en œuvre des nouveaux écanises de financeent.</v>
      </c>
      <c r="G439" s="496"/>
      <c r="H439" s="498">
        <f>VLOOKUP(E439,'5.2 Actions'!$A$3:$D$720,4,0)</f>
        <v>0</v>
      </c>
      <c r="I439" s="497">
        <v>0</v>
      </c>
    </row>
    <row r="440" spans="1:9" ht="30" hidden="1" outlineLevel="2" x14ac:dyDescent="0.25">
      <c r="A440" s="114" t="str">
        <f>MID(E440,1,1)</f>
        <v>4</v>
      </c>
      <c r="B440" t="str">
        <f>MID(E440,3,1)</f>
        <v>2</v>
      </c>
      <c r="C440" s="114" t="str">
        <f>MID(E440,5,2)</f>
        <v>4</v>
      </c>
      <c r="D440" s="495" t="s">
        <v>69</v>
      </c>
      <c r="E440" s="495" t="s">
        <v>987</v>
      </c>
      <c r="F440" s="496" t="str">
        <f>VLOOKUP(E440,'5.2 Actions'!$A$3:$B$720,2,0)</f>
        <v>ettre en œuvre toutes les actions nécessaires au déploieent du niveau écanise de financeent et en assurer la bonne counication auprès des différents publics cibles</v>
      </c>
      <c r="G440" s="496"/>
      <c r="H440" s="498">
        <f>VLOOKUP(E440,'5.2 Actions'!$A$3:$D$720,4,0)</f>
        <v>0</v>
      </c>
      <c r="I440" s="497">
        <v>0</v>
      </c>
    </row>
    <row r="441" spans="1:9" s="494" customFormat="1" ht="28.5" hidden="1" outlineLevel="1" collapsed="1" x14ac:dyDescent="0.25">
      <c r="D441" s="500" t="s">
        <v>70</v>
      </c>
      <c r="E441" s="500"/>
      <c r="F441" s="501" t="str">
        <f>VLOOKUP(D441,'1. Mesures'!$A$2:$B$116,2,0)</f>
        <v>Evaluer les coûts environnementaux et pour la ressource des services liés à l’utilisation de l'eau et étudier l'opportunité de les intégrer dans le prix de l’eau</v>
      </c>
      <c r="G441" s="501"/>
      <c r="H441" s="503"/>
      <c r="I441" s="502">
        <f>SUBTOTAL(9,I442:I445)</f>
        <v>0</v>
      </c>
    </row>
    <row r="442" spans="1:9" ht="30" hidden="1" outlineLevel="2" x14ac:dyDescent="0.25">
      <c r="A442" s="114" t="str">
        <f>MID(E442,1,1)</f>
        <v>4</v>
      </c>
      <c r="B442" t="str">
        <f>MID(E442,3,1)</f>
        <v>3</v>
      </c>
      <c r="C442" s="114" t="str">
        <f>MID(E442,5,2)</f>
        <v>1</v>
      </c>
      <c r="D442" s="495" t="s">
        <v>70</v>
      </c>
      <c r="E442" s="495" t="s">
        <v>988</v>
      </c>
      <c r="F442" s="496" t="str">
        <f>VLOOKUP(E442,'5.2 Actions'!$A$3:$B$720,2,0)</f>
        <v>Mener une évaluation monétaire des impacts environnementaux et pour la ressources liés à l’utilisation de l’eau en s’appuyant notamment sur la modélisation WEISS qui inventorie les sources majeures des polluants impactant les masses d’eau en RBC</v>
      </c>
      <c r="G442" s="496"/>
      <c r="H442" s="498">
        <f>VLOOKUP(E442,'5.2 Actions'!$A$3:$D$720,4,0)</f>
        <v>0</v>
      </c>
      <c r="I442" s="497">
        <v>90000</v>
      </c>
    </row>
    <row r="443" spans="1:9" hidden="1" outlineLevel="2" x14ac:dyDescent="0.25">
      <c r="A443" s="114" t="str">
        <f>MID(E443,1,1)</f>
        <v>4</v>
      </c>
      <c r="B443" t="str">
        <f>MID(E443,3,1)</f>
        <v>3</v>
      </c>
      <c r="C443" s="114" t="str">
        <f>MID(E443,5,2)</f>
        <v>2</v>
      </c>
      <c r="D443" s="495" t="s">
        <v>70</v>
      </c>
      <c r="E443" s="495" t="s">
        <v>989</v>
      </c>
      <c r="F443" s="496" t="str">
        <f>VLOOKUP(E443,'5.2 Actions'!$A$3:$B$720,2,0)</f>
        <v>Inventorier et évaluer les mesures de mitigation/prévention des impacts environnementaux à mettre en place</v>
      </c>
      <c r="G443" s="496"/>
      <c r="H443" s="498">
        <f>VLOOKUP(E443,'5.2 Actions'!$A$3:$D$720,4,0)</f>
        <v>0</v>
      </c>
      <c r="I443" s="497">
        <v>0</v>
      </c>
    </row>
    <row r="444" spans="1:9" ht="30" hidden="1" outlineLevel="2" x14ac:dyDescent="0.25">
      <c r="A444" s="114" t="str">
        <f>MID(E444,1,1)</f>
        <v>4</v>
      </c>
      <c r="B444" t="str">
        <f>MID(E444,3,1)</f>
        <v>3</v>
      </c>
      <c r="C444" s="114" t="str">
        <f>MID(E444,5,2)</f>
        <v>3</v>
      </c>
      <c r="D444" s="495" t="s">
        <v>70</v>
      </c>
      <c r="E444" s="495" t="s">
        <v>990</v>
      </c>
      <c r="F444" s="496" t="str">
        <f>VLOOKUP(E444,'5.2 Actions'!$A$3:$B$720,2,0)</f>
        <v>Réaliser une analyse coût-bénéfice visant à prioriser les infrastructures ou les mesures encore à mettre en œuvre pour prévenir /atténuer les impacts environnementaux et influer positivement sur la qualité des masses d’eau</v>
      </c>
      <c r="G444" s="496"/>
      <c r="H444" s="498">
        <f>VLOOKUP(E444,'5.2 Actions'!$A$3:$D$720,4,0)</f>
        <v>0</v>
      </c>
      <c r="I444" s="497">
        <v>0</v>
      </c>
    </row>
    <row r="445" spans="1:9" hidden="1" outlineLevel="2" x14ac:dyDescent="0.25">
      <c r="A445" s="114" t="str">
        <f>MID(E445,1,1)</f>
        <v>4</v>
      </c>
      <c r="B445" t="str">
        <f>MID(E445,3,1)</f>
        <v>3</v>
      </c>
      <c r="C445" s="114" t="str">
        <f>MID(E445,5,2)</f>
        <v>4</v>
      </c>
      <c r="D445" s="495" t="s">
        <v>70</v>
      </c>
      <c r="E445" s="495" t="s">
        <v>991</v>
      </c>
      <c r="F445" s="496" t="str">
        <f>VLOOKUP(E445,'5.2 Actions'!$A$3:$B$720,2,0)</f>
        <v>Intégrer dans la tarification de l’eau les besoins financiers pour la mise en œuvre des infrastructures ou mesures de prévention/mitigation</v>
      </c>
      <c r="G445" s="496"/>
      <c r="H445" s="498">
        <f>VLOOKUP(E445,'5.2 Actions'!$A$3:$D$720,4,0)</f>
        <v>0</v>
      </c>
      <c r="I445" s="497">
        <v>0</v>
      </c>
    </row>
    <row r="446" spans="1:9" s="494" customFormat="1" hidden="1" outlineLevel="1" collapsed="1" x14ac:dyDescent="0.25">
      <c r="D446" s="500" t="s">
        <v>71</v>
      </c>
      <c r="E446" s="500"/>
      <c r="F446" s="501" t="str">
        <f>VLOOKUP(D446,'1. Mesures'!$A$2:$B$116,2,0)</f>
        <v xml:space="preserve">S’assurer du respect du principe de récupération des coûts liés aux services de l'eau tout en maintenant des tarifs socialement abordables </v>
      </c>
      <c r="G446" s="501"/>
      <c r="H446" s="503"/>
      <c r="I446" s="502">
        <f>SUBTOTAL(9,I447:I448)</f>
        <v>0</v>
      </c>
    </row>
    <row r="447" spans="1:9" hidden="1" outlineLevel="2" x14ac:dyDescent="0.25">
      <c r="A447" s="114" t="str">
        <f>MID(E447,1,1)</f>
        <v>4</v>
      </c>
      <c r="B447" t="str">
        <f>MID(E447,3,1)</f>
        <v>4</v>
      </c>
      <c r="C447" s="114" t="str">
        <f>MID(E447,5,2)</f>
        <v>1</v>
      </c>
      <c r="D447" s="495" t="s">
        <v>71</v>
      </c>
      <c r="E447" s="495" t="s">
        <v>992</v>
      </c>
      <c r="F447" s="496" t="str">
        <f>VLOOKUP(E447,'5.2 Actions'!$A$3:$B$720,2,0)</f>
        <v>Fournir annuellement les données relatives aux soldes tarifaires à BE</v>
      </c>
      <c r="G447" s="496"/>
      <c r="H447" s="498">
        <f>VLOOKUP(E447,'5.2 Actions'!$A$3:$D$720,4,0)</f>
        <v>0</v>
      </c>
      <c r="I447" s="497">
        <v>0</v>
      </c>
    </row>
    <row r="448" spans="1:9" hidden="1" outlineLevel="2" x14ac:dyDescent="0.25">
      <c r="A448" s="114" t="str">
        <f>MID(E448,1,1)</f>
        <v>4</v>
      </c>
      <c r="B448" t="str">
        <f>MID(E448,3,1)</f>
        <v>4</v>
      </c>
      <c r="C448" s="114" t="str">
        <f>MID(E448,5,2)</f>
        <v>2</v>
      </c>
      <c r="D448" s="495" t="s">
        <v>71</v>
      </c>
      <c r="E448" s="495" t="s">
        <v>993</v>
      </c>
      <c r="F448" s="496" t="str">
        <f>VLOOKUP(E448,'5.2 Actions'!$A$3:$B$720,2,0)</f>
        <v>Calculer les indicateurs de récupération des coûts nécessaires et assurer le reporting auprès des institutions européennes</v>
      </c>
      <c r="G448" s="496"/>
      <c r="H448" s="498">
        <f>VLOOKUP(E448,'5.2 Actions'!$A$3:$D$720,4,0)</f>
        <v>0</v>
      </c>
      <c r="I448" s="497">
        <v>0</v>
      </c>
    </row>
    <row r="449" spans="1:9" s="494" customFormat="1" hidden="1" outlineLevel="1" collapsed="1" x14ac:dyDescent="0.25">
      <c r="D449" s="500" t="s">
        <v>72</v>
      </c>
      <c r="E449" s="500"/>
      <c r="F449" s="501" t="str">
        <f>VLOOKUP(D449,'1. Mesures'!$A$2:$B$116,2,0)</f>
        <v>Evaluer la mise en place des mesures sociales visant à lutter contre la précarité hydrique</v>
      </c>
      <c r="G449" s="501"/>
      <c r="H449" s="503"/>
      <c r="I449" s="502">
        <f>SUBTOTAL(9,I450:I452)</f>
        <v>0</v>
      </c>
    </row>
    <row r="450" spans="1:9" hidden="1" outlineLevel="2" x14ac:dyDescent="0.25">
      <c r="A450" s="114" t="str">
        <f>MID(E450,1,1)</f>
        <v>4</v>
      </c>
      <c r="B450" t="str">
        <f>MID(E450,3,1)</f>
        <v>5</v>
      </c>
      <c r="C450" s="114" t="str">
        <f>MID(E450,5,2)</f>
        <v>1</v>
      </c>
      <c r="D450" s="495" t="s">
        <v>72</v>
      </c>
      <c r="E450" s="495" t="s">
        <v>994</v>
      </c>
      <c r="F450" s="496" t="str">
        <f>VLOOKUP(E450,'5.2 Actions'!$A$3:$B$720,2,0)</f>
        <v>Elaboration des indicateurs constituant le « tableau de bord PH » permettant d’assurer le suivi de la PH en RBC</v>
      </c>
      <c r="G450" s="496"/>
      <c r="H450" s="498">
        <f>VLOOKUP(E450,'5.2 Actions'!$A$3:$D$720,4,0)</f>
        <v>0</v>
      </c>
      <c r="I450" s="497">
        <v>0</v>
      </c>
    </row>
    <row r="451" spans="1:9" hidden="1" outlineLevel="2" x14ac:dyDescent="0.25">
      <c r="A451" s="114" t="str">
        <f>MID(E451,1,1)</f>
        <v>4</v>
      </c>
      <c r="B451" t="str">
        <f>MID(E451,3,1)</f>
        <v>5</v>
      </c>
      <c r="C451" s="114" t="str">
        <f>MID(E451,5,2)</f>
        <v>2</v>
      </c>
      <c r="D451" s="495" t="s">
        <v>72</v>
      </c>
      <c r="E451" s="495" t="s">
        <v>995</v>
      </c>
      <c r="F451" s="496" t="str">
        <f>VLOOKUP(E451,'5.2 Actions'!$A$3:$B$720,2,0)</f>
        <v>Production des indicateurs</v>
      </c>
      <c r="G451" s="496"/>
      <c r="H451" s="498">
        <f>VLOOKUP(E451,'5.2 Actions'!$A$3:$D$720,4,0)</f>
        <v>0</v>
      </c>
      <c r="I451" s="497">
        <v>0</v>
      </c>
    </row>
    <row r="452" spans="1:9" hidden="1" outlineLevel="2" x14ac:dyDescent="0.25">
      <c r="A452" s="114" t="str">
        <f>MID(E452,1,1)</f>
        <v>4</v>
      </c>
      <c r="B452" t="str">
        <f>MID(E452,3,1)</f>
        <v>5</v>
      </c>
      <c r="C452" s="114" t="str">
        <f>MID(E452,5,2)</f>
        <v>3</v>
      </c>
      <c r="D452" s="495" t="s">
        <v>72</v>
      </c>
      <c r="E452" s="495" t="s">
        <v>996</v>
      </c>
      <c r="F452" s="496" t="str">
        <f>VLOOKUP(E452,'5.2 Actions'!$A$3:$B$720,2,0)</f>
        <v>Consolidation et analyse des indicateurs et élaboration d’un reporting visant à guider l’action du gouvernement</v>
      </c>
      <c r="G452" s="496"/>
      <c r="H452" s="498">
        <f>VLOOKUP(E452,'5.2 Actions'!$A$3:$D$720,4,0)</f>
        <v>0</v>
      </c>
      <c r="I452" s="497">
        <v>120000</v>
      </c>
    </row>
    <row r="453" spans="1:9" s="494" customFormat="1" hidden="1" outlineLevel="1" collapsed="1" x14ac:dyDescent="0.25">
      <c r="D453" s="500" t="s">
        <v>73</v>
      </c>
      <c r="E453" s="500"/>
      <c r="F453" s="501" t="str">
        <f>VLOOKUP(D453,'1. Mesures'!$A$2:$B$116,2,0)</f>
        <v>Evaluer et adapter le mécanisme d'utilisation du Fonds Social Eau</v>
      </c>
      <c r="G453" s="501"/>
      <c r="H453" s="503"/>
      <c r="I453" s="502">
        <f>SUBTOTAL(9,I454:I457)</f>
        <v>0</v>
      </c>
    </row>
    <row r="454" spans="1:9" hidden="1" outlineLevel="2" x14ac:dyDescent="0.25">
      <c r="A454" s="114" t="str">
        <f>MID(E454,1,1)</f>
        <v>4</v>
      </c>
      <c r="B454" t="str">
        <f>MID(E454,3,1)</f>
        <v>6</v>
      </c>
      <c r="C454" s="114" t="str">
        <f>MID(E454,5,2)</f>
        <v>1</v>
      </c>
      <c r="D454" s="495" t="s">
        <v>73</v>
      </c>
      <c r="E454" s="495" t="s">
        <v>997</v>
      </c>
      <c r="F454" s="496" t="str">
        <f>VLOOKUP(E454,'5.2 Actions'!$A$3:$B$720,2,0)</f>
        <v>Réaliser une analyse multicritère permettant d’évaluer l’efficience du fonds quant à l’atteinte des objectifs visés par l’Ordonnance</v>
      </c>
      <c r="G454" s="496"/>
      <c r="H454" s="498">
        <f>VLOOKUP(E454,'5.2 Actions'!$A$3:$D$720,4,0)</f>
        <v>0</v>
      </c>
      <c r="I454" s="497">
        <v>30000</v>
      </c>
    </row>
    <row r="455" spans="1:9" hidden="1" outlineLevel="2" x14ac:dyDescent="0.25">
      <c r="A455" s="114" t="str">
        <f>MID(E455,1,1)</f>
        <v>4</v>
      </c>
      <c r="B455" t="str">
        <f>MID(E455,3,1)</f>
        <v>6</v>
      </c>
      <c r="C455" s="114" t="str">
        <f>MID(E455,5,2)</f>
        <v>2</v>
      </c>
      <c r="D455" s="495" t="s">
        <v>73</v>
      </c>
      <c r="E455" s="495" t="s">
        <v>998</v>
      </c>
      <c r="F455" s="496" t="str">
        <f>VLOOKUP(E455,'5.2 Actions'!$A$3:$B$720,2,0)</f>
        <v>Mettre en place de nouveaux indicateurs permettant de produire une analyse plus fine des usages du fonds à la fois au niveau quantitatif et qualitatif</v>
      </c>
      <c r="G455" s="496"/>
      <c r="H455" s="498">
        <f>VLOOKUP(E455,'5.2 Actions'!$A$3:$D$720,4,0)</f>
        <v>0</v>
      </c>
      <c r="I455" s="497">
        <v>0</v>
      </c>
    </row>
    <row r="456" spans="1:9" ht="30" hidden="1" outlineLevel="2" x14ac:dyDescent="0.25">
      <c r="A456" s="114" t="str">
        <f>MID(E456,1,1)</f>
        <v>4</v>
      </c>
      <c r="B456" t="str">
        <f>MID(E456,3,1)</f>
        <v>6</v>
      </c>
      <c r="C456" s="114" t="str">
        <f>MID(E456,5,2)</f>
        <v>3</v>
      </c>
      <c r="D456" s="495" t="s">
        <v>73</v>
      </c>
      <c r="E456" s="495" t="s">
        <v>999</v>
      </c>
      <c r="F456" s="496" t="str">
        <f>VLOOKUP(E456,'5.2 Actions'!$A$3:$B$720,2,0)</f>
        <v>Produire un rapport faisant état de l'adéquation du fonds social de l'eau en regard des missions et des moyens des CPAS, ainsi que de l'objectif visé par l'ordonnance tel que spécifié dans l’arrêté</v>
      </c>
      <c r="G456" s="496"/>
      <c r="H456" s="498">
        <f>VLOOKUP(E456,'5.2 Actions'!$A$3:$D$720,4,0)</f>
        <v>0</v>
      </c>
      <c r="I456" s="497">
        <v>0</v>
      </c>
    </row>
    <row r="457" spans="1:9" ht="30" hidden="1" outlineLevel="2" x14ac:dyDescent="0.25">
      <c r="A457" s="114" t="str">
        <f>MID(E457,1,1)</f>
        <v>4</v>
      </c>
      <c r="B457" t="str">
        <f>MID(E457,3,1)</f>
        <v>6</v>
      </c>
      <c r="C457" s="114" t="str">
        <f>MID(E457,5,2)</f>
        <v>4</v>
      </c>
      <c r="D457" s="495" t="s">
        <v>73</v>
      </c>
      <c r="E457" s="495" t="s">
        <v>1000</v>
      </c>
      <c r="F457" s="496" t="str">
        <f>VLOOKUP(E457,'5.2 Actions'!$A$3:$B$720,2,0)</f>
        <v>Définir et mettre en place les nouvelles de modalités de fonctionnement afin d’en améliorer l’accès (amoindrir le non recours), la flexibilité (élargir le droit de tirage) et la répartition des usages (ex : définir un « fonds d’améliorations techniques »)</v>
      </c>
      <c r="G457" s="496"/>
      <c r="H457" s="498">
        <f>VLOOKUP(E457,'5.2 Actions'!$A$3:$D$720,4,0)</f>
        <v>0</v>
      </c>
      <c r="I457" s="497">
        <v>0</v>
      </c>
    </row>
    <row r="458" spans="1:9" s="494" customFormat="1" hidden="1" outlineLevel="1" collapsed="1" x14ac:dyDescent="0.25">
      <c r="D458" s="500" t="s">
        <v>75</v>
      </c>
      <c r="E458" s="500"/>
      <c r="F458" s="501" t="str">
        <f>VLOOKUP(D458,'1. Mesures'!$A$2:$B$116,2,0)</f>
        <v xml:space="preserve">Garantir un accès à l’eau potable et à des services sanitaires pour tous dans l’espace et les bâtiments publics </v>
      </c>
      <c r="G458" s="501"/>
      <c r="H458" s="503"/>
      <c r="I458" s="502">
        <f>SUBTOTAL(9,I459:I462)</f>
        <v>0</v>
      </c>
    </row>
    <row r="459" spans="1:9" ht="30" hidden="1" outlineLevel="2" x14ac:dyDescent="0.25">
      <c r="A459" s="114" t="str">
        <f>MID(E459,1,1)</f>
        <v>4</v>
      </c>
      <c r="B459" t="str">
        <f>MID(E459,3,1)</f>
        <v>8</v>
      </c>
      <c r="C459" s="114" t="str">
        <f>MID(E459,5,2)</f>
        <v>1</v>
      </c>
      <c r="D459" s="495" t="s">
        <v>75</v>
      </c>
      <c r="E459" s="495" t="s">
        <v>1001</v>
      </c>
      <c r="F459" s="496" t="str">
        <f>VLOOKUP(E459,'5.2 Actions'!$A$3:$B$720,2,0)</f>
        <v>Réaliser un état des lieux précis des points d’accès d’eau potable en RBC et des installations sanitaires accessibles aux publics plus vulnérables(*). Cet état des lieux permettraient de géoréférencer ces points d’accès afin d’être communiqués auprès du grand public sous la forme d’une carte numérique interactive.</v>
      </c>
      <c r="G459" s="496"/>
      <c r="H459" s="498">
        <f>VLOOKUP(E459,'5.2 Actions'!$A$3:$D$720,4,0)</f>
        <v>0</v>
      </c>
      <c r="I459" s="497">
        <v>0</v>
      </c>
    </row>
    <row r="460" spans="1:9" hidden="1" outlineLevel="2" x14ac:dyDescent="0.25">
      <c r="A460" s="114" t="str">
        <f>MID(E460,1,1)</f>
        <v>4</v>
      </c>
      <c r="B460" t="str">
        <f>MID(E460,3,1)</f>
        <v>8</v>
      </c>
      <c r="C460" s="114" t="str">
        <f>MID(E460,5,2)</f>
        <v>2</v>
      </c>
      <c r="D460" s="495" t="s">
        <v>75</v>
      </c>
      <c r="E460" s="495" t="s">
        <v>1002</v>
      </c>
      <c r="F460" s="496" t="str">
        <f>VLOOKUP(E460,'5.2 Actions'!$A$3:$B$720,2,0)</f>
        <v>Analyser les besoins au regard des objectifs sociaux, environnementaux et d’adaptation au changement climatique</v>
      </c>
      <c r="G460" s="496"/>
      <c r="H460" s="498">
        <f>VLOOKUP(E460,'5.2 Actions'!$A$3:$D$720,4,0)</f>
        <v>0</v>
      </c>
      <c r="I460" s="497">
        <v>0</v>
      </c>
    </row>
    <row r="461" spans="1:9" ht="30" hidden="1" outlineLevel="2" x14ac:dyDescent="0.25">
      <c r="A461" s="114" t="str">
        <f>MID(E461,1,1)</f>
        <v>4</v>
      </c>
      <c r="B461" t="str">
        <f>MID(E461,3,1)</f>
        <v>8</v>
      </c>
      <c r="C461" s="114" t="str">
        <f>MID(E461,5,2)</f>
        <v>3</v>
      </c>
      <c r="D461" s="495" t="s">
        <v>75</v>
      </c>
      <c r="E461" s="495" t="s">
        <v>1003</v>
      </c>
      <c r="F461" s="496" t="str">
        <f>VLOOKUP(E461,'5.2 Actions'!$A$3:$B$720,2,0)</f>
        <v>Définir une stratégie coordonnée de déploiement d’équipements intérieurs et extérieurs dans les espaces publics (voirie, place, parc,..) avec l’ensemble des acteurs en charge (Institutions communales, régionales et le monde associatif)</v>
      </c>
      <c r="G461" s="496"/>
      <c r="H461" s="498">
        <f>VLOOKUP(E461,'5.2 Actions'!$A$3:$D$720,4,0)</f>
        <v>0</v>
      </c>
      <c r="I461" s="497">
        <v>0</v>
      </c>
    </row>
    <row r="462" spans="1:9" hidden="1" outlineLevel="2" x14ac:dyDescent="0.25">
      <c r="A462" s="114" t="str">
        <f>MID(E462,1,1)</f>
        <v>4</v>
      </c>
      <c r="B462" t="str">
        <f>MID(E462,3,1)</f>
        <v>8</v>
      </c>
      <c r="C462" s="114" t="str">
        <f>MID(E462,5,2)</f>
        <v>4</v>
      </c>
      <c r="D462" s="495" t="s">
        <v>75</v>
      </c>
      <c r="E462" s="495" t="s">
        <v>1004</v>
      </c>
      <c r="F462" s="496" t="str">
        <f>VLOOKUP(E462,'5.2 Actions'!$A$3:$B$720,2,0)</f>
        <v>Réaliser l’installation et l’entretien des fontaines publiques sur le territoire de la RBC</v>
      </c>
      <c r="G462" s="496"/>
      <c r="H462" s="498">
        <f>VLOOKUP(E462,'5.2 Actions'!$A$3:$D$720,4,0)</f>
        <v>0</v>
      </c>
      <c r="I462" s="497">
        <v>750000</v>
      </c>
    </row>
    <row r="463" spans="1:9" s="494" customFormat="1" hidden="1" outlineLevel="1" collapsed="1" x14ac:dyDescent="0.25">
      <c r="D463" s="500" t="s">
        <v>76</v>
      </c>
      <c r="E463" s="500"/>
      <c r="F463" s="501" t="str">
        <f>VLOOKUP(D463,'1. Mesures'!$A$2:$B$116,2,0)</f>
        <v>Intégrer la GiEP dans les outils de l’aménagement du territoire</v>
      </c>
      <c r="G463" s="501"/>
      <c r="H463" s="503"/>
      <c r="I463" s="502">
        <f>SUBTOTAL(9,I464:I475)</f>
        <v>0</v>
      </c>
    </row>
    <row r="464" spans="1:9" hidden="1" outlineLevel="2" x14ac:dyDescent="0.25">
      <c r="A464" s="114" t="str">
        <f t="shared" ref="A464:A475" si="84">MID(E464,1,1)</f>
        <v>5</v>
      </c>
      <c r="B464" t="str">
        <f t="shared" ref="B464:B475" si="85">MID(E464,3,1)</f>
        <v>1</v>
      </c>
      <c r="C464" s="114" t="str">
        <f t="shared" ref="C464:C475" si="86">MID(E464,5,2)</f>
        <v>1</v>
      </c>
      <c r="D464" s="495" t="s">
        <v>76</v>
      </c>
      <c r="E464" s="495" t="s">
        <v>1005</v>
      </c>
      <c r="F464" s="496" t="str">
        <f>VLOOKUP(E464,'5.2 Actions'!$A$3:$B$720,2,0)</f>
        <v>Accompagner les acteurs (administrations et auteurs de projets) dans le développement de leurs compétences (voir M.5.3)</v>
      </c>
      <c r="G464" s="496"/>
      <c r="H464" s="498">
        <f>VLOOKUP(E464,'5.2 Actions'!$A$3:$D$720,4,0)</f>
        <v>0</v>
      </c>
      <c r="I464" s="497">
        <v>0</v>
      </c>
    </row>
    <row r="465" spans="1:9" ht="30" hidden="1" outlineLevel="2" x14ac:dyDescent="0.25">
      <c r="A465" s="114" t="str">
        <f t="shared" si="84"/>
        <v>5</v>
      </c>
      <c r="B465" t="str">
        <f t="shared" si="85"/>
        <v>1</v>
      </c>
      <c r="C465" s="114" t="str">
        <f t="shared" si="86"/>
        <v>2</v>
      </c>
      <c r="D465" s="495" t="s">
        <v>76</v>
      </c>
      <c r="E465" s="495" t="s">
        <v>1009</v>
      </c>
      <c r="F465" s="496" t="str">
        <f>VLOOKUP(E465,'5.2 Actions'!$A$3:$B$720,2,0)</f>
        <v>Règlement régional d’urbanisme (RRU) – réviser les prescriptions existantes et en ajouter de nouvelles relatives à la gestion des eaux tant pour les espaces privés que publics(*)</v>
      </c>
      <c r="G465" s="496"/>
      <c r="H465" s="498">
        <f>VLOOKUP(E465,'5.2 Actions'!$A$3:$D$720,4,0)</f>
        <v>0</v>
      </c>
      <c r="I465" s="497">
        <v>0</v>
      </c>
    </row>
    <row r="466" spans="1:9" hidden="1" outlineLevel="2" x14ac:dyDescent="0.25">
      <c r="A466" s="114" t="str">
        <f t="shared" si="84"/>
        <v>5</v>
      </c>
      <c r="B466" t="str">
        <f t="shared" si="85"/>
        <v>1</v>
      </c>
      <c r="C466" s="114" t="str">
        <f t="shared" si="86"/>
        <v>3</v>
      </c>
      <c r="D466" s="495" t="s">
        <v>76</v>
      </c>
      <c r="E466" s="495" t="s">
        <v>1010</v>
      </c>
      <c r="F466" s="496" t="str">
        <f>VLOOKUP(E466,'5.2 Actions'!$A$3:$B$720,2,0)</f>
        <v>Mettre en place une procédure permettant d’imposer la mise en œuvre de la GiEP aux travers des permis d’environnement et/ou d’urbanisme</v>
      </c>
      <c r="G466" s="496"/>
      <c r="H466" s="498">
        <f>VLOOKUP(E466,'5.2 Actions'!$A$3:$D$720,4,0)</f>
        <v>0</v>
      </c>
      <c r="I466" s="497">
        <v>0</v>
      </c>
    </row>
    <row r="467" spans="1:9" hidden="1" outlineLevel="2" x14ac:dyDescent="0.25">
      <c r="A467" s="114" t="str">
        <f t="shared" si="84"/>
        <v>5</v>
      </c>
      <c r="B467" t="str">
        <f t="shared" si="85"/>
        <v>1</v>
      </c>
      <c r="C467" s="114" t="str">
        <f t="shared" si="86"/>
        <v>4</v>
      </c>
      <c r="D467" s="495" t="s">
        <v>76</v>
      </c>
      <c r="E467" s="495" t="s">
        <v>1011</v>
      </c>
      <c r="F467" s="496" t="str">
        <f>VLOOKUP(E467,'5.2 Actions'!$A$3:$B$720,2,0)</f>
        <v>COBAT- adapter le cadre législatif et procédures établies au 5.1.3, le cas échéant.</v>
      </c>
      <c r="G467" s="496"/>
      <c r="H467" s="498">
        <f>VLOOKUP(E467,'5.2 Actions'!$A$3:$D$720,4,0)</f>
        <v>0</v>
      </c>
      <c r="I467" s="497">
        <v>0</v>
      </c>
    </row>
    <row r="468" spans="1:9" ht="120" hidden="1" outlineLevel="2" x14ac:dyDescent="0.25">
      <c r="A468" s="114" t="str">
        <f t="shared" si="84"/>
        <v>5</v>
      </c>
      <c r="B468" t="str">
        <f t="shared" si="85"/>
        <v>1</v>
      </c>
      <c r="C468" s="114" t="str">
        <f t="shared" si="86"/>
        <v>5</v>
      </c>
      <c r="D468" s="495" t="s">
        <v>76</v>
      </c>
      <c r="E468" s="495" t="s">
        <v>1012</v>
      </c>
      <c r="F468" s="496" t="str">
        <f>VLOOKUP(E468,'5.2 Actions'!$A$3:$B$720,2,0)</f>
        <v>Plan régional d’affectation des sols (PRAS) –
·        Dans le cadre de la révision du nouveau PRAS, tenir compte de la gestion intégrée des eaux pluviales et de ses objectifs en termes de perméabilités des sols et végétalisation (lutte contre les îlots de chaleur urbain) au niveau des différents documents constitutifs, notamment au niveau des  prescriptions générales et le cas échéant, des prescriptions particulières de certaines zones. Il conviendrait notamment d’assurer un ratio suffisant de pleine terre dans toutes les zones constructibles.
.   Lors de révisions ponctuelles du PRAS actuel (changement d’affectation, inscription de nouveaux tracés…) tenir compte de l’impact des différents scenarios sur la gestion des eaux de ruissellement et assurer des mesures d’atténuation complètes ou à défaut, des compensations basées sur les principes de gestion intégrée des eaux pluviales pour en limiter les incidences au minimum</v>
      </c>
      <c r="G468" s="496"/>
      <c r="H468" s="498">
        <f>VLOOKUP(E468,'5.2 Actions'!$A$3:$D$720,4,0)</f>
        <v>0</v>
      </c>
      <c r="I468" s="497">
        <v>0</v>
      </c>
    </row>
    <row r="469" spans="1:9" ht="30" hidden="1" outlineLevel="2" x14ac:dyDescent="0.25">
      <c r="A469" s="114" t="str">
        <f t="shared" si="84"/>
        <v>5</v>
      </c>
      <c r="B469" t="str">
        <f t="shared" si="85"/>
        <v>1</v>
      </c>
      <c r="C469" s="114" t="str">
        <f t="shared" si="86"/>
        <v>6</v>
      </c>
      <c r="D469" s="495" t="s">
        <v>76</v>
      </c>
      <c r="E469" s="495" t="s">
        <v>1013</v>
      </c>
      <c r="F469" s="496" t="str">
        <f>VLOOKUP(E469,'5.2 Actions'!$A$3:$B$720,2,0)</f>
        <v>Plans d’aménagement directeur (PAD) – obliger l’auteur de projet à réaliser une étude hydrologique dans le cadre de l’établissement de la situation existante et à établir les prescriptions générales sur la base de celle-ci.</v>
      </c>
      <c r="G469" s="496"/>
      <c r="H469" s="498">
        <f>VLOOKUP(E469,'5.2 Actions'!$A$3:$D$720,4,0)</f>
        <v>0</v>
      </c>
      <c r="I469" s="497">
        <v>0</v>
      </c>
    </row>
    <row r="470" spans="1:9" ht="30" hidden="1" outlineLevel="2" x14ac:dyDescent="0.25">
      <c r="A470" s="114" t="str">
        <f t="shared" si="84"/>
        <v>5</v>
      </c>
      <c r="B470" t="str">
        <f t="shared" si="85"/>
        <v>1</v>
      </c>
      <c r="C470" s="114" t="str">
        <f t="shared" si="86"/>
        <v>7</v>
      </c>
      <c r="D470" s="495" t="s">
        <v>76</v>
      </c>
      <c r="E470" s="495" t="s">
        <v>1014</v>
      </c>
      <c r="F470" s="496" t="str">
        <f>VLOOKUP(E470,'5.2 Actions'!$A$3:$B$720,2,0)</f>
        <v>Plans particuliers d’affectation des sols (PPAS) – intégrer des prescriptions pour garantir la gestion intégrée des eaux pluviales et le cas échéant, compléter les prescriptions des outils de normes supérieures (PAD,…).</v>
      </c>
      <c r="G470" s="496"/>
      <c r="H470" s="498">
        <f>VLOOKUP(E470,'5.2 Actions'!$A$3:$D$720,4,0)</f>
        <v>0</v>
      </c>
      <c r="I470" s="497">
        <v>0</v>
      </c>
    </row>
    <row r="471" spans="1:9" ht="30" hidden="1" outlineLevel="2" x14ac:dyDescent="0.25">
      <c r="A471" s="114" t="str">
        <f t="shared" si="84"/>
        <v>5</v>
      </c>
      <c r="B471" t="str">
        <f t="shared" si="85"/>
        <v>1</v>
      </c>
      <c r="C471" s="114" t="str">
        <f t="shared" si="86"/>
        <v>8</v>
      </c>
      <c r="D471" s="495" t="s">
        <v>76</v>
      </c>
      <c r="E471" s="495" t="s">
        <v>1015</v>
      </c>
      <c r="F471" s="496" t="str">
        <f>VLOOKUP(E471,'5.2 Actions'!$A$3:$B$720,2,0)</f>
        <v>Faire des études du potentiel de déconnexion (% de surfaces déconnectées) via un outil qui soutiendra les différents plans de développement territorial.
Cette mesure pourra à termes s’appuyer sur un outil cartographique que Bruxelles Environnement compte mettre en place via la M.5.6</v>
      </c>
      <c r="G471" s="496"/>
      <c r="H471" s="498">
        <f>VLOOKUP(E471,'5.2 Actions'!$A$3:$D$720,4,0)</f>
        <v>0</v>
      </c>
      <c r="I471" s="497">
        <v>0</v>
      </c>
    </row>
    <row r="472" spans="1:9" ht="60" hidden="1" outlineLevel="2" x14ac:dyDescent="0.25">
      <c r="A472" s="114" t="str">
        <f t="shared" si="84"/>
        <v>5</v>
      </c>
      <c r="B472" t="str">
        <f t="shared" si="85"/>
        <v>1</v>
      </c>
      <c r="C472" s="114" t="str">
        <f t="shared" si="86"/>
        <v>9</v>
      </c>
      <c r="D472" s="495" t="s">
        <v>76</v>
      </c>
      <c r="E472" s="495" t="s">
        <v>1016</v>
      </c>
      <c r="F472" s="496" t="str">
        <f>VLOOKUP(E472,'5.2 Actions'!$A$3:$B$720,2,0)</f>
        <v>Etudier la gestion et le placement des impétrants dans l’espace public afin d’établir, le cas échéant, des lignes directrices pour assurer la bonne compatibilité entre GIEP et impétrants.
Actuellement le manque d’information concrète sur leur positionnement, les exigences aléatoires liées à leur placement, le manque de prise en charge de certaines anciennes installations devenues obsolètes, représentent un obstacle à la GIEP et à la végétalisation des espaces publics.</v>
      </c>
      <c r="G472" s="496"/>
      <c r="H472" s="498">
        <f>VLOOKUP(E472,'5.2 Actions'!$A$3:$D$720,4,0)</f>
        <v>0</v>
      </c>
      <c r="I472" s="497">
        <v>0</v>
      </c>
    </row>
    <row r="473" spans="1:9" ht="30" hidden="1" outlineLevel="2" x14ac:dyDescent="0.25">
      <c r="A473" s="114" t="str">
        <f t="shared" si="84"/>
        <v>5</v>
      </c>
      <c r="B473" t="str">
        <f t="shared" si="85"/>
        <v>1</v>
      </c>
      <c r="C473" s="114" t="str">
        <f t="shared" si="86"/>
        <v>10</v>
      </c>
      <c r="D473" s="495" t="s">
        <v>76</v>
      </c>
      <c r="E473" s="495" t="s">
        <v>1006</v>
      </c>
      <c r="F473" s="496" t="str">
        <f>VLOOKUP(E473,'5.2 Actions'!$A$3:$B$720,2,0)</f>
        <v>Dans l’expectative de cette intégration généralisée d’une bonne prise en compte de la gestion durable de l’eau, remettre des avis et conditions dans les permis d’urbanisme et selon demande, lors des procédures liées à délivrance de permis d’urbanisme (Commission de concertation, Avis d’instance,…)</v>
      </c>
      <c r="G473" s="496"/>
      <c r="H473" s="498">
        <f>VLOOKUP(E473,'5.2 Actions'!$A$3:$D$720,4,0)</f>
        <v>0</v>
      </c>
      <c r="I473" s="497">
        <v>0</v>
      </c>
    </row>
    <row r="474" spans="1:9" ht="60" hidden="1" outlineLevel="2" x14ac:dyDescent="0.25">
      <c r="A474" s="114" t="str">
        <f t="shared" si="84"/>
        <v>5</v>
      </c>
      <c r="B474" t="str">
        <f t="shared" si="85"/>
        <v>1</v>
      </c>
      <c r="C474" s="114" t="str">
        <f t="shared" si="86"/>
        <v>11</v>
      </c>
      <c r="D474" s="495" t="s">
        <v>76</v>
      </c>
      <c r="E474" s="495" t="s">
        <v>1007</v>
      </c>
      <c r="F474" s="496" t="str">
        <f>VLOOKUP(E474,'5.2 Actions'!$A$3:$B$720,2,0)</f>
        <v>Veiller à la bonne mise en œuvre des principes de gestion de l’eau édictés dans le BKP
Beeldkwaliteitsplan ou plan de qualité paysagère et urbanistique) qui s’appliquent à tout projet d’aménagement et de rénovation d’espace public sur le territoire du Canal dont le périmètre s’étend sur différentes zones administratives aux niveaux de pouvoir multiples( il s’agit du périmètre du Plan Canal de 2012 repris à la page 24 du BKP )</v>
      </c>
      <c r="G474" s="496"/>
      <c r="H474" s="498">
        <f>VLOOKUP(E474,'5.2 Actions'!$A$3:$D$720,4,0)</f>
        <v>0</v>
      </c>
      <c r="I474" s="497">
        <v>0</v>
      </c>
    </row>
    <row r="475" spans="1:9" ht="45" hidden="1" outlineLevel="2" x14ac:dyDescent="0.25">
      <c r="A475" s="114" t="str">
        <f t="shared" si="84"/>
        <v>5</v>
      </c>
      <c r="B475" t="str">
        <f t="shared" si="85"/>
        <v>1</v>
      </c>
      <c r="C475" s="114" t="str">
        <f t="shared" si="86"/>
        <v>12</v>
      </c>
      <c r="D475" s="495" t="s">
        <v>76</v>
      </c>
      <c r="E475" s="495" t="s">
        <v>1008</v>
      </c>
      <c r="F475" s="496" t="str">
        <f>VLOOKUP(E475,'5.2 Actions'!$A$3:$B$720,2,0)</f>
        <v>Etablir une veille de tous  les plans, programmes et règlementations  développant d’autres thématiques afin que, lorsque cela s’avère pertinent, les principes qui sous-tendent le PGE (GiEP, préservation de la ressource, réseau hydrographique,…) soient pris en compte
Liste d'exemples (non-exhaustif) : les plans climat communaux, plans de mobilité, etc.</v>
      </c>
      <c r="G475" s="496"/>
      <c r="H475" s="498">
        <f>VLOOKUP(E475,'5.2 Actions'!$A$3:$D$720,4,0)</f>
        <v>0</v>
      </c>
      <c r="I475" s="497">
        <v>0</v>
      </c>
    </row>
    <row r="476" spans="1:9" s="494" customFormat="1" hidden="1" outlineLevel="1" collapsed="1" x14ac:dyDescent="0.25">
      <c r="D476" s="500" t="s">
        <v>77</v>
      </c>
      <c r="E476" s="500"/>
      <c r="F476" s="501" t="str">
        <f>VLOOKUP(D476,'1. Mesures'!$A$2:$B$116,2,0)</f>
        <v>Identifier les sources de financement pour réaliser et entretenir les dispositifs de gestion intégrée des eaux pluviales</v>
      </c>
      <c r="G476" s="501"/>
      <c r="H476" s="503"/>
      <c r="I476" s="502">
        <f>SUBTOTAL(9,I477:I479)</f>
        <v>0</v>
      </c>
    </row>
    <row r="477" spans="1:9" ht="30" hidden="1" outlineLevel="2" x14ac:dyDescent="0.25">
      <c r="A477" s="114" t="str">
        <f>MID(E477,1,1)</f>
        <v>5</v>
      </c>
      <c r="B477" t="str">
        <f>MID(E477,3,1)</f>
        <v>2</v>
      </c>
      <c r="C477" s="114" t="str">
        <f>MID(E477,5,2)</f>
        <v>1</v>
      </c>
      <c r="D477" s="495" t="s">
        <v>77</v>
      </c>
      <c r="E477" s="495" t="s">
        <v>1061</v>
      </c>
      <c r="F477" s="496" t="str">
        <f>VLOOKUP(E477,'5.2 Actions'!$A$3:$B$720,2,0)</f>
        <v>Evaluer les coûts d’investissement et opérationnels qu’implique le déploiement d’une politique de GiEP visant à protéger la Région contre les risques d’inondation (pluies TR20) en complément du réseau d’assainissement.</v>
      </c>
      <c r="G477" s="496"/>
      <c r="H477" s="498">
        <f>VLOOKUP(E477,'5.2 Actions'!$A$3:$D$720,4,0)</f>
        <v>0</v>
      </c>
      <c r="I477" s="497">
        <v>100000</v>
      </c>
    </row>
    <row r="478" spans="1:9" ht="30" hidden="1" outlineLevel="2" x14ac:dyDescent="0.25">
      <c r="A478" s="114" t="str">
        <f>MID(E478,1,1)</f>
        <v>5</v>
      </c>
      <c r="B478" t="str">
        <f>MID(E478,3,1)</f>
        <v>2</v>
      </c>
      <c r="C478" s="114" t="str">
        <f>MID(E478,5,2)</f>
        <v>2</v>
      </c>
      <c r="D478" s="495" t="s">
        <v>77</v>
      </c>
      <c r="E478" s="495" t="s">
        <v>1062</v>
      </c>
      <c r="F478" s="496" t="str">
        <f>VLOOKUP(E478,'5.2 Actions'!$A$3:$B$720,2,0)</f>
        <v>Définir un ou plusieurs mécanismes de financement équitables et incitatifs créant une source de fonds permettant le déploiement pérenne d’ouvrages de GiEP dans l’espace privé et public du territoire de la RBC</v>
      </c>
      <c r="G478" s="496"/>
      <c r="H478" s="498">
        <f>VLOOKUP(E478,'5.2 Actions'!$A$3:$D$720,4,0)</f>
        <v>0</v>
      </c>
      <c r="I478" s="497">
        <v>0</v>
      </c>
    </row>
    <row r="479" spans="1:9" ht="30" hidden="1" outlineLevel="2" x14ac:dyDescent="0.25">
      <c r="A479" s="114" t="str">
        <f>MID(E479,1,1)</f>
        <v>5</v>
      </c>
      <c r="B479" t="str">
        <f>MID(E479,3,1)</f>
        <v>2</v>
      </c>
      <c r="C479" s="114" t="str">
        <f>MID(E479,5,2)</f>
        <v>3</v>
      </c>
      <c r="D479" s="495" t="s">
        <v>77</v>
      </c>
      <c r="E479" s="495" t="s">
        <v>1063</v>
      </c>
      <c r="F479" s="496" t="str">
        <f>VLOOKUP(E479,'5.2 Actions'!$A$3:$B$720,2,0)</f>
        <v>Apporter les modifications légales nécessaires relatives à la mise en œuvre opérationnelle de ces nouveaux mécanismes de prélèvement qui permettront le financement des projets GiEP, par exemple via la mise en place d’un fonds de financement.</v>
      </c>
      <c r="G479" s="496"/>
      <c r="H479" s="498">
        <f>VLOOKUP(E479,'5.2 Actions'!$A$3:$D$720,4,0)</f>
        <v>0</v>
      </c>
      <c r="I479" s="497">
        <v>0</v>
      </c>
    </row>
    <row r="480" spans="1:9" s="494" customFormat="1" hidden="1" outlineLevel="1" collapsed="1" x14ac:dyDescent="0.25">
      <c r="D480" s="500" t="s">
        <v>78</v>
      </c>
      <c r="E480" s="500"/>
      <c r="F480" s="501" t="str">
        <f>VLOOKUP(D480,'1. Mesures'!$A$2:$B$116,2,0)</f>
        <v>Accompagner les acteurs dans le développement des compétences</v>
      </c>
      <c r="G480" s="501"/>
      <c r="H480" s="503"/>
      <c r="I480" s="502">
        <f>SUBTOTAL(9,I481:I491)</f>
        <v>0</v>
      </c>
    </row>
    <row r="481" spans="1:9" ht="60" hidden="1" outlineLevel="2" x14ac:dyDescent="0.25">
      <c r="A481" s="114" t="str">
        <f t="shared" ref="A481:A491" si="87">MID(E481,1,1)</f>
        <v>5</v>
      </c>
      <c r="B481" t="str">
        <f t="shared" ref="B481:B491" si="88">MID(E481,3,1)</f>
        <v>3</v>
      </c>
      <c r="C481" s="114" t="str">
        <f t="shared" ref="C481:C491" si="89">MID(E481,5,2)</f>
        <v>1</v>
      </c>
      <c r="D481" s="495" t="s">
        <v>78</v>
      </c>
      <c r="E481" s="495" t="s">
        <v>1116</v>
      </c>
      <c r="F481" s="496" t="str">
        <f>VLOOKUP(E481,'5.2 Actions'!$A$3:$B$720,2,0)</f>
        <v>Définir les rôles et répartition des compétences de la gestion des eaux de pluie entre les acteurs(*).
Tous les acteurs de la mise en œuvre sont déjà identifiés pour la GiEP (car implique le 0 rejet), et les responsabilités sont établies dans la plupart des cas. Il reste cependant des éléments de réseaux pluviaux (séparatif,…) pour lesquels des clarifications de prise en charge doivent être spécifiées.
Il faut ensuite vérifier si l’OCE doit être modifiée pour intégrer les résultats de ces travaux d’identification ou si un arrêté d’exécution doit être rédigé.</v>
      </c>
      <c r="G481" s="496"/>
      <c r="H481" s="498">
        <f>VLOOKUP(E481,'5.2 Actions'!$A$3:$D$720,4,0)</f>
        <v>0</v>
      </c>
      <c r="I481" s="497">
        <v>0</v>
      </c>
    </row>
    <row r="482" spans="1:9" ht="30" hidden="1" outlineLevel="2" x14ac:dyDescent="0.25">
      <c r="A482" s="114" t="str">
        <f t="shared" si="87"/>
        <v>5</v>
      </c>
      <c r="B482" t="str">
        <f t="shared" si="88"/>
        <v>3</v>
      </c>
      <c r="C482" s="114" t="str">
        <f t="shared" si="89"/>
        <v>2</v>
      </c>
      <c r="D482" s="495" t="s">
        <v>78</v>
      </c>
      <c r="E482" s="495" t="s">
        <v>1119</v>
      </c>
      <c r="F482" s="496" t="str">
        <f>VLOOKUP(E482,'5.2 Actions'!$A$3:$B$720,2,0)</f>
        <v>Tenir à jour un inventaire de tous les acteurs concernés (Stakeholder Management Plan), identifier leurs freins, craintes et intérêts afin de cibler au mieux les actions qui leur permettront de passer le seuil de résistance au changement.</v>
      </c>
      <c r="G482" s="496"/>
      <c r="H482" s="498">
        <f>VLOOKUP(E482,'5.2 Actions'!$A$3:$D$720,4,0)</f>
        <v>0</v>
      </c>
      <c r="I482" s="497">
        <v>0</v>
      </c>
    </row>
    <row r="483" spans="1:9" ht="30" hidden="1" outlineLevel="2" x14ac:dyDescent="0.25">
      <c r="A483" s="114" t="str">
        <f t="shared" si="87"/>
        <v>5</v>
      </c>
      <c r="B483" t="str">
        <f t="shared" si="88"/>
        <v>3</v>
      </c>
      <c r="C483" s="114" t="str">
        <f t="shared" si="89"/>
        <v>3</v>
      </c>
      <c r="D483" s="495" t="s">
        <v>78</v>
      </c>
      <c r="E483" s="495" t="s">
        <v>1120</v>
      </c>
      <c r="F483" s="496" t="str">
        <f>VLOOKUP(E483,'5.2 Actions'!$A$3:$B$720,2,0)</f>
        <v>Accompagner les acteurs concernés (stakeholders) dans la mise en place du changement au sein de leur organisme, en commençant par identifier des personnes relais au sein de chacune d’elles.</v>
      </c>
      <c r="G483" s="496"/>
      <c r="H483" s="498">
        <f>VLOOKUP(E483,'5.2 Actions'!$A$3:$D$720,4,0)</f>
        <v>0</v>
      </c>
      <c r="I483" s="497">
        <v>0</v>
      </c>
    </row>
    <row r="484" spans="1:9" ht="45" hidden="1" outlineLevel="2" x14ac:dyDescent="0.25">
      <c r="A484" s="114" t="str">
        <f t="shared" si="87"/>
        <v>5</v>
      </c>
      <c r="B484" t="str">
        <f t="shared" si="88"/>
        <v>3</v>
      </c>
      <c r="C484" s="114" t="str">
        <f t="shared" si="89"/>
        <v>4</v>
      </c>
      <c r="D484" s="495" t="s">
        <v>78</v>
      </c>
      <c r="E484" s="495" t="s">
        <v>1121</v>
      </c>
      <c r="F484" s="496" t="str">
        <f>VLOOKUP(E484,'5.2 Actions'!$A$3:$B$720,2,0)</f>
        <v>Emettre des conseils et des guidances techniques dans le cadre de nouveaux projets d’aménagement du territoire : espaces public (communes, STIB, Bruxelles Mobilité, Perspectives, Urban…) et privé (lotisseurs, bureau d’étude, entrepreneurs,…) en collaboration avec le Facilitateur Eau.
Offrir aux professionnels un accès facilité à des réponses techniques « sur mesure ».</v>
      </c>
      <c r="G484" s="496"/>
      <c r="H484" s="498">
        <f>VLOOKUP(E484,'5.2 Actions'!$A$3:$D$720,4,0)</f>
        <v>0</v>
      </c>
      <c r="I484" s="497">
        <v>780000</v>
      </c>
    </row>
    <row r="485" spans="1:9" ht="45" hidden="1" outlineLevel="2" x14ac:dyDescent="0.25">
      <c r="A485" s="114" t="str">
        <f t="shared" si="87"/>
        <v>5</v>
      </c>
      <c r="B485" t="str">
        <f t="shared" si="88"/>
        <v>3</v>
      </c>
      <c r="C485" s="114" t="str">
        <f t="shared" si="89"/>
        <v>5</v>
      </c>
      <c r="D485" s="495" t="s">
        <v>78</v>
      </c>
      <c r="E485" s="495" t="s">
        <v>1122</v>
      </c>
      <c r="F485" s="496" t="str">
        <f>VLOOKUP(E485,'5.2 Actions'!$A$3:$B$720,2,0)</f>
        <v>Concevoir, diffuser des outils (tableurs de calcul, guide de conception,…) et le cas échéant, revoir en collaboration les outils régionaux existants (ex. Manuels de conception) ou en développer de nouveaux pour aider les questions de mise en œuvre de la GIEP  et autres mesures de résilience climatique liées à la gestion de l’eau.</v>
      </c>
      <c r="G485" s="496"/>
      <c r="H485" s="498">
        <f>VLOOKUP(E485,'5.2 Actions'!$A$3:$D$720,4,0)</f>
        <v>0</v>
      </c>
      <c r="I485" s="497">
        <v>80000</v>
      </c>
    </row>
    <row r="486" spans="1:9" ht="30" hidden="1" outlineLevel="2" x14ac:dyDescent="0.25">
      <c r="A486" s="114" t="str">
        <f t="shared" si="87"/>
        <v>5</v>
      </c>
      <c r="B486" t="str">
        <f t="shared" si="88"/>
        <v>3</v>
      </c>
      <c r="C486" s="114" t="str">
        <f t="shared" si="89"/>
        <v>6</v>
      </c>
      <c r="D486" s="495" t="s">
        <v>78</v>
      </c>
      <c r="E486" s="495" t="s">
        <v>1123</v>
      </c>
      <c r="F486" s="496" t="str">
        <f>VLOOKUP(E486,'5.2 Actions'!$A$3:$B$720,2,0)</f>
        <v>Rédiger, diffuser et mettre à jour des fiches techniques pour aider les questions de mise en œuvre de la GIEP et autres mesures de résilience climatique liée à la gestion de l’eau (via le site internet du Guide Bâtiment durable et des FAQ disponibles sur le site EAU de BE).</v>
      </c>
      <c r="G486" s="496"/>
      <c r="H486" s="498">
        <f>VLOOKUP(E486,'5.2 Actions'!$A$3:$D$720,4,0)</f>
        <v>0</v>
      </c>
      <c r="I486" s="497">
        <v>0</v>
      </c>
    </row>
    <row r="487" spans="1:9" ht="30" hidden="1" outlineLevel="2" x14ac:dyDescent="0.25">
      <c r="A487" s="114" t="str">
        <f t="shared" si="87"/>
        <v>5</v>
      </c>
      <c r="B487" t="str">
        <f t="shared" si="88"/>
        <v>3</v>
      </c>
      <c r="C487" s="114" t="str">
        <f t="shared" si="89"/>
        <v>7</v>
      </c>
      <c r="D487" s="495" t="s">
        <v>78</v>
      </c>
      <c r="E487" s="495" t="s">
        <v>1124</v>
      </c>
      <c r="F487" s="496" t="str">
        <f>VLOOKUP(E487,'5.2 Actions'!$A$3:$B$720,2,0)</f>
        <v>Mettre en place un accompagnement spécifique avec Bruxelles Mobilité pour que les porteurs de projet et le service entretien systématisent la prise en compte de la GiEP et autres mesures de résilience climatique liées à la gestion de l’eau.</v>
      </c>
      <c r="G487" s="496"/>
      <c r="H487" s="498">
        <f>VLOOKUP(E487,'5.2 Actions'!$A$3:$D$720,4,0)</f>
        <v>0</v>
      </c>
      <c r="I487" s="497">
        <v>0</v>
      </c>
    </row>
    <row r="488" spans="1:9" ht="90" hidden="1" outlineLevel="2" x14ac:dyDescent="0.25">
      <c r="A488" s="114" t="str">
        <f t="shared" si="87"/>
        <v>5</v>
      </c>
      <c r="B488" t="str">
        <f t="shared" si="88"/>
        <v>3</v>
      </c>
      <c r="C488" s="114" t="str">
        <f t="shared" si="89"/>
        <v>8</v>
      </c>
      <c r="D488" s="495" t="s">
        <v>78</v>
      </c>
      <c r="E488" s="495" t="s">
        <v>1125</v>
      </c>
      <c r="F488" s="496" t="str">
        <f>VLOOKUP(E488,'5.2 Actions'!$A$3:$B$720,2,0)</f>
        <v>Poursuivre et amplifier l’effet de réseau d’expertise en développement des conseillers communaux « Eau », avec une représentation dans chaque commune et avec un rôle légitimé auprès des autres agents communaux, et notamment :
·        Poursuivre la mise en réseau pour partage d’expériences
·        Mettre en place un accompagnement rapproché (ateliers sur les projets concrets, retour des expériences réalisées avec le facilitateur, construction d’outils répondant aux besoins) pour que les porteurs de projet systématisent la prise en compte de la GIEP et autres mesures de résilience climatique liées à la gestion de l’eau.</v>
      </c>
      <c r="G488" s="496"/>
      <c r="H488" s="498">
        <f>VLOOKUP(E488,'5.2 Actions'!$A$3:$D$720,4,0)</f>
        <v>0</v>
      </c>
      <c r="I488" s="497">
        <v>60000</v>
      </c>
    </row>
    <row r="489" spans="1:9" ht="105" hidden="1" outlineLevel="2" x14ac:dyDescent="0.25">
      <c r="A489" s="114" t="str">
        <f t="shared" si="87"/>
        <v>5</v>
      </c>
      <c r="B489" t="str">
        <f t="shared" si="88"/>
        <v>3</v>
      </c>
      <c r="C489" s="114" t="str">
        <f t="shared" si="89"/>
        <v>9</v>
      </c>
      <c r="D489" s="495" t="s">
        <v>78</v>
      </c>
      <c r="E489" s="495" t="s">
        <v>1126</v>
      </c>
      <c r="F489" s="496" t="str">
        <f>VLOOKUP(E489,'5.2 Actions'!$A$3:$B$720,2,0)</f>
        <v>Accompagner les pouvoirs organisateurs des écoles dans une stratégie de végétalisation et de gestion durable des eaux pluviales (déminéralisation,…), notamment par :
-        Diffusion des bonnes pratiques (Guide,…)
-        Formation aux associations actives à l’appui aux écoles ;
-        Soutien financier via appel à projet dédié pour le  (ré) aménagements des cours d’école (« Ré-création ») « Voir M.8.5 »
-        Accompagnement des bureaux d’études mandatés par les pouvoirs organisateurs d’une 20aine d’écoles via un pool multiexperts
Il s’agit de poursuivre les actions en cours de soutien aux écoles pour de la déminéralisation.</v>
      </c>
      <c r="G489" s="496"/>
      <c r="H489" s="498">
        <f>VLOOKUP(E489,'5.2 Actions'!$A$3:$D$720,4,0)</f>
        <v>0</v>
      </c>
      <c r="I489" s="497">
        <v>820000</v>
      </c>
    </row>
    <row r="490" spans="1:9" ht="30" hidden="1" outlineLevel="2" x14ac:dyDescent="0.25">
      <c r="A490" s="114" t="str">
        <f t="shared" si="87"/>
        <v>5</v>
      </c>
      <c r="B490" t="str">
        <f t="shared" si="88"/>
        <v>3</v>
      </c>
      <c r="C490" s="114" t="str">
        <f t="shared" si="89"/>
        <v>10</v>
      </c>
      <c r="D490" s="495" t="s">
        <v>78</v>
      </c>
      <c r="E490" s="495" t="s">
        <v>1117</v>
      </c>
      <c r="F490" s="496" t="str">
        <f>VLOOKUP(E490,'5.2 Actions'!$A$3:$B$720,2,0)</f>
        <v>Intégrer la thématique « GIEP-résilience climatique » dans les programmes existants qui visent la mise à niveau des secteurs professionnels et métiers de la construction-rénovation-parcs et jardins (entrepreneurs, jardiniers, architectes,…)</v>
      </c>
      <c r="G490" s="496"/>
      <c r="H490" s="498">
        <f>VLOOKUP(E490,'5.2 Actions'!$A$3:$D$720,4,0)</f>
        <v>0</v>
      </c>
      <c r="I490" s="497">
        <v>0</v>
      </c>
    </row>
    <row r="491" spans="1:9" ht="30" hidden="1" outlineLevel="2" x14ac:dyDescent="0.25">
      <c r="A491" s="114" t="str">
        <f t="shared" si="87"/>
        <v>5</v>
      </c>
      <c r="B491" t="str">
        <f t="shared" si="88"/>
        <v>3</v>
      </c>
      <c r="C491" s="114" t="str">
        <f t="shared" si="89"/>
        <v>11</v>
      </c>
      <c r="D491" s="495" t="s">
        <v>78</v>
      </c>
      <c r="E491" s="495" t="s">
        <v>1118</v>
      </c>
      <c r="F491" s="496" t="str">
        <f>VLOOKUP(E491,'5.2 Actions'!$A$3:$B$720,2,0)</f>
        <v>Envisager la mise en place d’un service gratuit de conseils ou d’accompagnement technique à la mise en œuvre de la GIEP (et à la gestion durable de l’eau) à destination des particuliers (*).</v>
      </c>
      <c r="G491" s="496"/>
      <c r="H491" s="498">
        <f>VLOOKUP(E491,'5.2 Actions'!$A$3:$D$720,4,0)</f>
        <v>0</v>
      </c>
      <c r="I491" s="497">
        <v>0</v>
      </c>
    </row>
    <row r="492" spans="1:9" s="494" customFormat="1" hidden="1" outlineLevel="1" collapsed="1" x14ac:dyDescent="0.25">
      <c r="D492" s="500" t="s">
        <v>79</v>
      </c>
      <c r="E492" s="500"/>
      <c r="F492" s="501" t="str">
        <f>VLOOKUP(D492,'1. Mesures'!$A$2:$B$116,2,0)</f>
        <v>Mettre en œuvre la GiEP dans l'espace public et privé, ainsi que les autres mesures de résilience climatique liées à la gestion de l’eau</v>
      </c>
      <c r="G492" s="501"/>
      <c r="H492" s="501"/>
      <c r="I492" s="502">
        <f>SUBTOTAL(9,I493:I503)</f>
        <v>0</v>
      </c>
    </row>
    <row r="493" spans="1:9" ht="30" hidden="1" outlineLevel="2" x14ac:dyDescent="0.25">
      <c r="A493" s="114" t="str">
        <f t="shared" ref="A493:A503" si="90">MID(E493,1,1)</f>
        <v>5</v>
      </c>
      <c r="B493" t="str">
        <f t="shared" ref="B493:B503" si="91">MID(E493,3,1)</f>
        <v>4</v>
      </c>
      <c r="C493" s="114" t="str">
        <f t="shared" ref="C493:C503" si="92">MID(E493,5,2)</f>
        <v>1</v>
      </c>
      <c r="D493" s="495" t="s">
        <v>79</v>
      </c>
      <c r="E493" s="495" t="s">
        <v>417</v>
      </c>
      <c r="F493" s="496" t="str">
        <f>VLOOKUP(E493,'5.2 Actions'!$A$3:$B$720,2,0)</f>
        <v>Établir et mettre en œuvre une stratégie de déminéralisation et de végétalisation (plantation et entretien)  en voirie tenant compte de la gestion de l’eau</v>
      </c>
      <c r="G493" s="496" t="str">
        <f>"ACE"&amp;"-"&amp;VLOOKUP(D493,'6. Mesures_ Budget_ Maximaliste'!$A$4:$C$32,3,0)</f>
        <v>ACE-PP</v>
      </c>
      <c r="H493" s="496" t="str">
        <f>VLOOKUP(E493,'5.2 Actions'!$A$3:$D$720,4,0)</f>
        <v>SEN / WOL / CAN</v>
      </c>
      <c r="I493" s="497">
        <v>0</v>
      </c>
    </row>
    <row r="494" spans="1:9" ht="30" hidden="1" outlineLevel="2" x14ac:dyDescent="0.25">
      <c r="A494" s="114" t="str">
        <f t="shared" si="90"/>
        <v>5</v>
      </c>
      <c r="B494" t="str">
        <f t="shared" si="91"/>
        <v>4</v>
      </c>
      <c r="C494" s="114" t="str">
        <f t="shared" si="92"/>
        <v>2</v>
      </c>
      <c r="D494" s="495" t="s">
        <v>79</v>
      </c>
      <c r="E494" s="495" t="s">
        <v>418</v>
      </c>
      <c r="F494" s="496" t="str">
        <f>VLOOKUP(E494,'5.2 Actions'!$A$3:$B$720,2,0)</f>
        <v>Intégrer les prescriptions techniques des ouvrages et revêtements nécessaires à la mise en œuvre de la GIEP dans le Cahier des Charges Type Travaux (CCT)</v>
      </c>
      <c r="G494" s="496" t="str">
        <f>"ACE"&amp;"-"&amp;VLOOKUP(D494,'6. Mesures_ Budget_ Maximaliste'!$A$4:$C$32,3,0)</f>
        <v>ACE-PP</v>
      </c>
      <c r="H494" s="496" t="str">
        <f>VLOOKUP(E494,'5.2 Actions'!$A$3:$D$720,4,0)</f>
        <v>SEN / WOL / CAN</v>
      </c>
      <c r="I494" s="497">
        <v>0</v>
      </c>
    </row>
    <row r="495" spans="1:9" ht="30" hidden="1" outlineLevel="2" x14ac:dyDescent="0.25">
      <c r="A495" s="114" t="str">
        <f t="shared" si="90"/>
        <v>5</v>
      </c>
      <c r="B495" t="str">
        <f t="shared" si="91"/>
        <v>4</v>
      </c>
      <c r="C495" s="114" t="str">
        <f t="shared" si="92"/>
        <v>3</v>
      </c>
      <c r="D495" s="495" t="s">
        <v>79</v>
      </c>
      <c r="E495" s="495" t="s">
        <v>419</v>
      </c>
      <c r="F495" s="496" t="str">
        <f>VLOOKUP(E495,'5.2 Actions'!$A$3:$B$720,2,0)</f>
        <v>Rédiger et diffuser un Vademecum sur la gestion des eaux pluviales dans les espaces publics</v>
      </c>
      <c r="G495" s="496" t="str">
        <f>"ACE"&amp;"-"&amp;VLOOKUP(D495,'6. Mesures_ Budget_ Maximaliste'!$A$4:$C$32,3,0)</f>
        <v>ACE-PP</v>
      </c>
      <c r="H495" s="496" t="str">
        <f>VLOOKUP(E495,'5.2 Actions'!$A$3:$D$720,4,0)</f>
        <v>SEN / WOL / CAN</v>
      </c>
      <c r="I495" s="497">
        <v>0</v>
      </c>
    </row>
    <row r="496" spans="1:9" ht="30" hidden="1" outlineLevel="2" x14ac:dyDescent="0.25">
      <c r="A496" s="114" t="str">
        <f t="shared" si="90"/>
        <v>5</v>
      </c>
      <c r="B496" t="str">
        <f t="shared" si="91"/>
        <v>4</v>
      </c>
      <c r="C496" s="114" t="str">
        <f t="shared" si="92"/>
        <v>4</v>
      </c>
      <c r="D496" s="495" t="s">
        <v>79</v>
      </c>
      <c r="E496" s="495" t="s">
        <v>420</v>
      </c>
      <c r="F496" s="496" t="str">
        <f>VLOOKUP(E496,'5.2 Actions'!$A$3:$B$720,2,0)</f>
        <v>Mise en œuvre d’une gestion intégrée des eaux pluviales dans les chantiers publics en suivant les lignes directrices d’un Vademecum « gestion des eaux pluviales »</v>
      </c>
      <c r="G496" s="496" t="str">
        <f>"ACE"&amp;"-"&amp;VLOOKUP(D496,'6. Mesures_ Budget_ Maximaliste'!$A$4:$C$32,3,0)</f>
        <v>ACE-PP</v>
      </c>
      <c r="H496" s="496" t="str">
        <f>VLOOKUP(E496,'5.2 Actions'!$A$3:$D$720,4,0)</f>
        <v>SEN / WOL / CAN</v>
      </c>
      <c r="I496" s="497">
        <v>0</v>
      </c>
    </row>
    <row r="497" spans="1:9" ht="30" hidden="1" outlineLevel="2" x14ac:dyDescent="0.25">
      <c r="A497" s="114" t="str">
        <f t="shared" si="90"/>
        <v>5</v>
      </c>
      <c r="B497" t="str">
        <f t="shared" si="91"/>
        <v>4</v>
      </c>
      <c r="C497" s="114" t="str">
        <f t="shared" si="92"/>
        <v>5</v>
      </c>
      <c r="D497" s="495" t="s">
        <v>79</v>
      </c>
      <c r="E497" s="495" t="s">
        <v>421</v>
      </c>
      <c r="F497" s="496" t="str">
        <f>VLOOKUP(E497,'5.2 Actions'!$A$3:$B$720,2,0)</f>
        <v>Se doter d’une Assistance à Maîtrise d’ouvrage pour garantir la bonne réalisation des chantiers/travaux dans le domaine de la gestion des eaux pluviales</v>
      </c>
      <c r="G497" s="496" t="str">
        <f>"ACE"&amp;"-"&amp;VLOOKUP(D497,'6. Mesures_ Budget_ Maximaliste'!$A$4:$C$32,3,0)</f>
        <v>ACE-PP</v>
      </c>
      <c r="H497" s="496" t="str">
        <f>VLOOKUP(E497,'5.2 Actions'!$A$3:$D$720,4,0)</f>
        <v>SEN / WOL / CAN</v>
      </c>
      <c r="I497" s="497">
        <v>200000</v>
      </c>
    </row>
    <row r="498" spans="1:9" ht="30" hidden="1" outlineLevel="2" x14ac:dyDescent="0.25">
      <c r="A498" s="114" t="str">
        <f t="shared" si="90"/>
        <v>5</v>
      </c>
      <c r="B498" t="str">
        <f t="shared" si="91"/>
        <v>4</v>
      </c>
      <c r="C498" s="114" t="str">
        <f t="shared" si="92"/>
        <v>6</v>
      </c>
      <c r="D498" s="495" t="s">
        <v>79</v>
      </c>
      <c r="E498" s="495" t="s">
        <v>422</v>
      </c>
      <c r="F498" s="496" t="str">
        <f>VLOOKUP(E498,'5.2 Actions'!$A$3:$B$720,2,0)</f>
        <v>Mettre en œuvre des projets de déconnexion et déminéralisation sur les espaces gérés par BE (Parc, espaces verts,...) comme lieux exemplaires de gestion intégrée et d’autres mesures de résilience</v>
      </c>
      <c r="G498" s="496" t="str">
        <f>"ACE"&amp;"-"&amp;VLOOKUP(D498,'6. Mesures_ Budget_ Maximaliste'!$A$4:$C$32,3,0)</f>
        <v>ACE-PP</v>
      </c>
      <c r="H498" s="496" t="str">
        <f>VLOOKUP(E498,'5.2 Actions'!$A$3:$D$720,4,0)</f>
        <v>SEN / WOL / CAN</v>
      </c>
      <c r="I498" s="497">
        <v>800000</v>
      </c>
    </row>
    <row r="499" spans="1:9" hidden="1" outlineLevel="2" x14ac:dyDescent="0.25">
      <c r="A499" s="114" t="str">
        <f t="shared" si="90"/>
        <v>5</v>
      </c>
      <c r="B499" t="str">
        <f t="shared" si="91"/>
        <v>4</v>
      </c>
      <c r="C499" s="114" t="str">
        <f t="shared" si="92"/>
        <v>7</v>
      </c>
      <c r="D499" s="495" t="s">
        <v>79</v>
      </c>
      <c r="E499" s="495" t="s">
        <v>423</v>
      </c>
      <c r="F499" s="496" t="str">
        <f>VLOOKUP(E499,'5.2 Actions'!$A$3:$B$720,2,0)</f>
        <v>Etablir un cadre régional pour faciliter et inciter les déconnexions de particuliers</v>
      </c>
      <c r="G499" s="496" t="str">
        <f>"ACE"&amp;"-"&amp;VLOOKUP(D499,'6. Mesures_ Budget_ Maximaliste'!$A$4:$C$32,3,0)</f>
        <v>ACE-PP</v>
      </c>
      <c r="H499" s="498">
        <f>VLOOKUP(E499,'5.2 Actions'!$A$3:$D$720,4,0)</f>
        <v>0</v>
      </c>
      <c r="I499" s="497">
        <v>0</v>
      </c>
    </row>
    <row r="500" spans="1:9" ht="30" hidden="1" outlineLevel="2" x14ac:dyDescent="0.25">
      <c r="A500" s="114" t="str">
        <f t="shared" si="90"/>
        <v>5</v>
      </c>
      <c r="B500" t="str">
        <f t="shared" si="91"/>
        <v>4</v>
      </c>
      <c r="C500" s="114" t="str">
        <f t="shared" si="92"/>
        <v>A</v>
      </c>
      <c r="D500" s="495" t="s">
        <v>79</v>
      </c>
      <c r="E500" s="495" t="s">
        <v>424</v>
      </c>
      <c r="F500" s="496" t="str">
        <f>VLOOKUP(E500,'5.2 Actions'!$A$3:$B$720,2,0)</f>
        <v>Cette mesure se fera également via l’accompagnement des acteurs concernés (M 5.3)</v>
      </c>
      <c r="G500" s="496" t="str">
        <f>"ACE"&amp;"-"&amp;VLOOKUP(D500,'6. Mesures_ Budget_ Maximaliste'!$A$4:$C$32,3,0)</f>
        <v>ACE-PP</v>
      </c>
      <c r="H500" s="496" t="str">
        <f>VLOOKUP(E500,'5.2 Actions'!$A$3:$D$720,4,0)</f>
        <v>SEN / WOL / CAN</v>
      </c>
      <c r="I500" s="497">
        <v>0</v>
      </c>
    </row>
    <row r="501" spans="1:9" hidden="1" outlineLevel="2" x14ac:dyDescent="0.25">
      <c r="A501" s="114" t="str">
        <f t="shared" si="90"/>
        <v>5</v>
      </c>
      <c r="B501" t="str">
        <f t="shared" si="91"/>
        <v>4</v>
      </c>
      <c r="C501" s="114" t="str">
        <f t="shared" si="92"/>
        <v>B</v>
      </c>
      <c r="D501" s="495" t="s">
        <v>79</v>
      </c>
      <c r="E501" s="495" t="s">
        <v>425</v>
      </c>
      <c r="F501" s="496" t="str">
        <f>VLOOKUP(E501,'5.2 Actions'!$A$3:$B$720,2,0)</f>
        <v>Les différents acteurs et privés feront en outre l’objet de mesures de soutien telles que  Subventions, primes, labels et autres mesures de soutien (M 8.3)</v>
      </c>
      <c r="G501" s="496" t="str">
        <f>"ACE"&amp;"-"&amp;VLOOKUP(D501,'6. Mesures_ Budget_ Maximaliste'!$A$4:$C$32,3,0)</f>
        <v>ACE-PP</v>
      </c>
      <c r="H501" s="498">
        <f>VLOOKUP(E501,'5.2 Actions'!$A$3:$D$720,4,0)</f>
        <v>0</v>
      </c>
      <c r="I501" s="497">
        <v>0</v>
      </c>
    </row>
    <row r="502" spans="1:9" ht="30" hidden="1" outlineLevel="2" x14ac:dyDescent="0.25">
      <c r="A502" s="114" t="str">
        <f t="shared" si="90"/>
        <v>5</v>
      </c>
      <c r="B502" t="str">
        <f t="shared" si="91"/>
        <v>4</v>
      </c>
      <c r="C502" s="114" t="str">
        <f t="shared" si="92"/>
        <v>C</v>
      </c>
      <c r="D502" s="495" t="s">
        <v>79</v>
      </c>
      <c r="E502" s="495" t="s">
        <v>426</v>
      </c>
      <c r="F502" s="496" t="str">
        <f>VLOOKUP(E502,'5.2 Actions'!$A$3:$B$720,2,0)</f>
        <v>Des mesures de communication et de sensibilisation seront également prévues (M 5.29)</v>
      </c>
      <c r="G502" s="496" t="str">
        <f>"ACE"&amp;"-"&amp;VLOOKUP(D502,'6. Mesures_ Budget_ Maximaliste'!$A$4:$C$32,3,0)</f>
        <v>ACE-PP</v>
      </c>
      <c r="H502" s="496" t="str">
        <f>VLOOKUP(E502,'5.2 Actions'!$A$3:$D$720,4,0)</f>
        <v>SEN / WOL / CAN</v>
      </c>
      <c r="I502" s="497">
        <v>0</v>
      </c>
    </row>
    <row r="503" spans="1:9" ht="30" hidden="1" outlineLevel="2" x14ac:dyDescent="0.25">
      <c r="A503" s="114" t="str">
        <f t="shared" si="90"/>
        <v>5</v>
      </c>
      <c r="B503" t="str">
        <f t="shared" si="91"/>
        <v>4</v>
      </c>
      <c r="C503" s="114" t="str">
        <f t="shared" si="92"/>
        <v>D</v>
      </c>
      <c r="D503" s="495" t="s">
        <v>79</v>
      </c>
      <c r="E503" s="495" t="s">
        <v>427</v>
      </c>
      <c r="F503" s="496" t="str">
        <f>VLOOKUP(E503,'5.2 Actions'!$A$3:$B$720,2,0)</f>
        <v>L’intégration de la GIEP dans les outils de l’aménagement du territoire est prévu (M 5.1)</v>
      </c>
      <c r="G503" s="496" t="str">
        <f>"ACE"&amp;"-"&amp;VLOOKUP(D503,'6. Mesures_ Budget_ Maximaliste'!$A$4:$C$32,3,0)</f>
        <v>ACE-PP</v>
      </c>
      <c r="H503" s="496" t="str">
        <f>VLOOKUP(E503,'5.2 Actions'!$A$3:$D$720,4,0)</f>
        <v>SEN / WOL / CAN</v>
      </c>
      <c r="I503" s="497">
        <v>0</v>
      </c>
    </row>
    <row r="504" spans="1:9" s="494" customFormat="1" hidden="1" outlineLevel="1" collapsed="1" x14ac:dyDescent="0.25">
      <c r="D504" s="500" t="s">
        <v>80</v>
      </c>
      <c r="E504" s="500"/>
      <c r="F504" s="501" t="str">
        <f>VLOOKUP(D504,'1. Mesures'!$A$2:$B$116,2,0)</f>
        <v>Inventorier et mettre en place un système de contrôle  des performances des aménagements GiEP</v>
      </c>
      <c r="G504" s="501"/>
      <c r="H504" s="503"/>
      <c r="I504" s="502">
        <f>SUBTOTAL(9,I505:I508)</f>
        <v>0</v>
      </c>
    </row>
    <row r="505" spans="1:9" ht="75" hidden="1" outlineLevel="2" x14ac:dyDescent="0.25">
      <c r="A505" s="114" t="str">
        <f>MID(E505,1,1)</f>
        <v>5</v>
      </c>
      <c r="B505" t="str">
        <f>MID(E505,3,1)</f>
        <v>5</v>
      </c>
      <c r="C505" s="114" t="str">
        <f>MID(E505,5,2)</f>
        <v>1</v>
      </c>
      <c r="D505" s="495" t="s">
        <v>80</v>
      </c>
      <c r="E505" s="495" t="s">
        <v>1135</v>
      </c>
      <c r="F505" s="496" t="str">
        <f>VLOOKUP(E505,'5.2 Actions'!$A$3:$B$720,2,0)</f>
        <v>Poursuivre et améliorer la cartographie du « Maillage Pluie » répertoriant les dispositifs GiEP déployés dans les communes bruxelloises
Au fur et à mesure de la mise en place de dispositifs, il s’agit d’en établir un cadastre géo référencé robuste, pour ensuite maitriser l’information relative à leur efficacité, leur entretien,…en bref : permettre une gestion patrimoniale efficace.
Une gestion patrimoniale efficace des dispositifs implique un inventaire précis des installations en les catégorisant par typologie et en définissant les gestionnaires de chaque dispositif.</v>
      </c>
      <c r="G505" s="496"/>
      <c r="H505" s="498">
        <f>VLOOKUP(E505,'5.2 Actions'!$A$3:$D$720,4,0)</f>
        <v>0</v>
      </c>
      <c r="I505" s="497">
        <v>0</v>
      </c>
    </row>
    <row r="506" spans="1:9" ht="90" hidden="1" outlineLevel="2" x14ac:dyDescent="0.25">
      <c r="A506" s="114" t="str">
        <f>MID(E506,1,1)</f>
        <v>5</v>
      </c>
      <c r="B506" t="str">
        <f>MID(E506,3,1)</f>
        <v>5</v>
      </c>
      <c r="C506" s="114" t="str">
        <f>MID(E506,5,2)</f>
        <v>2</v>
      </c>
      <c r="D506" s="495" t="s">
        <v>80</v>
      </c>
      <c r="E506" s="495" t="s">
        <v>1136</v>
      </c>
      <c r="F506" s="496" t="str">
        <f>VLOOKUP(E506,'5.2 Actions'!$A$3:$B$720,2,0)</f>
        <v>Mettre en place un tableau de bord permettant d’assurer un suivi optimal de la performance des dispositifs GiEP déployés en RBC
Ancré sur le cadastre géo référencé, et dans le but de suivre l’efficacité de la mise en œuvre de l’ensemble de la politique de l’eau, les mesures nécessaires seront prises pour mettre en place les moyens de relever les indicateurs de performance.
Ce tableau de bord permettra également  de planifier les entretiens  des ouvrages, ainsi que leur réhabilitation éventuelle avec une budgétisation des coûts.
Les critères décrivant la performance devront être définis par rapport à plusieurs paramètres : comme par exemple celui de la capacité d’infiltration mais également la protection des eaux souterraines.</v>
      </c>
      <c r="G506" s="496"/>
      <c r="H506" s="498">
        <f>VLOOKUP(E506,'5.2 Actions'!$A$3:$D$720,4,0)</f>
        <v>0</v>
      </c>
      <c r="I506" s="497">
        <v>10000</v>
      </c>
    </row>
    <row r="507" spans="1:9" ht="60" hidden="1" outlineLevel="2" x14ac:dyDescent="0.25">
      <c r="A507" s="114" t="str">
        <f>MID(E507,1,1)</f>
        <v>5</v>
      </c>
      <c r="B507" t="str">
        <f>MID(E507,3,1)</f>
        <v>5</v>
      </c>
      <c r="C507" s="114" t="str">
        <f>MID(E507,5,2)</f>
        <v>3</v>
      </c>
      <c r="D507" s="495" t="s">
        <v>80</v>
      </c>
      <c r="E507" s="495" t="s">
        <v>1137</v>
      </c>
      <c r="F507" s="496" t="str">
        <f>VLOOKUP(E507,'5.2 Actions'!$A$3:$B$720,2,0)</f>
        <v>Sur base de l’inventaire détaillé des dispositifs GIEP, mettre en place un contrôle de leur efficacité/performance dans le temps. A la fois pour s’assurer de leur efficacité hydraulique et de résilience climatique, ainsi que pour bénéficier des retours d’expériences dans un objectif d’amélioration continue.
Rédiger le règlement utile à la mise en œuvre de cette mesure, et mettre en place un mécanisme et une cellule de contrôle des dispositifs.
Ce type de mesure nécessite de nouvelles ressources humaines.</v>
      </c>
      <c r="G507" s="496"/>
      <c r="H507" s="498">
        <f>VLOOKUP(E507,'5.2 Actions'!$A$3:$D$720,4,0)</f>
        <v>0</v>
      </c>
      <c r="I507" s="497">
        <v>400000</v>
      </c>
    </row>
    <row r="508" spans="1:9" hidden="1" outlineLevel="2" x14ac:dyDescent="0.25">
      <c r="A508" s="114" t="str">
        <f>MID(E508,1,1)</f>
        <v>5</v>
      </c>
      <c r="B508" t="str">
        <f>MID(E508,3,1)</f>
        <v>5</v>
      </c>
      <c r="C508" s="114" t="str">
        <f>MID(E508,5,2)</f>
        <v>4</v>
      </c>
      <c r="D508" s="495" t="s">
        <v>80</v>
      </c>
      <c r="E508" s="495" t="s">
        <v>1138</v>
      </c>
      <c r="F508" s="496" t="str">
        <f>VLOOKUP(E508,'5.2 Actions'!$A$3:$B$720,2,0)</f>
        <v>Assurer un suivi des ouvrages de gestion d’eau et leur alimentation via notamment des sondes dans les plantations (tensiométriques et qualité)</v>
      </c>
      <c r="G508" s="496"/>
      <c r="H508" s="498">
        <f>VLOOKUP(E508,'5.2 Actions'!$A$3:$D$720,4,0)</f>
        <v>0</v>
      </c>
      <c r="I508" s="497">
        <v>0</v>
      </c>
    </row>
    <row r="509" spans="1:9" s="494" customFormat="1" hidden="1" outlineLevel="1" collapsed="1" x14ac:dyDescent="0.25">
      <c r="D509" s="500" t="s">
        <v>81</v>
      </c>
      <c r="E509" s="500"/>
      <c r="F509" s="501" t="str">
        <f>VLOOKUP(D509,'1. Mesures'!$A$2:$B$116,2,0)</f>
        <v>Mener des projets pilotes ouvrant la voie à l’innovation et des études permettant d'objectiver l'impact des mesures liées aux changements climatiques</v>
      </c>
      <c r="G509" s="501"/>
      <c r="H509" s="503"/>
      <c r="I509" s="502">
        <f>SUBTOTAL(9,I510:I517)</f>
        <v>0</v>
      </c>
    </row>
    <row r="510" spans="1:9" ht="30" hidden="1" outlineLevel="2" x14ac:dyDescent="0.25">
      <c r="A510" s="114" t="str">
        <f t="shared" ref="A510:A517" si="93">MID(E510,1,1)</f>
        <v>5</v>
      </c>
      <c r="B510" t="str">
        <f t="shared" ref="B510:B517" si="94">MID(E510,3,1)</f>
        <v>6</v>
      </c>
      <c r="C510" s="114" t="str">
        <f t="shared" ref="C510:C517" si="95">MID(E510,5,2)</f>
        <v>1</v>
      </c>
      <c r="D510" s="495" t="s">
        <v>81</v>
      </c>
      <c r="E510" s="495" t="s">
        <v>1139</v>
      </c>
      <c r="F510" s="496" t="str">
        <f>VLOOKUP(E510,'5.2 Actions'!$A$3:$B$720,2,0)</f>
        <v>Réaliser des études et projets « pilotes » pour cartographier progressivement sur chaque parcelle le potentiel de déconnexion par bassins versants sur l’ensemble de la Région et rendre les résultats accessibles pour en faire un outil d’aide à la décision de mise en œuvre accélérée de la GiEP (M 5.5.)</v>
      </c>
      <c r="G510" s="496"/>
      <c r="H510" s="498">
        <f>VLOOKUP(E510,'5.2 Actions'!$A$3:$D$720,4,0)</f>
        <v>0</v>
      </c>
      <c r="I510" s="497">
        <v>700000</v>
      </c>
    </row>
    <row r="511" spans="1:9" ht="30" hidden="1" outlineLevel="2" x14ac:dyDescent="0.25">
      <c r="A511" s="114" t="str">
        <f t="shared" si="93"/>
        <v>5</v>
      </c>
      <c r="B511" t="str">
        <f t="shared" si="94"/>
        <v>6</v>
      </c>
      <c r="C511" s="114" t="str">
        <f t="shared" si="95"/>
        <v>2</v>
      </c>
      <c r="D511" s="495" t="s">
        <v>81</v>
      </c>
      <c r="E511" s="495" t="s">
        <v>1140</v>
      </c>
      <c r="F511" s="496" t="str">
        <f>VLOOKUP(E511,'5.2 Actions'!$A$3:$B$720,2,0)</f>
        <v>Sur base de ces études et d’un inventaire de l’existant (voir M 5.5), évaluer l’impact attendu de différents scenarios d’ambition de déconnexion sur une série d’indicateurs de performance (volumes pouvant être soustraits des réseaux, …) et des bénéfices écosystémiques (îlots de chaleur urbains)</v>
      </c>
      <c r="G511" s="496"/>
      <c r="H511" s="498">
        <f>VLOOKUP(E511,'5.2 Actions'!$A$3:$D$720,4,0)</f>
        <v>0</v>
      </c>
      <c r="I511" s="497">
        <v>70000</v>
      </c>
    </row>
    <row r="512" spans="1:9" ht="30" hidden="1" outlineLevel="2" x14ac:dyDescent="0.25">
      <c r="A512" s="114" t="str">
        <f t="shared" si="93"/>
        <v>5</v>
      </c>
      <c r="B512" t="str">
        <f t="shared" si="94"/>
        <v>6</v>
      </c>
      <c r="C512" s="114" t="str">
        <f t="shared" si="95"/>
        <v>3</v>
      </c>
      <c r="D512" s="495" t="s">
        <v>81</v>
      </c>
      <c r="E512" s="495" t="s">
        <v>1141</v>
      </c>
      <c r="F512" s="496" t="str">
        <f>VLOOKUP(E512,'5.2 Actions'!$A$3:$B$720,2,0)</f>
        <v>Développer un outil permettant, à l’instar de BEST (Benefits Estimation Tool), d’évaluer et monétiser les avantages écosystémiques des aménagements GiEP, en les comparant à leurs coûts de mise en œuvre et d’entretien tout au long de leur cycle de vie.</v>
      </c>
      <c r="G512" s="496"/>
      <c r="H512" s="498">
        <f>VLOOKUP(E512,'5.2 Actions'!$A$3:$D$720,4,0)</f>
        <v>0</v>
      </c>
      <c r="I512" s="497">
        <v>40000</v>
      </c>
    </row>
    <row r="513" spans="1:9" ht="45" hidden="1" outlineLevel="2" x14ac:dyDescent="0.25">
      <c r="A513" s="114" t="str">
        <f t="shared" si="93"/>
        <v>5</v>
      </c>
      <c r="B513" t="str">
        <f t="shared" si="94"/>
        <v>6</v>
      </c>
      <c r="C513" s="114" t="str">
        <f t="shared" si="95"/>
        <v>4</v>
      </c>
      <c r="D513" s="495" t="s">
        <v>81</v>
      </c>
      <c r="E513" s="495" t="s">
        <v>1142</v>
      </c>
      <c r="F513" s="496" t="str">
        <f>VLOOKUP(E513,'5.2 Actions'!$A$3:$B$720,2,0)</f>
        <v>Mieux caractériser dans le contexte bruxellois les risques posés par les ouvrages de gestion en se basant sur les résultats de monitoring et d’études complémentaires, notamment modélisation de la vulnérabilité des eaux souterraines dans le contexte bruxellois, et sur cette base, revoir les outils d’aide à la décision (lignes directrices, vademecums, outils de calculs,…).</v>
      </c>
      <c r="G513" s="496"/>
      <c r="H513" s="498">
        <f>VLOOKUP(E513,'5.2 Actions'!$A$3:$D$720,4,0)</f>
        <v>0</v>
      </c>
      <c r="I513" s="497">
        <v>220000</v>
      </c>
    </row>
    <row r="514" spans="1:9" ht="30" hidden="1" outlineLevel="2" x14ac:dyDescent="0.25">
      <c r="A514" s="114" t="str">
        <f t="shared" si="93"/>
        <v>5</v>
      </c>
      <c r="B514" t="str">
        <f t="shared" si="94"/>
        <v>6</v>
      </c>
      <c r="C514" s="114" t="str">
        <f t="shared" si="95"/>
        <v>5</v>
      </c>
      <c r="D514" s="495" t="s">
        <v>81</v>
      </c>
      <c r="E514" s="495" t="s">
        <v>1143</v>
      </c>
      <c r="F514" s="496" t="str">
        <f>VLOOKUP(E514,'5.2 Actions'!$A$3:$B$720,2,0)</f>
        <v>Etudier l’impact environnemental de différents revêtements, notamment par rapport aux ilots de chaleur urbains afin d’objectiver les stratégies de pose (choix des matériaux, emplacement, modalités de mise en œuvre,…)</v>
      </c>
      <c r="G514" s="496"/>
      <c r="H514" s="498">
        <f>VLOOKUP(E514,'5.2 Actions'!$A$3:$D$720,4,0)</f>
        <v>0</v>
      </c>
      <c r="I514" s="497">
        <v>0</v>
      </c>
    </row>
    <row r="515" spans="1:9" hidden="1" outlineLevel="2" x14ac:dyDescent="0.25">
      <c r="A515" s="114" t="str">
        <f t="shared" si="93"/>
        <v>5</v>
      </c>
      <c r="B515" t="str">
        <f t="shared" si="94"/>
        <v>6</v>
      </c>
      <c r="C515" s="114" t="str">
        <f t="shared" si="95"/>
        <v>6</v>
      </c>
      <c r="D515" s="495" t="s">
        <v>81</v>
      </c>
      <c r="E515" s="495" t="s">
        <v>1144</v>
      </c>
      <c r="F515" s="496" t="str">
        <f>VLOOKUP(E515,'5.2 Actions'!$A$3:$B$720,2,0)</f>
        <v>Sur base des mesures précédentes, établir une balance risque/bénéfice pour aboutir à la meilleure stratégie de gestion possible</v>
      </c>
      <c r="G515" s="496"/>
      <c r="H515" s="498">
        <f>VLOOKUP(E515,'5.2 Actions'!$A$3:$D$720,4,0)</f>
        <v>0</v>
      </c>
      <c r="I515" s="497">
        <v>0</v>
      </c>
    </row>
    <row r="516" spans="1:9" ht="30" hidden="1" outlineLevel="2" x14ac:dyDescent="0.25">
      <c r="A516" s="114" t="str">
        <f t="shared" si="93"/>
        <v>5</v>
      </c>
      <c r="B516" t="str">
        <f t="shared" si="94"/>
        <v>6</v>
      </c>
      <c r="C516" s="114" t="str">
        <f t="shared" si="95"/>
        <v>7</v>
      </c>
      <c r="D516" s="495" t="s">
        <v>81</v>
      </c>
      <c r="E516" s="495" t="s">
        <v>1145</v>
      </c>
      <c r="F516" s="496" t="str">
        <f>VLOOKUP(E516,'5.2 Actions'!$A$3:$B$720,2,0)</f>
        <v>Afin de mieux catégoriser le risque spécifique posé pour les ouvrages de gestion, réaliser un diagnostic à l’échelle communale et régionale dans l’usage du sel comme fondant chimique</v>
      </c>
      <c r="G516" s="496"/>
      <c r="H516" s="498">
        <f>VLOOKUP(E516,'5.2 Actions'!$A$3:$D$720,4,0)</f>
        <v>0</v>
      </c>
      <c r="I516" s="497">
        <v>40000</v>
      </c>
    </row>
    <row r="517" spans="1:9" hidden="1" outlineLevel="2" x14ac:dyDescent="0.25">
      <c r="A517" s="114" t="str">
        <f t="shared" si="93"/>
        <v>5</v>
      </c>
      <c r="B517" t="str">
        <f t="shared" si="94"/>
        <v>6</v>
      </c>
      <c r="C517" s="114" t="str">
        <f t="shared" si="95"/>
        <v>8</v>
      </c>
      <c r="D517" s="495" t="s">
        <v>81</v>
      </c>
      <c r="E517" s="495" t="s">
        <v>1146</v>
      </c>
      <c r="F517" s="496" t="str">
        <f>VLOOKUP(E517,'5.2 Actions'!$A$3:$B$720,2,0)</f>
        <v>Actualiser la cartographie régionale du taux d’imperméabilisation des sols</v>
      </c>
      <c r="G517" s="496"/>
      <c r="H517" s="498">
        <f>VLOOKUP(E517,'5.2 Actions'!$A$3:$D$720,4,0)</f>
        <v>0</v>
      </c>
      <c r="I517" s="497">
        <v>40000</v>
      </c>
    </row>
    <row r="518" spans="1:9" s="494" customFormat="1" hidden="1" outlineLevel="1" collapsed="1" x14ac:dyDescent="0.25">
      <c r="D518" s="500" t="s">
        <v>82</v>
      </c>
      <c r="E518" s="500"/>
      <c r="F518" s="501" t="str">
        <f>VLOOKUP(D518,'1. Mesures'!$A$2:$B$116,2,0)</f>
        <v>Assurer la temporisation des eaux pluviales ainsi que leur valorisation optimale en cas de contraintes menant à leurs rejets hors de la parcelle</v>
      </c>
      <c r="G518" s="501"/>
      <c r="H518" s="503"/>
      <c r="I518" s="502">
        <f>SUBTOTAL(9,I519:I525)</f>
        <v>0</v>
      </c>
    </row>
    <row r="519" spans="1:9" ht="30" hidden="1" outlineLevel="2" x14ac:dyDescent="0.25">
      <c r="A519" s="114" t="str">
        <f t="shared" ref="A519:A525" si="96">MID(E519,1,1)</f>
        <v>5</v>
      </c>
      <c r="B519" t="str">
        <f t="shared" ref="B519:B525" si="97">MID(E519,3,1)</f>
        <v>7</v>
      </c>
      <c r="C519" s="114" t="str">
        <f t="shared" ref="C519:C525" si="98">MID(E519,5,2)</f>
        <v>1</v>
      </c>
      <c r="D519" s="495" t="s">
        <v>82</v>
      </c>
      <c r="E519" s="495" t="s">
        <v>1147</v>
      </c>
      <c r="F519" s="496" t="str">
        <f>VLOOKUP(E519,'5.2 Actions'!$A$3:$B$720,2,0)</f>
        <v>Intégrer dans les outils règlementaires des mesures dérogatoires menant au recours à une simple temporisation avec débit limité, lorsque la solution GIEP est démontrée avoir atteint sa limite, pour gérer en tout ou en partie les eaux de ruissellement de la parcelle privée ou publique considérée.</v>
      </c>
      <c r="G519" s="496"/>
      <c r="H519" s="498">
        <f>VLOOKUP(E519,'5.2 Actions'!$A$3:$D$720,4,0)</f>
        <v>0</v>
      </c>
      <c r="I519" s="497">
        <v>0</v>
      </c>
    </row>
    <row r="520" spans="1:9" ht="45" hidden="1" outlineLevel="2" x14ac:dyDescent="0.25">
      <c r="A520" s="114" t="str">
        <f t="shared" si="96"/>
        <v>5</v>
      </c>
      <c r="B520" t="str">
        <f t="shared" si="97"/>
        <v>7</v>
      </c>
      <c r="C520" s="114" t="str">
        <f t="shared" si="98"/>
        <v>2</v>
      </c>
      <c r="D520" s="495" t="s">
        <v>82</v>
      </c>
      <c r="E520" s="495" t="s">
        <v>1148</v>
      </c>
      <c r="F520" s="496" t="str">
        <f>VLOOKUP(E520,'5.2 Actions'!$A$3:$B$720,2,0)</f>
        <v>Intégrer dans les nouvelles Conditions générales « eaux pluviales » du Permis d’Environnement, des mesures dérogatoires menant au recours à une simple temporisation avec débit limité, lorsque la solution GIEP est démontrée avoir atteint sa limite, pour gérer en tout ou en partie les eaux de ruissellement de la parcelle privée ou publique considérée.</v>
      </c>
      <c r="G520" s="496"/>
      <c r="H520" s="498">
        <f>VLOOKUP(E520,'5.2 Actions'!$A$3:$D$720,4,0)</f>
        <v>0</v>
      </c>
      <c r="I520" s="497">
        <v>0</v>
      </c>
    </row>
    <row r="521" spans="1:9" hidden="1" outlineLevel="2" x14ac:dyDescent="0.25">
      <c r="A521" s="114" t="str">
        <f t="shared" si="96"/>
        <v>5</v>
      </c>
      <c r="B521" t="str">
        <f t="shared" si="97"/>
        <v>7</v>
      </c>
      <c r="C521" s="114" t="str">
        <f t="shared" si="98"/>
        <v>3</v>
      </c>
      <c r="D521" s="495" t="s">
        <v>82</v>
      </c>
      <c r="E521" s="495" t="s">
        <v>1149</v>
      </c>
      <c r="F521" s="496" t="str">
        <f>VLOOKUP(E521,'5.2 Actions'!$A$3:$B$720,2,0)</f>
        <v>Poursuivre le recensement des bassins d’orage visés par l’arrêté du Gouvernement du 23 mai 2019</v>
      </c>
      <c r="G521" s="496"/>
      <c r="H521" s="498">
        <f>VLOOKUP(E521,'5.2 Actions'!$A$3:$D$720,4,0)</f>
        <v>0</v>
      </c>
      <c r="I521" s="497">
        <v>0</v>
      </c>
    </row>
    <row r="522" spans="1:9" hidden="1" outlineLevel="2" x14ac:dyDescent="0.25">
      <c r="A522" s="114" t="str">
        <f t="shared" si="96"/>
        <v>5</v>
      </c>
      <c r="B522" t="str">
        <f t="shared" si="97"/>
        <v>7</v>
      </c>
      <c r="C522" s="114" t="str">
        <f t="shared" si="98"/>
        <v>4</v>
      </c>
      <c r="D522" s="495" t="s">
        <v>82</v>
      </c>
      <c r="E522" s="495" t="s">
        <v>1150</v>
      </c>
      <c r="F522" s="496" t="str">
        <f>VLOOKUP(E522,'5.2 Actions'!$A$3:$B$720,2,0)</f>
        <v>Etablir un guide « exploitant » pour ces installations classées</v>
      </c>
      <c r="G522" s="496"/>
      <c r="H522" s="498">
        <f>VLOOKUP(E522,'5.2 Actions'!$A$3:$D$720,4,0)</f>
        <v>0</v>
      </c>
      <c r="I522" s="497">
        <v>0</v>
      </c>
    </row>
    <row r="523" spans="1:9" ht="30" hidden="1" outlineLevel="2" x14ac:dyDescent="0.25">
      <c r="A523" s="114" t="str">
        <f t="shared" si="96"/>
        <v>5</v>
      </c>
      <c r="B523" t="str">
        <f t="shared" si="97"/>
        <v>7</v>
      </c>
      <c r="C523" s="114" t="str">
        <f t="shared" si="98"/>
        <v>5</v>
      </c>
      <c r="D523" s="495" t="s">
        <v>82</v>
      </c>
      <c r="E523" s="495" t="s">
        <v>1151</v>
      </c>
      <c r="F523" s="496" t="str">
        <f>VLOOKUP(E523,'5.2 Actions'!$A$3:$B$720,2,0)</f>
        <v>Assurer les contrôles prévus par l’arrêté du Gouvernement de la région de Bruxelles-Capitale du 23 mai 2019 ou délégués par Bruxelles Environnement sur base des données transmises par Bruxelles Environnement, Urban et/ou les communes</v>
      </c>
      <c r="G523" s="496"/>
      <c r="H523" s="498">
        <f>VLOOKUP(E523,'5.2 Actions'!$A$3:$D$720,4,0)</f>
        <v>0</v>
      </c>
      <c r="I523" s="497">
        <v>0</v>
      </c>
    </row>
    <row r="524" spans="1:9" hidden="1" outlineLevel="2" x14ac:dyDescent="0.25">
      <c r="A524" s="114" t="str">
        <f t="shared" si="96"/>
        <v>5</v>
      </c>
      <c r="B524" t="str">
        <f t="shared" si="97"/>
        <v>7</v>
      </c>
      <c r="C524" s="114" t="str">
        <f t="shared" si="98"/>
        <v>6</v>
      </c>
      <c r="D524" s="495" t="s">
        <v>82</v>
      </c>
      <c r="E524" s="495" t="s">
        <v>1152</v>
      </c>
      <c r="F524" s="496" t="str">
        <f>VLOOKUP(E524,'5.2 Actions'!$A$3:$B$720,2,0)</f>
        <v>Evaluer la bonne effectivité de la règlementation au regard des objectifs poursuivis et proposer d’éventuelles améliorations</v>
      </c>
      <c r="G524" s="496"/>
      <c r="H524" s="498">
        <f>VLOOKUP(E524,'5.2 Actions'!$A$3:$D$720,4,0)</f>
        <v>0</v>
      </c>
      <c r="I524" s="497">
        <v>0</v>
      </c>
    </row>
    <row r="525" spans="1:9" ht="45" hidden="1" outlineLevel="2" x14ac:dyDescent="0.25">
      <c r="A525" s="114" t="str">
        <f t="shared" si="96"/>
        <v>5</v>
      </c>
      <c r="B525" t="str">
        <f t="shared" si="97"/>
        <v>7</v>
      </c>
      <c r="C525" s="114" t="str">
        <f t="shared" si="98"/>
        <v>7</v>
      </c>
      <c r="D525" s="495" t="s">
        <v>82</v>
      </c>
      <c r="E525" s="495" t="s">
        <v>1153</v>
      </c>
      <c r="F525" s="496" t="str">
        <f>VLOOKUP(E525,'5.2 Actions'!$A$3:$B$720,2,0)</f>
        <v>Favoriser l’utilisation des méthodes de tamponnage avec débit limité qui ont le moindre impact négatif environnemental.
Certains types de matériaux (plastic, béton, résines,…) ou mise en œuvre (profondeur, surface imperméable supplémentaire) présentent un impact environnemental plus négatif que d’autres. Une sensibilisation sur l’importance de ces choix doit être réalisée.</v>
      </c>
      <c r="G525" s="496"/>
      <c r="H525" s="498">
        <f>VLOOKUP(E525,'5.2 Actions'!$A$3:$D$720,4,0)</f>
        <v>0</v>
      </c>
      <c r="I525" s="497">
        <v>0</v>
      </c>
    </row>
    <row r="526" spans="1:9" s="494" customFormat="1" hidden="1" outlineLevel="1" collapsed="1" x14ac:dyDescent="0.25">
      <c r="D526" s="500" t="s">
        <v>83</v>
      </c>
      <c r="E526" s="500"/>
      <c r="F526" s="501" t="str">
        <f>VLOOKUP(D526,'1. Mesures'!$A$2:$B$116,2,0)</f>
        <v>Délester la Senne  en cas de crue pour protéger le centre-ville</v>
      </c>
      <c r="G526" s="501"/>
      <c r="H526" s="503"/>
      <c r="I526" s="502">
        <f>SUBTOTAL(9,I527:I528)</f>
        <v>0</v>
      </c>
    </row>
    <row r="527" spans="1:9" hidden="1" outlineLevel="2" x14ac:dyDescent="0.25">
      <c r="A527" s="114" t="str">
        <f>MID(E527,1,1)</f>
        <v>5</v>
      </c>
      <c r="B527" t="str">
        <f>MID(E527,3,1)</f>
        <v>8</v>
      </c>
      <c r="C527" s="114" t="str">
        <f>MID(E527,5,2)</f>
        <v>1</v>
      </c>
      <c r="D527" s="495" t="s">
        <v>83</v>
      </c>
      <c r="E527" s="495" t="s">
        <v>1154</v>
      </c>
      <c r="F527" s="496" t="str">
        <f>VLOOKUP(E527,'5.2 Actions'!$A$3:$B$720,2,0)</f>
        <v>Entretenir la déviation d’Aa et les vannes vers le Canal</v>
      </c>
      <c r="G527" s="496"/>
      <c r="H527" s="498">
        <f>VLOOKUP(E527,'5.2 Actions'!$A$3:$D$720,4,0)</f>
        <v>0</v>
      </c>
      <c r="I527" s="497">
        <v>0</v>
      </c>
    </row>
    <row r="528" spans="1:9" hidden="1" outlineLevel="2" x14ac:dyDescent="0.25">
      <c r="A528" s="114" t="str">
        <f>MID(E528,1,1)</f>
        <v>5</v>
      </c>
      <c r="B528" t="str">
        <f>MID(E528,3,1)</f>
        <v>8</v>
      </c>
      <c r="C528" s="114" t="str">
        <f>MID(E528,5,2)</f>
        <v>2</v>
      </c>
      <c r="D528" s="495" t="s">
        <v>83</v>
      </c>
      <c r="E528" s="495" t="s">
        <v>1155</v>
      </c>
      <c r="F528" s="496" t="str">
        <f>VLOOKUP(E528,'5.2 Actions'!$A$3:$B$720,2,0)</f>
        <v>Assurer la surveillance pour activer au besoin la déviation</v>
      </c>
      <c r="G528" s="496"/>
      <c r="H528" s="498">
        <f>VLOOKUP(E528,'5.2 Actions'!$A$3:$D$720,4,0)</f>
        <v>0</v>
      </c>
      <c r="I528" s="497">
        <v>0</v>
      </c>
    </row>
    <row r="529" spans="1:9" s="494" customFormat="1" ht="28.5" hidden="1" outlineLevel="1" collapsed="1" x14ac:dyDescent="0.25">
      <c r="D529" s="500" t="s">
        <v>84</v>
      </c>
      <c r="E529" s="500"/>
      <c r="F529" s="501" t="str">
        <f>VLOOKUP(D529,'1. Mesures'!$A$2:$B$116,2,0)</f>
        <v>Aménager le réseau hydrographique (eaux de surface, étangs et zones humides) afin d'améliorer sa capacité de tamponnage des crues et son rôle d’exutoire d’eaux claires.</v>
      </c>
      <c r="G529" s="501"/>
      <c r="H529" s="503"/>
      <c r="I529" s="502">
        <f>SUBTOTAL(9,I530:I534)</f>
        <v>0</v>
      </c>
    </row>
    <row r="530" spans="1:9" ht="30" hidden="1" outlineLevel="2" x14ac:dyDescent="0.25">
      <c r="A530" s="114" t="str">
        <f>MID(E530,1,1)</f>
        <v>5</v>
      </c>
      <c r="B530" t="str">
        <f>MID(E530,3,1)</f>
        <v>9</v>
      </c>
      <c r="C530" s="114" t="str">
        <f>MID(E530,5,2)</f>
        <v>1</v>
      </c>
      <c r="D530" s="495" t="s">
        <v>84</v>
      </c>
      <c r="E530" s="495" t="s">
        <v>1156</v>
      </c>
      <c r="F530" s="496" t="str">
        <f>VLOOKUP(E530,'5.2 Actions'!$A$3:$B$720,2,0)</f>
        <v>Analyser cartographiquement les besoin de libération d’emprise, surveiller les opportunités dans le lit majeur des cours d’eau et faire respecter la zone non aedificandi</v>
      </c>
      <c r="G530" s="496"/>
      <c r="H530" s="498">
        <f>VLOOKUP(E530,'5.2 Actions'!$A$3:$D$720,4,0)</f>
        <v>0</v>
      </c>
      <c r="I530" s="497">
        <v>30000</v>
      </c>
    </row>
    <row r="531" spans="1:9" hidden="1" outlineLevel="2" x14ac:dyDescent="0.25">
      <c r="A531" s="114" t="str">
        <f>MID(E531,1,1)</f>
        <v>5</v>
      </c>
      <c r="B531" t="str">
        <f>MID(E531,3,1)</f>
        <v>9</v>
      </c>
      <c r="C531" s="114" t="str">
        <f>MID(E531,5,2)</f>
        <v>2</v>
      </c>
      <c r="D531" s="495" t="s">
        <v>84</v>
      </c>
      <c r="E531" s="495" t="s">
        <v>1157</v>
      </c>
      <c r="F531" s="496" t="str">
        <f>VLOOKUP(E531,'5.2 Actions'!$A$3:$B$720,2,0)</f>
        <v>Intégrer l'objectif hydraulique lors de réaménagements des cours d’eau et des berges</v>
      </c>
      <c r="G531" s="496"/>
      <c r="H531" s="498">
        <f>VLOOKUP(E531,'5.2 Actions'!$A$3:$D$720,4,0)</f>
        <v>0</v>
      </c>
      <c r="I531" s="497">
        <v>0</v>
      </c>
    </row>
    <row r="532" spans="1:9" hidden="1" outlineLevel="2" x14ac:dyDescent="0.25">
      <c r="A532" s="114" t="str">
        <f>MID(E532,1,1)</f>
        <v>5</v>
      </c>
      <c r="B532" t="str">
        <f>MID(E532,3,1)</f>
        <v>9</v>
      </c>
      <c r="C532" s="114" t="str">
        <f>MID(E532,5,2)</f>
        <v>3</v>
      </c>
      <c r="D532" s="495" t="s">
        <v>84</v>
      </c>
      <c r="E532" s="495" t="s">
        <v>1158</v>
      </c>
      <c r="F532" s="496" t="str">
        <f>VLOOKUP(E532,'5.2 Actions'!$A$3:$B$720,2,0)</f>
        <v>Renforcer le tamponnage dans les étangs (adaptation des moines), pièces d’eau et dans le lit majeur des cours d’eau</v>
      </c>
      <c r="G532" s="496"/>
      <c r="H532" s="498">
        <f>VLOOKUP(E532,'5.2 Actions'!$A$3:$D$720,4,0)</f>
        <v>0</v>
      </c>
      <c r="I532" s="497">
        <v>0</v>
      </c>
    </row>
    <row r="533" spans="1:9" hidden="1" outlineLevel="2" x14ac:dyDescent="0.25">
      <c r="A533" s="114" t="str">
        <f>MID(E533,1,1)</f>
        <v>5</v>
      </c>
      <c r="B533" t="str">
        <f>MID(E533,3,1)</f>
        <v>9</v>
      </c>
      <c r="C533" s="114" t="str">
        <f>MID(E533,5,2)</f>
        <v>4</v>
      </c>
      <c r="D533" s="495" t="s">
        <v>84</v>
      </c>
      <c r="E533" s="495" t="s">
        <v>1159</v>
      </c>
      <c r="F533" s="496" t="str">
        <f>VLOOKUP(E533,'5.2 Actions'!$A$3:$B$720,2,0)</f>
        <v>Reprendre les eaux de ruissellement, les réseaux séparatifs dans le réseau hydrographique, quand le ratio coûts-bénéfices est favorable.</v>
      </c>
      <c r="G533" s="496"/>
      <c r="H533" s="498">
        <f>VLOOKUP(E533,'5.2 Actions'!$A$3:$D$720,4,0)</f>
        <v>0</v>
      </c>
      <c r="I533" s="497">
        <v>0</v>
      </c>
    </row>
    <row r="534" spans="1:9" ht="75" hidden="1" outlineLevel="2" x14ac:dyDescent="0.25">
      <c r="A534" s="114" t="str">
        <f>MID(E534,1,1)</f>
        <v>5</v>
      </c>
      <c r="B534" t="str">
        <f>MID(E534,3,1)</f>
        <v>9</v>
      </c>
      <c r="C534" s="114" t="str">
        <f>MID(E534,5,2)</f>
        <v>5</v>
      </c>
      <c r="D534" s="495" t="s">
        <v>84</v>
      </c>
      <c r="E534" s="495" t="s">
        <v>1160</v>
      </c>
      <c r="F534" s="496" t="str">
        <f>VLOOKUP(E534,'5.2 Actions'!$A$3:$B$720,2,0)</f>
        <v>Mettre en place des mesures visant l'utilisation du Canal comme milieu récepteur potentiel des eaux de ruissellement en provenance des zones limitrophes
-         Etablir un inventaire des réseaux d’eaux claires existants dans les berges/quais du Canal. Ils présentent un atout d’opportunité de branchements dont le rejet est déjà percé dans le mur de quai (cfr M1.5.9).
-         Définir les conditions applicables aux rejets d'eaux claires dans le Canal (qualité, débit)
-         Proposer une procédure facilitée au demandeur (formulaire de  demande, dossier-type…)</v>
      </c>
      <c r="G534" s="496"/>
      <c r="H534" s="498">
        <f>VLOOKUP(E534,'5.2 Actions'!$A$3:$D$720,4,0)</f>
        <v>0</v>
      </c>
      <c r="I534" s="497">
        <v>0</v>
      </c>
    </row>
    <row r="535" spans="1:9" s="494" customFormat="1" hidden="1" outlineLevel="1" collapsed="1" x14ac:dyDescent="0.25">
      <c r="D535" s="500" t="s">
        <v>85</v>
      </c>
      <c r="E535" s="500"/>
      <c r="F535" s="501" t="str">
        <f>VLOOKUP(D535,'1. Mesures'!$A$2:$B$116,2,0)</f>
        <v xml:space="preserve">Poursuivre le programme d’entretien du réseau d'assainissement </v>
      </c>
      <c r="G535" s="501"/>
      <c r="H535" s="503"/>
      <c r="I535" s="502">
        <f>SUBTOTAL(9,I536:I539)</f>
        <v>0</v>
      </c>
    </row>
    <row r="536" spans="1:9" hidden="1" outlineLevel="2" x14ac:dyDescent="0.25">
      <c r="A536" s="114" t="str">
        <f>MID(E536,1,1)</f>
        <v>5</v>
      </c>
      <c r="B536" t="str">
        <f>MID(E536,3,2)</f>
        <v>10</v>
      </c>
      <c r="C536" s="114" t="str">
        <f>MID(E536,6,2)</f>
        <v>1</v>
      </c>
      <c r="D536" s="495" t="s">
        <v>85</v>
      </c>
      <c r="E536" s="495" t="s">
        <v>1017</v>
      </c>
      <c r="F536" s="496" t="str">
        <f>VLOOKUP(E536,'5.2 Actions'!$A$3:$B$720,2,0)</f>
        <v>Poursuivre le programme d’état des lieux des égouts permettant d’identifier les tronçons nécessitant des travaux d’entretien.</v>
      </c>
      <c r="G536" s="496"/>
      <c r="H536" s="498">
        <f>VLOOKUP(E536,'5.2 Actions'!$A$3:$D$720,4,0)</f>
        <v>0</v>
      </c>
      <c r="I536" s="497">
        <v>0</v>
      </c>
    </row>
    <row r="537" spans="1:9" hidden="1" outlineLevel="2" x14ac:dyDescent="0.25">
      <c r="A537" s="114" t="str">
        <f>MID(E537,1,1)</f>
        <v>5</v>
      </c>
      <c r="B537" t="str">
        <f>MID(E537,3,2)</f>
        <v>10</v>
      </c>
      <c r="C537" s="114" t="str">
        <f>MID(E537,6,2)</f>
        <v>2</v>
      </c>
      <c r="D537" s="495" t="s">
        <v>85</v>
      </c>
      <c r="E537" s="495" t="s">
        <v>1018</v>
      </c>
      <c r="F537" s="496" t="str">
        <f>VLOOKUP(E537,'5.2 Actions'!$A$3:$B$720,2,0)</f>
        <v>Définition d’un plan structurel d’entretien pour les réseaux Identifier les zones sensibles pour les atterrissements</v>
      </c>
      <c r="G537" s="496"/>
      <c r="H537" s="498">
        <f>VLOOKUP(E537,'5.2 Actions'!$A$3:$D$720,4,0)</f>
        <v>0</v>
      </c>
      <c r="I537" s="497">
        <v>0</v>
      </c>
    </row>
    <row r="538" spans="1:9" hidden="1" outlineLevel="2" x14ac:dyDescent="0.25">
      <c r="A538" s="114" t="str">
        <f>MID(E538,1,1)</f>
        <v>5</v>
      </c>
      <c r="B538" t="str">
        <f>MID(E538,3,2)</f>
        <v>10</v>
      </c>
      <c r="C538" s="114" t="str">
        <f>MID(E538,6,2)</f>
        <v>3</v>
      </c>
      <c r="D538" s="495" t="s">
        <v>85</v>
      </c>
      <c r="E538" s="495" t="s">
        <v>1019</v>
      </c>
      <c r="F538" s="496" t="str">
        <f>VLOOKUP(E538,'5.2 Actions'!$A$3:$B$720,2,0)</f>
        <v>Entretenir les infrastructures hydrauliques existantes (pompes,…)</v>
      </c>
      <c r="G538" s="496"/>
      <c r="H538" s="498">
        <f>VLOOKUP(E538,'5.2 Actions'!$A$3:$D$720,4,0)</f>
        <v>0</v>
      </c>
      <c r="I538" s="497">
        <v>0</v>
      </c>
    </row>
    <row r="539" spans="1:9" hidden="1" outlineLevel="2" x14ac:dyDescent="0.25">
      <c r="A539" s="114" t="str">
        <f>MID(E539,1,1)</f>
        <v>5</v>
      </c>
      <c r="B539" t="str">
        <f>MID(E539,3,2)</f>
        <v>10</v>
      </c>
      <c r="C539" s="114" t="str">
        <f>MID(E539,6,2)</f>
        <v>4</v>
      </c>
      <c r="D539" s="495" t="s">
        <v>85</v>
      </c>
      <c r="E539" s="495" t="s">
        <v>1020</v>
      </c>
      <c r="F539" s="496" t="str">
        <f>VLOOKUP(E539,'5.2 Actions'!$A$3:$B$720,2,0)</f>
        <v>Procéder au curage régulier des cunettes en zone sensible sur base du programme d’entretien des infrastructures</v>
      </c>
      <c r="G539" s="496"/>
      <c r="H539" s="498">
        <f>VLOOKUP(E539,'5.2 Actions'!$A$3:$D$720,4,0)</f>
        <v>0</v>
      </c>
      <c r="I539" s="497">
        <v>0</v>
      </c>
    </row>
    <row r="540" spans="1:9" s="494" customFormat="1" ht="28.5" hidden="1" outlineLevel="1" collapsed="1" x14ac:dyDescent="0.25">
      <c r="D540" s="500" t="s">
        <v>86</v>
      </c>
      <c r="E540" s="500"/>
      <c r="F540" s="501" t="str">
        <f>VLOOKUP(D540,'1. Mesures'!$A$2:$B$116,2,0)</f>
        <v>Poursuivre le programme pluriannuel d’installation de bassins d’orage tenant compte des développements urbanistiques futurs, dont les aménagements mis en œuvre ou étudiés dans le cadre de la GiEP</v>
      </c>
      <c r="G540" s="501"/>
      <c r="H540" s="503"/>
      <c r="I540" s="502">
        <f>SUBTOTAL(9,I541:I547)</f>
        <v>0</v>
      </c>
    </row>
    <row r="541" spans="1:9" hidden="1" outlineLevel="2" x14ac:dyDescent="0.25">
      <c r="A541" s="114" t="str">
        <f t="shared" ref="A541:A547" si="99">MID(E541,1,1)</f>
        <v>5</v>
      </c>
      <c r="B541" t="str">
        <f t="shared" ref="B541:B547" si="100">MID(E541,3,2)</f>
        <v>11</v>
      </c>
      <c r="C541" s="114" t="str">
        <f t="shared" ref="C541:C547" si="101">MID(E541,6,2)</f>
        <v>1</v>
      </c>
      <c r="D541" s="495" t="s">
        <v>86</v>
      </c>
      <c r="E541" s="495" t="s">
        <v>1021</v>
      </c>
      <c r="F541" s="496" t="str">
        <f>VLOOKUP(E541,'5.2 Actions'!$A$3:$B$720,2,0)</f>
        <v>Vallée de la Woluwe aval</v>
      </c>
      <c r="G541" s="496"/>
      <c r="H541" s="498">
        <f>VLOOKUP(E541,'5.2 Actions'!$A$3:$D$720,4,0)</f>
        <v>0</v>
      </c>
      <c r="I541" s="497">
        <v>57000000</v>
      </c>
    </row>
    <row r="542" spans="1:9" hidden="1" outlineLevel="2" x14ac:dyDescent="0.25">
      <c r="A542" s="114" t="str">
        <f t="shared" si="99"/>
        <v>5</v>
      </c>
      <c r="B542" t="str">
        <f t="shared" si="100"/>
        <v>11</v>
      </c>
      <c r="C542" s="114" t="str">
        <f t="shared" si="101"/>
        <v>2</v>
      </c>
      <c r="D542" s="495" t="s">
        <v>86</v>
      </c>
      <c r="E542" s="495" t="s">
        <v>1022</v>
      </c>
      <c r="F542" s="496" t="str">
        <f>VLOOKUP(E542,'5.2 Actions'!$A$3:$B$720,2,0)</f>
        <v>Vallée du Molenbeek-aval/Heyselbeek</v>
      </c>
      <c r="G542" s="496"/>
      <c r="H542" s="498">
        <f>VLOOKUP(E542,'5.2 Actions'!$A$3:$D$720,4,0)</f>
        <v>0</v>
      </c>
      <c r="I542" s="497">
        <v>38600000</v>
      </c>
    </row>
    <row r="543" spans="1:9" hidden="1" outlineLevel="2" x14ac:dyDescent="0.25">
      <c r="A543" s="114" t="str">
        <f t="shared" si="99"/>
        <v>5</v>
      </c>
      <c r="B543" t="str">
        <f t="shared" si="100"/>
        <v>11</v>
      </c>
      <c r="C543" s="114" t="str">
        <f t="shared" si="101"/>
        <v>3</v>
      </c>
      <c r="D543" s="495" t="s">
        <v>86</v>
      </c>
      <c r="E543" s="495" t="s">
        <v>1023</v>
      </c>
      <c r="F543" s="496" t="str">
        <f>VLOOKUP(E543,'5.2 Actions'!$A$3:$B$720,2,0)</f>
        <v>Versant de Forest/Saint Gilles</v>
      </c>
      <c r="G543" s="496"/>
      <c r="H543" s="498">
        <f>VLOOKUP(E543,'5.2 Actions'!$A$3:$D$720,4,0)</f>
        <v>0</v>
      </c>
      <c r="I543" s="497">
        <v>6000000</v>
      </c>
    </row>
    <row r="544" spans="1:9" hidden="1" outlineLevel="2" x14ac:dyDescent="0.25">
      <c r="A544" s="114" t="str">
        <f t="shared" si="99"/>
        <v>5</v>
      </c>
      <c r="B544" t="str">
        <f t="shared" si="100"/>
        <v>11</v>
      </c>
      <c r="C544" s="114" t="str">
        <f t="shared" si="101"/>
        <v>4</v>
      </c>
      <c r="D544" s="495" t="s">
        <v>86</v>
      </c>
      <c r="E544" s="495" t="s">
        <v>1024</v>
      </c>
      <c r="F544" s="496" t="str">
        <f>VLOOKUP(E544,'5.2 Actions'!$A$3:$B$720,2,0)</f>
        <v>Vallée du Broeckbeek</v>
      </c>
      <c r="G544" s="496"/>
      <c r="H544" s="498">
        <f>VLOOKUP(E544,'5.2 Actions'!$A$3:$D$720,4,0)</f>
        <v>0</v>
      </c>
      <c r="I544" s="497">
        <v>0</v>
      </c>
    </row>
    <row r="545" spans="1:9" hidden="1" outlineLevel="2" x14ac:dyDescent="0.25">
      <c r="A545" s="114" t="str">
        <f t="shared" si="99"/>
        <v>5</v>
      </c>
      <c r="B545" t="str">
        <f t="shared" si="100"/>
        <v>11</v>
      </c>
      <c r="C545" s="114" t="str">
        <f t="shared" si="101"/>
        <v>5</v>
      </c>
      <c r="D545" s="495" t="s">
        <v>86</v>
      </c>
      <c r="E545" s="495" t="s">
        <v>1025</v>
      </c>
      <c r="F545" s="496" t="str">
        <f>VLOOKUP(E545,'5.2 Actions'!$A$3:$B$720,2,0)</f>
        <v>Vallée du Verrewinkelbeek</v>
      </c>
      <c r="G545" s="496"/>
      <c r="H545" s="498">
        <f>VLOOKUP(E545,'5.2 Actions'!$A$3:$D$720,4,0)</f>
        <v>0</v>
      </c>
      <c r="I545" s="497">
        <v>2700000</v>
      </c>
    </row>
    <row r="546" spans="1:9" hidden="1" outlineLevel="2" x14ac:dyDescent="0.25">
      <c r="A546" s="114" t="str">
        <f t="shared" si="99"/>
        <v>5</v>
      </c>
      <c r="B546" t="str">
        <f t="shared" si="100"/>
        <v>11</v>
      </c>
      <c r="C546" s="114" t="str">
        <f t="shared" si="101"/>
        <v>6</v>
      </c>
      <c r="D546" s="495" t="s">
        <v>86</v>
      </c>
      <c r="E546" s="495" t="s">
        <v>1026</v>
      </c>
      <c r="F546" s="496" t="str">
        <f>VLOOKUP(E546,'5.2 Actions'!$A$3:$B$720,2,0)</f>
        <v>Vallée du Paruck</v>
      </c>
      <c r="G546" s="496"/>
      <c r="H546" s="498">
        <f>VLOOKUP(E546,'5.2 Actions'!$A$3:$D$720,4,0)</f>
        <v>0</v>
      </c>
      <c r="I546" s="497">
        <v>0</v>
      </c>
    </row>
    <row r="547" spans="1:9" hidden="1" outlineLevel="2" x14ac:dyDescent="0.25">
      <c r="A547" s="114" t="str">
        <f t="shared" si="99"/>
        <v>5</v>
      </c>
      <c r="B547" t="str">
        <f t="shared" si="100"/>
        <v>11</v>
      </c>
      <c r="C547" s="114" t="str">
        <f t="shared" si="101"/>
        <v>7</v>
      </c>
      <c r="D547" s="495" t="s">
        <v>86</v>
      </c>
      <c r="E547" s="495" t="s">
        <v>1027</v>
      </c>
      <c r="F547" s="496" t="str">
        <f>VLOOKUP(E547,'5.2 Actions'!$A$3:$B$720,2,0)</f>
        <v>Ten Reuken</v>
      </c>
      <c r="G547" s="496"/>
      <c r="H547" s="498">
        <f>VLOOKUP(E547,'5.2 Actions'!$A$3:$D$720,4,0)</f>
        <v>0</v>
      </c>
      <c r="I547" s="497">
        <v>6500000</v>
      </c>
    </row>
    <row r="548" spans="1:9" s="494" customFormat="1" hidden="1" outlineLevel="1" collapsed="1" x14ac:dyDescent="0.25">
      <c r="D548" s="500" t="s">
        <v>88</v>
      </c>
      <c r="E548" s="500"/>
      <c r="F548" s="501" t="str">
        <f>VLOOKUP(D548,'1. Mesures'!$A$2:$B$116,2,0)</f>
        <v>Etablir une carte des zones inondables répondant aux critères de l'arrêté royal du 12 octobre 2005</v>
      </c>
      <c r="G548" s="501"/>
      <c r="H548" s="503"/>
      <c r="I548" s="502">
        <f>SUBTOTAL(9,I549:I551)</f>
        <v>0</v>
      </c>
    </row>
    <row r="549" spans="1:9" hidden="1" outlineLevel="2" x14ac:dyDescent="0.25">
      <c r="A549" s="114" t="str">
        <f>MID(E549,1,1)</f>
        <v>5</v>
      </c>
      <c r="B549" t="str">
        <f>MID(E549,3,2)</f>
        <v>12</v>
      </c>
      <c r="C549" s="114" t="str">
        <f>MID(E549,6,2)</f>
        <v>1</v>
      </c>
      <c r="D549" s="495" t="s">
        <v>88</v>
      </c>
      <c r="E549" s="495" t="s">
        <v>1028</v>
      </c>
      <c r="F549" s="496" t="str">
        <f>VLOOKUP(E549,'5.2 Actions'!$A$3:$B$720,2,0)</f>
        <v>Finaliser la carte répondant aux critères de l’arrêté royal du 12 octobre 2005 à partir des données de VIVAQUA</v>
      </c>
      <c r="G549" s="496"/>
      <c r="H549" s="498">
        <f>VLOOKUP(E549,'5.2 Actions'!$A$3:$D$720,4,0)</f>
        <v>0</v>
      </c>
      <c r="I549" s="497">
        <v>0</v>
      </c>
    </row>
    <row r="550" spans="1:9" hidden="1" outlineLevel="2" x14ac:dyDescent="0.25">
      <c r="A550" s="114" t="str">
        <f>MID(E550,1,1)</f>
        <v>5</v>
      </c>
      <c r="B550" t="str">
        <f>MID(E550,3,2)</f>
        <v>12</v>
      </c>
      <c r="C550" s="114" t="str">
        <f>MID(E550,6,2)</f>
        <v>2</v>
      </c>
      <c r="D550" s="495" t="s">
        <v>88</v>
      </c>
      <c r="E550" s="495" t="s">
        <v>1029</v>
      </c>
      <c r="F550" s="496" t="str">
        <f>VLOOKUP(E550,'5.2 Actions'!$A$3:$B$720,2,0)</f>
        <v>Valider en plateforme de coordination  la carte</v>
      </c>
      <c r="G550" s="496"/>
      <c r="H550" s="498">
        <f>VLOOKUP(E550,'5.2 Actions'!$A$3:$D$720,4,0)</f>
        <v>0</v>
      </c>
      <c r="I550" s="497">
        <v>0</v>
      </c>
    </row>
    <row r="551" spans="1:9" ht="30" hidden="1" outlineLevel="2" x14ac:dyDescent="0.25">
      <c r="A551" s="114" t="str">
        <f>MID(E551,1,1)</f>
        <v>5</v>
      </c>
      <c r="B551" t="str">
        <f>MID(E551,3,2)</f>
        <v>12</v>
      </c>
      <c r="C551" s="114" t="str">
        <f>MID(E551,6,2)</f>
        <v>3</v>
      </c>
      <c r="D551" s="495" t="s">
        <v>88</v>
      </c>
      <c r="E551" s="495" t="s">
        <v>1030</v>
      </c>
      <c r="F551" s="496" t="str">
        <f>VLOOKUP(E551,'5.2 Actions'!$A$3:$B$720,2,0)</f>
        <v>Faire acter la cartographie par le Gouvernement bruxellois avant de l’envoyer au service fédéral compétent pour modifier l’arrêté royal du 28 février 2007 portant délimitation des zones à risque visées à l'article 129, § 1er, de la loi du 4 avril 2014 relative aux assurances</v>
      </c>
      <c r="G551" s="496"/>
      <c r="H551" s="498">
        <f>VLOOKUP(E551,'5.2 Actions'!$A$3:$D$720,4,0)</f>
        <v>0</v>
      </c>
      <c r="I551" s="497">
        <v>0</v>
      </c>
    </row>
    <row r="552" spans="1:9" s="494" customFormat="1" ht="28.5" hidden="1" outlineLevel="1" collapsed="1" x14ac:dyDescent="0.25">
      <c r="D552" s="500" t="s">
        <v>89</v>
      </c>
      <c r="E552" s="500"/>
      <c r="F552" s="501" t="str">
        <f>VLOOKUP(D552,'1. Mesures'!$A$2:$B$116,2,0)</f>
        <v xml:space="preserve">Prendre les mesures de protection à l’égard de certaines infrastructures ou installations sensibles et/ou à risque localisées en zone d'aléa fort (ex: cabine à haute tension, stockage de substances dangereuses...)   </v>
      </c>
      <c r="G552" s="501"/>
      <c r="H552" s="503"/>
      <c r="I552" s="502">
        <f>SUBTOTAL(9,I553:I556)</f>
        <v>0</v>
      </c>
    </row>
    <row r="553" spans="1:9" hidden="1" outlineLevel="2" x14ac:dyDescent="0.25">
      <c r="A553" s="114" t="str">
        <f>MID(E553,1,1)</f>
        <v>5</v>
      </c>
      <c r="B553" t="str">
        <f>MID(E553,3,2)</f>
        <v>13</v>
      </c>
      <c r="C553" s="114" t="str">
        <f>MID(E553,6,2)</f>
        <v>1</v>
      </c>
      <c r="D553" s="495" t="s">
        <v>89</v>
      </c>
      <c r="E553" s="495" t="s">
        <v>1031</v>
      </c>
      <c r="F553" s="496" t="str">
        <f>VLOOKUP(E553,'5.2 Actions'!$A$3:$B$720,2,0)</f>
        <v>Croiser la carte des zones inondables avec la localisation des activités dangereuses (DB permis, Seveso,…)</v>
      </c>
      <c r="G553" s="496"/>
      <c r="H553" s="498">
        <f>VLOOKUP(E553,'5.2 Actions'!$A$3:$D$720,4,0)</f>
        <v>0</v>
      </c>
      <c r="I553" s="497">
        <v>0</v>
      </c>
    </row>
    <row r="554" spans="1:9" hidden="1" outlineLevel="2" x14ac:dyDescent="0.25">
      <c r="A554" s="114" t="str">
        <f>MID(E554,1,1)</f>
        <v>5</v>
      </c>
      <c r="B554" t="str">
        <f>MID(E554,3,2)</f>
        <v>13</v>
      </c>
      <c r="C554" s="114" t="str">
        <f>MID(E554,6,2)</f>
        <v>2</v>
      </c>
      <c r="D554" s="495" t="s">
        <v>89</v>
      </c>
      <c r="E554" s="495" t="s">
        <v>1032</v>
      </c>
      <c r="F554" s="496" t="str">
        <f>VLOOKUP(E554,'5.2 Actions'!$A$3:$B$720,2,0)</f>
        <v>Informer les propriétaires du risque d’inondation, impliquer la cellule refoulement d’égout de Vivaqua</v>
      </c>
      <c r="G554" s="496"/>
      <c r="H554" s="498">
        <f>VLOOKUP(E554,'5.2 Actions'!$A$3:$D$720,4,0)</f>
        <v>0</v>
      </c>
      <c r="I554" s="497">
        <v>0</v>
      </c>
    </row>
    <row r="555" spans="1:9" hidden="1" outlineLevel="2" x14ac:dyDescent="0.25">
      <c r="A555" s="114" t="str">
        <f>MID(E555,1,1)</f>
        <v>5</v>
      </c>
      <c r="B555" t="str">
        <f>MID(E555,3,2)</f>
        <v>13</v>
      </c>
      <c r="C555" s="114" t="str">
        <f>MID(E555,6,2)</f>
        <v>3</v>
      </c>
      <c r="D555" s="495" t="s">
        <v>89</v>
      </c>
      <c r="E555" s="495" t="s">
        <v>1033</v>
      </c>
      <c r="F555" s="496" t="str">
        <f>VLOOKUP(E555,'5.2 Actions'!$A$3:$B$720,2,0)</f>
        <v>Etudier la faisabilité juridique d’intégrer des mesures spéciales de préservation dans les permis dans les zones inondables</v>
      </c>
      <c r="G555" s="496"/>
      <c r="H555" s="498">
        <f>VLOOKUP(E555,'5.2 Actions'!$A$3:$D$720,4,0)</f>
        <v>0</v>
      </c>
      <c r="I555" s="497">
        <v>0</v>
      </c>
    </row>
    <row r="556" spans="1:9" hidden="1" outlineLevel="2" x14ac:dyDescent="0.25">
      <c r="A556" s="114" t="str">
        <f>MID(E556,1,1)</f>
        <v>5</v>
      </c>
      <c r="B556" t="str">
        <f>MID(E556,3,2)</f>
        <v>13</v>
      </c>
      <c r="C556" s="114" t="str">
        <f>MID(E556,6,2)</f>
        <v>4</v>
      </c>
      <c r="D556" s="495" t="s">
        <v>89</v>
      </c>
      <c r="E556" s="495" t="s">
        <v>1034</v>
      </c>
      <c r="F556" s="496" t="str">
        <f>VLOOKUP(E556,'5.2 Actions'!$A$3:$B$720,2,0)</f>
        <v>Informer le centre de crise des infrastructures sensibles</v>
      </c>
      <c r="G556" s="496"/>
      <c r="H556" s="498">
        <f>VLOOKUP(E556,'5.2 Actions'!$A$3:$D$720,4,0)</f>
        <v>0</v>
      </c>
      <c r="I556" s="497">
        <v>0</v>
      </c>
    </row>
    <row r="557" spans="1:9" s="494" customFormat="1" hidden="1" outlineLevel="1" collapsed="1" x14ac:dyDescent="0.25">
      <c r="D557" s="500" t="s">
        <v>90</v>
      </c>
      <c r="E557" s="500"/>
      <c r="F557" s="501" t="str">
        <f>VLOOKUP(D557,'1. Mesures'!$A$2:$B$116,2,0)</f>
        <v>Adapter le bâti situé en zone inondable</v>
      </c>
      <c r="G557" s="501"/>
      <c r="H557" s="503"/>
      <c r="I557" s="502">
        <f>SUBTOTAL(9,I558:I559)</f>
        <v>0</v>
      </c>
    </row>
    <row r="558" spans="1:9" ht="75" hidden="1" outlineLevel="2" x14ac:dyDescent="0.25">
      <c r="A558" s="114" t="str">
        <f>MID(E558,1,1)</f>
        <v>5</v>
      </c>
      <c r="B558" t="str">
        <f>MID(E558,3,2)</f>
        <v>14</v>
      </c>
      <c r="C558" s="114" t="str">
        <f>MID(E558,6,2)</f>
        <v>1</v>
      </c>
      <c r="D558" s="495" t="s">
        <v>90</v>
      </c>
      <c r="E558" s="495" t="s">
        <v>1035</v>
      </c>
      <c r="F558" s="496" t="str">
        <f>VLOOKUP(E558,'5.2 Actions'!$A$3:$B$720,2,0)</f>
        <v>Intégrer dans la réglementation urbanistique des prescriptions :
· visant une conception adaptée du bâti en zone inondable pour minimiser les conséquences néfastes en cas d'inondation (au moins démontrer une réflexion sur le risque que court le bâti considéré et les solutions envisagées) ;
· faisant de la carte des zones inondables un outil à portée réglementaire ;
· imposant un avis relatif à la thématique de l'eau à toute construction d'infrastructures et bâtiments situés en zone inondable.</v>
      </c>
      <c r="G558" s="496"/>
      <c r="H558" s="498">
        <f>VLOOKUP(E558,'5.2 Actions'!$A$3:$D$720,4,0)</f>
        <v>0</v>
      </c>
      <c r="I558" s="497">
        <v>0</v>
      </c>
    </row>
    <row r="559" spans="1:9" ht="45" hidden="1" outlineLevel="2" x14ac:dyDescent="0.25">
      <c r="A559" s="114" t="str">
        <f>MID(E559,1,1)</f>
        <v>5</v>
      </c>
      <c r="B559" t="str">
        <f>MID(E559,3,2)</f>
        <v>14</v>
      </c>
      <c r="C559" s="114" t="str">
        <f>MID(E559,6,2)</f>
        <v>2</v>
      </c>
      <c r="D559" s="495" t="s">
        <v>90</v>
      </c>
      <c r="E559" s="495" t="s">
        <v>1036</v>
      </c>
      <c r="F559" s="496" t="str">
        <f>VLOOKUP(E559,'5.2 Actions'!$A$3:$B$720,2,0)</f>
        <v>Mettre en place une cellule "conseils" :
Délivrer des conseils techniques aux habitants dont l’habitation est fréquemment touchée par des inondations du fait de la non étanchéité du système d’évacuation des eaux usées jusqu’au niveau de la voirie.</v>
      </c>
      <c r="G559" s="496"/>
      <c r="H559" s="498">
        <f>VLOOKUP(E559,'5.2 Actions'!$A$3:$D$720,4,0)</f>
        <v>0</v>
      </c>
      <c r="I559" s="497">
        <v>0</v>
      </c>
    </row>
    <row r="560" spans="1:9" s="494" customFormat="1" hidden="1" outlineLevel="1" collapsed="1" x14ac:dyDescent="0.25">
      <c r="D560" s="500" t="s">
        <v>91</v>
      </c>
      <c r="E560" s="500"/>
      <c r="F560" s="501" t="str">
        <f>VLOOKUP(D560,'1. Mesures'!$A$2:$B$116,2,0)</f>
        <v>Mettre en place un système de prévision des pics de consommation d’eau potable</v>
      </c>
      <c r="G560" s="501"/>
      <c r="H560" s="503"/>
      <c r="I560" s="502">
        <f>SUBTOTAL(9,I561:I563)</f>
        <v>0</v>
      </c>
    </row>
    <row r="561" spans="1:9" hidden="1" outlineLevel="2" x14ac:dyDescent="0.25">
      <c r="A561" s="114" t="str">
        <f>MID(E561,1,1)</f>
        <v>5</v>
      </c>
      <c r="B561" t="str">
        <f>MID(E561,3,2)</f>
        <v>15</v>
      </c>
      <c r="C561" s="114" t="str">
        <f>MID(E561,6,2)</f>
        <v>1</v>
      </c>
      <c r="D561" s="495" t="s">
        <v>91</v>
      </c>
      <c r="E561" s="495" t="s">
        <v>1037</v>
      </c>
      <c r="F561" s="496" t="str">
        <f>VLOOKUP(E561,'5.2 Actions'!$A$3:$B$720,2,0)</f>
        <v>Assurer un suivi régulier des prévisions météorologiques et des consommations en eau en période de sécheresse prolongée</v>
      </c>
      <c r="G561" s="496"/>
      <c r="H561" s="498">
        <f>VLOOKUP(E561,'5.2 Actions'!$A$3:$D$720,4,0)</f>
        <v>0</v>
      </c>
      <c r="I561" s="497">
        <v>0</v>
      </c>
    </row>
    <row r="562" spans="1:9" ht="30" hidden="1" outlineLevel="2" x14ac:dyDescent="0.25">
      <c r="A562" s="114" t="str">
        <f>MID(E562,1,1)</f>
        <v>5</v>
      </c>
      <c r="B562" t="str">
        <f>MID(E562,3,2)</f>
        <v>15</v>
      </c>
      <c r="C562" s="114" t="str">
        <f>MID(E562,6,2)</f>
        <v>2</v>
      </c>
      <c r="D562" s="495" t="s">
        <v>91</v>
      </c>
      <c r="E562" s="495" t="s">
        <v>1038</v>
      </c>
      <c r="F562" s="496" t="str">
        <f>VLOOKUP(E562,'5.2 Actions'!$A$3:$B$720,2,0)</f>
        <v>Pourvoir à une alimentation optimale des réservoirs d’eau alimentant la Région de Bruxelles-Capitale, par la mise en service de captages de réserve, le cas échéant</v>
      </c>
      <c r="G562" s="496"/>
      <c r="H562" s="498">
        <f>VLOOKUP(E562,'5.2 Actions'!$A$3:$D$720,4,0)</f>
        <v>0</v>
      </c>
      <c r="I562" s="497">
        <v>0</v>
      </c>
    </row>
    <row r="563" spans="1:9" hidden="1" outlineLevel="2" x14ac:dyDescent="0.25">
      <c r="A563" s="114" t="str">
        <f>MID(E563,1,1)</f>
        <v>5</v>
      </c>
      <c r="B563" t="str">
        <f>MID(E563,3,2)</f>
        <v>15</v>
      </c>
      <c r="C563" s="114" t="str">
        <f>MID(E563,6,2)</f>
        <v>3</v>
      </c>
      <c r="D563" s="495" t="s">
        <v>91</v>
      </c>
      <c r="E563" s="495" t="s">
        <v>1039</v>
      </c>
      <c r="F563" s="496" t="str">
        <f>VLOOKUP(E563,'5.2 Actions'!$A$3:$B$720,2,0)</f>
        <v>Sensibiliser la population en cas de risque de pénuries d’eau lors des périodes de pics de consommation</v>
      </c>
      <c r="G563" s="496"/>
      <c r="H563" s="498">
        <f>VLOOKUP(E563,'5.2 Actions'!$A$3:$D$720,4,0)</f>
        <v>0</v>
      </c>
      <c r="I563" s="497">
        <v>0</v>
      </c>
    </row>
    <row r="564" spans="1:9" s="494" customFormat="1" hidden="1" outlineLevel="1" collapsed="1" x14ac:dyDescent="0.25">
      <c r="D564" s="500" t="s">
        <v>92</v>
      </c>
      <c r="E564" s="500"/>
      <c r="F564" s="501" t="str">
        <f>VLOOKUP(D564,'1. Mesures'!$A$2:$B$116,2,0)</f>
        <v>Adapter la gestion des captages d'eau souterraine et des prélèvements d'eau de surface en cas de sécheresse</v>
      </c>
      <c r="G564" s="501"/>
      <c r="H564" s="503"/>
      <c r="I564" s="502">
        <f>SUBTOTAL(9,I565:I570)</f>
        <v>0</v>
      </c>
    </row>
    <row r="565" spans="1:9" ht="30" hidden="1" outlineLevel="2" x14ac:dyDescent="0.25">
      <c r="A565" s="114" t="str">
        <f t="shared" ref="A565:A570" si="102">MID(E565,1,1)</f>
        <v>5</v>
      </c>
      <c r="B565" t="str">
        <f t="shared" ref="B565:B570" si="103">MID(E565,3,2)</f>
        <v>16</v>
      </c>
      <c r="C565" s="114" t="str">
        <f t="shared" ref="C565:C570" si="104">MID(E565,6,2)</f>
        <v>1</v>
      </c>
      <c r="D565" s="495" t="s">
        <v>92</v>
      </c>
      <c r="E565" s="495" t="s">
        <v>1040</v>
      </c>
      <c r="F565" s="496" t="str">
        <f>VLOOKUP(E565,'5.2 Actions'!$A$3:$B$720,2,0)</f>
        <v>Déterminer les seuils en-deçà desquels des restrictions de captages et de prélèvement d’eau doivent pouvoir être imposées, notamment dans ou à proximité immédiate de zones protégées.</v>
      </c>
      <c r="G565" s="496"/>
      <c r="H565" s="498">
        <f>VLOOKUP(E565,'5.2 Actions'!$A$3:$D$720,4,0)</f>
        <v>0</v>
      </c>
      <c r="I565" s="497">
        <v>0</v>
      </c>
    </row>
    <row r="566" spans="1:9" hidden="1" outlineLevel="2" x14ac:dyDescent="0.25">
      <c r="A566" s="114" t="str">
        <f t="shared" si="102"/>
        <v>5</v>
      </c>
      <c r="B566" t="str">
        <f t="shared" si="103"/>
        <v>16</v>
      </c>
      <c r="C566" s="114" t="str">
        <f t="shared" si="104"/>
        <v>2</v>
      </c>
      <c r="D566" s="495" t="s">
        <v>92</v>
      </c>
      <c r="E566" s="495" t="s">
        <v>1041</v>
      </c>
      <c r="F566" s="496" t="str">
        <f>VLOOKUP(E566,'5.2 Actions'!$A$3:$B$720,2,0)</f>
        <v>Définir les règles de priorisation des usages de l’eau en cas de risque de pénurie.</v>
      </c>
      <c r="G566" s="496"/>
      <c r="H566" s="498">
        <f>VLOOKUP(E566,'5.2 Actions'!$A$3:$D$720,4,0)</f>
        <v>0</v>
      </c>
      <c r="I566" s="497">
        <v>0</v>
      </c>
    </row>
    <row r="567" spans="1:9" ht="30" hidden="1" outlineLevel="2" x14ac:dyDescent="0.25">
      <c r="A567" s="114" t="str">
        <f t="shared" si="102"/>
        <v>5</v>
      </c>
      <c r="B567" t="str">
        <f t="shared" si="103"/>
        <v>16</v>
      </c>
      <c r="C567" s="114" t="str">
        <f t="shared" si="104"/>
        <v>3</v>
      </c>
      <c r="D567" s="495" t="s">
        <v>92</v>
      </c>
      <c r="E567" s="495" t="s">
        <v>1042</v>
      </c>
      <c r="F567" s="496" t="str">
        <f>VLOOKUP(E567,'5.2 Actions'!$A$3:$B$720,2,0)</f>
        <v>Adapter les conditions fixées dans les nouvelles autorisations de captages d’eau souterraine  pour tenir compte des épisodes de sécheresse ou de pénurie d’eau.</v>
      </c>
      <c r="G567" s="496"/>
      <c r="H567" s="498">
        <f>VLOOKUP(E567,'5.2 Actions'!$A$3:$D$720,4,0)</f>
        <v>0</v>
      </c>
      <c r="I567" s="497">
        <v>0</v>
      </c>
    </row>
    <row r="568" spans="1:9" hidden="1" outlineLevel="2" x14ac:dyDescent="0.25">
      <c r="A568" s="114" t="str">
        <f t="shared" si="102"/>
        <v>5</v>
      </c>
      <c r="B568" t="str">
        <f t="shared" si="103"/>
        <v>16</v>
      </c>
      <c r="C568" s="114" t="str">
        <f t="shared" si="104"/>
        <v>4</v>
      </c>
      <c r="D568" s="495" t="s">
        <v>92</v>
      </c>
      <c r="E568" s="495" t="s">
        <v>1043</v>
      </c>
      <c r="F568" s="496" t="str">
        <f>VLOOKUP(E568,'5.2 Actions'!$A$3:$B$720,2,0)</f>
        <v>Imposer de nouvelles conditions dans les autorisations de prélèvements d’eau dans les cours d’eau non navigables</v>
      </c>
      <c r="G568" s="496"/>
      <c r="H568" s="498">
        <f>VLOOKUP(E568,'5.2 Actions'!$A$3:$D$720,4,0)</f>
        <v>0</v>
      </c>
      <c r="I568" s="497">
        <v>0</v>
      </c>
    </row>
    <row r="569" spans="1:9" hidden="1" outlineLevel="2" x14ac:dyDescent="0.25">
      <c r="A569" s="114" t="str">
        <f t="shared" si="102"/>
        <v>5</v>
      </c>
      <c r="B569" t="str">
        <f t="shared" si="103"/>
        <v>16</v>
      </c>
      <c r="C569" s="114" t="str">
        <f t="shared" si="104"/>
        <v>5</v>
      </c>
      <c r="D569" s="495" t="s">
        <v>92</v>
      </c>
      <c r="E569" s="495" t="s">
        <v>1044</v>
      </c>
      <c r="F569" s="496" t="str">
        <f>VLOOKUP(E569,'5.2 Actions'!$A$3:$B$720,2,0)</f>
        <v>Etablir un registre des prélèvements autorisés dans les cours d’eau non navigables</v>
      </c>
      <c r="G569" s="496"/>
      <c r="H569" s="498">
        <f>VLOOKUP(E569,'5.2 Actions'!$A$3:$D$720,4,0)</f>
        <v>0</v>
      </c>
      <c r="I569" s="497">
        <v>0</v>
      </c>
    </row>
    <row r="570" spans="1:9" hidden="1" outlineLevel="2" x14ac:dyDescent="0.25">
      <c r="A570" s="114" t="str">
        <f t="shared" si="102"/>
        <v>5</v>
      </c>
      <c r="B570" t="str">
        <f t="shared" si="103"/>
        <v>16</v>
      </c>
      <c r="C570" s="114" t="str">
        <f t="shared" si="104"/>
        <v>6</v>
      </c>
      <c r="D570" s="495" t="s">
        <v>92</v>
      </c>
      <c r="E570" s="495" t="s">
        <v>1045</v>
      </c>
      <c r="F570" s="496" t="str">
        <f>VLOOKUP(E570,'5.2 Actions'!$A$3:$B$720,2,0)</f>
        <v>Assurer le contrôle du respect des mesures de restriction et de priorisation.</v>
      </c>
      <c r="G570" s="496"/>
      <c r="H570" s="498">
        <f>VLOOKUP(E570,'5.2 Actions'!$A$3:$D$720,4,0)</f>
        <v>0</v>
      </c>
      <c r="I570" s="497">
        <v>0</v>
      </c>
    </row>
    <row r="571" spans="1:9" s="494" customFormat="1" ht="28.5" hidden="1" outlineLevel="1" collapsed="1" x14ac:dyDescent="0.25">
      <c r="D571" s="500" t="s">
        <v>93</v>
      </c>
      <c r="E571" s="500"/>
      <c r="F571" s="501" t="str">
        <f>VLOOKUP(D571,'1. Mesures'!$A$2:$B$116,2,0)</f>
        <v xml:space="preserve">Renforcer la surveillance des masses d'eau et prendre des mesures de prévention et de sauvegarde en cas de sécheresse dans les zones stratégiques </v>
      </c>
      <c r="G571" s="501"/>
      <c r="H571" s="503"/>
      <c r="I571" s="502">
        <f>SUBTOTAL(9,I572:I577)</f>
        <v>0</v>
      </c>
    </row>
    <row r="572" spans="1:9" ht="30" hidden="1" outlineLevel="2" x14ac:dyDescent="0.25">
      <c r="A572" s="114" t="str">
        <f t="shared" ref="A572:A577" si="105">MID(E572,1,1)</f>
        <v>5</v>
      </c>
      <c r="B572" t="str">
        <f t="shared" ref="B572:B577" si="106">MID(E572,3,2)</f>
        <v>17</v>
      </c>
      <c r="C572" s="114" t="str">
        <f t="shared" ref="C572:C577" si="107">MID(E572,6,2)</f>
        <v>1</v>
      </c>
      <c r="D572" s="495" t="s">
        <v>93</v>
      </c>
      <c r="E572" s="495" t="s">
        <v>1046</v>
      </c>
      <c r="F572" s="496" t="str">
        <f>VLOOKUP(E572,'5.2 Actions'!$A$3:$B$720,2,0)</f>
        <v>Dresser un inventaire des éléments et sites naturels les plus vulnérables aux épisodes de sécheresse, pour fonder et prioriser les actions qui permettront d’assurer les différents critères de conservation (taux d’humidité, niveaux des pièces d’eau, ecological flow,…) en cas de crise sècheresse</v>
      </c>
      <c r="G572" s="496"/>
      <c r="H572" s="498">
        <f>VLOOKUP(E572,'5.2 Actions'!$A$3:$D$720,4,0)</f>
        <v>0</v>
      </c>
      <c r="I572" s="497">
        <v>0</v>
      </c>
    </row>
    <row r="573" spans="1:9" ht="45" hidden="1" outlineLevel="2" x14ac:dyDescent="0.25">
      <c r="A573" s="114" t="str">
        <f t="shared" si="105"/>
        <v>5</v>
      </c>
      <c r="B573" t="str">
        <f t="shared" si="106"/>
        <v>17</v>
      </c>
      <c r="C573" s="114" t="str">
        <f t="shared" si="107"/>
        <v>2</v>
      </c>
      <c r="D573" s="495" t="s">
        <v>93</v>
      </c>
      <c r="E573" s="495" t="s">
        <v>1047</v>
      </c>
      <c r="F573" s="496" t="str">
        <f>VLOOKUP(E573,'5.2 Actions'!$A$3:$B$720,2,0)</f>
        <v>Etablir des seuils critiques de niveaux piézométriques en lien avec les observations faites in situ et les valeurs de référence des critères hydrologiques de bon état de conservation des habitats Natura 2000 associés aux eaux souterraines et les résultats des simulations faites qui déclenchent la mise en œuvre de mesures de sauvegarde pour les écosystèmes associés (cf. aussi M 3.4)</v>
      </c>
      <c r="G573" s="496"/>
      <c r="H573" s="498">
        <f>VLOOKUP(E573,'5.2 Actions'!$A$3:$D$720,4,0)</f>
        <v>0</v>
      </c>
      <c r="I573" s="497">
        <v>0</v>
      </c>
    </row>
    <row r="574" spans="1:9" ht="30" hidden="1" outlineLevel="2" x14ac:dyDescent="0.25">
      <c r="A574" s="114" t="str">
        <f t="shared" si="105"/>
        <v>5</v>
      </c>
      <c r="B574" t="str">
        <f t="shared" si="106"/>
        <v>17</v>
      </c>
      <c r="C574" s="114" t="str">
        <f t="shared" si="107"/>
        <v>3</v>
      </c>
      <c r="D574" s="495" t="s">
        <v>93</v>
      </c>
      <c r="E574" s="495" t="s">
        <v>1048</v>
      </c>
      <c r="F574" s="496" t="str">
        <f>VLOOKUP(E574,'5.2 Actions'!$A$3:$B$720,2,0)</f>
        <v>Mettre en place des mesures de prévention (aménagements limitant le ruissellement, …) et de sauvegarde des écosystèmes dépendants (irrigation ciblée, gestion spécifique des captages, …), et de la faune en péril (création de zones refuges, déplacement temporaire des poissons,..)</v>
      </c>
      <c r="G574" s="496"/>
      <c r="H574" s="498">
        <f>VLOOKUP(E574,'5.2 Actions'!$A$3:$D$720,4,0)</f>
        <v>0</v>
      </c>
      <c r="I574" s="497">
        <v>0</v>
      </c>
    </row>
    <row r="575" spans="1:9" ht="30" hidden="1" outlineLevel="2" x14ac:dyDescent="0.25">
      <c r="A575" s="114" t="str">
        <f t="shared" si="105"/>
        <v>5</v>
      </c>
      <c r="B575" t="str">
        <f t="shared" si="106"/>
        <v>17</v>
      </c>
      <c r="C575" s="114" t="str">
        <f t="shared" si="107"/>
        <v>4</v>
      </c>
      <c r="D575" s="495" t="s">
        <v>93</v>
      </c>
      <c r="E575" s="495" t="s">
        <v>1049</v>
      </c>
      <c r="F575" s="496" t="str">
        <f>VLOOKUP(E575,'5.2 Actions'!$A$3:$B$720,2,0)</f>
        <v>Assurer un monitoring renforcé (recours à la télémétrie du réseau de piézomètres) des nappes wallonnes et rivière alimentant la Région de Bruxelles-Capitale en eau potable</v>
      </c>
      <c r="G575" s="496"/>
      <c r="H575" s="498">
        <f>VLOOKUP(E575,'5.2 Actions'!$A$3:$D$720,4,0)</f>
        <v>0</v>
      </c>
      <c r="I575" s="497">
        <v>0</v>
      </c>
    </row>
    <row r="576" spans="1:9" hidden="1" outlineLevel="2" x14ac:dyDescent="0.25">
      <c r="A576" s="114" t="str">
        <f t="shared" si="105"/>
        <v>5</v>
      </c>
      <c r="B576" t="str">
        <f t="shared" si="106"/>
        <v>17</v>
      </c>
      <c r="C576" s="114" t="str">
        <f t="shared" si="107"/>
        <v>5</v>
      </c>
      <c r="D576" s="495" t="s">
        <v>93</v>
      </c>
      <c r="E576" s="495" t="s">
        <v>1050</v>
      </c>
      <c r="F576" s="496" t="str">
        <f>VLOOKUP(E576,'5.2 Actions'!$A$3:$B$720,2,0)</f>
        <v>Détecter les signes précoces de manque d’eau dans les zones d’approvisionnement en eau potable, dont la Meuse</v>
      </c>
      <c r="G576" s="496"/>
      <c r="H576" s="498">
        <f>VLOOKUP(E576,'5.2 Actions'!$A$3:$D$720,4,0)</f>
        <v>0</v>
      </c>
      <c r="I576" s="497">
        <v>0</v>
      </c>
    </row>
    <row r="577" spans="1:9" ht="30" hidden="1" outlineLevel="2" x14ac:dyDescent="0.25">
      <c r="A577" s="114" t="str">
        <f t="shared" si="105"/>
        <v>5</v>
      </c>
      <c r="B577" t="str">
        <f t="shared" si="106"/>
        <v>17</v>
      </c>
      <c r="C577" s="114" t="str">
        <f t="shared" si="107"/>
        <v>A</v>
      </c>
      <c r="D577" s="495" t="s">
        <v>93</v>
      </c>
      <c r="E577" s="495" t="s">
        <v>1051</v>
      </c>
      <c r="F577" s="496" t="str">
        <f>VLOOKUP(E577,'5.2 Actions'!$A$3:$B$720,2,0)</f>
        <v>Renforcer  le suivi des niveaux piézométriques  (fréquence des mesures, densité des sites mesurés,…), du débit des sources, dans les zones d’alimentation hydrogéologiques de certains écosystèmes terrestres et aquatiques associés en cas de crise sécheresse (cf. aussi M 3.4)</v>
      </c>
      <c r="G577" s="496"/>
      <c r="H577" s="498">
        <f>VLOOKUP(E577,'5.2 Actions'!$A$3:$D$720,4,0)</f>
        <v>0</v>
      </c>
      <c r="I577" s="497">
        <v>0</v>
      </c>
    </row>
    <row r="578" spans="1:9" s="494" customFormat="1" hidden="1" outlineLevel="1" collapsed="1" x14ac:dyDescent="0.25">
      <c r="D578" s="500" t="s">
        <v>94</v>
      </c>
      <c r="E578" s="500"/>
      <c r="F578" s="501" t="str">
        <f>VLOOKUP(D578,'1. Mesures'!$A$2:$B$116,2,0)</f>
        <v xml:space="preserve">Déterminer et assurer les niveaux d’eau minimaux de sécurité pour la navigation sur le Canal et les infrastructures portuaires  </v>
      </c>
      <c r="G578" s="501"/>
      <c r="H578" s="503"/>
      <c r="I578" s="502">
        <f>SUBTOTAL(9,I579:I582)</f>
        <v>0</v>
      </c>
    </row>
    <row r="579" spans="1:9" hidden="1" outlineLevel="2" x14ac:dyDescent="0.25">
      <c r="A579" s="114" t="str">
        <f>MID(E579,1,1)</f>
        <v>5</v>
      </c>
      <c r="B579" t="str">
        <f>MID(E579,3,2)</f>
        <v>18</v>
      </c>
      <c r="C579" s="114" t="str">
        <f>MID(E579,6,2)</f>
        <v>1</v>
      </c>
      <c r="D579" s="495" t="s">
        <v>94</v>
      </c>
      <c r="E579" s="495" t="s">
        <v>1052</v>
      </c>
      <c r="F579" s="496" t="str">
        <f>VLOOKUP(E579,'5.2 Actions'!$A$3:$B$720,2,0)</f>
        <v>Poursuivre la surveillance continue des niveaux permettant la sécurité de la navigation</v>
      </c>
      <c r="G579" s="496"/>
      <c r="H579" s="498">
        <f>VLOOKUP(E579,'5.2 Actions'!$A$3:$D$720,4,0)</f>
        <v>0</v>
      </c>
      <c r="I579" s="497">
        <v>0</v>
      </c>
    </row>
    <row r="580" spans="1:9" hidden="1" outlineLevel="2" x14ac:dyDescent="0.25">
      <c r="A580" s="114" t="str">
        <f>MID(E580,1,1)</f>
        <v>5</v>
      </c>
      <c r="B580" t="str">
        <f>MID(E580,3,2)</f>
        <v>18</v>
      </c>
      <c r="C580" s="114" t="str">
        <f>MID(E580,6,2)</f>
        <v>2</v>
      </c>
      <c r="D580" s="495" t="s">
        <v>94</v>
      </c>
      <c r="E580" s="495" t="s">
        <v>1053</v>
      </c>
      <c r="F580" s="496" t="str">
        <f>VLOOKUP(E580,'5.2 Actions'!$A$3:$B$720,2,0)</f>
        <v>Entretenir les systèmes de pompage des écluses permettant de réguler le niveau d’eau</v>
      </c>
      <c r="G580" s="496"/>
      <c r="H580" s="498">
        <f>VLOOKUP(E580,'5.2 Actions'!$A$3:$D$720,4,0)</f>
        <v>0</v>
      </c>
      <c r="I580" s="497">
        <v>0</v>
      </c>
    </row>
    <row r="581" spans="1:9" ht="30" hidden="1" outlineLevel="2" x14ac:dyDescent="0.25">
      <c r="A581" s="114" t="str">
        <f>MID(E581,1,1)</f>
        <v>5</v>
      </c>
      <c r="B581" t="str">
        <f>MID(E581,3,2)</f>
        <v>18</v>
      </c>
      <c r="C581" s="114" t="str">
        <f>MID(E581,6,2)</f>
        <v>3</v>
      </c>
      <c r="D581" s="495" t="s">
        <v>94</v>
      </c>
      <c r="E581" s="495" t="s">
        <v>1054</v>
      </c>
      <c r="F581" s="496" t="str">
        <f>VLOOKUP(E581,'5.2 Actions'!$A$3:$B$720,2,0)</f>
        <v>Mettre en oeuvre des mesures permettant de limiter la diminution du niveau d’eau dans les biefs (ex: activation des vannes, regroupement des bateaux lors des éclusages en période de sécheresse)</v>
      </c>
      <c r="G581" s="496"/>
      <c r="H581" s="498">
        <f>VLOOKUP(E581,'5.2 Actions'!$A$3:$D$720,4,0)</f>
        <v>0</v>
      </c>
      <c r="I581" s="497">
        <v>0</v>
      </c>
    </row>
    <row r="582" spans="1:9" hidden="1" outlineLevel="2" x14ac:dyDescent="0.25">
      <c r="A582" s="114" t="str">
        <f>MID(E582,1,1)</f>
        <v>5</v>
      </c>
      <c r="B582" t="str">
        <f>MID(E582,3,2)</f>
        <v>18</v>
      </c>
      <c r="C582" s="114" t="str">
        <f>MID(E582,6,2)</f>
        <v>A</v>
      </c>
      <c r="D582" s="495" t="s">
        <v>94</v>
      </c>
      <c r="E582" s="495" t="s">
        <v>1055</v>
      </c>
      <c r="F582" s="496" t="str">
        <f>VLOOKUP(E582,'5.2 Actions'!$A$3:$B$720,2,0)</f>
        <v>Equiper le Canal de nouvelles sondes de pression raccordées au réseau Flowbru (Bassin Béco, Pont de Buda) = M.1.22</v>
      </c>
      <c r="G582" s="496"/>
      <c r="H582" s="498">
        <f>VLOOKUP(E582,'5.2 Actions'!$A$3:$D$720,4,0)</f>
        <v>0</v>
      </c>
      <c r="I582" s="497">
        <v>0</v>
      </c>
    </row>
    <row r="583" spans="1:9" s="494" customFormat="1" ht="28.5" hidden="1" outlineLevel="1" collapsed="1" x14ac:dyDescent="0.25">
      <c r="D583" s="500" t="s">
        <v>95</v>
      </c>
      <c r="E583" s="500"/>
      <c r="F583" s="501" t="str">
        <f>VLOOKUP(D583,'1. Mesures'!$A$2:$B$116,2,0)</f>
        <v>Tenir compte de l’évolution des prélèvements et restitutions d’eau dans le Canal pour répondre au besoin sans compromettre la navigation et la qualité de la masse d’eau</v>
      </c>
      <c r="G583" s="501"/>
      <c r="H583" s="503"/>
      <c r="I583" s="502">
        <f>SUBTOTAL(9,I584:I588)</f>
        <v>0</v>
      </c>
    </row>
    <row r="584" spans="1:9" hidden="1" outlineLevel="2" x14ac:dyDescent="0.25">
      <c r="A584" s="114" t="str">
        <f>MID(E584,1,1)</f>
        <v>5</v>
      </c>
      <c r="B584" t="str">
        <f>MID(E584,3,2)</f>
        <v>19</v>
      </c>
      <c r="C584" s="114" t="str">
        <f>MID(E584,6,2)</f>
        <v>1</v>
      </c>
      <c r="D584" s="495" t="s">
        <v>95</v>
      </c>
      <c r="E584" s="495" t="s">
        <v>1056</v>
      </c>
      <c r="F584" s="496" t="str">
        <f>VLOOKUP(E584,'5.2 Actions'!$A$3:$B$720,2,0)</f>
        <v>Tenir à jour l’inventaire annuel des prises d’eau et restitutions dans le Canal et effectuer une visite de contrôle annuelle</v>
      </c>
      <c r="G584" s="496"/>
      <c r="H584" s="498">
        <f>VLOOKUP(E584,'5.2 Actions'!$A$3:$D$720,4,0)</f>
        <v>0</v>
      </c>
      <c r="I584" s="497">
        <v>0</v>
      </c>
    </row>
    <row r="585" spans="1:9" hidden="1" outlineLevel="2" x14ac:dyDescent="0.25">
      <c r="A585" s="114" t="str">
        <f>MID(E585,1,1)</f>
        <v>5</v>
      </c>
      <c r="B585" t="str">
        <f>MID(E585,3,2)</f>
        <v>19</v>
      </c>
      <c r="C585" s="114" t="str">
        <f>MID(E585,6,2)</f>
        <v>2</v>
      </c>
      <c r="D585" s="495" t="s">
        <v>95</v>
      </c>
      <c r="E585" s="495" t="s">
        <v>1057</v>
      </c>
      <c r="F585" s="496" t="str">
        <f>VLOOKUP(E585,'5.2 Actions'!$A$3:$B$720,2,0)</f>
        <v>Equiper les prises d’eau dans le Canal de compteurs connectés permettant un suivi régulier des prélèvements et effectuer une visite de contrôle annuelle</v>
      </c>
      <c r="G585" s="496"/>
      <c r="H585" s="498">
        <f>VLOOKUP(E585,'5.2 Actions'!$A$3:$D$720,4,0)</f>
        <v>0</v>
      </c>
      <c r="I585" s="497">
        <v>3000</v>
      </c>
    </row>
    <row r="586" spans="1:9" hidden="1" outlineLevel="2" x14ac:dyDescent="0.25">
      <c r="A586" s="114" t="str">
        <f>MID(E586,1,1)</f>
        <v>5</v>
      </c>
      <c r="B586" t="str">
        <f>MID(E586,3,2)</f>
        <v>19</v>
      </c>
      <c r="C586" s="114" t="str">
        <f>MID(E586,6,2)</f>
        <v>3</v>
      </c>
      <c r="D586" s="495" t="s">
        <v>95</v>
      </c>
      <c r="E586" s="495" t="s">
        <v>1058</v>
      </c>
      <c r="F586" s="496" t="str">
        <f>VLOOKUP(E586,'5.2 Actions'!$A$3:$B$720,2,0)</f>
        <v>Examiner les nouvelles demandes de prises d’eau dans le Canal</v>
      </c>
      <c r="G586" s="496"/>
      <c r="H586" s="498">
        <f>VLOOKUP(E586,'5.2 Actions'!$A$3:$D$720,4,0)</f>
        <v>0</v>
      </c>
      <c r="I586" s="497">
        <v>0</v>
      </c>
    </row>
    <row r="587" spans="1:9" ht="30" hidden="1" outlineLevel="2" x14ac:dyDescent="0.25">
      <c r="A587" s="114" t="str">
        <f>MID(E587,1,1)</f>
        <v>5</v>
      </c>
      <c r="B587" t="str">
        <f>MID(E587,3,2)</f>
        <v>19</v>
      </c>
      <c r="C587" s="114" t="str">
        <f>MID(E587,6,2)</f>
        <v>4</v>
      </c>
      <c r="D587" s="495" t="s">
        <v>95</v>
      </c>
      <c r="E587" s="495" t="s">
        <v>1059</v>
      </c>
      <c r="F587" s="496" t="str">
        <f>VLOOKUP(E587,'5.2 Actions'!$A$3:$B$720,2,0)</f>
        <v>Adapter la politique de captage d’eau dans le Canal en cas d’augmentation notable de la demande en eau, ou de modification substantielle de son utilisation (en particulier : avec ou sans restitution) ou de ses conditions de rejet (notamment température)</v>
      </c>
      <c r="G587" s="496"/>
      <c r="H587" s="498">
        <f>VLOOKUP(E587,'5.2 Actions'!$A$3:$D$720,4,0)</f>
        <v>0</v>
      </c>
      <c r="I587" s="497">
        <v>0</v>
      </c>
    </row>
    <row r="588" spans="1:9" hidden="1" outlineLevel="2" x14ac:dyDescent="0.25">
      <c r="A588" s="114" t="str">
        <f>MID(E588,1,1)</f>
        <v>5</v>
      </c>
      <c r="B588" t="str">
        <f>MID(E588,3,2)</f>
        <v>19</v>
      </c>
      <c r="C588" s="114" t="str">
        <f>MID(E588,6,2)</f>
        <v>5</v>
      </c>
      <c r="D588" s="495" t="s">
        <v>95</v>
      </c>
      <c r="E588" s="495" t="s">
        <v>1060</v>
      </c>
      <c r="F588" s="496" t="str">
        <f>VLOOKUP(E588,'5.2 Actions'!$A$3:$B$720,2,0)</f>
        <v>Poursuivre l’imposition de conditions environnementales sur les rejets de prélèvements et restitution en fonction de l’usage de ceux-ci</v>
      </c>
      <c r="G588" s="496"/>
      <c r="H588" s="498">
        <f>VLOOKUP(E588,'5.2 Actions'!$A$3:$D$720,4,0)</f>
        <v>0</v>
      </c>
      <c r="I588" s="497">
        <v>0</v>
      </c>
    </row>
    <row r="589" spans="1:9" s="494" customFormat="1" ht="28.5" hidden="1" outlineLevel="1" collapsed="1" x14ac:dyDescent="0.25">
      <c r="D589" s="500" t="s">
        <v>96</v>
      </c>
      <c r="E589" s="500"/>
      <c r="F589" s="501" t="str">
        <f>VLOOKUP(D589,'1. Mesures'!$A$2:$B$116,2,0)</f>
        <v>Adopter les mesures de prévention contre les crises écologiques (dont les algues bleues et chutes d’oxygène dissous dans l’eau) de manière coordonnée entre gestionnaires</v>
      </c>
      <c r="G589" s="501"/>
      <c r="H589" s="503"/>
      <c r="I589" s="502">
        <f>SUBTOTAL(9,I590:I594)</f>
        <v>0</v>
      </c>
    </row>
    <row r="590" spans="1:9" hidden="1" outlineLevel="2" x14ac:dyDescent="0.25">
      <c r="A590" s="114" t="str">
        <f>MID(E590,1,1)</f>
        <v>5</v>
      </c>
      <c r="B590" t="str">
        <f>MID(E590,3,2)</f>
        <v>20</v>
      </c>
      <c r="C590" s="114" t="str">
        <f>MID(E590,6,2)</f>
        <v>1</v>
      </c>
      <c r="D590" s="495" t="s">
        <v>96</v>
      </c>
      <c r="E590" s="495" t="s">
        <v>1064</v>
      </c>
      <c r="F590" s="496" t="str">
        <f>VLOOKUP(E590,'5.2 Actions'!$A$3:$B$720,2,0)</f>
        <v>Mener des campagnes d’information sur le phénomène d’algues bleues</v>
      </c>
      <c r="G590" s="496"/>
      <c r="H590" s="498">
        <f>VLOOKUP(E590,'5.2 Actions'!$A$3:$D$720,4,0)</f>
        <v>0</v>
      </c>
      <c r="I590" s="497">
        <v>0</v>
      </c>
    </row>
    <row r="591" spans="1:9" ht="30" hidden="1" outlineLevel="2" x14ac:dyDescent="0.25">
      <c r="A591" s="114" t="str">
        <f>MID(E591,1,1)</f>
        <v>5</v>
      </c>
      <c r="B591" t="str">
        <f>MID(E591,3,2)</f>
        <v>20</v>
      </c>
      <c r="C591" s="114" t="str">
        <f>MID(E591,6,2)</f>
        <v>2</v>
      </c>
      <c r="D591" s="495" t="s">
        <v>96</v>
      </c>
      <c r="E591" s="495" t="s">
        <v>1065</v>
      </c>
      <c r="F591" s="496" t="str">
        <f>VLOOKUP(E591,'5.2 Actions'!$A$3:$B$720,2,0)</f>
        <v>Prise de mesures ponctuelles au moyen de la sonde multiparamètres mobile et de tests immuno-enzymatiques ELISA quand cela s’avère pertinent (par ex : suspicion de bloom de cyanobactéries, surmortalité de poissons)</v>
      </c>
      <c r="G591" s="496"/>
      <c r="H591" s="498">
        <f>VLOOKUP(E591,'5.2 Actions'!$A$3:$D$720,4,0)</f>
        <v>0</v>
      </c>
      <c r="I591" s="497">
        <v>12000</v>
      </c>
    </row>
    <row r="592" spans="1:9" ht="60" hidden="1" outlineLevel="2" x14ac:dyDescent="0.25">
      <c r="A592" s="114" t="str">
        <f>MID(E592,1,1)</f>
        <v>5</v>
      </c>
      <c r="B592" t="str">
        <f>MID(E592,3,2)</f>
        <v>20</v>
      </c>
      <c r="C592" s="114" t="str">
        <f>MID(E592,6,2)</f>
        <v>3</v>
      </c>
      <c r="D592" s="495" t="s">
        <v>96</v>
      </c>
      <c r="E592" s="495" t="s">
        <v>1066</v>
      </c>
      <c r="F592" s="496" t="str">
        <f>VLOOKUP(E592,'5.2 Actions'!$A$3:$B$720,2,0)</f>
        <v>Etudier les phénomènes de surmortalité de poissons  : analyse de données qualité de la (les) sonde(s) en continu FlowBru sur le Canal, analyse de données ponctuelles de la sonde qualité mobile et des tests immuno-enzymatiques ELISA récoltées dans le Canal, installation et analyse de données qualité des robots du projet Smart Water, et modélisation des blooms d’algues bleues, dans l’optique de comprendre les phénomènes à l’origine de la surmortalité des poissons de rechercher des solutions permettant d’en réduire les effets</v>
      </c>
      <c r="G592" s="496"/>
      <c r="H592" s="498">
        <f>VLOOKUP(E592,'5.2 Actions'!$A$3:$D$720,4,0)</f>
        <v>0</v>
      </c>
      <c r="I592" s="497">
        <v>0</v>
      </c>
    </row>
    <row r="593" spans="1:9" ht="45" hidden="1" outlineLevel="2" x14ac:dyDescent="0.25">
      <c r="A593" s="114" t="str">
        <f>MID(E593,1,1)</f>
        <v>5</v>
      </c>
      <c r="B593" t="str">
        <f>MID(E593,3,2)</f>
        <v>20</v>
      </c>
      <c r="C593" s="114" t="str">
        <f>MID(E593,6,2)</f>
        <v>4</v>
      </c>
      <c r="D593" s="495" t="s">
        <v>96</v>
      </c>
      <c r="E593" s="495" t="s">
        <v>1067</v>
      </c>
      <c r="F593" s="496" t="str">
        <f>VLOOKUP(E593,'5.2 Actions'!$A$3:$B$720,2,0)</f>
        <v>Etudier la faisabilité de mettre en œuvre des actions ou d’installer des dispositifs sur le Canal permettant d’apporter de l’oxygène en période d’hypoxie (ou de risque d’hypoxie, comme lors de blooms d’algues bleues ou de sécheresse) (tels que, de façon non-exhaustive : renouvellement d’eau, aérateur, barrière à bulles, installation locale de radeaux végétalisés)</v>
      </c>
      <c r="G593" s="496"/>
      <c r="H593" s="498">
        <f>VLOOKUP(E593,'5.2 Actions'!$A$3:$D$720,4,0)</f>
        <v>0</v>
      </c>
      <c r="I593" s="497">
        <v>0</v>
      </c>
    </row>
    <row r="594" spans="1:9" ht="30" hidden="1" outlineLevel="2" x14ac:dyDescent="0.25">
      <c r="A594" s="114" t="str">
        <f>MID(E594,1,1)</f>
        <v>5</v>
      </c>
      <c r="B594" t="str">
        <f>MID(E594,3,2)</f>
        <v>20</v>
      </c>
      <c r="C594" s="114" t="str">
        <f>MID(E594,6,2)</f>
        <v>5</v>
      </c>
      <c r="D594" s="495" t="s">
        <v>96</v>
      </c>
      <c r="E594" s="495" t="s">
        <v>1068</v>
      </c>
      <c r="F594" s="496" t="str">
        <f>VLOOKUP(E594,'5.2 Actions'!$A$3:$B$720,2,0)</f>
        <v>Étudier la possibilité d’ouvrir les écluses pour renouveler les eaux du Canal en cas de besoin (canicule/sécheresse/manque de passage de bateau/présence de blooms de cyanobactéries/eau très turbide/hypoxie/animaux en détresse ou morts)</v>
      </c>
      <c r="G594" s="496"/>
      <c r="H594" s="498">
        <f>VLOOKUP(E594,'5.2 Actions'!$A$3:$D$720,4,0)</f>
        <v>0</v>
      </c>
      <c r="I594" s="497">
        <v>0</v>
      </c>
    </row>
    <row r="595" spans="1:9" s="494" customFormat="1" hidden="1" outlineLevel="1" collapsed="1" x14ac:dyDescent="0.25">
      <c r="D595" s="500" t="s">
        <v>97</v>
      </c>
      <c r="E595" s="500"/>
      <c r="F595" s="501" t="str">
        <f>VLOOKUP(D595,'1. Mesures'!$A$2:$B$116,2,0)</f>
        <v xml:space="preserve">Mettre en place une gestion raisonnée de l’eau dans les espaces verts régionaux et communaux </v>
      </c>
      <c r="G595" s="501"/>
      <c r="H595" s="503"/>
      <c r="I595" s="502">
        <f>SUBTOTAL(9,I596:I599)</f>
        <v>0</v>
      </c>
    </row>
    <row r="596" spans="1:9" hidden="1" outlineLevel="2" x14ac:dyDescent="0.25">
      <c r="A596" s="114" t="str">
        <f>MID(E596,1,1)</f>
        <v>5</v>
      </c>
      <c r="B596" t="str">
        <f>MID(E596,3,2)</f>
        <v>21</v>
      </c>
      <c r="C596" s="114" t="str">
        <f>MID(E596,6,2)</f>
        <v>1</v>
      </c>
      <c r="D596" s="495" t="s">
        <v>97</v>
      </c>
      <c r="E596" s="495" t="s">
        <v>1069</v>
      </c>
      <c r="F596" s="496" t="str">
        <f>VLOOKUP(E596,'5.2 Actions'!$A$3:$B$720,2,0)</f>
        <v>Revoir le choix des végétaux à mettre en place dans les espaces verts bruxellois</v>
      </c>
      <c r="G596" s="496"/>
      <c r="H596" s="498">
        <f>VLOOKUP(E596,'5.2 Actions'!$A$3:$D$720,4,0)</f>
        <v>0</v>
      </c>
      <c r="I596" s="497">
        <v>0</v>
      </c>
    </row>
    <row r="597" spans="1:9" hidden="1" outlineLevel="2" x14ac:dyDescent="0.25">
      <c r="A597" s="114" t="str">
        <f>MID(E597,1,1)</f>
        <v>5</v>
      </c>
      <c r="B597" t="str">
        <f>MID(E597,3,2)</f>
        <v>21</v>
      </c>
      <c r="C597" s="114" t="str">
        <f>MID(E597,6,2)</f>
        <v>2</v>
      </c>
      <c r="D597" s="495" t="s">
        <v>97</v>
      </c>
      <c r="E597" s="495" t="s">
        <v>1070</v>
      </c>
      <c r="F597" s="496" t="str">
        <f>VLOOKUP(E597,'5.2 Actions'!$A$3:$B$720,2,0)</f>
        <v>Concevoir les espaces verts et apporter les aménagements nécessaires à une gestion plus rationnelle de l’eau</v>
      </c>
      <c r="G597" s="496"/>
      <c r="H597" s="498">
        <f>VLOOKUP(E597,'5.2 Actions'!$A$3:$D$720,4,0)</f>
        <v>0</v>
      </c>
      <c r="I597" s="497">
        <v>0</v>
      </c>
    </row>
    <row r="598" spans="1:9" hidden="1" outlineLevel="2" x14ac:dyDescent="0.25">
      <c r="A598" s="114" t="str">
        <f>MID(E598,1,1)</f>
        <v>5</v>
      </c>
      <c r="B598" t="str">
        <f>MID(E598,3,2)</f>
        <v>21</v>
      </c>
      <c r="C598" s="114" t="str">
        <f>MID(E598,6,2)</f>
        <v>3</v>
      </c>
      <c r="D598" s="495" t="s">
        <v>97</v>
      </c>
      <c r="E598" s="495" t="s">
        <v>1071</v>
      </c>
      <c r="F598" s="496" t="str">
        <f>VLOOKUP(E598,'5.2 Actions'!$A$3:$B$720,2,0)</f>
        <v>Communication et sensibilisation à cette gestion raisonnée des espaces verts via un référentiel de gestion écologique</v>
      </c>
      <c r="G598" s="496"/>
      <c r="H598" s="498">
        <f>VLOOKUP(E598,'5.2 Actions'!$A$3:$D$720,4,0)</f>
        <v>0</v>
      </c>
      <c r="I598" s="497">
        <v>0</v>
      </c>
    </row>
    <row r="599" spans="1:9" hidden="1" outlineLevel="2" x14ac:dyDescent="0.25">
      <c r="A599" s="114" t="str">
        <f>MID(E599,1,1)</f>
        <v>5</v>
      </c>
      <c r="B599" t="str">
        <f>MID(E599,3,2)</f>
        <v>21</v>
      </c>
      <c r="C599" s="114" t="str">
        <f>MID(E599,6,2)</f>
        <v>A</v>
      </c>
      <c r="D599" s="495" t="s">
        <v>97</v>
      </c>
      <c r="E599" s="495" t="s">
        <v>1072</v>
      </c>
      <c r="F599" s="496" t="str">
        <f>VLOOKUP(E599,'5.2 Actions'!$A$3:$B$720,2,0)</f>
        <v>Prendre les mesures visant à diminuer le recours à l’eau potable en favorisant l’eau pluviale et en limitant les besoins en eau</v>
      </c>
      <c r="G599" s="496"/>
      <c r="H599" s="498">
        <f>VLOOKUP(E599,'5.2 Actions'!$A$3:$D$720,4,0)</f>
        <v>0</v>
      </c>
      <c r="I599" s="497">
        <v>0</v>
      </c>
    </row>
    <row r="600" spans="1:9" s="494" customFormat="1" ht="28.5" hidden="1" outlineLevel="1" collapsed="1" x14ac:dyDescent="0.25">
      <c r="D600" s="500" t="s">
        <v>98</v>
      </c>
      <c r="E600" s="500"/>
      <c r="F600" s="501" t="str">
        <f>VLOOKUP(D600,'1. Mesures'!$A$2:$B$116,2,0)</f>
        <v>Garantir une utilisation rationnelle de l’eau dans l’agriculture urbaine, optimiser l’arrosage et privilégier des sources d’approvisionnement en eau alternatives à l’eau potable</v>
      </c>
      <c r="G600" s="501"/>
      <c r="H600" s="503"/>
      <c r="I600" s="502">
        <f>SUBTOTAL(9,I601:I607)</f>
        <v>0</v>
      </c>
    </row>
    <row r="601" spans="1:9" ht="45" hidden="1" outlineLevel="2" x14ac:dyDescent="0.25">
      <c r="A601" s="114" t="str">
        <f t="shared" ref="A601:A607" si="108">MID(E601,1,1)</f>
        <v>5</v>
      </c>
      <c r="B601" t="str">
        <f t="shared" ref="B601:B607" si="109">MID(E601,3,2)</f>
        <v>22</v>
      </c>
      <c r="C601" s="114" t="str">
        <f t="shared" ref="C601:C607" si="110">MID(E601,6,2)</f>
        <v>1</v>
      </c>
      <c r="D601" s="495" t="s">
        <v>98</v>
      </c>
      <c r="E601" s="495" t="s">
        <v>1073</v>
      </c>
      <c r="F601" s="496" t="str">
        <f>VLOOKUP(E601,'5.2 Actions'!$A$3:$B$720,2,0)</f>
        <v>Tous publics :
Accompagner les différentes catégories de public par le développement d’outils techniques notamment pour estimer les besoins en eaux (calculateur) et pour identifier les solutions à mettre en place au cas par cas.</v>
      </c>
      <c r="G601" s="496"/>
      <c r="H601" s="498">
        <f>VLOOKUP(E601,'5.2 Actions'!$A$3:$D$720,4,0)</f>
        <v>0</v>
      </c>
      <c r="I601" s="497">
        <v>0</v>
      </c>
    </row>
    <row r="602" spans="1:9" ht="90" hidden="1" outlineLevel="2" x14ac:dyDescent="0.25">
      <c r="A602" s="114" t="str">
        <f t="shared" si="108"/>
        <v>5</v>
      </c>
      <c r="B602" t="str">
        <f t="shared" si="109"/>
        <v>22</v>
      </c>
      <c r="C602" s="114" t="str">
        <f t="shared" si="110"/>
        <v>2</v>
      </c>
      <c r="D602" s="495" t="s">
        <v>98</v>
      </c>
      <c r="E602" s="495" t="s">
        <v>1074</v>
      </c>
      <c r="F602" s="496" t="str">
        <f>VLOOKUP(E602,'5.2 Actions'!$A$3:$B$720,2,0)</f>
        <v>Maraîchers/cultures Professionnels
- Mise en place d’un soutien dédicacé pour une transition vers des pratiques plus exemplaires en s’appuyant sur les structures existantes (primes à la récupération, pour la réalisation d’audits…);
- Prise en  compte de la question de la gestion de l’eau lors de l’attribution de subsides (ex. appel à projets en agriculture durable, économie et emploi)  et lors de l’acquisition de foncier ou création infrastructures (conditionnalités de certaines aides à étudier)
Ces actions s’établissent en coordination avec la Stratégie Good Food vers un système alimentaire durable en Région de Bruxelles-Capitale</v>
      </c>
      <c r="G602" s="496"/>
      <c r="H602" s="498">
        <f>VLOOKUP(E602,'5.2 Actions'!$A$3:$D$720,4,0)</f>
        <v>0</v>
      </c>
      <c r="I602" s="497">
        <v>300000</v>
      </c>
    </row>
    <row r="603" spans="1:9" ht="120" hidden="1" outlineLevel="2" x14ac:dyDescent="0.25">
      <c r="A603" s="114" t="str">
        <f t="shared" si="108"/>
        <v>5</v>
      </c>
      <c r="B603" t="str">
        <f t="shared" si="109"/>
        <v>22</v>
      </c>
      <c r="C603" s="114" t="str">
        <f t="shared" si="110"/>
        <v>3</v>
      </c>
      <c r="D603" s="495" t="s">
        <v>98</v>
      </c>
      <c r="E603" s="495" t="s">
        <v>1075</v>
      </c>
      <c r="F603" s="496" t="str">
        <f>VLOOKUP(E603,'5.2 Actions'!$A$3:$B$720,2,0)</f>
        <v>Potagers collectifs :
encourager le placement et le raccordement des citernes de récupération d’eau de pluie et pratiques agricoles économes en eaux par de de l’accompagnement via :
a)     via formations (voir M 5.4), et développement de contenus didactiques ;
b)     l’adoption et révision des Chartes et pratiques associées, notamment en incitant à une mise en commun des ressources (citerne enterrée de récupération de grande capacité, mise en place d’un référent Eau, constitution de stocks communs en hiver sur une parcelle,…) ;
c)) Soutien à la mise en place de projets exemplaires via appel à projet Inspirons le quartier (projets collectifs citoyens) ou Actions Climat (projets communaux) – voir M.8.5</v>
      </c>
      <c r="G603" s="496"/>
      <c r="H603" s="498">
        <f>VLOOKUP(E603,'5.2 Actions'!$A$3:$D$720,4,0)</f>
        <v>0</v>
      </c>
      <c r="I603" s="497">
        <v>0</v>
      </c>
    </row>
    <row r="604" spans="1:9" ht="30" hidden="1" outlineLevel="2" x14ac:dyDescent="0.25">
      <c r="A604" s="114" t="str">
        <f t="shared" si="108"/>
        <v>5</v>
      </c>
      <c r="B604" t="str">
        <f t="shared" si="109"/>
        <v>22</v>
      </c>
      <c r="C604" s="114" t="str">
        <f t="shared" si="110"/>
        <v>4</v>
      </c>
      <c r="D604" s="495" t="s">
        <v>98</v>
      </c>
      <c r="E604" s="495" t="s">
        <v>1076</v>
      </c>
      <c r="F604" s="496" t="str">
        <f>VLOOKUP(E604,'5.2 Actions'!$A$3:$B$720,2,0)</f>
        <v>Dans les potagers sous gestion de Bruxelles Environnement, étudier au regard des contraintes éventuelles (enjeux paysagers,…) des alternatives (techniques ou de mise en œuvre) à l’utilisation d’eau potable (bornes fontaines) pour l’irrigation</v>
      </c>
      <c r="G604" s="496"/>
      <c r="H604" s="498">
        <f>VLOOKUP(E604,'5.2 Actions'!$A$3:$D$720,4,0)</f>
        <v>0</v>
      </c>
      <c r="I604" s="497">
        <v>70000</v>
      </c>
    </row>
    <row r="605" spans="1:9" ht="30" hidden="1" outlineLevel="2" x14ac:dyDescent="0.25">
      <c r="A605" s="114" t="str">
        <f t="shared" si="108"/>
        <v>5</v>
      </c>
      <c r="B605" t="str">
        <f t="shared" si="109"/>
        <v>22</v>
      </c>
      <c r="C605" s="114" t="str">
        <f t="shared" si="110"/>
        <v>5</v>
      </c>
      <c r="D605" s="495" t="s">
        <v>98</v>
      </c>
      <c r="E605" s="495" t="s">
        <v>1077</v>
      </c>
      <c r="F605" s="496" t="str">
        <f>VLOOKUP(E605,'5.2 Actions'!$A$3:$B$720,2,0)</f>
        <v>Lors de projet d’urbanisation ou de revitalisation urbaine, analyser systématiquement la possibilité de répondre aux besoins en eau de l’agriculture urbaine à proximité via la récupération d’eaux de toitures (convention pour alimenter les potagers)</v>
      </c>
      <c r="G605" s="496"/>
      <c r="H605" s="498">
        <f>VLOOKUP(E605,'5.2 Actions'!$A$3:$D$720,4,0)</f>
        <v>0</v>
      </c>
      <c r="I605" s="497">
        <v>0</v>
      </c>
    </row>
    <row r="606" spans="1:9" ht="45" hidden="1" outlineLevel="2" x14ac:dyDescent="0.25">
      <c r="A606" s="114" t="str">
        <f t="shared" si="108"/>
        <v>5</v>
      </c>
      <c r="B606" t="str">
        <f t="shared" si="109"/>
        <v>22</v>
      </c>
      <c r="C606" s="114" t="str">
        <f t="shared" si="110"/>
        <v>6</v>
      </c>
      <c r="D606" s="495" t="s">
        <v>98</v>
      </c>
      <c r="E606" s="495" t="s">
        <v>1078</v>
      </c>
      <c r="F606" s="496" t="str">
        <f>VLOOKUP(E606,'5.2 Actions'!$A$3:$B$720,2,0)</f>
        <v>Tous publics :
Développer des lignes directrices permettant d’assurer l’équilibre entre enjeux socio-économiques (continuité d’approvisionnement en eau) et environnementaux (préservation de la ressource) en se basant sur quelques cas d’étude (10 aine)</v>
      </c>
      <c r="G606" s="496"/>
      <c r="H606" s="498">
        <f>VLOOKUP(E606,'5.2 Actions'!$A$3:$D$720,4,0)</f>
        <v>0</v>
      </c>
      <c r="I606" s="497">
        <v>0</v>
      </c>
    </row>
    <row r="607" spans="1:9" ht="45" hidden="1" outlineLevel="2" x14ac:dyDescent="0.25">
      <c r="A607" s="114" t="str">
        <f t="shared" si="108"/>
        <v>5</v>
      </c>
      <c r="B607" t="str">
        <f t="shared" si="109"/>
        <v>22</v>
      </c>
      <c r="C607" s="114" t="str">
        <f t="shared" si="110"/>
        <v>7</v>
      </c>
      <c r="D607" s="495" t="s">
        <v>98</v>
      </c>
      <c r="E607" s="495" t="s">
        <v>1079</v>
      </c>
      <c r="F607" s="496" t="str">
        <f>VLOOKUP(E607,'5.2 Actions'!$A$3:$B$720,2,0)</f>
        <v>Tous publics :
Etudier le coût-bénéfice d’alternatives à l’eau potable aux regards notamment des aspects sanitaires et traitements possibles (eaux grises, eaux d’exhaure, …) et intégrer le cas échéant aux lignes directrices, en coordination avec les instances fédérales (Afsca,…)</v>
      </c>
      <c r="G607" s="496"/>
      <c r="H607" s="498">
        <f>VLOOKUP(E607,'5.2 Actions'!$A$3:$D$720,4,0)</f>
        <v>0</v>
      </c>
      <c r="I607" s="497">
        <v>60000</v>
      </c>
    </row>
    <row r="608" spans="1:9" s="494" customFormat="1" ht="28.5" hidden="1" outlineLevel="1" collapsed="1" x14ac:dyDescent="0.25">
      <c r="D608" s="500" t="s">
        <v>99</v>
      </c>
      <c r="E608" s="500"/>
      <c r="F608" s="501" t="str">
        <f>VLOOKUP(D608,'1. Mesures'!$A$2:$B$116,2,0)</f>
        <v>Instaurer une cellule « sécheresse » dans le cadre de la plateforme de coordination des opérateurs et acteurs de l’eau afin de coordonner l’action et la communication de la Région en cas de (risque de) crise</v>
      </c>
      <c r="G608" s="501"/>
      <c r="H608" s="503"/>
      <c r="I608" s="502">
        <f>SUBTOTAL(9,I609:I610)</f>
        <v>0</v>
      </c>
    </row>
    <row r="609" spans="1:9" ht="30" hidden="1" outlineLevel="2" x14ac:dyDescent="0.25">
      <c r="A609" s="114" t="str">
        <f>MID(E609,1,1)</f>
        <v>5</v>
      </c>
      <c r="B609" t="str">
        <f>MID(E609,3,2)</f>
        <v>23</v>
      </c>
      <c r="C609" s="114" t="str">
        <f>MID(E609,6,2)</f>
        <v>1</v>
      </c>
      <c r="D609" s="495" t="s">
        <v>99</v>
      </c>
      <c r="E609" s="495" t="s">
        <v>1080</v>
      </c>
      <c r="F609" s="496" t="str">
        <f>VLOOKUP(E609,'5.2 Actions'!$A$3:$B$720,2,0)</f>
        <v>Mise en place formelle et officielle de la cellule « sécheresse », groupe de travail initialement mis en place pour l’élaboration de ces mesures, en identifiant et attribuant les rôles à chaque intervenant.</v>
      </c>
      <c r="G609" s="496"/>
      <c r="H609" s="498">
        <f>VLOOKUP(E609,'5.2 Actions'!$A$3:$D$720,4,0)</f>
        <v>0</v>
      </c>
      <c r="I609" s="497">
        <v>0</v>
      </c>
    </row>
    <row r="610" spans="1:9" hidden="1" outlineLevel="2" x14ac:dyDescent="0.25">
      <c r="A610" s="114" t="str">
        <f>MID(E610,1,1)</f>
        <v>5</v>
      </c>
      <c r="B610" t="str">
        <f>MID(E610,3,2)</f>
        <v>23</v>
      </c>
      <c r="C610" s="114" t="str">
        <f>MID(E610,6,2)</f>
        <v>2</v>
      </c>
      <c r="D610" s="495" t="s">
        <v>99</v>
      </c>
      <c r="E610" s="495" t="s">
        <v>1081</v>
      </c>
      <c r="F610" s="496" t="str">
        <f>VLOOKUP(E610,'5.2 Actions'!$A$3:$B$720,2,0)</f>
        <v>Assurer une communication cohérente à travers cette cellule « sécheresse »</v>
      </c>
      <c r="G610" s="496"/>
      <c r="H610" s="498">
        <f>VLOOKUP(E610,'5.2 Actions'!$A$3:$D$720,4,0)</f>
        <v>0</v>
      </c>
      <c r="I610" s="497">
        <v>0</v>
      </c>
    </row>
    <row r="611" spans="1:9" s="494" customFormat="1" hidden="1" outlineLevel="1" collapsed="1" x14ac:dyDescent="0.25">
      <c r="D611" s="500" t="s">
        <v>100</v>
      </c>
      <c r="E611" s="500"/>
      <c r="F611" s="501" t="str">
        <f>VLOOKUP(D611,'1. Mesures'!$A$2:$B$116,2,0)</f>
        <v xml:space="preserve">Réaliser et exploiter un système de prédiction et d'alerte en matière d’inondation et de sécheresse  </v>
      </c>
      <c r="G611" s="501"/>
      <c r="H611" s="503"/>
      <c r="I611" s="502">
        <f>SUBTOTAL(9,I612:I616)</f>
        <v>0</v>
      </c>
    </row>
    <row r="612" spans="1:9" ht="30" hidden="1" outlineLevel="2" x14ac:dyDescent="0.25">
      <c r="A612" s="114" t="str">
        <f>MID(E612,1,1)</f>
        <v>5</v>
      </c>
      <c r="B612" t="str">
        <f>MID(E612,3,2)</f>
        <v>24</v>
      </c>
      <c r="C612" s="114" t="str">
        <f>MID(E612,6,2)</f>
        <v>1</v>
      </c>
      <c r="D612" s="495" t="s">
        <v>100</v>
      </c>
      <c r="E612" s="495" t="s">
        <v>1082</v>
      </c>
      <c r="F612" s="496" t="str">
        <f>VLOOKUP(E612,'5.2 Actions'!$A$3:$B$720,2,0)</f>
        <v>Au sein de la cellule Sécheresse (cf. M 5.23), créer une groupe de travail impliquant les différents acteurs de l’eau, les services météorologiques et les autorités gérant les crises sur le terrain afin de s’accorder sur un indicateur « sécheresse » permettant de déterminer les phases d’alerte</v>
      </c>
      <c r="G612" s="496"/>
      <c r="H612" s="498">
        <f>VLOOKUP(E612,'5.2 Actions'!$A$3:$D$720,4,0)</f>
        <v>0</v>
      </c>
      <c r="I612" s="497">
        <v>90000</v>
      </c>
    </row>
    <row r="613" spans="1:9" ht="30" hidden="1" outlineLevel="2" x14ac:dyDescent="0.25">
      <c r="A613" s="114" t="str">
        <f>MID(E613,1,1)</f>
        <v>5</v>
      </c>
      <c r="B613" t="str">
        <f>MID(E613,3,2)</f>
        <v>24</v>
      </c>
      <c r="C613" s="114" t="str">
        <f>MID(E613,6,2)</f>
        <v>2</v>
      </c>
      <c r="D613" s="495" t="s">
        <v>100</v>
      </c>
      <c r="E613" s="495" t="s">
        <v>1083</v>
      </c>
      <c r="F613" s="496" t="str">
        <f>VLOOKUP(E613,'5.2 Actions'!$A$3:$B$720,2,0)</f>
        <v>Mettre en place un premier système d'alerte pour les inondations fluviales. Préalablement, les démarches auprès des autorités flamandes seront entreprises pour établir un partenariat dans le cadre de waterinfo, et adapter le cas échéant le format et le traitement de nos données d’observations et de simulations</v>
      </c>
      <c r="G613" s="496"/>
      <c r="H613" s="498">
        <f>VLOOKUP(E613,'5.2 Actions'!$A$3:$D$720,4,0)</f>
        <v>0</v>
      </c>
      <c r="I613" s="497">
        <v>75000</v>
      </c>
    </row>
    <row r="614" spans="1:9" ht="30" hidden="1" outlineLevel="2" x14ac:dyDescent="0.25">
      <c r="A614" s="114" t="str">
        <f>MID(E614,1,1)</f>
        <v>5</v>
      </c>
      <c r="B614" t="str">
        <f>MID(E614,3,2)</f>
        <v>24</v>
      </c>
      <c r="C614" s="114" t="str">
        <f>MID(E614,6,2)</f>
        <v>3</v>
      </c>
      <c r="D614" s="495" t="s">
        <v>100</v>
      </c>
      <c r="E614" s="495" t="s">
        <v>1084</v>
      </c>
      <c r="F614" s="496" t="str">
        <f>VLOOKUP(E614,'5.2 Actions'!$A$3:$B$720,2,0)</f>
        <v>Opérationaliser le « nowcasting » orage et le déclenchement de phase d’alerte « sécheresse » sur base de l’indicateur développé et des échanges avec les centre de crise wallon et commission sécheresse de Flandre</v>
      </c>
      <c r="G614" s="496"/>
      <c r="H614" s="498">
        <f>VLOOKUP(E614,'5.2 Actions'!$A$3:$D$720,4,0)</f>
        <v>0</v>
      </c>
      <c r="I614" s="497">
        <v>90000</v>
      </c>
    </row>
    <row r="615" spans="1:9" hidden="1" outlineLevel="2" x14ac:dyDescent="0.25">
      <c r="A615" s="114" t="str">
        <f>MID(E615,1,1)</f>
        <v>5</v>
      </c>
      <c r="B615" t="str">
        <f>MID(E615,3,2)</f>
        <v>24</v>
      </c>
      <c r="C615" s="114" t="str">
        <f>MID(E615,6,2)</f>
        <v>4</v>
      </c>
      <c r="D615" s="495" t="s">
        <v>100</v>
      </c>
      <c r="E615" s="495" t="s">
        <v>1085</v>
      </c>
      <c r="F615" s="496" t="str">
        <f>VLOOKUP(E615,'5.2 Actions'!$A$3:$B$720,2,0)</f>
        <v>Etendre le système d’alerte fluvial en y intégrant les inondations pluviales, sur base de l’expérience acquise avec le système fluvial.</v>
      </c>
      <c r="G615" s="496"/>
      <c r="H615" s="498">
        <f>VLOOKUP(E615,'5.2 Actions'!$A$3:$D$720,4,0)</f>
        <v>0</v>
      </c>
      <c r="I615" s="497">
        <v>130000</v>
      </c>
    </row>
    <row r="616" spans="1:9" hidden="1" outlineLevel="2" x14ac:dyDescent="0.25">
      <c r="A616" s="114" t="str">
        <f>MID(E616,1,1)</f>
        <v>5</v>
      </c>
      <c r="B616" t="str">
        <f>MID(E616,3,2)</f>
        <v>24</v>
      </c>
      <c r="C616" s="114" t="str">
        <f>MID(E616,6,2)</f>
        <v>5</v>
      </c>
      <c r="D616" s="495" t="s">
        <v>100</v>
      </c>
      <c r="E616" s="495" t="s">
        <v>1086</v>
      </c>
      <c r="F616" s="496" t="str">
        <f>VLOOKUP(E616,'5.2 Actions'!$A$3:$B$720,2,0)</f>
        <v>Valoriser le système dans le cadre de la gestion dynamique visant à limiter les déversements d’orage (cf. M 1.9)</v>
      </c>
      <c r="G616" s="496"/>
      <c r="H616" s="498">
        <f>VLOOKUP(E616,'5.2 Actions'!$A$3:$D$720,4,0)</f>
        <v>0</v>
      </c>
      <c r="I616" s="497">
        <v>0</v>
      </c>
    </row>
    <row r="617" spans="1:9" s="494" customFormat="1" hidden="1" outlineLevel="1" collapsed="1" x14ac:dyDescent="0.25">
      <c r="D617" s="500" t="s">
        <v>101</v>
      </c>
      <c r="E617" s="500"/>
      <c r="F617" s="501" t="str">
        <f>VLOOKUP(D617,'1. Mesures'!$A$2:$B$116,2,0)</f>
        <v>Etablir et mettre en place un Plan particulier d’urgence et d'intervention propre aux  thématiques « inondation » et « sécheresse »</v>
      </c>
      <c r="G617" s="501"/>
      <c r="H617" s="503"/>
      <c r="I617" s="502">
        <f>SUBTOTAL(9,I618:I622)</f>
        <v>0</v>
      </c>
    </row>
    <row r="618" spans="1:9" ht="60" hidden="1" outlineLevel="2" x14ac:dyDescent="0.25">
      <c r="A618" s="114" t="str">
        <f>MID(E618,1,1)</f>
        <v>5</v>
      </c>
      <c r="B618" t="str">
        <f>MID(E618,3,2)</f>
        <v>25</v>
      </c>
      <c r="C618" s="114" t="str">
        <f>MID(E618,6,2)</f>
        <v>1</v>
      </c>
      <c r="D618" s="495" t="s">
        <v>101</v>
      </c>
      <c r="E618" s="495" t="s">
        <v>1087</v>
      </c>
      <c r="F618" s="496" t="str">
        <f>VLOOKUP(E618,'5.2 Actions'!$A$3:$B$720,2,0)</f>
        <v>Etablir une évaluation de la planification d’intervention d’urgence telle qu’actuellement en vigueur en Région de Bruxelles-Capitale, dresser un état des lieux sur le fonctionnement propre des intervenants (opérateur de l’eau, services d'intervention), les moyens particuliers d'intervention disponibles, les coordonnées des personnes spécifiquement concernées par le risque, et se nourrir des outils existants dans les autres Régions ou mis en place suite aux expériences récentes de gestion de crise.</v>
      </c>
      <c r="G618" s="496"/>
      <c r="H618" s="498">
        <f>VLOOKUP(E618,'5.2 Actions'!$A$3:$D$720,4,0)</f>
        <v>0</v>
      </c>
      <c r="I618" s="497">
        <v>0</v>
      </c>
    </row>
    <row r="619" spans="1:9" ht="30" hidden="1" outlineLevel="2" x14ac:dyDescent="0.25">
      <c r="A619" s="114" t="str">
        <f>MID(E619,1,1)</f>
        <v>5</v>
      </c>
      <c r="B619" t="str">
        <f>MID(E619,3,2)</f>
        <v>25</v>
      </c>
      <c r="C619" s="114" t="str">
        <f>MID(E619,6,2)</f>
        <v>2</v>
      </c>
      <c r="D619" s="495" t="s">
        <v>101</v>
      </c>
      <c r="E619" s="495" t="s">
        <v>1088</v>
      </c>
      <c r="F619" s="496" t="str">
        <f>VLOOKUP(E619,'5.2 Actions'!$A$3:$B$720,2,0)</f>
        <v>Sur base de l’évaluation, établir une « fiche-réflexe » ou un « schéma d’alerte » qui serait adapté pour une situation de crise (inondation ou sécheresse) comme prémisse au Plan Particulier d’Urgence et d’intervention (PPUI)</v>
      </c>
      <c r="G619" s="496"/>
      <c r="H619" s="498">
        <f>VLOOKUP(E619,'5.2 Actions'!$A$3:$D$720,4,0)</f>
        <v>0</v>
      </c>
      <c r="I619" s="497">
        <v>0</v>
      </c>
    </row>
    <row r="620" spans="1:9" ht="90" hidden="1" outlineLevel="2" x14ac:dyDescent="0.25">
      <c r="A620" s="114" t="str">
        <f>MID(E620,1,1)</f>
        <v>5</v>
      </c>
      <c r="B620" t="str">
        <f>MID(E620,3,2)</f>
        <v>25</v>
      </c>
      <c r="C620" s="114" t="str">
        <f>MID(E620,6,2)</f>
        <v>3</v>
      </c>
      <c r="D620" s="495" t="s">
        <v>101</v>
      </c>
      <c r="E620" s="495" t="s">
        <v>1089</v>
      </c>
      <c r="F620" s="496" t="str">
        <f>VLOOKUP(E620,'5.2 Actions'!$A$3:$B$720,2,0)</f>
        <v>Réaliser un Plan Particulier d'Urgence et d'Intervention consacré au risque spécifique d’inondation et de sécheresse, qui :
-  décrit les risques et détermine les zones de planification d'urgence, distingue les différents scénarios possibles et les procédures d'intervention spécifiques à chacun d’eux, détermine l'organisation de la coordination des opérations et la chaine de commandement sous la direction de BPS;
- détermine les mesures de protection des biens et des personnes (notamment des intervenants), les localisations pouvant être intégrée dans un dispositif opérationnel (établissement d’un poste de commandement opérationnel multidisciplinaire, d’un éventuel poste médical avancé, d’un centre d’accueil pour personnes impliquées, d’un centre d’accueil pour la presse, etc.)d) détermine les procédures d'information des services de secours et de la population.</v>
      </c>
      <c r="G620" s="496"/>
      <c r="H620" s="498">
        <f>VLOOKUP(E620,'5.2 Actions'!$A$3:$D$720,4,0)</f>
        <v>0</v>
      </c>
      <c r="I620" s="497">
        <v>0</v>
      </c>
    </row>
    <row r="621" spans="1:9" ht="45" hidden="1" outlineLevel="2" x14ac:dyDescent="0.25">
      <c r="A621" s="114" t="str">
        <f>MID(E621,1,1)</f>
        <v>5</v>
      </c>
      <c r="B621" t="str">
        <f>MID(E621,3,2)</f>
        <v>25</v>
      </c>
      <c r="C621" s="114" t="str">
        <f>MID(E621,6,2)</f>
        <v>4</v>
      </c>
      <c r="D621" s="495" t="s">
        <v>101</v>
      </c>
      <c r="E621" s="495" t="s">
        <v>1090</v>
      </c>
      <c r="F621" s="496" t="str">
        <f>VLOOKUP(E621,'5.2 Actions'!$A$3:$B$720,2,0)</f>
        <v>Intégrer aux Plans d'Intervention Psychosociale existants la prise en compte spécifique du risque d'inondation et de sécheresse et préparer notamment l'accompagnement psychologique des victimes, ainsi que leur éventuel relogement temporaire (recensement de la population potentiellement concernée, identification des possibilités de relogement et de catering existantes, prise des contacts préalables nécessaires)</v>
      </c>
      <c r="G621" s="496"/>
      <c r="H621" s="498">
        <f>VLOOKUP(E621,'5.2 Actions'!$A$3:$D$720,4,0)</f>
        <v>0</v>
      </c>
      <c r="I621" s="497">
        <v>0</v>
      </c>
    </row>
    <row r="622" spans="1:9" ht="105" hidden="1" outlineLevel="2" x14ac:dyDescent="0.25">
      <c r="A622" s="114" t="str">
        <f>MID(E622,1,1)</f>
        <v>5</v>
      </c>
      <c r="B622" t="str">
        <f>MID(E622,3,2)</f>
        <v>25</v>
      </c>
      <c r="C622" s="114" t="str">
        <f>MID(E622,6,2)</f>
        <v>5</v>
      </c>
      <c r="D622" s="495" t="s">
        <v>101</v>
      </c>
      <c r="E622" s="495" t="s">
        <v>1091</v>
      </c>
      <c r="F622" s="496" t="str">
        <f>VLOOKUP(E622,'5.2 Actions'!$A$3:$B$720,2,0)</f>
        <v>Organiser à fréquence régulière des exercices spécifiquement consacrés à la problématique des inondations en vue notamment de :
- sensibiliser les participants,
- favoriser et tester la gestion tant mono- que multidisciplinaire de l’intervention portant sur divers aspects tels que la mise en alerte, le commandement, la communication ou encore la coordination,
- améliorer les connaissances, savoir, savoir-faire et savoir être sur le terrain,- connaitre et faire connaitre l’ensemble des acteurs concernés,- rendre chaque intervenant capable de réagir à l’imprévu et de faire face à la situation d’urgence et de stress,- évaluer l’application des différents plans et procédures existants, leur interaction et, le cas échéant, les adapter aux conclusions de l’évaluation consécutive à l'exercice.</v>
      </c>
      <c r="G622" s="496"/>
      <c r="H622" s="498">
        <f>VLOOKUP(E622,'5.2 Actions'!$A$3:$D$720,4,0)</f>
        <v>0</v>
      </c>
      <c r="I622" s="497">
        <v>0</v>
      </c>
    </row>
    <row r="623" spans="1:9" s="494" customFormat="1" ht="28.5" hidden="1" outlineLevel="1" collapsed="1" x14ac:dyDescent="0.25">
      <c r="D623" s="500" t="s">
        <v>102</v>
      </c>
      <c r="E623" s="500"/>
      <c r="F623" s="501" t="str">
        <f>VLOOKUP(D623,'1. Mesures'!$A$2:$B$116,2,0)</f>
        <v xml:space="preserve">Modéliser hydrauliquement les axes d’écoulements principaux (cours d’eau, grands collecteurs et leurs bassins d’orage) et leurs interactions pour affiner l’établissement des zones inondables et servir à la gestion dynamique.  </v>
      </c>
      <c r="G623" s="501"/>
      <c r="H623" s="503"/>
      <c r="I623" s="502">
        <f>SUBTOTAL(9,I624:I630)</f>
        <v>0</v>
      </c>
    </row>
    <row r="624" spans="1:9" hidden="1" outlineLevel="2" x14ac:dyDescent="0.25">
      <c r="A624" s="114" t="str">
        <f t="shared" ref="A624:A630" si="111">MID(E624,1,1)</f>
        <v>5</v>
      </c>
      <c r="B624" t="str">
        <f t="shared" ref="B624:B630" si="112">MID(E624,3,2)</f>
        <v>26</v>
      </c>
      <c r="C624" s="114" t="str">
        <f t="shared" ref="C624:C630" si="113">MID(E624,6,2)</f>
        <v>1</v>
      </c>
      <c r="D624" s="495" t="s">
        <v>102</v>
      </c>
      <c r="E624" s="495" t="s">
        <v>1092</v>
      </c>
      <c r="F624" s="496" t="str">
        <f>VLOOKUP(E624,'5.2 Actions'!$A$3:$B$720,2,0)</f>
        <v>Harmoniser et valider les données ‘quantité’ de Flowbru</v>
      </c>
      <c r="G624" s="496"/>
      <c r="H624" s="498">
        <f>VLOOKUP(E624,'5.2 Actions'!$A$3:$D$720,4,0)</f>
        <v>0</v>
      </c>
      <c r="I624" s="497">
        <v>50000</v>
      </c>
    </row>
    <row r="625" spans="1:9" hidden="1" outlineLevel="2" x14ac:dyDescent="0.25">
      <c r="A625" s="114" t="str">
        <f t="shared" si="111"/>
        <v>5</v>
      </c>
      <c r="B625" t="str">
        <f t="shared" si="112"/>
        <v>26</v>
      </c>
      <c r="C625" s="114" t="str">
        <f t="shared" si="113"/>
        <v>2</v>
      </c>
      <c r="D625" s="495" t="s">
        <v>102</v>
      </c>
      <c r="E625" s="495" t="s">
        <v>1093</v>
      </c>
      <c r="F625" s="496" t="str">
        <f>VLOOKUP(E625,'5.2 Actions'!$A$3:$B$720,2,0)</f>
        <v>Harmoniser les données géométriques des réseaux</v>
      </c>
      <c r="G625" s="496"/>
      <c r="H625" s="498">
        <f>VLOOKUP(E625,'5.2 Actions'!$A$3:$D$720,4,0)</f>
        <v>0</v>
      </c>
      <c r="I625" s="497">
        <v>20000</v>
      </c>
    </row>
    <row r="626" spans="1:9" hidden="1" outlineLevel="2" x14ac:dyDescent="0.25">
      <c r="A626" s="114" t="str">
        <f t="shared" si="111"/>
        <v>5</v>
      </c>
      <c r="B626" t="str">
        <f t="shared" si="112"/>
        <v>26</v>
      </c>
      <c r="C626" s="114" t="str">
        <f t="shared" si="113"/>
        <v>3</v>
      </c>
      <c r="D626" s="495" t="s">
        <v>102</v>
      </c>
      <c r="E626" s="495" t="s">
        <v>1094</v>
      </c>
      <c r="F626" s="496" t="str">
        <f>VLOOKUP(E626,'5.2 Actions'!$A$3:$B$720,2,0)</f>
        <v>Faire évoluer le GT Carto vers un GT Modélisation, harmoniser les outils de modélisation</v>
      </c>
      <c r="G626" s="496"/>
      <c r="H626" s="498">
        <f>VLOOKUP(E626,'5.2 Actions'!$A$3:$D$720,4,0)</f>
        <v>0</v>
      </c>
      <c r="I626" s="497">
        <v>0</v>
      </c>
    </row>
    <row r="627" spans="1:9" hidden="1" outlineLevel="2" x14ac:dyDescent="0.25">
      <c r="A627" s="114" t="str">
        <f t="shared" si="111"/>
        <v>5</v>
      </c>
      <c r="B627" t="str">
        <f t="shared" si="112"/>
        <v>26</v>
      </c>
      <c r="C627" s="114" t="str">
        <f t="shared" si="113"/>
        <v>4</v>
      </c>
      <c r="D627" s="495" t="s">
        <v>102</v>
      </c>
      <c r="E627" s="495" t="s">
        <v>1095</v>
      </c>
      <c r="F627" s="496" t="str">
        <f>VLOOKUP(E627,'5.2 Actions'!$A$3:$B$720,2,0)</f>
        <v>Réalisation des modèles hydrauliques interconnectés simplifiés</v>
      </c>
      <c r="G627" s="496"/>
      <c r="H627" s="498">
        <f>VLOOKUP(E627,'5.2 Actions'!$A$3:$D$720,4,0)</f>
        <v>0</v>
      </c>
      <c r="I627" s="497">
        <v>100000</v>
      </c>
    </row>
    <row r="628" spans="1:9" hidden="1" outlineLevel="2" x14ac:dyDescent="0.25">
      <c r="A628" s="114" t="str">
        <f t="shared" si="111"/>
        <v>5</v>
      </c>
      <c r="B628" t="str">
        <f t="shared" si="112"/>
        <v>26</v>
      </c>
      <c r="C628" s="114" t="str">
        <f t="shared" si="113"/>
        <v>5</v>
      </c>
      <c r="D628" s="495" t="s">
        <v>102</v>
      </c>
      <c r="E628" s="495" t="s">
        <v>1096</v>
      </c>
      <c r="F628" s="496" t="str">
        <f>VLOOKUP(E628,'5.2 Actions'!$A$3:$B$720,2,0)</f>
        <v>Réalisation des modèles hydrologiques simplifiés</v>
      </c>
      <c r="G628" s="496"/>
      <c r="H628" s="498">
        <f>VLOOKUP(E628,'5.2 Actions'!$A$3:$D$720,4,0)</f>
        <v>0</v>
      </c>
      <c r="I628" s="497">
        <v>50000</v>
      </c>
    </row>
    <row r="629" spans="1:9" hidden="1" outlineLevel="2" x14ac:dyDescent="0.25">
      <c r="A629" s="114" t="str">
        <f t="shared" si="111"/>
        <v>5</v>
      </c>
      <c r="B629" t="str">
        <f t="shared" si="112"/>
        <v>26</v>
      </c>
      <c r="C629" s="114" t="str">
        <f t="shared" si="113"/>
        <v>6</v>
      </c>
      <c r="D629" s="495" t="s">
        <v>102</v>
      </c>
      <c r="E629" s="495" t="s">
        <v>1097</v>
      </c>
      <c r="F629" s="496" t="str">
        <f>VLOOKUP(E629,'5.2 Actions'!$A$3:$B$720,2,0)</f>
        <v>Identifier les zones de débordement, améliorer les cartes d’aléa d’inondation pluviale</v>
      </c>
      <c r="G629" s="496"/>
      <c r="H629" s="498">
        <f>VLOOKUP(E629,'5.2 Actions'!$A$3:$D$720,4,0)</f>
        <v>0</v>
      </c>
      <c r="I629" s="497">
        <v>0</v>
      </c>
    </row>
    <row r="630" spans="1:9" hidden="1" outlineLevel="2" x14ac:dyDescent="0.25">
      <c r="A630" s="114" t="str">
        <f t="shared" si="111"/>
        <v>5</v>
      </c>
      <c r="B630" t="str">
        <f t="shared" si="112"/>
        <v>26</v>
      </c>
      <c r="C630" s="114" t="str">
        <f t="shared" si="113"/>
        <v>7</v>
      </c>
      <c r="D630" s="495" t="s">
        <v>102</v>
      </c>
      <c r="E630" s="495" t="s">
        <v>1098</v>
      </c>
      <c r="F630" s="496" t="str">
        <f>VLOOKUP(E630,'5.2 Actions'!$A$3:$B$720,2,0)</f>
        <v>Analyser virtuellement les scénarios de gestion dynamiques</v>
      </c>
      <c r="G630" s="496"/>
      <c r="H630" s="498">
        <f>VLOOKUP(E630,'5.2 Actions'!$A$3:$D$720,4,0)</f>
        <v>0</v>
      </c>
      <c r="I630" s="497">
        <v>30000</v>
      </c>
    </row>
    <row r="631" spans="1:9" s="494" customFormat="1" ht="28.5" hidden="1" outlineLevel="1" collapsed="1" x14ac:dyDescent="0.25">
      <c r="D631" s="500" t="s">
        <v>103</v>
      </c>
      <c r="E631" s="500"/>
      <c r="F631" s="501" t="str">
        <f>VLOOKUP(D631,'1. Mesures'!$A$2:$B$116,2,0)</f>
        <v>Poursuivre les recherches sur la disponibilité et l’exploitation possible d’aquifères plus profonds, d’eaux de carrière ou d’autres zones exploitables comme sources d’approvisionnement d’eau potable</v>
      </c>
      <c r="G631" s="501"/>
      <c r="H631" s="503"/>
      <c r="I631" s="502">
        <f>SUBTOTAL(9,I632:I637)</f>
        <v>0</v>
      </c>
    </row>
    <row r="632" spans="1:9" ht="45" hidden="1" outlineLevel="2" x14ac:dyDescent="0.25">
      <c r="A632" s="114" t="str">
        <f t="shared" ref="A632:A637" si="114">MID(E632,1,1)</f>
        <v>5</v>
      </c>
      <c r="B632" t="str">
        <f t="shared" ref="B632:B637" si="115">MID(E632,3,2)</f>
        <v>27</v>
      </c>
      <c r="C632" s="114" t="str">
        <f t="shared" ref="C632:C637" si="116">MID(E632,6,2)</f>
        <v>1</v>
      </c>
      <c r="D632" s="495" t="s">
        <v>103</v>
      </c>
      <c r="E632" s="495" t="s">
        <v>1099</v>
      </c>
      <c r="F632" s="496" t="str">
        <f>VLOOKUP(E632,'5.2 Actions'!$A$3:$B$720,2,0)</f>
        <v>Optimiser les captages actuellement exploités par VIVAQUA où certaines portions, bien qu’autorisées, sont en décharge permanente à cause d’une grande sensibilité aux évènements pluvieux. Une modernisation de ces captages (avec ou sans traitement selon les cas) permettrait d’adduire des volumes supplémentaires</v>
      </c>
      <c r="G632" s="496"/>
      <c r="H632" s="498">
        <f>VLOOKUP(E632,'5.2 Actions'!$A$3:$D$720,4,0)</f>
        <v>0</v>
      </c>
      <c r="I632" s="497">
        <v>0</v>
      </c>
    </row>
    <row r="633" spans="1:9" ht="30" hidden="1" outlineLevel="2" x14ac:dyDescent="0.25">
      <c r="A633" s="114" t="str">
        <f t="shared" si="114"/>
        <v>5</v>
      </c>
      <c r="B633" t="str">
        <f t="shared" si="115"/>
        <v>27</v>
      </c>
      <c r="C633" s="114" t="str">
        <f t="shared" si="116"/>
        <v>2</v>
      </c>
      <c r="D633" s="495" t="s">
        <v>103</v>
      </c>
      <c r="E633" s="495" t="s">
        <v>1100</v>
      </c>
      <c r="F633" s="496" t="str">
        <f>VLOOKUP(E633,'5.2 Actions'!$A$3:$B$720,2,0)</f>
        <v>Optimiser les captages actuellement exploités par VIVAQUA où un fonctionnement alternatif est possible moyennant une adaptation des autorisations ou des captages où les autorisations permettent le prélèvement de volumes supplémentaires moyennant de nouvelles installations</v>
      </c>
      <c r="G633" s="496"/>
      <c r="H633" s="498">
        <f>VLOOKUP(E633,'5.2 Actions'!$A$3:$D$720,4,0)</f>
        <v>0</v>
      </c>
      <c r="I633" s="497">
        <v>0</v>
      </c>
    </row>
    <row r="634" spans="1:9" ht="45" hidden="1" outlineLevel="2" x14ac:dyDescent="0.25">
      <c r="A634" s="114" t="str">
        <f t="shared" si="114"/>
        <v>5</v>
      </c>
      <c r="B634" t="str">
        <f t="shared" si="115"/>
        <v>27</v>
      </c>
      <c r="C634" s="114" t="str">
        <f t="shared" si="116"/>
        <v>3</v>
      </c>
      <c r="D634" s="495" t="s">
        <v>103</v>
      </c>
      <c r="E634" s="495" t="s">
        <v>1101</v>
      </c>
      <c r="F634" s="496" t="str">
        <f>VLOOKUP(E634,'5.2 Actions'!$A$3:$B$720,2,0)</f>
        <v>Réhabiliter les anciens captages ou la mise en adduction des eaux de dalots (des drains construits sous certaines portions des collecteurs d’amenée des eaux et dont les eaux sont mises en décharge) est également une piste que VIVAQUA investigue depuis qu’un monitoring de ces eaux, initié dans le Water Quantity Plan, a montré qu’elles étaient potables ou potabilisables</v>
      </c>
      <c r="G634" s="496"/>
      <c r="H634" s="498">
        <f>VLOOKUP(E634,'5.2 Actions'!$A$3:$D$720,4,0)</f>
        <v>0</v>
      </c>
      <c r="I634" s="497">
        <v>0</v>
      </c>
    </row>
    <row r="635" spans="1:9" ht="30" hidden="1" outlineLevel="2" x14ac:dyDescent="0.25">
      <c r="A635" s="114" t="str">
        <f t="shared" si="114"/>
        <v>5</v>
      </c>
      <c r="B635" t="str">
        <f t="shared" si="115"/>
        <v>27</v>
      </c>
      <c r="C635" s="114" t="str">
        <f t="shared" si="116"/>
        <v>4</v>
      </c>
      <c r="D635" s="495" t="s">
        <v>103</v>
      </c>
      <c r="E635" s="495" t="s">
        <v>1102</v>
      </c>
      <c r="F635" s="496" t="str">
        <f>VLOOKUP(E635,'5.2 Actions'!$A$3:$B$720,2,0)</f>
        <v>Valoriser les eaux d’exhaure de carrières, eaux qui sont aujourd’hui rejetées dans les eaux de surface alors qu’elles sont potables ou potabilisables. VIVAQUA étudie d’ores et déjà une piste très concrète</v>
      </c>
      <c r="G635" s="496"/>
      <c r="H635" s="498">
        <f>VLOOKUP(E635,'5.2 Actions'!$A$3:$D$720,4,0)</f>
        <v>0</v>
      </c>
      <c r="I635" s="497">
        <v>0</v>
      </c>
    </row>
    <row r="636" spans="1:9" ht="45" hidden="1" outlineLevel="2" x14ac:dyDescent="0.25">
      <c r="A636" s="114" t="str">
        <f t="shared" si="114"/>
        <v>5</v>
      </c>
      <c r="B636" t="str">
        <f t="shared" si="115"/>
        <v>27</v>
      </c>
      <c r="C636" s="114" t="str">
        <f t="shared" si="116"/>
        <v>5</v>
      </c>
      <c r="D636" s="495" t="s">
        <v>103</v>
      </c>
      <c r="E636" s="495" t="s">
        <v>1103</v>
      </c>
      <c r="F636" s="496" t="str">
        <f>VLOOKUP(E636,'5.2 Actions'!$A$3:$B$720,2,0)</f>
        <v>Prospecter de nouveaux sites de captage le long du réseau d’adduction de VIVAQUA, tant pour des besoins d’eau en continu que pour satisfaire à des pics de consommation. Un exemple est l’aquifère du socle paléozoïque présent sous Bruxelles à plus grande profondeur ou dans le Nord Namurois et le Brabant Wallon</v>
      </c>
      <c r="G636" s="496"/>
      <c r="H636" s="498">
        <f>VLOOKUP(E636,'5.2 Actions'!$A$3:$D$720,4,0)</f>
        <v>0</v>
      </c>
      <c r="I636" s="497">
        <v>0</v>
      </c>
    </row>
    <row r="637" spans="1:9" ht="30" hidden="1" outlineLevel="2" x14ac:dyDescent="0.25">
      <c r="A637" s="114" t="str">
        <f t="shared" si="114"/>
        <v>5</v>
      </c>
      <c r="B637" t="str">
        <f t="shared" si="115"/>
        <v>27</v>
      </c>
      <c r="C637" s="114" t="str">
        <f t="shared" si="116"/>
        <v>6</v>
      </c>
      <c r="D637" s="495" t="s">
        <v>103</v>
      </c>
      <c r="E637" s="495" t="s">
        <v>1104</v>
      </c>
      <c r="F637" s="496" t="str">
        <f>VLOOKUP(E637,'5.2 Actions'!$A$3:$B$720,2,0)</f>
        <v>Mettre en place l’entretien et la régénération des ouvrages de captage au niveau de Bruxelles. La prospection du socle paléozoïque est également une piste envisagée pour le prélèvement ponctuel d’eau potable ou potabilisable lors de pics de consommation.</v>
      </c>
      <c r="G637" s="496"/>
      <c r="H637" s="498">
        <f>VLOOKUP(E637,'5.2 Actions'!$A$3:$D$720,4,0)</f>
        <v>0</v>
      </c>
      <c r="I637" s="497">
        <v>0</v>
      </c>
    </row>
    <row r="638" spans="1:9" s="494" customFormat="1" ht="28.5" hidden="1" outlineLevel="1" collapsed="1" x14ac:dyDescent="0.25">
      <c r="D638" s="500" t="s">
        <v>105</v>
      </c>
      <c r="E638" s="500"/>
      <c r="F638" s="501" t="str">
        <f>VLOOKUP(D638,'1. Mesures'!$A$2:$B$116,2,0)</f>
        <v xml:space="preserve">Analyser les possibilités de stockage dans les aquifères profonds lors de la période de recharge des nappes afin d’augmenter la disponibilité en eau brute </v>
      </c>
      <c r="G638" s="501"/>
      <c r="H638" s="503"/>
      <c r="I638" s="502">
        <f>SUBTOTAL(9,I639:I640)</f>
        <v>0</v>
      </c>
    </row>
    <row r="639" spans="1:9" ht="30" hidden="1" outlineLevel="2" x14ac:dyDescent="0.25">
      <c r="A639" s="114" t="str">
        <f>MID(E639,1,1)</f>
        <v>5</v>
      </c>
      <c r="B639" t="str">
        <f>MID(E639,3,2)</f>
        <v>28</v>
      </c>
      <c r="C639" s="114" t="str">
        <f>MID(E639,6,2)</f>
        <v>1</v>
      </c>
      <c r="D639" s="495" t="s">
        <v>105</v>
      </c>
      <c r="E639" s="495" t="s">
        <v>1105</v>
      </c>
      <c r="F639" s="496" t="str">
        <f>VLOOKUP(E639,'5.2 Actions'!$A$3:$B$720,2,0)</f>
        <v>Analyse de l’opportunité de recourir à la recharge artificielle et/ou à des aménagements favorisant l’infiltration des eaux de pluie (à plus large échelle que la GiEP)</v>
      </c>
      <c r="G639" s="496"/>
      <c r="H639" s="498">
        <f>VLOOKUP(E639,'5.2 Actions'!$A$3:$D$720,4,0)</f>
        <v>0</v>
      </c>
      <c r="I639" s="497">
        <v>0</v>
      </c>
    </row>
    <row r="640" spans="1:9" hidden="1" outlineLevel="2" x14ac:dyDescent="0.25">
      <c r="A640" s="114" t="str">
        <f>MID(E640,1,1)</f>
        <v>5</v>
      </c>
      <c r="B640" t="str">
        <f>MID(E640,3,2)</f>
        <v>28</v>
      </c>
      <c r="C640" s="114" t="str">
        <f>MID(E640,6,2)</f>
        <v>2</v>
      </c>
      <c r="D640" s="495" t="s">
        <v>105</v>
      </c>
      <c r="E640" s="495" t="s">
        <v>1106</v>
      </c>
      <c r="F640" s="496" t="str">
        <f>VLOOKUP(E640,'5.2 Actions'!$A$3:$B$720,2,0)</f>
        <v>Identifier les lieux qui s’y disposent, le cas échéant</v>
      </c>
      <c r="G640" s="496"/>
      <c r="H640" s="498">
        <f>VLOOKUP(E640,'5.2 Actions'!$A$3:$D$720,4,0)</f>
        <v>0</v>
      </c>
      <c r="I640" s="497">
        <v>0</v>
      </c>
    </row>
    <row r="641" spans="1:9" s="494" customFormat="1" hidden="1" outlineLevel="1" collapsed="1" x14ac:dyDescent="0.25">
      <c r="D641" s="500" t="s">
        <v>106</v>
      </c>
      <c r="E641" s="500"/>
      <c r="F641" s="501" t="str">
        <f>VLOOKUP(D641,'1. Mesures'!$A$2:$B$116,2,0)</f>
        <v>Mener une politique de communication portant sur le changement climatique et les sujets impactés en lien avec la thématique de l’eau</v>
      </c>
      <c r="G641" s="501"/>
      <c r="H641" s="503"/>
      <c r="I641" s="502">
        <f>SUBTOTAL(9,I642:I650)</f>
        <v>0</v>
      </c>
    </row>
    <row r="642" spans="1:9" ht="30" hidden="1" outlineLevel="2" x14ac:dyDescent="0.25">
      <c r="A642" s="114" t="str">
        <f t="shared" ref="A642:A650" si="117">MID(E642,1,1)</f>
        <v>5</v>
      </c>
      <c r="B642" t="str">
        <f t="shared" ref="B642:B650" si="118">MID(E642,3,2)</f>
        <v>29</v>
      </c>
      <c r="C642" s="114" t="str">
        <f t="shared" ref="C642:C650" si="119">MID(E642,6,2)</f>
        <v>1</v>
      </c>
      <c r="D642" s="495" t="s">
        <v>106</v>
      </c>
      <c r="E642" s="495" t="s">
        <v>1107</v>
      </c>
      <c r="F642" s="496" t="str">
        <f>VLOOKUP(E642,'5.2 Actions'!$A$3:$B$720,2,0)</f>
        <v>Mener une politique de communication portant sur la culture du risque lié aux inondations et aux épisodes de sécheresse pour la Région via les canaux appropriés.</v>
      </c>
      <c r="G642" s="496"/>
      <c r="H642" s="498">
        <f>VLOOKUP(E642,'5.2 Actions'!$A$3:$D$720,4,0)</f>
        <v>0</v>
      </c>
      <c r="I642" s="497">
        <v>0</v>
      </c>
    </row>
    <row r="643" spans="1:9" hidden="1" outlineLevel="2" x14ac:dyDescent="0.25">
      <c r="A643" s="114" t="str">
        <f t="shared" si="117"/>
        <v>5</v>
      </c>
      <c r="B643" t="str">
        <f t="shared" si="118"/>
        <v>29</v>
      </c>
      <c r="C643" s="114" t="str">
        <f t="shared" si="119"/>
        <v>2</v>
      </c>
      <c r="D643" s="495" t="s">
        <v>106</v>
      </c>
      <c r="E643" s="495" t="s">
        <v>1108</v>
      </c>
      <c r="F643" s="496" t="str">
        <f>VLOOKUP(E643,'5.2 Actions'!$A$3:$B$720,2,0)</f>
        <v>Prévenir et accompagner les personnes sinistrées en cas de survenance d’inondation ou de sécheresse</v>
      </c>
      <c r="G643" s="496"/>
      <c r="H643" s="498">
        <f>VLOOKUP(E643,'5.2 Actions'!$A$3:$D$720,4,0)</f>
        <v>0</v>
      </c>
      <c r="I643" s="497">
        <v>0</v>
      </c>
    </row>
    <row r="644" spans="1:9" ht="45" hidden="1" outlineLevel="2" x14ac:dyDescent="0.25">
      <c r="A644" s="114" t="str">
        <f t="shared" si="117"/>
        <v>5</v>
      </c>
      <c r="B644" t="str">
        <f t="shared" si="118"/>
        <v>29</v>
      </c>
      <c r="C644" s="114" t="str">
        <f t="shared" si="119"/>
        <v>3</v>
      </c>
      <c r="D644" s="495" t="s">
        <v>106</v>
      </c>
      <c r="E644" s="495" t="s">
        <v>1109</v>
      </c>
      <c r="F644" s="496" t="str">
        <f>VLOOKUP(E644,'5.2 Actions'!$A$3:$B$720,2,0)</f>
        <v>GiEP et mesures de protection 
Proposer des séances de sensibilisation, de partage d’expériences et d’échanges de connaissance sous forme de visites, de conférences ou d’atelier dirigées vers tous les publics professionnels ou privés.</v>
      </c>
      <c r="G644" s="496"/>
      <c r="H644" s="498">
        <f>VLOOKUP(E644,'5.2 Actions'!$A$3:$D$720,4,0)</f>
        <v>0</v>
      </c>
      <c r="I644" s="497">
        <v>60000</v>
      </c>
    </row>
    <row r="645" spans="1:9" ht="60" hidden="1" outlineLevel="2" x14ac:dyDescent="0.25">
      <c r="A645" s="114" t="str">
        <f t="shared" si="117"/>
        <v>5</v>
      </c>
      <c r="B645" t="str">
        <f t="shared" si="118"/>
        <v>29</v>
      </c>
      <c r="C645" s="114" t="str">
        <f t="shared" si="119"/>
        <v>4</v>
      </c>
      <c r="D645" s="495" t="s">
        <v>106</v>
      </c>
      <c r="E645" s="495" t="s">
        <v>1110</v>
      </c>
      <c r="F645" s="496" t="str">
        <f>VLOOKUP(E645,'5.2 Actions'!$A$3:$B$720,2,0)</f>
        <v>GiEP et mesures de protection
Offrir une gamme de formations adaptées aux différents publics (régionaux, communaux, bâti, espace public, professionnels, sensibilisation, avancés,…). Les formations sont assurées par le Facilitateur Eau (avec sous-traitants selon besoin) et co-organisées soit par le Département Eau, soit par le Service Formation de BE.</v>
      </c>
      <c r="G645" s="496"/>
      <c r="H645" s="498">
        <f>VLOOKUP(E645,'5.2 Actions'!$A$3:$D$720,4,0)</f>
        <v>0</v>
      </c>
      <c r="I645" s="497">
        <v>180000</v>
      </c>
    </row>
    <row r="646" spans="1:9" ht="75" hidden="1" outlineLevel="2" x14ac:dyDescent="0.25">
      <c r="A646" s="114" t="str">
        <f t="shared" si="117"/>
        <v>5</v>
      </c>
      <c r="B646" t="str">
        <f t="shared" si="118"/>
        <v>29</v>
      </c>
      <c r="C646" s="114" t="str">
        <f t="shared" si="119"/>
        <v>5</v>
      </c>
      <c r="D646" s="495" t="s">
        <v>106</v>
      </c>
      <c r="E646" s="495" t="s">
        <v>1111</v>
      </c>
      <c r="F646" s="496" t="str">
        <f>VLOOKUP(E646,'5.2 Actions'!$A$3:$B$720,2,0)</f>
        <v>GiEP et mesures de protection
Développer et diffuser du contenu à destination des particuliers en vue de les informer/sensibiliser au mieux sur leur rôle et les actions qui sont entre leurs mains, via tous les canaux de communication de BE mais aussi  via nos partenaires externes dans leurs missions quotidiennes (homegrade.brussels, le Réseau Habitat, associations proches des citoyens,…). Des FAQs seraient également développées dans cet objectif et un canal de communication ad hoc identifié pour répondre de manière personnalisée aux questions plus spécifiques.</v>
      </c>
      <c r="G646" s="496"/>
      <c r="H646" s="498">
        <f>VLOOKUP(E646,'5.2 Actions'!$A$3:$D$720,4,0)</f>
        <v>0</v>
      </c>
      <c r="I646" s="497">
        <v>0</v>
      </c>
    </row>
    <row r="647" spans="1:9" ht="30" hidden="1" outlineLevel="2" x14ac:dyDescent="0.25">
      <c r="A647" s="114" t="str">
        <f t="shared" si="117"/>
        <v>5</v>
      </c>
      <c r="B647" t="str">
        <f t="shared" si="118"/>
        <v>29</v>
      </c>
      <c r="C647" s="114" t="str">
        <f t="shared" si="119"/>
        <v>6</v>
      </c>
      <c r="D647" s="495" t="s">
        <v>106</v>
      </c>
      <c r="E647" s="495" t="s">
        <v>1112</v>
      </c>
      <c r="F647" s="496" t="str">
        <f>VLOOKUP(E647,'5.2 Actions'!$A$3:$B$720,2,0)</f>
        <v>GiEP et mesures de protection
Envoi vers M 5.5 : carte du Maillage Pluie</v>
      </c>
      <c r="G647" s="496"/>
      <c r="H647" s="498">
        <f>VLOOKUP(E647,'5.2 Actions'!$A$3:$D$720,4,0)</f>
        <v>0</v>
      </c>
      <c r="I647" s="497">
        <v>0</v>
      </c>
    </row>
    <row r="648" spans="1:9" ht="45" hidden="1" outlineLevel="2" x14ac:dyDescent="0.25">
      <c r="A648" s="114" t="str">
        <f t="shared" si="117"/>
        <v>5</v>
      </c>
      <c r="B648" t="str">
        <f t="shared" si="118"/>
        <v>29</v>
      </c>
      <c r="C648" s="114" t="str">
        <f t="shared" si="119"/>
        <v>7</v>
      </c>
      <c r="D648" s="495" t="s">
        <v>106</v>
      </c>
      <c r="E648" s="495" t="s">
        <v>1113</v>
      </c>
      <c r="F648" s="496" t="str">
        <f>VLOOKUP(E648,'5.2 Actions'!$A$3:$B$720,2,0)</f>
        <v>GiEP et mesures de protection
Développer des contenus en commun et intégrer aux outils existants un focus sur des réalisations exemplaires (success-story)  en espaces publics pour les mettre en avant et leur offrir une visibilité plus pérenne</v>
      </c>
      <c r="G648" s="496"/>
      <c r="H648" s="498">
        <f>VLOOKUP(E648,'5.2 Actions'!$A$3:$D$720,4,0)</f>
        <v>0</v>
      </c>
      <c r="I648" s="497">
        <v>0</v>
      </c>
    </row>
    <row r="649" spans="1:9" ht="30" hidden="1" outlineLevel="2" x14ac:dyDescent="0.25">
      <c r="A649" s="114" t="str">
        <f t="shared" si="117"/>
        <v>5</v>
      </c>
      <c r="B649" t="str">
        <f t="shared" si="118"/>
        <v>29</v>
      </c>
      <c r="C649" s="114" t="str">
        <f t="shared" si="119"/>
        <v>8</v>
      </c>
      <c r="D649" s="495" t="s">
        <v>106</v>
      </c>
      <c r="E649" s="495" t="s">
        <v>1114</v>
      </c>
      <c r="F649" s="496" t="str">
        <f>VLOOKUP(E649,'5.2 Actions'!$A$3:$B$720,2,0)</f>
        <v>Sécheresse
Communiquer sur l’effet d’Îlots de chaleur urbain (ICU) et la manière de limiter localement cet effet</v>
      </c>
      <c r="G649" s="496"/>
      <c r="H649" s="498">
        <f>VLOOKUP(E649,'5.2 Actions'!$A$3:$D$720,4,0)</f>
        <v>0</v>
      </c>
      <c r="I649" s="497">
        <v>0</v>
      </c>
    </row>
    <row r="650" spans="1:9" ht="30" hidden="1" outlineLevel="2" x14ac:dyDescent="0.25">
      <c r="A650" s="114" t="str">
        <f t="shared" si="117"/>
        <v>5</v>
      </c>
      <c r="B650" t="str">
        <f t="shared" si="118"/>
        <v>29</v>
      </c>
      <c r="C650" s="114" t="str">
        <f t="shared" si="119"/>
        <v>9</v>
      </c>
      <c r="D650" s="495" t="s">
        <v>106</v>
      </c>
      <c r="E650" s="495" t="s">
        <v>1115</v>
      </c>
      <c r="F650" s="496" t="str">
        <f>VLOOKUP(E650,'5.2 Actions'!$A$3:$B$720,2,0)</f>
        <v>Inondation
Conscientiser les habitants sur l’impact favorable de l’adaptation du bâti.</v>
      </c>
      <c r="G650" s="496"/>
      <c r="H650" s="498">
        <f>VLOOKUP(E650,'5.2 Actions'!$A$3:$D$720,4,0)</f>
        <v>0</v>
      </c>
      <c r="I650" s="497">
        <v>0</v>
      </c>
    </row>
    <row r="651" spans="1:9" s="494" customFormat="1" ht="28.5" hidden="1" outlineLevel="1" collapsed="1" x14ac:dyDescent="0.25">
      <c r="D651" s="500" t="s">
        <v>107</v>
      </c>
      <c r="E651" s="500"/>
      <c r="F651" s="501" t="str">
        <f>VLOOKUP(D651,'1. Mesures'!$A$2:$B$116,2,0)</f>
        <v xml:space="preserve">Mener une politique de recherche et développement portant sur les différents sujets destinés à améliorer la résilience de la RBC face au changement climatique </v>
      </c>
      <c r="G651" s="501"/>
      <c r="H651" s="503"/>
      <c r="I651" s="502">
        <f>SUBTOTAL(9,I652:I659)</f>
        <v>0</v>
      </c>
    </row>
    <row r="652" spans="1:9" hidden="1" outlineLevel="2" x14ac:dyDescent="0.25">
      <c r="A652" s="114" t="str">
        <f t="shared" ref="A652:A659" si="120">MID(E652,1,1)</f>
        <v>5</v>
      </c>
      <c r="B652" t="str">
        <f t="shared" ref="B652:B659" si="121">MID(E652,3,2)</f>
        <v>30</v>
      </c>
      <c r="C652" s="114" t="str">
        <f t="shared" ref="C652:C659" si="122">MID(E652,6,2)</f>
        <v>1</v>
      </c>
      <c r="D652" s="495" t="s">
        <v>107</v>
      </c>
      <c r="E652" s="495" t="s">
        <v>1127</v>
      </c>
      <c r="F652" s="496" t="str">
        <f>VLOOKUP(E652,'5.2 Actions'!$A$3:$B$720,2,0)</f>
        <v>Finaliser le projet prioritaire 25 - Water Quantity Plan (phase 2 : 2025-2040)</v>
      </c>
      <c r="G652" s="496"/>
      <c r="H652" s="498">
        <f>VLOOKUP(E652,'5.2 Actions'!$A$3:$D$720,4,0)</f>
        <v>0</v>
      </c>
      <c r="I652" s="497">
        <v>0</v>
      </c>
    </row>
    <row r="653" spans="1:9" hidden="1" outlineLevel="2" x14ac:dyDescent="0.25">
      <c r="A653" s="114" t="str">
        <f t="shared" si="120"/>
        <v>5</v>
      </c>
      <c r="B653" t="str">
        <f t="shared" si="121"/>
        <v>30</v>
      </c>
      <c r="C653" s="114" t="str">
        <f t="shared" si="122"/>
        <v>2</v>
      </c>
      <c r="D653" s="495" t="s">
        <v>107</v>
      </c>
      <c r="E653" s="495" t="s">
        <v>1128</v>
      </c>
      <c r="F653" s="496" t="str">
        <f>VLOOKUP(E653,'5.2 Actions'!$A$3:$B$720,2,0)</f>
        <v>Communiquer sur le Water Quantity Plan</v>
      </c>
      <c r="G653" s="496"/>
      <c r="H653" s="498">
        <f>VLOOKUP(E653,'5.2 Actions'!$A$3:$D$720,4,0)</f>
        <v>0</v>
      </c>
      <c r="I653" s="497">
        <v>0</v>
      </c>
    </row>
    <row r="654" spans="1:9" hidden="1" outlineLevel="2" x14ac:dyDescent="0.25">
      <c r="A654" s="114" t="str">
        <f t="shared" si="120"/>
        <v>5</v>
      </c>
      <c r="B654" t="str">
        <f t="shared" si="121"/>
        <v>30</v>
      </c>
      <c r="C654" s="114" t="str">
        <f t="shared" si="122"/>
        <v>3</v>
      </c>
      <c r="D654" s="495" t="s">
        <v>107</v>
      </c>
      <c r="E654" s="495" t="s">
        <v>1129</v>
      </c>
      <c r="F654" s="496" t="str">
        <f>VLOOKUP(E654,'5.2 Actions'!$A$3:$B$720,2,0)</f>
        <v>Assurer une veille scientifique et poursuivre la collecte de données utiles</v>
      </c>
      <c r="G654" s="496"/>
      <c r="H654" s="498">
        <f>VLOOKUP(E654,'5.2 Actions'!$A$3:$D$720,4,0)</f>
        <v>0</v>
      </c>
      <c r="I654" s="497">
        <v>0</v>
      </c>
    </row>
    <row r="655" spans="1:9" ht="45" hidden="1" outlineLevel="2" x14ac:dyDescent="0.25">
      <c r="A655" s="114" t="str">
        <f t="shared" si="120"/>
        <v>5</v>
      </c>
      <c r="B655" t="str">
        <f t="shared" si="121"/>
        <v>30</v>
      </c>
      <c r="C655" s="114" t="str">
        <f t="shared" si="122"/>
        <v>4</v>
      </c>
      <c r="D655" s="495" t="s">
        <v>107</v>
      </c>
      <c r="E655" s="495" t="s">
        <v>1130</v>
      </c>
      <c r="F655" s="496" t="str">
        <f>VLOOKUP(E655,'5.2 Actions'!$A$3:$B$720,2,0)</f>
        <v>Évaluer (sur base de modélisation et de scénarios climatiques) l’impact du changement climatique sur les eaux souterraines : baisse piézométrique, baisse de débit de la galerie VIVAQUA et de l’alimentation des eaux de surface, impact sur les écosystèmes dépendants des eaux souterraines, incidence sur les usages des eaux souterraines (captages et géothermie)</v>
      </c>
      <c r="G655" s="496"/>
      <c r="H655" s="498">
        <f>VLOOKUP(E655,'5.2 Actions'!$A$3:$D$720,4,0)</f>
        <v>0</v>
      </c>
      <c r="I655" s="497">
        <v>0</v>
      </c>
    </row>
    <row r="656" spans="1:9" hidden="1" outlineLevel="2" x14ac:dyDescent="0.25">
      <c r="A656" s="114" t="str">
        <f t="shared" si="120"/>
        <v>5</v>
      </c>
      <c r="B656" t="str">
        <f t="shared" si="121"/>
        <v>30</v>
      </c>
      <c r="C656" s="114" t="str">
        <f t="shared" si="122"/>
        <v>5</v>
      </c>
      <c r="D656" s="495" t="s">
        <v>107</v>
      </c>
      <c r="E656" s="495" t="s">
        <v>1131</v>
      </c>
      <c r="F656" s="496" t="str">
        <f>VLOOKUP(E656,'5.2 Actions'!$A$3:$B$720,2,0)</f>
        <v>Evaluer l’impact du changement climatique sur les étangs en termes budgétaire afin de pouvoir anticiper l’ampleur des surcoûts à prévoir</v>
      </c>
      <c r="G656" s="496"/>
      <c r="H656" s="498">
        <f>VLOOKUP(E656,'5.2 Actions'!$A$3:$D$720,4,0)</f>
        <v>0</v>
      </c>
      <c r="I656" s="497">
        <v>0</v>
      </c>
    </row>
    <row r="657" spans="1:9" hidden="1" outlineLevel="2" x14ac:dyDescent="0.25">
      <c r="A657" s="114" t="str">
        <f t="shared" si="120"/>
        <v>5</v>
      </c>
      <c r="B657" t="str">
        <f t="shared" si="121"/>
        <v>30</v>
      </c>
      <c r="C657" s="114" t="str">
        <f t="shared" si="122"/>
        <v>6</v>
      </c>
      <c r="D657" s="495" t="s">
        <v>107</v>
      </c>
      <c r="E657" s="495" t="s">
        <v>1132</v>
      </c>
      <c r="F657" s="496" t="str">
        <f>VLOOKUP(E657,'5.2 Actions'!$A$3:$B$720,2,0)</f>
        <v>Évaluer l’impact du changement climatique sur la qualité des masses d’eau de surface</v>
      </c>
      <c r="G657" s="496"/>
      <c r="H657" s="498">
        <f>VLOOKUP(E657,'5.2 Actions'!$A$3:$D$720,4,0)</f>
        <v>0</v>
      </c>
      <c r="I657" s="497">
        <v>20000</v>
      </c>
    </row>
    <row r="658" spans="1:9" hidden="1" outlineLevel="2" x14ac:dyDescent="0.25">
      <c r="A658" s="114" t="str">
        <f t="shared" si="120"/>
        <v>5</v>
      </c>
      <c r="B658" t="str">
        <f t="shared" si="121"/>
        <v>30</v>
      </c>
      <c r="C658" s="114" t="str">
        <f t="shared" si="122"/>
        <v>7</v>
      </c>
      <c r="D658" s="495" t="s">
        <v>107</v>
      </c>
      <c r="E658" s="495" t="s">
        <v>1133</v>
      </c>
      <c r="F658" s="496" t="str">
        <f>VLOOKUP(E658,'5.2 Actions'!$A$3:$B$720,2,0)</f>
        <v>Encourager les projets d’innovation en matière de résilience de la Région face aux perturbations du cycle de l’eau</v>
      </c>
      <c r="G658" s="496"/>
      <c r="H658" s="498">
        <f>VLOOKUP(E658,'5.2 Actions'!$A$3:$D$720,4,0)</f>
        <v>0</v>
      </c>
      <c r="I658" s="497">
        <v>0</v>
      </c>
    </row>
    <row r="659" spans="1:9" hidden="1" outlineLevel="2" x14ac:dyDescent="0.25">
      <c r="A659" s="114" t="str">
        <f t="shared" si="120"/>
        <v>5</v>
      </c>
      <c r="B659" t="str">
        <f t="shared" si="121"/>
        <v>30</v>
      </c>
      <c r="C659" s="114" t="str">
        <f t="shared" si="122"/>
        <v>8</v>
      </c>
      <c r="D659" s="495" t="s">
        <v>107</v>
      </c>
      <c r="E659" s="495" t="s">
        <v>1134</v>
      </c>
      <c r="F659" s="496" t="str">
        <f>VLOOKUP(E659,'5.2 Actions'!$A$3:$B$720,2,0)</f>
        <v>Prendre part aux appels à projets menant à des partenariats européens d’innovation</v>
      </c>
      <c r="G659" s="496"/>
      <c r="H659" s="498">
        <f>VLOOKUP(E659,'5.2 Actions'!$A$3:$D$720,4,0)</f>
        <v>0</v>
      </c>
      <c r="I659" s="497">
        <v>0</v>
      </c>
    </row>
    <row r="660" spans="1:9" s="494" customFormat="1" hidden="1" outlineLevel="1" collapsed="1" x14ac:dyDescent="0.25">
      <c r="D660" s="500" t="s">
        <v>110</v>
      </c>
      <c r="E660" s="500"/>
      <c r="F660" s="501" t="str">
        <f>VLOOKUP(D660,'1. Mesures'!$A$2:$B$116,2,0)</f>
        <v>Elaborer un plan de gestion des cours d’eau par sous-bassin versant</v>
      </c>
      <c r="G660" s="501"/>
      <c r="H660" s="503"/>
      <c r="I660" s="502">
        <f>SUBTOTAL(9,I661:I662)</f>
        <v>0</v>
      </c>
    </row>
    <row r="661" spans="1:9" hidden="1" outlineLevel="2" x14ac:dyDescent="0.25">
      <c r="A661" s="114" t="str">
        <f>MID(E661,1,1)</f>
        <v>6</v>
      </c>
      <c r="B661" t="str">
        <f>MID(E661,3,1)</f>
        <v>1</v>
      </c>
      <c r="C661" s="114" t="str">
        <f>MID(E661,5,2)</f>
        <v>1</v>
      </c>
      <c r="D661" s="495" t="s">
        <v>110</v>
      </c>
      <c r="E661" s="495" t="s">
        <v>1161</v>
      </c>
      <c r="F661" s="496" t="str">
        <f>VLOOKUP(E661,'5.2 Actions'!$A$3:$B$720,2,0)</f>
        <v>Etablir une vision programmatique par sous-bassin versant pour les travaux extraordinaires à réaliser sur le réseau hydrographique</v>
      </c>
      <c r="G661" s="496"/>
      <c r="H661" s="498">
        <f>VLOOKUP(E661,'5.2 Actions'!$A$3:$D$720,4,0)</f>
        <v>0</v>
      </c>
      <c r="I661" s="497">
        <v>0</v>
      </c>
    </row>
    <row r="662" spans="1:9" hidden="1" outlineLevel="2" x14ac:dyDescent="0.25">
      <c r="A662" s="114" t="str">
        <f>MID(E662,1,1)</f>
        <v>6</v>
      </c>
      <c r="B662" t="str">
        <f>MID(E662,3,1)</f>
        <v>1</v>
      </c>
      <c r="C662" s="114" t="str">
        <f>MID(E662,5,2)</f>
        <v>2</v>
      </c>
      <c r="D662" s="495" t="s">
        <v>110</v>
      </c>
      <c r="E662" s="495" t="s">
        <v>1162</v>
      </c>
      <c r="F662" s="496" t="str">
        <f>VLOOKUP(E662,'5.2 Actions'!$A$3:$B$720,2,0)</f>
        <v>Etablir un plan d’entretien par sous-bassin versant pour les travaux ordinaires et de lutte contre les espèces invasives</v>
      </c>
      <c r="G662" s="496"/>
      <c r="H662" s="498">
        <f>VLOOKUP(E662,'5.2 Actions'!$A$3:$D$720,4,0)</f>
        <v>0</v>
      </c>
      <c r="I662" s="497">
        <v>0</v>
      </c>
    </row>
    <row r="663" spans="1:9" s="494" customFormat="1" hidden="1" outlineLevel="1" collapsed="1" x14ac:dyDescent="0.25">
      <c r="D663" s="500" t="s">
        <v>111</v>
      </c>
      <c r="E663" s="500"/>
      <c r="F663" s="501" t="str">
        <f>VLOOKUP(D663,'1. Mesures'!$A$2:$B$116,2,0)</f>
        <v xml:space="preserve">Etablir un plan de gestion spécifique pour les étangs régionaux </v>
      </c>
      <c r="G663" s="501"/>
      <c r="H663" s="503"/>
      <c r="I663" s="502">
        <f>SUBTOTAL(9,I664:I667)</f>
        <v>0</v>
      </c>
    </row>
    <row r="664" spans="1:9" hidden="1" outlineLevel="2" x14ac:dyDescent="0.25">
      <c r="A664" s="114" t="str">
        <f>MID(E664,1,1)</f>
        <v>6</v>
      </c>
      <c r="B664" t="str">
        <f>MID(E664,3,1)</f>
        <v>2</v>
      </c>
      <c r="C664" s="114" t="str">
        <f>MID(E664,5,2)</f>
        <v>1</v>
      </c>
      <c r="D664" s="495" t="s">
        <v>111</v>
      </c>
      <c r="E664" s="495" t="s">
        <v>1176</v>
      </c>
      <c r="F664" s="496" t="str">
        <f>VLOOKUP(E664,'5.2 Actions'!$A$3:$B$720,2,0)</f>
        <v>Finalisation et approbation du plan de gestion des étangs</v>
      </c>
      <c r="G664" s="496"/>
      <c r="H664" s="498">
        <f>VLOOKUP(E664,'5.2 Actions'!$A$3:$D$720,4,0)</f>
        <v>0</v>
      </c>
      <c r="I664" s="497">
        <v>0</v>
      </c>
    </row>
    <row r="665" spans="1:9" ht="30" hidden="1" outlineLevel="2" x14ac:dyDescent="0.25">
      <c r="A665" s="114" t="str">
        <f>MID(E665,1,1)</f>
        <v>6</v>
      </c>
      <c r="B665" t="str">
        <f>MID(E665,3,1)</f>
        <v>2</v>
      </c>
      <c r="C665" s="114" t="str">
        <f>MID(E665,5,2)</f>
        <v>2</v>
      </c>
      <c r="D665" s="495" t="s">
        <v>111</v>
      </c>
      <c r="E665" s="495" t="s">
        <v>1177</v>
      </c>
      <c r="F665" s="496" t="str">
        <f>VLOOKUP(E665,'5.2 Actions'!$A$3:$B$720,2,0)</f>
        <v>Mener à bien le Projet « SmartWater », projet de sciences citoyennes de monitoring pour optimiser l'état des eaux de surface et comprenant un volet de modélisation des cyanobactéries, pour orienter la gestion des étangs selon les résultats observés</v>
      </c>
      <c r="G665" s="496"/>
      <c r="H665" s="498">
        <f>VLOOKUP(E665,'5.2 Actions'!$A$3:$D$720,4,0)</f>
        <v>0</v>
      </c>
      <c r="I665" s="497">
        <v>137200</v>
      </c>
    </row>
    <row r="666" spans="1:9" hidden="1" outlineLevel="2" x14ac:dyDescent="0.25">
      <c r="A666" s="114" t="str">
        <f>MID(E666,1,1)</f>
        <v>6</v>
      </c>
      <c r="B666" t="str">
        <f>MID(E666,3,1)</f>
        <v>2</v>
      </c>
      <c r="C666" s="114" t="str">
        <f>MID(E666,5,2)</f>
        <v>3</v>
      </c>
      <c r="D666" s="495" t="s">
        <v>111</v>
      </c>
      <c r="E666" s="495" t="s">
        <v>1178</v>
      </c>
      <c r="F666" s="496" t="str">
        <f>VLOOKUP(E666,'5.2 Actions'!$A$3:$B$720,2,0)</f>
        <v>Intégration du plan de gestion des étangs dans les différents plans de gestion des sites Natura 2000</v>
      </c>
      <c r="G666" s="496"/>
      <c r="H666" s="498">
        <f>VLOOKUP(E666,'5.2 Actions'!$A$3:$D$720,4,0)</f>
        <v>0</v>
      </c>
      <c r="I666" s="497">
        <v>0</v>
      </c>
    </row>
    <row r="667" spans="1:9" ht="30" hidden="1" outlineLevel="2" x14ac:dyDescent="0.25">
      <c r="A667" s="114" t="str">
        <f>MID(E667,1,1)</f>
        <v>6</v>
      </c>
      <c r="B667" t="str">
        <f>MID(E667,3,1)</f>
        <v>2</v>
      </c>
      <c r="C667" s="114" t="str">
        <f>MID(E667,5,2)</f>
        <v>4</v>
      </c>
      <c r="D667" s="495" t="s">
        <v>111</v>
      </c>
      <c r="E667" s="495" t="s">
        <v>1179</v>
      </c>
      <c r="F667" s="496" t="str">
        <f>VLOOKUP(E667,'5.2 Actions'!$A$3:$B$720,2,0)</f>
        <v>Mesure de suivi de la qualité des étangs et du degré d’envasement : monitoring de la qualité de la colonne d’eau, des sédiments et de la qualité biologique, bathymétries, et autres suivis réguliers ou ponctuels</v>
      </c>
      <c r="G667" s="496"/>
      <c r="H667" s="498">
        <f>VLOOKUP(E667,'5.2 Actions'!$A$3:$D$720,4,0)</f>
        <v>0</v>
      </c>
      <c r="I667" s="497">
        <v>48000</v>
      </c>
    </row>
    <row r="668" spans="1:9" s="494" customFormat="1" hidden="1" outlineLevel="1" collapsed="1" x14ac:dyDescent="0.25">
      <c r="D668" s="500" t="s">
        <v>112</v>
      </c>
      <c r="E668" s="500"/>
      <c r="F668" s="501" t="str">
        <f>VLOOKUP(D668,'1. Mesures'!$A$2:$B$116,2,0)</f>
        <v xml:space="preserve">Réaliser les travaux de gestion ordinaire des cours d’eau non navigables et des étangs </v>
      </c>
      <c r="G668" s="501"/>
      <c r="H668" s="503"/>
      <c r="I668" s="502">
        <f>SUBTOTAL(9,I669:I676)</f>
        <v>0</v>
      </c>
    </row>
    <row r="669" spans="1:9" hidden="1" outlineLevel="2" x14ac:dyDescent="0.25">
      <c r="A669" s="114" t="str">
        <f t="shared" ref="A669:A676" si="123">MID(E669,1,1)</f>
        <v>6</v>
      </c>
      <c r="B669" t="str">
        <f t="shared" ref="B669:B676" si="124">MID(E669,3,1)</f>
        <v>3</v>
      </c>
      <c r="C669" s="114" t="str">
        <f t="shared" ref="C669:C676" si="125">MID(E669,5,2)</f>
        <v>1</v>
      </c>
      <c r="D669" s="495" t="s">
        <v>112</v>
      </c>
      <c r="E669" s="495" t="s">
        <v>1180</v>
      </c>
      <c r="F669" s="496" t="str">
        <f>VLOOKUP(E669,'5.2 Actions'!$A$3:$B$720,2,0)</f>
        <v>Réaliser les entretiens des siphons</v>
      </c>
      <c r="G669" s="496"/>
      <c r="H669" s="498">
        <f>VLOOKUP(E669,'5.2 Actions'!$A$3:$D$720,4,0)</f>
        <v>0</v>
      </c>
      <c r="I669" s="497">
        <v>300000</v>
      </c>
    </row>
    <row r="670" spans="1:9" hidden="1" outlineLevel="2" x14ac:dyDescent="0.25">
      <c r="A670" s="114" t="str">
        <f t="shared" si="123"/>
        <v>6</v>
      </c>
      <c r="B670" t="str">
        <f t="shared" si="124"/>
        <v>3</v>
      </c>
      <c r="C670" s="114" t="str">
        <f t="shared" si="125"/>
        <v>2</v>
      </c>
      <c r="D670" s="495" t="s">
        <v>112</v>
      </c>
      <c r="E670" s="495" t="s">
        <v>1181</v>
      </c>
      <c r="F670" s="496" t="str">
        <f>VLOOKUP(E670,'5.2 Actions'!$A$3:$B$720,2,0)</f>
        <v>Mener des actions ponctuelles d’investigation et de débouchage</v>
      </c>
      <c r="G670" s="496"/>
      <c r="H670" s="498">
        <f>VLOOKUP(E670,'5.2 Actions'!$A$3:$D$720,4,0)</f>
        <v>0</v>
      </c>
      <c r="I670" s="497">
        <v>210000</v>
      </c>
    </row>
    <row r="671" spans="1:9" hidden="1" outlineLevel="2" x14ac:dyDescent="0.25">
      <c r="A671" s="114" t="str">
        <f t="shared" si="123"/>
        <v>6</v>
      </c>
      <c r="B671" t="str">
        <f t="shared" si="124"/>
        <v>3</v>
      </c>
      <c r="C671" s="114" t="str">
        <f t="shared" si="125"/>
        <v>3</v>
      </c>
      <c r="D671" s="495" t="s">
        <v>112</v>
      </c>
      <c r="E671" s="495" t="s">
        <v>1182</v>
      </c>
      <c r="F671" s="496" t="str">
        <f>VLOOKUP(E671,'5.2 Actions'!$A$3:$B$720,2,0)</f>
        <v>Réaliser les travaux  d’entretien hydraulique sur les cours d’eau et étangs (y compris curage des cours d’eau en plein air ou en pertuis)</v>
      </c>
      <c r="G671" s="496"/>
      <c r="H671" s="498">
        <f>VLOOKUP(E671,'5.2 Actions'!$A$3:$D$720,4,0)</f>
        <v>0</v>
      </c>
      <c r="I671" s="497">
        <v>1800000</v>
      </c>
    </row>
    <row r="672" spans="1:9" hidden="1" outlineLevel="2" x14ac:dyDescent="0.25">
      <c r="A672" s="114" t="str">
        <f t="shared" si="123"/>
        <v>6</v>
      </c>
      <c r="B672" t="str">
        <f t="shared" si="124"/>
        <v>3</v>
      </c>
      <c r="C672" s="114" t="str">
        <f t="shared" si="125"/>
        <v>4</v>
      </c>
      <c r="D672" s="495" t="s">
        <v>112</v>
      </c>
      <c r="E672" s="495" t="s">
        <v>1183</v>
      </c>
      <c r="F672" s="496" t="str">
        <f>VLOOKUP(E672,'5.2 Actions'!$A$3:$B$720,2,0)</f>
        <v>Réaliser des plantations, débroussaillages, des actions d’éco-pâturage, de nettoyage et d’élagage</v>
      </c>
      <c r="G672" s="496"/>
      <c r="H672" s="498">
        <f>VLOOKUP(E672,'5.2 Actions'!$A$3:$D$720,4,0)</f>
        <v>0</v>
      </c>
      <c r="I672" s="497">
        <v>1500000</v>
      </c>
    </row>
    <row r="673" spans="1:9" hidden="1" outlineLevel="2" x14ac:dyDescent="0.25">
      <c r="A673" s="114" t="str">
        <f t="shared" si="123"/>
        <v>6</v>
      </c>
      <c r="B673" t="str">
        <f t="shared" si="124"/>
        <v>3</v>
      </c>
      <c r="C673" s="114" t="str">
        <f t="shared" si="125"/>
        <v>5</v>
      </c>
      <c r="D673" s="495" t="s">
        <v>112</v>
      </c>
      <c r="E673" s="495" t="s">
        <v>1184</v>
      </c>
      <c r="F673" s="496" t="str">
        <f>VLOOKUP(E673,'5.2 Actions'!$A$3:$B$720,2,0)</f>
        <v>Assurer les curages  d’entretien nécessaires des étangs et mares</v>
      </c>
      <c r="G673" s="496"/>
      <c r="H673" s="498">
        <f>VLOOKUP(E673,'5.2 Actions'!$A$3:$D$720,4,0)</f>
        <v>0</v>
      </c>
      <c r="I673" s="497">
        <v>950000</v>
      </c>
    </row>
    <row r="674" spans="1:9" hidden="1" outlineLevel="2" x14ac:dyDescent="0.25">
      <c r="A674" s="114" t="str">
        <f t="shared" si="123"/>
        <v>6</v>
      </c>
      <c r="B674" t="str">
        <f t="shared" si="124"/>
        <v>3</v>
      </c>
      <c r="C674" s="114" t="str">
        <f t="shared" si="125"/>
        <v>6</v>
      </c>
      <c r="D674" s="495" t="s">
        <v>112</v>
      </c>
      <c r="E674" s="495" t="s">
        <v>1185</v>
      </c>
      <c r="F674" s="496" t="str">
        <f>VLOOKUP(E674,'5.2 Actions'!$A$3:$B$720,2,0)</f>
        <v>Evaluer les rôles et responsabilités des gestionnaires présumés (évacuation des produits de fauches, plan de plantation avec des plantes indigènes, ….)</v>
      </c>
      <c r="G674" s="496"/>
      <c r="H674" s="498">
        <f>VLOOKUP(E674,'5.2 Actions'!$A$3:$D$720,4,0)</f>
        <v>0</v>
      </c>
      <c r="I674" s="497">
        <v>0</v>
      </c>
    </row>
    <row r="675" spans="1:9" hidden="1" outlineLevel="2" x14ac:dyDescent="0.25">
      <c r="A675" s="114" t="str">
        <f t="shared" si="123"/>
        <v>6</v>
      </c>
      <c r="B675" t="str">
        <f t="shared" si="124"/>
        <v>3</v>
      </c>
      <c r="C675" s="114" t="str">
        <f t="shared" si="125"/>
        <v>7</v>
      </c>
      <c r="D675" s="495" t="s">
        <v>112</v>
      </c>
      <c r="E675" s="495" t="s">
        <v>1186</v>
      </c>
      <c r="F675" s="496" t="str">
        <f>VLOOKUP(E675,'5.2 Actions'!$A$3:$B$720,2,0)</f>
        <v>Entretenir le pertuis de la Senne (ouvrage)</v>
      </c>
      <c r="G675" s="496"/>
      <c r="H675" s="498">
        <f>VLOOKUP(E675,'5.2 Actions'!$A$3:$D$720,4,0)</f>
        <v>0</v>
      </c>
      <c r="I675" s="497">
        <v>0</v>
      </c>
    </row>
    <row r="676" spans="1:9" hidden="1" outlineLevel="2" x14ac:dyDescent="0.25">
      <c r="A676" s="114" t="str">
        <f t="shared" si="123"/>
        <v>6</v>
      </c>
      <c r="B676" t="str">
        <f t="shared" si="124"/>
        <v>3</v>
      </c>
      <c r="C676" s="114" t="str">
        <f t="shared" si="125"/>
        <v>8</v>
      </c>
      <c r="D676" s="495" t="s">
        <v>112</v>
      </c>
      <c r="E676" s="495" t="s">
        <v>1187</v>
      </c>
      <c r="F676" s="496" t="str">
        <f>VLOOKUP(E676,'5.2 Actions'!$A$3:$B$720,2,0)</f>
        <v>Evacuer préventivement les sources d’embâcles le long des cours d’eau (branchages,…)</v>
      </c>
      <c r="G676" s="496"/>
      <c r="H676" s="498">
        <f>VLOOKUP(E676,'5.2 Actions'!$A$3:$D$720,4,0)</f>
        <v>0</v>
      </c>
      <c r="I676" s="497">
        <v>0</v>
      </c>
    </row>
    <row r="677" spans="1:9" s="494" customFormat="1" hidden="1" outlineLevel="1" collapsed="1" x14ac:dyDescent="0.25">
      <c r="D677" s="500" t="s">
        <v>113</v>
      </c>
      <c r="E677" s="500"/>
      <c r="F677" s="501" t="str">
        <f>VLOOKUP(D677,'1. Mesures'!$A$2:$B$116,2,0)</f>
        <v>Inventorier et cartographier les sources dans un souci de préservation du patrimoine naturel et d’éventuelles reconnexions au réseau hydrographique</v>
      </c>
      <c r="G677" s="501"/>
      <c r="H677" s="503"/>
      <c r="I677" s="502">
        <f>SUBTOTAL(9,I678:I681)</f>
        <v>0</v>
      </c>
    </row>
    <row r="678" spans="1:9" hidden="1" outlineLevel="2" x14ac:dyDescent="0.25">
      <c r="A678" s="114" t="str">
        <f>MID(E678,1,1)</f>
        <v>6</v>
      </c>
      <c r="B678" t="str">
        <f>MID(E678,3,1)</f>
        <v>4</v>
      </c>
      <c r="C678" s="114" t="str">
        <f>MID(E678,5,2)</f>
        <v>1</v>
      </c>
      <c r="D678" s="495" t="s">
        <v>113</v>
      </c>
      <c r="E678" s="495" t="s">
        <v>1188</v>
      </c>
      <c r="F678" s="496" t="str">
        <f>VLOOKUP(E678,'5.2 Actions'!$A$3:$B$720,2,0)</f>
        <v>Identification et géolocalisation des résurgences</v>
      </c>
      <c r="G678" s="496"/>
      <c r="H678" s="498">
        <f>VLOOKUP(E678,'5.2 Actions'!$A$3:$D$720,4,0)</f>
        <v>0</v>
      </c>
      <c r="I678" s="497">
        <v>60000</v>
      </c>
    </row>
    <row r="679" spans="1:9" hidden="1" outlineLevel="2" x14ac:dyDescent="0.25">
      <c r="A679" s="114" t="str">
        <f>MID(E679,1,1)</f>
        <v>6</v>
      </c>
      <c r="B679" t="str">
        <f>MID(E679,3,1)</f>
        <v>4</v>
      </c>
      <c r="C679" s="114" t="str">
        <f>MID(E679,5,2)</f>
        <v>2</v>
      </c>
      <c r="D679" s="495" t="s">
        <v>113</v>
      </c>
      <c r="E679" s="495" t="s">
        <v>1189</v>
      </c>
      <c r="F679" s="496" t="str">
        <f>VLOOKUP(E679,'5.2 Actions'!$A$3:$B$720,2,0)</f>
        <v>Validation hydrogéologique et intégration dans une base de données et outils cartographiques (atlas, geodata)</v>
      </c>
      <c r="G679" s="496"/>
      <c r="H679" s="498">
        <f>VLOOKUP(E679,'5.2 Actions'!$A$3:$D$720,4,0)</f>
        <v>0</v>
      </c>
      <c r="I679" s="497">
        <v>0</v>
      </c>
    </row>
    <row r="680" spans="1:9" hidden="1" outlineLevel="2" x14ac:dyDescent="0.25">
      <c r="A680" s="114" t="str">
        <f>MID(E680,1,1)</f>
        <v>6</v>
      </c>
      <c r="B680" t="str">
        <f>MID(E680,3,1)</f>
        <v>4</v>
      </c>
      <c r="C680" s="114" t="str">
        <f>MID(E680,5,2)</f>
        <v>3</v>
      </c>
      <c r="D680" s="495" t="s">
        <v>113</v>
      </c>
      <c r="E680" s="495" t="s">
        <v>1190</v>
      </c>
      <c r="F680" s="496" t="str">
        <f>VLOOKUP(E680,'5.2 Actions'!$A$3:$B$720,2,0)</f>
        <v>Communication et mise à disposition des cartes de sensibilisation au public</v>
      </c>
      <c r="G680" s="496"/>
      <c r="H680" s="498">
        <f>VLOOKUP(E680,'5.2 Actions'!$A$3:$D$720,4,0)</f>
        <v>0</v>
      </c>
      <c r="I680" s="497">
        <v>0</v>
      </c>
    </row>
    <row r="681" spans="1:9" hidden="1" outlineLevel="2" x14ac:dyDescent="0.25">
      <c r="A681" s="114" t="str">
        <f>MID(E681,1,1)</f>
        <v>6</v>
      </c>
      <c r="B681" t="str">
        <f>MID(E681,3,1)</f>
        <v>4</v>
      </c>
      <c r="C681" s="114" t="str">
        <f>MID(E681,5,2)</f>
        <v>4</v>
      </c>
      <c r="D681" s="495" t="s">
        <v>113</v>
      </c>
      <c r="E681" s="495" t="s">
        <v>1191</v>
      </c>
      <c r="F681" s="496" t="str">
        <f>VLOOKUP(E681,'5.2 Actions'!$A$3:$B$720,2,0)</f>
        <v>Envisager la mise en valeur des sources par l’amélioration de leur visibilité dans l’espace public</v>
      </c>
      <c r="G681" s="496"/>
      <c r="H681" s="498">
        <f>VLOOKUP(E681,'5.2 Actions'!$A$3:$D$720,4,0)</f>
        <v>0</v>
      </c>
      <c r="I681" s="497">
        <v>25000</v>
      </c>
    </row>
    <row r="682" spans="1:9" s="494" customFormat="1" hidden="1" outlineLevel="1" collapsed="1" x14ac:dyDescent="0.25">
      <c r="D682" s="500" t="s">
        <v>114</v>
      </c>
      <c r="E682" s="500"/>
      <c r="F682" s="501" t="str">
        <f>VLOOKUP(D682,'1. Mesures'!$A$2:$B$116,2,0)</f>
        <v>Assurer le contrôle de la législation en vigueur en matière de protection du réseau hydrographique</v>
      </c>
      <c r="G682" s="501"/>
      <c r="H682" s="503"/>
      <c r="I682" s="502">
        <f>SUBTOTAL(9,I683:I683)</f>
        <v>0</v>
      </c>
    </row>
    <row r="683" spans="1:9" ht="30" hidden="1" outlineLevel="2" x14ac:dyDescent="0.25">
      <c r="A683" s="114" t="str">
        <f>MID(E683,1,1)</f>
        <v>6</v>
      </c>
      <c r="B683" t="str">
        <f>MID(E683,3,1)</f>
        <v>5</v>
      </c>
      <c r="C683" s="114" t="str">
        <f>MID(E683,5,2)</f>
        <v>1</v>
      </c>
      <c r="D683" s="495" t="s">
        <v>114</v>
      </c>
      <c r="E683" s="495" t="s">
        <v>1192</v>
      </c>
      <c r="F683" s="496" t="str">
        <f>VLOOKUP(E683,'5.2 Actions'!$A$3:$B$720,2,0)</f>
        <v>Assurer une présence sur terrain pour sensibiliser, contrôler et, le cas échéant, sanctionner les personnes qui contreviendraient aux règles établies pour la préservation du réseau hydrographique (y compris formation des agents)</v>
      </c>
      <c r="G683" s="496"/>
      <c r="H683" s="498">
        <f>VLOOKUP(E683,'5.2 Actions'!$A$3:$D$720,4,0)</f>
        <v>0</v>
      </c>
      <c r="I683" s="497">
        <v>0</v>
      </c>
    </row>
    <row r="684" spans="1:9" s="494" customFormat="1" hidden="1" outlineLevel="1" collapsed="1" x14ac:dyDescent="0.25">
      <c r="D684" s="500" t="s">
        <v>116</v>
      </c>
      <c r="E684" s="500"/>
      <c r="F684" s="501" t="str">
        <f>VLOOKUP(D684,'1. Mesures'!$A$2:$B$116,2,0)</f>
        <v>Encadrer la pratique de la baignade dans un étang régional</v>
      </c>
      <c r="G684" s="501"/>
      <c r="H684" s="503"/>
      <c r="I684" s="502">
        <f>SUBTOTAL(9,I685:I688)</f>
        <v>0</v>
      </c>
    </row>
    <row r="685" spans="1:9" ht="30" hidden="1" outlineLevel="2" x14ac:dyDescent="0.25">
      <c r="A685" s="114" t="str">
        <f>MID(E685,1,1)</f>
        <v>6</v>
      </c>
      <c r="B685" t="str">
        <f>MID(E685,3,1)</f>
        <v>7</v>
      </c>
      <c r="C685" s="114" t="str">
        <f>MID(E685,5,2)</f>
        <v>1</v>
      </c>
      <c r="D685" s="495" t="s">
        <v>116</v>
      </c>
      <c r="E685" s="495" t="s">
        <v>1193</v>
      </c>
      <c r="F685" s="496" t="str">
        <f>VLOOKUP(E685,'5.2 Actions'!$A$3:$B$720,2,0)</f>
        <v>Mener une étude projet d’aménagement d’un étang de baignade et ses abords (pour les parties qui ne concernent pas l’étang de baignade, voir également fiche M 3.7)</v>
      </c>
      <c r="G685" s="496"/>
      <c r="H685" s="498">
        <f>VLOOKUP(E685,'5.2 Actions'!$A$3:$D$720,4,0)</f>
        <v>0</v>
      </c>
      <c r="I685" s="497">
        <v>265000</v>
      </c>
    </row>
    <row r="686" spans="1:9" hidden="1" outlineLevel="2" x14ac:dyDescent="0.25">
      <c r="A686" s="114" t="str">
        <f>MID(E686,1,1)</f>
        <v>6</v>
      </c>
      <c r="B686" t="str">
        <f>MID(E686,3,1)</f>
        <v>7</v>
      </c>
      <c r="C686" s="114" t="str">
        <f>MID(E686,5,2)</f>
        <v>2</v>
      </c>
      <c r="D686" s="495" t="s">
        <v>116</v>
      </c>
      <c r="E686" s="495" t="s">
        <v>1194</v>
      </c>
      <c r="F686" s="496" t="str">
        <f>VLOOKUP(E686,'5.2 Actions'!$A$3:$B$720,2,0)</f>
        <v>Adapter le cadre réglementaire des piscines</v>
      </c>
      <c r="G686" s="496"/>
      <c r="H686" s="498">
        <f>VLOOKUP(E686,'5.2 Actions'!$A$3:$D$720,4,0)</f>
        <v>0</v>
      </c>
      <c r="I686" s="497">
        <v>0</v>
      </c>
    </row>
    <row r="687" spans="1:9" ht="30" hidden="1" outlineLevel="2" x14ac:dyDescent="0.25">
      <c r="A687" s="114" t="str">
        <f>MID(E687,1,1)</f>
        <v>6</v>
      </c>
      <c r="B687" t="str">
        <f>MID(E687,3,1)</f>
        <v>7</v>
      </c>
      <c r="C687" s="114" t="str">
        <f>MID(E687,5,2)</f>
        <v>3</v>
      </c>
      <c r="D687" s="495" t="s">
        <v>116</v>
      </c>
      <c r="E687" s="495" t="s">
        <v>1195</v>
      </c>
      <c r="F687" s="496" t="str">
        <f>VLOOKUP(E687,'5.2 Actions'!$A$3:$B$720,2,0)</f>
        <v>Réaliser les travaux d’aménagement d’un étang de baignade et de ses abords (pour les parties qui ne concernent pas l’étang de baignade, voir également fiche M 3.7)</v>
      </c>
      <c r="G687" s="496"/>
      <c r="H687" s="498">
        <f>VLOOKUP(E687,'5.2 Actions'!$A$3:$D$720,4,0)</f>
        <v>0</v>
      </c>
      <c r="I687" s="497">
        <v>6200000</v>
      </c>
    </row>
    <row r="688" spans="1:9" hidden="1" outlineLevel="2" x14ac:dyDescent="0.25">
      <c r="A688" s="114" t="str">
        <f>MID(E688,1,1)</f>
        <v>6</v>
      </c>
      <c r="B688" t="str">
        <f>MID(E688,3,1)</f>
        <v>7</v>
      </c>
      <c r="C688" s="114" t="str">
        <f>MID(E688,5,2)</f>
        <v>4</v>
      </c>
      <c r="D688" s="495" t="s">
        <v>116</v>
      </c>
      <c r="E688" s="495" t="s">
        <v>1196</v>
      </c>
      <c r="F688" s="496" t="str">
        <f>VLOOKUP(E688,'5.2 Actions'!$A$3:$B$720,2,0)</f>
        <v>Gestion de l’étang de baignade</v>
      </c>
      <c r="G688" s="496"/>
      <c r="H688" s="498">
        <f>VLOOKUP(E688,'5.2 Actions'!$A$3:$D$720,4,0)</f>
        <v>0</v>
      </c>
      <c r="I688" s="497">
        <v>0</v>
      </c>
    </row>
    <row r="689" spans="1:9" s="494" customFormat="1" hidden="1" outlineLevel="1" collapsed="1" x14ac:dyDescent="0.25">
      <c r="D689" s="500" t="s">
        <v>117</v>
      </c>
      <c r="E689" s="500"/>
      <c r="F689" s="501" t="str">
        <f>VLOOKUP(D689,'1. Mesures'!$A$2:$B$116,2,0)</f>
        <v>Réglementer et contrôler la pratique de la pêche en Région de Bruxelles-Capitale</v>
      </c>
      <c r="G689" s="501"/>
      <c r="H689" s="503"/>
      <c r="I689" s="502">
        <f>SUBTOTAL(9,I690:I693)</f>
        <v>0</v>
      </c>
    </row>
    <row r="690" spans="1:9" hidden="1" outlineLevel="2" x14ac:dyDescent="0.25">
      <c r="A690" s="114" t="str">
        <f>MID(E690,1,1)</f>
        <v>6</v>
      </c>
      <c r="B690" t="str">
        <f>MID(E690,3,1)</f>
        <v>8</v>
      </c>
      <c r="C690" s="114" t="str">
        <f>MID(E690,5,2)</f>
        <v>1</v>
      </c>
      <c r="D690" s="495" t="s">
        <v>117</v>
      </c>
      <c r="E690" s="495" t="s">
        <v>1197</v>
      </c>
      <c r="F690" s="496" t="str">
        <f>VLOOKUP(E690,'5.2 Actions'!$A$3:$B$720,2,0)</f>
        <v xml:space="preserve">Etablir une vision interne et partagée de la pratique de la pêche en Région de Bruxelles-Capitale </v>
      </c>
      <c r="G690" s="496"/>
      <c r="H690" s="498">
        <f>VLOOKUP(E690,'5.2 Actions'!$A$3:$D$720,4,0)</f>
        <v>0</v>
      </c>
      <c r="I690" s="497">
        <v>0</v>
      </c>
    </row>
    <row r="691" spans="1:9" hidden="1" outlineLevel="2" x14ac:dyDescent="0.25">
      <c r="A691" s="114" t="str">
        <f>MID(E691,1,1)</f>
        <v>6</v>
      </c>
      <c r="B691" t="str">
        <f>MID(E691,3,1)</f>
        <v>8</v>
      </c>
      <c r="C691" s="114" t="str">
        <f>MID(E691,5,2)</f>
        <v>2</v>
      </c>
      <c r="D691" s="495" t="s">
        <v>117</v>
      </c>
      <c r="E691" s="495" t="s">
        <v>1198</v>
      </c>
      <c r="F691" s="496" t="str">
        <f>VLOOKUP(E691,'5.2 Actions'!$A$3:$B$720,2,0)</f>
        <v xml:space="preserve">Rédiger et adopter un arrêté fixant la réglementation et le contrôle de la pratique de la pêche en Région de Bruxelles-Capitale </v>
      </c>
      <c r="G691" s="496"/>
      <c r="H691" s="498">
        <f>VLOOKUP(E691,'5.2 Actions'!$A$3:$D$720,4,0)</f>
        <v>0</v>
      </c>
      <c r="I691" s="497">
        <v>0</v>
      </c>
    </row>
    <row r="692" spans="1:9" hidden="1" outlineLevel="2" x14ac:dyDescent="0.25">
      <c r="A692" s="114" t="str">
        <f>MID(E692,1,1)</f>
        <v>6</v>
      </c>
      <c r="B692" t="str">
        <f>MID(E692,3,1)</f>
        <v>8</v>
      </c>
      <c r="C692" s="114" t="str">
        <f>MID(E692,5,2)</f>
        <v>3</v>
      </c>
      <c r="D692" s="495" t="s">
        <v>117</v>
      </c>
      <c r="E692" s="495" t="s">
        <v>1199</v>
      </c>
      <c r="F692" s="496" t="str">
        <f>VLOOKUP(E692,'5.2 Actions'!$A$3:$B$720,2,0)</f>
        <v>Mettre en œuvre les instruments définis dans l’arrêté</v>
      </c>
      <c r="G692" s="496"/>
      <c r="H692" s="498">
        <f>VLOOKUP(E692,'5.2 Actions'!$A$3:$D$720,4,0)</f>
        <v>0</v>
      </c>
      <c r="I692" s="497">
        <v>0</v>
      </c>
    </row>
    <row r="693" spans="1:9" hidden="1" outlineLevel="2" x14ac:dyDescent="0.25">
      <c r="A693" s="114" t="str">
        <f>MID(E693,1,1)</f>
        <v>6</v>
      </c>
      <c r="B693" t="str">
        <f>MID(E693,3,1)</f>
        <v>8</v>
      </c>
      <c r="C693" s="114" t="str">
        <f>MID(E693,5,2)</f>
        <v>4</v>
      </c>
      <c r="D693" s="495" t="s">
        <v>117</v>
      </c>
      <c r="E693" s="495" t="s">
        <v>1200</v>
      </c>
      <c r="F693" s="496" t="str">
        <f>VLOOKUP(E693,'5.2 Actions'!$A$3:$B$720,2,0)</f>
        <v>Rédiger un cadre de bonnes pratiques pour la promotion d’une pratique plus durable de la pêche dans les espaces privés et communaux</v>
      </c>
      <c r="G693" s="496"/>
      <c r="H693" s="498">
        <f>VLOOKUP(E693,'5.2 Actions'!$A$3:$D$720,4,0)</f>
        <v>0</v>
      </c>
      <c r="I693" s="497">
        <v>0</v>
      </c>
    </row>
    <row r="694" spans="1:9" s="494" customFormat="1" hidden="1" outlineLevel="1" collapsed="1" x14ac:dyDescent="0.25">
      <c r="D694" s="500" t="s">
        <v>118</v>
      </c>
      <c r="E694" s="500"/>
      <c r="F694" s="501" t="str">
        <f>VLOOKUP(D694,'1. Mesures'!$A$2:$B$116,2,0)</f>
        <v>Mettre en place et entretenir des jeux d’eau dans les plaines de jeu régionales et communales</v>
      </c>
      <c r="G694" s="501"/>
      <c r="H694" s="503"/>
      <c r="I694" s="502">
        <f>SUBTOTAL(9,I695:I698)</f>
        <v>0</v>
      </c>
    </row>
    <row r="695" spans="1:9" hidden="1" outlineLevel="2" x14ac:dyDescent="0.25">
      <c r="A695" s="114" t="str">
        <f>MID(E695,1,1)</f>
        <v>6</v>
      </c>
      <c r="B695" t="str">
        <f>MID(E695,3,1)</f>
        <v>9</v>
      </c>
      <c r="C695" s="114" t="str">
        <f>MID(E695,5,2)</f>
        <v>1</v>
      </c>
      <c r="D695" s="495" t="s">
        <v>118</v>
      </c>
      <c r="E695" s="495" t="s">
        <v>1201</v>
      </c>
      <c r="F695" s="496" t="str">
        <f>VLOOKUP(E695,'5.2 Actions'!$A$3:$B$720,2,0)</f>
        <v>Etudier les différents traitements d’eau permettant d’assurer une recirculation d’eau tout en facilitant la gestion et l’entretien des installations</v>
      </c>
      <c r="G695" s="496"/>
      <c r="H695" s="498">
        <f>VLOOKUP(E695,'5.2 Actions'!$A$3:$D$720,4,0)</f>
        <v>0</v>
      </c>
      <c r="I695" s="497">
        <v>50000</v>
      </c>
    </row>
    <row r="696" spans="1:9" hidden="1" outlineLevel="2" x14ac:dyDescent="0.25">
      <c r="A696" s="114" t="str">
        <f>MID(E696,1,1)</f>
        <v>6</v>
      </c>
      <c r="B696" t="str">
        <f>MID(E696,3,1)</f>
        <v>9</v>
      </c>
      <c r="C696" s="114" t="str">
        <f>MID(E696,5,2)</f>
        <v>2</v>
      </c>
      <c r="D696" s="495" t="s">
        <v>118</v>
      </c>
      <c r="E696" s="495" t="s">
        <v>1202</v>
      </c>
      <c r="F696" s="496" t="str">
        <f>VLOOKUP(E696,'5.2 Actions'!$A$3:$B$720,2,0)</f>
        <v>Mettre en œuvre la plaine de jeu d’eau de l’hippodrome d’Uccle-Boitsfort</v>
      </c>
      <c r="G696" s="496"/>
      <c r="H696" s="498">
        <f>VLOOKUP(E696,'5.2 Actions'!$A$3:$D$720,4,0)</f>
        <v>0</v>
      </c>
      <c r="I696" s="497">
        <v>250000</v>
      </c>
    </row>
    <row r="697" spans="1:9" hidden="1" outlineLevel="2" x14ac:dyDescent="0.25">
      <c r="A697" s="114" t="str">
        <f>MID(E697,1,1)</f>
        <v>6</v>
      </c>
      <c r="B697" t="str">
        <f>MID(E697,3,1)</f>
        <v>9</v>
      </c>
      <c r="C697" s="114" t="str">
        <f>MID(E697,5,2)</f>
        <v>3</v>
      </c>
      <c r="D697" s="495" t="s">
        <v>118</v>
      </c>
      <c r="E697" s="495" t="s">
        <v>1203</v>
      </c>
      <c r="F697" s="496" t="str">
        <f>VLOOKUP(E697,'5.2 Actions'!$A$3:$B$720,2,0)</f>
        <v>Etudier et mettre en œuvre un pôle récréatif au niveau du parc régional de la Pede comprenant des jeux d’eau</v>
      </c>
      <c r="G697" s="496"/>
      <c r="H697" s="498">
        <f>VLOOKUP(E697,'5.2 Actions'!$A$3:$D$720,4,0)</f>
        <v>0</v>
      </c>
      <c r="I697" s="497">
        <v>250000</v>
      </c>
    </row>
    <row r="698" spans="1:9" hidden="1" outlineLevel="2" x14ac:dyDescent="0.25">
      <c r="A698" s="114" t="str">
        <f>MID(E698,1,1)</f>
        <v>6</v>
      </c>
      <c r="B698" t="str">
        <f>MID(E698,3,1)</f>
        <v>9</v>
      </c>
      <c r="C698" s="114" t="str">
        <f>MID(E698,5,2)</f>
        <v>4</v>
      </c>
      <c r="D698" s="495" t="s">
        <v>118</v>
      </c>
      <c r="E698" s="495" t="s">
        <v>1204</v>
      </c>
      <c r="F698" s="496" t="str">
        <f>VLOOKUP(E698,'5.2 Actions'!$A$3:$B$720,2,0)</f>
        <v>Assurer l’entretien des installations</v>
      </c>
      <c r="G698" s="496"/>
      <c r="H698" s="498">
        <f>VLOOKUP(E698,'5.2 Actions'!$A$3:$D$720,4,0)</f>
        <v>0</v>
      </c>
      <c r="I698" s="497">
        <v>216000</v>
      </c>
    </row>
    <row r="699" spans="1:9" s="494" customFormat="1" ht="28.5" hidden="1" outlineLevel="1" collapsed="1" x14ac:dyDescent="0.25">
      <c r="D699" s="500" t="s">
        <v>119</v>
      </c>
      <c r="E699" s="500"/>
      <c r="F699" s="501" t="str">
        <f>VLOOKUP(D699,'1. Mesures'!$A$2:$B$116,2,0)</f>
        <v xml:space="preserve">Poursuivre et étendre l'ensemble des actions lancées par le Port de Bruxelles, par les contrats de quartier et autres acteurs publics dans la zone du Canal </v>
      </c>
      <c r="G699" s="501"/>
      <c r="H699" s="503"/>
      <c r="I699" s="502">
        <f>SUBTOTAL(9,I700:I701)</f>
        <v>0</v>
      </c>
    </row>
    <row r="700" spans="1:9" ht="45" hidden="1" outlineLevel="2" x14ac:dyDescent="0.25">
      <c r="A700" s="114" t="str">
        <f>MID(E700,1,1)</f>
        <v>6</v>
      </c>
      <c r="B700" t="str">
        <f>MID(E700,3,2)</f>
        <v>10</v>
      </c>
      <c r="C700" s="114" t="str">
        <f>MID(E700,6,2)</f>
        <v>1</v>
      </c>
      <c r="D700" s="495" t="s">
        <v>119</v>
      </c>
      <c r="E700" s="495" t="s">
        <v>1163</v>
      </c>
      <c r="F700" s="496" t="str">
        <f>VLOOKUP(E700,'5.2 Actions'!$A$3:$B$720,2,0)</f>
        <v>Réaliser des aménagements divers pour renforcer la place du Canal dans l’environnement urbain en fonction de développements de projets portés par le Port de Bruxelles, les entreprises portuaires ou par d’autres acteurs publics (par exemple : création de connexions cyclo-piétonnes, d’espaces accessibles au public, d’abaissements de quais...) </v>
      </c>
      <c r="G700" s="496"/>
      <c r="H700" s="498">
        <f>VLOOKUP(E700,'5.2 Actions'!$A$3:$D$720,4,0)</f>
        <v>0</v>
      </c>
      <c r="I700" s="497">
        <v>0</v>
      </c>
    </row>
    <row r="701" spans="1:9" hidden="1" outlineLevel="2" x14ac:dyDescent="0.25">
      <c r="A701" s="114" t="str">
        <f>MID(E701,1,1)</f>
        <v>6</v>
      </c>
      <c r="B701" t="str">
        <f>MID(E701,3,2)</f>
        <v>10</v>
      </c>
      <c r="C701" s="114" t="str">
        <f>MID(E701,6,2)</f>
        <v>2</v>
      </c>
      <c r="D701" s="495" t="s">
        <v>119</v>
      </c>
      <c r="E701" s="495" t="s">
        <v>1164</v>
      </c>
      <c r="F701" s="496" t="str">
        <f>VLOOKUP(E701,'5.2 Actions'!$A$3:$B$720,2,0)</f>
        <v>Mise en place d’une dynamique de communication avec les habitants/riverains</v>
      </c>
      <c r="G701" s="496"/>
      <c r="H701" s="498">
        <f>VLOOKUP(E701,'5.2 Actions'!$A$3:$D$720,4,0)</f>
        <v>0</v>
      </c>
      <c r="I701" s="497">
        <v>0</v>
      </c>
    </row>
    <row r="702" spans="1:9" s="494" customFormat="1" hidden="1" outlineLevel="1" collapsed="1" x14ac:dyDescent="0.25">
      <c r="D702" s="500" t="s">
        <v>120</v>
      </c>
      <c r="E702" s="500"/>
      <c r="F702" s="501" t="str">
        <f>VLOOKUP(D702,'1. Mesures'!$A$2:$B$116,2,0)</f>
        <v>Encadrer les activités nautiques et récréatives sur et aux abords du Canal</v>
      </c>
      <c r="G702" s="501"/>
      <c r="H702" s="503"/>
      <c r="I702" s="502">
        <f>SUBTOTAL(9,I703:I706)</f>
        <v>0</v>
      </c>
    </row>
    <row r="703" spans="1:9" hidden="1" outlineLevel="2" x14ac:dyDescent="0.25">
      <c r="A703" s="114" t="str">
        <f>MID(E703,1,1)</f>
        <v>6</v>
      </c>
      <c r="B703" t="str">
        <f>MID(E703,3,2)</f>
        <v>11</v>
      </c>
      <c r="C703" s="114" t="str">
        <f>MID(E703,6,2)</f>
        <v>1</v>
      </c>
      <c r="D703" s="495" t="s">
        <v>120</v>
      </c>
      <c r="E703" s="495" t="s">
        <v>1165</v>
      </c>
      <c r="F703" s="496" t="str">
        <f>VLOOKUP(E703,'5.2 Actions'!$A$3:$B$720,2,0)</f>
        <v>Organisation par le Port d’événements tout public, comme la « fête du Port »</v>
      </c>
      <c r="G703" s="496"/>
      <c r="H703" s="498">
        <f>VLOOKUP(E703,'5.2 Actions'!$A$3:$D$720,4,0)</f>
        <v>0</v>
      </c>
      <c r="I703" s="497">
        <v>0</v>
      </c>
    </row>
    <row r="704" spans="1:9" ht="30" hidden="1" outlineLevel="2" x14ac:dyDescent="0.25">
      <c r="A704" s="114" t="str">
        <f>MID(E704,1,1)</f>
        <v>6</v>
      </c>
      <c r="B704" t="str">
        <f>MID(E704,3,2)</f>
        <v>11</v>
      </c>
      <c r="C704" s="114" t="str">
        <f>MID(E704,6,2)</f>
        <v>2</v>
      </c>
      <c r="D704" s="495" t="s">
        <v>120</v>
      </c>
      <c r="E704" s="495" t="s">
        <v>1166</v>
      </c>
      <c r="F704" s="496" t="str">
        <f>VLOOKUP(E704,'5.2 Actions'!$A$3:$B$720,2,0)</f>
        <v>Encadrer les activités nautiques et récréatives sur la voie d’eau et assurer l’entretien des quais, pontons et berges pour en permettre la pratique en toute sécurité</v>
      </c>
      <c r="G704" s="496"/>
      <c r="H704" s="498">
        <f>VLOOKUP(E704,'5.2 Actions'!$A$3:$D$720,4,0)</f>
        <v>0</v>
      </c>
      <c r="I704" s="497">
        <v>0</v>
      </c>
    </row>
    <row r="705" spans="1:9" hidden="1" outlineLevel="2" x14ac:dyDescent="0.25">
      <c r="A705" s="114" t="str">
        <f>MID(E705,1,1)</f>
        <v>6</v>
      </c>
      <c r="B705" t="str">
        <f>MID(E705,3,2)</f>
        <v>11</v>
      </c>
      <c r="C705" s="114" t="str">
        <f>MID(E705,6,2)</f>
        <v>3</v>
      </c>
      <c r="D705" s="495" t="s">
        <v>120</v>
      </c>
      <c r="E705" s="495" t="s">
        <v>1167</v>
      </c>
      <c r="F705" s="496" t="str">
        <f>VLOOKUP(E705,'5.2 Actions'!$A$3:$B$720,2,0)</f>
        <v>Autoriser, sous forme de convention, l’organisation d’activités ponctuelles, festives et/ou récréatives</v>
      </c>
      <c r="G705" s="496"/>
      <c r="H705" s="498">
        <f>VLOOKUP(E705,'5.2 Actions'!$A$3:$D$720,4,0)</f>
        <v>0</v>
      </c>
      <c r="I705" s="497">
        <v>0</v>
      </c>
    </row>
    <row r="706" spans="1:9" hidden="1" outlineLevel="2" x14ac:dyDescent="0.25">
      <c r="A706" s="114" t="str">
        <f>MID(E706,1,1)</f>
        <v>6</v>
      </c>
      <c r="B706" t="str">
        <f>MID(E706,3,2)</f>
        <v>11</v>
      </c>
      <c r="C706" s="114" t="str">
        <f>MID(E706,6,2)</f>
        <v>4</v>
      </c>
      <c r="D706" s="495" t="s">
        <v>120</v>
      </c>
      <c r="E706" s="495" t="s">
        <v>1168</v>
      </c>
      <c r="F706" s="496" t="str">
        <f>VLOOKUP(E706,'5.2 Actions'!$A$3:$B$720,2,0)</f>
        <v>Communiquer adéquatement sur les activités autorisées ou interdites sur la voie d’eau (pêche, navimodélisme, baignade)</v>
      </c>
      <c r="G706" s="496"/>
      <c r="H706" s="498">
        <f>VLOOKUP(E706,'5.2 Actions'!$A$3:$D$720,4,0)</f>
        <v>0</v>
      </c>
      <c r="I706" s="497">
        <v>0</v>
      </c>
    </row>
    <row r="707" spans="1:9" s="494" customFormat="1" hidden="1" outlineLevel="1" collapsed="1" x14ac:dyDescent="0.25">
      <c r="D707" s="500" t="s">
        <v>121</v>
      </c>
      <c r="E707" s="500"/>
      <c r="F707" s="501" t="str">
        <f>VLOOKUP(D707,'1. Mesures'!$A$2:$B$116,2,0)</f>
        <v>Actualiser l’Atlas des cours d’eau non navigables et en assurer la diffusion</v>
      </c>
      <c r="G707" s="501"/>
      <c r="H707" s="503"/>
      <c r="I707" s="502">
        <f>SUBTOTAL(9,I708:I714)</f>
        <v>0</v>
      </c>
    </row>
    <row r="708" spans="1:9" ht="30" hidden="1" outlineLevel="2" x14ac:dyDescent="0.25">
      <c r="A708" s="114" t="str">
        <f t="shared" ref="A708:A714" si="126">MID(E708,1,1)</f>
        <v>6</v>
      </c>
      <c r="B708" t="str">
        <f t="shared" ref="B708:B714" si="127">MID(E708,3,2)</f>
        <v>12</v>
      </c>
      <c r="C708" s="114" t="str">
        <f t="shared" ref="C708:C714" si="128">MID(E708,6,2)</f>
        <v>1</v>
      </c>
      <c r="D708" s="495" t="s">
        <v>121</v>
      </c>
      <c r="E708" s="495" t="s">
        <v>1169</v>
      </c>
      <c r="F708" s="496" t="str">
        <f>VLOOKUP(E708,'5.2 Actions'!$A$3:$B$720,2,0)</f>
        <v xml:space="preserve">Recenser les cours d’eau non navigables classés / non classés pouvant faire l’objet d’un statut particulier de protection et valider cette proposition de classement auprès des communes. </v>
      </c>
      <c r="G708" s="496"/>
      <c r="H708" s="498">
        <f>VLOOKUP(E708,'5.2 Actions'!$A$3:$D$720,4,0)</f>
        <v>0</v>
      </c>
      <c r="I708" s="497">
        <v>0</v>
      </c>
    </row>
    <row r="709" spans="1:9" hidden="1" outlineLevel="2" x14ac:dyDescent="0.25">
      <c r="A709" s="114" t="str">
        <f t="shared" si="126"/>
        <v>6</v>
      </c>
      <c r="B709" t="str">
        <f t="shared" si="127"/>
        <v>12</v>
      </c>
      <c r="C709" s="114" t="str">
        <f t="shared" si="128"/>
        <v>2</v>
      </c>
      <c r="D709" s="495" t="s">
        <v>121</v>
      </c>
      <c r="E709" s="495" t="s">
        <v>1170</v>
      </c>
      <c r="F709" s="496" t="str">
        <f>VLOOKUP(E709,'5.2 Actions'!$A$3:$B$720,2,0)</f>
        <v>Recenser et désigner les étangs régionaux</v>
      </c>
      <c r="G709" s="496"/>
      <c r="H709" s="498">
        <f>VLOOKUP(E709,'5.2 Actions'!$A$3:$D$720,4,0)</f>
        <v>0</v>
      </c>
      <c r="I709" s="497">
        <v>0</v>
      </c>
    </row>
    <row r="710" spans="1:9" ht="30" hidden="1" outlineLevel="2" x14ac:dyDescent="0.25">
      <c r="A710" s="114" t="str">
        <f t="shared" si="126"/>
        <v>6</v>
      </c>
      <c r="B710" t="str">
        <f t="shared" si="127"/>
        <v>12</v>
      </c>
      <c r="C710" s="114" t="str">
        <f t="shared" si="128"/>
        <v>3</v>
      </c>
      <c r="D710" s="495" t="s">
        <v>121</v>
      </c>
      <c r="E710" s="495" t="s">
        <v>1171</v>
      </c>
      <c r="F710" s="496" t="str">
        <f>VLOOKUP(E710,'5.2 Actions'!$A$3:$B$720,2,0)</f>
        <v>Faire les relevés topographiques par des géomètres pour les tronçons du réseau hydrographique qui n'ont pas encore fait l'objet d'un relevé récent ou qui ont fait l'objet de travaux d’aménagement ou de rénovation pour la mise à jour continue de l’Atlas.</v>
      </c>
      <c r="G710" s="496"/>
      <c r="H710" s="498">
        <f>VLOOKUP(E710,'5.2 Actions'!$A$3:$D$720,4,0)</f>
        <v>0</v>
      </c>
      <c r="I710" s="497">
        <v>300000</v>
      </c>
    </row>
    <row r="711" spans="1:9" ht="30" hidden="1" outlineLevel="2" x14ac:dyDescent="0.25">
      <c r="A711" s="114" t="str">
        <f t="shared" si="126"/>
        <v>6</v>
      </c>
      <c r="B711" t="str">
        <f t="shared" si="127"/>
        <v>12</v>
      </c>
      <c r="C711" s="114" t="str">
        <f t="shared" si="128"/>
        <v>4</v>
      </c>
      <c r="D711" s="495" t="s">
        <v>121</v>
      </c>
      <c r="E711" s="495" t="s">
        <v>1172</v>
      </c>
      <c r="F711" s="496" t="str">
        <f>VLOOKUP(E711,'5.2 Actions'!$A$3:$B$720,2,0)</f>
        <v xml:space="preserve">Introduire l’ensemble des données relevées dans une base de données informatique géoréférencée, valider ces données et définir la forme, le contenu et la présentation de l'Atlas. </v>
      </c>
      <c r="G711" s="496"/>
      <c r="H711" s="498">
        <f>VLOOKUP(E711,'5.2 Actions'!$A$3:$D$720,4,0)</f>
        <v>0</v>
      </c>
      <c r="I711" s="497">
        <v>0</v>
      </c>
    </row>
    <row r="712" spans="1:9" hidden="1" outlineLevel="2" x14ac:dyDescent="0.25">
      <c r="A712" s="114" t="str">
        <f t="shared" si="126"/>
        <v>6</v>
      </c>
      <c r="B712" t="str">
        <f t="shared" si="127"/>
        <v>12</v>
      </c>
      <c r="C712" s="114" t="str">
        <f t="shared" si="128"/>
        <v>5</v>
      </c>
      <c r="D712" s="495" t="s">
        <v>121</v>
      </c>
      <c r="E712" s="495" t="s">
        <v>1173</v>
      </c>
      <c r="F712" s="496" t="str">
        <f>VLOOKUP(E712,'5.2 Actions'!$A$3:$B$720,2,0)</f>
        <v>Rédiger et adopter l’arrêté du Gouvernement opérant le classement des cours d’eau non navigables et approuvant l’Atlas</v>
      </c>
      <c r="G712" s="496"/>
      <c r="H712" s="498">
        <f>VLOOKUP(E712,'5.2 Actions'!$A$3:$D$720,4,0)</f>
        <v>0</v>
      </c>
      <c r="I712" s="497">
        <v>0</v>
      </c>
    </row>
    <row r="713" spans="1:9" hidden="1" outlineLevel="2" x14ac:dyDescent="0.25">
      <c r="A713" s="114" t="str">
        <f t="shared" si="126"/>
        <v>6</v>
      </c>
      <c r="B713" t="str">
        <f t="shared" si="127"/>
        <v>12</v>
      </c>
      <c r="C713" s="114" t="str">
        <f t="shared" si="128"/>
        <v>6</v>
      </c>
      <c r="D713" s="495" t="s">
        <v>121</v>
      </c>
      <c r="E713" s="495" t="s">
        <v>1174</v>
      </c>
      <c r="F713" s="496" t="str">
        <f>VLOOKUP(E713,'5.2 Actions'!$A$3:$B$720,2,0)</f>
        <v>Enquête publique auprès des communes</v>
      </c>
      <c r="G713" s="496"/>
      <c r="H713" s="498">
        <f>VLOOKUP(E713,'5.2 Actions'!$A$3:$D$720,4,0)</f>
        <v>0</v>
      </c>
      <c r="I713" s="497">
        <v>0</v>
      </c>
    </row>
    <row r="714" spans="1:9" hidden="1" outlineLevel="2" x14ac:dyDescent="0.25">
      <c r="A714" s="114" t="str">
        <f t="shared" si="126"/>
        <v>6</v>
      </c>
      <c r="B714" t="str">
        <f t="shared" si="127"/>
        <v>12</v>
      </c>
      <c r="C714" s="114" t="str">
        <f t="shared" si="128"/>
        <v>7</v>
      </c>
      <c r="D714" s="495" t="s">
        <v>121</v>
      </c>
      <c r="E714" s="495" t="s">
        <v>1175</v>
      </c>
      <c r="F714" s="496" t="str">
        <f>VLOOKUP(E714,'5.2 Actions'!$A$3:$B$720,2,0)</f>
        <v>Assurer la diffusion de l’Atlas</v>
      </c>
      <c r="G714" s="496"/>
      <c r="H714" s="498">
        <f>VLOOKUP(E714,'5.2 Actions'!$A$3:$D$720,4,0)</f>
        <v>0</v>
      </c>
      <c r="I714" s="497">
        <v>0</v>
      </c>
    </row>
    <row r="715" spans="1:9" s="494" customFormat="1" hidden="1" outlineLevel="1" collapsed="1" x14ac:dyDescent="0.25">
      <c r="D715" s="500" t="s">
        <v>122</v>
      </c>
      <c r="E715" s="500"/>
      <c r="F715" s="501" t="str">
        <f>VLOOKUP(D715,'1. Mesures'!$A$2:$B$116,2,0)</f>
        <v xml:space="preserve">Assurer l’entretien du réseau et optimiser son fonctionnement afin de  lutter contre les fuites du réseau de distribution d'eau potable </v>
      </c>
      <c r="G715" s="501"/>
      <c r="H715" s="503"/>
      <c r="I715" s="502">
        <f>SUBTOTAL(9,I716:I722)</f>
        <v>0</v>
      </c>
    </row>
    <row r="716" spans="1:9" ht="45" hidden="1" outlineLevel="2" x14ac:dyDescent="0.25">
      <c r="A716" s="114" t="str">
        <f t="shared" ref="A716:A722" si="129">MID(E716,1,1)</f>
        <v>7</v>
      </c>
      <c r="B716" t="str">
        <f t="shared" ref="B716:B722" si="130">MID(E716,3,1)</f>
        <v>1</v>
      </c>
      <c r="C716" s="114" t="str">
        <f t="shared" ref="C716:C722" si="131">MID(E716,5,2)</f>
        <v>1</v>
      </c>
      <c r="D716" s="495" t="s">
        <v>122</v>
      </c>
      <c r="E716" s="495" t="s">
        <v>1205</v>
      </c>
      <c r="F716" s="496" t="str">
        <f>VLOOKUP(E716,'5.2 Actions'!$A$3:$B$720,2,0)</f>
        <v>Sectorisation accrue des réseaux.
1er Objectif: obtenir 65 zones DMA pour fin 2024 
2ème Objectif: obtenir 72 zones DMA pour fin 2027</v>
      </c>
      <c r="G716" s="496"/>
      <c r="H716" s="498">
        <f>VLOOKUP(E716,'5.2 Actions'!$A$3:$D$720,4,0)</f>
        <v>0</v>
      </c>
      <c r="I716" s="497">
        <v>270000</v>
      </c>
    </row>
    <row r="717" spans="1:9" hidden="1" outlineLevel="2" x14ac:dyDescent="0.25">
      <c r="A717" s="114" t="str">
        <f t="shared" si="129"/>
        <v>7</v>
      </c>
      <c r="B717" t="str">
        <f t="shared" si="130"/>
        <v>1</v>
      </c>
      <c r="C717" s="114" t="str">
        <f t="shared" si="131"/>
        <v>2</v>
      </c>
      <c r="D717" s="495" t="s">
        <v>122</v>
      </c>
      <c r="E717" s="495" t="s">
        <v>1206</v>
      </c>
      <c r="F717" s="496" t="str">
        <f>VLOOKUP(E717,'5.2 Actions'!$A$3:$B$720,2,0)</f>
        <v>Campagne de détection de fuites via images par satellite . Vision des 2380 km de réseau en RBC tous les 3 ans</v>
      </c>
      <c r="G717" s="496"/>
      <c r="H717" s="498">
        <f>VLOOKUP(E717,'5.2 Actions'!$A$3:$D$720,4,0)</f>
        <v>0</v>
      </c>
      <c r="I717" s="497">
        <v>250000</v>
      </c>
    </row>
    <row r="718" spans="1:9" ht="30" hidden="1" outlineLevel="2" x14ac:dyDescent="0.25">
      <c r="A718" s="114" t="str">
        <f t="shared" si="129"/>
        <v>7</v>
      </c>
      <c r="B718" t="str">
        <f t="shared" si="130"/>
        <v>1</v>
      </c>
      <c r="C718" s="114" t="str">
        <f t="shared" si="131"/>
        <v>3</v>
      </c>
      <c r="D718" s="495" t="s">
        <v>122</v>
      </c>
      <c r="E718" s="495" t="s">
        <v>1207</v>
      </c>
      <c r="F718" s="496" t="str">
        <f>VLOOKUP(E718,'5.2 Actions'!$A$3:$B$720,2,0)</f>
        <v>Réaliser une veille technologique sur les compteurs d’eau  à l’'aide du programme de monitoring Leakredux Totalement opérationnel en 2022 puis maintenance et mise à niveau annuelle en fonction de l’avancée de la sectorisation</v>
      </c>
      <c r="G718" s="496"/>
      <c r="H718" s="498">
        <f>VLOOKUP(E718,'5.2 Actions'!$A$3:$D$720,4,0)</f>
        <v>0</v>
      </c>
      <c r="I718" s="497">
        <v>405000</v>
      </c>
    </row>
    <row r="719" spans="1:9" hidden="1" outlineLevel="2" x14ac:dyDescent="0.25">
      <c r="A719" s="114" t="str">
        <f t="shared" si="129"/>
        <v>7</v>
      </c>
      <c r="B719" t="str">
        <f t="shared" si="130"/>
        <v>1</v>
      </c>
      <c r="C719" s="114" t="str">
        <f t="shared" si="131"/>
        <v>4</v>
      </c>
      <c r="D719" s="495" t="s">
        <v>122</v>
      </c>
      <c r="E719" s="495" t="s">
        <v>1208</v>
      </c>
      <c r="F719" s="496" t="str">
        <f>VLOOKUP(E719,'5.2 Actions'!$A$3:$B$720,2,0)</f>
        <v>Assurer des équipes compétentes et efficaces permettant de réagir rapidement en cas de problèmes constatés (fuites, …) et apporter les correctifs nécessaires</v>
      </c>
      <c r="G719" s="496"/>
      <c r="H719" s="498">
        <f>VLOOKUP(E719,'5.2 Actions'!$A$3:$D$720,4,0)</f>
        <v>0</v>
      </c>
      <c r="I719" s="497">
        <v>17070000</v>
      </c>
    </row>
    <row r="720" spans="1:9" hidden="1" outlineLevel="2" x14ac:dyDescent="0.25">
      <c r="A720" s="114" t="str">
        <f t="shared" si="129"/>
        <v>7</v>
      </c>
      <c r="B720" t="str">
        <f t="shared" si="130"/>
        <v>1</v>
      </c>
      <c r="C720" s="114" t="str">
        <f t="shared" si="131"/>
        <v>5</v>
      </c>
      <c r="D720" s="495" t="s">
        <v>122</v>
      </c>
      <c r="E720" s="495" t="s">
        <v>1209</v>
      </c>
      <c r="F720" s="496" t="str">
        <f>VLOOKUP(E720,'5.2 Actions'!$A$3:$B$720,2,0)</f>
        <v>Tenir à jour une cartographie des réseaux localisant les conduites et leurs caractéristiques et leur état de vétusté</v>
      </c>
      <c r="G720" s="496"/>
      <c r="H720" s="498">
        <f>VLOOKUP(E720,'5.2 Actions'!$A$3:$D$720,4,0)</f>
        <v>0</v>
      </c>
      <c r="I720" s="497">
        <v>600000</v>
      </c>
    </row>
    <row r="721" spans="1:9" hidden="1" outlineLevel="2" x14ac:dyDescent="0.25">
      <c r="A721" s="114" t="str">
        <f t="shared" si="129"/>
        <v>7</v>
      </c>
      <c r="B721" t="str">
        <f t="shared" si="130"/>
        <v>1</v>
      </c>
      <c r="C721" s="114" t="str">
        <f t="shared" si="131"/>
        <v>6</v>
      </c>
      <c r="D721" s="495" t="s">
        <v>122</v>
      </c>
      <c r="E721" s="495" t="s">
        <v>1210</v>
      </c>
      <c r="F721" s="496" t="str">
        <f>VLOOKUP(E721,'5.2 Actions'!$A$3:$B$720,2,0)</f>
        <v>Réaliser les travaux de renouvellement des canalisations de distribution et répartition</v>
      </c>
      <c r="G721" s="496"/>
      <c r="H721" s="498">
        <f>VLOOKUP(E721,'5.2 Actions'!$A$3:$D$720,4,0)</f>
        <v>0</v>
      </c>
      <c r="I721" s="497">
        <v>119550000</v>
      </c>
    </row>
    <row r="722" spans="1:9" hidden="1" outlineLevel="2" x14ac:dyDescent="0.25">
      <c r="A722" s="114" t="str">
        <f t="shared" si="129"/>
        <v>7</v>
      </c>
      <c r="B722" t="str">
        <f t="shared" si="130"/>
        <v>1</v>
      </c>
      <c r="C722" s="114" t="str">
        <f t="shared" si="131"/>
        <v>7</v>
      </c>
      <c r="D722" s="495" t="s">
        <v>122</v>
      </c>
      <c r="E722" s="495" t="s">
        <v>1211</v>
      </c>
      <c r="F722" s="496" t="str">
        <f>VLOOKUP(E722,'5.2 Actions'!$A$3:$B$720,2,0)</f>
        <v>Assurer un contrôle et entretien régulier des hydrants (à charge des communes après  2022)</v>
      </c>
      <c r="G722" s="496"/>
      <c r="H722" s="498">
        <f>VLOOKUP(E722,'5.2 Actions'!$A$3:$D$720,4,0)</f>
        <v>0</v>
      </c>
      <c r="I722" s="497">
        <v>3300000</v>
      </c>
    </row>
    <row r="723" spans="1:9" s="494" customFormat="1" hidden="1" outlineLevel="1" collapsed="1" x14ac:dyDescent="0.25">
      <c r="D723" s="500" t="s">
        <v>123</v>
      </c>
      <c r="E723" s="500"/>
      <c r="F723" s="501" t="str">
        <f>VLOOKUP(D723,'1. Mesures'!$A$2:$B$116,2,0)</f>
        <v>Promouvoir la consommation d'eau de distribution pour les besoins en eau potable</v>
      </c>
      <c r="G723" s="501"/>
      <c r="H723" s="503"/>
      <c r="I723" s="502">
        <f>SUBTOTAL(9,I724:I730)</f>
        <v>0</v>
      </c>
    </row>
    <row r="724" spans="1:9" ht="45" hidden="1" outlineLevel="2" x14ac:dyDescent="0.25">
      <c r="A724" s="114" t="str">
        <f t="shared" ref="A724:A730" si="132">MID(E724,1,1)</f>
        <v>7</v>
      </c>
      <c r="B724" t="str">
        <f t="shared" ref="B724:B730" si="133">MID(E724,3,1)</f>
        <v>2</v>
      </c>
      <c r="C724" s="114" t="str">
        <f t="shared" ref="C724:C730" si="134">MID(E724,5,2)</f>
        <v>1</v>
      </c>
      <c r="D724" s="495" t="s">
        <v>123</v>
      </c>
      <c r="E724" s="495" t="s">
        <v>1221</v>
      </c>
      <c r="F724" s="496" t="str">
        <f>VLOOKUP(E724,'5.2 Actions'!$A$3:$B$720,2,0)</f>
        <v>Encourager la fourniture de l’eau du robinet, à titre gratuit ou moyennant des frais de services peu élevés, dans l’HORECA, les cantines, les centres sportifs, les centres culturels et dans tous les types de services de restauration ainsi que lors d’événement organisés par ces services.
Pour les écoles, cet encouragement peut passer par la mise à disposition de dossiers pédagogiques par exemple.</v>
      </c>
      <c r="G724" s="496"/>
      <c r="H724" s="498">
        <f>VLOOKUP(E724,'5.2 Actions'!$A$3:$D$720,4,0)</f>
        <v>0</v>
      </c>
      <c r="I724" s="497">
        <v>0</v>
      </c>
    </row>
    <row r="725" spans="1:9" ht="30" hidden="1" outlineLevel="2" x14ac:dyDescent="0.25">
      <c r="A725" s="114" t="str">
        <f t="shared" si="132"/>
        <v>7</v>
      </c>
      <c r="B725" t="str">
        <f t="shared" si="133"/>
        <v>2</v>
      </c>
      <c r="C725" s="114" t="str">
        <f t="shared" si="134"/>
        <v>2</v>
      </c>
      <c r="D725" s="495" t="s">
        <v>123</v>
      </c>
      <c r="E725" s="495" t="s">
        <v>1222</v>
      </c>
      <c r="F725" s="496" t="str">
        <f>VLOOKUP(E725,'5.2 Actions'!$A$3:$B$720,2,0)</f>
        <v>Dans les secteurs momentanément non concernés par l’interdiction décrite dans le Brudalex : promouvoir dans tous les labels et chartes (Good Food, eco-schools, bubble, etc.) une utilisation rationnelle de l’eau et une utilisation de l’eau de distribution comme critère.</v>
      </c>
      <c r="G725" s="496"/>
      <c r="H725" s="498">
        <f>VLOOKUP(E725,'5.2 Actions'!$A$3:$D$720,4,0)</f>
        <v>0</v>
      </c>
      <c r="I725" s="497">
        <v>0</v>
      </c>
    </row>
    <row r="726" spans="1:9" ht="30" hidden="1" outlineLevel="2" x14ac:dyDescent="0.25">
      <c r="A726" s="114" t="str">
        <f t="shared" si="132"/>
        <v>7</v>
      </c>
      <c r="B726" t="str">
        <f t="shared" si="133"/>
        <v>2</v>
      </c>
      <c r="C726" s="114" t="str">
        <f t="shared" si="134"/>
        <v>3</v>
      </c>
      <c r="D726" s="495" t="s">
        <v>123</v>
      </c>
      <c r="E726" s="495" t="s">
        <v>1223</v>
      </c>
      <c r="F726" s="496" t="str">
        <f>VLOOKUP(E726,'5.2 Actions'!$A$3:$B$720,2,0)</f>
        <v>Promotion et sensibilisation de l’utilisation de l’eau du robinet dans les établissements scolaires par l’installation de fontaines d’eau potable avec des  soutiens technique à la maintenance et pédagogique à la sensibilisation.</v>
      </c>
      <c r="G726" s="496"/>
      <c r="H726" s="498">
        <f>VLOOKUP(E726,'5.2 Actions'!$A$3:$D$720,4,0)</f>
        <v>0</v>
      </c>
      <c r="I726" s="497">
        <v>0</v>
      </c>
    </row>
    <row r="727" spans="1:9" hidden="1" outlineLevel="2" x14ac:dyDescent="0.25">
      <c r="A727" s="114" t="str">
        <f t="shared" si="132"/>
        <v>7</v>
      </c>
      <c r="B727" t="str">
        <f t="shared" si="133"/>
        <v>2</v>
      </c>
      <c r="C727" s="114" t="str">
        <f t="shared" si="134"/>
        <v>4</v>
      </c>
      <c r="D727" s="495" t="s">
        <v>123</v>
      </c>
      <c r="E727" s="495" t="s">
        <v>1224</v>
      </c>
      <c r="F727" s="496" t="str">
        <f>VLOOKUP(E727,'5.2 Actions'!$A$3:$B$720,2,0)</f>
        <v>Imposer l’abandon du recours à l’eau en bouteille au profit de l’eau de distribution lors d’événements subventionnés par les pouvoirs publics.</v>
      </c>
      <c r="G727" s="496"/>
      <c r="H727" s="498">
        <f>VLOOKUP(E727,'5.2 Actions'!$A$3:$D$720,4,0)</f>
        <v>0</v>
      </c>
      <c r="I727" s="497">
        <v>0</v>
      </c>
    </row>
    <row r="728" spans="1:9" hidden="1" outlineLevel="2" x14ac:dyDescent="0.25">
      <c r="A728" s="114" t="str">
        <f t="shared" si="132"/>
        <v>7</v>
      </c>
      <c r="B728" t="str">
        <f t="shared" si="133"/>
        <v>2</v>
      </c>
      <c r="C728" s="114" t="str">
        <f t="shared" si="134"/>
        <v>5</v>
      </c>
      <c r="D728" s="495" t="s">
        <v>123</v>
      </c>
      <c r="E728" s="495" t="s">
        <v>1225</v>
      </c>
      <c r="F728" s="496" t="str">
        <f>VLOOKUP(E728,'5.2 Actions'!$A$3:$B$720,2,0)</f>
        <v>Communiquer auprès des citoyens concernant la qualité de l’eau du robinet (via les réseaux sociaux, newsletter client, site web, stands pédagogiques, etc.).</v>
      </c>
      <c r="G728" s="496"/>
      <c r="H728" s="498">
        <f>VLOOKUP(E728,'5.2 Actions'!$A$3:$D$720,4,0)</f>
        <v>0</v>
      </c>
      <c r="I728" s="497">
        <v>0</v>
      </c>
    </row>
    <row r="729" spans="1:9" hidden="1" outlineLevel="2" x14ac:dyDescent="0.25">
      <c r="A729" s="114" t="str">
        <f t="shared" si="132"/>
        <v>7</v>
      </c>
      <c r="B729" t="str">
        <f t="shared" si="133"/>
        <v>2</v>
      </c>
      <c r="C729" s="114" t="str">
        <f t="shared" si="134"/>
        <v>6</v>
      </c>
      <c r="D729" s="495" t="s">
        <v>123</v>
      </c>
      <c r="E729" s="495" t="s">
        <v>1226</v>
      </c>
      <c r="F729" s="496" t="str">
        <f>VLOOKUP(E729,'5.2 Actions'!$A$3:$B$720,2,0)</f>
        <v>Encourager l’utilisation de l’eau de distribution dans les espaces privés dans les communications régionales et communales (site Internet par exemple)</v>
      </c>
      <c r="G729" s="496"/>
      <c r="H729" s="498">
        <f>VLOOKUP(E729,'5.2 Actions'!$A$3:$D$720,4,0)</f>
        <v>0</v>
      </c>
      <c r="I729" s="497">
        <v>0</v>
      </c>
    </row>
    <row r="730" spans="1:9" ht="105" hidden="1" outlineLevel="2" x14ac:dyDescent="0.25">
      <c r="A730" s="114" t="str">
        <f t="shared" si="132"/>
        <v>7</v>
      </c>
      <c r="B730" t="str">
        <f t="shared" si="133"/>
        <v>2</v>
      </c>
      <c r="C730" s="114" t="str">
        <f t="shared" si="134"/>
        <v>7</v>
      </c>
      <c r="D730" s="495" t="s">
        <v>123</v>
      </c>
      <c r="E730" s="495" t="s">
        <v>1227</v>
      </c>
      <c r="F730" s="496" t="str">
        <f>VLOOKUP(E730,'5.2 Actions'!$A$3:$B$720,2,0)</f>
        <v>Proposition de mesures de Brudalex :
interdire aux autorités régionales  de servir des boissons dans des récipients à usage unique dans leurs propres activités et lors des événements qu'elles organisent
interdire la consommation des bouteilles d’eau au sein des bâtiments dépendants des pouvoirs publics régionaux et communaux, tout comme lors d’événements sponsorisés par ceux-ci.
Après, une première phase de mise en œuvre, élargir l’interdiction à tous les évènements accessibles au public tant en intérieur qu’en extérieur, en impliquant en particulier les fédérations sportives et les organisateurs d’évènements.</v>
      </c>
      <c r="G730" s="496"/>
      <c r="H730" s="498">
        <f>VLOOKUP(E730,'5.2 Actions'!$A$3:$D$720,4,0)</f>
        <v>0</v>
      </c>
      <c r="I730" s="497">
        <v>0</v>
      </c>
    </row>
    <row r="731" spans="1:9" s="494" customFormat="1" hidden="1" outlineLevel="1" collapsed="1" x14ac:dyDescent="0.25">
      <c r="D731" s="500" t="s">
        <v>124</v>
      </c>
      <c r="E731" s="500"/>
      <c r="F731" s="501" t="str">
        <f>VLOOKUP(D731,'1. Mesures'!$A$2:$B$116,2,0)</f>
        <v>Promouvoir, auprès des ménages, les comportements et équipements économes en eau ainsi que le recours à un approvisionnement en eau alternatif</v>
      </c>
      <c r="G731" s="501"/>
      <c r="H731" s="503"/>
      <c r="I731" s="502">
        <f>SUBTOTAL(9,I732:I736)</f>
        <v>0</v>
      </c>
    </row>
    <row r="732" spans="1:9" hidden="1" outlineLevel="2" x14ac:dyDescent="0.25">
      <c r="A732" s="114" t="str">
        <f>MID(E732,1,1)</f>
        <v>7</v>
      </c>
      <c r="B732" t="str">
        <f>MID(E732,3,1)</f>
        <v>3</v>
      </c>
      <c r="C732" s="114" t="str">
        <f>MID(E732,5,2)</f>
        <v>1</v>
      </c>
      <c r="D732" s="495" t="s">
        <v>124</v>
      </c>
      <c r="E732" s="495" t="s">
        <v>1228</v>
      </c>
      <c r="F732" s="496" t="str">
        <f>VLOOKUP(E732,'5.2 Actions'!$A$3:$B$720,2,0)</f>
        <v>Actualiser et améliorer le matériel et contenu existants</v>
      </c>
      <c r="G732" s="496"/>
      <c r="H732" s="498">
        <f>VLOOKUP(E732,'5.2 Actions'!$A$3:$D$720,4,0)</f>
        <v>0</v>
      </c>
      <c r="I732" s="497">
        <v>0</v>
      </c>
    </row>
    <row r="733" spans="1:9" hidden="1" outlineLevel="2" x14ac:dyDescent="0.25">
      <c r="A733" s="114" t="str">
        <f>MID(E733,1,1)</f>
        <v>7</v>
      </c>
      <c r="B733" t="str">
        <f>MID(E733,3,1)</f>
        <v>3</v>
      </c>
      <c r="C733" s="114" t="str">
        <f>MID(E733,5,2)</f>
        <v>2</v>
      </c>
      <c r="D733" s="495" t="s">
        <v>124</v>
      </c>
      <c r="E733" s="495" t="s">
        <v>1229</v>
      </c>
      <c r="F733" s="496" t="str">
        <f>VLOOKUP(E733,'5.2 Actions'!$A$3:$B$720,2,0)</f>
        <v>Optimaliser la promotion de ce matériel et contenu</v>
      </c>
      <c r="G733" s="496"/>
      <c r="H733" s="498">
        <f>VLOOKUP(E733,'5.2 Actions'!$A$3:$D$720,4,0)</f>
        <v>0</v>
      </c>
      <c r="I733" s="497">
        <v>0</v>
      </c>
    </row>
    <row r="734" spans="1:9" hidden="1" outlineLevel="2" x14ac:dyDescent="0.25">
      <c r="A734" s="114" t="str">
        <f>MID(E734,1,1)</f>
        <v>7</v>
      </c>
      <c r="B734" t="str">
        <f>MID(E734,3,1)</f>
        <v>3</v>
      </c>
      <c r="C734" s="114" t="str">
        <f>MID(E734,5,2)</f>
        <v>3</v>
      </c>
      <c r="D734" s="495" t="s">
        <v>124</v>
      </c>
      <c r="E734" s="495" t="s">
        <v>1230</v>
      </c>
      <c r="F734" s="496" t="str">
        <f>VLOOKUP(E734,'5.2 Actions'!$A$3:$B$720,2,0)</f>
        <v>Renforcer la promotion des équipements et aménagements sur les canaux BE</v>
      </c>
      <c r="G734" s="496"/>
      <c r="H734" s="498">
        <f>VLOOKUP(E734,'5.2 Actions'!$A$3:$D$720,4,0)</f>
        <v>0</v>
      </c>
      <c r="I734" s="497">
        <v>0</v>
      </c>
    </row>
    <row r="735" spans="1:9" hidden="1" outlineLevel="2" x14ac:dyDescent="0.25">
      <c r="A735" s="114" t="str">
        <f>MID(E735,1,1)</f>
        <v>7</v>
      </c>
      <c r="B735" t="str">
        <f>MID(E735,3,1)</f>
        <v>3</v>
      </c>
      <c r="C735" s="114" t="str">
        <f>MID(E735,5,2)</f>
        <v>4</v>
      </c>
      <c r="D735" s="495" t="s">
        <v>124</v>
      </c>
      <c r="E735" s="495" t="s">
        <v>1231</v>
      </c>
      <c r="F735" s="496" t="str">
        <f>VLOOKUP(E735,'5.2 Actions'!$A$3:$B$720,2,0)</f>
        <v>Renforcer la promotion des équipements et aménagements via les partenaires externes</v>
      </c>
      <c r="G735" s="496"/>
      <c r="H735" s="498">
        <f>VLOOKUP(E735,'5.2 Actions'!$A$3:$D$720,4,0)</f>
        <v>0</v>
      </c>
      <c r="I735" s="497">
        <v>0</v>
      </c>
    </row>
    <row r="736" spans="1:9" hidden="1" outlineLevel="2" x14ac:dyDescent="0.25">
      <c r="A736" s="114" t="str">
        <f>MID(E736,1,1)</f>
        <v>7</v>
      </c>
      <c r="B736" t="str">
        <f>MID(E736,3,1)</f>
        <v>3</v>
      </c>
      <c r="C736" s="114" t="str">
        <f>MID(E736,5,2)</f>
        <v>5</v>
      </c>
      <c r="D736" s="495" t="s">
        <v>124</v>
      </c>
      <c r="E736" s="495" t="s">
        <v>1232</v>
      </c>
      <c r="F736" s="496" t="str">
        <f>VLOOKUP(E736,'5.2 Actions'!$A$3:$B$720,2,0)</f>
        <v>Permettre aux usagers de l’eau de faire réaliser un « Audit Eau » de leurs installations (// waterscan)</v>
      </c>
      <c r="G736" s="496"/>
      <c r="H736" s="498">
        <f>VLOOKUP(E736,'5.2 Actions'!$A$3:$D$720,4,0)</f>
        <v>0</v>
      </c>
      <c r="I736" s="497">
        <v>0</v>
      </c>
    </row>
    <row r="737" spans="1:9" s="494" customFormat="1" hidden="1" outlineLevel="1" collapsed="1" x14ac:dyDescent="0.25">
      <c r="D737" s="500" t="s">
        <v>125</v>
      </c>
      <c r="E737" s="500"/>
      <c r="F737" s="501" t="str">
        <f>VLOOKUP(D737,'1. Mesures'!$A$2:$B$116,2,0)</f>
        <v>Mettre en place un audit portant sur l’utilisation rationnelle de l’ eau dans les bâtiments du secteur tertiaire</v>
      </c>
      <c r="G737" s="501"/>
      <c r="H737" s="503"/>
      <c r="I737" s="502">
        <f>SUBTOTAL(9,I738:I741)</f>
        <v>0</v>
      </c>
    </row>
    <row r="738" spans="1:9" ht="30" hidden="1" outlineLevel="2" x14ac:dyDescent="0.25">
      <c r="A738" s="114" t="str">
        <f>MID(E738,1,1)</f>
        <v>7</v>
      </c>
      <c r="B738" t="str">
        <f>MID(E738,3,1)</f>
        <v>4</v>
      </c>
      <c r="C738" s="114" t="str">
        <f>MID(E738,5,2)</f>
        <v>1</v>
      </c>
      <c r="D738" s="495" t="s">
        <v>125</v>
      </c>
      <c r="E738" s="495" t="s">
        <v>1233</v>
      </c>
      <c r="F738" s="496" t="str">
        <f>VLOOKUP(E738,'5.2 Actions'!$A$3:$B$720,2,0)</f>
        <v>Evaluer la faisabilité d’introduire la thématique « eau » dans le programme PLAGE et son efficacité quant à son impact environnemental par rapport aux investissements consentis.</v>
      </c>
      <c r="G738" s="496"/>
      <c r="H738" s="498">
        <f>VLOOKUP(E738,'5.2 Actions'!$A$3:$D$720,4,0)</f>
        <v>0</v>
      </c>
      <c r="I738" s="497">
        <v>0</v>
      </c>
    </row>
    <row r="739" spans="1:9" ht="30" hidden="1" outlineLevel="2" x14ac:dyDescent="0.25">
      <c r="A739" s="114" t="str">
        <f>MID(E739,1,1)</f>
        <v>7</v>
      </c>
      <c r="B739" t="str">
        <f>MID(E739,3,1)</f>
        <v>4</v>
      </c>
      <c r="C739" s="114" t="str">
        <f>MID(E739,5,2)</f>
        <v>2</v>
      </c>
      <c r="D739" s="495" t="s">
        <v>125</v>
      </c>
      <c r="E739" s="495" t="s">
        <v>1234</v>
      </c>
      <c r="F739" s="496" t="str">
        <f>VLOOKUP(E739,'5.2 Actions'!$A$3:$B$720,2,0)</f>
        <v>Préparer l’intégration à la démarche PLAGE en menant des projets pilotes de sensibilisation à la prise en compte de la performance en matière de consommation d’eau sur une base volontaire notamment via le réseau des « agents eau » communaux et les acteurs du PLAGE « énergie »</v>
      </c>
      <c r="G739" s="496"/>
      <c r="H739" s="498">
        <f>VLOOKUP(E739,'5.2 Actions'!$A$3:$D$720,4,0)</f>
        <v>0</v>
      </c>
      <c r="I739" s="497">
        <v>300000</v>
      </c>
    </row>
    <row r="740" spans="1:9" hidden="1" outlineLevel="2" x14ac:dyDescent="0.25">
      <c r="A740" s="114" t="str">
        <f>MID(E740,1,1)</f>
        <v>7</v>
      </c>
      <c r="B740" t="str">
        <f>MID(E740,3,1)</f>
        <v>4</v>
      </c>
      <c r="C740" s="114" t="str">
        <f>MID(E740,5,2)</f>
        <v>3</v>
      </c>
      <c r="D740" s="495" t="s">
        <v>125</v>
      </c>
      <c r="E740" s="495" t="s">
        <v>1235</v>
      </c>
      <c r="F740" s="496" t="str">
        <f>VLOOKUP(E740,'5.2 Actions'!$A$3:$B$720,2,0)</f>
        <v>Modifier le Code bruxellois de l'Air, du Climat et de la Maîtrise de l'Energie</v>
      </c>
      <c r="G740" s="496"/>
      <c r="H740" s="498">
        <f>VLOOKUP(E740,'5.2 Actions'!$A$3:$D$720,4,0)</f>
        <v>0</v>
      </c>
      <c r="I740" s="497">
        <v>0</v>
      </c>
    </row>
    <row r="741" spans="1:9" hidden="1" outlineLevel="2" x14ac:dyDescent="0.25">
      <c r="A741" s="114" t="str">
        <f>MID(E741,1,1)</f>
        <v>7</v>
      </c>
      <c r="B741" t="str">
        <f>MID(E741,3,1)</f>
        <v>4</v>
      </c>
      <c r="C741" s="114" t="str">
        <f>MID(E741,5,2)</f>
        <v>4</v>
      </c>
      <c r="D741" s="495" t="s">
        <v>125</v>
      </c>
      <c r="E741" s="495" t="s">
        <v>1236</v>
      </c>
      <c r="F741" s="496" t="str">
        <f>VLOOKUP(E741,'5.2 Actions'!$A$3:$B$720,2,0)</f>
        <v xml:space="preserve">Appliquer la législation révisée et complétée à la </v>
      </c>
      <c r="G741" s="496"/>
      <c r="H741" s="498">
        <f>VLOOKUP(E741,'5.2 Actions'!$A$3:$D$720,4,0)</f>
        <v>0</v>
      </c>
      <c r="I741" s="497">
        <v>58450</v>
      </c>
    </row>
    <row r="742" spans="1:9" s="494" customFormat="1" ht="28.5" hidden="1" outlineLevel="1" collapsed="1" x14ac:dyDescent="0.25">
      <c r="D742" s="500" t="s">
        <v>126</v>
      </c>
      <c r="E742" s="500"/>
      <c r="F742" s="501" t="str">
        <f>VLOOKUP(D742,'1. Mesures'!$A$2:$B$116,2,0)</f>
        <v>Promouvoir, auprès des consommateurs non-domestiques, les comportements et équipements économes en eau ainsi que le recours à un approvisionnement en eau alternatif</v>
      </c>
      <c r="G742" s="501"/>
      <c r="H742" s="503"/>
      <c r="I742" s="502">
        <f>SUBTOTAL(9,I743:I750)</f>
        <v>0</v>
      </c>
    </row>
    <row r="743" spans="1:9" hidden="1" outlineLevel="2" x14ac:dyDescent="0.25">
      <c r="A743" s="114" t="str">
        <f t="shared" ref="A743:A750" si="135">MID(E743,1,1)</f>
        <v>7</v>
      </c>
      <c r="B743" t="str">
        <f t="shared" ref="B743:B750" si="136">MID(E743,3,1)</f>
        <v>5</v>
      </c>
      <c r="C743" s="114" t="str">
        <f t="shared" ref="C743:C750" si="137">MID(E743,5,2)</f>
        <v>1</v>
      </c>
      <c r="D743" s="495" t="s">
        <v>126</v>
      </c>
      <c r="E743" s="495" t="s">
        <v>1237</v>
      </c>
      <c r="F743" s="496" t="str">
        <f>VLOOKUP(E743,'5.2 Actions'!$A$3:$B$720,2,0)</f>
        <v>Actualiser, regrouper et améliorer le matériel et contenu existants relatifs aux bonnes pratiques, selon les secteurs cibles</v>
      </c>
      <c r="G743" s="496"/>
      <c r="H743" s="498">
        <f>VLOOKUP(E743,'5.2 Actions'!$A$3:$D$720,4,0)</f>
        <v>0</v>
      </c>
      <c r="I743" s="497">
        <v>0</v>
      </c>
    </row>
    <row r="744" spans="1:9" hidden="1" outlineLevel="2" x14ac:dyDescent="0.25">
      <c r="A744" s="114" t="str">
        <f t="shared" si="135"/>
        <v>7</v>
      </c>
      <c r="B744" t="str">
        <f t="shared" si="136"/>
        <v>5</v>
      </c>
      <c r="C744" s="114" t="str">
        <f t="shared" si="137"/>
        <v>2</v>
      </c>
      <c r="D744" s="495" t="s">
        <v>126</v>
      </c>
      <c r="E744" s="495" t="s">
        <v>1238</v>
      </c>
      <c r="F744" s="496" t="str">
        <f>VLOOKUP(E744,'5.2 Actions'!$A$3:$B$720,2,0)</f>
        <v>Optimaliser la promotion de ce matériel et contenu</v>
      </c>
      <c r="G744" s="496"/>
      <c r="H744" s="498">
        <f>VLOOKUP(E744,'5.2 Actions'!$A$3:$D$720,4,0)</f>
        <v>0</v>
      </c>
      <c r="I744" s="497">
        <v>0</v>
      </c>
    </row>
    <row r="745" spans="1:9" hidden="1" outlineLevel="2" x14ac:dyDescent="0.25">
      <c r="A745" s="114" t="str">
        <f t="shared" si="135"/>
        <v>7</v>
      </c>
      <c r="B745" t="str">
        <f t="shared" si="136"/>
        <v>5</v>
      </c>
      <c r="C745" s="114" t="str">
        <f t="shared" si="137"/>
        <v>3</v>
      </c>
      <c r="D745" s="495" t="s">
        <v>126</v>
      </c>
      <c r="E745" s="495" t="s">
        <v>1239</v>
      </c>
      <c r="F745" s="496" t="str">
        <f>VLOOKUP(E745,'5.2 Actions'!$A$3:$B$720,2,0)</f>
        <v>Préparer des contenus, matériels, et formats adaptés, sur base des retours d’expérience</v>
      </c>
      <c r="G745" s="496"/>
      <c r="H745" s="498">
        <f>VLOOKUP(E745,'5.2 Actions'!$A$3:$D$720,4,0)</f>
        <v>0</v>
      </c>
      <c r="I745" s="497">
        <v>0</v>
      </c>
    </row>
    <row r="746" spans="1:9" hidden="1" outlineLevel="2" x14ac:dyDescent="0.25">
      <c r="A746" s="114" t="str">
        <f t="shared" si="135"/>
        <v>7</v>
      </c>
      <c r="B746" t="str">
        <f t="shared" si="136"/>
        <v>5</v>
      </c>
      <c r="C746" s="114" t="str">
        <f t="shared" si="137"/>
        <v>4</v>
      </c>
      <c r="D746" s="495" t="s">
        <v>126</v>
      </c>
      <c r="E746" s="495" t="s">
        <v>1240</v>
      </c>
      <c r="F746" s="496" t="str">
        <f>VLOOKUP(E746,'5.2 Actions'!$A$3:$B$720,2,0)</f>
        <v>Veiller à un partage large de ces recommandations concrètes</v>
      </c>
      <c r="G746" s="496"/>
      <c r="H746" s="498">
        <f>VLOOKUP(E746,'5.2 Actions'!$A$3:$D$720,4,0)</f>
        <v>0</v>
      </c>
      <c r="I746" s="497">
        <v>0</v>
      </c>
    </row>
    <row r="747" spans="1:9" ht="30" hidden="1" outlineLevel="2" x14ac:dyDescent="0.25">
      <c r="A747" s="114" t="str">
        <f t="shared" si="135"/>
        <v>7</v>
      </c>
      <c r="B747" t="str">
        <f t="shared" si="136"/>
        <v>5</v>
      </c>
      <c r="C747" s="114" t="str">
        <f t="shared" si="137"/>
        <v>5</v>
      </c>
      <c r="D747" s="495" t="s">
        <v>126</v>
      </c>
      <c r="E747" s="495" t="s">
        <v>1241</v>
      </c>
      <c r="F747" s="496" t="str">
        <f>VLOOKUP(E747,'5.2 Actions'!$A$3:$B$720,2,0)</f>
        <v>Diffuser plus largement le  matériel existant à destination des écoles, le développer et soutenir les associations travaillant sur la thématique de l’utilisation rationnelle d’eau dans ce secteur.</v>
      </c>
      <c r="G747" s="496"/>
      <c r="H747" s="498">
        <f>VLOOKUP(E747,'5.2 Actions'!$A$3:$D$720,4,0)</f>
        <v>0</v>
      </c>
      <c r="I747" s="497">
        <v>250000</v>
      </c>
    </row>
    <row r="748" spans="1:9" ht="30" hidden="1" outlineLevel="2" x14ac:dyDescent="0.25">
      <c r="A748" s="114" t="str">
        <f t="shared" si="135"/>
        <v>7</v>
      </c>
      <c r="B748" t="str">
        <f t="shared" si="136"/>
        <v>5</v>
      </c>
      <c r="C748" s="114" t="str">
        <f t="shared" si="137"/>
        <v>6</v>
      </c>
      <c r="D748" s="495" t="s">
        <v>126</v>
      </c>
      <c r="E748" s="495" t="s">
        <v>1242</v>
      </c>
      <c r="F748" s="496" t="str">
        <f>VLOOKUP(E748,'5.2 Actions'!$A$3:$B$720,2,0)</f>
        <v>Placer des compteurs « col de cygne » dans les communes partenaires pour identifier les consommations d’eau de certaines activités (marchés, …) en vue de chercher des approvisionnements alternatifs</v>
      </c>
      <c r="G748" s="496"/>
      <c r="H748" s="498">
        <f>VLOOKUP(E748,'5.2 Actions'!$A$3:$D$720,4,0)</f>
        <v>0</v>
      </c>
      <c r="I748" s="497">
        <v>0</v>
      </c>
    </row>
    <row r="749" spans="1:9" hidden="1" outlineLevel="2" x14ac:dyDescent="0.25">
      <c r="A749" s="114" t="str">
        <f t="shared" si="135"/>
        <v>7</v>
      </c>
      <c r="B749" t="str">
        <f t="shared" si="136"/>
        <v>5</v>
      </c>
      <c r="C749" s="114" t="str">
        <f t="shared" si="137"/>
        <v>7</v>
      </c>
      <c r="D749" s="495" t="s">
        <v>126</v>
      </c>
      <c r="E749" s="495" t="s">
        <v>1243</v>
      </c>
      <c r="F749" s="496" t="str">
        <f>VLOOKUP(E749,'5.2 Actions'!$A$3:$B$720,2,0)</f>
        <v>Assurer un suivi systématique des consommations d’eau dans les potagers gérés par Bruxelles Environnement</v>
      </c>
      <c r="G749" s="496"/>
      <c r="H749" s="498">
        <f>VLOOKUP(E749,'5.2 Actions'!$A$3:$D$720,4,0)</f>
        <v>0</v>
      </c>
      <c r="I749" s="497">
        <v>0</v>
      </c>
    </row>
    <row r="750" spans="1:9" ht="30" hidden="1" outlineLevel="2" x14ac:dyDescent="0.25">
      <c r="A750" s="114" t="str">
        <f t="shared" si="135"/>
        <v>7</v>
      </c>
      <c r="B750" t="str">
        <f t="shared" si="136"/>
        <v>5</v>
      </c>
      <c r="C750" s="114" t="str">
        <f t="shared" si="137"/>
        <v>8</v>
      </c>
      <c r="D750" s="495" t="s">
        <v>126</v>
      </c>
      <c r="E750" s="495" t="s">
        <v>1244</v>
      </c>
      <c r="F750" s="496" t="str">
        <f>VLOOKUP(E750,'5.2 Actions'!$A$3:$B$720,2,0)</f>
        <v>Mettre en place en partenariat avec notamment les universités (écoles d’été), centre agro-écologique et FédéAU des formations sur l’utilisation rationnelle d’eau et bonnes pratiques agricoles (agro-écologiques,…) </v>
      </c>
      <c r="G750" s="496"/>
      <c r="H750" s="498">
        <f>VLOOKUP(E750,'5.2 Actions'!$A$3:$D$720,4,0)</f>
        <v>0</v>
      </c>
      <c r="I750" s="497">
        <v>0</v>
      </c>
    </row>
    <row r="751" spans="1:9" s="494" customFormat="1" hidden="1" outlineLevel="1" collapsed="1" x14ac:dyDescent="0.25">
      <c r="D751" s="500" t="s">
        <v>127</v>
      </c>
      <c r="E751" s="500"/>
      <c r="F751" s="501" t="str">
        <f>VLOOKUP(D751,'1. Mesures'!$A$2:$B$116,2,0)</f>
        <v xml:space="preserve">Encadrer et valoriser l'eau issue des rabattements de nappe </v>
      </c>
      <c r="G751" s="501"/>
      <c r="H751" s="503"/>
      <c r="I751" s="502">
        <f>SUBTOTAL(9,I752:I757)</f>
        <v>0</v>
      </c>
    </row>
    <row r="752" spans="1:9" hidden="1" outlineLevel="2" x14ac:dyDescent="0.25">
      <c r="A752" s="114" t="str">
        <f t="shared" ref="A752:A757" si="138">MID(E752,1,1)</f>
        <v>7</v>
      </c>
      <c r="B752" t="str">
        <f t="shared" ref="B752:B757" si="139">MID(E752,3,1)</f>
        <v>6</v>
      </c>
      <c r="C752" s="114" t="str">
        <f t="shared" ref="C752:C757" si="140">MID(E752,5,2)</f>
        <v>1</v>
      </c>
      <c r="D752" s="495" t="s">
        <v>127</v>
      </c>
      <c r="E752" s="495" t="s">
        <v>1245</v>
      </c>
      <c r="F752" s="496" t="str">
        <f>VLOOKUP(E752,'5.2 Actions'!$A$3:$B$720,2,0)</f>
        <v xml:space="preserve">Mettre en place un mécanisme financier incitatif à la valorisation des eaux de rabattement (telle une redevance ‘assainissement’ spécifique) </v>
      </c>
      <c r="G752" s="496"/>
      <c r="H752" s="498">
        <f>VLOOKUP(E752,'5.2 Actions'!$A$3:$D$720,4,0)</f>
        <v>0</v>
      </c>
      <c r="I752" s="497">
        <v>0</v>
      </c>
    </row>
    <row r="753" spans="1:9" hidden="1" outlineLevel="2" x14ac:dyDescent="0.25">
      <c r="A753" s="114" t="str">
        <f t="shared" si="138"/>
        <v>7</v>
      </c>
      <c r="B753" t="str">
        <f t="shared" si="139"/>
        <v>6</v>
      </c>
      <c r="C753" s="114" t="str">
        <f t="shared" si="140"/>
        <v>2</v>
      </c>
      <c r="D753" s="495" t="s">
        <v>127</v>
      </c>
      <c r="E753" s="495" t="s">
        <v>1246</v>
      </c>
      <c r="F753" s="496" t="str">
        <f>VLOOKUP(E753,'5.2 Actions'!$A$3:$B$720,2,0)</f>
        <v>Sensibiliser/informer les exploitants de chantier à la valorisation des eaux issues des rabattements de nappe</v>
      </c>
      <c r="G753" s="496"/>
      <c r="H753" s="498">
        <f>VLOOKUP(E753,'5.2 Actions'!$A$3:$D$720,4,0)</f>
        <v>0</v>
      </c>
      <c r="I753" s="497">
        <v>0</v>
      </c>
    </row>
    <row r="754" spans="1:9" ht="30" hidden="1" outlineLevel="2" x14ac:dyDescent="0.25">
      <c r="A754" s="114" t="str">
        <f t="shared" si="138"/>
        <v>7</v>
      </c>
      <c r="B754" t="str">
        <f t="shared" si="139"/>
        <v>6</v>
      </c>
      <c r="C754" s="114" t="str">
        <f t="shared" si="140"/>
        <v>3</v>
      </c>
      <c r="D754" s="495" t="s">
        <v>127</v>
      </c>
      <c r="E754" s="495" t="s">
        <v>1247</v>
      </c>
      <c r="F754" s="496" t="str">
        <f>VLOOKUP(E754,'5.2 Actions'!$A$3:$B$720,2,0)</f>
        <v>Prévoir des conditions spécifiques dans les autorisations de captage visant à encourager une valorisation des eaux de rabattements et encadrant cette valorisation.</v>
      </c>
      <c r="G754" s="496"/>
      <c r="H754" s="498">
        <f>VLOOKUP(E754,'5.2 Actions'!$A$3:$D$720,4,0)</f>
        <v>0</v>
      </c>
      <c r="I754" s="497">
        <v>0</v>
      </c>
    </row>
    <row r="755" spans="1:9" ht="75" hidden="1" outlineLevel="2" x14ac:dyDescent="0.25">
      <c r="A755" s="114" t="str">
        <f t="shared" si="138"/>
        <v>7</v>
      </c>
      <c r="B755" t="str">
        <f t="shared" si="139"/>
        <v>6</v>
      </c>
      <c r="C755" s="114" t="str">
        <f t="shared" si="140"/>
        <v>4</v>
      </c>
      <c r="D755" s="495" t="s">
        <v>127</v>
      </c>
      <c r="E755" s="495" t="s">
        <v>1248</v>
      </c>
      <c r="F755" s="496" t="str">
        <f>VLOOKUP(E755,'5.2 Actions'!$A$3:$B$720,2,0)</f>
        <v xml:space="preserve">Lever les éventuels freins pour le rejet des eaux de rabattement vers le réseau hydrographique :
- Faire évoluer les procédures permettant une valorisation de l’eau issue de rabattement temporaires et permanents en eau de surface ;
- Assurer la cohérence entre les  normes de qualité des eaux de surface avec celles des eaux du sol en cas de rabattement effectué dans le cadre d’un assainissement de sol pollué ;
- Prévoir ensuite les conditions spécifiques en cas de de rejet direct dans le réseau hydrographique (respect des berges et des normes de rejet) </v>
      </c>
      <c r="G755" s="496"/>
      <c r="H755" s="498">
        <f>VLOOKUP(E755,'5.2 Actions'!$A$3:$D$720,4,0)</f>
        <v>0</v>
      </c>
      <c r="I755" s="497">
        <v>0</v>
      </c>
    </row>
    <row r="756" spans="1:9" ht="30" hidden="1" outlineLevel="2" x14ac:dyDescent="0.25">
      <c r="A756" s="114" t="str">
        <f t="shared" si="138"/>
        <v>7</v>
      </c>
      <c r="B756" t="str">
        <f t="shared" si="139"/>
        <v>6</v>
      </c>
      <c r="C756" s="114" t="str">
        <f t="shared" si="140"/>
        <v>5</v>
      </c>
      <c r="D756" s="495" t="s">
        <v>127</v>
      </c>
      <c r="E756" s="495" t="s">
        <v>1249</v>
      </c>
      <c r="F756" s="496" t="str">
        <f>VLOOKUP(E756,'5.2 Actions'!$A$3:$B$720,2,0)</f>
        <v>Envisager une clause particulière dans les marchés publics de travaux des autorités publiques impliquant un rabattement de nappe afin de valoriser les eaux de rabattement et assurer un rôle d’exemplarité(*)</v>
      </c>
      <c r="G756" s="496"/>
      <c r="H756" s="498">
        <f>VLOOKUP(E756,'5.2 Actions'!$A$3:$D$720,4,0)</f>
        <v>0</v>
      </c>
      <c r="I756" s="497">
        <v>0</v>
      </c>
    </row>
    <row r="757" spans="1:9" hidden="1" outlineLevel="2" x14ac:dyDescent="0.25">
      <c r="A757" s="114" t="str">
        <f t="shared" si="138"/>
        <v>7</v>
      </c>
      <c r="B757" t="str">
        <f t="shared" si="139"/>
        <v>6</v>
      </c>
      <c r="C757" s="114" t="str">
        <f t="shared" si="140"/>
        <v>A</v>
      </c>
      <c r="D757" s="495" t="s">
        <v>127</v>
      </c>
      <c r="E757" s="495" t="s">
        <v>1250</v>
      </c>
      <c r="F757" s="496" t="str">
        <f>VLOOKUP(E757,'5.2 Actions'!$A$3:$B$720,2,0)</f>
        <v xml:space="preserve">Sensibiliser et/ou soutenir les projets d’innovation visant à valoriser les eaux issues des rabattements de nappe (cf. aussi M 8.5) </v>
      </c>
      <c r="G757" s="496"/>
      <c r="H757" s="498">
        <f>VLOOKUP(E757,'5.2 Actions'!$A$3:$D$720,4,0)</f>
        <v>0</v>
      </c>
      <c r="I757" s="497">
        <v>300000</v>
      </c>
    </row>
    <row r="758" spans="1:9" s="494" customFormat="1" hidden="1" outlineLevel="1" collapsed="1" x14ac:dyDescent="0.25">
      <c r="D758" s="500" t="s">
        <v>128</v>
      </c>
      <c r="E758" s="500"/>
      <c r="F758" s="501" t="str">
        <f>VLOOKUP(D758,'1. Mesures'!$A$2:$B$116,2,0)</f>
        <v>Encadrer et développer la réutilisation d'eaux de « deuxième circuit »  ("re-use")</v>
      </c>
      <c r="G758" s="501"/>
      <c r="H758" s="503"/>
      <c r="I758" s="502">
        <f>SUBTOTAL(9,I759:I761)</f>
        <v>0</v>
      </c>
    </row>
    <row r="759" spans="1:9" hidden="1" outlineLevel="2" x14ac:dyDescent="0.25">
      <c r="A759" s="114" t="str">
        <f>MID(E759,1,1)</f>
        <v>7</v>
      </c>
      <c r="B759" t="str">
        <f>MID(E759,3,1)</f>
        <v>7</v>
      </c>
      <c r="C759" s="114" t="str">
        <f>MID(E759,5,2)</f>
        <v>1</v>
      </c>
      <c r="D759" s="495" t="s">
        <v>128</v>
      </c>
      <c r="E759" s="495" t="s">
        <v>1251</v>
      </c>
      <c r="F759" s="496" t="str">
        <f>VLOOKUP(E759,'5.2 Actions'!$A$3:$B$720,2,0)</f>
        <v>Mise en place d’une installation pilote d’eau de "re-use" industrielle</v>
      </c>
      <c r="G759" s="496"/>
      <c r="H759" s="498">
        <f>VLOOKUP(E759,'5.2 Actions'!$A$3:$D$720,4,0)</f>
        <v>0</v>
      </c>
      <c r="I759" s="497">
        <v>500000</v>
      </c>
    </row>
    <row r="760" spans="1:9" hidden="1" outlineLevel="2" x14ac:dyDescent="0.25">
      <c r="A760" s="114" t="str">
        <f>MID(E760,1,1)</f>
        <v>7</v>
      </c>
      <c r="B760" t="str">
        <f>MID(E760,3,1)</f>
        <v>7</v>
      </c>
      <c r="C760" s="114" t="str">
        <f>MID(E760,5,2)</f>
        <v>2</v>
      </c>
      <c r="D760" s="495" t="s">
        <v>128</v>
      </c>
      <c r="E760" s="495" t="s">
        <v>1252</v>
      </c>
      <c r="F760" s="496" t="str">
        <f>VLOOKUP(E760,'5.2 Actions'!$A$3:$B$720,2,0)</f>
        <v xml:space="preserve">Adoption d’un arrêté spécifique à la réutilisation de l’eau de 2ème circuit (water reuse) </v>
      </c>
      <c r="G760" s="496"/>
      <c r="H760" s="498">
        <f>VLOOKUP(E760,'5.2 Actions'!$A$3:$D$720,4,0)</f>
        <v>0</v>
      </c>
      <c r="I760" s="497">
        <v>0</v>
      </c>
    </row>
    <row r="761" spans="1:9" hidden="1" outlineLevel="2" x14ac:dyDescent="0.25">
      <c r="A761" s="114" t="str">
        <f>MID(E761,1,1)</f>
        <v>7</v>
      </c>
      <c r="B761" t="str">
        <f>MID(E761,3,1)</f>
        <v>7</v>
      </c>
      <c r="C761" s="114" t="str">
        <f>MID(E761,5,2)</f>
        <v>3</v>
      </c>
      <c r="D761" s="495" t="s">
        <v>128</v>
      </c>
      <c r="E761" s="495" t="s">
        <v>1253</v>
      </c>
      <c r="F761" s="496" t="str">
        <f>VLOOKUP(E761,'5.2 Actions'!$A$3:$B$720,2,0)</f>
        <v>Encourager le développement et le recours à l’eau de "re-use"</v>
      </c>
      <c r="G761" s="496"/>
      <c r="H761" s="498">
        <f>VLOOKUP(E761,'5.2 Actions'!$A$3:$D$720,4,0)</f>
        <v>0</v>
      </c>
      <c r="I761" s="497">
        <v>0</v>
      </c>
    </row>
    <row r="762" spans="1:9" s="494" customFormat="1" hidden="1" outlineLevel="1" collapsed="1" x14ac:dyDescent="0.25">
      <c r="D762" s="500" t="s">
        <v>129</v>
      </c>
      <c r="E762" s="500"/>
      <c r="F762" s="501" t="str">
        <f>VLOOKUP(D762,'1. Mesures'!$A$2:$B$116,2,0)</f>
        <v>Encadrer et réglementer l’usage des eaux provenant de sources</v>
      </c>
      <c r="G762" s="501"/>
      <c r="H762" s="503"/>
      <c r="I762" s="502">
        <f>SUBTOTAL(9,I763:I764)</f>
        <v>0</v>
      </c>
    </row>
    <row r="763" spans="1:9" hidden="1" outlineLevel="2" x14ac:dyDescent="0.25">
      <c r="A763" s="114" t="str">
        <f>MID(E763,1,1)</f>
        <v>7</v>
      </c>
      <c r="B763" t="str">
        <f>MID(E763,3,1)</f>
        <v>8</v>
      </c>
      <c r="C763" s="114" t="str">
        <f>MID(E763,5,2)</f>
        <v>1</v>
      </c>
      <c r="D763" s="495" t="s">
        <v>129</v>
      </c>
      <c r="E763" s="495" t="s">
        <v>1254</v>
      </c>
      <c r="F763" s="496" t="str">
        <f>VLOOKUP(E763,'5.2 Actions'!$A$3:$B$720,2,0)</f>
        <v>Déterminer les usages qui peuvent être faits des sources inventoriées en fonction de leur productivité et de la qualité des eaux</v>
      </c>
      <c r="G763" s="496"/>
      <c r="H763" s="498">
        <f>VLOOKUP(E763,'5.2 Actions'!$A$3:$D$720,4,0)</f>
        <v>0</v>
      </c>
      <c r="I763" s="497">
        <v>0</v>
      </c>
    </row>
    <row r="764" spans="1:9" hidden="1" outlineLevel="2" x14ac:dyDescent="0.25">
      <c r="A764" s="114" t="str">
        <f>MID(E764,1,1)</f>
        <v>7</v>
      </c>
      <c r="B764" t="str">
        <f>MID(E764,3,1)</f>
        <v>8</v>
      </c>
      <c r="C764" s="114" t="str">
        <f>MID(E764,5,2)</f>
        <v>2</v>
      </c>
      <c r="D764" s="495" t="s">
        <v>129</v>
      </c>
      <c r="E764" s="495" t="s">
        <v>1255</v>
      </c>
      <c r="F764" s="496" t="str">
        <f>VLOOKUP(E764,'5.2 Actions'!$A$3:$B$720,2,0)</f>
        <v>Mettre en place une signalétique adéquate en fonction des usages autorisés, lorsque l’usage de l’eau est autorisé.</v>
      </c>
      <c r="G764" s="496"/>
      <c r="H764" s="498">
        <f>VLOOKUP(E764,'5.2 Actions'!$A$3:$D$720,4,0)</f>
        <v>0</v>
      </c>
      <c r="I764" s="497">
        <v>0</v>
      </c>
    </row>
    <row r="765" spans="1:9" s="494" customFormat="1" hidden="1" outlineLevel="1" collapsed="1" x14ac:dyDescent="0.25">
      <c r="D765" s="500" t="s">
        <v>130</v>
      </c>
      <c r="E765" s="500"/>
      <c r="F765" s="501" t="str">
        <f>VLOOKUP(D765,'1. Mesures'!$A$2:$B$116,2,0)</f>
        <v>Adapter le cadre juridico-technique relatif aux systèmes géothermiques</v>
      </c>
      <c r="G765" s="501"/>
      <c r="H765" s="503"/>
      <c r="I765" s="502">
        <f>SUBTOTAL(9,I766:I768)</f>
        <v>0</v>
      </c>
    </row>
    <row r="766" spans="1:9" hidden="1" outlineLevel="2" x14ac:dyDescent="0.25">
      <c r="A766" s="114" t="str">
        <f>MID(E766,1,1)</f>
        <v>7</v>
      </c>
      <c r="B766" t="str">
        <f>MID(E766,3,1)</f>
        <v>9</v>
      </c>
      <c r="C766" s="114" t="str">
        <f>MID(E766,5,2)</f>
        <v>1</v>
      </c>
      <c r="D766" s="495" t="s">
        <v>130</v>
      </c>
      <c r="E766" s="495" t="s">
        <v>1256</v>
      </c>
      <c r="F766" s="496" t="str">
        <f>VLOOKUP(E766,'5.2 Actions'!$A$3:$B$720,2,0)</f>
        <v>Consultation des experts et du secteur sur la règlementation à mettre en place pour les systèmes géothermiques fermés</v>
      </c>
      <c r="G766" s="496"/>
      <c r="H766" s="498">
        <f>VLOOKUP(E766,'5.2 Actions'!$A$3:$D$720,4,0)</f>
        <v>0</v>
      </c>
      <c r="I766" s="497">
        <v>0</v>
      </c>
    </row>
    <row r="767" spans="1:9" hidden="1" outlineLevel="2" x14ac:dyDescent="0.25">
      <c r="A767" s="114" t="str">
        <f>MID(E767,1,1)</f>
        <v>7</v>
      </c>
      <c r="B767" t="str">
        <f>MID(E767,3,1)</f>
        <v>9</v>
      </c>
      <c r="C767" s="114" t="str">
        <f>MID(E767,5,2)</f>
        <v>2</v>
      </c>
      <c r="D767" s="495" t="s">
        <v>130</v>
      </c>
      <c r="E767" s="495" t="s">
        <v>1257</v>
      </c>
      <c r="F767" s="496" t="str">
        <f>VLOOKUP(E767,'5.2 Actions'!$A$3:$B$720,2,0)</f>
        <v xml:space="preserve"> Rédaction d’un arrêté relatif aux systèmes géothermiques fermés</v>
      </c>
      <c r="G767" s="496"/>
      <c r="H767" s="498">
        <f>VLOOKUP(E767,'5.2 Actions'!$A$3:$D$720,4,0)</f>
        <v>0</v>
      </c>
      <c r="I767" s="497">
        <v>0</v>
      </c>
    </row>
    <row r="768" spans="1:9" hidden="1" outlineLevel="2" x14ac:dyDescent="0.25">
      <c r="A768" s="114" t="str">
        <f>MID(E768,1,1)</f>
        <v>7</v>
      </c>
      <c r="B768" t="str">
        <f>MID(E768,3,1)</f>
        <v>9</v>
      </c>
      <c r="C768" s="114" t="str">
        <f>MID(E768,5,2)</f>
        <v>3</v>
      </c>
      <c r="D768" s="495" t="s">
        <v>130</v>
      </c>
      <c r="E768" s="495" t="s">
        <v>1258</v>
      </c>
      <c r="F768" s="496" t="str">
        <f>VLOOKUP(E768,'5.2 Actions'!$A$3:$B$720,2,0)</f>
        <v>Adoption d’un arrêté déterminant des conditions-types pour les systèmes géothermiques fermés</v>
      </c>
      <c r="G768" s="496"/>
      <c r="H768" s="498">
        <f>VLOOKUP(E768,'5.2 Actions'!$A$3:$D$720,4,0)</f>
        <v>0</v>
      </c>
      <c r="I768" s="497">
        <v>0</v>
      </c>
    </row>
    <row r="769" spans="1:9" s="494" customFormat="1" hidden="1" outlineLevel="1" collapsed="1" x14ac:dyDescent="0.25">
      <c r="D769" s="500" t="s">
        <v>131</v>
      </c>
      <c r="E769" s="500"/>
      <c r="F769" s="501" t="str">
        <f>VLOOKUP(D769,'1. Mesures'!$A$2:$B$116,2,0)</f>
        <v>Régulariser l'ensemble des installations géothermiques soumises à permis d'environnement et les cartographier au sein d'un cadastre</v>
      </c>
      <c r="G769" s="501"/>
      <c r="H769" s="503"/>
      <c r="I769" s="502">
        <f>SUBTOTAL(9,I770:I772)</f>
        <v>0</v>
      </c>
    </row>
    <row r="770" spans="1:9" hidden="1" outlineLevel="2" x14ac:dyDescent="0.25">
      <c r="A770" s="114" t="str">
        <f>MID(E770,1,1)</f>
        <v>7</v>
      </c>
      <c r="B770" t="str">
        <f>MID(E770,3,2)</f>
        <v>10</v>
      </c>
      <c r="C770" s="114" t="str">
        <f>MID(E770,6,2)</f>
        <v>1</v>
      </c>
      <c r="D770" s="495" t="s">
        <v>131</v>
      </c>
      <c r="E770" s="495" t="s">
        <v>1212</v>
      </c>
      <c r="F770" s="496" t="str">
        <f>VLOOKUP(E770,'5.2 Actions'!$A$3:$B$720,2,0)</f>
        <v>Recensement des installations géothermiques en Région de Bruxelles-Capitale</v>
      </c>
      <c r="G770" s="496"/>
      <c r="H770" s="498">
        <f>VLOOKUP(E770,'5.2 Actions'!$A$3:$D$720,4,0)</f>
        <v>0</v>
      </c>
      <c r="I770" s="497">
        <v>0</v>
      </c>
    </row>
    <row r="771" spans="1:9" ht="30" hidden="1" outlineLevel="2" x14ac:dyDescent="0.25">
      <c r="A771" s="114" t="str">
        <f>MID(E771,1,1)</f>
        <v>7</v>
      </c>
      <c r="B771" t="str">
        <f>MID(E771,3,2)</f>
        <v>10</v>
      </c>
      <c r="C771" s="114" t="str">
        <f>MID(E771,6,2)</f>
        <v>2</v>
      </c>
      <c r="D771" s="495" t="s">
        <v>131</v>
      </c>
      <c r="E771" s="495" t="s">
        <v>1213</v>
      </c>
      <c r="F771" s="496" t="str">
        <f>VLOOKUP(E771,'5.2 Actions'!$A$3:$B$720,2,0)</f>
        <v>Régularisation des installations mises en service avant le 1er avril 2019 et n’ayant pas rempli une déclaration environnementale ne disposant pas d’un permis d’environnement pour exploiter</v>
      </c>
      <c r="G771" s="496"/>
      <c r="H771" s="498">
        <f>VLOOKUP(E771,'5.2 Actions'!$A$3:$D$720,4,0)</f>
        <v>0</v>
      </c>
      <c r="I771" s="497">
        <v>0</v>
      </c>
    </row>
    <row r="772" spans="1:9" hidden="1" outlineLevel="2" x14ac:dyDescent="0.25">
      <c r="A772" s="114" t="str">
        <f>MID(E772,1,1)</f>
        <v>7</v>
      </c>
      <c r="B772" t="str">
        <f>MID(E772,3,2)</f>
        <v>10</v>
      </c>
      <c r="C772" s="114" t="str">
        <f>MID(E772,6,2)</f>
        <v>3</v>
      </c>
      <c r="D772" s="495" t="s">
        <v>131</v>
      </c>
      <c r="E772" s="495" t="s">
        <v>1214</v>
      </c>
      <c r="F772" s="496" t="str">
        <f>VLOOKUP(E772,'5.2 Actions'!$A$3:$B$720,2,0)</f>
        <v>Mise à jour continue du cadastre des installations géothermiques</v>
      </c>
      <c r="G772" s="496"/>
      <c r="H772" s="498">
        <f>VLOOKUP(E772,'5.2 Actions'!$A$3:$D$720,4,0)</f>
        <v>0</v>
      </c>
      <c r="I772" s="497">
        <v>0</v>
      </c>
    </row>
    <row r="773" spans="1:9" s="494" customFormat="1" ht="28.5" hidden="1" outlineLevel="1" collapsed="1" x14ac:dyDescent="0.25">
      <c r="D773" s="500" t="s">
        <v>132</v>
      </c>
      <c r="E773" s="500"/>
      <c r="F773" s="501" t="str">
        <f>VLOOKUP(D773,'1. Mesures'!$A$2:$B$116,2,0)</f>
        <v>Informer les maitres d'ouvrage et maitres d'œuvre sur le potentiel géothermique et développer des outils numériques d'aide à l'analyse de faisabilité et au pré-dimensionnement d’installations géothermiques..</v>
      </c>
      <c r="G773" s="501"/>
      <c r="H773" s="503"/>
      <c r="I773" s="502">
        <f>SUBTOTAL(9,I774:I776)</f>
        <v>0</v>
      </c>
    </row>
    <row r="774" spans="1:9" hidden="1" outlineLevel="2" x14ac:dyDescent="0.25">
      <c r="A774" s="114" t="str">
        <f>MID(E774,1,1)</f>
        <v>7</v>
      </c>
      <c r="B774" t="str">
        <f>MID(E774,3,2)</f>
        <v>11</v>
      </c>
      <c r="C774" s="114" t="str">
        <f>MID(E774,6,2)</f>
        <v>1</v>
      </c>
      <c r="D774" s="495" t="s">
        <v>132</v>
      </c>
      <c r="E774" s="495" t="s">
        <v>1215</v>
      </c>
      <c r="F774" s="496" t="str">
        <f>VLOOKUP(E774,'5.2 Actions'!$A$3:$B$720,2,0)</f>
        <v>Procéder aux upgrades de BrugeoTool (v2+) – fonctionnalité « analyse géothermique »</v>
      </c>
      <c r="G774" s="496"/>
      <c r="H774" s="498">
        <f>VLOOKUP(E774,'5.2 Actions'!$A$3:$D$720,4,0)</f>
        <v>0</v>
      </c>
      <c r="I774" s="497">
        <v>0</v>
      </c>
    </row>
    <row r="775" spans="1:9" hidden="1" outlineLevel="2" x14ac:dyDescent="0.25">
      <c r="A775" s="114" t="str">
        <f>MID(E775,1,1)</f>
        <v>7</v>
      </c>
      <c r="B775" t="str">
        <f>MID(E775,3,2)</f>
        <v>11</v>
      </c>
      <c r="C775" s="114" t="str">
        <f>MID(E775,6,2)</f>
        <v>2</v>
      </c>
      <c r="D775" s="495" t="s">
        <v>132</v>
      </c>
      <c r="E775" s="495" t="s">
        <v>1216</v>
      </c>
      <c r="F775" s="496" t="str">
        <f>VLOOKUP(E775,'5.2 Actions'!$A$3:$B$720,2,0)</f>
        <v>Pérenniser le réseau institutionnel et académique bruxellois constitué d’experts en géothermie</v>
      </c>
      <c r="G775" s="496"/>
      <c r="H775" s="498">
        <f>VLOOKUP(E775,'5.2 Actions'!$A$3:$D$720,4,0)</f>
        <v>0</v>
      </c>
      <c r="I775" s="497">
        <v>0</v>
      </c>
    </row>
    <row r="776" spans="1:9" hidden="1" outlineLevel="2" x14ac:dyDescent="0.25">
      <c r="A776" s="114" t="str">
        <f>MID(E776,1,1)</f>
        <v>7</v>
      </c>
      <c r="B776" t="str">
        <f>MID(E776,3,2)</f>
        <v>11</v>
      </c>
      <c r="C776" s="114" t="str">
        <f>MID(E776,6,2)</f>
        <v>3</v>
      </c>
      <c r="D776" s="495" t="s">
        <v>132</v>
      </c>
      <c r="E776" s="495" t="s">
        <v>1217</v>
      </c>
      <c r="F776" s="496" t="str">
        <f>VLOOKUP(E776,'5.2 Actions'!$A$3:$B$720,2,0)</f>
        <v>Réaliser des missions de facilitation et de formations sur le thème de la géothermie</v>
      </c>
      <c r="G776" s="496"/>
      <c r="H776" s="498">
        <f>VLOOKUP(E776,'5.2 Actions'!$A$3:$D$720,4,0)</f>
        <v>0</v>
      </c>
      <c r="I776" s="497">
        <v>0</v>
      </c>
    </row>
    <row r="777" spans="1:9" s="494" customFormat="1" hidden="1" outlineLevel="1" collapsed="1" x14ac:dyDescent="0.25">
      <c r="D777" s="500" t="s">
        <v>133</v>
      </c>
      <c r="E777" s="500"/>
      <c r="F777" s="501" t="str">
        <f>VLOOKUP(D777,'1. Mesures'!$A$2:$B$116,2,0)</f>
        <v xml:space="preserve">Analyser la reproductibilité des projets pilotes mis en place visant à récupérer la chaleur à partir des eaux usées transitant dans le réseau d’égouttage </v>
      </c>
      <c r="G777" s="501"/>
      <c r="H777" s="503"/>
      <c r="I777" s="502">
        <f>SUBTOTAL(9,I778:I780)</f>
        <v>0</v>
      </c>
    </row>
    <row r="778" spans="1:9" hidden="1" outlineLevel="2" x14ac:dyDescent="0.25">
      <c r="A778" s="114" t="str">
        <f>MID(E778,1,1)</f>
        <v>7</v>
      </c>
      <c r="B778" t="str">
        <f>MID(E778,3,2)</f>
        <v>12</v>
      </c>
      <c r="C778" s="114" t="str">
        <f>MID(E778,6,2)</f>
        <v>1</v>
      </c>
      <c r="D778" s="495" t="s">
        <v>133</v>
      </c>
      <c r="E778" s="495" t="s">
        <v>1218</v>
      </c>
      <c r="F778" s="496" t="str">
        <f>VLOOKUP(E778,'5.2 Actions'!$A$3:$B$720,2,0)</f>
        <v>Assurer un monitoring du premier projet à Uccle afin de pouvoir évaluer les performances du système</v>
      </c>
      <c r="G778" s="496"/>
      <c r="H778" s="498">
        <f>VLOOKUP(E778,'5.2 Actions'!$A$3:$D$720,4,0)</f>
        <v>0</v>
      </c>
      <c r="I778" s="497">
        <v>30000</v>
      </c>
    </row>
    <row r="779" spans="1:9" ht="30" hidden="1" outlineLevel="2" x14ac:dyDescent="0.25">
      <c r="A779" s="114" t="str">
        <f>MID(E779,1,1)</f>
        <v>7</v>
      </c>
      <c r="B779" t="str">
        <f>MID(E779,3,2)</f>
        <v>12</v>
      </c>
      <c r="C779" s="114" t="str">
        <f>MID(E779,6,2)</f>
        <v>2</v>
      </c>
      <c r="D779" s="495" t="s">
        <v>133</v>
      </c>
      <c r="E779" s="495" t="s">
        <v>1219</v>
      </c>
      <c r="F779" s="496" t="str">
        <f>VLOOKUP(E779,'5.2 Actions'!$A$3:$B$720,2,0)</f>
        <v>Mise en œuvre d’un dispositif de riothermie pour le futur centre administratif de Bruxelles-Ville et assurer un monitoring de ce projet afin de pouvoir évaluer les performances du système</v>
      </c>
      <c r="G779" s="496"/>
      <c r="H779" s="498">
        <f>VLOOKUP(E779,'5.2 Actions'!$A$3:$D$720,4,0)</f>
        <v>0</v>
      </c>
      <c r="I779" s="497">
        <v>40000</v>
      </c>
    </row>
    <row r="780" spans="1:9" ht="30" hidden="1" outlineLevel="2" x14ac:dyDescent="0.25">
      <c r="A780" s="114" t="str">
        <f>MID(E780,1,1)</f>
        <v>7</v>
      </c>
      <c r="B780" t="str">
        <f>MID(E780,3,2)</f>
        <v>12</v>
      </c>
      <c r="C780" s="114" t="str">
        <f>MID(E780,6,2)</f>
        <v>3</v>
      </c>
      <c r="D780" s="495" t="s">
        <v>133</v>
      </c>
      <c r="E780" s="495" t="s">
        <v>1220</v>
      </c>
      <c r="F780" s="496" t="str">
        <f>VLOOKUP(E780,'5.2 Actions'!$A$3:$B$720,2,0)</f>
        <v>Assurer une veille technologique et collaborer avec les bureaux d’études et maitres d’ouvrage intéressés afin de développer différents projets et déterminer les avantages et limites de cette technique</v>
      </c>
      <c r="G780" s="496"/>
      <c r="H780" s="498">
        <f>VLOOKUP(E780,'5.2 Actions'!$A$3:$D$720,4,0)</f>
        <v>0</v>
      </c>
      <c r="I780" s="497">
        <v>55000</v>
      </c>
    </row>
    <row r="781" spans="1:9" s="494" customFormat="1" hidden="1" outlineLevel="1" collapsed="1" x14ac:dyDescent="0.25">
      <c r="D781" s="500" t="s">
        <v>134</v>
      </c>
      <c r="E781" s="500"/>
      <c r="F781" s="501" t="str">
        <f>VLOOKUP(D781,'1. Mesures'!$A$2:$B$116,2,0)</f>
        <v>Assurer et renforcer la coordination internationale au niveau du district hydrographique international de l'Escaut</v>
      </c>
      <c r="G781" s="501"/>
      <c r="H781" s="503"/>
      <c r="I781" s="502">
        <f>SUBTOTAL(9,I782:I783)</f>
        <v>0</v>
      </c>
    </row>
    <row r="782" spans="1:9" hidden="1" outlineLevel="2" x14ac:dyDescent="0.25">
      <c r="A782" s="114" t="str">
        <f>MID(E782,1,1)</f>
        <v>8</v>
      </c>
      <c r="B782" t="str">
        <f>MID(E782,3,1)</f>
        <v>1</v>
      </c>
      <c r="C782" s="114" t="str">
        <f>MID(E782,5,2)</f>
        <v>1</v>
      </c>
      <c r="D782" s="495" t="s">
        <v>134</v>
      </c>
      <c r="E782" s="495" t="s">
        <v>1259</v>
      </c>
      <c r="F782" s="496" t="str">
        <f>VLOOKUP(E782,'5.2 Actions'!$A$3:$B$720,2,0)</f>
        <v xml:space="preserve">Rédaction coordonnée et concertée du plan faîtier </v>
      </c>
      <c r="G782" s="496"/>
      <c r="H782" s="498">
        <f>VLOOKUP(E782,'5.2 Actions'!$A$3:$D$720,4,0)</f>
        <v>0</v>
      </c>
      <c r="I782" s="497">
        <v>0</v>
      </c>
    </row>
    <row r="783" spans="1:9" hidden="1" outlineLevel="2" x14ac:dyDescent="0.25">
      <c r="A783" s="114" t="str">
        <f>MID(E783,1,1)</f>
        <v>8</v>
      </c>
      <c r="B783" t="str">
        <f>MID(E783,3,1)</f>
        <v>1</v>
      </c>
      <c r="C783" s="114" t="str">
        <f>MID(E783,5,2)</f>
        <v>2</v>
      </c>
      <c r="D783" s="495" t="s">
        <v>134</v>
      </c>
      <c r="E783" s="495" t="s">
        <v>1260</v>
      </c>
      <c r="F783" s="496" t="str">
        <f>VLOOKUP(E783,'5.2 Actions'!$A$3:$B$720,2,0)</f>
        <v>Coordination et partage d’informations entre les Etats membres du DHI de l’Escaut</v>
      </c>
      <c r="G783" s="496"/>
      <c r="H783" s="498">
        <f>VLOOKUP(E783,'5.2 Actions'!$A$3:$D$720,4,0)</f>
        <v>0</v>
      </c>
      <c r="I783" s="497">
        <v>0</v>
      </c>
    </row>
    <row r="784" spans="1:9" s="494" customFormat="1" hidden="1" outlineLevel="1" collapsed="1" x14ac:dyDescent="0.25">
      <c r="D784" s="500" t="s">
        <v>135</v>
      </c>
      <c r="E784" s="500"/>
      <c r="F784" s="501" t="str">
        <f>VLOOKUP(D784,'1. Mesures'!$A$2:$B$116,2,0)</f>
        <v>Assurer une coordination interrégionale pour la gestion des masses d'eau transrégionales</v>
      </c>
      <c r="G784" s="501"/>
      <c r="H784" s="503"/>
      <c r="I784" s="502">
        <f>SUBTOTAL(9,I785:I789)</f>
        <v>0</v>
      </c>
    </row>
    <row r="785" spans="1:9" hidden="1" outlineLevel="2" x14ac:dyDescent="0.25">
      <c r="A785" s="114" t="str">
        <f>MID(E785,1,1)</f>
        <v>8</v>
      </c>
      <c r="B785" t="str">
        <f>MID(E785,3,1)</f>
        <v>2</v>
      </c>
      <c r="C785" s="114" t="str">
        <f>MID(E785,5,2)</f>
        <v>1</v>
      </c>
      <c r="D785" s="495" t="s">
        <v>135</v>
      </c>
      <c r="E785" s="495" t="s">
        <v>1261</v>
      </c>
      <c r="F785" s="496" t="str">
        <f>VLOOKUP(E785,'5.2 Actions'!$A$3:$B$720,2,0)</f>
        <v xml:space="preserve">Participer aux réunions CCPIE </v>
      </c>
      <c r="G785" s="496"/>
      <c r="H785" s="498">
        <f>VLOOKUP(E785,'5.2 Actions'!$A$3:$D$720,4,0)</f>
        <v>0</v>
      </c>
      <c r="I785" s="497">
        <v>0</v>
      </c>
    </row>
    <row r="786" spans="1:9" hidden="1" outlineLevel="2" x14ac:dyDescent="0.25">
      <c r="A786" s="114" t="str">
        <f>MID(E786,1,1)</f>
        <v>8</v>
      </c>
      <c r="B786" t="str">
        <f>MID(E786,3,1)</f>
        <v>2</v>
      </c>
      <c r="C786" s="114" t="str">
        <f>MID(E786,5,2)</f>
        <v>2</v>
      </c>
      <c r="D786" s="495" t="s">
        <v>135</v>
      </c>
      <c r="E786" s="495" t="s">
        <v>1262</v>
      </c>
      <c r="F786" s="496" t="str">
        <f>VLOOKUP(E786,'5.2 Actions'!$A$3:$B$720,2,0)</f>
        <v>Participer à la concertation transfrontière au niveau local (‘GOW’) (+- 1/an)</v>
      </c>
      <c r="G786" s="496"/>
      <c r="H786" s="498">
        <f>VLOOKUP(E786,'5.2 Actions'!$A$3:$D$720,4,0)</f>
        <v>0</v>
      </c>
      <c r="I786" s="497">
        <v>0</v>
      </c>
    </row>
    <row r="787" spans="1:9" hidden="1" outlineLevel="2" x14ac:dyDescent="0.25">
      <c r="A787" s="114" t="str">
        <f>MID(E787,1,1)</f>
        <v>8</v>
      </c>
      <c r="B787" t="str">
        <f>MID(E787,3,1)</f>
        <v>2</v>
      </c>
      <c r="C787" s="114" t="str">
        <f>MID(E787,5,2)</f>
        <v>3</v>
      </c>
      <c r="D787" s="495" t="s">
        <v>135</v>
      </c>
      <c r="E787" s="495" t="s">
        <v>1263</v>
      </c>
      <c r="F787" s="496" t="str">
        <f>VLOOKUP(E787,'5.2 Actions'!$A$3:$B$720,2,0)</f>
        <v>Mener à terme les actions bruxelloises inscrites dans le projet inter-régional LIFE Belini d’ici fin 2026 </v>
      </c>
      <c r="G787" s="496"/>
      <c r="H787" s="498">
        <f>VLOOKUP(E787,'5.2 Actions'!$A$3:$D$720,4,0)</f>
        <v>0</v>
      </c>
      <c r="I787" s="497">
        <v>0</v>
      </c>
    </row>
    <row r="788" spans="1:9" hidden="1" outlineLevel="2" x14ac:dyDescent="0.25">
      <c r="A788" s="114" t="str">
        <f>MID(E788,1,1)</f>
        <v>8</v>
      </c>
      <c r="B788" t="str">
        <f>MID(E788,3,1)</f>
        <v>2</v>
      </c>
      <c r="C788" s="114" t="str">
        <f>MID(E788,5,2)</f>
        <v>4</v>
      </c>
      <c r="D788" s="495" t="s">
        <v>135</v>
      </c>
      <c r="E788" s="495" t="s">
        <v>1264</v>
      </c>
      <c r="F788" s="496" t="str">
        <f>VLOOKUP(E788,'5.2 Actions'!$A$3:$B$720,2,0)</f>
        <v>Faciliter l'échange d'informations et en améliorer la transparence</v>
      </c>
      <c r="G788" s="496"/>
      <c r="H788" s="498">
        <f>VLOOKUP(E788,'5.2 Actions'!$A$3:$D$720,4,0)</f>
        <v>0</v>
      </c>
      <c r="I788" s="497">
        <v>0</v>
      </c>
    </row>
    <row r="789" spans="1:9" hidden="1" outlineLevel="2" x14ac:dyDescent="0.25">
      <c r="A789" s="114" t="str">
        <f>MID(E789,1,1)</f>
        <v>8</v>
      </c>
      <c r="B789" t="str">
        <f>MID(E789,3,1)</f>
        <v>2</v>
      </c>
      <c r="C789" s="114" t="str">
        <f>MID(E789,5,2)</f>
        <v>5</v>
      </c>
      <c r="D789" s="495" t="s">
        <v>135</v>
      </c>
      <c r="E789" s="495" t="s">
        <v>1265</v>
      </c>
      <c r="F789" s="496" t="str">
        <f>VLOOKUP(E789,'5.2 Actions'!$A$3:$B$720,2,0)</f>
        <v>Poursuivre les échanges interrégionaux menant à une gestion coordonnée des voies navigables</v>
      </c>
      <c r="G789" s="496"/>
      <c r="H789" s="498">
        <f>VLOOKUP(E789,'5.2 Actions'!$A$3:$D$720,4,0)</f>
        <v>0</v>
      </c>
      <c r="I789" s="497">
        <v>0</v>
      </c>
    </row>
    <row r="790" spans="1:9" s="494" customFormat="1" hidden="1" outlineLevel="1" collapsed="1" x14ac:dyDescent="0.25">
      <c r="D790" s="500" t="s">
        <v>136</v>
      </c>
      <c r="E790" s="500"/>
      <c r="F790" s="501" t="str">
        <f>VLOOKUP(D790,'1. Mesures'!$A$2:$B$116,2,0)</f>
        <v xml:space="preserve">Assurer une gestion de l’eau cohérente et coordonnée au sein de la Région de Bruxelles-Capitale  (coordination intrarégionale) </v>
      </c>
      <c r="G790" s="501"/>
      <c r="H790" s="503"/>
      <c r="I790" s="502">
        <f>SUBTOTAL(9,I791:I797)</f>
        <v>0</v>
      </c>
    </row>
    <row r="791" spans="1:9" hidden="1" outlineLevel="2" x14ac:dyDescent="0.25">
      <c r="A791" s="114" t="str">
        <f t="shared" ref="A791:A797" si="141">MID(E791,1,1)</f>
        <v>8</v>
      </c>
      <c r="B791" t="str">
        <f t="shared" ref="B791:B797" si="142">MID(E791,3,1)</f>
        <v>3</v>
      </c>
      <c r="C791" s="114" t="str">
        <f t="shared" ref="C791:C797" si="143">MID(E791,5,2)</f>
        <v>1</v>
      </c>
      <c r="D791" s="495" t="s">
        <v>136</v>
      </c>
      <c r="E791" s="495" t="s">
        <v>1266</v>
      </c>
      <c r="F791" s="496" t="str">
        <f>VLOOKUP(E791,'5.2 Actions'!$A$3:$B$720,2,0)</f>
        <v>Coordonner les missions de service public des opérateurs et acteurs dans la mise en œuvre de la politique de l’eau.</v>
      </c>
      <c r="G791" s="496"/>
      <c r="H791" s="498">
        <f>VLOOKUP(E791,'5.2 Actions'!$A$3:$D$720,4,0)</f>
        <v>0</v>
      </c>
      <c r="I791" s="497">
        <v>600000</v>
      </c>
    </row>
    <row r="792" spans="1:9" hidden="1" outlineLevel="2" x14ac:dyDescent="0.25">
      <c r="A792" s="114" t="str">
        <f t="shared" si="141"/>
        <v>8</v>
      </c>
      <c r="B792" t="str">
        <f t="shared" si="142"/>
        <v>3</v>
      </c>
      <c r="C792" s="114" t="str">
        <f t="shared" si="143"/>
        <v>2</v>
      </c>
      <c r="D792" s="495" t="s">
        <v>136</v>
      </c>
      <c r="E792" s="495" t="s">
        <v>1267</v>
      </c>
      <c r="F792" s="496" t="str">
        <f>VLOOKUP(E792,'5.2 Actions'!$A$3:$B$720,2,0)</f>
        <v>Renforcer la coordination thématique au sein de groupes de travail ad hoc créés dans le cadre de la Plateforme de coordination.</v>
      </c>
      <c r="G792" s="496"/>
      <c r="H792" s="498">
        <f>VLOOKUP(E792,'5.2 Actions'!$A$3:$D$720,4,0)</f>
        <v>0</v>
      </c>
      <c r="I792" s="497">
        <v>0</v>
      </c>
    </row>
    <row r="793" spans="1:9" hidden="1" outlineLevel="2" x14ac:dyDescent="0.25">
      <c r="A793" s="114" t="str">
        <f t="shared" si="141"/>
        <v>8</v>
      </c>
      <c r="B793" t="str">
        <f t="shared" si="142"/>
        <v>3</v>
      </c>
      <c r="C793" s="114" t="str">
        <f t="shared" si="143"/>
        <v>3</v>
      </c>
      <c r="D793" s="495" t="s">
        <v>136</v>
      </c>
      <c r="E793" s="495" t="s">
        <v>1268</v>
      </c>
      <c r="F793" s="496" t="str">
        <f>VLOOKUP(E793,'5.2 Actions'!$A$3:$B$720,2,0)</f>
        <v>Renforcer la coordination par bassin versant au sein de groupes de travail ad hoc créés dans le cadre de la Plateforme de coordination.</v>
      </c>
      <c r="G793" s="496"/>
      <c r="H793" s="498">
        <f>VLOOKUP(E793,'5.2 Actions'!$A$3:$D$720,4,0)</f>
        <v>0</v>
      </c>
      <c r="I793" s="497">
        <v>0</v>
      </c>
    </row>
    <row r="794" spans="1:9" ht="30" hidden="1" outlineLevel="2" x14ac:dyDescent="0.25">
      <c r="A794" s="114" t="str">
        <f t="shared" si="141"/>
        <v>8</v>
      </c>
      <c r="B794" t="str">
        <f t="shared" si="142"/>
        <v>3</v>
      </c>
      <c r="C794" s="114" t="str">
        <f t="shared" si="143"/>
        <v>4</v>
      </c>
      <c r="D794" s="495" t="s">
        <v>136</v>
      </c>
      <c r="E794" s="495" t="s">
        <v>1269</v>
      </c>
      <c r="F794" s="496" t="str">
        <f>VLOOKUP(E794,'5.2 Actions'!$A$3:$B$720,2,0)</f>
        <v>Renforcer la coordination et l’échange entre les différents groupes de travail thématiques et par bassin versant avec les acteurs de l’eau (administrations régionales, associations, monde académique et de la recherche, etc.).</v>
      </c>
      <c r="G794" s="496"/>
      <c r="H794" s="498">
        <f>VLOOKUP(E794,'5.2 Actions'!$A$3:$D$720,4,0)</f>
        <v>0</v>
      </c>
      <c r="I794" s="497">
        <v>0</v>
      </c>
    </row>
    <row r="795" spans="1:9" ht="30" hidden="1" outlineLevel="2" x14ac:dyDescent="0.25">
      <c r="A795" s="114" t="str">
        <f t="shared" si="141"/>
        <v>8</v>
      </c>
      <c r="B795" t="str">
        <f t="shared" si="142"/>
        <v>3</v>
      </c>
      <c r="C795" s="114" t="str">
        <f t="shared" si="143"/>
        <v>5</v>
      </c>
      <c r="D795" s="495" t="s">
        <v>136</v>
      </c>
      <c r="E795" s="495" t="s">
        <v>1270</v>
      </c>
      <c r="F795" s="496" t="str">
        <f>VLOOKUP(E795,'5.2 Actions'!$A$3:$B$720,2,0)</f>
        <v>Faciliter l'échange d'informations en améliorant la transparence de la Plateforme de coordination et en intensifiant les échanges avec les autres acteurs régionaux concernés.</v>
      </c>
      <c r="G795" s="496"/>
      <c r="H795" s="498">
        <f>VLOOKUP(E795,'5.2 Actions'!$A$3:$D$720,4,0)</f>
        <v>0</v>
      </c>
      <c r="I795" s="497">
        <v>0</v>
      </c>
    </row>
    <row r="796" spans="1:9" ht="45" hidden="1" outlineLevel="2" x14ac:dyDescent="0.25">
      <c r="A796" s="114" t="str">
        <f t="shared" si="141"/>
        <v>8</v>
      </c>
      <c r="B796" t="str">
        <f t="shared" si="142"/>
        <v>3</v>
      </c>
      <c r="C796" s="114" t="str">
        <f t="shared" si="143"/>
        <v>6</v>
      </c>
      <c r="D796" s="495" t="s">
        <v>136</v>
      </c>
      <c r="E796" s="495" t="s">
        <v>1271</v>
      </c>
      <c r="F796" s="496" t="str">
        <f>VLOOKUP(E796,'5.2 Actions'!$A$3:$B$720,2,0)</f>
        <v>Émettre des avis coordonnés dans le cadre de modifications réglementaires, sur des projets d’aménagement du territoire, le développement d’outils, de méthodes ayant un impact sur le secteur de l’eau. Mais également émettre des réponses coordonnées suite à des interpellations d’un ou plusieurs opérateurs de l’eau.</v>
      </c>
      <c r="G796" s="496"/>
      <c r="H796" s="498">
        <f>VLOOKUP(E796,'5.2 Actions'!$A$3:$D$720,4,0)</f>
        <v>0</v>
      </c>
      <c r="I796" s="497">
        <v>0</v>
      </c>
    </row>
    <row r="797" spans="1:9" ht="60" hidden="1" outlineLevel="2" x14ac:dyDescent="0.25">
      <c r="A797" s="114" t="str">
        <f t="shared" si="141"/>
        <v>8</v>
      </c>
      <c r="B797" t="str">
        <f t="shared" si="142"/>
        <v>3</v>
      </c>
      <c r="C797" s="114" t="str">
        <f t="shared" si="143"/>
        <v>7</v>
      </c>
      <c r="D797" s="495" t="s">
        <v>136</v>
      </c>
      <c r="E797" s="495" t="s">
        <v>1272</v>
      </c>
      <c r="F797" s="496" t="str">
        <f>VLOOKUP(E797,'5.2 Actions'!$A$3:$B$720,2,0)</f>
        <v>Organiser des événements d’échanges de connaissance :
avec les associations et le monde académique (les rencontres bruxelloises de l’eau) ;
avec les professionnels (la journée mondiale de l’eau)
avec les citoyens (les journées bruxelloises de l’eau)</v>
      </c>
      <c r="G797" s="496"/>
      <c r="H797" s="498">
        <f>VLOOKUP(E797,'5.2 Actions'!$A$3:$D$720,4,0)</f>
        <v>0</v>
      </c>
      <c r="I797" s="497">
        <v>600000</v>
      </c>
    </row>
    <row r="798" spans="1:9" s="494" customFormat="1" hidden="1" outlineLevel="1" collapsed="1" x14ac:dyDescent="0.25">
      <c r="D798" s="500" t="s">
        <v>137</v>
      </c>
      <c r="E798" s="500"/>
      <c r="F798" s="501" t="str">
        <f>VLOOKUP(D798,'1. Mesures'!$A$2:$B$116,2,0)</f>
        <v>Encourager la participation d'acteurs bruxellois de l'eau aux associations européennes de l'eau</v>
      </c>
      <c r="G798" s="501"/>
      <c r="H798" s="503"/>
      <c r="I798" s="502">
        <f>SUBTOTAL(9,I799:I801)</f>
        <v>0</v>
      </c>
    </row>
    <row r="799" spans="1:9" ht="30" hidden="1" outlineLevel="2" x14ac:dyDescent="0.25">
      <c r="A799" s="114" t="str">
        <f>MID(E799,1,1)</f>
        <v>8</v>
      </c>
      <c r="B799" t="str">
        <f>MID(E799,3,1)</f>
        <v>4</v>
      </c>
      <c r="C799" s="114" t="str">
        <f>MID(E799,5,2)</f>
        <v>1</v>
      </c>
      <c r="D799" s="495" t="s">
        <v>137</v>
      </c>
      <c r="E799" s="495" t="s">
        <v>1273</v>
      </c>
      <c r="F799" s="496" t="str">
        <f>VLOOKUP(E799,'5.2 Actions'!$A$3:$B$720,2,0)</f>
        <v>Assurer l’organisation de séminaires/colloques sur les différentes thématiques de l’eau afin de permettre l’échange de bonnes pratiques et/ou de savoirs scientifiques.</v>
      </c>
      <c r="G799" s="496"/>
      <c r="H799" s="498">
        <f>VLOOKUP(E799,'5.2 Actions'!$A$3:$D$720,4,0)</f>
        <v>0</v>
      </c>
      <c r="I799" s="497">
        <v>0</v>
      </c>
    </row>
    <row r="800" spans="1:9" ht="45" hidden="1" outlineLevel="2" x14ac:dyDescent="0.25">
      <c r="A800" s="114" t="str">
        <f>MID(E800,1,1)</f>
        <v>8</v>
      </c>
      <c r="B800" t="str">
        <f>MID(E800,3,1)</f>
        <v>4</v>
      </c>
      <c r="C800" s="114" t="str">
        <f>MID(E800,5,2)</f>
        <v>2</v>
      </c>
      <c r="D800" s="495" t="s">
        <v>137</v>
      </c>
      <c r="E800" s="495" t="s">
        <v>1274</v>
      </c>
      <c r="F800" s="496" t="str">
        <f>VLOOKUP(E800,'5.2 Actions'!$A$3:$B$720,2,0)</f>
        <v>Participer en tant qu’observateur ou orateur aux séminaires/colloques/forums sur les différentes thématiques de l’eau pour veiller à ce que la RBC reste parfaitement informée des bonnes pratiques et/ou savoirs scientifiques internationaux, ou veiller en tant qu’orateur à partager/informer sur les bonnes pratiques et/ou savoirs scientifiques développés au sein de la Région.</v>
      </c>
      <c r="G800" s="496"/>
      <c r="H800" s="498">
        <f>VLOOKUP(E800,'5.2 Actions'!$A$3:$D$720,4,0)</f>
        <v>0</v>
      </c>
      <c r="I800" s="497">
        <v>0</v>
      </c>
    </row>
    <row r="801" spans="1:9" ht="30" hidden="1" outlineLevel="2" x14ac:dyDescent="0.25">
      <c r="A801" s="114" t="str">
        <f>MID(E801,1,1)</f>
        <v>8</v>
      </c>
      <c r="B801" t="str">
        <f>MID(E801,3,1)</f>
        <v>4</v>
      </c>
      <c r="C801" s="114" t="str">
        <f>MID(E801,5,2)</f>
        <v>3</v>
      </c>
      <c r="D801" s="495" t="s">
        <v>137</v>
      </c>
      <c r="E801" s="495" t="s">
        <v>1275</v>
      </c>
      <c r="F801" s="496" t="str">
        <f>VLOOKUP(E801,'5.2 Actions'!$A$3:$B$720,2,0)</f>
        <v>Valoriser toujours davantage l’expérience de la RBC en matière de gestion de l’eau spécifique au milieu urbain au travers de la participation aux séminaires/colloques/forums sur les différentes thématiques de l’eau.</v>
      </c>
      <c r="G801" s="496"/>
      <c r="H801" s="498">
        <f>VLOOKUP(E801,'5.2 Actions'!$A$3:$D$720,4,0)</f>
        <v>0</v>
      </c>
      <c r="I801" s="497">
        <v>0</v>
      </c>
    </row>
    <row r="802" spans="1:9" s="494" customFormat="1" hidden="1" outlineLevel="1" collapsed="1" x14ac:dyDescent="0.25">
      <c r="D802" s="500" t="s">
        <v>139</v>
      </c>
      <c r="E802" s="500"/>
      <c r="F802" s="501" t="str">
        <f>VLOOKUP(D802,'1. Mesures'!$A$2:$B$116,2,0)</f>
        <v>Assurer la mise en œuvre, la promotion et l'adéquation des outils et mécanismes de soutien et de sensibilisation liés à la gestion et à l’éducation à l’eau</v>
      </c>
      <c r="G802" s="501"/>
      <c r="H802" s="503"/>
      <c r="I802" s="502">
        <f>SUBTOTAL(9,I803:I813)</f>
        <v>0</v>
      </c>
    </row>
    <row r="803" spans="1:9" ht="75" hidden="1" outlineLevel="2" x14ac:dyDescent="0.25">
      <c r="A803" s="114" t="str">
        <f t="shared" ref="A803:A813" si="144">MID(E803,1,1)</f>
        <v>8</v>
      </c>
      <c r="B803" t="str">
        <f t="shared" ref="B803:B813" si="145">MID(E803,3,1)</f>
        <v>5</v>
      </c>
      <c r="C803" s="114" t="str">
        <f t="shared" ref="C803:C813" si="146">MID(E803,5,2)</f>
        <v>1</v>
      </c>
      <c r="D803" s="243" t="s">
        <v>139</v>
      </c>
      <c r="E803" s="243" t="s">
        <v>1276</v>
      </c>
      <c r="F803" s="244" t="str">
        <f>VLOOKUP(E803,'5.2 Actions'!$A$3:$B$720,2,0)</f>
        <v>Continuer l’« appel à projets » auprès des communes et CPAS bruxellois afin d’encourager prioritairement à réaliser des travaux d’aménagement « nature-based solutions » ou des études préalables. Les subsides ainsi octroyés sont de l’ordre de 400.000€/an pour les travaux et de 200.000€/an pour les études.
Les objectifs de l’appel à projets recouvrent également l’ensemble des mesures du PGE (donc lutte contre les inondations, utilisation rationnelle des ressources, etc.)
A noter l’existence d’un soutien complémentaire de Bruxelles Mobilité aux communes, via appel à projet pour petits projets de déminéralisation.</v>
      </c>
      <c r="G803" s="244"/>
      <c r="H803" s="491">
        <f>VLOOKUP(E803,'5.2 Actions'!$A$3:$D$720,4,0)</f>
        <v>0</v>
      </c>
      <c r="I803" s="490">
        <v>4800000</v>
      </c>
    </row>
    <row r="804" spans="1:9" ht="60" hidden="1" outlineLevel="2" x14ac:dyDescent="0.25">
      <c r="A804" s="114" t="str">
        <f t="shared" si="144"/>
        <v>8</v>
      </c>
      <c r="B804" t="str">
        <f t="shared" si="145"/>
        <v>5</v>
      </c>
      <c r="C804" s="114" t="str">
        <f t="shared" si="146"/>
        <v>2</v>
      </c>
      <c r="D804" s="243" t="s">
        <v>139</v>
      </c>
      <c r="E804" s="243" t="s">
        <v>1279</v>
      </c>
      <c r="F804" s="244" t="str">
        <f>VLOOKUP(E804,'5.2 Actions'!$A$3:$B$720,2,0)</f>
        <v>Mettre en place ou étendre l’appel à projet 
- à d’autres institutions régionales (ex : STIB, BM,…) pour développer des projets « GIEP » d’aménagement du territoire ;
- vers des acteurs privés pour développer des initiatives GIEP sur leurs parcelles 
Action à développer dans l’appel à projets « Inspirons le quartier ».</v>
      </c>
      <c r="G804" s="244"/>
      <c r="H804" s="491">
        <f>VLOOKUP(E804,'5.2 Actions'!$A$3:$D$720,4,0)</f>
        <v>0</v>
      </c>
      <c r="I804" s="490">
        <v>2000000</v>
      </c>
    </row>
    <row r="805" spans="1:9" hidden="1" outlineLevel="2" x14ac:dyDescent="0.25">
      <c r="A805" s="114" t="str">
        <f t="shared" si="144"/>
        <v>8</v>
      </c>
      <c r="B805" t="str">
        <f t="shared" si="145"/>
        <v>5</v>
      </c>
      <c r="C805" s="114" t="str">
        <f t="shared" si="146"/>
        <v>3</v>
      </c>
      <c r="D805" s="243" t="s">
        <v>139</v>
      </c>
      <c r="E805" s="243" t="s">
        <v>1280</v>
      </c>
      <c r="F805" s="244" t="str">
        <f>VLOOKUP(E805,'5.2 Actions'!$A$3:$B$720,2,0)</f>
        <v>Introduire la thématique Eau dans l’appel à projets           « Inspirons Le Quartier».</v>
      </c>
      <c r="G805" s="244"/>
      <c r="H805" s="491">
        <f>VLOOKUP(E805,'5.2 Actions'!$A$3:$D$720,4,0)</f>
        <v>0</v>
      </c>
      <c r="I805" s="490">
        <v>500000</v>
      </c>
    </row>
    <row r="806" spans="1:9" hidden="1" outlineLevel="2" x14ac:dyDescent="0.25">
      <c r="A806" s="114" t="str">
        <f t="shared" si="144"/>
        <v>8</v>
      </c>
      <c r="B806" t="str">
        <f t="shared" si="145"/>
        <v>5</v>
      </c>
      <c r="C806" s="114" t="str">
        <f t="shared" si="146"/>
        <v>4</v>
      </c>
      <c r="D806" s="243" t="s">
        <v>139</v>
      </c>
      <c r="E806" s="243" t="s">
        <v>1281</v>
      </c>
      <c r="F806" s="244" t="str">
        <f>VLOOKUP(E806,'5.2 Actions'!$A$3:$B$720,2,0)</f>
        <v>Soutenir les Pouvoirs organisateurs des écoles pour des projets de déminéralisation et végétalisation via l’appel à projet ‘Ré-création’.</v>
      </c>
      <c r="G806" s="244"/>
      <c r="H806" s="491">
        <f>VLOOKUP(E806,'5.2 Actions'!$A$3:$D$720,4,0)</f>
        <v>0</v>
      </c>
      <c r="I806" s="490">
        <v>4500000</v>
      </c>
    </row>
    <row r="807" spans="1:9" hidden="1" outlineLevel="2" x14ac:dyDescent="0.25">
      <c r="A807" s="114" t="str">
        <f t="shared" si="144"/>
        <v>8</v>
      </c>
      <c r="B807" t="str">
        <f t="shared" si="145"/>
        <v>5</v>
      </c>
      <c r="C807" s="114" t="str">
        <f t="shared" si="146"/>
        <v>5</v>
      </c>
      <c r="D807" s="243" t="s">
        <v>139</v>
      </c>
      <c r="E807" s="243" t="s">
        <v>1282</v>
      </c>
      <c r="F807" s="244" t="str">
        <f>VLOOKUP(E807,'5.2 Actions'!$A$3:$B$720,2,0)</f>
        <v>Evaluer l’opportunité d’octroyer des primes aux communes plutôt que des subventions, pour faciliter leurs actions positives.</v>
      </c>
      <c r="G807" s="244"/>
      <c r="H807" s="491">
        <f>VLOOKUP(E807,'5.2 Actions'!$A$3:$D$720,4,0)</f>
        <v>0</v>
      </c>
      <c r="I807" s="490">
        <v>0</v>
      </c>
    </row>
    <row r="808" spans="1:9" hidden="1" outlineLevel="2" x14ac:dyDescent="0.25">
      <c r="A808" s="114" t="str">
        <f t="shared" si="144"/>
        <v>8</v>
      </c>
      <c r="B808" t="str">
        <f t="shared" si="145"/>
        <v>5</v>
      </c>
      <c r="C808" s="114" t="str">
        <f t="shared" si="146"/>
        <v>6</v>
      </c>
      <c r="D808" s="243" t="s">
        <v>139</v>
      </c>
      <c r="E808" s="243" t="s">
        <v>1283</v>
      </c>
      <c r="F808" s="244" t="str">
        <f>VLOOKUP(E808,'5.2 Actions'!$A$3:$B$720,2,0)</f>
        <v xml:space="preserve">Promouvoir un label visant à encourager et valoriser les projets GiEP « exemplaires » dans le domaine public ou privé en RBC.  </v>
      </c>
      <c r="G808" s="244"/>
      <c r="H808" s="491">
        <f>VLOOKUP(E808,'5.2 Actions'!$A$3:$D$720,4,0)</f>
        <v>0</v>
      </c>
      <c r="I808" s="490">
        <v>0</v>
      </c>
    </row>
    <row r="809" spans="1:9" ht="30" hidden="1" outlineLevel="2" x14ac:dyDescent="0.25">
      <c r="A809" s="114" t="str">
        <f t="shared" si="144"/>
        <v>8</v>
      </c>
      <c r="B809" t="str">
        <f t="shared" si="145"/>
        <v>5</v>
      </c>
      <c r="C809" s="114" t="str">
        <f t="shared" si="146"/>
        <v>7</v>
      </c>
      <c r="D809" s="243" t="s">
        <v>139</v>
      </c>
      <c r="E809" s="243" t="s">
        <v>1284</v>
      </c>
      <c r="F809" s="244" t="str">
        <f>VLOOKUP(E809,'5.2 Actions'!$A$3:$B$720,2,0)</f>
        <v>Soutenir les mouvements citoyens et associatifs qui mettent en œuvre le PGE 2022-2027 et plus large (comme par exemple le soutien à l’éducation à l’eau sur la qualité de l’eau du robinet).</v>
      </c>
      <c r="G809" s="244"/>
      <c r="H809" s="491">
        <f>VLOOKUP(E809,'5.2 Actions'!$A$3:$D$720,4,0)</f>
        <v>0</v>
      </c>
      <c r="I809" s="490">
        <v>2700000</v>
      </c>
    </row>
    <row r="810" spans="1:9" ht="45" hidden="1" outlineLevel="2" x14ac:dyDescent="0.25">
      <c r="A810" s="114" t="str">
        <f t="shared" si="144"/>
        <v>8</v>
      </c>
      <c r="B810" t="str">
        <f t="shared" si="145"/>
        <v>5</v>
      </c>
      <c r="C810" s="114" t="str">
        <f t="shared" si="146"/>
        <v>8</v>
      </c>
      <c r="D810" s="243" t="s">
        <v>139</v>
      </c>
      <c r="E810" s="243" t="s">
        <v>1285</v>
      </c>
      <c r="F810" s="244" t="str">
        <f>VLOOKUP(E810,'5.2 Actions'!$A$3:$B$720,2,0)</f>
        <v>Réaliser un diagnostic des mécanismes financiers existants au sein des institutions régionales et communales  et assurer la promotion et diffusion large de cet existant via leurs canaux de communication, les différents canaux de communication de Bruxelles Environnement ainsi que ceux des autres organismes pour lesquels la thématique s’inscrit dans les missions quotidiennes (e.g. réseau habitat, Homegrade,…).</v>
      </c>
      <c r="G810" s="244"/>
      <c r="H810" s="491">
        <f>VLOOKUP(E810,'5.2 Actions'!$A$3:$D$720,4,0)</f>
        <v>0</v>
      </c>
      <c r="I810" s="490">
        <v>20000</v>
      </c>
    </row>
    <row r="811" spans="1:9" ht="30" hidden="1" outlineLevel="2" x14ac:dyDescent="0.25">
      <c r="A811" s="114" t="str">
        <f t="shared" si="144"/>
        <v>8</v>
      </c>
      <c r="B811" t="str">
        <f t="shared" si="145"/>
        <v>5</v>
      </c>
      <c r="C811" s="114" t="str">
        <f t="shared" si="146"/>
        <v>9</v>
      </c>
      <c r="D811" s="243" t="s">
        <v>139</v>
      </c>
      <c r="E811" s="243" t="s">
        <v>1286</v>
      </c>
      <c r="F811" s="244" t="str">
        <f>VLOOKUP(E811,'5.2 Actions'!$A$3:$B$720,2,0)</f>
        <v>Réaliser un diagnostic des besoins spécifiques identifiés (e.g. demandes récurrentes, manques, raisons derrière le fait que certaines primes fonctionnement et d’autres moins, analyse des situations socio-économiques…).</v>
      </c>
      <c r="G811" s="244"/>
      <c r="H811" s="491">
        <f>VLOOKUP(E811,'5.2 Actions'!$A$3:$D$720,4,0)</f>
        <v>0</v>
      </c>
      <c r="I811" s="490">
        <v>20000</v>
      </c>
    </row>
    <row r="812" spans="1:9" ht="45" hidden="1" outlineLevel="2" x14ac:dyDescent="0.25">
      <c r="A812" s="114" t="str">
        <f t="shared" si="144"/>
        <v>8</v>
      </c>
      <c r="B812" t="str">
        <f t="shared" si="145"/>
        <v>5</v>
      </c>
      <c r="C812" s="114" t="str">
        <f t="shared" si="146"/>
        <v>10</v>
      </c>
      <c r="D812" s="243" t="s">
        <v>139</v>
      </c>
      <c r="E812" s="243" t="s">
        <v>1277</v>
      </c>
      <c r="F812" s="244" t="str">
        <f>VLOOKUP(E812,'5.2 Actions'!$A$3:$B$720,2,0)</f>
        <v>Mettre en place des primes ou des ajouts/extensions de champ d’application pour des primes existantes à destination des particuliers et des professionnels, avec les informations sur les étapes juridiques à établir et les couts liés à l’encadrement RH.
Cette mesure devra être accompagnée d’une réflexion sur la situation socio-économique du public-cible (locataire ou propriétaire par exemple).</v>
      </c>
      <c r="G812" s="244"/>
      <c r="H812" s="491">
        <f>VLOOKUP(E812,'5.2 Actions'!$A$3:$D$720,4,0)</f>
        <v>0</v>
      </c>
      <c r="I812" s="490">
        <v>200000</v>
      </c>
    </row>
    <row r="813" spans="1:9" ht="45" hidden="1" outlineLevel="2" x14ac:dyDescent="0.25">
      <c r="A813" s="114" t="str">
        <f t="shared" si="144"/>
        <v>8</v>
      </c>
      <c r="B813" t="str">
        <f t="shared" si="145"/>
        <v>5</v>
      </c>
      <c r="C813" s="114" t="str">
        <f t="shared" si="146"/>
        <v>11</v>
      </c>
      <c r="D813" s="243" t="s">
        <v>139</v>
      </c>
      <c r="E813" s="243" t="s">
        <v>1278</v>
      </c>
      <c r="F813" s="244" t="str">
        <f>VLOOKUP(E813,'5.2 Actions'!$A$3:$B$720,2,0)</f>
        <v>Assurer l’actualisation régulière des informations disponibles sur les canaux de communication des instances délivrantes, les différents canaux de communication de Bruxelles Environnement ainsi que sur ceux des autres organismes pour lesquels la thématique s’inscrit dans les missions quotidiennes (e.g. réseau habitat, Homegrade,…).</v>
      </c>
      <c r="G813" s="244"/>
      <c r="H813" s="491">
        <f>VLOOKUP(E813,'5.2 Actions'!$A$3:$D$720,4,0)</f>
        <v>0</v>
      </c>
      <c r="I813" s="493">
        <v>0</v>
      </c>
    </row>
    <row r="814" spans="1:9" hidden="1" x14ac:dyDescent="0.25"/>
    <row r="815" spans="1:9" hidden="1" x14ac:dyDescent="0.25"/>
    <row r="816" spans="1:9"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sheetData>
  <autoFilter ref="A1:I1385" xr:uid="{E9F8A805-1D31-44B7-98DD-B751B1B2E4B0}">
    <filterColumn colId="3">
      <filters>
        <filter val="M 1.8"/>
      </filters>
    </filterColumn>
  </autoFilter>
  <sortState xmlns:xlrd2="http://schemas.microsoft.com/office/spreadsheetml/2017/richdata2" ref="A2:L813">
    <sortCondition ref="A4:A813"/>
    <sortCondition ref="B4:B813"/>
    <sortCondition ref="C4:C813"/>
  </sortState>
  <phoneticPr fontId="8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I829"/>
  <sheetViews>
    <sheetView showGridLines="0" topLeftCell="A316" zoomScale="70" zoomScaleNormal="70" workbookViewId="0">
      <selection activeCell="I333" sqref="I333:I337"/>
    </sheetView>
  </sheetViews>
  <sheetFormatPr baseColWidth="10" defaultColWidth="10.85546875" defaultRowHeight="15" x14ac:dyDescent="0.25"/>
  <cols>
    <col min="1" max="1" width="19.5703125" bestFit="1" customWidth="1"/>
    <col min="2" max="2" width="11.28515625" bestFit="1" customWidth="1"/>
    <col min="3" max="8" width="15.28515625" bestFit="1" customWidth="1"/>
    <col min="9" max="10" width="16.42578125" bestFit="1" customWidth="1"/>
  </cols>
  <sheetData>
    <row r="3" spans="1:9" x14ac:dyDescent="0.25">
      <c r="C3" s="8" t="s">
        <v>2938</v>
      </c>
    </row>
    <row r="4" spans="1:9" x14ac:dyDescent="0.25">
      <c r="A4" s="8" t="s">
        <v>412</v>
      </c>
      <c r="B4" s="8" t="s">
        <v>413</v>
      </c>
      <c r="C4" t="s">
        <v>2937</v>
      </c>
      <c r="D4" t="s">
        <v>2939</v>
      </c>
      <c r="E4" t="s">
        <v>2940</v>
      </c>
      <c r="F4" t="s">
        <v>2941</v>
      </c>
      <c r="G4" t="s">
        <v>2942</v>
      </c>
      <c r="H4" t="s">
        <v>2943</v>
      </c>
      <c r="I4" t="s">
        <v>409</v>
      </c>
    </row>
    <row r="5" spans="1:9" x14ac:dyDescent="0.25">
      <c r="A5" t="s">
        <v>0</v>
      </c>
      <c r="C5" s="7">
        <v>290000</v>
      </c>
      <c r="D5" s="7">
        <v>1760000</v>
      </c>
      <c r="E5" s="7">
        <v>3500000</v>
      </c>
      <c r="F5" s="7">
        <v>2900000</v>
      </c>
      <c r="G5" s="7">
        <v>0</v>
      </c>
      <c r="H5" s="7">
        <v>0</v>
      </c>
      <c r="I5" s="7">
        <v>8450000</v>
      </c>
    </row>
    <row r="6" spans="1:9" x14ac:dyDescent="0.25">
      <c r="A6" t="s">
        <v>0</v>
      </c>
      <c r="B6" t="s">
        <v>636</v>
      </c>
      <c r="C6" s="7">
        <v>100000</v>
      </c>
      <c r="D6" s="7">
        <v>0</v>
      </c>
      <c r="E6" s="7">
        <v>0</v>
      </c>
      <c r="F6" s="7">
        <v>0</v>
      </c>
      <c r="G6" s="7">
        <v>0</v>
      </c>
      <c r="H6" s="7">
        <v>0</v>
      </c>
      <c r="I6" s="7">
        <v>100000</v>
      </c>
    </row>
    <row r="7" spans="1:9" x14ac:dyDescent="0.25">
      <c r="A7" t="s">
        <v>0</v>
      </c>
      <c r="B7" t="s">
        <v>637</v>
      </c>
      <c r="C7" s="7">
        <v>0</v>
      </c>
      <c r="D7" s="7">
        <v>0</v>
      </c>
      <c r="E7" s="7">
        <v>0</v>
      </c>
      <c r="F7" s="7">
        <v>900000</v>
      </c>
      <c r="G7" s="7">
        <v>0</v>
      </c>
      <c r="H7" s="7">
        <v>0</v>
      </c>
      <c r="I7" s="7">
        <v>900000</v>
      </c>
    </row>
    <row r="8" spans="1:9" x14ac:dyDescent="0.25">
      <c r="A8" t="s">
        <v>0</v>
      </c>
      <c r="B8" t="s">
        <v>638</v>
      </c>
      <c r="C8" s="7">
        <v>0</v>
      </c>
      <c r="D8" s="7">
        <v>0</v>
      </c>
      <c r="E8" s="7">
        <v>100000</v>
      </c>
      <c r="F8" s="7">
        <v>0</v>
      </c>
      <c r="G8" s="7">
        <v>0</v>
      </c>
      <c r="H8" s="7">
        <v>0</v>
      </c>
      <c r="I8" s="7">
        <v>100000</v>
      </c>
    </row>
    <row r="9" spans="1:9" x14ac:dyDescent="0.25">
      <c r="A9" t="s">
        <v>0</v>
      </c>
      <c r="B9" t="s">
        <v>639</v>
      </c>
      <c r="C9" s="7">
        <v>0</v>
      </c>
      <c r="D9" s="7">
        <v>70000</v>
      </c>
      <c r="E9" s="7">
        <v>0</v>
      </c>
      <c r="F9" s="7">
        <v>0</v>
      </c>
      <c r="G9" s="7">
        <v>0</v>
      </c>
      <c r="H9" s="7">
        <v>0</v>
      </c>
      <c r="I9" s="7">
        <v>70000</v>
      </c>
    </row>
    <row r="10" spans="1:9" x14ac:dyDescent="0.25">
      <c r="A10" t="s">
        <v>0</v>
      </c>
      <c r="B10" t="s">
        <v>640</v>
      </c>
      <c r="C10" s="7">
        <v>0</v>
      </c>
      <c r="D10" s="7">
        <v>1500000</v>
      </c>
      <c r="E10" s="7">
        <v>1200000</v>
      </c>
      <c r="F10" s="7">
        <v>1000000</v>
      </c>
      <c r="G10" s="7">
        <v>0</v>
      </c>
      <c r="H10" s="7">
        <v>0</v>
      </c>
      <c r="I10" s="7">
        <v>3700000</v>
      </c>
    </row>
    <row r="11" spans="1:9" x14ac:dyDescent="0.25">
      <c r="A11" t="s">
        <v>0</v>
      </c>
      <c r="B11" t="s">
        <v>641</v>
      </c>
      <c r="C11" s="7">
        <v>0</v>
      </c>
      <c r="D11" s="7">
        <v>100000</v>
      </c>
      <c r="E11" s="7">
        <v>0</v>
      </c>
      <c r="F11" s="7">
        <v>0</v>
      </c>
      <c r="G11" s="7">
        <v>0</v>
      </c>
      <c r="H11" s="7">
        <v>0</v>
      </c>
      <c r="I11" s="7">
        <v>100000</v>
      </c>
    </row>
    <row r="12" spans="1:9" x14ac:dyDescent="0.25">
      <c r="A12" t="s">
        <v>0</v>
      </c>
      <c r="B12" t="s">
        <v>642</v>
      </c>
      <c r="C12" s="7">
        <v>0</v>
      </c>
      <c r="D12" s="7">
        <v>0</v>
      </c>
      <c r="E12" s="7">
        <v>0</v>
      </c>
      <c r="F12" s="7">
        <v>0</v>
      </c>
      <c r="G12" s="7">
        <v>0</v>
      </c>
      <c r="H12" s="7">
        <v>0</v>
      </c>
      <c r="I12" s="7">
        <v>0</v>
      </c>
    </row>
    <row r="13" spans="1:9" x14ac:dyDescent="0.25">
      <c r="A13" t="s">
        <v>0</v>
      </c>
      <c r="B13" t="s">
        <v>643</v>
      </c>
      <c r="C13" s="7">
        <v>50000</v>
      </c>
      <c r="D13" s="7">
        <v>0</v>
      </c>
      <c r="E13" s="7">
        <v>0</v>
      </c>
      <c r="F13" s="7">
        <v>0</v>
      </c>
      <c r="G13" s="7">
        <v>0</v>
      </c>
      <c r="H13" s="7">
        <v>0</v>
      </c>
      <c r="I13" s="7">
        <v>50000</v>
      </c>
    </row>
    <row r="14" spans="1:9" x14ac:dyDescent="0.25">
      <c r="A14" t="s">
        <v>0</v>
      </c>
      <c r="B14" t="s">
        <v>644</v>
      </c>
      <c r="C14" s="7">
        <v>0</v>
      </c>
      <c r="D14" s="7">
        <v>0</v>
      </c>
      <c r="E14" s="7">
        <v>1000000</v>
      </c>
      <c r="F14" s="7">
        <v>1000000</v>
      </c>
      <c r="G14" s="7">
        <v>0</v>
      </c>
      <c r="H14" s="7">
        <v>0</v>
      </c>
      <c r="I14" s="7">
        <v>2000000</v>
      </c>
    </row>
    <row r="15" spans="1:9" x14ac:dyDescent="0.25">
      <c r="A15" t="s">
        <v>0</v>
      </c>
      <c r="B15" t="s">
        <v>645</v>
      </c>
      <c r="C15" s="7">
        <v>140000</v>
      </c>
      <c r="D15" s="7">
        <v>0</v>
      </c>
      <c r="E15" s="7">
        <v>0</v>
      </c>
      <c r="F15" s="7">
        <v>0</v>
      </c>
      <c r="G15" s="7">
        <v>0</v>
      </c>
      <c r="H15" s="7">
        <v>0</v>
      </c>
      <c r="I15" s="7">
        <v>140000</v>
      </c>
    </row>
    <row r="16" spans="1:9" x14ac:dyDescent="0.25">
      <c r="A16" t="s">
        <v>0</v>
      </c>
      <c r="B16" t="s">
        <v>646</v>
      </c>
      <c r="C16" s="7">
        <v>0</v>
      </c>
      <c r="D16" s="7">
        <v>0</v>
      </c>
      <c r="E16" s="7">
        <v>1200000</v>
      </c>
      <c r="F16" s="7">
        <v>0</v>
      </c>
      <c r="G16" s="7">
        <v>0</v>
      </c>
      <c r="H16" s="7">
        <v>0</v>
      </c>
      <c r="I16" s="7">
        <v>1200000</v>
      </c>
    </row>
    <row r="17" spans="1:9" x14ac:dyDescent="0.25">
      <c r="A17" t="s">
        <v>0</v>
      </c>
      <c r="B17" t="s">
        <v>647</v>
      </c>
      <c r="C17" s="7">
        <v>0</v>
      </c>
      <c r="D17" s="7">
        <v>90000</v>
      </c>
      <c r="E17" s="7">
        <v>0</v>
      </c>
      <c r="F17" s="7">
        <v>0</v>
      </c>
      <c r="G17" s="7">
        <v>0</v>
      </c>
      <c r="H17" s="7">
        <v>0</v>
      </c>
      <c r="I17" s="7">
        <v>90000</v>
      </c>
    </row>
    <row r="18" spans="1:9" x14ac:dyDescent="0.25">
      <c r="A18" t="s">
        <v>9</v>
      </c>
      <c r="C18" s="7">
        <v>800000</v>
      </c>
      <c r="D18" s="7">
        <v>300000</v>
      </c>
      <c r="E18" s="7">
        <v>300000</v>
      </c>
      <c r="F18" s="7">
        <v>300000</v>
      </c>
      <c r="G18" s="7">
        <v>300000</v>
      </c>
      <c r="H18" s="7">
        <v>300000</v>
      </c>
      <c r="I18" s="7">
        <v>2300000</v>
      </c>
    </row>
    <row r="19" spans="1:9" x14ac:dyDescent="0.25">
      <c r="A19" t="s">
        <v>9</v>
      </c>
      <c r="B19" t="s">
        <v>650</v>
      </c>
      <c r="C19" s="7">
        <v>800000</v>
      </c>
      <c r="D19" s="7">
        <v>300000</v>
      </c>
      <c r="E19" s="7">
        <v>300000</v>
      </c>
      <c r="F19" s="7">
        <v>0</v>
      </c>
      <c r="G19" s="7">
        <v>0</v>
      </c>
      <c r="H19" s="7">
        <v>0</v>
      </c>
      <c r="I19" s="7">
        <v>1400000</v>
      </c>
    </row>
    <row r="20" spans="1:9" x14ac:dyDescent="0.25">
      <c r="A20" t="s">
        <v>9</v>
      </c>
      <c r="B20" t="s">
        <v>651</v>
      </c>
      <c r="C20" s="7">
        <v>0</v>
      </c>
      <c r="D20" s="7">
        <v>0</v>
      </c>
      <c r="E20" s="7">
        <v>0</v>
      </c>
      <c r="F20" s="7">
        <v>0</v>
      </c>
      <c r="G20" s="7">
        <v>0</v>
      </c>
      <c r="H20" s="7">
        <v>0</v>
      </c>
      <c r="I20" s="7">
        <v>0</v>
      </c>
    </row>
    <row r="21" spans="1:9" x14ac:dyDescent="0.25">
      <c r="A21" t="s">
        <v>9</v>
      </c>
      <c r="B21" t="s">
        <v>652</v>
      </c>
      <c r="C21" s="7">
        <v>0</v>
      </c>
      <c r="D21" s="7">
        <v>0</v>
      </c>
      <c r="E21" s="7">
        <v>0</v>
      </c>
      <c r="F21" s="7">
        <v>300000</v>
      </c>
      <c r="G21" s="7">
        <v>300000</v>
      </c>
      <c r="H21" s="7">
        <v>300000</v>
      </c>
      <c r="I21" s="7">
        <v>900000</v>
      </c>
    </row>
    <row r="22" spans="1:9" x14ac:dyDescent="0.25">
      <c r="A22" t="s">
        <v>9</v>
      </c>
      <c r="B22" t="s">
        <v>653</v>
      </c>
      <c r="C22" s="7">
        <v>0</v>
      </c>
      <c r="D22" s="7">
        <v>0</v>
      </c>
      <c r="E22" s="7">
        <v>0</v>
      </c>
      <c r="F22" s="7">
        <v>0</v>
      </c>
      <c r="G22" s="7">
        <v>0</v>
      </c>
      <c r="H22" s="7">
        <v>0</v>
      </c>
      <c r="I22" s="7">
        <v>0</v>
      </c>
    </row>
    <row r="23" spans="1:9" x14ac:dyDescent="0.25">
      <c r="A23" t="s">
        <v>10</v>
      </c>
      <c r="C23" s="7">
        <v>57000</v>
      </c>
      <c r="D23" s="7">
        <v>240000</v>
      </c>
      <c r="E23" s="7">
        <v>40000</v>
      </c>
      <c r="F23" s="7">
        <v>40000</v>
      </c>
      <c r="G23" s="7">
        <v>40000</v>
      </c>
      <c r="H23" s="7">
        <v>40000</v>
      </c>
      <c r="I23" s="7">
        <v>457000</v>
      </c>
    </row>
    <row r="24" spans="1:9" x14ac:dyDescent="0.25">
      <c r="A24" t="s">
        <v>10</v>
      </c>
      <c r="B24" t="s">
        <v>654</v>
      </c>
      <c r="C24" s="7">
        <v>0</v>
      </c>
      <c r="D24" s="7">
        <v>0</v>
      </c>
      <c r="E24" s="7">
        <v>0</v>
      </c>
      <c r="F24" s="7">
        <v>0</v>
      </c>
      <c r="G24" s="7">
        <v>0</v>
      </c>
      <c r="H24" s="7">
        <v>0</v>
      </c>
      <c r="I24" s="7">
        <v>0</v>
      </c>
    </row>
    <row r="25" spans="1:9" x14ac:dyDescent="0.25">
      <c r="A25" t="s">
        <v>10</v>
      </c>
      <c r="B25" t="s">
        <v>655</v>
      </c>
      <c r="C25" s="7">
        <v>35000</v>
      </c>
      <c r="D25" s="7">
        <v>35000</v>
      </c>
      <c r="E25" s="7">
        <v>35000</v>
      </c>
      <c r="F25" s="7">
        <v>35000</v>
      </c>
      <c r="G25" s="7">
        <v>35000</v>
      </c>
      <c r="H25" s="7">
        <v>35000</v>
      </c>
      <c r="I25" s="7">
        <v>210000</v>
      </c>
    </row>
    <row r="26" spans="1:9" x14ac:dyDescent="0.25">
      <c r="A26" t="s">
        <v>10</v>
      </c>
      <c r="B26" t="s">
        <v>656</v>
      </c>
      <c r="C26" s="7">
        <v>0</v>
      </c>
      <c r="D26" s="7">
        <v>5000</v>
      </c>
      <c r="E26" s="7">
        <v>5000</v>
      </c>
      <c r="F26" s="7">
        <v>5000</v>
      </c>
      <c r="G26" s="7">
        <v>5000</v>
      </c>
      <c r="H26" s="7">
        <v>5000</v>
      </c>
      <c r="I26" s="7">
        <v>25000</v>
      </c>
    </row>
    <row r="27" spans="1:9" x14ac:dyDescent="0.25">
      <c r="A27" t="s">
        <v>10</v>
      </c>
      <c r="B27" t="s">
        <v>657</v>
      </c>
      <c r="C27" s="7">
        <v>0</v>
      </c>
      <c r="D27" s="7">
        <v>0</v>
      </c>
      <c r="E27" s="7">
        <v>0</v>
      </c>
      <c r="F27" s="7">
        <v>0</v>
      </c>
      <c r="G27" s="7">
        <v>0</v>
      </c>
      <c r="H27" s="7">
        <v>0</v>
      </c>
      <c r="I27" s="7">
        <v>0</v>
      </c>
    </row>
    <row r="28" spans="1:9" x14ac:dyDescent="0.25">
      <c r="A28" t="s">
        <v>10</v>
      </c>
      <c r="B28" t="s">
        <v>658</v>
      </c>
      <c r="C28" s="7">
        <v>22000</v>
      </c>
      <c r="D28" s="7">
        <v>0</v>
      </c>
      <c r="E28" s="7">
        <v>0</v>
      </c>
      <c r="F28" s="7">
        <v>0</v>
      </c>
      <c r="G28" s="7">
        <v>0</v>
      </c>
      <c r="H28" s="7">
        <v>0</v>
      </c>
      <c r="I28" s="7">
        <v>22000</v>
      </c>
    </row>
    <row r="29" spans="1:9" x14ac:dyDescent="0.25">
      <c r="A29" t="s">
        <v>10</v>
      </c>
      <c r="B29" t="s">
        <v>659</v>
      </c>
      <c r="C29" s="7">
        <v>0</v>
      </c>
      <c r="D29" s="7">
        <v>200000</v>
      </c>
      <c r="E29" s="7">
        <v>0</v>
      </c>
      <c r="F29" s="7">
        <v>0</v>
      </c>
      <c r="G29" s="7">
        <v>0</v>
      </c>
      <c r="H29" s="7">
        <v>0</v>
      </c>
      <c r="I29" s="7">
        <v>200000</v>
      </c>
    </row>
    <row r="30" spans="1:9" x14ac:dyDescent="0.25">
      <c r="A30" t="s">
        <v>10</v>
      </c>
      <c r="B30" t="s">
        <v>660</v>
      </c>
      <c r="C30" s="7">
        <v>0</v>
      </c>
      <c r="D30" s="7">
        <v>0</v>
      </c>
      <c r="E30" s="7">
        <v>0</v>
      </c>
      <c r="F30" s="7">
        <v>0</v>
      </c>
      <c r="G30" s="7">
        <v>0</v>
      </c>
      <c r="H30" s="7">
        <v>0</v>
      </c>
      <c r="I30" s="7">
        <v>0</v>
      </c>
    </row>
    <row r="31" spans="1:9" x14ac:dyDescent="0.25">
      <c r="A31" t="s">
        <v>10</v>
      </c>
      <c r="B31" t="s">
        <v>661</v>
      </c>
      <c r="C31" s="7">
        <v>0</v>
      </c>
      <c r="D31" s="7">
        <v>0</v>
      </c>
      <c r="E31" s="7">
        <v>0</v>
      </c>
      <c r="F31" s="7">
        <v>0</v>
      </c>
      <c r="G31" s="7">
        <v>0</v>
      </c>
      <c r="H31" s="7">
        <v>0</v>
      </c>
      <c r="I31" s="7">
        <v>0</v>
      </c>
    </row>
    <row r="32" spans="1:9" x14ac:dyDescent="0.25">
      <c r="A32" t="s">
        <v>10</v>
      </c>
      <c r="B32" t="s">
        <v>662</v>
      </c>
      <c r="C32" s="7">
        <v>0</v>
      </c>
      <c r="D32" s="7">
        <v>0</v>
      </c>
      <c r="E32" s="7">
        <v>0</v>
      </c>
      <c r="F32" s="7">
        <v>0</v>
      </c>
      <c r="G32" s="7">
        <v>0</v>
      </c>
      <c r="H32" s="7">
        <v>0</v>
      </c>
      <c r="I32" s="7">
        <v>0</v>
      </c>
    </row>
    <row r="33" spans="1:9" x14ac:dyDescent="0.25">
      <c r="A33" t="s">
        <v>10</v>
      </c>
      <c r="B33" t="s">
        <v>663</v>
      </c>
      <c r="C33" s="7">
        <v>0</v>
      </c>
      <c r="D33" s="7">
        <v>0</v>
      </c>
      <c r="E33" s="7">
        <v>0</v>
      </c>
      <c r="F33" s="7">
        <v>0</v>
      </c>
      <c r="G33" s="7">
        <v>0</v>
      </c>
      <c r="H33" s="7">
        <v>0</v>
      </c>
      <c r="I33" s="7">
        <v>0</v>
      </c>
    </row>
    <row r="34" spans="1:9" x14ac:dyDescent="0.25">
      <c r="A34" t="s">
        <v>10</v>
      </c>
      <c r="B34" t="s">
        <v>664</v>
      </c>
      <c r="C34" s="7">
        <v>0</v>
      </c>
      <c r="D34" s="7">
        <v>0</v>
      </c>
      <c r="E34" s="7">
        <v>0</v>
      </c>
      <c r="F34" s="7">
        <v>0</v>
      </c>
      <c r="G34" s="7">
        <v>0</v>
      </c>
      <c r="H34" s="7">
        <v>0</v>
      </c>
      <c r="I34" s="7">
        <v>0</v>
      </c>
    </row>
    <row r="35" spans="1:9" x14ac:dyDescent="0.25">
      <c r="A35" t="s">
        <v>10</v>
      </c>
      <c r="B35" t="s">
        <v>665</v>
      </c>
      <c r="C35" s="7">
        <v>0</v>
      </c>
      <c r="D35" s="7">
        <v>0</v>
      </c>
      <c r="E35" s="7">
        <v>0</v>
      </c>
      <c r="F35" s="7">
        <v>0</v>
      </c>
      <c r="G35" s="7">
        <v>0</v>
      </c>
      <c r="H35" s="7">
        <v>0</v>
      </c>
      <c r="I35" s="7">
        <v>0</v>
      </c>
    </row>
    <row r="36" spans="1:9" x14ac:dyDescent="0.25">
      <c r="A36" t="s">
        <v>10</v>
      </c>
      <c r="B36" t="s">
        <v>666</v>
      </c>
      <c r="C36" s="7">
        <v>0</v>
      </c>
      <c r="D36" s="7">
        <v>0</v>
      </c>
      <c r="E36" s="7">
        <v>0</v>
      </c>
      <c r="F36" s="7">
        <v>0</v>
      </c>
      <c r="G36" s="7">
        <v>0</v>
      </c>
      <c r="H36" s="7">
        <v>0</v>
      </c>
      <c r="I36" s="7">
        <v>0</v>
      </c>
    </row>
    <row r="37" spans="1:9" x14ac:dyDescent="0.25">
      <c r="A37" t="s">
        <v>10</v>
      </c>
      <c r="B37" t="s">
        <v>667</v>
      </c>
      <c r="C37" s="7">
        <v>0</v>
      </c>
      <c r="D37" s="7">
        <v>0</v>
      </c>
      <c r="E37" s="7">
        <v>0</v>
      </c>
      <c r="F37" s="7">
        <v>0</v>
      </c>
      <c r="G37" s="7">
        <v>0</v>
      </c>
      <c r="H37" s="7">
        <v>0</v>
      </c>
      <c r="I37" s="7">
        <v>0</v>
      </c>
    </row>
    <row r="38" spans="1:9" x14ac:dyDescent="0.25">
      <c r="A38" t="s">
        <v>11</v>
      </c>
      <c r="C38" s="7">
        <v>0</v>
      </c>
      <c r="D38" s="7">
        <v>0</v>
      </c>
      <c r="E38" s="7">
        <v>0</v>
      </c>
      <c r="F38" s="7">
        <v>0</v>
      </c>
      <c r="G38" s="7">
        <v>0</v>
      </c>
      <c r="H38" s="7">
        <v>0</v>
      </c>
      <c r="I38" s="7">
        <v>0</v>
      </c>
    </row>
    <row r="39" spans="1:9" x14ac:dyDescent="0.25">
      <c r="A39" t="s">
        <v>11</v>
      </c>
      <c r="B39" t="s">
        <v>668</v>
      </c>
      <c r="C39" s="7">
        <v>0</v>
      </c>
      <c r="D39" s="7">
        <v>0</v>
      </c>
      <c r="E39" s="7">
        <v>0</v>
      </c>
      <c r="F39" s="7">
        <v>0</v>
      </c>
      <c r="G39" s="7">
        <v>0</v>
      </c>
      <c r="H39" s="7">
        <v>0</v>
      </c>
      <c r="I39" s="7">
        <v>0</v>
      </c>
    </row>
    <row r="40" spans="1:9" x14ac:dyDescent="0.25">
      <c r="A40" t="s">
        <v>11</v>
      </c>
      <c r="B40" t="s">
        <v>669</v>
      </c>
      <c r="C40" s="7">
        <v>0</v>
      </c>
      <c r="D40" s="7">
        <v>0</v>
      </c>
      <c r="E40" s="7">
        <v>0</v>
      </c>
      <c r="F40" s="7">
        <v>0</v>
      </c>
      <c r="G40" s="7">
        <v>0</v>
      </c>
      <c r="H40" s="7">
        <v>0</v>
      </c>
      <c r="I40" s="7">
        <v>0</v>
      </c>
    </row>
    <row r="41" spans="1:9" x14ac:dyDescent="0.25">
      <c r="A41" t="s">
        <v>11</v>
      </c>
      <c r="B41" t="s">
        <v>670</v>
      </c>
      <c r="C41" s="7">
        <v>0</v>
      </c>
      <c r="D41" s="7">
        <v>0</v>
      </c>
      <c r="E41" s="7">
        <v>0</v>
      </c>
      <c r="F41" s="7">
        <v>0</v>
      </c>
      <c r="G41" s="7">
        <v>0</v>
      </c>
      <c r="H41" s="7">
        <v>0</v>
      </c>
      <c r="I41" s="7">
        <v>0</v>
      </c>
    </row>
    <row r="42" spans="1:9" x14ac:dyDescent="0.25">
      <c r="A42" t="s">
        <v>11</v>
      </c>
      <c r="B42" t="s">
        <v>671</v>
      </c>
      <c r="C42" s="7">
        <v>0</v>
      </c>
      <c r="D42" s="7">
        <v>0</v>
      </c>
      <c r="E42" s="7">
        <v>0</v>
      </c>
      <c r="F42" s="7">
        <v>0</v>
      </c>
      <c r="G42" s="7">
        <v>0</v>
      </c>
      <c r="H42" s="7">
        <v>0</v>
      </c>
      <c r="I42" s="7">
        <v>0</v>
      </c>
    </row>
    <row r="43" spans="1:9" x14ac:dyDescent="0.25">
      <c r="A43" t="s">
        <v>11</v>
      </c>
      <c r="B43" t="s">
        <v>672</v>
      </c>
      <c r="C43" s="7">
        <v>0</v>
      </c>
      <c r="D43" s="7">
        <v>0</v>
      </c>
      <c r="E43" s="7">
        <v>0</v>
      </c>
      <c r="F43" s="7">
        <v>0</v>
      </c>
      <c r="G43" s="7">
        <v>0</v>
      </c>
      <c r="H43" s="7">
        <v>0</v>
      </c>
      <c r="I43" s="7">
        <v>0</v>
      </c>
    </row>
    <row r="44" spans="1:9" x14ac:dyDescent="0.25">
      <c r="A44" t="s">
        <v>11</v>
      </c>
      <c r="B44" t="s">
        <v>673</v>
      </c>
      <c r="C44" s="7">
        <v>0</v>
      </c>
      <c r="D44" s="7">
        <v>0</v>
      </c>
      <c r="E44" s="7">
        <v>0</v>
      </c>
      <c r="F44" s="7">
        <v>0</v>
      </c>
      <c r="G44" s="7">
        <v>0</v>
      </c>
      <c r="H44" s="7">
        <v>0</v>
      </c>
      <c r="I44" s="7">
        <v>0</v>
      </c>
    </row>
    <row r="45" spans="1:9" x14ac:dyDescent="0.25">
      <c r="A45" t="s">
        <v>11</v>
      </c>
      <c r="B45" t="s">
        <v>674</v>
      </c>
      <c r="C45" s="7">
        <v>0</v>
      </c>
      <c r="D45" s="7">
        <v>0</v>
      </c>
      <c r="E45" s="7">
        <v>0</v>
      </c>
      <c r="F45" s="7">
        <v>0</v>
      </c>
      <c r="G45" s="7">
        <v>0</v>
      </c>
      <c r="H45" s="7">
        <v>0</v>
      </c>
      <c r="I45" s="7">
        <v>0</v>
      </c>
    </row>
    <row r="46" spans="1:9" x14ac:dyDescent="0.25">
      <c r="A46" t="s">
        <v>12</v>
      </c>
      <c r="C46" s="7">
        <v>100000</v>
      </c>
      <c r="D46" s="7">
        <v>100000</v>
      </c>
      <c r="E46" s="7">
        <v>0</v>
      </c>
      <c r="F46" s="7">
        <v>0</v>
      </c>
      <c r="G46" s="7">
        <v>0</v>
      </c>
      <c r="H46" s="7">
        <v>0</v>
      </c>
      <c r="I46" s="7">
        <v>200000</v>
      </c>
    </row>
    <row r="47" spans="1:9" x14ac:dyDescent="0.25">
      <c r="A47" t="s">
        <v>12</v>
      </c>
      <c r="B47" t="s">
        <v>2572</v>
      </c>
      <c r="C47" s="7">
        <v>0</v>
      </c>
      <c r="D47" s="7">
        <v>0</v>
      </c>
      <c r="E47" s="7">
        <v>0</v>
      </c>
      <c r="F47" s="7">
        <v>0</v>
      </c>
      <c r="G47" s="7">
        <v>0</v>
      </c>
      <c r="H47" s="7">
        <v>0</v>
      </c>
      <c r="I47" s="7">
        <v>0</v>
      </c>
    </row>
    <row r="48" spans="1:9" x14ac:dyDescent="0.25">
      <c r="A48" t="s">
        <v>12</v>
      </c>
      <c r="B48" t="s">
        <v>2574</v>
      </c>
      <c r="C48" s="7">
        <v>100000</v>
      </c>
      <c r="D48" s="7">
        <v>0</v>
      </c>
      <c r="E48" s="7">
        <v>0</v>
      </c>
      <c r="F48" s="7">
        <v>0</v>
      </c>
      <c r="G48" s="7">
        <v>0</v>
      </c>
      <c r="H48" s="7">
        <v>0</v>
      </c>
      <c r="I48" s="7">
        <v>100000</v>
      </c>
    </row>
    <row r="49" spans="1:9" x14ac:dyDescent="0.25">
      <c r="A49" t="s">
        <v>12</v>
      </c>
      <c r="B49" t="s">
        <v>2576</v>
      </c>
      <c r="C49" s="7">
        <v>0</v>
      </c>
      <c r="D49" s="7">
        <v>100000</v>
      </c>
      <c r="E49" s="7">
        <v>0</v>
      </c>
      <c r="F49" s="7">
        <v>0</v>
      </c>
      <c r="G49" s="7">
        <v>0</v>
      </c>
      <c r="H49" s="7">
        <v>0</v>
      </c>
      <c r="I49" s="7">
        <v>100000</v>
      </c>
    </row>
    <row r="50" spans="1:9" x14ac:dyDescent="0.25">
      <c r="A50" t="s">
        <v>12</v>
      </c>
      <c r="B50" t="s">
        <v>2578</v>
      </c>
      <c r="C50" s="7">
        <v>0</v>
      </c>
      <c r="D50" s="7">
        <v>0</v>
      </c>
      <c r="E50" s="7">
        <v>0</v>
      </c>
      <c r="F50" s="7">
        <v>0</v>
      </c>
      <c r="G50" s="7">
        <v>0</v>
      </c>
      <c r="H50" s="7">
        <v>0</v>
      </c>
      <c r="I50" s="7">
        <v>0</v>
      </c>
    </row>
    <row r="51" spans="1:9" x14ac:dyDescent="0.25">
      <c r="A51" t="s">
        <v>12</v>
      </c>
      <c r="B51" t="s">
        <v>2580</v>
      </c>
      <c r="C51" s="7">
        <v>0</v>
      </c>
      <c r="D51" s="7">
        <v>0</v>
      </c>
      <c r="E51" s="7">
        <v>0</v>
      </c>
      <c r="F51" s="7">
        <v>0</v>
      </c>
      <c r="G51" s="7">
        <v>0</v>
      </c>
      <c r="H51" s="7">
        <v>0</v>
      </c>
      <c r="I51" s="7">
        <v>0</v>
      </c>
    </row>
    <row r="52" spans="1:9" x14ac:dyDescent="0.25">
      <c r="A52" t="s">
        <v>13</v>
      </c>
      <c r="C52" s="7">
        <v>15000</v>
      </c>
      <c r="D52" s="7">
        <v>15000</v>
      </c>
      <c r="E52" s="7">
        <v>15000</v>
      </c>
      <c r="F52" s="7">
        <v>15000</v>
      </c>
      <c r="G52" s="7">
        <v>15000</v>
      </c>
      <c r="H52" s="7">
        <v>15000</v>
      </c>
      <c r="I52" s="7">
        <v>90000</v>
      </c>
    </row>
    <row r="53" spans="1:9" x14ac:dyDescent="0.25">
      <c r="A53" t="s">
        <v>13</v>
      </c>
      <c r="B53" t="s">
        <v>675</v>
      </c>
      <c r="C53" s="7">
        <v>0</v>
      </c>
      <c r="D53" s="7">
        <v>0</v>
      </c>
      <c r="E53" s="7">
        <v>0</v>
      </c>
      <c r="F53" s="7">
        <v>0</v>
      </c>
      <c r="G53" s="7">
        <v>0</v>
      </c>
      <c r="H53" s="7">
        <v>0</v>
      </c>
      <c r="I53" s="7">
        <v>0</v>
      </c>
    </row>
    <row r="54" spans="1:9" x14ac:dyDescent="0.25">
      <c r="A54" t="s">
        <v>13</v>
      </c>
      <c r="B54" t="s">
        <v>676</v>
      </c>
      <c r="C54" s="7">
        <v>0</v>
      </c>
      <c r="D54" s="7">
        <v>0</v>
      </c>
      <c r="E54" s="7">
        <v>0</v>
      </c>
      <c r="F54" s="7">
        <v>0</v>
      </c>
      <c r="G54" s="7">
        <v>0</v>
      </c>
      <c r="H54" s="7">
        <v>0</v>
      </c>
      <c r="I54" s="7">
        <v>0</v>
      </c>
    </row>
    <row r="55" spans="1:9" x14ac:dyDescent="0.25">
      <c r="A55" t="s">
        <v>13</v>
      </c>
      <c r="B55" t="s">
        <v>677</v>
      </c>
      <c r="C55" s="7">
        <v>15000</v>
      </c>
      <c r="D55" s="7">
        <v>15000</v>
      </c>
      <c r="E55" s="7">
        <v>15000</v>
      </c>
      <c r="F55" s="7">
        <v>15000</v>
      </c>
      <c r="G55" s="7">
        <v>15000</v>
      </c>
      <c r="H55" s="7">
        <v>15000</v>
      </c>
      <c r="I55" s="7">
        <v>90000</v>
      </c>
    </row>
    <row r="56" spans="1:9" x14ac:dyDescent="0.25">
      <c r="A56" t="s">
        <v>13</v>
      </c>
      <c r="B56" t="s">
        <v>678</v>
      </c>
      <c r="C56" s="7">
        <v>0</v>
      </c>
      <c r="D56" s="7">
        <v>0</v>
      </c>
      <c r="E56" s="7">
        <v>0</v>
      </c>
      <c r="F56" s="7">
        <v>0</v>
      </c>
      <c r="G56" s="7">
        <v>0</v>
      </c>
      <c r="H56" s="7">
        <v>0</v>
      </c>
      <c r="I56" s="7">
        <v>0</v>
      </c>
    </row>
    <row r="57" spans="1:9" x14ac:dyDescent="0.25">
      <c r="A57" t="s">
        <v>14</v>
      </c>
      <c r="C57" s="7">
        <v>0</v>
      </c>
      <c r="D57" s="7">
        <v>0</v>
      </c>
      <c r="E57" s="7">
        <v>0</v>
      </c>
      <c r="F57" s="7">
        <v>0</v>
      </c>
      <c r="G57" s="7">
        <v>0</v>
      </c>
      <c r="H57" s="7">
        <v>0</v>
      </c>
      <c r="I57" s="7">
        <v>0</v>
      </c>
    </row>
    <row r="58" spans="1:9" x14ac:dyDescent="0.25">
      <c r="A58" t="s">
        <v>14</v>
      </c>
      <c r="B58" t="s">
        <v>2797</v>
      </c>
      <c r="C58" s="7">
        <v>0</v>
      </c>
      <c r="D58" s="7">
        <v>0</v>
      </c>
      <c r="E58" s="7">
        <v>0</v>
      </c>
      <c r="F58" s="7">
        <v>0</v>
      </c>
      <c r="G58" s="7">
        <v>0</v>
      </c>
      <c r="H58" s="7">
        <v>0</v>
      </c>
      <c r="I58" s="7">
        <v>0</v>
      </c>
    </row>
    <row r="59" spans="1:9" x14ac:dyDescent="0.25">
      <c r="A59" t="s">
        <v>14</v>
      </c>
      <c r="B59" t="s">
        <v>2799</v>
      </c>
      <c r="C59" s="7">
        <v>0</v>
      </c>
      <c r="D59" s="7">
        <v>0</v>
      </c>
      <c r="E59" s="7">
        <v>0</v>
      </c>
      <c r="F59" s="7">
        <v>0</v>
      </c>
      <c r="G59" s="7">
        <v>0</v>
      </c>
      <c r="H59" s="7">
        <v>0</v>
      </c>
      <c r="I59" s="7">
        <v>0</v>
      </c>
    </row>
    <row r="60" spans="1:9" x14ac:dyDescent="0.25">
      <c r="A60" t="s">
        <v>14</v>
      </c>
      <c r="B60" t="s">
        <v>2801</v>
      </c>
      <c r="C60" s="7">
        <v>0</v>
      </c>
      <c r="D60" s="7">
        <v>0</v>
      </c>
      <c r="E60" s="7">
        <v>0</v>
      </c>
      <c r="F60" s="7">
        <v>0</v>
      </c>
      <c r="G60" s="7">
        <v>0</v>
      </c>
      <c r="H60" s="7">
        <v>0</v>
      </c>
      <c r="I60" s="7">
        <v>0</v>
      </c>
    </row>
    <row r="61" spans="1:9" x14ac:dyDescent="0.25">
      <c r="A61" t="s">
        <v>14</v>
      </c>
      <c r="B61" t="s">
        <v>2803</v>
      </c>
      <c r="C61" s="7">
        <v>0</v>
      </c>
      <c r="D61" s="7">
        <v>0</v>
      </c>
      <c r="E61" s="7">
        <v>0</v>
      </c>
      <c r="F61" s="7">
        <v>0</v>
      </c>
      <c r="G61" s="7">
        <v>0</v>
      </c>
      <c r="H61" s="7">
        <v>0</v>
      </c>
      <c r="I61" s="7">
        <v>0</v>
      </c>
    </row>
    <row r="62" spans="1:9" x14ac:dyDescent="0.25">
      <c r="A62" t="s">
        <v>14</v>
      </c>
      <c r="B62" t="s">
        <v>2805</v>
      </c>
      <c r="C62" s="7">
        <v>0</v>
      </c>
      <c r="D62" s="7">
        <v>0</v>
      </c>
      <c r="E62" s="7">
        <v>0</v>
      </c>
      <c r="F62" s="7">
        <v>0</v>
      </c>
      <c r="G62" s="7">
        <v>0</v>
      </c>
      <c r="H62" s="7">
        <v>0</v>
      </c>
      <c r="I62" s="7">
        <v>0</v>
      </c>
    </row>
    <row r="63" spans="1:9" x14ac:dyDescent="0.25">
      <c r="A63" t="s">
        <v>14</v>
      </c>
      <c r="B63" t="s">
        <v>2807</v>
      </c>
      <c r="C63" s="7">
        <v>0</v>
      </c>
      <c r="D63" s="7">
        <v>0</v>
      </c>
      <c r="E63" s="7">
        <v>0</v>
      </c>
      <c r="F63" s="7">
        <v>0</v>
      </c>
      <c r="G63" s="7">
        <v>0</v>
      </c>
      <c r="H63" s="7">
        <v>0</v>
      </c>
      <c r="I63" s="7">
        <v>0</v>
      </c>
    </row>
    <row r="64" spans="1:9" x14ac:dyDescent="0.25">
      <c r="A64" t="s">
        <v>14</v>
      </c>
      <c r="B64" t="s">
        <v>2809</v>
      </c>
      <c r="C64" s="7">
        <v>0</v>
      </c>
      <c r="D64" s="7">
        <v>0</v>
      </c>
      <c r="E64" s="7">
        <v>0</v>
      </c>
      <c r="F64" s="7">
        <v>0</v>
      </c>
      <c r="G64" s="7">
        <v>0</v>
      </c>
      <c r="H64" s="7">
        <v>0</v>
      </c>
      <c r="I64" s="7">
        <v>0</v>
      </c>
    </row>
    <row r="65" spans="1:9" x14ac:dyDescent="0.25">
      <c r="A65" t="s">
        <v>14</v>
      </c>
      <c r="B65" t="s">
        <v>2811</v>
      </c>
      <c r="C65" s="7">
        <v>0</v>
      </c>
      <c r="D65" s="7">
        <v>0</v>
      </c>
      <c r="E65" s="7">
        <v>0</v>
      </c>
      <c r="F65" s="7">
        <v>0</v>
      </c>
      <c r="G65" s="7">
        <v>0</v>
      </c>
      <c r="H65" s="7">
        <v>0</v>
      </c>
      <c r="I65" s="7">
        <v>0</v>
      </c>
    </row>
    <row r="66" spans="1:9" x14ac:dyDescent="0.25">
      <c r="A66" t="s">
        <v>14</v>
      </c>
      <c r="B66" t="s">
        <v>2813</v>
      </c>
      <c r="C66" s="7">
        <v>0</v>
      </c>
      <c r="D66" s="7">
        <v>0</v>
      </c>
      <c r="E66" s="7">
        <v>0</v>
      </c>
      <c r="F66" s="7">
        <v>0</v>
      </c>
      <c r="G66" s="7">
        <v>0</v>
      </c>
      <c r="H66" s="7">
        <v>0</v>
      </c>
      <c r="I66" s="7">
        <v>0</v>
      </c>
    </row>
    <row r="67" spans="1:9" x14ac:dyDescent="0.25">
      <c r="A67" t="s">
        <v>15</v>
      </c>
      <c r="C67" s="7">
        <v>0</v>
      </c>
      <c r="D67" s="7">
        <v>0</v>
      </c>
      <c r="E67" s="7">
        <v>0</v>
      </c>
      <c r="F67" s="7">
        <v>50000</v>
      </c>
      <c r="G67" s="7">
        <v>1600000</v>
      </c>
      <c r="H67" s="7">
        <v>0</v>
      </c>
      <c r="I67" s="7">
        <v>1650000</v>
      </c>
    </row>
    <row r="68" spans="1:9" x14ac:dyDescent="0.25">
      <c r="A68" t="s">
        <v>15</v>
      </c>
      <c r="B68" t="s">
        <v>679</v>
      </c>
      <c r="C68" s="7">
        <v>0</v>
      </c>
      <c r="D68" s="7">
        <v>0</v>
      </c>
      <c r="E68" s="7">
        <v>0</v>
      </c>
      <c r="F68" s="7">
        <v>50000</v>
      </c>
      <c r="G68" s="7">
        <v>0</v>
      </c>
      <c r="H68" s="7">
        <v>0</v>
      </c>
      <c r="I68" s="7">
        <v>50000</v>
      </c>
    </row>
    <row r="69" spans="1:9" x14ac:dyDescent="0.25">
      <c r="A69" t="s">
        <v>15</v>
      </c>
      <c r="B69" t="s">
        <v>680</v>
      </c>
      <c r="C69" s="7">
        <v>0</v>
      </c>
      <c r="D69" s="7">
        <v>0</v>
      </c>
      <c r="E69" s="7">
        <v>0</v>
      </c>
      <c r="F69" s="7">
        <v>0</v>
      </c>
      <c r="G69" s="7">
        <v>750000</v>
      </c>
      <c r="H69" s="7">
        <v>0</v>
      </c>
      <c r="I69" s="7">
        <v>750000</v>
      </c>
    </row>
    <row r="70" spans="1:9" x14ac:dyDescent="0.25">
      <c r="A70" t="s">
        <v>15</v>
      </c>
      <c r="B70" t="s">
        <v>681</v>
      </c>
      <c r="C70" s="7">
        <v>0</v>
      </c>
      <c r="D70" s="7">
        <v>0</v>
      </c>
      <c r="E70" s="7">
        <v>0</v>
      </c>
      <c r="F70" s="7">
        <v>0</v>
      </c>
      <c r="G70" s="7">
        <v>850000</v>
      </c>
      <c r="H70" s="7">
        <v>0</v>
      </c>
      <c r="I70" s="7">
        <v>850000</v>
      </c>
    </row>
    <row r="71" spans="1:9" x14ac:dyDescent="0.25">
      <c r="A71" t="s">
        <v>15</v>
      </c>
      <c r="B71" t="s">
        <v>682</v>
      </c>
      <c r="C71" s="7">
        <v>0</v>
      </c>
      <c r="D71" s="7">
        <v>0</v>
      </c>
      <c r="E71" s="7">
        <v>0</v>
      </c>
      <c r="F71" s="7">
        <v>0</v>
      </c>
      <c r="G71" s="7">
        <v>0</v>
      </c>
      <c r="H71" s="7">
        <v>0</v>
      </c>
      <c r="I71" s="7">
        <v>0</v>
      </c>
    </row>
    <row r="72" spans="1:9" x14ac:dyDescent="0.25">
      <c r="A72" t="s">
        <v>16</v>
      </c>
      <c r="C72" s="7">
        <v>53000</v>
      </c>
      <c r="D72" s="7">
        <v>63000</v>
      </c>
      <c r="E72" s="7">
        <v>103000</v>
      </c>
      <c r="F72" s="7">
        <v>3000</v>
      </c>
      <c r="G72" s="7">
        <v>3000</v>
      </c>
      <c r="H72" s="7">
        <v>3000</v>
      </c>
      <c r="I72" s="7">
        <v>228000</v>
      </c>
    </row>
    <row r="73" spans="1:9" x14ac:dyDescent="0.25">
      <c r="A73" t="s">
        <v>16</v>
      </c>
      <c r="B73" t="s">
        <v>683</v>
      </c>
      <c r="C73" s="7">
        <v>10000</v>
      </c>
      <c r="D73" s="7">
        <v>10000</v>
      </c>
      <c r="E73" s="7">
        <v>0</v>
      </c>
      <c r="F73" s="7">
        <v>0</v>
      </c>
      <c r="G73" s="7">
        <v>0</v>
      </c>
      <c r="H73" s="7">
        <v>0</v>
      </c>
      <c r="I73" s="7">
        <v>20000</v>
      </c>
    </row>
    <row r="74" spans="1:9" x14ac:dyDescent="0.25">
      <c r="A74" t="s">
        <v>16</v>
      </c>
      <c r="B74" t="s">
        <v>684</v>
      </c>
      <c r="C74" s="7">
        <v>40000</v>
      </c>
      <c r="D74" s="7">
        <v>0</v>
      </c>
      <c r="E74" s="7">
        <v>0</v>
      </c>
      <c r="F74" s="7">
        <v>0</v>
      </c>
      <c r="G74" s="7">
        <v>0</v>
      </c>
      <c r="H74" s="7">
        <v>0</v>
      </c>
      <c r="I74" s="7">
        <v>40000</v>
      </c>
    </row>
    <row r="75" spans="1:9" x14ac:dyDescent="0.25">
      <c r="A75" t="s">
        <v>16</v>
      </c>
      <c r="B75" t="s">
        <v>685</v>
      </c>
      <c r="C75" s="7">
        <v>0</v>
      </c>
      <c r="D75" s="7">
        <v>50000</v>
      </c>
      <c r="E75" s="7">
        <v>0</v>
      </c>
      <c r="F75" s="7">
        <v>0</v>
      </c>
      <c r="G75" s="7">
        <v>0</v>
      </c>
      <c r="H75" s="7">
        <v>0</v>
      </c>
      <c r="I75" s="7">
        <v>50000</v>
      </c>
    </row>
    <row r="76" spans="1:9" x14ac:dyDescent="0.25">
      <c r="A76" t="s">
        <v>16</v>
      </c>
      <c r="B76" t="s">
        <v>686</v>
      </c>
      <c r="C76" s="7">
        <v>0</v>
      </c>
      <c r="D76" s="7">
        <v>0</v>
      </c>
      <c r="E76" s="7">
        <v>100000</v>
      </c>
      <c r="F76" s="7">
        <v>0</v>
      </c>
      <c r="G76" s="7">
        <v>0</v>
      </c>
      <c r="H76" s="7">
        <v>0</v>
      </c>
      <c r="I76" s="7">
        <v>100000</v>
      </c>
    </row>
    <row r="77" spans="1:9" x14ac:dyDescent="0.25">
      <c r="A77" t="s">
        <v>16</v>
      </c>
      <c r="B77" t="s">
        <v>687</v>
      </c>
      <c r="C77" s="7">
        <v>3000</v>
      </c>
      <c r="D77" s="7">
        <v>3000</v>
      </c>
      <c r="E77" s="7">
        <v>3000</v>
      </c>
      <c r="F77" s="7">
        <v>3000</v>
      </c>
      <c r="G77" s="7">
        <v>3000</v>
      </c>
      <c r="H77" s="7">
        <v>3000</v>
      </c>
      <c r="I77" s="7">
        <v>18000</v>
      </c>
    </row>
    <row r="78" spans="1:9" x14ac:dyDescent="0.25">
      <c r="A78" t="s">
        <v>16</v>
      </c>
      <c r="B78" t="s">
        <v>688</v>
      </c>
      <c r="C78" s="7">
        <v>0</v>
      </c>
      <c r="D78" s="7">
        <v>0</v>
      </c>
      <c r="E78" s="7">
        <v>0</v>
      </c>
      <c r="F78" s="7">
        <v>0</v>
      </c>
      <c r="G78" s="7">
        <v>0</v>
      </c>
      <c r="H78" s="7">
        <v>0</v>
      </c>
      <c r="I78" s="7">
        <v>0</v>
      </c>
    </row>
    <row r="79" spans="1:9" x14ac:dyDescent="0.25">
      <c r="A79" t="s">
        <v>18</v>
      </c>
      <c r="C79" s="7">
        <v>1841580</v>
      </c>
      <c r="D79" s="7">
        <v>1871580</v>
      </c>
      <c r="E79" s="7">
        <v>1856580</v>
      </c>
      <c r="F79" s="7">
        <v>1856580</v>
      </c>
      <c r="G79" s="7">
        <v>1841580</v>
      </c>
      <c r="H79" s="7">
        <v>1841580</v>
      </c>
      <c r="I79" s="7">
        <v>11109480</v>
      </c>
    </row>
    <row r="80" spans="1:9" x14ac:dyDescent="0.25">
      <c r="A80" t="s">
        <v>18</v>
      </c>
      <c r="B80" t="s">
        <v>689</v>
      </c>
      <c r="C80" s="7">
        <v>25580</v>
      </c>
      <c r="D80" s="7">
        <v>25580</v>
      </c>
      <c r="E80" s="7">
        <v>25580</v>
      </c>
      <c r="F80" s="7">
        <v>25580</v>
      </c>
      <c r="G80" s="7">
        <v>25580</v>
      </c>
      <c r="H80" s="7">
        <v>25580</v>
      </c>
      <c r="I80" s="7">
        <v>153480</v>
      </c>
    </row>
    <row r="81" spans="1:9" x14ac:dyDescent="0.25">
      <c r="A81" t="s">
        <v>18</v>
      </c>
      <c r="B81" t="s">
        <v>690</v>
      </c>
      <c r="C81" s="7">
        <v>0</v>
      </c>
      <c r="D81" s="7">
        <v>0</v>
      </c>
      <c r="E81" s="7">
        <v>0</v>
      </c>
      <c r="F81" s="7">
        <v>0</v>
      </c>
      <c r="G81" s="7">
        <v>0</v>
      </c>
      <c r="H81" s="7">
        <v>0</v>
      </c>
      <c r="I81" s="7">
        <v>0</v>
      </c>
    </row>
    <row r="82" spans="1:9" x14ac:dyDescent="0.25">
      <c r="A82" t="s">
        <v>18</v>
      </c>
      <c r="B82" t="s">
        <v>691</v>
      </c>
      <c r="C82" s="7">
        <v>1816000</v>
      </c>
      <c r="D82" s="7">
        <v>1816000</v>
      </c>
      <c r="E82" s="7">
        <v>1816000</v>
      </c>
      <c r="F82" s="7">
        <v>1816000</v>
      </c>
      <c r="G82" s="7">
        <v>1816000</v>
      </c>
      <c r="H82" s="7">
        <v>1816000</v>
      </c>
      <c r="I82" s="7">
        <v>10896000</v>
      </c>
    </row>
    <row r="83" spans="1:9" x14ac:dyDescent="0.25">
      <c r="A83" t="s">
        <v>18</v>
      </c>
      <c r="B83" t="s">
        <v>692</v>
      </c>
      <c r="C83" s="7">
        <v>0</v>
      </c>
      <c r="D83" s="7">
        <v>0</v>
      </c>
      <c r="E83" s="7">
        <v>0</v>
      </c>
      <c r="F83" s="7">
        <v>0</v>
      </c>
      <c r="G83" s="7">
        <v>0</v>
      </c>
      <c r="H83" s="7">
        <v>0</v>
      </c>
      <c r="I83" s="7">
        <v>0</v>
      </c>
    </row>
    <row r="84" spans="1:9" x14ac:dyDescent="0.25">
      <c r="A84" t="s">
        <v>18</v>
      </c>
      <c r="B84" t="s">
        <v>693</v>
      </c>
      <c r="C84" s="7">
        <v>0</v>
      </c>
      <c r="D84" s="7">
        <v>0</v>
      </c>
      <c r="E84" s="7">
        <v>0</v>
      </c>
      <c r="F84" s="7">
        <v>0</v>
      </c>
      <c r="G84" s="7">
        <v>0</v>
      </c>
      <c r="H84" s="7">
        <v>0</v>
      </c>
      <c r="I84" s="7">
        <v>0</v>
      </c>
    </row>
    <row r="85" spans="1:9" x14ac:dyDescent="0.25">
      <c r="A85" t="s">
        <v>18</v>
      </c>
      <c r="B85" t="s">
        <v>694</v>
      </c>
      <c r="C85" s="7">
        <v>0</v>
      </c>
      <c r="D85" s="7">
        <v>30000</v>
      </c>
      <c r="E85" s="7">
        <v>0</v>
      </c>
      <c r="F85" s="7">
        <v>0</v>
      </c>
      <c r="G85" s="7">
        <v>0</v>
      </c>
      <c r="H85" s="7">
        <v>0</v>
      </c>
      <c r="I85" s="7">
        <v>30000</v>
      </c>
    </row>
    <row r="86" spans="1:9" x14ac:dyDescent="0.25">
      <c r="A86" t="s">
        <v>18</v>
      </c>
      <c r="B86" t="s">
        <v>695</v>
      </c>
      <c r="C86" s="7">
        <v>0</v>
      </c>
      <c r="D86" s="7">
        <v>0</v>
      </c>
      <c r="E86" s="7">
        <v>15000</v>
      </c>
      <c r="F86" s="7">
        <v>15000</v>
      </c>
      <c r="G86" s="7">
        <v>0</v>
      </c>
      <c r="H86" s="7">
        <v>0</v>
      </c>
      <c r="I86" s="7">
        <v>30000</v>
      </c>
    </row>
    <row r="87" spans="1:9" x14ac:dyDescent="0.25">
      <c r="A87" t="s">
        <v>18</v>
      </c>
      <c r="B87" t="s">
        <v>696</v>
      </c>
      <c r="C87" s="7">
        <v>0</v>
      </c>
      <c r="D87" s="7">
        <v>0</v>
      </c>
      <c r="E87" s="7">
        <v>0</v>
      </c>
      <c r="F87" s="7">
        <v>0</v>
      </c>
      <c r="G87" s="7">
        <v>0</v>
      </c>
      <c r="H87" s="7">
        <v>0</v>
      </c>
      <c r="I87" s="7">
        <v>0</v>
      </c>
    </row>
    <row r="88" spans="1:9" x14ac:dyDescent="0.25">
      <c r="A88" t="s">
        <v>18</v>
      </c>
      <c r="B88" t="s">
        <v>697</v>
      </c>
      <c r="C88" s="7">
        <v>0</v>
      </c>
      <c r="D88" s="7">
        <v>0</v>
      </c>
      <c r="E88" s="7">
        <v>0</v>
      </c>
      <c r="F88" s="7">
        <v>0</v>
      </c>
      <c r="G88" s="7">
        <v>0</v>
      </c>
      <c r="H88" s="7">
        <v>0</v>
      </c>
      <c r="I88" s="7">
        <v>0</v>
      </c>
    </row>
    <row r="89" spans="1:9" x14ac:dyDescent="0.25">
      <c r="A89" t="s">
        <v>18</v>
      </c>
      <c r="B89" t="s">
        <v>698</v>
      </c>
      <c r="C89" s="7">
        <v>0</v>
      </c>
      <c r="D89" s="7">
        <v>0</v>
      </c>
      <c r="E89" s="7">
        <v>0</v>
      </c>
      <c r="F89" s="7">
        <v>0</v>
      </c>
      <c r="G89" s="7">
        <v>0</v>
      </c>
      <c r="H89" s="7">
        <v>0</v>
      </c>
      <c r="I89" s="7">
        <v>0</v>
      </c>
    </row>
    <row r="90" spans="1:9" x14ac:dyDescent="0.25">
      <c r="A90" t="s">
        <v>18</v>
      </c>
      <c r="B90" t="s">
        <v>699</v>
      </c>
      <c r="C90" s="7">
        <v>0</v>
      </c>
      <c r="D90" s="7">
        <v>0</v>
      </c>
      <c r="E90" s="7">
        <v>0</v>
      </c>
      <c r="F90" s="7">
        <v>0</v>
      </c>
      <c r="G90" s="7">
        <v>0</v>
      </c>
      <c r="H90" s="7">
        <v>0</v>
      </c>
      <c r="I90" s="7">
        <v>0</v>
      </c>
    </row>
    <row r="91" spans="1:9" x14ac:dyDescent="0.25">
      <c r="A91" t="s">
        <v>19</v>
      </c>
      <c r="C91" s="7">
        <v>0</v>
      </c>
      <c r="D91" s="7">
        <v>0</v>
      </c>
      <c r="E91" s="7">
        <v>0</v>
      </c>
      <c r="F91" s="7">
        <v>0</v>
      </c>
      <c r="G91" s="7">
        <v>0</v>
      </c>
      <c r="H91" s="7">
        <v>0</v>
      </c>
      <c r="I91" s="7">
        <v>0</v>
      </c>
    </row>
    <row r="92" spans="1:9" x14ac:dyDescent="0.25">
      <c r="A92" t="s">
        <v>19</v>
      </c>
      <c r="B92" t="s">
        <v>2815</v>
      </c>
      <c r="C92" s="7">
        <v>0</v>
      </c>
      <c r="D92" s="7">
        <v>0</v>
      </c>
      <c r="E92" s="7">
        <v>0</v>
      </c>
      <c r="F92" s="7">
        <v>0</v>
      </c>
      <c r="G92" s="7">
        <v>0</v>
      </c>
      <c r="H92" s="7">
        <v>0</v>
      </c>
      <c r="I92" s="7">
        <v>0</v>
      </c>
    </row>
    <row r="93" spans="1:9" x14ac:dyDescent="0.25">
      <c r="A93" t="s">
        <v>19</v>
      </c>
      <c r="B93" t="s">
        <v>2817</v>
      </c>
      <c r="C93" s="7">
        <v>0</v>
      </c>
      <c r="D93" s="7">
        <v>0</v>
      </c>
      <c r="E93" s="7">
        <v>0</v>
      </c>
      <c r="F93" s="7">
        <v>0</v>
      </c>
      <c r="G93" s="7">
        <v>0</v>
      </c>
      <c r="H93" s="7">
        <v>0</v>
      </c>
      <c r="I93" s="7">
        <v>0</v>
      </c>
    </row>
    <row r="94" spans="1:9" x14ac:dyDescent="0.25">
      <c r="A94" t="s">
        <v>19</v>
      </c>
      <c r="B94" t="s">
        <v>2819</v>
      </c>
      <c r="C94" s="7">
        <v>0</v>
      </c>
      <c r="D94" s="7">
        <v>0</v>
      </c>
      <c r="E94" s="7">
        <v>0</v>
      </c>
      <c r="F94" s="7">
        <v>0</v>
      </c>
      <c r="G94" s="7">
        <v>0</v>
      </c>
      <c r="H94" s="7">
        <v>0</v>
      </c>
      <c r="I94" s="7">
        <v>0</v>
      </c>
    </row>
    <row r="95" spans="1:9" x14ac:dyDescent="0.25">
      <c r="A95" t="s">
        <v>19</v>
      </c>
      <c r="B95" t="s">
        <v>2821</v>
      </c>
      <c r="C95" s="7">
        <v>0</v>
      </c>
      <c r="D95" s="7">
        <v>0</v>
      </c>
      <c r="E95" s="7">
        <v>0</v>
      </c>
      <c r="F95" s="7">
        <v>0</v>
      </c>
      <c r="G95" s="7">
        <v>0</v>
      </c>
      <c r="H95" s="7">
        <v>0</v>
      </c>
      <c r="I95" s="7">
        <v>0</v>
      </c>
    </row>
    <row r="96" spans="1:9" x14ac:dyDescent="0.25">
      <c r="A96" t="s">
        <v>1</v>
      </c>
      <c r="C96" s="7">
        <v>460000</v>
      </c>
      <c r="D96" s="7">
        <v>1580000</v>
      </c>
      <c r="E96" s="7">
        <v>1100000</v>
      </c>
      <c r="F96" s="7">
        <v>685000</v>
      </c>
      <c r="G96" s="7">
        <v>4150000</v>
      </c>
      <c r="H96" s="7">
        <v>650000</v>
      </c>
      <c r="I96" s="7">
        <v>8625000</v>
      </c>
    </row>
    <row r="97" spans="1:9" x14ac:dyDescent="0.25">
      <c r="A97" t="s">
        <v>1</v>
      </c>
      <c r="B97" t="s">
        <v>700</v>
      </c>
      <c r="C97" s="7">
        <v>80000</v>
      </c>
      <c r="D97" s="7">
        <v>0</v>
      </c>
      <c r="E97" s="7">
        <v>0</v>
      </c>
      <c r="F97" s="7">
        <v>0</v>
      </c>
      <c r="G97" s="7">
        <v>0</v>
      </c>
      <c r="H97" s="7">
        <v>0</v>
      </c>
      <c r="I97" s="7">
        <v>80000</v>
      </c>
    </row>
    <row r="98" spans="1:9" x14ac:dyDescent="0.25">
      <c r="A98" t="s">
        <v>1</v>
      </c>
      <c r="B98" t="s">
        <v>701</v>
      </c>
      <c r="C98" s="7">
        <v>0</v>
      </c>
      <c r="D98" s="7">
        <v>0</v>
      </c>
      <c r="E98" s="7">
        <v>0</v>
      </c>
      <c r="F98" s="7">
        <v>0</v>
      </c>
      <c r="G98" s="7">
        <v>0</v>
      </c>
      <c r="H98" s="7">
        <v>0</v>
      </c>
      <c r="I98" s="7">
        <v>0</v>
      </c>
    </row>
    <row r="99" spans="1:9" x14ac:dyDescent="0.25">
      <c r="A99" t="s">
        <v>1</v>
      </c>
      <c r="B99" t="s">
        <v>702</v>
      </c>
      <c r="C99" s="7">
        <v>0</v>
      </c>
      <c r="D99" s="7">
        <v>0</v>
      </c>
      <c r="E99" s="7">
        <v>0</v>
      </c>
      <c r="F99" s="7">
        <v>0</v>
      </c>
      <c r="G99" s="7">
        <v>0</v>
      </c>
      <c r="H99" s="7">
        <v>0</v>
      </c>
      <c r="I99" s="7">
        <v>0</v>
      </c>
    </row>
    <row r="100" spans="1:9" x14ac:dyDescent="0.25">
      <c r="A100" t="s">
        <v>1</v>
      </c>
      <c r="B100" t="s">
        <v>703</v>
      </c>
      <c r="C100" s="7">
        <v>0</v>
      </c>
      <c r="D100" s="7">
        <v>0</v>
      </c>
      <c r="E100" s="7">
        <v>0</v>
      </c>
      <c r="F100" s="7">
        <v>0</v>
      </c>
      <c r="G100" s="7">
        <v>0</v>
      </c>
      <c r="H100" s="7">
        <v>0</v>
      </c>
      <c r="I100" s="7">
        <v>0</v>
      </c>
    </row>
    <row r="101" spans="1:9" x14ac:dyDescent="0.25">
      <c r="A101" t="s">
        <v>1</v>
      </c>
      <c r="B101" t="s">
        <v>704</v>
      </c>
      <c r="C101" s="7">
        <v>0</v>
      </c>
      <c r="D101" s="7">
        <v>0</v>
      </c>
      <c r="E101" s="7">
        <v>0</v>
      </c>
      <c r="F101" s="7">
        <v>0</v>
      </c>
      <c r="G101" s="7">
        <v>0</v>
      </c>
      <c r="H101" s="7">
        <v>0</v>
      </c>
      <c r="I101" s="7">
        <v>0</v>
      </c>
    </row>
    <row r="102" spans="1:9" x14ac:dyDescent="0.25">
      <c r="A102" t="s">
        <v>1</v>
      </c>
      <c r="B102" t="s">
        <v>705</v>
      </c>
      <c r="C102" s="7">
        <v>90000</v>
      </c>
      <c r="D102" s="7">
        <v>0</v>
      </c>
      <c r="E102" s="7">
        <v>0</v>
      </c>
      <c r="F102" s="7">
        <v>0</v>
      </c>
      <c r="G102" s="7">
        <v>0</v>
      </c>
      <c r="H102" s="7">
        <v>0</v>
      </c>
      <c r="I102" s="7">
        <v>90000</v>
      </c>
    </row>
    <row r="103" spans="1:9" x14ac:dyDescent="0.25">
      <c r="A103" t="s">
        <v>1</v>
      </c>
      <c r="B103" t="s">
        <v>706</v>
      </c>
      <c r="C103" s="7">
        <v>0</v>
      </c>
      <c r="D103" s="7">
        <v>600000</v>
      </c>
      <c r="E103" s="7">
        <v>0</v>
      </c>
      <c r="F103" s="7">
        <v>0</v>
      </c>
      <c r="G103" s="7">
        <v>0</v>
      </c>
      <c r="H103" s="7">
        <v>0</v>
      </c>
      <c r="I103" s="7">
        <v>600000</v>
      </c>
    </row>
    <row r="104" spans="1:9" x14ac:dyDescent="0.25">
      <c r="A104" t="s">
        <v>1</v>
      </c>
      <c r="B104" t="s">
        <v>707</v>
      </c>
      <c r="C104" s="7">
        <v>0</v>
      </c>
      <c r="D104" s="7">
        <v>0</v>
      </c>
      <c r="E104" s="7">
        <v>0</v>
      </c>
      <c r="F104" s="7">
        <v>0</v>
      </c>
      <c r="G104" s="7">
        <v>0</v>
      </c>
      <c r="H104" s="7">
        <v>0</v>
      </c>
      <c r="I104" s="7">
        <v>0</v>
      </c>
    </row>
    <row r="105" spans="1:9" x14ac:dyDescent="0.25">
      <c r="A105" t="s">
        <v>1</v>
      </c>
      <c r="B105" t="s">
        <v>708</v>
      </c>
      <c r="C105" s="7">
        <v>0</v>
      </c>
      <c r="D105" s="7">
        <v>0</v>
      </c>
      <c r="E105" s="7">
        <v>0</v>
      </c>
      <c r="F105" s="7">
        <v>0</v>
      </c>
      <c r="G105" s="7">
        <v>0</v>
      </c>
      <c r="H105" s="7">
        <v>0</v>
      </c>
      <c r="I105" s="7">
        <v>0</v>
      </c>
    </row>
    <row r="106" spans="1:9" x14ac:dyDescent="0.25">
      <c r="A106" t="s">
        <v>1</v>
      </c>
      <c r="B106" t="s">
        <v>709</v>
      </c>
      <c r="C106" s="7">
        <v>0</v>
      </c>
      <c r="D106" s="7">
        <v>0</v>
      </c>
      <c r="E106" s="7">
        <v>0</v>
      </c>
      <c r="F106" s="7">
        <v>0</v>
      </c>
      <c r="G106" s="7">
        <v>0</v>
      </c>
      <c r="H106" s="7">
        <v>0</v>
      </c>
      <c r="I106" s="7">
        <v>0</v>
      </c>
    </row>
    <row r="107" spans="1:9" x14ac:dyDescent="0.25">
      <c r="A107" t="s">
        <v>1</v>
      </c>
      <c r="B107" t="s">
        <v>710</v>
      </c>
      <c r="C107" s="7">
        <v>0</v>
      </c>
      <c r="D107" s="7">
        <v>0</v>
      </c>
      <c r="E107" s="7">
        <v>0</v>
      </c>
      <c r="F107" s="7">
        <v>0</v>
      </c>
      <c r="G107" s="7">
        <v>0</v>
      </c>
      <c r="H107" s="7">
        <v>0</v>
      </c>
      <c r="I107" s="7">
        <v>0</v>
      </c>
    </row>
    <row r="108" spans="1:9" x14ac:dyDescent="0.25">
      <c r="A108" t="s">
        <v>1</v>
      </c>
      <c r="B108" t="s">
        <v>711</v>
      </c>
      <c r="C108" s="7">
        <v>0</v>
      </c>
      <c r="D108" s="7">
        <v>0</v>
      </c>
      <c r="E108" s="7">
        <v>0</v>
      </c>
      <c r="F108" s="7">
        <v>0</v>
      </c>
      <c r="G108" s="7">
        <v>1500000</v>
      </c>
      <c r="H108" s="7">
        <v>0</v>
      </c>
      <c r="I108" s="7">
        <v>1500000</v>
      </c>
    </row>
    <row r="109" spans="1:9" x14ac:dyDescent="0.25">
      <c r="A109" t="s">
        <v>1</v>
      </c>
      <c r="B109" t="s">
        <v>712</v>
      </c>
      <c r="C109" s="7">
        <v>0</v>
      </c>
      <c r="D109" s="7">
        <v>0</v>
      </c>
      <c r="E109" s="7">
        <v>0</v>
      </c>
      <c r="F109" s="7">
        <v>0</v>
      </c>
      <c r="G109" s="7">
        <v>0</v>
      </c>
      <c r="H109" s="7">
        <v>0</v>
      </c>
      <c r="I109" s="7">
        <v>0</v>
      </c>
    </row>
    <row r="110" spans="1:9" x14ac:dyDescent="0.25">
      <c r="A110" t="s">
        <v>1</v>
      </c>
      <c r="B110" t="s">
        <v>713</v>
      </c>
      <c r="C110" s="7">
        <v>200000</v>
      </c>
      <c r="D110" s="7">
        <v>0</v>
      </c>
      <c r="E110" s="7">
        <v>0</v>
      </c>
      <c r="F110" s="7">
        <v>0</v>
      </c>
      <c r="G110" s="7">
        <v>0</v>
      </c>
      <c r="H110" s="7">
        <v>0</v>
      </c>
      <c r="I110" s="7">
        <v>200000</v>
      </c>
    </row>
    <row r="111" spans="1:9" x14ac:dyDescent="0.25">
      <c r="A111" t="s">
        <v>1</v>
      </c>
      <c r="B111" t="s">
        <v>714</v>
      </c>
      <c r="C111" s="7">
        <v>0</v>
      </c>
      <c r="D111" s="7">
        <v>30000</v>
      </c>
      <c r="E111" s="7">
        <v>0</v>
      </c>
      <c r="F111" s="7">
        <v>0</v>
      </c>
      <c r="G111" s="7">
        <v>0</v>
      </c>
      <c r="H111" s="7">
        <v>0</v>
      </c>
      <c r="I111" s="7">
        <v>30000</v>
      </c>
    </row>
    <row r="112" spans="1:9" x14ac:dyDescent="0.25">
      <c r="A112" t="s">
        <v>1</v>
      </c>
      <c r="B112" t="s">
        <v>715</v>
      </c>
      <c r="C112" s="7">
        <v>0</v>
      </c>
      <c r="D112" s="7">
        <v>0</v>
      </c>
      <c r="E112" s="7">
        <v>0</v>
      </c>
      <c r="F112" s="7">
        <v>0</v>
      </c>
      <c r="G112" s="7">
        <v>0</v>
      </c>
      <c r="H112" s="7">
        <v>0</v>
      </c>
      <c r="I112" s="7">
        <v>0</v>
      </c>
    </row>
    <row r="113" spans="1:9" x14ac:dyDescent="0.25">
      <c r="A113" t="s">
        <v>1</v>
      </c>
      <c r="B113" t="s">
        <v>716</v>
      </c>
      <c r="C113" s="7">
        <v>0</v>
      </c>
      <c r="D113" s="7">
        <v>250000</v>
      </c>
      <c r="E113" s="7">
        <v>300000</v>
      </c>
      <c r="F113" s="7">
        <v>285000</v>
      </c>
      <c r="G113" s="7">
        <v>0</v>
      </c>
      <c r="H113" s="7">
        <v>0</v>
      </c>
      <c r="I113" s="7">
        <v>835000</v>
      </c>
    </row>
    <row r="114" spans="1:9" x14ac:dyDescent="0.25">
      <c r="A114" t="s">
        <v>1</v>
      </c>
      <c r="B114" t="s">
        <v>717</v>
      </c>
      <c r="C114" s="7">
        <v>0</v>
      </c>
      <c r="D114" s="7">
        <v>0</v>
      </c>
      <c r="E114" s="7">
        <v>0</v>
      </c>
      <c r="F114" s="7">
        <v>200000</v>
      </c>
      <c r="G114" s="7">
        <v>0</v>
      </c>
      <c r="H114" s="7">
        <v>0</v>
      </c>
      <c r="I114" s="7">
        <v>200000</v>
      </c>
    </row>
    <row r="115" spans="1:9" x14ac:dyDescent="0.25">
      <c r="A115" t="s">
        <v>1</v>
      </c>
      <c r="B115" t="s">
        <v>718</v>
      </c>
      <c r="C115" s="7">
        <v>0</v>
      </c>
      <c r="D115" s="7">
        <v>0</v>
      </c>
      <c r="E115" s="7">
        <v>300000</v>
      </c>
      <c r="F115" s="7">
        <v>0</v>
      </c>
      <c r="G115" s="7">
        <v>0</v>
      </c>
      <c r="H115" s="7">
        <v>0</v>
      </c>
      <c r="I115" s="7">
        <v>300000</v>
      </c>
    </row>
    <row r="116" spans="1:9" x14ac:dyDescent="0.25">
      <c r="A116" t="s">
        <v>1</v>
      </c>
      <c r="B116" t="s">
        <v>719</v>
      </c>
      <c r="C116" s="7">
        <v>0</v>
      </c>
      <c r="D116" s="7">
        <v>0</v>
      </c>
      <c r="E116" s="7">
        <v>500000</v>
      </c>
      <c r="F116" s="7">
        <v>0</v>
      </c>
      <c r="G116" s="7">
        <v>0</v>
      </c>
      <c r="H116" s="7">
        <v>0</v>
      </c>
      <c r="I116" s="7">
        <v>500000</v>
      </c>
    </row>
    <row r="117" spans="1:9" x14ac:dyDescent="0.25">
      <c r="A117" t="s">
        <v>1</v>
      </c>
      <c r="B117" t="s">
        <v>720</v>
      </c>
      <c r="C117" s="7">
        <v>0</v>
      </c>
      <c r="D117" s="7">
        <v>0</v>
      </c>
      <c r="E117" s="7">
        <v>0</v>
      </c>
      <c r="F117" s="7">
        <v>200000</v>
      </c>
      <c r="G117" s="7">
        <v>0</v>
      </c>
      <c r="H117" s="7">
        <v>0</v>
      </c>
      <c r="I117" s="7">
        <v>200000</v>
      </c>
    </row>
    <row r="118" spans="1:9" x14ac:dyDescent="0.25">
      <c r="A118" t="s">
        <v>1</v>
      </c>
      <c r="B118" t="s">
        <v>721</v>
      </c>
      <c r="C118" s="7">
        <v>0</v>
      </c>
      <c r="D118" s="7">
        <v>0</v>
      </c>
      <c r="E118" s="7">
        <v>0</v>
      </c>
      <c r="F118" s="7">
        <v>0</v>
      </c>
      <c r="G118" s="7">
        <v>2500000</v>
      </c>
      <c r="H118" s="7">
        <v>0</v>
      </c>
      <c r="I118" s="7">
        <v>2500000</v>
      </c>
    </row>
    <row r="119" spans="1:9" x14ac:dyDescent="0.25">
      <c r="A119" t="s">
        <v>1</v>
      </c>
      <c r="B119" t="s">
        <v>722</v>
      </c>
      <c r="C119" s="7">
        <v>90000</v>
      </c>
      <c r="D119" s="7">
        <v>0</v>
      </c>
      <c r="E119" s="7">
        <v>0</v>
      </c>
      <c r="F119" s="7">
        <v>0</v>
      </c>
      <c r="G119" s="7">
        <v>0</v>
      </c>
      <c r="H119" s="7">
        <v>0</v>
      </c>
      <c r="I119" s="7">
        <v>90000</v>
      </c>
    </row>
    <row r="120" spans="1:9" x14ac:dyDescent="0.25">
      <c r="A120" t="s">
        <v>1</v>
      </c>
      <c r="B120" t="s">
        <v>723</v>
      </c>
      <c r="C120" s="7">
        <v>0</v>
      </c>
      <c r="D120" s="7">
        <v>550000</v>
      </c>
      <c r="E120" s="7">
        <v>0</v>
      </c>
      <c r="F120" s="7">
        <v>0</v>
      </c>
      <c r="G120" s="7">
        <v>0</v>
      </c>
      <c r="H120" s="7">
        <v>0</v>
      </c>
      <c r="I120" s="7">
        <v>550000</v>
      </c>
    </row>
    <row r="121" spans="1:9" x14ac:dyDescent="0.25">
      <c r="A121" t="s">
        <v>1</v>
      </c>
      <c r="B121" t="s">
        <v>724</v>
      </c>
      <c r="C121" s="7">
        <v>0</v>
      </c>
      <c r="D121" s="7">
        <v>150000</v>
      </c>
      <c r="E121" s="7">
        <v>0</v>
      </c>
      <c r="F121" s="7">
        <v>0</v>
      </c>
      <c r="G121" s="7">
        <v>0</v>
      </c>
      <c r="H121" s="7">
        <v>0</v>
      </c>
      <c r="I121" s="7">
        <v>150000</v>
      </c>
    </row>
    <row r="122" spans="1:9" x14ac:dyDescent="0.25">
      <c r="A122" t="s">
        <v>1</v>
      </c>
      <c r="B122" t="s">
        <v>725</v>
      </c>
      <c r="C122" s="7">
        <v>0</v>
      </c>
      <c r="D122" s="7">
        <v>0</v>
      </c>
      <c r="E122" s="7">
        <v>0</v>
      </c>
      <c r="F122" s="7">
        <v>0</v>
      </c>
      <c r="G122" s="7">
        <v>0</v>
      </c>
      <c r="H122" s="7">
        <v>600000</v>
      </c>
      <c r="I122" s="7">
        <v>600000</v>
      </c>
    </row>
    <row r="123" spans="1:9" x14ac:dyDescent="0.25">
      <c r="A123" t="s">
        <v>1</v>
      </c>
      <c r="B123" t="s">
        <v>726</v>
      </c>
      <c r="C123" s="7">
        <v>0</v>
      </c>
      <c r="D123" s="7">
        <v>0</v>
      </c>
      <c r="E123" s="7">
        <v>0</v>
      </c>
      <c r="F123" s="7">
        <v>0</v>
      </c>
      <c r="G123" s="7">
        <v>150000</v>
      </c>
      <c r="H123" s="7">
        <v>0</v>
      </c>
      <c r="I123" s="7">
        <v>150000</v>
      </c>
    </row>
    <row r="124" spans="1:9" x14ac:dyDescent="0.25">
      <c r="A124" t="s">
        <v>1</v>
      </c>
      <c r="B124" t="s">
        <v>727</v>
      </c>
      <c r="C124" s="7">
        <v>0</v>
      </c>
      <c r="D124" s="7">
        <v>0</v>
      </c>
      <c r="E124" s="7">
        <v>0</v>
      </c>
      <c r="F124" s="7">
        <v>0</v>
      </c>
      <c r="G124" s="7">
        <v>0</v>
      </c>
      <c r="H124" s="7">
        <v>50000</v>
      </c>
      <c r="I124" s="7">
        <v>50000</v>
      </c>
    </row>
    <row r="125" spans="1:9" x14ac:dyDescent="0.25">
      <c r="A125" t="s">
        <v>20</v>
      </c>
      <c r="C125" s="7">
        <v>0</v>
      </c>
      <c r="D125" s="7">
        <v>0</v>
      </c>
      <c r="E125" s="7">
        <v>60000</v>
      </c>
      <c r="F125" s="7">
        <v>60000</v>
      </c>
      <c r="G125" s="7">
        <v>0</v>
      </c>
      <c r="H125" s="7">
        <v>0</v>
      </c>
      <c r="I125" s="7">
        <v>120000</v>
      </c>
    </row>
    <row r="126" spans="1:9" x14ac:dyDescent="0.25">
      <c r="A126" t="s">
        <v>20</v>
      </c>
      <c r="B126" t="s">
        <v>2823</v>
      </c>
      <c r="C126" s="7">
        <v>0</v>
      </c>
      <c r="D126" s="7">
        <v>0</v>
      </c>
      <c r="E126" s="7">
        <v>0</v>
      </c>
      <c r="F126" s="7">
        <v>0</v>
      </c>
      <c r="G126" s="7">
        <v>0</v>
      </c>
      <c r="H126" s="7">
        <v>0</v>
      </c>
      <c r="I126" s="7">
        <v>0</v>
      </c>
    </row>
    <row r="127" spans="1:9" x14ac:dyDescent="0.25">
      <c r="A127" t="s">
        <v>20</v>
      </c>
      <c r="B127" t="s">
        <v>2825</v>
      </c>
      <c r="C127" s="7">
        <v>0</v>
      </c>
      <c r="D127" s="7">
        <v>0</v>
      </c>
      <c r="E127" s="7">
        <v>0</v>
      </c>
      <c r="F127" s="7">
        <v>0</v>
      </c>
      <c r="G127" s="7">
        <v>0</v>
      </c>
      <c r="H127" s="7">
        <v>0</v>
      </c>
      <c r="I127" s="7">
        <v>0</v>
      </c>
    </row>
    <row r="128" spans="1:9" x14ac:dyDescent="0.25">
      <c r="A128" t="s">
        <v>20</v>
      </c>
      <c r="B128" t="s">
        <v>2827</v>
      </c>
      <c r="C128" s="7">
        <v>0</v>
      </c>
      <c r="D128" s="7">
        <v>0</v>
      </c>
      <c r="E128" s="7">
        <v>0</v>
      </c>
      <c r="F128" s="7">
        <v>0</v>
      </c>
      <c r="G128" s="7">
        <v>0</v>
      </c>
      <c r="H128" s="7">
        <v>0</v>
      </c>
      <c r="I128" s="7">
        <v>0</v>
      </c>
    </row>
    <row r="129" spans="1:9" x14ac:dyDescent="0.25">
      <c r="A129" t="s">
        <v>20</v>
      </c>
      <c r="B129" t="s">
        <v>2829</v>
      </c>
      <c r="C129" s="7">
        <v>0</v>
      </c>
      <c r="D129" s="7">
        <v>0</v>
      </c>
      <c r="E129" s="7">
        <v>0</v>
      </c>
      <c r="F129" s="7">
        <v>0</v>
      </c>
      <c r="G129" s="7">
        <v>0</v>
      </c>
      <c r="H129" s="7">
        <v>0</v>
      </c>
      <c r="I129" s="7">
        <v>0</v>
      </c>
    </row>
    <row r="130" spans="1:9" x14ac:dyDescent="0.25">
      <c r="A130" t="s">
        <v>20</v>
      </c>
      <c r="B130" t="s">
        <v>2832</v>
      </c>
      <c r="C130" s="7">
        <v>0</v>
      </c>
      <c r="D130" s="7">
        <v>0</v>
      </c>
      <c r="E130" s="7">
        <v>0</v>
      </c>
      <c r="F130" s="7">
        <v>0</v>
      </c>
      <c r="G130" s="7">
        <v>0</v>
      </c>
      <c r="H130" s="7">
        <v>0</v>
      </c>
      <c r="I130" s="7">
        <v>0</v>
      </c>
    </row>
    <row r="131" spans="1:9" x14ac:dyDescent="0.25">
      <c r="A131" t="s">
        <v>20</v>
      </c>
      <c r="B131" t="s">
        <v>2835</v>
      </c>
      <c r="C131" s="7">
        <v>0</v>
      </c>
      <c r="D131" s="7">
        <v>0</v>
      </c>
      <c r="E131" s="7">
        <v>60000</v>
      </c>
      <c r="F131" s="7">
        <v>60000</v>
      </c>
      <c r="G131" s="7">
        <v>0</v>
      </c>
      <c r="H131" s="7">
        <v>0</v>
      </c>
      <c r="I131" s="7">
        <v>120000</v>
      </c>
    </row>
    <row r="132" spans="1:9" x14ac:dyDescent="0.25">
      <c r="A132" t="s">
        <v>20</v>
      </c>
      <c r="B132" t="s">
        <v>2837</v>
      </c>
      <c r="C132" s="7">
        <v>0</v>
      </c>
      <c r="D132" s="7">
        <v>0</v>
      </c>
      <c r="E132" s="7">
        <v>0</v>
      </c>
      <c r="F132" s="7">
        <v>0</v>
      </c>
      <c r="G132" s="7">
        <v>0</v>
      </c>
      <c r="H132" s="7">
        <v>0</v>
      </c>
      <c r="I132" s="7">
        <v>0</v>
      </c>
    </row>
    <row r="133" spans="1:9" x14ac:dyDescent="0.25">
      <c r="A133" t="s">
        <v>20</v>
      </c>
      <c r="B133" t="s">
        <v>2839</v>
      </c>
      <c r="C133" s="7">
        <v>0</v>
      </c>
      <c r="D133" s="7">
        <v>0</v>
      </c>
      <c r="E133" s="7">
        <v>0</v>
      </c>
      <c r="F133" s="7">
        <v>0</v>
      </c>
      <c r="G133" s="7">
        <v>0</v>
      </c>
      <c r="H133" s="7">
        <v>0</v>
      </c>
      <c r="I133" s="7">
        <v>0</v>
      </c>
    </row>
    <row r="134" spans="1:9" x14ac:dyDescent="0.25">
      <c r="A134" t="s">
        <v>20</v>
      </c>
      <c r="B134" t="s">
        <v>2841</v>
      </c>
      <c r="C134" s="7">
        <v>0</v>
      </c>
      <c r="D134" s="7">
        <v>0</v>
      </c>
      <c r="E134" s="7">
        <v>0</v>
      </c>
      <c r="F134" s="7">
        <v>0</v>
      </c>
      <c r="G134" s="7">
        <v>0</v>
      </c>
      <c r="H134" s="7">
        <v>0</v>
      </c>
      <c r="I134" s="7">
        <v>0</v>
      </c>
    </row>
    <row r="135" spans="1:9" x14ac:dyDescent="0.25">
      <c r="A135" t="s">
        <v>21</v>
      </c>
      <c r="C135" s="7">
        <v>262000</v>
      </c>
      <c r="D135" s="7">
        <v>526000</v>
      </c>
      <c r="E135" s="7">
        <v>242000</v>
      </c>
      <c r="F135" s="7">
        <v>192000</v>
      </c>
      <c r="G135" s="7">
        <v>355500</v>
      </c>
      <c r="H135" s="7">
        <v>192000</v>
      </c>
      <c r="I135" s="7">
        <v>1769500</v>
      </c>
    </row>
    <row r="136" spans="1:9" x14ac:dyDescent="0.25">
      <c r="A136" t="s">
        <v>21</v>
      </c>
      <c r="B136" t="s">
        <v>728</v>
      </c>
      <c r="C136" s="7">
        <v>0</v>
      </c>
      <c r="D136" s="7">
        <v>169000</v>
      </c>
      <c r="E136" s="7">
        <v>0</v>
      </c>
      <c r="F136" s="7">
        <v>0</v>
      </c>
      <c r="G136" s="7">
        <v>163500</v>
      </c>
      <c r="H136" s="7">
        <v>0</v>
      </c>
      <c r="I136" s="7">
        <v>332500</v>
      </c>
    </row>
    <row r="137" spans="1:9" x14ac:dyDescent="0.25">
      <c r="A137" t="s">
        <v>21</v>
      </c>
      <c r="B137" t="s">
        <v>729</v>
      </c>
      <c r="C137" s="7">
        <v>0</v>
      </c>
      <c r="D137" s="7">
        <v>0</v>
      </c>
      <c r="E137" s="7">
        <v>0</v>
      </c>
      <c r="F137" s="7">
        <v>0</v>
      </c>
      <c r="G137" s="7">
        <v>0</v>
      </c>
      <c r="H137" s="7">
        <v>0</v>
      </c>
      <c r="I137" s="7">
        <v>0</v>
      </c>
    </row>
    <row r="138" spans="1:9" x14ac:dyDescent="0.25">
      <c r="A138" t="s">
        <v>21</v>
      </c>
      <c r="B138" t="s">
        <v>730</v>
      </c>
      <c r="C138" s="7">
        <v>262000</v>
      </c>
      <c r="D138" s="7">
        <v>262000</v>
      </c>
      <c r="E138" s="7">
        <v>192000</v>
      </c>
      <c r="F138" s="7">
        <v>192000</v>
      </c>
      <c r="G138" s="7">
        <v>192000</v>
      </c>
      <c r="H138" s="7">
        <v>192000</v>
      </c>
      <c r="I138" s="7">
        <v>1292000</v>
      </c>
    </row>
    <row r="139" spans="1:9" x14ac:dyDescent="0.25">
      <c r="A139" t="s">
        <v>21</v>
      </c>
      <c r="B139" t="s">
        <v>731</v>
      </c>
      <c r="C139" s="7">
        <v>0</v>
      </c>
      <c r="D139" s="7">
        <v>95000</v>
      </c>
      <c r="E139" s="7">
        <v>0</v>
      </c>
      <c r="F139" s="7">
        <v>0</v>
      </c>
      <c r="G139" s="7">
        <v>0</v>
      </c>
      <c r="H139" s="7">
        <v>0</v>
      </c>
      <c r="I139" s="7">
        <v>95000</v>
      </c>
    </row>
    <row r="140" spans="1:9" x14ac:dyDescent="0.25">
      <c r="A140" t="s">
        <v>21</v>
      </c>
      <c r="B140" t="s">
        <v>732</v>
      </c>
      <c r="C140" s="7">
        <v>0</v>
      </c>
      <c r="D140" s="7">
        <v>0</v>
      </c>
      <c r="E140" s="7">
        <v>50000</v>
      </c>
      <c r="F140" s="7">
        <v>0</v>
      </c>
      <c r="G140" s="7">
        <v>0</v>
      </c>
      <c r="H140" s="7">
        <v>0</v>
      </c>
      <c r="I140" s="7">
        <v>50000</v>
      </c>
    </row>
    <row r="141" spans="1:9" x14ac:dyDescent="0.25">
      <c r="A141" t="s">
        <v>21</v>
      </c>
      <c r="B141" t="s">
        <v>733</v>
      </c>
      <c r="C141" s="7">
        <v>0</v>
      </c>
      <c r="D141" s="7">
        <v>0</v>
      </c>
      <c r="E141" s="7">
        <v>0</v>
      </c>
      <c r="F141" s="7">
        <v>0</v>
      </c>
      <c r="G141" s="7">
        <v>0</v>
      </c>
      <c r="H141" s="7">
        <v>0</v>
      </c>
      <c r="I141" s="7">
        <v>0</v>
      </c>
    </row>
    <row r="142" spans="1:9" x14ac:dyDescent="0.25">
      <c r="A142" t="s">
        <v>21</v>
      </c>
      <c r="B142" t="s">
        <v>734</v>
      </c>
      <c r="C142" s="7">
        <v>0</v>
      </c>
      <c r="D142" s="7">
        <v>0</v>
      </c>
      <c r="E142" s="7">
        <v>0</v>
      </c>
      <c r="F142" s="7">
        <v>0</v>
      </c>
      <c r="G142" s="7">
        <v>0</v>
      </c>
      <c r="H142" s="7">
        <v>0</v>
      </c>
      <c r="I142" s="7">
        <v>0</v>
      </c>
    </row>
    <row r="143" spans="1:9" x14ac:dyDescent="0.25">
      <c r="A143" t="s">
        <v>21</v>
      </c>
      <c r="B143" t="s">
        <v>735</v>
      </c>
      <c r="C143" s="7">
        <v>0</v>
      </c>
      <c r="D143" s="7">
        <v>0</v>
      </c>
      <c r="E143" s="7">
        <v>0</v>
      </c>
      <c r="F143" s="7">
        <v>0</v>
      </c>
      <c r="G143" s="7">
        <v>0</v>
      </c>
      <c r="H143" s="7">
        <v>0</v>
      </c>
      <c r="I143" s="7">
        <v>0</v>
      </c>
    </row>
    <row r="144" spans="1:9" x14ac:dyDescent="0.25">
      <c r="A144" t="s">
        <v>21</v>
      </c>
      <c r="B144" t="s">
        <v>736</v>
      </c>
      <c r="C144" s="7">
        <v>0</v>
      </c>
      <c r="D144" s="7">
        <v>0</v>
      </c>
      <c r="E144" s="7">
        <v>0</v>
      </c>
      <c r="F144" s="7">
        <v>0</v>
      </c>
      <c r="G144" s="7">
        <v>0</v>
      </c>
      <c r="H144" s="7">
        <v>0</v>
      </c>
      <c r="I144" s="7">
        <v>0</v>
      </c>
    </row>
    <row r="145" spans="1:9" x14ac:dyDescent="0.25">
      <c r="A145" t="s">
        <v>21</v>
      </c>
      <c r="B145" t="s">
        <v>737</v>
      </c>
      <c r="C145" s="7">
        <v>0</v>
      </c>
      <c r="D145" s="7">
        <v>0</v>
      </c>
      <c r="E145" s="7">
        <v>0</v>
      </c>
      <c r="F145" s="7">
        <v>0</v>
      </c>
      <c r="G145" s="7">
        <v>0</v>
      </c>
      <c r="H145" s="7">
        <v>0</v>
      </c>
      <c r="I145" s="7">
        <v>0</v>
      </c>
    </row>
    <row r="146" spans="1:9" x14ac:dyDescent="0.25">
      <c r="A146" t="s">
        <v>22</v>
      </c>
      <c r="C146" s="7">
        <v>670000</v>
      </c>
      <c r="D146" s="7">
        <v>700000</v>
      </c>
      <c r="E146" s="7">
        <v>640000</v>
      </c>
      <c r="F146" s="7">
        <v>360000</v>
      </c>
      <c r="G146" s="7">
        <v>360000</v>
      </c>
      <c r="H146" s="7">
        <v>360000</v>
      </c>
      <c r="I146" s="7">
        <v>3090000</v>
      </c>
    </row>
    <row r="147" spans="1:9" x14ac:dyDescent="0.25">
      <c r="A147" t="s">
        <v>22</v>
      </c>
      <c r="B147" t="s">
        <v>738</v>
      </c>
      <c r="C147" s="7">
        <v>250000</v>
      </c>
      <c r="D147" s="7">
        <v>350000</v>
      </c>
      <c r="E147" s="7">
        <v>350000</v>
      </c>
      <c r="F147" s="7">
        <v>350000</v>
      </c>
      <c r="G147" s="7">
        <v>350000</v>
      </c>
      <c r="H147" s="7">
        <v>350000</v>
      </c>
      <c r="I147" s="7">
        <v>2000000</v>
      </c>
    </row>
    <row r="148" spans="1:9" x14ac:dyDescent="0.25">
      <c r="A148" t="s">
        <v>22</v>
      </c>
      <c r="B148" t="s">
        <v>739</v>
      </c>
      <c r="C148" s="7">
        <v>0</v>
      </c>
      <c r="D148" s="7">
        <v>0</v>
      </c>
      <c r="E148" s="7">
        <v>0</v>
      </c>
      <c r="F148" s="7">
        <v>0</v>
      </c>
      <c r="G148" s="7">
        <v>0</v>
      </c>
      <c r="H148" s="7">
        <v>0</v>
      </c>
      <c r="I148" s="7">
        <v>0</v>
      </c>
    </row>
    <row r="149" spans="1:9" x14ac:dyDescent="0.25">
      <c r="A149" t="s">
        <v>22</v>
      </c>
      <c r="B149" t="s">
        <v>740</v>
      </c>
      <c r="C149" s="7">
        <v>0</v>
      </c>
      <c r="D149" s="7">
        <v>20000</v>
      </c>
      <c r="E149" s="7">
        <v>0</v>
      </c>
      <c r="F149" s="7">
        <v>0</v>
      </c>
      <c r="G149" s="7">
        <v>0</v>
      </c>
      <c r="H149" s="7">
        <v>0</v>
      </c>
      <c r="I149" s="7">
        <v>20000</v>
      </c>
    </row>
    <row r="150" spans="1:9" x14ac:dyDescent="0.25">
      <c r="A150" t="s">
        <v>22</v>
      </c>
      <c r="B150" t="s">
        <v>1597</v>
      </c>
      <c r="C150" s="7">
        <v>0</v>
      </c>
      <c r="D150" s="7">
        <v>0</v>
      </c>
      <c r="E150" s="7">
        <v>0</v>
      </c>
      <c r="F150" s="7">
        <v>0</v>
      </c>
      <c r="G150" s="7">
        <v>0</v>
      </c>
      <c r="H150" s="7">
        <v>0</v>
      </c>
      <c r="I150" s="7">
        <v>0</v>
      </c>
    </row>
    <row r="151" spans="1:9" x14ac:dyDescent="0.25">
      <c r="A151" t="s">
        <v>22</v>
      </c>
      <c r="B151" t="s">
        <v>742</v>
      </c>
      <c r="C151" s="7">
        <v>125000</v>
      </c>
      <c r="D151" s="7">
        <v>125000</v>
      </c>
      <c r="E151" s="7">
        <v>85000</v>
      </c>
      <c r="F151" s="7">
        <v>0</v>
      </c>
      <c r="G151" s="7">
        <v>0</v>
      </c>
      <c r="H151" s="7">
        <v>0</v>
      </c>
      <c r="I151" s="7">
        <v>335000</v>
      </c>
    </row>
    <row r="152" spans="1:9" x14ac:dyDescent="0.25">
      <c r="A152" t="s">
        <v>22</v>
      </c>
      <c r="B152" t="s">
        <v>743</v>
      </c>
      <c r="C152" s="7">
        <v>140000</v>
      </c>
      <c r="D152" s="7">
        <v>70000</v>
      </c>
      <c r="E152" s="7">
        <v>70000</v>
      </c>
      <c r="F152" s="7">
        <v>0</v>
      </c>
      <c r="G152" s="7">
        <v>0</v>
      </c>
      <c r="H152" s="7">
        <v>0</v>
      </c>
      <c r="I152" s="7">
        <v>280000</v>
      </c>
    </row>
    <row r="153" spans="1:9" x14ac:dyDescent="0.25">
      <c r="A153" t="s">
        <v>22</v>
      </c>
      <c r="B153" t="s">
        <v>744</v>
      </c>
      <c r="C153" s="7">
        <v>5000</v>
      </c>
      <c r="D153" s="7">
        <v>5000</v>
      </c>
      <c r="E153" s="7">
        <v>5000</v>
      </c>
      <c r="F153" s="7">
        <v>5000</v>
      </c>
      <c r="G153" s="7">
        <v>5000</v>
      </c>
      <c r="H153" s="7">
        <v>5000</v>
      </c>
      <c r="I153" s="7">
        <v>30000</v>
      </c>
    </row>
    <row r="154" spans="1:9" x14ac:dyDescent="0.25">
      <c r="A154" t="s">
        <v>22</v>
      </c>
      <c r="B154" t="s">
        <v>745</v>
      </c>
      <c r="C154" s="7">
        <v>5000</v>
      </c>
      <c r="D154" s="7">
        <v>5000</v>
      </c>
      <c r="E154" s="7">
        <v>5000</v>
      </c>
      <c r="F154" s="7">
        <v>5000</v>
      </c>
      <c r="G154" s="7">
        <v>5000</v>
      </c>
      <c r="H154" s="7">
        <v>5000</v>
      </c>
      <c r="I154" s="7">
        <v>30000</v>
      </c>
    </row>
    <row r="155" spans="1:9" x14ac:dyDescent="0.25">
      <c r="A155" t="s">
        <v>22</v>
      </c>
      <c r="B155" t="s">
        <v>746</v>
      </c>
      <c r="C155" s="7">
        <v>0</v>
      </c>
      <c r="D155" s="7">
        <v>0</v>
      </c>
      <c r="E155" s="7">
        <v>0</v>
      </c>
      <c r="F155" s="7">
        <v>0</v>
      </c>
      <c r="G155" s="7">
        <v>0</v>
      </c>
      <c r="H155" s="7">
        <v>0</v>
      </c>
      <c r="I155" s="7">
        <v>0</v>
      </c>
    </row>
    <row r="156" spans="1:9" x14ac:dyDescent="0.25">
      <c r="A156" t="s">
        <v>22</v>
      </c>
      <c r="B156" t="s">
        <v>747</v>
      </c>
      <c r="C156" s="7">
        <v>105000</v>
      </c>
      <c r="D156" s="7">
        <v>105000</v>
      </c>
      <c r="E156" s="7">
        <v>105000</v>
      </c>
      <c r="F156" s="7">
        <v>0</v>
      </c>
      <c r="G156" s="7">
        <v>0</v>
      </c>
      <c r="H156" s="7">
        <v>0</v>
      </c>
      <c r="I156" s="7">
        <v>315000</v>
      </c>
    </row>
    <row r="157" spans="1:9" x14ac:dyDescent="0.25">
      <c r="A157" t="s">
        <v>22</v>
      </c>
      <c r="B157" t="s">
        <v>748</v>
      </c>
      <c r="C157" s="7">
        <v>20000</v>
      </c>
      <c r="D157" s="7">
        <v>20000</v>
      </c>
      <c r="E157" s="7">
        <v>20000</v>
      </c>
      <c r="F157" s="7">
        <v>0</v>
      </c>
      <c r="G157" s="7">
        <v>0</v>
      </c>
      <c r="H157" s="7">
        <v>0</v>
      </c>
      <c r="I157" s="7">
        <v>60000</v>
      </c>
    </row>
    <row r="158" spans="1:9" x14ac:dyDescent="0.25">
      <c r="A158" t="s">
        <v>22</v>
      </c>
      <c r="B158" t="s">
        <v>749</v>
      </c>
      <c r="C158" s="7">
        <v>20000</v>
      </c>
      <c r="D158" s="7">
        <v>0</v>
      </c>
      <c r="E158" s="7">
        <v>0</v>
      </c>
      <c r="F158" s="7">
        <v>0</v>
      </c>
      <c r="G158" s="7">
        <v>0</v>
      </c>
      <c r="H158" s="7">
        <v>0</v>
      </c>
      <c r="I158" s="7">
        <v>20000</v>
      </c>
    </row>
    <row r="159" spans="1:9" x14ac:dyDescent="0.25">
      <c r="A159" t="s">
        <v>24</v>
      </c>
      <c r="C159" s="7">
        <v>0</v>
      </c>
      <c r="D159" s="7">
        <v>0</v>
      </c>
      <c r="E159" s="7">
        <v>0</v>
      </c>
      <c r="F159" s="7">
        <v>0</v>
      </c>
      <c r="G159" s="7">
        <v>0</v>
      </c>
      <c r="H159" s="7">
        <v>0</v>
      </c>
      <c r="I159" s="7">
        <v>0</v>
      </c>
    </row>
    <row r="160" spans="1:9" x14ac:dyDescent="0.25">
      <c r="A160" t="s">
        <v>24</v>
      </c>
      <c r="B160" t="s">
        <v>2599</v>
      </c>
      <c r="C160" s="7">
        <v>0</v>
      </c>
      <c r="D160" s="7">
        <v>0</v>
      </c>
      <c r="E160" s="7">
        <v>0</v>
      </c>
      <c r="F160" s="7">
        <v>0</v>
      </c>
      <c r="G160" s="7">
        <v>0</v>
      </c>
      <c r="H160" s="7">
        <v>0</v>
      </c>
      <c r="I160" s="7">
        <v>0</v>
      </c>
    </row>
    <row r="161" spans="1:9" x14ac:dyDescent="0.25">
      <c r="A161" t="s">
        <v>24</v>
      </c>
      <c r="B161" t="s">
        <v>2600</v>
      </c>
      <c r="C161" s="7">
        <v>0</v>
      </c>
      <c r="D161" s="7">
        <v>0</v>
      </c>
      <c r="E161" s="7">
        <v>0</v>
      </c>
      <c r="F161" s="7">
        <v>0</v>
      </c>
      <c r="G161" s="7">
        <v>0</v>
      </c>
      <c r="H161" s="7">
        <v>0</v>
      </c>
      <c r="I161" s="7">
        <v>0</v>
      </c>
    </row>
    <row r="162" spans="1:9" x14ac:dyDescent="0.25">
      <c r="A162" t="s">
        <v>24</v>
      </c>
      <c r="B162" t="s">
        <v>2601</v>
      </c>
      <c r="C162" s="7">
        <v>0</v>
      </c>
      <c r="D162" s="7">
        <v>0</v>
      </c>
      <c r="E162" s="7">
        <v>0</v>
      </c>
      <c r="F162" s="7">
        <v>0</v>
      </c>
      <c r="G162" s="7">
        <v>0</v>
      </c>
      <c r="H162" s="7">
        <v>0</v>
      </c>
      <c r="I162" s="7">
        <v>0</v>
      </c>
    </row>
    <row r="163" spans="1:9" x14ac:dyDescent="0.25">
      <c r="A163" t="s">
        <v>25</v>
      </c>
      <c r="C163" s="7">
        <v>20000</v>
      </c>
      <c r="D163" s="7">
        <v>20000</v>
      </c>
      <c r="E163" s="7">
        <v>0</v>
      </c>
      <c r="F163" s="7">
        <v>0</v>
      </c>
      <c r="G163" s="7">
        <v>0</v>
      </c>
      <c r="H163" s="7">
        <v>0</v>
      </c>
      <c r="I163" s="7">
        <v>40000</v>
      </c>
    </row>
    <row r="164" spans="1:9" x14ac:dyDescent="0.25">
      <c r="A164" t="s">
        <v>25</v>
      </c>
      <c r="B164" t="s">
        <v>750</v>
      </c>
      <c r="C164" s="7">
        <v>0</v>
      </c>
      <c r="D164" s="7">
        <v>0</v>
      </c>
      <c r="E164" s="7">
        <v>0</v>
      </c>
      <c r="F164" s="7">
        <v>0</v>
      </c>
      <c r="G164" s="7">
        <v>0</v>
      </c>
      <c r="H164" s="7">
        <v>0</v>
      </c>
      <c r="I164" s="7">
        <v>0</v>
      </c>
    </row>
    <row r="165" spans="1:9" x14ac:dyDescent="0.25">
      <c r="A165" t="s">
        <v>25</v>
      </c>
      <c r="B165" t="s">
        <v>751</v>
      </c>
      <c r="C165" s="7">
        <v>0</v>
      </c>
      <c r="D165" s="7">
        <v>0</v>
      </c>
      <c r="E165" s="7">
        <v>0</v>
      </c>
      <c r="F165" s="7">
        <v>0</v>
      </c>
      <c r="G165" s="7">
        <v>0</v>
      </c>
      <c r="H165" s="7">
        <v>0</v>
      </c>
      <c r="I165" s="7">
        <v>0</v>
      </c>
    </row>
    <row r="166" spans="1:9" x14ac:dyDescent="0.25">
      <c r="A166" t="s">
        <v>25</v>
      </c>
      <c r="B166" t="s">
        <v>752</v>
      </c>
      <c r="C166" s="7">
        <v>0</v>
      </c>
      <c r="D166" s="7">
        <v>0</v>
      </c>
      <c r="E166" s="7">
        <v>0</v>
      </c>
      <c r="F166" s="7">
        <v>0</v>
      </c>
      <c r="G166" s="7">
        <v>0</v>
      </c>
      <c r="H166" s="7">
        <v>0</v>
      </c>
      <c r="I166" s="7">
        <v>0</v>
      </c>
    </row>
    <row r="167" spans="1:9" x14ac:dyDescent="0.25">
      <c r="A167" t="s">
        <v>25</v>
      </c>
      <c r="B167" t="s">
        <v>753</v>
      </c>
      <c r="C167" s="7">
        <v>0</v>
      </c>
      <c r="D167" s="7">
        <v>0</v>
      </c>
      <c r="E167" s="7">
        <v>0</v>
      </c>
      <c r="F167" s="7">
        <v>0</v>
      </c>
      <c r="G167" s="7">
        <v>0</v>
      </c>
      <c r="H167" s="7">
        <v>0</v>
      </c>
      <c r="I167" s="7">
        <v>0</v>
      </c>
    </row>
    <row r="168" spans="1:9" x14ac:dyDescent="0.25">
      <c r="A168" t="s">
        <v>25</v>
      </c>
      <c r="B168" t="s">
        <v>754</v>
      </c>
      <c r="C168" s="7">
        <v>0</v>
      </c>
      <c r="D168" s="7">
        <v>0</v>
      </c>
      <c r="E168" s="7">
        <v>0</v>
      </c>
      <c r="F168" s="7">
        <v>0</v>
      </c>
      <c r="G168" s="7">
        <v>0</v>
      </c>
      <c r="H168" s="7">
        <v>0</v>
      </c>
      <c r="I168" s="7">
        <v>0</v>
      </c>
    </row>
    <row r="169" spans="1:9" x14ac:dyDescent="0.25">
      <c r="A169" t="s">
        <v>25</v>
      </c>
      <c r="B169" t="s">
        <v>2602</v>
      </c>
      <c r="C169" s="7">
        <v>0</v>
      </c>
      <c r="D169" s="7">
        <v>0</v>
      </c>
      <c r="E169" s="7">
        <v>0</v>
      </c>
      <c r="F169" s="7">
        <v>0</v>
      </c>
      <c r="G169" s="7">
        <v>0</v>
      </c>
      <c r="H169" s="7">
        <v>0</v>
      </c>
      <c r="I169" s="7">
        <v>0</v>
      </c>
    </row>
    <row r="170" spans="1:9" x14ac:dyDescent="0.25">
      <c r="A170" t="s">
        <v>25</v>
      </c>
      <c r="B170" t="s">
        <v>2603</v>
      </c>
      <c r="C170" s="7">
        <v>20000</v>
      </c>
      <c r="D170" s="7">
        <v>20000</v>
      </c>
      <c r="E170" s="7">
        <v>0</v>
      </c>
      <c r="F170" s="7">
        <v>0</v>
      </c>
      <c r="G170" s="7">
        <v>0</v>
      </c>
      <c r="H170" s="7">
        <v>0</v>
      </c>
      <c r="I170" s="7">
        <v>40000</v>
      </c>
    </row>
    <row r="171" spans="1:9" x14ac:dyDescent="0.25">
      <c r="A171" t="s">
        <v>26</v>
      </c>
      <c r="C171" s="7">
        <v>3750</v>
      </c>
      <c r="D171" s="7">
        <v>3800</v>
      </c>
      <c r="E171" s="7">
        <v>3800</v>
      </c>
      <c r="F171" s="7">
        <v>3800</v>
      </c>
      <c r="G171" s="7">
        <v>3800</v>
      </c>
      <c r="H171" s="7">
        <v>3850</v>
      </c>
      <c r="I171" s="7">
        <v>22800</v>
      </c>
    </row>
    <row r="172" spans="1:9" x14ac:dyDescent="0.25">
      <c r="A172" t="s">
        <v>26</v>
      </c>
      <c r="B172" t="s">
        <v>755</v>
      </c>
      <c r="C172" s="7">
        <v>0</v>
      </c>
      <c r="D172" s="7">
        <v>0</v>
      </c>
      <c r="E172" s="7">
        <v>0</v>
      </c>
      <c r="F172" s="7">
        <v>0</v>
      </c>
      <c r="G172" s="7">
        <v>0</v>
      </c>
      <c r="H172" s="7">
        <v>0</v>
      </c>
      <c r="I172" s="7">
        <v>0</v>
      </c>
    </row>
    <row r="173" spans="1:9" x14ac:dyDescent="0.25">
      <c r="A173" t="s">
        <v>26</v>
      </c>
      <c r="B173" t="s">
        <v>2861</v>
      </c>
      <c r="C173" s="7">
        <v>0</v>
      </c>
      <c r="D173" s="7">
        <v>0</v>
      </c>
      <c r="E173" s="7">
        <v>0</v>
      </c>
      <c r="F173" s="7">
        <v>0</v>
      </c>
      <c r="G173" s="7">
        <v>0</v>
      </c>
      <c r="H173" s="7">
        <v>0</v>
      </c>
      <c r="I173" s="7">
        <v>0</v>
      </c>
    </row>
    <row r="174" spans="1:9" x14ac:dyDescent="0.25">
      <c r="A174" t="s">
        <v>26</v>
      </c>
      <c r="B174" t="s">
        <v>2607</v>
      </c>
      <c r="C174" s="7">
        <v>0</v>
      </c>
      <c r="D174" s="7">
        <v>0</v>
      </c>
      <c r="E174" s="7">
        <v>0</v>
      </c>
      <c r="F174" s="7">
        <v>0</v>
      </c>
      <c r="G174" s="7">
        <v>0</v>
      </c>
      <c r="H174" s="7">
        <v>0</v>
      </c>
      <c r="I174" s="7">
        <v>0</v>
      </c>
    </row>
    <row r="175" spans="1:9" x14ac:dyDescent="0.25">
      <c r="A175" t="s">
        <v>26</v>
      </c>
      <c r="B175" t="s">
        <v>2608</v>
      </c>
      <c r="C175" s="7">
        <v>0</v>
      </c>
      <c r="D175" s="7">
        <v>0</v>
      </c>
      <c r="E175" s="7">
        <v>0</v>
      </c>
      <c r="F175" s="7">
        <v>0</v>
      </c>
      <c r="G175" s="7">
        <v>0</v>
      </c>
      <c r="H175" s="7">
        <v>0</v>
      </c>
      <c r="I175" s="7">
        <v>0</v>
      </c>
    </row>
    <row r="176" spans="1:9" x14ac:dyDescent="0.25">
      <c r="A176" t="s">
        <v>26</v>
      </c>
      <c r="B176" t="s">
        <v>756</v>
      </c>
      <c r="C176" s="7">
        <v>0</v>
      </c>
      <c r="D176" s="7">
        <v>0</v>
      </c>
      <c r="E176" s="7">
        <v>0</v>
      </c>
      <c r="F176" s="7">
        <v>0</v>
      </c>
      <c r="G176" s="7">
        <v>0</v>
      </c>
      <c r="H176" s="7">
        <v>0</v>
      </c>
      <c r="I176" s="7">
        <v>0</v>
      </c>
    </row>
    <row r="177" spans="1:9" x14ac:dyDescent="0.25">
      <c r="A177" t="s">
        <v>26</v>
      </c>
      <c r="B177" t="s">
        <v>757</v>
      </c>
      <c r="C177" s="7">
        <v>3750</v>
      </c>
      <c r="D177" s="7">
        <v>3800</v>
      </c>
      <c r="E177" s="7">
        <v>3800</v>
      </c>
      <c r="F177" s="7">
        <v>3800</v>
      </c>
      <c r="G177" s="7">
        <v>3800</v>
      </c>
      <c r="H177" s="7">
        <v>3850</v>
      </c>
      <c r="I177" s="7">
        <v>22800</v>
      </c>
    </row>
    <row r="178" spans="1:9" x14ac:dyDescent="0.25">
      <c r="A178" t="s">
        <v>26</v>
      </c>
      <c r="B178" t="s">
        <v>758</v>
      </c>
      <c r="C178" s="7">
        <v>0</v>
      </c>
      <c r="D178" s="7">
        <v>0</v>
      </c>
      <c r="E178" s="7">
        <v>0</v>
      </c>
      <c r="F178" s="7">
        <v>0</v>
      </c>
      <c r="G178" s="7">
        <v>0</v>
      </c>
      <c r="H178" s="7">
        <v>0</v>
      </c>
      <c r="I178" s="7">
        <v>0</v>
      </c>
    </row>
    <row r="179" spans="1:9" x14ac:dyDescent="0.25">
      <c r="A179" t="s">
        <v>26</v>
      </c>
      <c r="B179" t="s">
        <v>759</v>
      </c>
      <c r="C179" s="7">
        <v>0</v>
      </c>
      <c r="D179" s="7">
        <v>0</v>
      </c>
      <c r="E179" s="7">
        <v>0</v>
      </c>
      <c r="F179" s="7">
        <v>0</v>
      </c>
      <c r="G179" s="7">
        <v>0</v>
      </c>
      <c r="H179" s="7">
        <v>0</v>
      </c>
      <c r="I179" s="7">
        <v>0</v>
      </c>
    </row>
    <row r="180" spans="1:9" x14ac:dyDescent="0.25">
      <c r="A180" t="s">
        <v>26</v>
      </c>
      <c r="B180" t="s">
        <v>760</v>
      </c>
      <c r="C180" s="7">
        <v>0</v>
      </c>
      <c r="D180" s="7">
        <v>0</v>
      </c>
      <c r="E180" s="7">
        <v>0</v>
      </c>
      <c r="F180" s="7">
        <v>0</v>
      </c>
      <c r="G180" s="7">
        <v>0</v>
      </c>
      <c r="H180" s="7">
        <v>0</v>
      </c>
      <c r="I180" s="7">
        <v>0</v>
      </c>
    </row>
    <row r="181" spans="1:9" x14ac:dyDescent="0.25">
      <c r="A181" t="s">
        <v>26</v>
      </c>
      <c r="B181" t="s">
        <v>761</v>
      </c>
      <c r="C181" s="7">
        <v>0</v>
      </c>
      <c r="D181" s="7">
        <v>0</v>
      </c>
      <c r="E181" s="7">
        <v>0</v>
      </c>
      <c r="F181" s="7">
        <v>0</v>
      </c>
      <c r="G181" s="7">
        <v>0</v>
      </c>
      <c r="H181" s="7">
        <v>0</v>
      </c>
      <c r="I181" s="7">
        <v>0</v>
      </c>
    </row>
    <row r="182" spans="1:9" x14ac:dyDescent="0.25">
      <c r="A182" t="s">
        <v>26</v>
      </c>
      <c r="B182" t="s">
        <v>762</v>
      </c>
      <c r="C182" s="7">
        <v>0</v>
      </c>
      <c r="D182" s="7">
        <v>0</v>
      </c>
      <c r="E182" s="7">
        <v>0</v>
      </c>
      <c r="F182" s="7">
        <v>0</v>
      </c>
      <c r="G182" s="7">
        <v>0</v>
      </c>
      <c r="H182" s="7">
        <v>0</v>
      </c>
      <c r="I182" s="7">
        <v>0</v>
      </c>
    </row>
    <row r="183" spans="1:9" x14ac:dyDescent="0.25">
      <c r="A183" t="s">
        <v>26</v>
      </c>
      <c r="B183" t="s">
        <v>2605</v>
      </c>
      <c r="C183" s="7">
        <v>0</v>
      </c>
      <c r="D183" s="7">
        <v>0</v>
      </c>
      <c r="E183" s="7">
        <v>0</v>
      </c>
      <c r="F183" s="7">
        <v>0</v>
      </c>
      <c r="G183" s="7">
        <v>0</v>
      </c>
      <c r="H183" s="7">
        <v>0</v>
      </c>
      <c r="I183" s="7">
        <v>0</v>
      </c>
    </row>
    <row r="184" spans="1:9" x14ac:dyDescent="0.25">
      <c r="A184" t="s">
        <v>26</v>
      </c>
      <c r="B184" t="s">
        <v>2862</v>
      </c>
      <c r="C184" s="7">
        <v>0</v>
      </c>
      <c r="D184" s="7">
        <v>0</v>
      </c>
      <c r="E184" s="7">
        <v>0</v>
      </c>
      <c r="F184" s="7">
        <v>0</v>
      </c>
      <c r="G184" s="7">
        <v>0</v>
      </c>
      <c r="H184" s="7">
        <v>0</v>
      </c>
      <c r="I184" s="7">
        <v>0</v>
      </c>
    </row>
    <row r="185" spans="1:9" x14ac:dyDescent="0.25">
      <c r="A185" t="s">
        <v>27</v>
      </c>
      <c r="C185" s="7">
        <v>157000</v>
      </c>
      <c r="D185" s="7">
        <v>350000</v>
      </c>
      <c r="E185" s="7">
        <v>540000</v>
      </c>
      <c r="F185" s="7">
        <v>550000</v>
      </c>
      <c r="G185" s="7">
        <v>500000</v>
      </c>
      <c r="H185" s="7">
        <v>500000</v>
      </c>
      <c r="I185" s="7">
        <v>2597000</v>
      </c>
    </row>
    <row r="186" spans="1:9" x14ac:dyDescent="0.25">
      <c r="A186" t="s">
        <v>27</v>
      </c>
      <c r="B186" t="s">
        <v>763</v>
      </c>
      <c r="C186" s="7">
        <v>0</v>
      </c>
      <c r="D186" s="7">
        <v>0</v>
      </c>
      <c r="E186" s="7">
        <v>0</v>
      </c>
      <c r="F186" s="7">
        <v>0</v>
      </c>
      <c r="G186" s="7">
        <v>0</v>
      </c>
      <c r="H186" s="7">
        <v>0</v>
      </c>
      <c r="I186" s="7">
        <v>0</v>
      </c>
    </row>
    <row r="187" spans="1:9" x14ac:dyDescent="0.25">
      <c r="A187" t="s">
        <v>27</v>
      </c>
      <c r="B187" t="s">
        <v>764</v>
      </c>
      <c r="C187" s="7">
        <v>0</v>
      </c>
      <c r="D187" s="7">
        <v>0</v>
      </c>
      <c r="E187" s="7">
        <v>0</v>
      </c>
      <c r="F187" s="7">
        <v>0</v>
      </c>
      <c r="G187" s="7">
        <v>0</v>
      </c>
      <c r="H187" s="7">
        <v>0</v>
      </c>
      <c r="I187" s="7">
        <v>0</v>
      </c>
    </row>
    <row r="188" spans="1:9" x14ac:dyDescent="0.25">
      <c r="A188" t="s">
        <v>27</v>
      </c>
      <c r="B188" t="s">
        <v>765</v>
      </c>
      <c r="C188" s="7">
        <v>0</v>
      </c>
      <c r="D188" s="7">
        <v>0</v>
      </c>
      <c r="E188" s="7">
        <v>0</v>
      </c>
      <c r="F188" s="7">
        <v>0</v>
      </c>
      <c r="G188" s="7">
        <v>0</v>
      </c>
      <c r="H188" s="7">
        <v>0</v>
      </c>
      <c r="I188" s="7">
        <v>0</v>
      </c>
    </row>
    <row r="189" spans="1:9" x14ac:dyDescent="0.25">
      <c r="A189" t="s">
        <v>27</v>
      </c>
      <c r="B189" t="s">
        <v>766</v>
      </c>
      <c r="C189" s="7">
        <v>0</v>
      </c>
      <c r="D189" s="7">
        <v>0</v>
      </c>
      <c r="E189" s="7">
        <v>0</v>
      </c>
      <c r="F189" s="7">
        <v>0</v>
      </c>
      <c r="G189" s="7">
        <v>0</v>
      </c>
      <c r="H189" s="7">
        <v>0</v>
      </c>
      <c r="I189" s="7">
        <v>0</v>
      </c>
    </row>
    <row r="190" spans="1:9" x14ac:dyDescent="0.25">
      <c r="A190" t="s">
        <v>27</v>
      </c>
      <c r="B190" t="s">
        <v>1599</v>
      </c>
      <c r="C190" s="7">
        <v>0</v>
      </c>
      <c r="D190" s="7">
        <v>0</v>
      </c>
      <c r="E190" s="7">
        <v>0</v>
      </c>
      <c r="F190" s="7">
        <v>0</v>
      </c>
      <c r="G190" s="7">
        <v>0</v>
      </c>
      <c r="H190" s="7">
        <v>0</v>
      </c>
      <c r="I190" s="7">
        <v>0</v>
      </c>
    </row>
    <row r="191" spans="1:9" x14ac:dyDescent="0.25">
      <c r="A191" t="s">
        <v>27</v>
      </c>
      <c r="B191" t="s">
        <v>767</v>
      </c>
      <c r="C191" s="7">
        <v>77000</v>
      </c>
      <c r="D191" s="7">
        <v>0</v>
      </c>
      <c r="E191" s="7">
        <v>0</v>
      </c>
      <c r="F191" s="7">
        <v>0</v>
      </c>
      <c r="G191" s="7">
        <v>0</v>
      </c>
      <c r="H191" s="7">
        <v>0</v>
      </c>
      <c r="I191" s="7">
        <v>77000</v>
      </c>
    </row>
    <row r="192" spans="1:9" x14ac:dyDescent="0.25">
      <c r="A192" t="s">
        <v>27</v>
      </c>
      <c r="B192" t="s">
        <v>768</v>
      </c>
      <c r="C192" s="7">
        <v>50000</v>
      </c>
      <c r="D192" s="7">
        <v>0</v>
      </c>
      <c r="E192" s="7">
        <v>0</v>
      </c>
      <c r="F192" s="7">
        <v>0</v>
      </c>
      <c r="G192" s="7">
        <v>0</v>
      </c>
      <c r="H192" s="7">
        <v>0</v>
      </c>
      <c r="I192" s="7">
        <v>50000</v>
      </c>
    </row>
    <row r="193" spans="1:9" x14ac:dyDescent="0.25">
      <c r="A193" t="s">
        <v>27</v>
      </c>
      <c r="B193" t="s">
        <v>769</v>
      </c>
      <c r="C193" s="7">
        <v>0</v>
      </c>
      <c r="D193" s="7">
        <v>0</v>
      </c>
      <c r="E193" s="7">
        <v>40000</v>
      </c>
      <c r="F193" s="7">
        <v>0</v>
      </c>
      <c r="G193" s="7">
        <v>0</v>
      </c>
      <c r="H193" s="7">
        <v>0</v>
      </c>
      <c r="I193" s="7">
        <v>40000</v>
      </c>
    </row>
    <row r="194" spans="1:9" x14ac:dyDescent="0.25">
      <c r="A194" t="s">
        <v>27</v>
      </c>
      <c r="B194" t="s">
        <v>770</v>
      </c>
      <c r="C194" s="7">
        <v>0</v>
      </c>
      <c r="D194" s="7">
        <v>0</v>
      </c>
      <c r="E194" s="7">
        <v>0</v>
      </c>
      <c r="F194" s="7">
        <v>50000</v>
      </c>
      <c r="G194" s="7">
        <v>0</v>
      </c>
      <c r="H194" s="7">
        <v>0</v>
      </c>
      <c r="I194" s="7">
        <v>50000</v>
      </c>
    </row>
    <row r="195" spans="1:9" x14ac:dyDescent="0.25">
      <c r="A195" t="s">
        <v>27</v>
      </c>
      <c r="B195" t="s">
        <v>771</v>
      </c>
      <c r="C195" s="7">
        <v>30000</v>
      </c>
      <c r="D195" s="7">
        <v>50000</v>
      </c>
      <c r="E195" s="7">
        <v>0</v>
      </c>
      <c r="F195" s="7">
        <v>0</v>
      </c>
      <c r="G195" s="7">
        <v>0</v>
      </c>
      <c r="H195" s="7">
        <v>0</v>
      </c>
      <c r="I195" s="7">
        <v>80000</v>
      </c>
    </row>
    <row r="196" spans="1:9" x14ac:dyDescent="0.25">
      <c r="A196" t="s">
        <v>27</v>
      </c>
      <c r="B196" t="s">
        <v>772</v>
      </c>
      <c r="C196" s="7">
        <v>0</v>
      </c>
      <c r="D196" s="7">
        <v>0</v>
      </c>
      <c r="E196" s="7">
        <v>0</v>
      </c>
      <c r="F196" s="7">
        <v>0</v>
      </c>
      <c r="G196" s="7">
        <v>0</v>
      </c>
      <c r="H196" s="7">
        <v>0</v>
      </c>
      <c r="I196" s="7">
        <v>0</v>
      </c>
    </row>
    <row r="197" spans="1:9" x14ac:dyDescent="0.25">
      <c r="A197" t="s">
        <v>27</v>
      </c>
      <c r="B197" t="s">
        <v>773</v>
      </c>
      <c r="C197" s="7">
        <v>0</v>
      </c>
      <c r="D197" s="7">
        <v>0</v>
      </c>
      <c r="E197" s="7">
        <v>500000</v>
      </c>
      <c r="F197" s="7">
        <v>500000</v>
      </c>
      <c r="G197" s="7">
        <v>500000</v>
      </c>
      <c r="H197" s="7">
        <v>500000</v>
      </c>
      <c r="I197" s="7">
        <v>2000000</v>
      </c>
    </row>
    <row r="198" spans="1:9" x14ac:dyDescent="0.25">
      <c r="A198" t="s">
        <v>27</v>
      </c>
      <c r="B198" t="s">
        <v>774</v>
      </c>
      <c r="C198" s="7">
        <v>0</v>
      </c>
      <c r="D198" s="7">
        <v>300000</v>
      </c>
      <c r="E198" s="7">
        <v>0</v>
      </c>
      <c r="F198" s="7">
        <v>0</v>
      </c>
      <c r="G198" s="7">
        <v>0</v>
      </c>
      <c r="H198" s="7">
        <v>0</v>
      </c>
      <c r="I198" s="7">
        <v>300000</v>
      </c>
    </row>
    <row r="199" spans="1:9" x14ac:dyDescent="0.25">
      <c r="A199" t="s">
        <v>2</v>
      </c>
      <c r="C199" s="7">
        <v>50000</v>
      </c>
      <c r="D199" s="7">
        <v>0</v>
      </c>
      <c r="E199" s="7">
        <v>50000</v>
      </c>
      <c r="F199" s="7">
        <v>0</v>
      </c>
      <c r="G199" s="7">
        <v>350000</v>
      </c>
      <c r="H199" s="7">
        <v>0</v>
      </c>
      <c r="I199" s="7">
        <v>450000</v>
      </c>
    </row>
    <row r="200" spans="1:9" x14ac:dyDescent="0.25">
      <c r="A200" t="s">
        <v>2</v>
      </c>
      <c r="B200" t="s">
        <v>775</v>
      </c>
      <c r="C200" s="7">
        <v>50000</v>
      </c>
      <c r="D200" s="7">
        <v>0</v>
      </c>
      <c r="E200" s="7">
        <v>0</v>
      </c>
      <c r="F200" s="7">
        <v>0</v>
      </c>
      <c r="G200" s="7">
        <v>0</v>
      </c>
      <c r="H200" s="7">
        <v>0</v>
      </c>
      <c r="I200" s="7">
        <v>50000</v>
      </c>
    </row>
    <row r="201" spans="1:9" x14ac:dyDescent="0.25">
      <c r="A201" t="s">
        <v>2</v>
      </c>
      <c r="B201" t="s">
        <v>776</v>
      </c>
      <c r="C201" s="7">
        <v>0</v>
      </c>
      <c r="D201" s="7">
        <v>0</v>
      </c>
      <c r="E201" s="7">
        <v>50000</v>
      </c>
      <c r="F201" s="7">
        <v>0</v>
      </c>
      <c r="G201" s="7">
        <v>0</v>
      </c>
      <c r="H201" s="7">
        <v>0</v>
      </c>
      <c r="I201" s="7">
        <v>50000</v>
      </c>
    </row>
    <row r="202" spans="1:9" x14ac:dyDescent="0.25">
      <c r="A202" t="s">
        <v>2</v>
      </c>
      <c r="B202" t="s">
        <v>777</v>
      </c>
      <c r="C202" s="7">
        <v>0</v>
      </c>
      <c r="D202" s="7">
        <v>0</v>
      </c>
      <c r="E202" s="7">
        <v>0</v>
      </c>
      <c r="F202" s="7">
        <v>0</v>
      </c>
      <c r="G202" s="7">
        <v>100000</v>
      </c>
      <c r="H202" s="7">
        <v>0</v>
      </c>
      <c r="I202" s="7">
        <v>100000</v>
      </c>
    </row>
    <row r="203" spans="1:9" x14ac:dyDescent="0.25">
      <c r="A203" t="s">
        <v>2</v>
      </c>
      <c r="B203" t="s">
        <v>778</v>
      </c>
      <c r="C203" s="7">
        <v>0</v>
      </c>
      <c r="D203" s="7">
        <v>0</v>
      </c>
      <c r="E203" s="7">
        <v>0</v>
      </c>
      <c r="F203" s="7">
        <v>0</v>
      </c>
      <c r="G203" s="7">
        <v>0</v>
      </c>
      <c r="H203" s="7">
        <v>0</v>
      </c>
      <c r="I203" s="7">
        <v>0</v>
      </c>
    </row>
    <row r="204" spans="1:9" x14ac:dyDescent="0.25">
      <c r="A204" t="s">
        <v>2</v>
      </c>
      <c r="B204" t="s">
        <v>779</v>
      </c>
      <c r="C204" s="7">
        <v>0</v>
      </c>
      <c r="D204" s="7">
        <v>0</v>
      </c>
      <c r="E204" s="7">
        <v>0</v>
      </c>
      <c r="F204" s="7">
        <v>0</v>
      </c>
      <c r="G204" s="7">
        <v>250000</v>
      </c>
      <c r="H204" s="7">
        <v>0</v>
      </c>
      <c r="I204" s="7">
        <v>250000</v>
      </c>
    </row>
    <row r="205" spans="1:9" x14ac:dyDescent="0.25">
      <c r="A205" t="s">
        <v>2</v>
      </c>
      <c r="B205" t="s">
        <v>780</v>
      </c>
      <c r="C205" s="7">
        <v>0</v>
      </c>
      <c r="D205" s="7">
        <v>0</v>
      </c>
      <c r="E205" s="7">
        <v>0</v>
      </c>
      <c r="F205" s="7">
        <v>0</v>
      </c>
      <c r="G205" s="7">
        <v>0</v>
      </c>
      <c r="H205" s="7">
        <v>0</v>
      </c>
      <c r="I205" s="7">
        <v>0</v>
      </c>
    </row>
    <row r="206" spans="1:9" x14ac:dyDescent="0.25">
      <c r="A206" t="s">
        <v>2</v>
      </c>
      <c r="B206" t="s">
        <v>781</v>
      </c>
      <c r="C206" s="7">
        <v>0</v>
      </c>
      <c r="D206" s="7">
        <v>0</v>
      </c>
      <c r="E206" s="7">
        <v>0</v>
      </c>
      <c r="F206" s="7">
        <v>0</v>
      </c>
      <c r="G206" s="7">
        <v>0</v>
      </c>
      <c r="H206" s="7">
        <v>0</v>
      </c>
      <c r="I206" s="7">
        <v>0</v>
      </c>
    </row>
    <row r="207" spans="1:9" x14ac:dyDescent="0.25">
      <c r="A207" t="s">
        <v>2</v>
      </c>
      <c r="B207" t="s">
        <v>782</v>
      </c>
      <c r="C207" s="7">
        <v>0</v>
      </c>
      <c r="D207" s="7">
        <v>0</v>
      </c>
      <c r="E207" s="7">
        <v>0</v>
      </c>
      <c r="F207" s="7">
        <v>0</v>
      </c>
      <c r="G207" s="7">
        <v>0</v>
      </c>
      <c r="H207" s="7">
        <v>0</v>
      </c>
      <c r="I207" s="7">
        <v>0</v>
      </c>
    </row>
    <row r="208" spans="1:9" x14ac:dyDescent="0.25">
      <c r="A208" t="s">
        <v>2</v>
      </c>
      <c r="B208" t="s">
        <v>783</v>
      </c>
      <c r="C208" s="7">
        <v>0</v>
      </c>
      <c r="D208" s="7">
        <v>0</v>
      </c>
      <c r="E208" s="7">
        <v>0</v>
      </c>
      <c r="F208" s="7">
        <v>0</v>
      </c>
      <c r="G208" s="7">
        <v>0</v>
      </c>
      <c r="H208" s="7">
        <v>0</v>
      </c>
      <c r="I208" s="7">
        <v>0</v>
      </c>
    </row>
    <row r="209" spans="1:9" x14ac:dyDescent="0.25">
      <c r="A209" t="s">
        <v>3</v>
      </c>
      <c r="C209" s="7">
        <v>40000</v>
      </c>
      <c r="D209" s="7">
        <v>95000</v>
      </c>
      <c r="E209" s="7">
        <v>95000</v>
      </c>
      <c r="F209" s="7">
        <v>100000</v>
      </c>
      <c r="G209" s="7">
        <v>0</v>
      </c>
      <c r="H209" s="7">
        <v>0</v>
      </c>
      <c r="I209" s="7">
        <v>330000</v>
      </c>
    </row>
    <row r="210" spans="1:9" x14ac:dyDescent="0.25">
      <c r="A210" t="s">
        <v>3</v>
      </c>
      <c r="B210" t="s">
        <v>784</v>
      </c>
      <c r="C210" s="7">
        <v>0</v>
      </c>
      <c r="D210" s="7">
        <v>0</v>
      </c>
      <c r="E210" s="7">
        <v>0</v>
      </c>
      <c r="F210" s="7">
        <v>0</v>
      </c>
      <c r="G210" s="7">
        <v>0</v>
      </c>
      <c r="H210" s="7">
        <v>0</v>
      </c>
      <c r="I210" s="7">
        <v>0</v>
      </c>
    </row>
    <row r="211" spans="1:9" x14ac:dyDescent="0.25">
      <c r="A211" t="s">
        <v>3</v>
      </c>
      <c r="B211" t="s">
        <v>785</v>
      </c>
      <c r="C211" s="7">
        <v>0</v>
      </c>
      <c r="D211" s="7">
        <v>0</v>
      </c>
      <c r="E211" s="7">
        <v>0</v>
      </c>
      <c r="F211" s="7">
        <v>0</v>
      </c>
      <c r="G211" s="7">
        <v>0</v>
      </c>
      <c r="H211" s="7">
        <v>0</v>
      </c>
      <c r="I211" s="7">
        <v>0</v>
      </c>
    </row>
    <row r="212" spans="1:9" x14ac:dyDescent="0.25">
      <c r="A212" t="s">
        <v>3</v>
      </c>
      <c r="B212" t="s">
        <v>786</v>
      </c>
      <c r="C212" s="7">
        <v>0</v>
      </c>
      <c r="D212" s="7">
        <v>0</v>
      </c>
      <c r="E212" s="7">
        <v>0</v>
      </c>
      <c r="F212" s="7">
        <v>0</v>
      </c>
      <c r="G212" s="7">
        <v>0</v>
      </c>
      <c r="H212" s="7">
        <v>0</v>
      </c>
      <c r="I212" s="7">
        <v>0</v>
      </c>
    </row>
    <row r="213" spans="1:9" x14ac:dyDescent="0.25">
      <c r="A213" t="s">
        <v>3</v>
      </c>
      <c r="B213" t="s">
        <v>787</v>
      </c>
      <c r="C213" s="7">
        <v>0</v>
      </c>
      <c r="D213" s="7">
        <v>0</v>
      </c>
      <c r="E213" s="7">
        <v>0</v>
      </c>
      <c r="F213" s="7">
        <v>0</v>
      </c>
      <c r="G213" s="7">
        <v>0</v>
      </c>
      <c r="H213" s="7">
        <v>0</v>
      </c>
      <c r="I213" s="7">
        <v>0</v>
      </c>
    </row>
    <row r="214" spans="1:9" x14ac:dyDescent="0.25">
      <c r="A214" t="s">
        <v>3</v>
      </c>
      <c r="B214" t="s">
        <v>788</v>
      </c>
      <c r="C214" s="7">
        <v>0</v>
      </c>
      <c r="D214" s="7">
        <v>55000</v>
      </c>
      <c r="E214" s="7">
        <v>55000</v>
      </c>
      <c r="F214" s="7">
        <v>55000</v>
      </c>
      <c r="G214" s="7">
        <v>0</v>
      </c>
      <c r="H214" s="7">
        <v>0</v>
      </c>
      <c r="I214" s="7">
        <v>165000</v>
      </c>
    </row>
    <row r="215" spans="1:9" x14ac:dyDescent="0.25">
      <c r="A215" t="s">
        <v>3</v>
      </c>
      <c r="B215" t="s">
        <v>789</v>
      </c>
      <c r="C215" s="7">
        <v>0</v>
      </c>
      <c r="D215" s="7">
        <v>0</v>
      </c>
      <c r="E215" s="7">
        <v>0</v>
      </c>
      <c r="F215" s="7">
        <v>0</v>
      </c>
      <c r="G215" s="7">
        <v>0</v>
      </c>
      <c r="H215" s="7">
        <v>0</v>
      </c>
      <c r="I215" s="7">
        <v>0</v>
      </c>
    </row>
    <row r="216" spans="1:9" x14ac:dyDescent="0.25">
      <c r="A216" t="s">
        <v>3</v>
      </c>
      <c r="B216" t="s">
        <v>790</v>
      </c>
      <c r="C216" s="7">
        <v>0</v>
      </c>
      <c r="D216" s="7">
        <v>0</v>
      </c>
      <c r="E216" s="7">
        <v>0</v>
      </c>
      <c r="F216" s="7">
        <v>0</v>
      </c>
      <c r="G216" s="7">
        <v>0</v>
      </c>
      <c r="H216" s="7">
        <v>0</v>
      </c>
      <c r="I216" s="7">
        <v>0</v>
      </c>
    </row>
    <row r="217" spans="1:9" x14ac:dyDescent="0.25">
      <c r="A217" t="s">
        <v>3</v>
      </c>
      <c r="B217" t="s">
        <v>791</v>
      </c>
      <c r="C217" s="7">
        <v>0</v>
      </c>
      <c r="D217" s="7">
        <v>0</v>
      </c>
      <c r="E217" s="7">
        <v>0</v>
      </c>
      <c r="F217" s="7">
        <v>0</v>
      </c>
      <c r="G217" s="7">
        <v>0</v>
      </c>
      <c r="H217" s="7">
        <v>0</v>
      </c>
      <c r="I217" s="7">
        <v>0</v>
      </c>
    </row>
    <row r="218" spans="1:9" x14ac:dyDescent="0.25">
      <c r="A218" t="s">
        <v>3</v>
      </c>
      <c r="B218" t="s">
        <v>792</v>
      </c>
      <c r="C218" s="7">
        <v>0</v>
      </c>
      <c r="D218" s="7">
        <v>0</v>
      </c>
      <c r="E218" s="7">
        <v>0</v>
      </c>
      <c r="F218" s="7">
        <v>0</v>
      </c>
      <c r="G218" s="7">
        <v>0</v>
      </c>
      <c r="H218" s="7">
        <v>0</v>
      </c>
      <c r="I218" s="7">
        <v>0</v>
      </c>
    </row>
    <row r="219" spans="1:9" x14ac:dyDescent="0.25">
      <c r="A219" t="s">
        <v>3</v>
      </c>
      <c r="B219" t="s">
        <v>793</v>
      </c>
      <c r="C219" s="7">
        <v>0</v>
      </c>
      <c r="D219" s="7">
        <v>0</v>
      </c>
      <c r="E219" s="7">
        <v>0</v>
      </c>
      <c r="F219" s="7">
        <v>0</v>
      </c>
      <c r="G219" s="7">
        <v>0</v>
      </c>
      <c r="H219" s="7">
        <v>0</v>
      </c>
      <c r="I219" s="7">
        <v>0</v>
      </c>
    </row>
    <row r="220" spans="1:9" x14ac:dyDescent="0.25">
      <c r="A220" t="s">
        <v>3</v>
      </c>
      <c r="B220" t="s">
        <v>794</v>
      </c>
      <c r="C220" s="7">
        <v>0</v>
      </c>
      <c r="D220" s="7">
        <v>0</v>
      </c>
      <c r="E220" s="7">
        <v>0</v>
      </c>
      <c r="F220" s="7">
        <v>0</v>
      </c>
      <c r="G220" s="7">
        <v>0</v>
      </c>
      <c r="H220" s="7">
        <v>0</v>
      </c>
      <c r="I220" s="7">
        <v>0</v>
      </c>
    </row>
    <row r="221" spans="1:9" x14ac:dyDescent="0.25">
      <c r="A221" t="s">
        <v>3</v>
      </c>
      <c r="B221" t="s">
        <v>795</v>
      </c>
      <c r="C221" s="7">
        <v>40000</v>
      </c>
      <c r="D221" s="7">
        <v>40000</v>
      </c>
      <c r="E221" s="7">
        <v>40000</v>
      </c>
      <c r="F221" s="7">
        <v>45000</v>
      </c>
      <c r="G221" s="7">
        <v>0</v>
      </c>
      <c r="H221" s="7">
        <v>0</v>
      </c>
      <c r="I221" s="7">
        <v>165000</v>
      </c>
    </row>
    <row r="222" spans="1:9" x14ac:dyDescent="0.25">
      <c r="A222" t="s">
        <v>3</v>
      </c>
      <c r="B222" t="s">
        <v>796</v>
      </c>
      <c r="C222" s="7">
        <v>0</v>
      </c>
      <c r="D222" s="7">
        <v>0</v>
      </c>
      <c r="E222" s="7">
        <v>0</v>
      </c>
      <c r="F222" s="7">
        <v>0</v>
      </c>
      <c r="G222" s="7">
        <v>0</v>
      </c>
      <c r="H222" s="7">
        <v>0</v>
      </c>
      <c r="I222" s="7">
        <v>0</v>
      </c>
    </row>
    <row r="223" spans="1:9" x14ac:dyDescent="0.25">
      <c r="A223" t="s">
        <v>3</v>
      </c>
      <c r="B223" t="s">
        <v>797</v>
      </c>
      <c r="C223" s="7">
        <v>0</v>
      </c>
      <c r="D223" s="7">
        <v>0</v>
      </c>
      <c r="E223" s="7">
        <v>0</v>
      </c>
      <c r="F223" s="7">
        <v>0</v>
      </c>
      <c r="G223" s="7">
        <v>0</v>
      </c>
      <c r="H223" s="7">
        <v>0</v>
      </c>
      <c r="I223" s="7">
        <v>0</v>
      </c>
    </row>
    <row r="224" spans="1:9" x14ac:dyDescent="0.25">
      <c r="A224" t="s">
        <v>4</v>
      </c>
      <c r="C224" s="7">
        <v>67000</v>
      </c>
      <c r="D224" s="7">
        <v>0</v>
      </c>
      <c r="E224" s="7">
        <v>0</v>
      </c>
      <c r="F224" s="7">
        <v>0</v>
      </c>
      <c r="G224" s="7">
        <v>0</v>
      </c>
      <c r="H224" s="7">
        <v>0</v>
      </c>
      <c r="I224" s="7">
        <v>67000</v>
      </c>
    </row>
    <row r="225" spans="1:9" x14ac:dyDescent="0.25">
      <c r="A225" t="s">
        <v>4</v>
      </c>
      <c r="B225" t="s">
        <v>798</v>
      </c>
      <c r="C225" s="7">
        <v>0</v>
      </c>
      <c r="D225" s="7">
        <v>0</v>
      </c>
      <c r="E225" s="7">
        <v>0</v>
      </c>
      <c r="F225" s="7">
        <v>0</v>
      </c>
      <c r="G225" s="7">
        <v>0</v>
      </c>
      <c r="H225" s="7">
        <v>0</v>
      </c>
      <c r="I225" s="7">
        <v>0</v>
      </c>
    </row>
    <row r="226" spans="1:9" x14ac:dyDescent="0.25">
      <c r="A226" t="s">
        <v>4</v>
      </c>
      <c r="B226" t="s">
        <v>799</v>
      </c>
      <c r="C226" s="7">
        <v>0</v>
      </c>
      <c r="D226" s="7">
        <v>0</v>
      </c>
      <c r="E226" s="7">
        <v>0</v>
      </c>
      <c r="F226" s="7">
        <v>0</v>
      </c>
      <c r="G226" s="7">
        <v>0</v>
      </c>
      <c r="H226" s="7">
        <v>0</v>
      </c>
      <c r="I226" s="7">
        <v>0</v>
      </c>
    </row>
    <row r="227" spans="1:9" x14ac:dyDescent="0.25">
      <c r="A227" t="s">
        <v>4</v>
      </c>
      <c r="B227" t="s">
        <v>800</v>
      </c>
      <c r="C227" s="7">
        <v>0</v>
      </c>
      <c r="D227" s="7">
        <v>0</v>
      </c>
      <c r="E227" s="7">
        <v>0</v>
      </c>
      <c r="F227" s="7">
        <v>0</v>
      </c>
      <c r="G227" s="7">
        <v>0</v>
      </c>
      <c r="H227" s="7">
        <v>0</v>
      </c>
      <c r="I227" s="7">
        <v>0</v>
      </c>
    </row>
    <row r="228" spans="1:9" x14ac:dyDescent="0.25">
      <c r="A228" t="s">
        <v>4</v>
      </c>
      <c r="B228" t="s">
        <v>801</v>
      </c>
      <c r="C228" s="7">
        <v>0</v>
      </c>
      <c r="D228" s="7">
        <v>0</v>
      </c>
      <c r="E228" s="7">
        <v>0</v>
      </c>
      <c r="F228" s="7">
        <v>0</v>
      </c>
      <c r="G228" s="7">
        <v>0</v>
      </c>
      <c r="H228" s="7">
        <v>0</v>
      </c>
      <c r="I228" s="7">
        <v>0</v>
      </c>
    </row>
    <row r="229" spans="1:9" x14ac:dyDescent="0.25">
      <c r="A229" t="s">
        <v>4</v>
      </c>
      <c r="B229" t="s">
        <v>802</v>
      </c>
      <c r="C229" s="7">
        <v>0</v>
      </c>
      <c r="D229" s="7">
        <v>0</v>
      </c>
      <c r="E229" s="7">
        <v>0</v>
      </c>
      <c r="F229" s="7">
        <v>0</v>
      </c>
      <c r="G229" s="7">
        <v>0</v>
      </c>
      <c r="H229" s="7">
        <v>0</v>
      </c>
      <c r="I229" s="7">
        <v>0</v>
      </c>
    </row>
    <row r="230" spans="1:9" x14ac:dyDescent="0.25">
      <c r="A230" t="s">
        <v>4</v>
      </c>
      <c r="B230" t="s">
        <v>803</v>
      </c>
      <c r="C230" s="7">
        <v>0</v>
      </c>
      <c r="D230" s="7">
        <v>0</v>
      </c>
      <c r="E230" s="7">
        <v>0</v>
      </c>
      <c r="F230" s="7">
        <v>0</v>
      </c>
      <c r="G230" s="7">
        <v>0</v>
      </c>
      <c r="H230" s="7">
        <v>0</v>
      </c>
      <c r="I230" s="7">
        <v>0</v>
      </c>
    </row>
    <row r="231" spans="1:9" x14ac:dyDescent="0.25">
      <c r="A231" t="s">
        <v>4</v>
      </c>
      <c r="B231" t="s">
        <v>804</v>
      </c>
      <c r="C231" s="7">
        <v>0</v>
      </c>
      <c r="D231" s="7">
        <v>0</v>
      </c>
      <c r="E231" s="7">
        <v>0</v>
      </c>
      <c r="F231" s="7">
        <v>0</v>
      </c>
      <c r="G231" s="7">
        <v>0</v>
      </c>
      <c r="H231" s="7">
        <v>0</v>
      </c>
      <c r="I231" s="7">
        <v>0</v>
      </c>
    </row>
    <row r="232" spans="1:9" x14ac:dyDescent="0.25">
      <c r="A232" t="s">
        <v>4</v>
      </c>
      <c r="B232" t="s">
        <v>805</v>
      </c>
      <c r="C232" s="7">
        <v>0</v>
      </c>
      <c r="D232" s="7">
        <v>0</v>
      </c>
      <c r="E232" s="7">
        <v>0</v>
      </c>
      <c r="F232" s="7">
        <v>0</v>
      </c>
      <c r="G232" s="7">
        <v>0</v>
      </c>
      <c r="H232" s="7">
        <v>0</v>
      </c>
      <c r="I232" s="7">
        <v>0</v>
      </c>
    </row>
    <row r="233" spans="1:9" x14ac:dyDescent="0.25">
      <c r="A233" t="s">
        <v>4</v>
      </c>
      <c r="B233" t="s">
        <v>806</v>
      </c>
      <c r="C233" s="7">
        <v>17000</v>
      </c>
      <c r="D233" s="7">
        <v>0</v>
      </c>
      <c r="E233" s="7">
        <v>0</v>
      </c>
      <c r="F233" s="7">
        <v>0</v>
      </c>
      <c r="G233" s="7">
        <v>0</v>
      </c>
      <c r="H233" s="7">
        <v>0</v>
      </c>
      <c r="I233" s="7">
        <v>17000</v>
      </c>
    </row>
    <row r="234" spans="1:9" x14ac:dyDescent="0.25">
      <c r="A234" t="s">
        <v>4</v>
      </c>
      <c r="B234" t="s">
        <v>807</v>
      </c>
      <c r="C234" s="7">
        <v>0</v>
      </c>
      <c r="D234" s="7">
        <v>0</v>
      </c>
      <c r="E234" s="7">
        <v>0</v>
      </c>
      <c r="F234" s="7">
        <v>0</v>
      </c>
      <c r="G234" s="7">
        <v>0</v>
      </c>
      <c r="H234" s="7">
        <v>0</v>
      </c>
      <c r="I234" s="7">
        <v>0</v>
      </c>
    </row>
    <row r="235" spans="1:9" x14ac:dyDescent="0.25">
      <c r="A235" t="s">
        <v>4</v>
      </c>
      <c r="B235" t="s">
        <v>808</v>
      </c>
      <c r="C235" s="7">
        <v>25000</v>
      </c>
      <c r="D235" s="7">
        <v>0</v>
      </c>
      <c r="E235" s="7">
        <v>0</v>
      </c>
      <c r="F235" s="7">
        <v>0</v>
      </c>
      <c r="G235" s="7">
        <v>0</v>
      </c>
      <c r="H235" s="7">
        <v>0</v>
      </c>
      <c r="I235" s="7">
        <v>25000</v>
      </c>
    </row>
    <row r="236" spans="1:9" x14ac:dyDescent="0.25">
      <c r="A236" t="s">
        <v>4</v>
      </c>
      <c r="B236" t="s">
        <v>809</v>
      </c>
      <c r="C236" s="7">
        <v>0</v>
      </c>
      <c r="D236" s="7">
        <v>0</v>
      </c>
      <c r="E236" s="7">
        <v>0</v>
      </c>
      <c r="F236" s="7">
        <v>0</v>
      </c>
      <c r="G236" s="7">
        <v>0</v>
      </c>
      <c r="H236" s="7">
        <v>0</v>
      </c>
      <c r="I236" s="7">
        <v>0</v>
      </c>
    </row>
    <row r="237" spans="1:9" x14ac:dyDescent="0.25">
      <c r="A237" t="s">
        <v>4</v>
      </c>
      <c r="B237" t="s">
        <v>810</v>
      </c>
      <c r="C237" s="7">
        <v>0</v>
      </c>
      <c r="D237" s="7">
        <v>0</v>
      </c>
      <c r="E237" s="7">
        <v>0</v>
      </c>
      <c r="F237" s="7">
        <v>0</v>
      </c>
      <c r="G237" s="7">
        <v>0</v>
      </c>
      <c r="H237" s="7">
        <v>0</v>
      </c>
      <c r="I237" s="7">
        <v>0</v>
      </c>
    </row>
    <row r="238" spans="1:9" x14ac:dyDescent="0.25">
      <c r="A238" t="s">
        <v>4</v>
      </c>
      <c r="B238" t="s">
        <v>811</v>
      </c>
      <c r="C238" s="7">
        <v>0</v>
      </c>
      <c r="D238" s="7">
        <v>0</v>
      </c>
      <c r="E238" s="7">
        <v>0</v>
      </c>
      <c r="F238" s="7">
        <v>0</v>
      </c>
      <c r="G238" s="7">
        <v>0</v>
      </c>
      <c r="H238" s="7">
        <v>0</v>
      </c>
      <c r="I238" s="7">
        <v>0</v>
      </c>
    </row>
    <row r="239" spans="1:9" x14ac:dyDescent="0.25">
      <c r="A239" t="s">
        <v>4</v>
      </c>
      <c r="B239" t="s">
        <v>812</v>
      </c>
      <c r="C239" s="7">
        <v>0</v>
      </c>
      <c r="D239" s="7">
        <v>0</v>
      </c>
      <c r="E239" s="7">
        <v>0</v>
      </c>
      <c r="F239" s="7">
        <v>0</v>
      </c>
      <c r="G239" s="7">
        <v>0</v>
      </c>
      <c r="H239" s="7">
        <v>0</v>
      </c>
      <c r="I239" s="7">
        <v>0</v>
      </c>
    </row>
    <row r="240" spans="1:9" x14ac:dyDescent="0.25">
      <c r="A240" t="s">
        <v>4</v>
      </c>
      <c r="B240" t="s">
        <v>813</v>
      </c>
      <c r="C240" s="7">
        <v>0</v>
      </c>
      <c r="D240" s="7">
        <v>0</v>
      </c>
      <c r="E240" s="7">
        <v>0</v>
      </c>
      <c r="F240" s="7">
        <v>0</v>
      </c>
      <c r="G240" s="7">
        <v>0</v>
      </c>
      <c r="H240" s="7">
        <v>0</v>
      </c>
      <c r="I240" s="7">
        <v>0</v>
      </c>
    </row>
    <row r="241" spans="1:9" x14ac:dyDescent="0.25">
      <c r="A241" t="s">
        <v>4</v>
      </c>
      <c r="B241" t="s">
        <v>814</v>
      </c>
      <c r="C241" s="7">
        <v>0</v>
      </c>
      <c r="D241" s="7">
        <v>0</v>
      </c>
      <c r="E241" s="7">
        <v>0</v>
      </c>
      <c r="F241" s="7">
        <v>0</v>
      </c>
      <c r="G241" s="7">
        <v>0</v>
      </c>
      <c r="H241" s="7">
        <v>0</v>
      </c>
      <c r="I241" s="7">
        <v>0</v>
      </c>
    </row>
    <row r="242" spans="1:9" x14ac:dyDescent="0.25">
      <c r="A242" t="s">
        <v>4</v>
      </c>
      <c r="B242" t="s">
        <v>815</v>
      </c>
      <c r="C242" s="7">
        <v>0</v>
      </c>
      <c r="D242" s="7">
        <v>0</v>
      </c>
      <c r="E242" s="7">
        <v>0</v>
      </c>
      <c r="F242" s="7">
        <v>0</v>
      </c>
      <c r="G242" s="7">
        <v>0</v>
      </c>
      <c r="H242" s="7">
        <v>0</v>
      </c>
      <c r="I242" s="7">
        <v>0</v>
      </c>
    </row>
    <row r="243" spans="1:9" x14ac:dyDescent="0.25">
      <c r="A243" t="s">
        <v>4</v>
      </c>
      <c r="B243" t="s">
        <v>816</v>
      </c>
      <c r="C243" s="7">
        <v>0</v>
      </c>
      <c r="D243" s="7">
        <v>0</v>
      </c>
      <c r="E243" s="7">
        <v>0</v>
      </c>
      <c r="F243" s="7">
        <v>0</v>
      </c>
      <c r="G243" s="7">
        <v>0</v>
      </c>
      <c r="H243" s="7">
        <v>0</v>
      </c>
      <c r="I243" s="7">
        <v>0</v>
      </c>
    </row>
    <row r="244" spans="1:9" x14ac:dyDescent="0.25">
      <c r="A244" t="s">
        <v>4</v>
      </c>
      <c r="B244" t="s">
        <v>817</v>
      </c>
      <c r="C244" s="7">
        <v>0</v>
      </c>
      <c r="D244" s="7">
        <v>0</v>
      </c>
      <c r="E244" s="7">
        <v>0</v>
      </c>
      <c r="F244" s="7">
        <v>0</v>
      </c>
      <c r="G244" s="7">
        <v>0</v>
      </c>
      <c r="H244" s="7">
        <v>0</v>
      </c>
      <c r="I244" s="7">
        <v>0</v>
      </c>
    </row>
    <row r="245" spans="1:9" x14ac:dyDescent="0.25">
      <c r="A245" t="s">
        <v>4</v>
      </c>
      <c r="B245" t="s">
        <v>818</v>
      </c>
      <c r="C245" s="7">
        <v>0</v>
      </c>
      <c r="D245" s="7">
        <v>0</v>
      </c>
      <c r="E245" s="7">
        <v>0</v>
      </c>
      <c r="F245" s="7">
        <v>0</v>
      </c>
      <c r="G245" s="7">
        <v>0</v>
      </c>
      <c r="H245" s="7">
        <v>0</v>
      </c>
      <c r="I245" s="7">
        <v>0</v>
      </c>
    </row>
    <row r="246" spans="1:9" x14ac:dyDescent="0.25">
      <c r="A246" t="s">
        <v>4</v>
      </c>
      <c r="B246" t="s">
        <v>819</v>
      </c>
      <c r="C246" s="7">
        <v>0</v>
      </c>
      <c r="D246" s="7">
        <v>0</v>
      </c>
      <c r="E246" s="7">
        <v>0</v>
      </c>
      <c r="F246" s="7">
        <v>0</v>
      </c>
      <c r="G246" s="7">
        <v>0</v>
      </c>
      <c r="H246" s="7">
        <v>0</v>
      </c>
      <c r="I246" s="7">
        <v>0</v>
      </c>
    </row>
    <row r="247" spans="1:9" x14ac:dyDescent="0.25">
      <c r="A247" t="s">
        <v>4</v>
      </c>
      <c r="B247" t="s">
        <v>820</v>
      </c>
      <c r="C247" s="7">
        <v>25000</v>
      </c>
      <c r="D247" s="7">
        <v>0</v>
      </c>
      <c r="E247" s="7">
        <v>0</v>
      </c>
      <c r="F247" s="7">
        <v>0</v>
      </c>
      <c r="G247" s="7">
        <v>0</v>
      </c>
      <c r="H247" s="7">
        <v>0</v>
      </c>
      <c r="I247" s="7">
        <v>25000</v>
      </c>
    </row>
    <row r="248" spans="1:9" x14ac:dyDescent="0.25">
      <c r="A248" t="s">
        <v>5</v>
      </c>
      <c r="C248" s="7">
        <v>100000</v>
      </c>
      <c r="D248" s="7">
        <v>0</v>
      </c>
      <c r="E248" s="7">
        <v>0</v>
      </c>
      <c r="F248" s="7">
        <v>100000</v>
      </c>
      <c r="G248" s="7">
        <v>0</v>
      </c>
      <c r="H248" s="7">
        <v>0</v>
      </c>
      <c r="I248" s="7">
        <v>200000</v>
      </c>
    </row>
    <row r="249" spans="1:9" x14ac:dyDescent="0.25">
      <c r="A249" t="s">
        <v>5</v>
      </c>
      <c r="B249" t="s">
        <v>821</v>
      </c>
      <c r="C249" s="7">
        <v>0</v>
      </c>
      <c r="D249" s="7">
        <v>0</v>
      </c>
      <c r="E249" s="7">
        <v>0</v>
      </c>
      <c r="F249" s="7">
        <v>0</v>
      </c>
      <c r="G249" s="7">
        <v>0</v>
      </c>
      <c r="H249" s="7">
        <v>0</v>
      </c>
      <c r="I249" s="7">
        <v>0</v>
      </c>
    </row>
    <row r="250" spans="1:9" x14ac:dyDescent="0.25">
      <c r="A250" t="s">
        <v>5</v>
      </c>
      <c r="B250" t="s">
        <v>822</v>
      </c>
      <c r="C250" s="7">
        <v>100000</v>
      </c>
      <c r="D250" s="7">
        <v>0</v>
      </c>
      <c r="E250" s="7">
        <v>0</v>
      </c>
      <c r="F250" s="7">
        <v>100000</v>
      </c>
      <c r="G250" s="7">
        <v>0</v>
      </c>
      <c r="H250" s="7">
        <v>0</v>
      </c>
      <c r="I250" s="7">
        <v>200000</v>
      </c>
    </row>
    <row r="251" spans="1:9" x14ac:dyDescent="0.25">
      <c r="A251" t="s">
        <v>5</v>
      </c>
      <c r="B251" t="s">
        <v>823</v>
      </c>
      <c r="C251" s="7">
        <v>0</v>
      </c>
      <c r="D251" s="7">
        <v>0</v>
      </c>
      <c r="E251" s="7">
        <v>0</v>
      </c>
      <c r="F251" s="7">
        <v>0</v>
      </c>
      <c r="G251" s="7">
        <v>0</v>
      </c>
      <c r="H251" s="7">
        <v>0</v>
      </c>
      <c r="I251" s="7">
        <v>0</v>
      </c>
    </row>
    <row r="252" spans="1:9" x14ac:dyDescent="0.25">
      <c r="A252" t="s">
        <v>5</v>
      </c>
      <c r="B252" t="s">
        <v>824</v>
      </c>
      <c r="C252" s="7">
        <v>0</v>
      </c>
      <c r="D252" s="7">
        <v>0</v>
      </c>
      <c r="E252" s="7">
        <v>0</v>
      </c>
      <c r="F252" s="7">
        <v>0</v>
      </c>
      <c r="G252" s="7">
        <v>0</v>
      </c>
      <c r="H252" s="7">
        <v>0</v>
      </c>
      <c r="I252" s="7">
        <v>0</v>
      </c>
    </row>
    <row r="253" spans="1:9" x14ac:dyDescent="0.25">
      <c r="A253" t="s">
        <v>5</v>
      </c>
      <c r="B253" t="s">
        <v>825</v>
      </c>
      <c r="C253" s="7">
        <v>0</v>
      </c>
      <c r="D253" s="7">
        <v>0</v>
      </c>
      <c r="E253" s="7">
        <v>0</v>
      </c>
      <c r="F253" s="7">
        <v>0</v>
      </c>
      <c r="G253" s="7">
        <v>0</v>
      </c>
      <c r="H253" s="7">
        <v>0</v>
      </c>
      <c r="I253" s="7">
        <v>0</v>
      </c>
    </row>
    <row r="254" spans="1:9" x14ac:dyDescent="0.25">
      <c r="A254" t="s">
        <v>5</v>
      </c>
      <c r="B254" t="s">
        <v>826</v>
      </c>
      <c r="C254" s="7">
        <v>0</v>
      </c>
      <c r="D254" s="7">
        <v>0</v>
      </c>
      <c r="E254" s="7">
        <v>0</v>
      </c>
      <c r="F254" s="7">
        <v>0</v>
      </c>
      <c r="G254" s="7">
        <v>0</v>
      </c>
      <c r="H254" s="7">
        <v>0</v>
      </c>
      <c r="I254" s="7">
        <v>0</v>
      </c>
    </row>
    <row r="255" spans="1:9" x14ac:dyDescent="0.25">
      <c r="A255" t="s">
        <v>5</v>
      </c>
      <c r="B255" t="s">
        <v>827</v>
      </c>
      <c r="C255" s="7">
        <v>0</v>
      </c>
      <c r="D255" s="7">
        <v>0</v>
      </c>
      <c r="E255" s="7">
        <v>0</v>
      </c>
      <c r="F255" s="7">
        <v>0</v>
      </c>
      <c r="G255" s="7">
        <v>0</v>
      </c>
      <c r="H255" s="7">
        <v>0</v>
      </c>
      <c r="I255" s="7">
        <v>0</v>
      </c>
    </row>
    <row r="256" spans="1:9" x14ac:dyDescent="0.25">
      <c r="A256" t="s">
        <v>6</v>
      </c>
      <c r="C256" s="7">
        <v>0</v>
      </c>
      <c r="D256" s="7">
        <v>40000</v>
      </c>
      <c r="E256" s="7">
        <v>35000</v>
      </c>
      <c r="F256" s="7">
        <v>0</v>
      </c>
      <c r="G256" s="7">
        <v>0</v>
      </c>
      <c r="H256" s="7">
        <v>0</v>
      </c>
      <c r="I256" s="7">
        <v>75000</v>
      </c>
    </row>
    <row r="257" spans="1:9" x14ac:dyDescent="0.25">
      <c r="A257" t="s">
        <v>6</v>
      </c>
      <c r="B257" t="s">
        <v>828</v>
      </c>
      <c r="C257" s="7">
        <v>0</v>
      </c>
      <c r="D257" s="7">
        <v>0</v>
      </c>
      <c r="E257" s="7">
        <v>0</v>
      </c>
      <c r="F257" s="7">
        <v>0</v>
      </c>
      <c r="G257" s="7">
        <v>0</v>
      </c>
      <c r="H257" s="7">
        <v>0</v>
      </c>
      <c r="I257" s="7">
        <v>0</v>
      </c>
    </row>
    <row r="258" spans="1:9" x14ac:dyDescent="0.25">
      <c r="A258" t="s">
        <v>6</v>
      </c>
      <c r="B258" t="s">
        <v>829</v>
      </c>
      <c r="C258" s="7">
        <v>0</v>
      </c>
      <c r="D258" s="7">
        <v>0</v>
      </c>
      <c r="E258" s="7">
        <v>0</v>
      </c>
      <c r="F258" s="7">
        <v>0</v>
      </c>
      <c r="G258" s="7">
        <v>0</v>
      </c>
      <c r="H258" s="7">
        <v>0</v>
      </c>
      <c r="I258" s="7">
        <v>0</v>
      </c>
    </row>
    <row r="259" spans="1:9" x14ac:dyDescent="0.25">
      <c r="A259" t="s">
        <v>6</v>
      </c>
      <c r="B259" t="s">
        <v>830</v>
      </c>
      <c r="C259" s="7">
        <v>0</v>
      </c>
      <c r="D259" s="7">
        <v>0</v>
      </c>
      <c r="E259" s="7">
        <v>0</v>
      </c>
      <c r="F259" s="7">
        <v>0</v>
      </c>
      <c r="G259" s="7">
        <v>0</v>
      </c>
      <c r="H259" s="7">
        <v>0</v>
      </c>
      <c r="I259" s="7">
        <v>0</v>
      </c>
    </row>
    <row r="260" spans="1:9" x14ac:dyDescent="0.25">
      <c r="A260" t="s">
        <v>6</v>
      </c>
      <c r="B260" t="s">
        <v>831</v>
      </c>
      <c r="C260" s="7">
        <v>0</v>
      </c>
      <c r="D260" s="7">
        <v>0</v>
      </c>
      <c r="E260" s="7">
        <v>0</v>
      </c>
      <c r="F260" s="7">
        <v>0</v>
      </c>
      <c r="G260" s="7">
        <v>0</v>
      </c>
      <c r="H260" s="7">
        <v>0</v>
      </c>
      <c r="I260" s="7">
        <v>0</v>
      </c>
    </row>
    <row r="261" spans="1:9" x14ac:dyDescent="0.25">
      <c r="A261" t="s">
        <v>6</v>
      </c>
      <c r="B261" t="s">
        <v>832</v>
      </c>
      <c r="C261" s="7">
        <v>0</v>
      </c>
      <c r="D261" s="7">
        <v>40000</v>
      </c>
      <c r="E261" s="7">
        <v>35000</v>
      </c>
      <c r="F261" s="7">
        <v>0</v>
      </c>
      <c r="G261" s="7">
        <v>0</v>
      </c>
      <c r="H261" s="7">
        <v>0</v>
      </c>
      <c r="I261" s="7">
        <v>75000</v>
      </c>
    </row>
    <row r="262" spans="1:9" x14ac:dyDescent="0.25">
      <c r="A262" t="s">
        <v>6</v>
      </c>
      <c r="B262" t="s">
        <v>833</v>
      </c>
      <c r="C262" s="7">
        <v>0</v>
      </c>
      <c r="D262" s="7">
        <v>0</v>
      </c>
      <c r="E262" s="7">
        <v>0</v>
      </c>
      <c r="F262" s="7">
        <v>0</v>
      </c>
      <c r="G262" s="7">
        <v>0</v>
      </c>
      <c r="H262" s="7">
        <v>0</v>
      </c>
      <c r="I262" s="7">
        <v>0</v>
      </c>
    </row>
    <row r="263" spans="1:9" x14ac:dyDescent="0.25">
      <c r="A263" t="s">
        <v>7</v>
      </c>
      <c r="C263" s="7">
        <v>100000</v>
      </c>
      <c r="D263" s="7">
        <v>280000</v>
      </c>
      <c r="E263" s="7">
        <v>470000</v>
      </c>
      <c r="F263" s="7">
        <v>470000</v>
      </c>
      <c r="G263" s="7">
        <v>470000</v>
      </c>
      <c r="H263" s="7">
        <v>470000</v>
      </c>
      <c r="I263" s="7">
        <v>2260000</v>
      </c>
    </row>
    <row r="264" spans="1:9" x14ac:dyDescent="0.25">
      <c r="A264" t="s">
        <v>7</v>
      </c>
      <c r="B264" t="s">
        <v>834</v>
      </c>
      <c r="C264" s="7">
        <v>15000</v>
      </c>
      <c r="D264" s="7">
        <v>0</v>
      </c>
      <c r="E264" s="7">
        <v>0</v>
      </c>
      <c r="F264" s="7">
        <v>0</v>
      </c>
      <c r="G264" s="7">
        <v>0</v>
      </c>
      <c r="H264" s="7">
        <v>0</v>
      </c>
      <c r="I264" s="7">
        <v>15000</v>
      </c>
    </row>
    <row r="265" spans="1:9" x14ac:dyDescent="0.25">
      <c r="A265" t="s">
        <v>7</v>
      </c>
      <c r="B265" t="s">
        <v>835</v>
      </c>
      <c r="C265" s="7">
        <v>15000</v>
      </c>
      <c r="D265" s="7">
        <v>0</v>
      </c>
      <c r="E265" s="7">
        <v>0</v>
      </c>
      <c r="F265" s="7">
        <v>0</v>
      </c>
      <c r="G265" s="7">
        <v>0</v>
      </c>
      <c r="H265" s="7">
        <v>0</v>
      </c>
      <c r="I265" s="7">
        <v>15000</v>
      </c>
    </row>
    <row r="266" spans="1:9" x14ac:dyDescent="0.25">
      <c r="A266" t="s">
        <v>7</v>
      </c>
      <c r="B266" t="s">
        <v>836</v>
      </c>
      <c r="C266" s="7">
        <v>0</v>
      </c>
      <c r="D266" s="7">
        <v>0</v>
      </c>
      <c r="E266" s="7">
        <v>0</v>
      </c>
      <c r="F266" s="7">
        <v>0</v>
      </c>
      <c r="G266" s="7">
        <v>0</v>
      </c>
      <c r="H266" s="7">
        <v>0</v>
      </c>
      <c r="I266" s="7">
        <v>0</v>
      </c>
    </row>
    <row r="267" spans="1:9" x14ac:dyDescent="0.25">
      <c r="A267" t="s">
        <v>7</v>
      </c>
      <c r="B267" t="s">
        <v>837</v>
      </c>
      <c r="C267" s="7">
        <v>0</v>
      </c>
      <c r="D267" s="7">
        <v>10000</v>
      </c>
      <c r="E267" s="7">
        <v>0</v>
      </c>
      <c r="F267" s="7">
        <v>0</v>
      </c>
      <c r="G267" s="7">
        <v>0</v>
      </c>
      <c r="H267" s="7">
        <v>0</v>
      </c>
      <c r="I267" s="7">
        <v>10000</v>
      </c>
    </row>
    <row r="268" spans="1:9" x14ac:dyDescent="0.25">
      <c r="A268" t="s">
        <v>7</v>
      </c>
      <c r="B268" t="s">
        <v>838</v>
      </c>
      <c r="C268" s="7">
        <v>0</v>
      </c>
      <c r="D268" s="7">
        <v>200000</v>
      </c>
      <c r="E268" s="7">
        <v>200000</v>
      </c>
      <c r="F268" s="7">
        <v>200000</v>
      </c>
      <c r="G268" s="7">
        <v>200000</v>
      </c>
      <c r="H268" s="7">
        <v>200000</v>
      </c>
      <c r="I268" s="7">
        <v>1000000</v>
      </c>
    </row>
    <row r="269" spans="1:9" x14ac:dyDescent="0.25">
      <c r="A269" t="s">
        <v>7</v>
      </c>
      <c r="B269" t="s">
        <v>839</v>
      </c>
      <c r="C269" s="7">
        <v>0</v>
      </c>
      <c r="D269" s="7">
        <v>0</v>
      </c>
      <c r="E269" s="7">
        <v>200000</v>
      </c>
      <c r="F269" s="7">
        <v>200000</v>
      </c>
      <c r="G269" s="7">
        <v>200000</v>
      </c>
      <c r="H269" s="7">
        <v>200000</v>
      </c>
      <c r="I269" s="7">
        <v>800000</v>
      </c>
    </row>
    <row r="270" spans="1:9" x14ac:dyDescent="0.25">
      <c r="A270" t="s">
        <v>7</v>
      </c>
      <c r="B270" t="s">
        <v>840</v>
      </c>
      <c r="C270" s="7">
        <v>50000</v>
      </c>
      <c r="D270" s="7">
        <v>50000</v>
      </c>
      <c r="E270" s="7">
        <v>50000</v>
      </c>
      <c r="F270" s="7">
        <v>50000</v>
      </c>
      <c r="G270" s="7">
        <v>50000</v>
      </c>
      <c r="H270" s="7">
        <v>50000</v>
      </c>
      <c r="I270" s="7">
        <v>300000</v>
      </c>
    </row>
    <row r="271" spans="1:9" x14ac:dyDescent="0.25">
      <c r="A271" t="s">
        <v>7</v>
      </c>
      <c r="B271" t="s">
        <v>841</v>
      </c>
      <c r="C271" s="7">
        <v>20000</v>
      </c>
      <c r="D271" s="7">
        <v>20000</v>
      </c>
      <c r="E271" s="7">
        <v>20000</v>
      </c>
      <c r="F271" s="7">
        <v>20000</v>
      </c>
      <c r="G271" s="7">
        <v>20000</v>
      </c>
      <c r="H271" s="7">
        <v>20000</v>
      </c>
      <c r="I271" s="7">
        <v>120000</v>
      </c>
    </row>
    <row r="272" spans="1:9" x14ac:dyDescent="0.25">
      <c r="A272" t="s">
        <v>7</v>
      </c>
      <c r="B272" t="s">
        <v>842</v>
      </c>
      <c r="C272" s="7">
        <v>0</v>
      </c>
      <c r="D272" s="7">
        <v>0</v>
      </c>
      <c r="E272" s="7">
        <v>0</v>
      </c>
      <c r="F272" s="7">
        <v>0</v>
      </c>
      <c r="G272" s="7">
        <v>0</v>
      </c>
      <c r="H272" s="7">
        <v>0</v>
      </c>
      <c r="I272" s="7">
        <v>0</v>
      </c>
    </row>
    <row r="273" spans="1:9" x14ac:dyDescent="0.25">
      <c r="A273" t="s">
        <v>8</v>
      </c>
      <c r="C273" s="7">
        <v>600000</v>
      </c>
      <c r="D273" s="7">
        <v>1150000</v>
      </c>
      <c r="E273" s="7">
        <v>1650000</v>
      </c>
      <c r="F273" s="7">
        <v>1170000</v>
      </c>
      <c r="G273" s="7">
        <v>150000</v>
      </c>
      <c r="H273" s="7">
        <v>150000</v>
      </c>
      <c r="I273" s="7">
        <v>4870000</v>
      </c>
    </row>
    <row r="274" spans="1:9" x14ac:dyDescent="0.25">
      <c r="A274" t="s">
        <v>8</v>
      </c>
      <c r="B274" t="s">
        <v>843</v>
      </c>
      <c r="C274" s="7">
        <v>0</v>
      </c>
      <c r="D274" s="7">
        <v>0</v>
      </c>
      <c r="E274" s="7">
        <v>0</v>
      </c>
      <c r="F274" s="7">
        <v>0</v>
      </c>
      <c r="G274" s="7">
        <v>0</v>
      </c>
      <c r="H274" s="7">
        <v>0</v>
      </c>
      <c r="I274" s="7">
        <v>0</v>
      </c>
    </row>
    <row r="275" spans="1:9" x14ac:dyDescent="0.25">
      <c r="A275" t="s">
        <v>8</v>
      </c>
      <c r="B275" t="s">
        <v>844</v>
      </c>
      <c r="C275" s="7">
        <v>0</v>
      </c>
      <c r="D275" s="7">
        <v>0</v>
      </c>
      <c r="E275" s="7">
        <v>0</v>
      </c>
      <c r="F275" s="7">
        <v>0</v>
      </c>
      <c r="G275" s="7">
        <v>0</v>
      </c>
      <c r="H275" s="7">
        <v>0</v>
      </c>
      <c r="I275" s="7">
        <v>0</v>
      </c>
    </row>
    <row r="276" spans="1:9" x14ac:dyDescent="0.25">
      <c r="A276" t="s">
        <v>8</v>
      </c>
      <c r="B276" t="s">
        <v>845</v>
      </c>
      <c r="C276" s="7">
        <v>500000</v>
      </c>
      <c r="D276" s="7">
        <v>900000</v>
      </c>
      <c r="E276" s="7">
        <v>0</v>
      </c>
      <c r="F276" s="7">
        <v>0</v>
      </c>
      <c r="G276" s="7">
        <v>0</v>
      </c>
      <c r="H276" s="7">
        <v>0</v>
      </c>
      <c r="I276" s="7">
        <v>1400000</v>
      </c>
    </row>
    <row r="277" spans="1:9" x14ac:dyDescent="0.25">
      <c r="A277" t="s">
        <v>8</v>
      </c>
      <c r="B277" t="s">
        <v>846</v>
      </c>
      <c r="C277" s="7">
        <v>0</v>
      </c>
      <c r="D277" s="7">
        <v>100000</v>
      </c>
      <c r="E277" s="7">
        <v>0</v>
      </c>
      <c r="F277" s="7">
        <v>0</v>
      </c>
      <c r="G277" s="7">
        <v>0</v>
      </c>
      <c r="H277" s="7">
        <v>0</v>
      </c>
      <c r="I277" s="7">
        <v>100000</v>
      </c>
    </row>
    <row r="278" spans="1:9" x14ac:dyDescent="0.25">
      <c r="A278" t="s">
        <v>8</v>
      </c>
      <c r="B278" t="s">
        <v>847</v>
      </c>
      <c r="C278" s="7">
        <v>100000</v>
      </c>
      <c r="D278" s="7">
        <v>0</v>
      </c>
      <c r="E278" s="7">
        <v>0</v>
      </c>
      <c r="F278" s="7">
        <v>0</v>
      </c>
      <c r="G278" s="7">
        <v>0</v>
      </c>
      <c r="H278" s="7">
        <v>0</v>
      </c>
      <c r="I278" s="7">
        <v>100000</v>
      </c>
    </row>
    <row r="279" spans="1:9" x14ac:dyDescent="0.25">
      <c r="A279" t="s">
        <v>8</v>
      </c>
      <c r="B279" t="s">
        <v>848</v>
      </c>
      <c r="C279" s="7">
        <v>0</v>
      </c>
      <c r="D279" s="7">
        <v>150000</v>
      </c>
      <c r="E279" s="7">
        <v>150000</v>
      </c>
      <c r="F279" s="7">
        <v>0</v>
      </c>
      <c r="G279" s="7">
        <v>0</v>
      </c>
      <c r="H279" s="7">
        <v>0</v>
      </c>
      <c r="I279" s="7">
        <v>300000</v>
      </c>
    </row>
    <row r="280" spans="1:9" x14ac:dyDescent="0.25">
      <c r="A280" t="s">
        <v>8</v>
      </c>
      <c r="B280" t="s">
        <v>849</v>
      </c>
      <c r="C280" s="7">
        <v>0</v>
      </c>
      <c r="D280" s="7">
        <v>0</v>
      </c>
      <c r="E280" s="7">
        <v>0</v>
      </c>
      <c r="F280" s="7">
        <v>20000</v>
      </c>
      <c r="G280" s="7">
        <v>0</v>
      </c>
      <c r="H280" s="7">
        <v>0</v>
      </c>
      <c r="I280" s="7">
        <v>20000</v>
      </c>
    </row>
    <row r="281" spans="1:9" x14ac:dyDescent="0.25">
      <c r="A281" t="s">
        <v>8</v>
      </c>
      <c r="B281" t="s">
        <v>850</v>
      </c>
      <c r="C281" s="7">
        <v>0</v>
      </c>
      <c r="D281" s="7">
        <v>0</v>
      </c>
      <c r="E281" s="7">
        <v>1500000</v>
      </c>
      <c r="F281" s="7">
        <v>1150000</v>
      </c>
      <c r="G281" s="7">
        <v>150000</v>
      </c>
      <c r="H281" s="7">
        <v>150000</v>
      </c>
      <c r="I281" s="7">
        <v>2950000</v>
      </c>
    </row>
    <row r="282" spans="1:9" x14ac:dyDescent="0.25">
      <c r="A282" t="s">
        <v>8</v>
      </c>
      <c r="B282" t="s">
        <v>851</v>
      </c>
      <c r="C282" s="7">
        <v>0</v>
      </c>
      <c r="D282" s="7">
        <v>0</v>
      </c>
      <c r="E282" s="7">
        <v>0</v>
      </c>
      <c r="F282" s="7">
        <v>0</v>
      </c>
      <c r="G282" s="7">
        <v>0</v>
      </c>
      <c r="H282" s="7">
        <v>0</v>
      </c>
      <c r="I282" s="7">
        <v>0</v>
      </c>
    </row>
    <row r="283" spans="1:9" x14ac:dyDescent="0.25">
      <c r="A283" t="s">
        <v>36</v>
      </c>
      <c r="C283" s="7">
        <v>0</v>
      </c>
      <c r="D283" s="7">
        <v>0</v>
      </c>
      <c r="E283" s="7">
        <v>0</v>
      </c>
      <c r="F283" s="7">
        <v>0</v>
      </c>
      <c r="G283" s="7">
        <v>0</v>
      </c>
      <c r="H283" s="7">
        <v>0</v>
      </c>
      <c r="I283" s="7">
        <v>0</v>
      </c>
    </row>
    <row r="284" spans="1:9" x14ac:dyDescent="0.25">
      <c r="A284" t="s">
        <v>36</v>
      </c>
      <c r="B284" t="s">
        <v>852</v>
      </c>
      <c r="C284" s="7">
        <v>0</v>
      </c>
      <c r="D284" s="7">
        <v>0</v>
      </c>
      <c r="E284" s="7">
        <v>0</v>
      </c>
      <c r="F284" s="7">
        <v>0</v>
      </c>
      <c r="G284" s="7">
        <v>0</v>
      </c>
      <c r="H284" s="7">
        <v>0</v>
      </c>
      <c r="I284" s="7">
        <v>0</v>
      </c>
    </row>
    <row r="285" spans="1:9" x14ac:dyDescent="0.25">
      <c r="A285" t="s">
        <v>36</v>
      </c>
      <c r="B285" t="s">
        <v>853</v>
      </c>
      <c r="C285" s="7">
        <v>0</v>
      </c>
      <c r="D285" s="7">
        <v>0</v>
      </c>
      <c r="E285" s="7">
        <v>0</v>
      </c>
      <c r="F285" s="7">
        <v>0</v>
      </c>
      <c r="G285" s="7">
        <v>0</v>
      </c>
      <c r="H285" s="7">
        <v>0</v>
      </c>
      <c r="I285" s="7">
        <v>0</v>
      </c>
    </row>
    <row r="286" spans="1:9" x14ac:dyDescent="0.25">
      <c r="A286" t="s">
        <v>36</v>
      </c>
      <c r="B286" t="s">
        <v>854</v>
      </c>
      <c r="C286" s="7">
        <v>0</v>
      </c>
      <c r="D286" s="7">
        <v>0</v>
      </c>
      <c r="E286" s="7">
        <v>0</v>
      </c>
      <c r="F286" s="7">
        <v>0</v>
      </c>
      <c r="G286" s="7">
        <v>0</v>
      </c>
      <c r="H286" s="7">
        <v>0</v>
      </c>
      <c r="I286" s="7">
        <v>0</v>
      </c>
    </row>
    <row r="287" spans="1:9" x14ac:dyDescent="0.25">
      <c r="A287" t="s">
        <v>36</v>
      </c>
      <c r="B287" t="s">
        <v>855</v>
      </c>
      <c r="C287" s="7">
        <v>0</v>
      </c>
      <c r="D287" s="7">
        <v>0</v>
      </c>
      <c r="E287" s="7">
        <v>0</v>
      </c>
      <c r="F287" s="7">
        <v>0</v>
      </c>
      <c r="G287" s="7">
        <v>0</v>
      </c>
      <c r="H287" s="7">
        <v>0</v>
      </c>
      <c r="I287" s="7">
        <v>0</v>
      </c>
    </row>
    <row r="288" spans="1:9" x14ac:dyDescent="0.25">
      <c r="A288" t="s">
        <v>36</v>
      </c>
      <c r="B288" t="s">
        <v>856</v>
      </c>
      <c r="C288" s="7">
        <v>0</v>
      </c>
      <c r="D288" s="7">
        <v>0</v>
      </c>
      <c r="E288" s="7">
        <v>0</v>
      </c>
      <c r="F288" s="7">
        <v>0</v>
      </c>
      <c r="G288" s="7">
        <v>0</v>
      </c>
      <c r="H288" s="7">
        <v>0</v>
      </c>
      <c r="I288" s="7">
        <v>0</v>
      </c>
    </row>
    <row r="289" spans="1:9" x14ac:dyDescent="0.25">
      <c r="A289" t="s">
        <v>36</v>
      </c>
      <c r="B289" t="s">
        <v>857</v>
      </c>
      <c r="C289" s="7">
        <v>0</v>
      </c>
      <c r="D289" s="7">
        <v>0</v>
      </c>
      <c r="E289" s="7">
        <v>0</v>
      </c>
      <c r="F289" s="7">
        <v>0</v>
      </c>
      <c r="G289" s="7">
        <v>0</v>
      </c>
      <c r="H289" s="7">
        <v>0</v>
      </c>
      <c r="I289" s="7">
        <v>0</v>
      </c>
    </row>
    <row r="290" spans="1:9" x14ac:dyDescent="0.25">
      <c r="A290" t="s">
        <v>36</v>
      </c>
      <c r="B290" t="s">
        <v>858</v>
      </c>
      <c r="C290" s="7">
        <v>0</v>
      </c>
      <c r="D290" s="7">
        <v>0</v>
      </c>
      <c r="E290" s="7">
        <v>0</v>
      </c>
      <c r="F290" s="7">
        <v>0</v>
      </c>
      <c r="G290" s="7">
        <v>0</v>
      </c>
      <c r="H290" s="7">
        <v>0</v>
      </c>
      <c r="I290" s="7">
        <v>0</v>
      </c>
    </row>
    <row r="291" spans="1:9" x14ac:dyDescent="0.25">
      <c r="A291" t="s">
        <v>36</v>
      </c>
      <c r="B291" t="s">
        <v>859</v>
      </c>
      <c r="C291" s="7">
        <v>0</v>
      </c>
      <c r="D291" s="7">
        <v>0</v>
      </c>
      <c r="E291" s="7">
        <v>0</v>
      </c>
      <c r="F291" s="7">
        <v>0</v>
      </c>
      <c r="G291" s="7">
        <v>0</v>
      </c>
      <c r="H291" s="7">
        <v>0</v>
      </c>
      <c r="I291" s="7">
        <v>0</v>
      </c>
    </row>
    <row r="292" spans="1:9" x14ac:dyDescent="0.25">
      <c r="A292" t="s">
        <v>36</v>
      </c>
      <c r="B292" t="s">
        <v>860</v>
      </c>
      <c r="C292" s="7">
        <v>0</v>
      </c>
      <c r="D292" s="7">
        <v>0</v>
      </c>
      <c r="E292" s="7">
        <v>0</v>
      </c>
      <c r="F292" s="7">
        <v>0</v>
      </c>
      <c r="G292" s="7">
        <v>0</v>
      </c>
      <c r="H292" s="7">
        <v>0</v>
      </c>
      <c r="I292" s="7">
        <v>0</v>
      </c>
    </row>
    <row r="293" spans="1:9" x14ac:dyDescent="0.25">
      <c r="A293" t="s">
        <v>36</v>
      </c>
      <c r="B293" t="s">
        <v>861</v>
      </c>
      <c r="C293" s="7">
        <v>0</v>
      </c>
      <c r="D293" s="7">
        <v>0</v>
      </c>
      <c r="E293" s="7">
        <v>0</v>
      </c>
      <c r="F293" s="7">
        <v>0</v>
      </c>
      <c r="G293" s="7">
        <v>0</v>
      </c>
      <c r="H293" s="7">
        <v>0</v>
      </c>
      <c r="I293" s="7">
        <v>0</v>
      </c>
    </row>
    <row r="294" spans="1:9" x14ac:dyDescent="0.25">
      <c r="A294" t="s">
        <v>36</v>
      </c>
      <c r="B294" t="s">
        <v>862</v>
      </c>
      <c r="C294" s="7">
        <v>0</v>
      </c>
      <c r="D294" s="7">
        <v>0</v>
      </c>
      <c r="E294" s="7">
        <v>0</v>
      </c>
      <c r="F294" s="7">
        <v>0</v>
      </c>
      <c r="G294" s="7">
        <v>0</v>
      </c>
      <c r="H294" s="7">
        <v>0</v>
      </c>
      <c r="I294" s="7">
        <v>0</v>
      </c>
    </row>
    <row r="295" spans="1:9" x14ac:dyDescent="0.25">
      <c r="A295" t="s">
        <v>36</v>
      </c>
      <c r="B295" t="s">
        <v>863</v>
      </c>
      <c r="C295" s="7">
        <v>0</v>
      </c>
      <c r="D295" s="7">
        <v>0</v>
      </c>
      <c r="E295" s="7">
        <v>0</v>
      </c>
      <c r="F295" s="7">
        <v>0</v>
      </c>
      <c r="G295" s="7">
        <v>0</v>
      </c>
      <c r="H295" s="7">
        <v>0</v>
      </c>
      <c r="I295" s="7">
        <v>0</v>
      </c>
    </row>
    <row r="296" spans="1:9" x14ac:dyDescent="0.25">
      <c r="A296" t="s">
        <v>36</v>
      </c>
      <c r="B296" t="s">
        <v>864</v>
      </c>
      <c r="C296" s="7">
        <v>0</v>
      </c>
      <c r="D296" s="7">
        <v>0</v>
      </c>
      <c r="E296" s="7">
        <v>0</v>
      </c>
      <c r="F296" s="7">
        <v>0</v>
      </c>
      <c r="G296" s="7">
        <v>0</v>
      </c>
      <c r="H296" s="7">
        <v>0</v>
      </c>
      <c r="I296" s="7">
        <v>0</v>
      </c>
    </row>
    <row r="297" spans="1:9" x14ac:dyDescent="0.25">
      <c r="A297" t="s">
        <v>36</v>
      </c>
      <c r="B297" t="s">
        <v>865</v>
      </c>
      <c r="C297" s="7">
        <v>0</v>
      </c>
      <c r="D297" s="7">
        <v>0</v>
      </c>
      <c r="E297" s="7">
        <v>0</v>
      </c>
      <c r="F297" s="7">
        <v>0</v>
      </c>
      <c r="G297" s="7">
        <v>0</v>
      </c>
      <c r="H297" s="7">
        <v>0</v>
      </c>
      <c r="I297" s="7">
        <v>0</v>
      </c>
    </row>
    <row r="298" spans="1:9" x14ac:dyDescent="0.25">
      <c r="A298" t="s">
        <v>36</v>
      </c>
      <c r="B298" t="s">
        <v>866</v>
      </c>
      <c r="C298" s="7">
        <v>0</v>
      </c>
      <c r="D298" s="7">
        <v>0</v>
      </c>
      <c r="E298" s="7">
        <v>0</v>
      </c>
      <c r="F298" s="7">
        <v>0</v>
      </c>
      <c r="G298" s="7">
        <v>0</v>
      </c>
      <c r="H298" s="7">
        <v>0</v>
      </c>
      <c r="I298" s="7">
        <v>0</v>
      </c>
    </row>
    <row r="299" spans="1:9" x14ac:dyDescent="0.25">
      <c r="A299" t="s">
        <v>36</v>
      </c>
      <c r="B299" t="s">
        <v>867</v>
      </c>
      <c r="C299" s="7">
        <v>0</v>
      </c>
      <c r="D299" s="7">
        <v>0</v>
      </c>
      <c r="E299" s="7">
        <v>0</v>
      </c>
      <c r="F299" s="7">
        <v>0</v>
      </c>
      <c r="G299" s="7">
        <v>0</v>
      </c>
      <c r="H299" s="7">
        <v>0</v>
      </c>
      <c r="I299" s="7">
        <v>0</v>
      </c>
    </row>
    <row r="300" spans="1:9" x14ac:dyDescent="0.25">
      <c r="A300" t="s">
        <v>46</v>
      </c>
      <c r="C300" s="7">
        <v>0</v>
      </c>
      <c r="D300" s="7">
        <v>150000</v>
      </c>
      <c r="E300" s="7">
        <v>0</v>
      </c>
      <c r="F300" s="7">
        <v>0</v>
      </c>
      <c r="G300" s="7">
        <v>0</v>
      </c>
      <c r="H300" s="7">
        <v>0</v>
      </c>
      <c r="I300" s="7">
        <v>150000</v>
      </c>
    </row>
    <row r="301" spans="1:9" x14ac:dyDescent="0.25">
      <c r="A301" t="s">
        <v>46</v>
      </c>
      <c r="B301" t="s">
        <v>868</v>
      </c>
      <c r="C301" s="7">
        <v>0</v>
      </c>
      <c r="D301" s="7">
        <v>0</v>
      </c>
      <c r="E301" s="7">
        <v>0</v>
      </c>
      <c r="F301" s="7">
        <v>0</v>
      </c>
      <c r="G301" s="7">
        <v>0</v>
      </c>
      <c r="H301" s="7">
        <v>0</v>
      </c>
      <c r="I301" s="7">
        <v>0</v>
      </c>
    </row>
    <row r="302" spans="1:9" x14ac:dyDescent="0.25">
      <c r="A302" t="s">
        <v>46</v>
      </c>
      <c r="B302" t="s">
        <v>869</v>
      </c>
      <c r="C302" s="7">
        <v>0</v>
      </c>
      <c r="D302" s="7">
        <v>150000</v>
      </c>
      <c r="E302" s="7">
        <v>0</v>
      </c>
      <c r="F302" s="7">
        <v>0</v>
      </c>
      <c r="G302" s="7">
        <v>0</v>
      </c>
      <c r="H302" s="7">
        <v>0</v>
      </c>
      <c r="I302" s="7">
        <v>150000</v>
      </c>
    </row>
    <row r="303" spans="1:9" x14ac:dyDescent="0.25">
      <c r="A303" t="s">
        <v>46</v>
      </c>
      <c r="B303" t="s">
        <v>870</v>
      </c>
      <c r="C303" s="7">
        <v>0</v>
      </c>
      <c r="D303" s="7">
        <v>0</v>
      </c>
      <c r="E303" s="7">
        <v>0</v>
      </c>
      <c r="F303" s="7">
        <v>0</v>
      </c>
      <c r="G303" s="7">
        <v>0</v>
      </c>
      <c r="H303" s="7">
        <v>0</v>
      </c>
      <c r="I303" s="7">
        <v>0</v>
      </c>
    </row>
    <row r="304" spans="1:9" x14ac:dyDescent="0.25">
      <c r="A304" t="s">
        <v>47</v>
      </c>
      <c r="C304" s="7">
        <v>80000</v>
      </c>
      <c r="D304" s="7">
        <v>0</v>
      </c>
      <c r="E304" s="7">
        <v>0</v>
      </c>
      <c r="F304" s="7">
        <v>80000</v>
      </c>
      <c r="G304" s="7">
        <v>0</v>
      </c>
      <c r="H304" s="7">
        <v>0</v>
      </c>
      <c r="I304" s="7">
        <v>160000</v>
      </c>
    </row>
    <row r="305" spans="1:9" x14ac:dyDescent="0.25">
      <c r="A305" t="s">
        <v>47</v>
      </c>
      <c r="B305" t="s">
        <v>871</v>
      </c>
      <c r="C305" s="7">
        <v>30000</v>
      </c>
      <c r="D305" s="7">
        <v>0</v>
      </c>
      <c r="E305" s="7">
        <v>0</v>
      </c>
      <c r="F305" s="7">
        <v>30000</v>
      </c>
      <c r="G305" s="7">
        <v>0</v>
      </c>
      <c r="H305" s="7">
        <v>0</v>
      </c>
      <c r="I305" s="7">
        <v>60000</v>
      </c>
    </row>
    <row r="306" spans="1:9" x14ac:dyDescent="0.25">
      <c r="A306" t="s">
        <v>47</v>
      </c>
      <c r="B306" t="s">
        <v>872</v>
      </c>
      <c r="C306" s="7">
        <v>50000</v>
      </c>
      <c r="D306" s="7">
        <v>0</v>
      </c>
      <c r="E306" s="7">
        <v>0</v>
      </c>
      <c r="F306" s="7">
        <v>50000</v>
      </c>
      <c r="G306" s="7">
        <v>0</v>
      </c>
      <c r="H306" s="7">
        <v>0</v>
      </c>
      <c r="I306" s="7">
        <v>100000</v>
      </c>
    </row>
    <row r="307" spans="1:9" x14ac:dyDescent="0.25">
      <c r="A307" t="s">
        <v>47</v>
      </c>
      <c r="B307" t="s">
        <v>873</v>
      </c>
      <c r="C307" s="7">
        <v>0</v>
      </c>
      <c r="D307" s="7">
        <v>0</v>
      </c>
      <c r="E307" s="7">
        <v>0</v>
      </c>
      <c r="F307" s="7">
        <v>0</v>
      </c>
      <c r="G307" s="7">
        <v>0</v>
      </c>
      <c r="H307" s="7">
        <v>0</v>
      </c>
      <c r="I307" s="7">
        <v>0</v>
      </c>
    </row>
    <row r="308" spans="1:9" x14ac:dyDescent="0.25">
      <c r="A308" t="s">
        <v>47</v>
      </c>
      <c r="B308" t="s">
        <v>874</v>
      </c>
      <c r="C308" s="7">
        <v>0</v>
      </c>
      <c r="D308" s="7">
        <v>0</v>
      </c>
      <c r="E308" s="7">
        <v>0</v>
      </c>
      <c r="F308" s="7">
        <v>0</v>
      </c>
      <c r="G308" s="7">
        <v>0</v>
      </c>
      <c r="H308" s="7">
        <v>0</v>
      </c>
      <c r="I308" s="7">
        <v>0</v>
      </c>
    </row>
    <row r="309" spans="1:9" x14ac:dyDescent="0.25">
      <c r="A309" t="s">
        <v>47</v>
      </c>
      <c r="B309" t="s">
        <v>875</v>
      </c>
      <c r="C309" s="7">
        <v>0</v>
      </c>
      <c r="D309" s="7">
        <v>0</v>
      </c>
      <c r="E309" s="7">
        <v>0</v>
      </c>
      <c r="F309" s="7">
        <v>0</v>
      </c>
      <c r="G309" s="7">
        <v>0</v>
      </c>
      <c r="H309" s="7">
        <v>0</v>
      </c>
      <c r="I309" s="7">
        <v>0</v>
      </c>
    </row>
    <row r="310" spans="1:9" x14ac:dyDescent="0.25">
      <c r="A310" t="s">
        <v>48</v>
      </c>
      <c r="C310" s="7">
        <v>0</v>
      </c>
      <c r="D310" s="7">
        <v>0</v>
      </c>
      <c r="E310" s="7">
        <v>0</v>
      </c>
      <c r="F310" s="7">
        <v>0</v>
      </c>
      <c r="G310" s="7">
        <v>0</v>
      </c>
      <c r="H310" s="7">
        <v>0</v>
      </c>
      <c r="I310" s="7">
        <v>0</v>
      </c>
    </row>
    <row r="311" spans="1:9" x14ac:dyDescent="0.25">
      <c r="A311" t="s">
        <v>48</v>
      </c>
      <c r="B311" t="s">
        <v>876</v>
      </c>
      <c r="C311" s="7">
        <v>0</v>
      </c>
      <c r="D311" s="7">
        <v>0</v>
      </c>
      <c r="E311" s="7">
        <v>0</v>
      </c>
      <c r="F311" s="7">
        <v>0</v>
      </c>
      <c r="G311" s="7">
        <v>0</v>
      </c>
      <c r="H311" s="7">
        <v>0</v>
      </c>
      <c r="I311" s="7">
        <v>0</v>
      </c>
    </row>
    <row r="312" spans="1:9" x14ac:dyDescent="0.25">
      <c r="A312" t="s">
        <v>48</v>
      </c>
      <c r="B312" t="s">
        <v>877</v>
      </c>
      <c r="C312" s="7">
        <v>0</v>
      </c>
      <c r="D312" s="7">
        <v>0</v>
      </c>
      <c r="E312" s="7">
        <v>0</v>
      </c>
      <c r="F312" s="7">
        <v>0</v>
      </c>
      <c r="G312" s="7">
        <v>0</v>
      </c>
      <c r="H312" s="7">
        <v>0</v>
      </c>
      <c r="I312" s="7">
        <v>0</v>
      </c>
    </row>
    <row r="313" spans="1:9" x14ac:dyDescent="0.25">
      <c r="A313" t="s">
        <v>49</v>
      </c>
      <c r="C313" s="7">
        <v>0</v>
      </c>
      <c r="D313" s="7">
        <v>0</v>
      </c>
      <c r="E313" s="7">
        <v>0</v>
      </c>
      <c r="F313" s="7">
        <v>0</v>
      </c>
      <c r="G313" s="7">
        <v>0</v>
      </c>
      <c r="H313" s="7">
        <v>0</v>
      </c>
      <c r="I313" s="7">
        <v>0</v>
      </c>
    </row>
    <row r="314" spans="1:9" x14ac:dyDescent="0.25">
      <c r="A314" t="s">
        <v>49</v>
      </c>
      <c r="B314" t="s">
        <v>878</v>
      </c>
      <c r="C314" s="7">
        <v>0</v>
      </c>
      <c r="D314" s="7">
        <v>0</v>
      </c>
      <c r="E314" s="7">
        <v>0</v>
      </c>
      <c r="F314" s="7">
        <v>0</v>
      </c>
      <c r="G314" s="7">
        <v>0</v>
      </c>
      <c r="H314" s="7">
        <v>0</v>
      </c>
      <c r="I314" s="7">
        <v>0</v>
      </c>
    </row>
    <row r="315" spans="1:9" x14ac:dyDescent="0.25">
      <c r="A315" t="s">
        <v>49</v>
      </c>
      <c r="B315" t="s">
        <v>879</v>
      </c>
      <c r="C315" s="7">
        <v>0</v>
      </c>
      <c r="D315" s="7">
        <v>0</v>
      </c>
      <c r="E315" s="7">
        <v>0</v>
      </c>
      <c r="F315" s="7">
        <v>0</v>
      </c>
      <c r="G315" s="7">
        <v>0</v>
      </c>
      <c r="H315" s="7">
        <v>0</v>
      </c>
      <c r="I315" s="7">
        <v>0</v>
      </c>
    </row>
    <row r="316" spans="1:9" x14ac:dyDescent="0.25">
      <c r="A316" t="s">
        <v>49</v>
      </c>
      <c r="B316" t="s">
        <v>880</v>
      </c>
      <c r="C316" s="7">
        <v>0</v>
      </c>
      <c r="D316" s="7">
        <v>0</v>
      </c>
      <c r="E316" s="7">
        <v>0</v>
      </c>
      <c r="F316" s="7">
        <v>0</v>
      </c>
      <c r="G316" s="7">
        <v>0</v>
      </c>
      <c r="H316" s="7">
        <v>0</v>
      </c>
      <c r="I316" s="7">
        <v>0</v>
      </c>
    </row>
    <row r="317" spans="1:9" x14ac:dyDescent="0.25">
      <c r="A317" t="s">
        <v>49</v>
      </c>
      <c r="B317" t="s">
        <v>881</v>
      </c>
      <c r="C317" s="7">
        <v>0</v>
      </c>
      <c r="D317" s="7">
        <v>0</v>
      </c>
      <c r="E317" s="7">
        <v>0</v>
      </c>
      <c r="F317" s="7">
        <v>0</v>
      </c>
      <c r="G317" s="7">
        <v>0</v>
      </c>
      <c r="H317" s="7">
        <v>0</v>
      </c>
      <c r="I317" s="7">
        <v>0</v>
      </c>
    </row>
    <row r="318" spans="1:9" x14ac:dyDescent="0.25">
      <c r="A318" t="s">
        <v>50</v>
      </c>
      <c r="C318" s="7">
        <v>0</v>
      </c>
      <c r="D318" s="7">
        <v>0</v>
      </c>
      <c r="E318" s="7">
        <v>0</v>
      </c>
      <c r="F318" s="7">
        <v>0</v>
      </c>
      <c r="G318" s="7">
        <v>0</v>
      </c>
      <c r="H318" s="7">
        <v>0</v>
      </c>
      <c r="I318" s="7">
        <v>0</v>
      </c>
    </row>
    <row r="319" spans="1:9" x14ac:dyDescent="0.25">
      <c r="A319" t="s">
        <v>50</v>
      </c>
      <c r="B319" t="s">
        <v>882</v>
      </c>
      <c r="C319" s="7">
        <v>0</v>
      </c>
      <c r="D319" s="7">
        <v>0</v>
      </c>
      <c r="E319" s="7">
        <v>0</v>
      </c>
      <c r="F319" s="7">
        <v>0</v>
      </c>
      <c r="G319" s="7">
        <v>0</v>
      </c>
      <c r="H319" s="7">
        <v>0</v>
      </c>
      <c r="I319" s="7">
        <v>0</v>
      </c>
    </row>
    <row r="320" spans="1:9" x14ac:dyDescent="0.25">
      <c r="A320" t="s">
        <v>50</v>
      </c>
      <c r="B320" t="s">
        <v>883</v>
      </c>
      <c r="C320" s="7">
        <v>0</v>
      </c>
      <c r="D320" s="7">
        <v>0</v>
      </c>
      <c r="E320" s="7">
        <v>0</v>
      </c>
      <c r="F320" s="7">
        <v>0</v>
      </c>
      <c r="G320" s="7">
        <v>0</v>
      </c>
      <c r="H320" s="7">
        <v>0</v>
      </c>
      <c r="I320" s="7">
        <v>0</v>
      </c>
    </row>
    <row r="321" spans="1:9" x14ac:dyDescent="0.25">
      <c r="A321" t="s">
        <v>51</v>
      </c>
      <c r="C321" s="7">
        <v>0</v>
      </c>
      <c r="D321" s="7">
        <v>0</v>
      </c>
      <c r="E321" s="7">
        <v>0</v>
      </c>
      <c r="F321" s="7">
        <v>0</v>
      </c>
      <c r="G321" s="7">
        <v>0</v>
      </c>
      <c r="H321" s="7">
        <v>0</v>
      </c>
      <c r="I321" s="7">
        <v>0</v>
      </c>
    </row>
    <row r="322" spans="1:9" x14ac:dyDescent="0.25">
      <c r="A322" t="s">
        <v>51</v>
      </c>
      <c r="B322" t="s">
        <v>884</v>
      </c>
      <c r="C322" s="7">
        <v>0</v>
      </c>
      <c r="D322" s="7">
        <v>0</v>
      </c>
      <c r="E322" s="7">
        <v>0</v>
      </c>
      <c r="F322" s="7">
        <v>0</v>
      </c>
      <c r="G322" s="7">
        <v>0</v>
      </c>
      <c r="H322" s="7">
        <v>0</v>
      </c>
      <c r="I322" s="7">
        <v>0</v>
      </c>
    </row>
    <row r="323" spans="1:9" x14ac:dyDescent="0.25">
      <c r="A323" t="s">
        <v>51</v>
      </c>
      <c r="B323" t="s">
        <v>885</v>
      </c>
      <c r="C323" s="7">
        <v>0</v>
      </c>
      <c r="D323" s="7">
        <v>0</v>
      </c>
      <c r="E323" s="7">
        <v>0</v>
      </c>
      <c r="F323" s="7">
        <v>0</v>
      </c>
      <c r="G323" s="7">
        <v>0</v>
      </c>
      <c r="H323" s="7">
        <v>0</v>
      </c>
      <c r="I323" s="7">
        <v>0</v>
      </c>
    </row>
    <row r="324" spans="1:9" x14ac:dyDescent="0.25">
      <c r="A324" t="s">
        <v>37</v>
      </c>
      <c r="C324" s="7">
        <v>0</v>
      </c>
      <c r="D324" s="7">
        <v>0</v>
      </c>
      <c r="E324" s="7">
        <v>0</v>
      </c>
      <c r="F324" s="7">
        <v>0</v>
      </c>
      <c r="G324" s="7">
        <v>0</v>
      </c>
      <c r="H324" s="7">
        <v>0</v>
      </c>
      <c r="I324" s="7">
        <v>0</v>
      </c>
    </row>
    <row r="325" spans="1:9" x14ac:dyDescent="0.25">
      <c r="A325" t="s">
        <v>37</v>
      </c>
      <c r="B325" t="s">
        <v>886</v>
      </c>
      <c r="C325" s="7">
        <v>0</v>
      </c>
      <c r="D325" s="7">
        <v>0</v>
      </c>
      <c r="E325" s="7">
        <v>0</v>
      </c>
      <c r="F325" s="7">
        <v>0</v>
      </c>
      <c r="G325" s="7">
        <v>0</v>
      </c>
      <c r="H325" s="7">
        <v>0</v>
      </c>
      <c r="I325" s="7">
        <v>0</v>
      </c>
    </row>
    <row r="326" spans="1:9" x14ac:dyDescent="0.25">
      <c r="A326" t="s">
        <v>37</v>
      </c>
      <c r="B326" t="s">
        <v>887</v>
      </c>
      <c r="C326" s="7">
        <v>0</v>
      </c>
      <c r="D326" s="7">
        <v>0</v>
      </c>
      <c r="E326" s="7">
        <v>0</v>
      </c>
      <c r="F326" s="7">
        <v>0</v>
      </c>
      <c r="G326" s="7">
        <v>0</v>
      </c>
      <c r="H326" s="7">
        <v>0</v>
      </c>
      <c r="I326" s="7">
        <v>0</v>
      </c>
    </row>
    <row r="327" spans="1:9" x14ac:dyDescent="0.25">
      <c r="A327" t="s">
        <v>37</v>
      </c>
      <c r="B327" t="s">
        <v>888</v>
      </c>
      <c r="C327" s="7">
        <v>0</v>
      </c>
      <c r="D327" s="7">
        <v>0</v>
      </c>
      <c r="E327" s="7">
        <v>0</v>
      </c>
      <c r="F327" s="7">
        <v>0</v>
      </c>
      <c r="G327" s="7">
        <v>0</v>
      </c>
      <c r="H327" s="7">
        <v>0</v>
      </c>
      <c r="I327" s="7">
        <v>0</v>
      </c>
    </row>
    <row r="328" spans="1:9" x14ac:dyDescent="0.25">
      <c r="A328" t="s">
        <v>37</v>
      </c>
      <c r="B328" t="s">
        <v>889</v>
      </c>
      <c r="C328" s="7">
        <v>0</v>
      </c>
      <c r="D328" s="7">
        <v>0</v>
      </c>
      <c r="E328" s="7">
        <v>0</v>
      </c>
      <c r="F328" s="7">
        <v>0</v>
      </c>
      <c r="G328" s="7">
        <v>0</v>
      </c>
      <c r="H328" s="7">
        <v>0</v>
      </c>
      <c r="I328" s="7">
        <v>0</v>
      </c>
    </row>
    <row r="329" spans="1:9" x14ac:dyDescent="0.25">
      <c r="A329" t="s">
        <v>37</v>
      </c>
      <c r="B329" t="s">
        <v>890</v>
      </c>
      <c r="C329" s="7">
        <v>0</v>
      </c>
      <c r="D329" s="7">
        <v>0</v>
      </c>
      <c r="E329" s="7">
        <v>0</v>
      </c>
      <c r="F329" s="7">
        <v>0</v>
      </c>
      <c r="G329" s="7">
        <v>0</v>
      </c>
      <c r="H329" s="7">
        <v>0</v>
      </c>
      <c r="I329" s="7">
        <v>0</v>
      </c>
    </row>
    <row r="330" spans="1:9" x14ac:dyDescent="0.25">
      <c r="A330" t="s">
        <v>37</v>
      </c>
      <c r="B330" t="s">
        <v>891</v>
      </c>
      <c r="C330" s="7">
        <v>0</v>
      </c>
      <c r="D330" s="7">
        <v>0</v>
      </c>
      <c r="E330" s="7">
        <v>0</v>
      </c>
      <c r="F330" s="7">
        <v>0</v>
      </c>
      <c r="G330" s="7">
        <v>0</v>
      </c>
      <c r="H330" s="7">
        <v>0</v>
      </c>
      <c r="I330" s="7">
        <v>0</v>
      </c>
    </row>
    <row r="331" spans="1:9" x14ac:dyDescent="0.25">
      <c r="A331" t="s">
        <v>38</v>
      </c>
      <c r="C331" s="7">
        <v>55188900</v>
      </c>
      <c r="D331" s="7">
        <v>60695100</v>
      </c>
      <c r="E331" s="7">
        <v>63448200</v>
      </c>
      <c r="F331" s="7">
        <v>63448200</v>
      </c>
      <c r="G331" s="7">
        <v>63448200</v>
      </c>
      <c r="H331" s="7">
        <v>63448200</v>
      </c>
      <c r="I331" s="7">
        <v>369676800</v>
      </c>
    </row>
    <row r="332" spans="1:9" x14ac:dyDescent="0.25">
      <c r="A332" t="s">
        <v>38</v>
      </c>
      <c r="B332" t="s">
        <v>892</v>
      </c>
      <c r="C332" s="7">
        <v>0</v>
      </c>
      <c r="D332" s="7">
        <v>0</v>
      </c>
      <c r="E332" s="7">
        <v>0</v>
      </c>
      <c r="F332" s="7">
        <v>0</v>
      </c>
      <c r="G332" s="7">
        <v>0</v>
      </c>
      <c r="H332" s="7">
        <v>0</v>
      </c>
      <c r="I332" s="7">
        <v>0</v>
      </c>
    </row>
    <row r="333" spans="1:9" x14ac:dyDescent="0.25">
      <c r="A333" t="s">
        <v>38</v>
      </c>
      <c r="B333" t="s">
        <v>893</v>
      </c>
      <c r="C333" s="7">
        <v>1768900</v>
      </c>
      <c r="D333" s="7">
        <v>1955100</v>
      </c>
      <c r="E333" s="7">
        <v>2048200</v>
      </c>
      <c r="F333" s="7">
        <v>2048200</v>
      </c>
      <c r="G333" s="7">
        <v>2048200</v>
      </c>
      <c r="H333" s="7">
        <v>2048200</v>
      </c>
      <c r="I333" s="7">
        <v>11916800</v>
      </c>
    </row>
    <row r="334" spans="1:9" x14ac:dyDescent="0.25">
      <c r="A334" t="s">
        <v>38</v>
      </c>
      <c r="B334" t="s">
        <v>894</v>
      </c>
      <c r="C334" s="7">
        <v>0</v>
      </c>
      <c r="D334" s="7">
        <v>0</v>
      </c>
      <c r="E334" s="7">
        <v>0</v>
      </c>
      <c r="F334" s="7">
        <v>0</v>
      </c>
      <c r="G334" s="7">
        <v>0</v>
      </c>
      <c r="H334" s="7">
        <v>0</v>
      </c>
      <c r="I334" s="7">
        <v>0</v>
      </c>
    </row>
    <row r="335" spans="1:9" x14ac:dyDescent="0.25">
      <c r="A335" t="s">
        <v>38</v>
      </c>
      <c r="B335" t="s">
        <v>895</v>
      </c>
      <c r="C335" s="7">
        <v>50540000</v>
      </c>
      <c r="D335" s="7">
        <v>55860000</v>
      </c>
      <c r="E335" s="7">
        <v>58520000</v>
      </c>
      <c r="F335" s="7">
        <v>58520000</v>
      </c>
      <c r="G335" s="7">
        <v>58520000</v>
      </c>
      <c r="H335" s="7">
        <v>58520000</v>
      </c>
      <c r="I335" s="7">
        <v>340480000</v>
      </c>
    </row>
    <row r="336" spans="1:9" x14ac:dyDescent="0.25">
      <c r="A336" t="s">
        <v>38</v>
      </c>
      <c r="B336" t="s">
        <v>896</v>
      </c>
      <c r="C336" s="7">
        <v>2550000</v>
      </c>
      <c r="D336" s="7">
        <v>2550000</v>
      </c>
      <c r="E336" s="7">
        <v>2550000</v>
      </c>
      <c r="F336" s="7">
        <v>2550000</v>
      </c>
      <c r="G336" s="7">
        <v>2550000</v>
      </c>
      <c r="H336" s="7">
        <v>2550000</v>
      </c>
      <c r="I336" s="7">
        <v>15300000</v>
      </c>
    </row>
    <row r="337" spans="1:9" x14ac:dyDescent="0.25">
      <c r="A337" t="s">
        <v>38</v>
      </c>
      <c r="B337" t="s">
        <v>897</v>
      </c>
      <c r="C337" s="7">
        <v>330000</v>
      </c>
      <c r="D337" s="7">
        <v>330000</v>
      </c>
      <c r="E337" s="7">
        <v>330000</v>
      </c>
      <c r="F337" s="7">
        <v>330000</v>
      </c>
      <c r="G337" s="7">
        <v>330000</v>
      </c>
      <c r="H337" s="7">
        <v>330000</v>
      </c>
      <c r="I337" s="7">
        <v>1980000</v>
      </c>
    </row>
    <row r="338" spans="1:9" x14ac:dyDescent="0.25">
      <c r="A338" t="s">
        <v>39</v>
      </c>
      <c r="C338" s="7">
        <v>0</v>
      </c>
      <c r="D338" s="7">
        <v>0</v>
      </c>
      <c r="E338" s="7">
        <v>0</v>
      </c>
      <c r="F338" s="7">
        <v>0</v>
      </c>
      <c r="G338" s="7">
        <v>0</v>
      </c>
      <c r="H338" s="7">
        <v>0</v>
      </c>
      <c r="I338" s="7">
        <v>0</v>
      </c>
    </row>
    <row r="339" spans="1:9" x14ac:dyDescent="0.25">
      <c r="A339" t="s">
        <v>39</v>
      </c>
      <c r="B339" t="s">
        <v>898</v>
      </c>
      <c r="C339" s="7">
        <v>0</v>
      </c>
      <c r="D339" s="7">
        <v>0</v>
      </c>
      <c r="E339" s="7">
        <v>0</v>
      </c>
      <c r="F339" s="7">
        <v>0</v>
      </c>
      <c r="G339" s="7">
        <v>0</v>
      </c>
      <c r="H339" s="7">
        <v>0</v>
      </c>
      <c r="I339" s="7">
        <v>0</v>
      </c>
    </row>
    <row r="340" spans="1:9" x14ac:dyDescent="0.25">
      <c r="A340" t="s">
        <v>39</v>
      </c>
      <c r="B340" t="s">
        <v>899</v>
      </c>
      <c r="C340" s="7">
        <v>0</v>
      </c>
      <c r="D340" s="7">
        <v>0</v>
      </c>
      <c r="E340" s="7">
        <v>0</v>
      </c>
      <c r="F340" s="7">
        <v>0</v>
      </c>
      <c r="G340" s="7">
        <v>0</v>
      </c>
      <c r="H340" s="7">
        <v>0</v>
      </c>
      <c r="I340" s="7">
        <v>0</v>
      </c>
    </row>
    <row r="341" spans="1:9" x14ac:dyDescent="0.25">
      <c r="A341" t="s">
        <v>39</v>
      </c>
      <c r="B341" t="s">
        <v>900</v>
      </c>
      <c r="C341" s="7">
        <v>0</v>
      </c>
      <c r="D341" s="7">
        <v>0</v>
      </c>
      <c r="E341" s="7">
        <v>0</v>
      </c>
      <c r="F341" s="7">
        <v>0</v>
      </c>
      <c r="G341" s="7">
        <v>0</v>
      </c>
      <c r="H341" s="7">
        <v>0</v>
      </c>
      <c r="I341" s="7">
        <v>0</v>
      </c>
    </row>
    <row r="342" spans="1:9" x14ac:dyDescent="0.25">
      <c r="A342" t="s">
        <v>39</v>
      </c>
      <c r="B342" t="s">
        <v>901</v>
      </c>
      <c r="C342" s="7">
        <v>0</v>
      </c>
      <c r="D342" s="7">
        <v>0</v>
      </c>
      <c r="E342" s="7">
        <v>0</v>
      </c>
      <c r="F342" s="7">
        <v>0</v>
      </c>
      <c r="G342" s="7">
        <v>0</v>
      </c>
      <c r="H342" s="7">
        <v>0</v>
      </c>
      <c r="I342" s="7">
        <v>0</v>
      </c>
    </row>
    <row r="343" spans="1:9" x14ac:dyDescent="0.25">
      <c r="A343" t="s">
        <v>39</v>
      </c>
      <c r="B343" t="s">
        <v>902</v>
      </c>
      <c r="C343" s="7">
        <v>0</v>
      </c>
      <c r="D343" s="7">
        <v>0</v>
      </c>
      <c r="E343" s="7">
        <v>0</v>
      </c>
      <c r="F343" s="7">
        <v>0</v>
      </c>
      <c r="G343" s="7">
        <v>0</v>
      </c>
      <c r="H343" s="7">
        <v>0</v>
      </c>
      <c r="I343" s="7">
        <v>0</v>
      </c>
    </row>
    <row r="344" spans="1:9" x14ac:dyDescent="0.25">
      <c r="A344" t="s">
        <v>39</v>
      </c>
      <c r="B344" t="s">
        <v>903</v>
      </c>
      <c r="C344" s="7">
        <v>0</v>
      </c>
      <c r="D344" s="7">
        <v>0</v>
      </c>
      <c r="E344" s="7">
        <v>0</v>
      </c>
      <c r="F344" s="7">
        <v>0</v>
      </c>
      <c r="G344" s="7">
        <v>0</v>
      </c>
      <c r="H344" s="7">
        <v>0</v>
      </c>
      <c r="I344" s="7">
        <v>0</v>
      </c>
    </row>
    <row r="345" spans="1:9" x14ac:dyDescent="0.25">
      <c r="A345" t="s">
        <v>40</v>
      </c>
      <c r="C345" s="7">
        <v>0</v>
      </c>
      <c r="D345" s="7">
        <v>0</v>
      </c>
      <c r="E345" s="7">
        <v>50000</v>
      </c>
      <c r="F345" s="7">
        <v>50000</v>
      </c>
      <c r="G345" s="7">
        <v>0</v>
      </c>
      <c r="H345" s="7">
        <v>0</v>
      </c>
      <c r="I345" s="7">
        <v>100000</v>
      </c>
    </row>
    <row r="346" spans="1:9" x14ac:dyDescent="0.25">
      <c r="A346" t="s">
        <v>40</v>
      </c>
      <c r="B346" t="s">
        <v>904</v>
      </c>
      <c r="C346" s="7">
        <v>0</v>
      </c>
      <c r="D346" s="7">
        <v>0</v>
      </c>
      <c r="E346" s="7">
        <v>50000</v>
      </c>
      <c r="F346" s="7">
        <v>0</v>
      </c>
      <c r="G346" s="7">
        <v>0</v>
      </c>
      <c r="H346" s="7">
        <v>0</v>
      </c>
      <c r="I346" s="7">
        <v>50000</v>
      </c>
    </row>
    <row r="347" spans="1:9" x14ac:dyDescent="0.25">
      <c r="A347" t="s">
        <v>40</v>
      </c>
      <c r="B347" t="s">
        <v>905</v>
      </c>
      <c r="C347" s="7">
        <v>0</v>
      </c>
      <c r="D347" s="7">
        <v>0</v>
      </c>
      <c r="E347" s="7">
        <v>0</v>
      </c>
      <c r="F347" s="7">
        <v>0</v>
      </c>
      <c r="G347" s="7">
        <v>0</v>
      </c>
      <c r="H347" s="7">
        <v>0</v>
      </c>
      <c r="I347" s="7">
        <v>0</v>
      </c>
    </row>
    <row r="348" spans="1:9" x14ac:dyDescent="0.25">
      <c r="A348" t="s">
        <v>40</v>
      </c>
      <c r="B348" t="s">
        <v>906</v>
      </c>
      <c r="C348" s="7">
        <v>0</v>
      </c>
      <c r="D348" s="7">
        <v>0</v>
      </c>
      <c r="E348" s="7">
        <v>0</v>
      </c>
      <c r="F348" s="7">
        <v>0</v>
      </c>
      <c r="G348" s="7">
        <v>0</v>
      </c>
      <c r="H348" s="7">
        <v>0</v>
      </c>
      <c r="I348" s="7">
        <v>0</v>
      </c>
    </row>
    <row r="349" spans="1:9" x14ac:dyDescent="0.25">
      <c r="A349" t="s">
        <v>40</v>
      </c>
      <c r="B349" t="s">
        <v>907</v>
      </c>
      <c r="C349" s="7">
        <v>0</v>
      </c>
      <c r="D349" s="7">
        <v>0</v>
      </c>
      <c r="E349" s="7">
        <v>0</v>
      </c>
      <c r="F349" s="7">
        <v>50000</v>
      </c>
      <c r="G349" s="7">
        <v>0</v>
      </c>
      <c r="H349" s="7">
        <v>0</v>
      </c>
      <c r="I349" s="7">
        <v>50000</v>
      </c>
    </row>
    <row r="350" spans="1:9" x14ac:dyDescent="0.25">
      <c r="A350" t="s">
        <v>42</v>
      </c>
      <c r="C350" s="7">
        <v>0</v>
      </c>
      <c r="D350" s="7">
        <v>0</v>
      </c>
      <c r="E350" s="7">
        <v>0</v>
      </c>
      <c r="F350" s="7">
        <v>0</v>
      </c>
      <c r="G350" s="7">
        <v>0</v>
      </c>
      <c r="H350" s="7">
        <v>0</v>
      </c>
      <c r="I350" s="7">
        <v>0</v>
      </c>
    </row>
    <row r="351" spans="1:9" x14ac:dyDescent="0.25">
      <c r="A351" t="s">
        <v>42</v>
      </c>
      <c r="B351" t="s">
        <v>908</v>
      </c>
      <c r="C351" s="7">
        <v>0</v>
      </c>
      <c r="D351" s="7">
        <v>0</v>
      </c>
      <c r="E351" s="7">
        <v>0</v>
      </c>
      <c r="F351" s="7">
        <v>0</v>
      </c>
      <c r="G351" s="7">
        <v>0</v>
      </c>
      <c r="H351" s="7">
        <v>0</v>
      </c>
      <c r="I351" s="7">
        <v>0</v>
      </c>
    </row>
    <row r="352" spans="1:9" x14ac:dyDescent="0.25">
      <c r="A352" t="s">
        <v>42</v>
      </c>
      <c r="B352" t="s">
        <v>909</v>
      </c>
      <c r="C352" s="7">
        <v>0</v>
      </c>
      <c r="D352" s="7">
        <v>0</v>
      </c>
      <c r="E352" s="7">
        <v>0</v>
      </c>
      <c r="F352" s="7">
        <v>0</v>
      </c>
      <c r="G352" s="7">
        <v>0</v>
      </c>
      <c r="H352" s="7">
        <v>0</v>
      </c>
      <c r="I352" s="7">
        <v>0</v>
      </c>
    </row>
    <row r="353" spans="1:9" x14ac:dyDescent="0.25">
      <c r="A353" t="s">
        <v>42</v>
      </c>
      <c r="B353" t="s">
        <v>910</v>
      </c>
      <c r="C353" s="7">
        <v>0</v>
      </c>
      <c r="D353" s="7">
        <v>0</v>
      </c>
      <c r="E353" s="7">
        <v>0</v>
      </c>
      <c r="F353" s="7">
        <v>0</v>
      </c>
      <c r="G353" s="7">
        <v>0</v>
      </c>
      <c r="H353" s="7">
        <v>0</v>
      </c>
      <c r="I353" s="7">
        <v>0</v>
      </c>
    </row>
    <row r="354" spans="1:9" x14ac:dyDescent="0.25">
      <c r="A354" t="s">
        <v>42</v>
      </c>
      <c r="B354" t="s">
        <v>911</v>
      </c>
      <c r="C354" s="7">
        <v>0</v>
      </c>
      <c r="D354" s="7">
        <v>0</v>
      </c>
      <c r="E354" s="7">
        <v>0</v>
      </c>
      <c r="F354" s="7">
        <v>0</v>
      </c>
      <c r="G354" s="7">
        <v>0</v>
      </c>
      <c r="H354" s="7">
        <v>0</v>
      </c>
      <c r="I354" s="7">
        <v>0</v>
      </c>
    </row>
    <row r="355" spans="1:9" x14ac:dyDescent="0.25">
      <c r="A355" t="s">
        <v>42</v>
      </c>
      <c r="B355" t="s">
        <v>912</v>
      </c>
      <c r="C355" s="7">
        <v>0</v>
      </c>
      <c r="D355" s="7">
        <v>0</v>
      </c>
      <c r="E355" s="7">
        <v>0</v>
      </c>
      <c r="F355" s="7">
        <v>0</v>
      </c>
      <c r="G355" s="7">
        <v>0</v>
      </c>
      <c r="H355" s="7">
        <v>0</v>
      </c>
      <c r="I355" s="7">
        <v>0</v>
      </c>
    </row>
    <row r="356" spans="1:9" x14ac:dyDescent="0.25">
      <c r="A356" t="s">
        <v>43</v>
      </c>
      <c r="C356" s="7">
        <v>0</v>
      </c>
      <c r="D356" s="7">
        <v>0</v>
      </c>
      <c r="E356" s="7">
        <v>0</v>
      </c>
      <c r="F356" s="7">
        <v>100000</v>
      </c>
      <c r="G356" s="7">
        <v>0</v>
      </c>
      <c r="H356" s="7">
        <v>0</v>
      </c>
      <c r="I356" s="7">
        <v>100000</v>
      </c>
    </row>
    <row r="357" spans="1:9" x14ac:dyDescent="0.25">
      <c r="A357" t="s">
        <v>43</v>
      </c>
      <c r="B357" t="s">
        <v>913</v>
      </c>
      <c r="C357" s="7">
        <v>0</v>
      </c>
      <c r="D357" s="7">
        <v>0</v>
      </c>
      <c r="E357" s="7">
        <v>0</v>
      </c>
      <c r="F357" s="7">
        <v>0</v>
      </c>
      <c r="G357" s="7">
        <v>0</v>
      </c>
      <c r="H357" s="7">
        <v>0</v>
      </c>
      <c r="I357" s="7">
        <v>0</v>
      </c>
    </row>
    <row r="358" spans="1:9" x14ac:dyDescent="0.25">
      <c r="A358" t="s">
        <v>43</v>
      </c>
      <c r="B358" t="s">
        <v>914</v>
      </c>
      <c r="C358" s="7">
        <v>0</v>
      </c>
      <c r="D358" s="7">
        <v>0</v>
      </c>
      <c r="E358" s="7">
        <v>0</v>
      </c>
      <c r="F358" s="7">
        <v>0</v>
      </c>
      <c r="G358" s="7">
        <v>0</v>
      </c>
      <c r="H358" s="7">
        <v>0</v>
      </c>
      <c r="I358" s="7">
        <v>0</v>
      </c>
    </row>
    <row r="359" spans="1:9" x14ac:dyDescent="0.25">
      <c r="A359" t="s">
        <v>43</v>
      </c>
      <c r="B359" t="s">
        <v>915</v>
      </c>
      <c r="C359" s="7">
        <v>0</v>
      </c>
      <c r="D359" s="7">
        <v>0</v>
      </c>
      <c r="E359" s="7">
        <v>0</v>
      </c>
      <c r="F359" s="7">
        <v>0</v>
      </c>
      <c r="G359" s="7">
        <v>0</v>
      </c>
      <c r="H359" s="7">
        <v>0</v>
      </c>
      <c r="I359" s="7">
        <v>0</v>
      </c>
    </row>
    <row r="360" spans="1:9" x14ac:dyDescent="0.25">
      <c r="A360" t="s">
        <v>43</v>
      </c>
      <c r="B360" t="s">
        <v>916</v>
      </c>
      <c r="C360" s="7">
        <v>0</v>
      </c>
      <c r="D360" s="7">
        <v>0</v>
      </c>
      <c r="E360" s="7">
        <v>0</v>
      </c>
      <c r="F360" s="7">
        <v>0</v>
      </c>
      <c r="G360" s="7">
        <v>0</v>
      </c>
      <c r="H360" s="7">
        <v>0</v>
      </c>
      <c r="I360" s="7">
        <v>0</v>
      </c>
    </row>
    <row r="361" spans="1:9" x14ac:dyDescent="0.25">
      <c r="A361" t="s">
        <v>43</v>
      </c>
      <c r="B361" t="s">
        <v>917</v>
      </c>
      <c r="C361" s="7">
        <v>0</v>
      </c>
      <c r="D361" s="7">
        <v>0</v>
      </c>
      <c r="E361" s="7">
        <v>0</v>
      </c>
      <c r="F361" s="7">
        <v>50000</v>
      </c>
      <c r="G361" s="7">
        <v>0</v>
      </c>
      <c r="H361" s="7">
        <v>0</v>
      </c>
      <c r="I361" s="7">
        <v>50000</v>
      </c>
    </row>
    <row r="362" spans="1:9" x14ac:dyDescent="0.25">
      <c r="A362" t="s">
        <v>43</v>
      </c>
      <c r="B362" t="s">
        <v>918</v>
      </c>
      <c r="C362" s="7">
        <v>0</v>
      </c>
      <c r="D362" s="7">
        <v>0</v>
      </c>
      <c r="E362" s="7">
        <v>0</v>
      </c>
      <c r="F362" s="7">
        <v>50000</v>
      </c>
      <c r="G362" s="7">
        <v>0</v>
      </c>
      <c r="H362" s="7">
        <v>0</v>
      </c>
      <c r="I362" s="7">
        <v>50000</v>
      </c>
    </row>
    <row r="363" spans="1:9" x14ac:dyDescent="0.25">
      <c r="A363" t="s">
        <v>43</v>
      </c>
      <c r="B363" t="s">
        <v>919</v>
      </c>
      <c r="C363" s="7">
        <v>0</v>
      </c>
      <c r="D363" s="7">
        <v>0</v>
      </c>
      <c r="E363" s="7">
        <v>0</v>
      </c>
      <c r="F363" s="7">
        <v>0</v>
      </c>
      <c r="G363" s="7">
        <v>0</v>
      </c>
      <c r="H363" s="7">
        <v>0</v>
      </c>
      <c r="I363" s="7">
        <v>0</v>
      </c>
    </row>
    <row r="364" spans="1:9" x14ac:dyDescent="0.25">
      <c r="A364" t="s">
        <v>44</v>
      </c>
      <c r="C364" s="7">
        <v>0</v>
      </c>
      <c r="D364" s="7">
        <v>0</v>
      </c>
      <c r="E364" s="7">
        <v>0</v>
      </c>
      <c r="F364" s="7">
        <v>0</v>
      </c>
      <c r="G364" s="7">
        <v>0</v>
      </c>
      <c r="H364" s="7">
        <v>0</v>
      </c>
      <c r="I364" s="7">
        <v>0</v>
      </c>
    </row>
    <row r="365" spans="1:9" x14ac:dyDescent="0.25">
      <c r="A365" t="s">
        <v>44</v>
      </c>
      <c r="B365" t="s">
        <v>920</v>
      </c>
      <c r="C365" s="7">
        <v>0</v>
      </c>
      <c r="D365" s="7">
        <v>0</v>
      </c>
      <c r="E365" s="7">
        <v>0</v>
      </c>
      <c r="F365" s="7">
        <v>0</v>
      </c>
      <c r="G365" s="7">
        <v>0</v>
      </c>
      <c r="H365" s="7">
        <v>0</v>
      </c>
      <c r="I365" s="7">
        <v>0</v>
      </c>
    </row>
    <row r="366" spans="1:9" x14ac:dyDescent="0.25">
      <c r="A366" t="s">
        <v>44</v>
      </c>
      <c r="B366" t="s">
        <v>921</v>
      </c>
      <c r="C366" s="7">
        <v>0</v>
      </c>
      <c r="D366" s="7">
        <v>0</v>
      </c>
      <c r="E366" s="7">
        <v>0</v>
      </c>
      <c r="F366" s="7">
        <v>0</v>
      </c>
      <c r="G366" s="7">
        <v>0</v>
      </c>
      <c r="H366" s="7">
        <v>0</v>
      </c>
      <c r="I366" s="7">
        <v>0</v>
      </c>
    </row>
    <row r="367" spans="1:9" x14ac:dyDescent="0.25">
      <c r="A367" t="s">
        <v>44</v>
      </c>
      <c r="B367" t="s">
        <v>922</v>
      </c>
      <c r="C367" s="7">
        <v>0</v>
      </c>
      <c r="D367" s="7">
        <v>0</v>
      </c>
      <c r="E367" s="7">
        <v>0</v>
      </c>
      <c r="F367" s="7">
        <v>0</v>
      </c>
      <c r="G367" s="7">
        <v>0</v>
      </c>
      <c r="H367" s="7">
        <v>0</v>
      </c>
      <c r="I367" s="7">
        <v>0</v>
      </c>
    </row>
    <row r="368" spans="1:9" x14ac:dyDescent="0.25">
      <c r="A368" t="s">
        <v>45</v>
      </c>
      <c r="C368" s="7">
        <v>0</v>
      </c>
      <c r="D368" s="7">
        <v>30000</v>
      </c>
      <c r="E368" s="7">
        <v>0</v>
      </c>
      <c r="F368" s="7">
        <v>0</v>
      </c>
      <c r="G368" s="7">
        <v>0</v>
      </c>
      <c r="H368" s="7">
        <v>0</v>
      </c>
      <c r="I368" s="7">
        <v>30000</v>
      </c>
    </row>
    <row r="369" spans="1:9" x14ac:dyDescent="0.25">
      <c r="A369" t="s">
        <v>45</v>
      </c>
      <c r="B369" t="s">
        <v>923</v>
      </c>
      <c r="C369" s="7">
        <v>0</v>
      </c>
      <c r="D369" s="7">
        <v>0</v>
      </c>
      <c r="E369" s="7">
        <v>0</v>
      </c>
      <c r="F369" s="7">
        <v>0</v>
      </c>
      <c r="G369" s="7">
        <v>0</v>
      </c>
      <c r="H369" s="7">
        <v>0</v>
      </c>
      <c r="I369" s="7">
        <v>0</v>
      </c>
    </row>
    <row r="370" spans="1:9" x14ac:dyDescent="0.25">
      <c r="A370" t="s">
        <v>45</v>
      </c>
      <c r="B370" t="s">
        <v>924</v>
      </c>
      <c r="C370" s="7">
        <v>0</v>
      </c>
      <c r="D370" s="7">
        <v>0</v>
      </c>
      <c r="E370" s="7">
        <v>0</v>
      </c>
      <c r="F370" s="7">
        <v>0</v>
      </c>
      <c r="G370" s="7">
        <v>0</v>
      </c>
      <c r="H370" s="7">
        <v>0</v>
      </c>
      <c r="I370" s="7">
        <v>0</v>
      </c>
    </row>
    <row r="371" spans="1:9" x14ac:dyDescent="0.25">
      <c r="A371" t="s">
        <v>45</v>
      </c>
      <c r="B371" t="s">
        <v>925</v>
      </c>
      <c r="C371" s="7">
        <v>0</v>
      </c>
      <c r="D371" s="7">
        <v>0</v>
      </c>
      <c r="E371" s="7">
        <v>0</v>
      </c>
      <c r="F371" s="7">
        <v>0</v>
      </c>
      <c r="G371" s="7">
        <v>0</v>
      </c>
      <c r="H371" s="7">
        <v>0</v>
      </c>
      <c r="I371" s="7">
        <v>0</v>
      </c>
    </row>
    <row r="372" spans="1:9" x14ac:dyDescent="0.25">
      <c r="A372" t="s">
        <v>45</v>
      </c>
      <c r="B372" t="s">
        <v>926</v>
      </c>
      <c r="C372" s="7">
        <v>0</v>
      </c>
      <c r="D372" s="7">
        <v>30000</v>
      </c>
      <c r="E372" s="7">
        <v>0</v>
      </c>
      <c r="F372" s="7">
        <v>0</v>
      </c>
      <c r="G372" s="7">
        <v>0</v>
      </c>
      <c r="H372" s="7">
        <v>0</v>
      </c>
      <c r="I372" s="7">
        <v>30000</v>
      </c>
    </row>
    <row r="373" spans="1:9" x14ac:dyDescent="0.25">
      <c r="A373" t="s">
        <v>45</v>
      </c>
      <c r="B373" t="s">
        <v>927</v>
      </c>
      <c r="C373" s="7">
        <v>0</v>
      </c>
      <c r="D373" s="7">
        <v>0</v>
      </c>
      <c r="E373" s="7">
        <v>0</v>
      </c>
      <c r="F373" s="7">
        <v>0</v>
      </c>
      <c r="G373" s="7">
        <v>0</v>
      </c>
      <c r="H373" s="7">
        <v>0</v>
      </c>
      <c r="I373" s="7">
        <v>0</v>
      </c>
    </row>
    <row r="374" spans="1:9" x14ac:dyDescent="0.25">
      <c r="A374" t="s">
        <v>61</v>
      </c>
      <c r="C374" s="7">
        <v>0</v>
      </c>
      <c r="D374" s="7">
        <v>0</v>
      </c>
      <c r="E374" s="7">
        <v>0</v>
      </c>
      <c r="F374" s="7">
        <v>0</v>
      </c>
      <c r="G374" s="7">
        <v>0</v>
      </c>
      <c r="H374" s="7">
        <v>0</v>
      </c>
      <c r="I374" s="7">
        <v>0</v>
      </c>
    </row>
    <row r="375" spans="1:9" x14ac:dyDescent="0.25">
      <c r="A375" t="s">
        <v>61</v>
      </c>
      <c r="B375" t="s">
        <v>928</v>
      </c>
      <c r="C375" s="7">
        <v>0</v>
      </c>
      <c r="D375" s="7">
        <v>0</v>
      </c>
      <c r="E375" s="7">
        <v>0</v>
      </c>
      <c r="F375" s="7">
        <v>0</v>
      </c>
      <c r="G375" s="7">
        <v>0</v>
      </c>
      <c r="H375" s="7">
        <v>0</v>
      </c>
      <c r="I375" s="7">
        <v>0</v>
      </c>
    </row>
    <row r="376" spans="1:9" x14ac:dyDescent="0.25">
      <c r="A376" t="s">
        <v>61</v>
      </c>
      <c r="B376" t="s">
        <v>929</v>
      </c>
      <c r="C376" s="7">
        <v>0</v>
      </c>
      <c r="D376" s="7">
        <v>0</v>
      </c>
      <c r="E376" s="7">
        <v>0</v>
      </c>
      <c r="F376" s="7">
        <v>0</v>
      </c>
      <c r="G376" s="7">
        <v>0</v>
      </c>
      <c r="H376" s="7">
        <v>0</v>
      </c>
      <c r="I376" s="7">
        <v>0</v>
      </c>
    </row>
    <row r="377" spans="1:9" x14ac:dyDescent="0.25">
      <c r="A377" t="s">
        <v>61</v>
      </c>
      <c r="B377" t="s">
        <v>930</v>
      </c>
      <c r="C377" s="7">
        <v>0</v>
      </c>
      <c r="D377" s="7">
        <v>0</v>
      </c>
      <c r="E377" s="7">
        <v>0</v>
      </c>
      <c r="F377" s="7">
        <v>0</v>
      </c>
      <c r="G377" s="7">
        <v>0</v>
      </c>
      <c r="H377" s="7">
        <v>0</v>
      </c>
      <c r="I377" s="7">
        <v>0</v>
      </c>
    </row>
    <row r="378" spans="1:9" x14ac:dyDescent="0.25">
      <c r="A378" t="s">
        <v>61</v>
      </c>
      <c r="B378" t="s">
        <v>931</v>
      </c>
      <c r="C378" s="7">
        <v>0</v>
      </c>
      <c r="D378" s="7">
        <v>0</v>
      </c>
      <c r="E378" s="7">
        <v>0</v>
      </c>
      <c r="F378" s="7">
        <v>0</v>
      </c>
      <c r="G378" s="7">
        <v>0</v>
      </c>
      <c r="H378" s="7">
        <v>0</v>
      </c>
      <c r="I378" s="7">
        <v>0</v>
      </c>
    </row>
    <row r="379" spans="1:9" x14ac:dyDescent="0.25">
      <c r="A379" t="s">
        <v>61</v>
      </c>
      <c r="B379" t="s">
        <v>932</v>
      </c>
      <c r="C379" s="7">
        <v>0</v>
      </c>
      <c r="D379" s="7">
        <v>0</v>
      </c>
      <c r="E379" s="7">
        <v>0</v>
      </c>
      <c r="F379" s="7">
        <v>0</v>
      </c>
      <c r="G379" s="7">
        <v>0</v>
      </c>
      <c r="H379" s="7">
        <v>0</v>
      </c>
      <c r="I379" s="7">
        <v>0</v>
      </c>
    </row>
    <row r="380" spans="1:9" x14ac:dyDescent="0.25">
      <c r="A380" t="s">
        <v>62</v>
      </c>
      <c r="C380" s="7">
        <v>0</v>
      </c>
      <c r="D380" s="7">
        <v>0</v>
      </c>
      <c r="E380" s="7">
        <v>0</v>
      </c>
      <c r="F380" s="7">
        <v>0</v>
      </c>
      <c r="G380" s="7">
        <v>0</v>
      </c>
      <c r="H380" s="7">
        <v>0</v>
      </c>
      <c r="I380" s="7">
        <v>0</v>
      </c>
    </row>
    <row r="381" spans="1:9" x14ac:dyDescent="0.25">
      <c r="A381" t="s">
        <v>62</v>
      </c>
      <c r="B381" t="s">
        <v>933</v>
      </c>
      <c r="C381" s="7">
        <v>0</v>
      </c>
      <c r="D381" s="7">
        <v>0</v>
      </c>
      <c r="E381" s="7">
        <v>0</v>
      </c>
      <c r="F381" s="7">
        <v>0</v>
      </c>
      <c r="G381" s="7">
        <v>0</v>
      </c>
      <c r="H381" s="7">
        <v>0</v>
      </c>
      <c r="I381" s="7">
        <v>0</v>
      </c>
    </row>
    <row r="382" spans="1:9" x14ac:dyDescent="0.25">
      <c r="A382" t="s">
        <v>62</v>
      </c>
      <c r="B382" t="s">
        <v>934</v>
      </c>
      <c r="C382" s="7">
        <v>0</v>
      </c>
      <c r="D382" s="7">
        <v>0</v>
      </c>
      <c r="E382" s="7">
        <v>0</v>
      </c>
      <c r="F382" s="7">
        <v>0</v>
      </c>
      <c r="G382" s="7">
        <v>0</v>
      </c>
      <c r="H382" s="7">
        <v>0</v>
      </c>
      <c r="I382" s="7">
        <v>0</v>
      </c>
    </row>
    <row r="383" spans="1:9" x14ac:dyDescent="0.25">
      <c r="A383" t="s">
        <v>62</v>
      </c>
      <c r="B383" t="s">
        <v>935</v>
      </c>
      <c r="C383" s="7">
        <v>0</v>
      </c>
      <c r="D383" s="7">
        <v>0</v>
      </c>
      <c r="E383" s="7">
        <v>0</v>
      </c>
      <c r="F383" s="7">
        <v>0</v>
      </c>
      <c r="G383" s="7">
        <v>0</v>
      </c>
      <c r="H383" s="7">
        <v>0</v>
      </c>
      <c r="I383" s="7">
        <v>0</v>
      </c>
    </row>
    <row r="384" spans="1:9" x14ac:dyDescent="0.25">
      <c r="A384" t="s">
        <v>62</v>
      </c>
      <c r="B384" t="s">
        <v>936</v>
      </c>
      <c r="C384" s="7">
        <v>0</v>
      </c>
      <c r="D384" s="7">
        <v>0</v>
      </c>
      <c r="E384" s="7">
        <v>0</v>
      </c>
      <c r="F384" s="7">
        <v>0</v>
      </c>
      <c r="G384" s="7">
        <v>0</v>
      </c>
      <c r="H384" s="7">
        <v>0</v>
      </c>
      <c r="I384" s="7">
        <v>0</v>
      </c>
    </row>
    <row r="385" spans="1:9" x14ac:dyDescent="0.25">
      <c r="A385" t="s">
        <v>62</v>
      </c>
      <c r="B385" t="s">
        <v>937</v>
      </c>
      <c r="C385" s="7">
        <v>0</v>
      </c>
      <c r="D385" s="7">
        <v>0</v>
      </c>
      <c r="E385" s="7">
        <v>0</v>
      </c>
      <c r="F385" s="7">
        <v>0</v>
      </c>
      <c r="G385" s="7">
        <v>0</v>
      </c>
      <c r="H385" s="7">
        <v>0</v>
      </c>
      <c r="I385" s="7">
        <v>0</v>
      </c>
    </row>
    <row r="386" spans="1:9" x14ac:dyDescent="0.25">
      <c r="A386" t="s">
        <v>62</v>
      </c>
      <c r="B386" t="s">
        <v>938</v>
      </c>
      <c r="C386" s="7">
        <v>0</v>
      </c>
      <c r="D386" s="7">
        <v>0</v>
      </c>
      <c r="E386" s="7">
        <v>0</v>
      </c>
      <c r="F386" s="7">
        <v>0</v>
      </c>
      <c r="G386" s="7">
        <v>0</v>
      </c>
      <c r="H386" s="7">
        <v>0</v>
      </c>
      <c r="I386" s="7">
        <v>0</v>
      </c>
    </row>
    <row r="387" spans="1:9" x14ac:dyDescent="0.25">
      <c r="A387" t="s">
        <v>63</v>
      </c>
      <c r="C387" s="7">
        <v>0</v>
      </c>
      <c r="D387" s="7">
        <v>0</v>
      </c>
      <c r="E387" s="7">
        <v>0</v>
      </c>
      <c r="F387" s="7">
        <v>0</v>
      </c>
      <c r="G387" s="7">
        <v>0</v>
      </c>
      <c r="H387" s="7">
        <v>0</v>
      </c>
      <c r="I387" s="7">
        <v>0</v>
      </c>
    </row>
    <row r="388" spans="1:9" x14ac:dyDescent="0.25">
      <c r="A388" t="s">
        <v>63</v>
      </c>
      <c r="B388" t="s">
        <v>939</v>
      </c>
      <c r="C388" s="7">
        <v>0</v>
      </c>
      <c r="D388" s="7">
        <v>0</v>
      </c>
      <c r="E388" s="7">
        <v>0</v>
      </c>
      <c r="F388" s="7">
        <v>0</v>
      </c>
      <c r="G388" s="7">
        <v>0</v>
      </c>
      <c r="H388" s="7">
        <v>0</v>
      </c>
      <c r="I388" s="7">
        <v>0</v>
      </c>
    </row>
    <row r="389" spans="1:9" x14ac:dyDescent="0.25">
      <c r="A389" t="s">
        <v>63</v>
      </c>
      <c r="B389" t="s">
        <v>940</v>
      </c>
      <c r="C389" s="7">
        <v>0</v>
      </c>
      <c r="D389" s="7">
        <v>0</v>
      </c>
      <c r="E389" s="7">
        <v>0</v>
      </c>
      <c r="F389" s="7">
        <v>0</v>
      </c>
      <c r="G389" s="7">
        <v>0</v>
      </c>
      <c r="H389" s="7">
        <v>0</v>
      </c>
      <c r="I389" s="7">
        <v>0</v>
      </c>
    </row>
    <row r="390" spans="1:9" x14ac:dyDescent="0.25">
      <c r="A390" t="s">
        <v>63</v>
      </c>
      <c r="B390" t="s">
        <v>941</v>
      </c>
      <c r="C390" s="7">
        <v>0</v>
      </c>
      <c r="D390" s="7">
        <v>0</v>
      </c>
      <c r="E390" s="7">
        <v>0</v>
      </c>
      <c r="F390" s="7">
        <v>0</v>
      </c>
      <c r="G390" s="7">
        <v>0</v>
      </c>
      <c r="H390" s="7">
        <v>0</v>
      </c>
      <c r="I390" s="7">
        <v>0</v>
      </c>
    </row>
    <row r="391" spans="1:9" x14ac:dyDescent="0.25">
      <c r="A391" t="s">
        <v>64</v>
      </c>
      <c r="C391" s="7">
        <v>0</v>
      </c>
      <c r="D391" s="7">
        <v>0</v>
      </c>
      <c r="E391" s="7">
        <v>0</v>
      </c>
      <c r="F391" s="7">
        <v>0</v>
      </c>
      <c r="G391" s="7">
        <v>0</v>
      </c>
      <c r="H391" s="7">
        <v>0</v>
      </c>
      <c r="I391" s="7">
        <v>0</v>
      </c>
    </row>
    <row r="392" spans="1:9" x14ac:dyDescent="0.25">
      <c r="A392" t="s">
        <v>64</v>
      </c>
      <c r="B392" t="s">
        <v>942</v>
      </c>
      <c r="C392" s="7">
        <v>0</v>
      </c>
      <c r="D392" s="7">
        <v>0</v>
      </c>
      <c r="E392" s="7">
        <v>0</v>
      </c>
      <c r="F392" s="7">
        <v>0</v>
      </c>
      <c r="G392" s="7">
        <v>0</v>
      </c>
      <c r="H392" s="7">
        <v>0</v>
      </c>
      <c r="I392" s="7">
        <v>0</v>
      </c>
    </row>
    <row r="393" spans="1:9" x14ac:dyDescent="0.25">
      <c r="A393" t="s">
        <v>64</v>
      </c>
      <c r="B393" t="s">
        <v>943</v>
      </c>
      <c r="C393" s="7">
        <v>0</v>
      </c>
      <c r="D393" s="7">
        <v>0</v>
      </c>
      <c r="E393" s="7">
        <v>0</v>
      </c>
      <c r="F393" s="7">
        <v>0</v>
      </c>
      <c r="G393" s="7">
        <v>0</v>
      </c>
      <c r="H393" s="7">
        <v>0</v>
      </c>
      <c r="I393" s="7">
        <v>0</v>
      </c>
    </row>
    <row r="394" spans="1:9" x14ac:dyDescent="0.25">
      <c r="A394" t="s">
        <v>64</v>
      </c>
      <c r="B394" t="s">
        <v>944</v>
      </c>
      <c r="C394" s="7">
        <v>0</v>
      </c>
      <c r="D394" s="7">
        <v>0</v>
      </c>
      <c r="E394" s="7">
        <v>0</v>
      </c>
      <c r="F394" s="7">
        <v>0</v>
      </c>
      <c r="G394" s="7">
        <v>0</v>
      </c>
      <c r="H394" s="7">
        <v>0</v>
      </c>
      <c r="I394" s="7">
        <v>0</v>
      </c>
    </row>
    <row r="395" spans="1:9" x14ac:dyDescent="0.25">
      <c r="A395" t="s">
        <v>64</v>
      </c>
      <c r="B395" t="s">
        <v>945</v>
      </c>
      <c r="C395" s="7">
        <v>0</v>
      </c>
      <c r="D395" s="7">
        <v>0</v>
      </c>
      <c r="E395" s="7">
        <v>0</v>
      </c>
      <c r="F395" s="7">
        <v>0</v>
      </c>
      <c r="G395" s="7">
        <v>0</v>
      </c>
      <c r="H395" s="7">
        <v>0</v>
      </c>
      <c r="I395" s="7">
        <v>0</v>
      </c>
    </row>
    <row r="396" spans="1:9" x14ac:dyDescent="0.25">
      <c r="A396" t="s">
        <v>64</v>
      </c>
      <c r="B396" t="s">
        <v>946</v>
      </c>
      <c r="C396" s="7">
        <v>0</v>
      </c>
      <c r="D396" s="7">
        <v>0</v>
      </c>
      <c r="E396" s="7">
        <v>0</v>
      </c>
      <c r="F396" s="7">
        <v>0</v>
      </c>
      <c r="G396" s="7">
        <v>0</v>
      </c>
      <c r="H396" s="7">
        <v>0</v>
      </c>
      <c r="I396" s="7">
        <v>0</v>
      </c>
    </row>
    <row r="397" spans="1:9" x14ac:dyDescent="0.25">
      <c r="A397" t="s">
        <v>64</v>
      </c>
      <c r="B397" t="s">
        <v>947</v>
      </c>
      <c r="C397" s="7">
        <v>0</v>
      </c>
      <c r="D397" s="7">
        <v>0</v>
      </c>
      <c r="E397" s="7">
        <v>0</v>
      </c>
      <c r="F397" s="7">
        <v>0</v>
      </c>
      <c r="G397" s="7">
        <v>0</v>
      </c>
      <c r="H397" s="7">
        <v>0</v>
      </c>
      <c r="I397" s="7">
        <v>0</v>
      </c>
    </row>
    <row r="398" spans="1:9" x14ac:dyDescent="0.25">
      <c r="A398" t="s">
        <v>64</v>
      </c>
      <c r="B398" t="s">
        <v>948</v>
      </c>
      <c r="C398" s="7">
        <v>0</v>
      </c>
      <c r="D398" s="7">
        <v>0</v>
      </c>
      <c r="E398" s="7">
        <v>0</v>
      </c>
      <c r="F398" s="7">
        <v>0</v>
      </c>
      <c r="G398" s="7">
        <v>0</v>
      </c>
      <c r="H398" s="7">
        <v>0</v>
      </c>
      <c r="I398" s="7">
        <v>0</v>
      </c>
    </row>
    <row r="399" spans="1:9" x14ac:dyDescent="0.25">
      <c r="A399" t="s">
        <v>64</v>
      </c>
      <c r="B399" t="s">
        <v>949</v>
      </c>
      <c r="C399" s="7">
        <v>0</v>
      </c>
      <c r="D399" s="7">
        <v>0</v>
      </c>
      <c r="E399" s="7">
        <v>0</v>
      </c>
      <c r="F399" s="7">
        <v>0</v>
      </c>
      <c r="G399" s="7">
        <v>0</v>
      </c>
      <c r="H399" s="7">
        <v>0</v>
      </c>
      <c r="I399" s="7">
        <v>0</v>
      </c>
    </row>
    <row r="400" spans="1:9" x14ac:dyDescent="0.25">
      <c r="A400" t="s">
        <v>64</v>
      </c>
      <c r="B400" t="s">
        <v>950</v>
      </c>
      <c r="C400" s="7">
        <v>0</v>
      </c>
      <c r="D400" s="7">
        <v>0</v>
      </c>
      <c r="E400" s="7">
        <v>0</v>
      </c>
      <c r="F400" s="7">
        <v>0</v>
      </c>
      <c r="G400" s="7">
        <v>0</v>
      </c>
      <c r="H400" s="7">
        <v>0</v>
      </c>
      <c r="I400" s="7">
        <v>0</v>
      </c>
    </row>
    <row r="401" spans="1:9" x14ac:dyDescent="0.25">
      <c r="A401" t="s">
        <v>64</v>
      </c>
      <c r="B401" t="s">
        <v>951</v>
      </c>
      <c r="C401" s="7">
        <v>0</v>
      </c>
      <c r="D401" s="7">
        <v>0</v>
      </c>
      <c r="E401" s="7">
        <v>0</v>
      </c>
      <c r="F401" s="7">
        <v>0</v>
      </c>
      <c r="G401" s="7">
        <v>0</v>
      </c>
      <c r="H401" s="7">
        <v>0</v>
      </c>
      <c r="I401" s="7">
        <v>0</v>
      </c>
    </row>
    <row r="402" spans="1:9" x14ac:dyDescent="0.25">
      <c r="A402" t="s">
        <v>65</v>
      </c>
      <c r="C402" s="7">
        <v>51800000</v>
      </c>
      <c r="D402" s="7">
        <v>51800000</v>
      </c>
      <c r="E402" s="7">
        <v>51800000</v>
      </c>
      <c r="F402" s="7">
        <v>51800000</v>
      </c>
      <c r="G402" s="7">
        <v>51800000</v>
      </c>
      <c r="H402" s="7">
        <v>51800000</v>
      </c>
      <c r="I402" s="7">
        <v>310800000</v>
      </c>
    </row>
    <row r="403" spans="1:9" x14ac:dyDescent="0.25">
      <c r="A403" t="s">
        <v>65</v>
      </c>
      <c r="B403" t="s">
        <v>952</v>
      </c>
      <c r="C403" s="7">
        <v>51800000</v>
      </c>
      <c r="D403" s="7">
        <v>51800000</v>
      </c>
      <c r="E403" s="7">
        <v>51800000</v>
      </c>
      <c r="F403" s="7">
        <v>51800000</v>
      </c>
      <c r="G403" s="7">
        <v>51800000</v>
      </c>
      <c r="H403" s="7">
        <v>51800000</v>
      </c>
      <c r="I403" s="7">
        <v>310800000</v>
      </c>
    </row>
    <row r="404" spans="1:9" x14ac:dyDescent="0.25">
      <c r="A404" t="s">
        <v>65</v>
      </c>
      <c r="B404" t="s">
        <v>953</v>
      </c>
      <c r="C404" s="7">
        <v>0</v>
      </c>
      <c r="D404" s="7">
        <v>0</v>
      </c>
      <c r="E404" s="7">
        <v>0</v>
      </c>
      <c r="F404" s="7">
        <v>0</v>
      </c>
      <c r="G404" s="7">
        <v>0</v>
      </c>
      <c r="H404" s="7">
        <v>0</v>
      </c>
      <c r="I404" s="7">
        <v>0</v>
      </c>
    </row>
    <row r="405" spans="1:9" x14ac:dyDescent="0.25">
      <c r="A405" t="s">
        <v>65</v>
      </c>
      <c r="B405" t="s">
        <v>954</v>
      </c>
      <c r="C405" s="7">
        <v>0</v>
      </c>
      <c r="D405" s="7">
        <v>0</v>
      </c>
      <c r="E405" s="7">
        <v>0</v>
      </c>
      <c r="F405" s="7">
        <v>0</v>
      </c>
      <c r="G405" s="7">
        <v>0</v>
      </c>
      <c r="H405" s="7">
        <v>0</v>
      </c>
      <c r="I405" s="7">
        <v>0</v>
      </c>
    </row>
    <row r="406" spans="1:9" x14ac:dyDescent="0.25">
      <c r="A406" t="s">
        <v>65</v>
      </c>
      <c r="B406" t="s">
        <v>955</v>
      </c>
      <c r="C406" s="7">
        <v>0</v>
      </c>
      <c r="D406" s="7">
        <v>0</v>
      </c>
      <c r="E406" s="7">
        <v>0</v>
      </c>
      <c r="F406" s="7">
        <v>0</v>
      </c>
      <c r="G406" s="7">
        <v>0</v>
      </c>
      <c r="H406" s="7">
        <v>0</v>
      </c>
      <c r="I406" s="7">
        <v>0</v>
      </c>
    </row>
    <row r="407" spans="1:9" x14ac:dyDescent="0.25">
      <c r="A407" t="s">
        <v>65</v>
      </c>
      <c r="B407" t="s">
        <v>956</v>
      </c>
      <c r="C407" s="7">
        <v>0</v>
      </c>
      <c r="D407" s="7">
        <v>0</v>
      </c>
      <c r="E407" s="7">
        <v>0</v>
      </c>
      <c r="F407" s="7">
        <v>0</v>
      </c>
      <c r="G407" s="7">
        <v>0</v>
      </c>
      <c r="H407" s="7">
        <v>0</v>
      </c>
      <c r="I407" s="7">
        <v>0</v>
      </c>
    </row>
    <row r="408" spans="1:9" x14ac:dyDescent="0.25">
      <c r="A408" t="s">
        <v>66</v>
      </c>
      <c r="C408" s="7">
        <v>0</v>
      </c>
      <c r="D408" s="7">
        <v>0</v>
      </c>
      <c r="E408" s="7">
        <v>0</v>
      </c>
      <c r="F408" s="7">
        <v>0</v>
      </c>
      <c r="G408" s="7">
        <v>0</v>
      </c>
      <c r="H408" s="7">
        <v>0</v>
      </c>
      <c r="I408" s="7">
        <v>0</v>
      </c>
    </row>
    <row r="409" spans="1:9" x14ac:dyDescent="0.25">
      <c r="A409" t="s">
        <v>66</v>
      </c>
      <c r="B409" t="s">
        <v>957</v>
      </c>
      <c r="C409" s="7">
        <v>0</v>
      </c>
      <c r="D409" s="7">
        <v>0</v>
      </c>
      <c r="E409" s="7">
        <v>0</v>
      </c>
      <c r="F409" s="7">
        <v>0</v>
      </c>
      <c r="G409" s="7">
        <v>0</v>
      </c>
      <c r="H409" s="7">
        <v>0</v>
      </c>
      <c r="I409" s="7">
        <v>0</v>
      </c>
    </row>
    <row r="410" spans="1:9" x14ac:dyDescent="0.25">
      <c r="A410" t="s">
        <v>66</v>
      </c>
      <c r="B410" t="s">
        <v>958</v>
      </c>
      <c r="C410" s="7">
        <v>0</v>
      </c>
      <c r="D410" s="7">
        <v>0</v>
      </c>
      <c r="E410" s="7">
        <v>0</v>
      </c>
      <c r="F410" s="7">
        <v>0</v>
      </c>
      <c r="G410" s="7">
        <v>0</v>
      </c>
      <c r="H410" s="7">
        <v>0</v>
      </c>
      <c r="I410" s="7">
        <v>0</v>
      </c>
    </row>
    <row r="411" spans="1:9" x14ac:dyDescent="0.25">
      <c r="A411" t="s">
        <v>67</v>
      </c>
      <c r="C411" s="7">
        <v>1080000</v>
      </c>
      <c r="D411" s="7">
        <v>2469333</v>
      </c>
      <c r="E411" s="7">
        <v>3525000</v>
      </c>
      <c r="F411" s="7">
        <v>225000</v>
      </c>
      <c r="G411" s="7">
        <v>1625000</v>
      </c>
      <c r="H411" s="7">
        <v>25000</v>
      </c>
      <c r="I411" s="7">
        <v>8949333</v>
      </c>
    </row>
    <row r="412" spans="1:9" x14ac:dyDescent="0.25">
      <c r="A412" t="s">
        <v>67</v>
      </c>
      <c r="B412" t="s">
        <v>959</v>
      </c>
      <c r="C412" s="7">
        <v>35000</v>
      </c>
      <c r="D412" s="7">
        <v>0</v>
      </c>
      <c r="E412" s="7">
        <v>200000</v>
      </c>
      <c r="F412" s="7">
        <v>0</v>
      </c>
      <c r="G412" s="7">
        <v>0</v>
      </c>
      <c r="H412" s="7">
        <v>0</v>
      </c>
      <c r="I412" s="7">
        <v>235000</v>
      </c>
    </row>
    <row r="413" spans="1:9" x14ac:dyDescent="0.25">
      <c r="A413" t="s">
        <v>67</v>
      </c>
      <c r="B413" t="s">
        <v>960</v>
      </c>
      <c r="C413" s="7">
        <v>50000</v>
      </c>
      <c r="D413" s="7">
        <v>500000</v>
      </c>
      <c r="E413" s="7">
        <v>500000</v>
      </c>
      <c r="F413" s="7">
        <v>0</v>
      </c>
      <c r="G413" s="7">
        <v>0</v>
      </c>
      <c r="H413" s="7">
        <v>0</v>
      </c>
      <c r="I413" s="7">
        <v>1050000</v>
      </c>
    </row>
    <row r="414" spans="1:9" x14ac:dyDescent="0.25">
      <c r="A414" t="s">
        <v>67</v>
      </c>
      <c r="B414" t="s">
        <v>961</v>
      </c>
      <c r="C414" s="7">
        <v>0</v>
      </c>
      <c r="D414" s="7">
        <v>0</v>
      </c>
      <c r="E414" s="7">
        <v>0</v>
      </c>
      <c r="F414" s="7">
        <v>0</v>
      </c>
      <c r="G414" s="7">
        <v>0</v>
      </c>
      <c r="H414" s="7">
        <v>0</v>
      </c>
      <c r="I414" s="7">
        <v>0</v>
      </c>
    </row>
    <row r="415" spans="1:9" x14ac:dyDescent="0.25">
      <c r="A415" t="s">
        <v>67</v>
      </c>
      <c r="B415" t="s">
        <v>962</v>
      </c>
      <c r="C415" s="7">
        <v>0</v>
      </c>
      <c r="D415" s="7">
        <v>0</v>
      </c>
      <c r="E415" s="7">
        <v>0</v>
      </c>
      <c r="F415" s="7">
        <v>0</v>
      </c>
      <c r="G415" s="7">
        <v>0</v>
      </c>
      <c r="H415" s="7">
        <v>0</v>
      </c>
      <c r="I415" s="7">
        <v>0</v>
      </c>
    </row>
    <row r="416" spans="1:9" x14ac:dyDescent="0.25">
      <c r="A416" t="s">
        <v>67</v>
      </c>
      <c r="B416" t="s">
        <v>963</v>
      </c>
      <c r="C416" s="7">
        <v>0</v>
      </c>
      <c r="D416" s="7">
        <v>0</v>
      </c>
      <c r="E416" s="7">
        <v>0</v>
      </c>
      <c r="F416" s="7">
        <v>0</v>
      </c>
      <c r="G416" s="7">
        <v>0</v>
      </c>
      <c r="H416" s="7">
        <v>0</v>
      </c>
      <c r="I416" s="7">
        <v>0</v>
      </c>
    </row>
    <row r="417" spans="1:9" x14ac:dyDescent="0.25">
      <c r="A417" t="s">
        <v>67</v>
      </c>
      <c r="B417" t="s">
        <v>964</v>
      </c>
      <c r="C417" s="7">
        <v>0</v>
      </c>
      <c r="D417" s="7">
        <v>0</v>
      </c>
      <c r="E417" s="7">
        <v>0</v>
      </c>
      <c r="F417" s="7">
        <v>0</v>
      </c>
      <c r="G417" s="7">
        <v>0</v>
      </c>
      <c r="H417" s="7">
        <v>0</v>
      </c>
      <c r="I417" s="7">
        <v>0</v>
      </c>
    </row>
    <row r="418" spans="1:9" x14ac:dyDescent="0.25">
      <c r="A418" t="s">
        <v>67</v>
      </c>
      <c r="B418" t="s">
        <v>965</v>
      </c>
      <c r="C418" s="7">
        <v>20000</v>
      </c>
      <c r="D418" s="7">
        <v>20000</v>
      </c>
      <c r="E418" s="7">
        <v>20000</v>
      </c>
      <c r="F418" s="7">
        <v>20000</v>
      </c>
      <c r="G418" s="7">
        <v>20000</v>
      </c>
      <c r="H418" s="7">
        <v>20000</v>
      </c>
      <c r="I418" s="7">
        <v>120000</v>
      </c>
    </row>
    <row r="419" spans="1:9" x14ac:dyDescent="0.25">
      <c r="A419" t="s">
        <v>67</v>
      </c>
      <c r="B419" t="s">
        <v>966</v>
      </c>
      <c r="C419" s="7">
        <v>20000</v>
      </c>
      <c r="D419" s="7">
        <v>0</v>
      </c>
      <c r="E419" s="7">
        <v>0</v>
      </c>
      <c r="F419" s="7">
        <v>0</v>
      </c>
      <c r="G419" s="7">
        <v>0</v>
      </c>
      <c r="H419" s="7">
        <v>0</v>
      </c>
      <c r="I419" s="7">
        <v>20000</v>
      </c>
    </row>
    <row r="420" spans="1:9" x14ac:dyDescent="0.25">
      <c r="A420" t="s">
        <v>67</v>
      </c>
      <c r="B420" t="s">
        <v>967</v>
      </c>
      <c r="C420" s="7">
        <v>45000</v>
      </c>
      <c r="D420" s="7">
        <v>44333</v>
      </c>
      <c r="E420" s="7">
        <v>0</v>
      </c>
      <c r="F420" s="7">
        <v>0</v>
      </c>
      <c r="G420" s="7">
        <v>0</v>
      </c>
      <c r="H420" s="7">
        <v>0</v>
      </c>
      <c r="I420" s="7">
        <v>89333</v>
      </c>
    </row>
    <row r="421" spans="1:9" x14ac:dyDescent="0.25">
      <c r="A421" t="s">
        <v>67</v>
      </c>
      <c r="B421" t="s">
        <v>968</v>
      </c>
      <c r="C421" s="7">
        <v>0</v>
      </c>
      <c r="D421" s="7">
        <v>0</v>
      </c>
      <c r="E421" s="7">
        <v>0</v>
      </c>
      <c r="F421" s="7">
        <v>0</v>
      </c>
      <c r="G421" s="7">
        <v>0</v>
      </c>
      <c r="H421" s="7">
        <v>0</v>
      </c>
      <c r="I421" s="7">
        <v>0</v>
      </c>
    </row>
    <row r="422" spans="1:9" x14ac:dyDescent="0.25">
      <c r="A422" t="s">
        <v>67</v>
      </c>
      <c r="B422" t="s">
        <v>969</v>
      </c>
      <c r="C422" s="7">
        <v>5000</v>
      </c>
      <c r="D422" s="7">
        <v>5000</v>
      </c>
      <c r="E422" s="7">
        <v>5000</v>
      </c>
      <c r="F422" s="7">
        <v>5000</v>
      </c>
      <c r="G422" s="7">
        <v>5000</v>
      </c>
      <c r="H422" s="7">
        <v>5000</v>
      </c>
      <c r="I422" s="7">
        <v>30000</v>
      </c>
    </row>
    <row r="423" spans="1:9" x14ac:dyDescent="0.25">
      <c r="A423" t="s">
        <v>67</v>
      </c>
      <c r="B423" t="s">
        <v>970</v>
      </c>
      <c r="C423" s="7">
        <v>60000</v>
      </c>
      <c r="D423" s="7">
        <v>800000</v>
      </c>
      <c r="E423" s="7">
        <v>0</v>
      </c>
      <c r="F423" s="7">
        <v>0</v>
      </c>
      <c r="G423" s="7">
        <v>0</v>
      </c>
      <c r="H423" s="7">
        <v>0</v>
      </c>
      <c r="I423" s="7">
        <v>860000</v>
      </c>
    </row>
    <row r="424" spans="1:9" x14ac:dyDescent="0.25">
      <c r="A424" t="s">
        <v>67</v>
      </c>
      <c r="B424" t="s">
        <v>971</v>
      </c>
      <c r="C424" s="7">
        <v>0</v>
      </c>
      <c r="D424" s="7">
        <v>0</v>
      </c>
      <c r="E424" s="7">
        <v>0</v>
      </c>
      <c r="F424" s="7">
        <v>0</v>
      </c>
      <c r="G424" s="7">
        <v>0</v>
      </c>
      <c r="H424" s="7">
        <v>0</v>
      </c>
      <c r="I424" s="7">
        <v>0</v>
      </c>
    </row>
    <row r="425" spans="1:9" x14ac:dyDescent="0.25">
      <c r="A425" t="s">
        <v>67</v>
      </c>
      <c r="B425" t="s">
        <v>972</v>
      </c>
      <c r="C425" s="7">
        <v>60000</v>
      </c>
      <c r="D425" s="7">
        <v>0</v>
      </c>
      <c r="E425" s="7">
        <v>800000</v>
      </c>
      <c r="F425" s="7">
        <v>0</v>
      </c>
      <c r="G425" s="7">
        <v>0</v>
      </c>
      <c r="H425" s="7">
        <v>0</v>
      </c>
      <c r="I425" s="7">
        <v>860000</v>
      </c>
    </row>
    <row r="426" spans="1:9" x14ac:dyDescent="0.25">
      <c r="A426" t="s">
        <v>67</v>
      </c>
      <c r="B426" t="s">
        <v>973</v>
      </c>
      <c r="C426" s="7">
        <v>50000</v>
      </c>
      <c r="D426" s="7">
        <v>0</v>
      </c>
      <c r="E426" s="7">
        <v>1000000</v>
      </c>
      <c r="F426" s="7">
        <v>0</v>
      </c>
      <c r="G426" s="7">
        <v>0</v>
      </c>
      <c r="H426" s="7">
        <v>0</v>
      </c>
      <c r="I426" s="7">
        <v>1050000</v>
      </c>
    </row>
    <row r="427" spans="1:9" x14ac:dyDescent="0.25">
      <c r="A427" t="s">
        <v>67</v>
      </c>
      <c r="B427" t="s">
        <v>974</v>
      </c>
      <c r="C427" s="7">
        <v>0</v>
      </c>
      <c r="D427" s="7">
        <v>0</v>
      </c>
      <c r="E427" s="7">
        <v>0</v>
      </c>
      <c r="F427" s="7">
        <v>200000</v>
      </c>
      <c r="G427" s="7">
        <v>1600000</v>
      </c>
      <c r="H427" s="7">
        <v>0</v>
      </c>
      <c r="I427" s="7">
        <v>1800000</v>
      </c>
    </row>
    <row r="428" spans="1:9" x14ac:dyDescent="0.25">
      <c r="A428" t="s">
        <v>67</v>
      </c>
      <c r="B428" t="s">
        <v>975</v>
      </c>
      <c r="C428" s="7">
        <v>50000</v>
      </c>
      <c r="D428" s="7">
        <v>250000</v>
      </c>
      <c r="E428" s="7">
        <v>0</v>
      </c>
      <c r="F428" s="7">
        <v>0</v>
      </c>
      <c r="G428" s="7">
        <v>0</v>
      </c>
      <c r="H428" s="7">
        <v>0</v>
      </c>
      <c r="I428" s="7">
        <v>300000</v>
      </c>
    </row>
    <row r="429" spans="1:9" x14ac:dyDescent="0.25">
      <c r="A429" t="s">
        <v>67</v>
      </c>
      <c r="B429" t="s">
        <v>976</v>
      </c>
      <c r="C429" s="7">
        <v>500000</v>
      </c>
      <c r="D429" s="7">
        <v>500000</v>
      </c>
      <c r="E429" s="7">
        <v>0</v>
      </c>
      <c r="F429" s="7">
        <v>0</v>
      </c>
      <c r="G429" s="7">
        <v>0</v>
      </c>
      <c r="H429" s="7">
        <v>0</v>
      </c>
      <c r="I429" s="7">
        <v>1000000</v>
      </c>
    </row>
    <row r="430" spans="1:9" x14ac:dyDescent="0.25">
      <c r="A430" t="s">
        <v>67</v>
      </c>
      <c r="B430" t="s">
        <v>977</v>
      </c>
      <c r="C430" s="7">
        <v>85000</v>
      </c>
      <c r="D430" s="7">
        <v>350000</v>
      </c>
      <c r="E430" s="7">
        <v>0</v>
      </c>
      <c r="F430" s="7">
        <v>0</v>
      </c>
      <c r="G430" s="7">
        <v>0</v>
      </c>
      <c r="H430" s="7">
        <v>0</v>
      </c>
      <c r="I430" s="7">
        <v>435000</v>
      </c>
    </row>
    <row r="431" spans="1:9" x14ac:dyDescent="0.25">
      <c r="A431" t="s">
        <v>67</v>
      </c>
      <c r="B431" t="s">
        <v>978</v>
      </c>
      <c r="C431" s="7">
        <v>100000</v>
      </c>
      <c r="D431" s="7">
        <v>0</v>
      </c>
      <c r="E431" s="7">
        <v>1000000</v>
      </c>
      <c r="F431" s="7">
        <v>0</v>
      </c>
      <c r="G431" s="7">
        <v>0</v>
      </c>
      <c r="H431" s="7">
        <v>0</v>
      </c>
      <c r="I431" s="7">
        <v>1100000</v>
      </c>
    </row>
    <row r="432" spans="1:9" x14ac:dyDescent="0.25">
      <c r="A432" t="s">
        <v>67</v>
      </c>
      <c r="B432" t="s">
        <v>979</v>
      </c>
      <c r="C432" s="7">
        <v>0</v>
      </c>
      <c r="D432" s="7">
        <v>0</v>
      </c>
      <c r="E432" s="7">
        <v>0</v>
      </c>
      <c r="F432" s="7">
        <v>0</v>
      </c>
      <c r="G432" s="7">
        <v>0</v>
      </c>
      <c r="H432" s="7">
        <v>0</v>
      </c>
      <c r="I432" s="7">
        <v>0</v>
      </c>
    </row>
    <row r="433" spans="1:9" x14ac:dyDescent="0.25">
      <c r="A433" t="s">
        <v>68</v>
      </c>
      <c r="C433" s="7">
        <v>0</v>
      </c>
      <c r="D433" s="7">
        <v>0</v>
      </c>
      <c r="E433" s="7">
        <v>0</v>
      </c>
      <c r="F433" s="7">
        <v>0</v>
      </c>
      <c r="G433" s="7">
        <v>0</v>
      </c>
      <c r="H433" s="7">
        <v>0</v>
      </c>
      <c r="I433" s="7">
        <v>0</v>
      </c>
    </row>
    <row r="434" spans="1:9" x14ac:dyDescent="0.25">
      <c r="A434" t="s">
        <v>68</v>
      </c>
      <c r="B434" t="s">
        <v>980</v>
      </c>
      <c r="C434" s="7">
        <v>0</v>
      </c>
      <c r="D434" s="7">
        <v>0</v>
      </c>
      <c r="E434" s="7">
        <v>0</v>
      </c>
      <c r="F434" s="7">
        <v>0</v>
      </c>
      <c r="G434" s="7">
        <v>0</v>
      </c>
      <c r="H434" s="7">
        <v>0</v>
      </c>
      <c r="I434" s="7">
        <v>0</v>
      </c>
    </row>
    <row r="435" spans="1:9" x14ac:dyDescent="0.25">
      <c r="A435" t="s">
        <v>68</v>
      </c>
      <c r="B435" t="s">
        <v>981</v>
      </c>
      <c r="C435" s="7">
        <v>0</v>
      </c>
      <c r="D435" s="7">
        <v>0</v>
      </c>
      <c r="E435" s="7">
        <v>0</v>
      </c>
      <c r="F435" s="7">
        <v>0</v>
      </c>
      <c r="G435" s="7">
        <v>0</v>
      </c>
      <c r="H435" s="7">
        <v>0</v>
      </c>
      <c r="I435" s="7">
        <v>0</v>
      </c>
    </row>
    <row r="436" spans="1:9" x14ac:dyDescent="0.25">
      <c r="A436" t="s">
        <v>68</v>
      </c>
      <c r="B436" t="s">
        <v>982</v>
      </c>
      <c r="C436" s="7">
        <v>0</v>
      </c>
      <c r="D436" s="7">
        <v>0</v>
      </c>
      <c r="E436" s="7">
        <v>0</v>
      </c>
      <c r="F436" s="7">
        <v>0</v>
      </c>
      <c r="G436" s="7">
        <v>0</v>
      </c>
      <c r="H436" s="7">
        <v>0</v>
      </c>
      <c r="I436" s="7">
        <v>0</v>
      </c>
    </row>
    <row r="437" spans="1:9" x14ac:dyDescent="0.25">
      <c r="A437" t="s">
        <v>68</v>
      </c>
      <c r="B437" t="s">
        <v>983</v>
      </c>
      <c r="C437" s="7">
        <v>0</v>
      </c>
      <c r="D437" s="7">
        <v>0</v>
      </c>
      <c r="E437" s="7">
        <v>0</v>
      </c>
      <c r="F437" s="7">
        <v>0</v>
      </c>
      <c r="G437" s="7">
        <v>0</v>
      </c>
      <c r="H437" s="7">
        <v>0</v>
      </c>
      <c r="I437" s="7">
        <v>0</v>
      </c>
    </row>
    <row r="438" spans="1:9" x14ac:dyDescent="0.25">
      <c r="A438" t="s">
        <v>69</v>
      </c>
      <c r="C438" s="7">
        <v>0</v>
      </c>
      <c r="D438" s="7">
        <v>30000</v>
      </c>
      <c r="E438" s="7">
        <v>0</v>
      </c>
      <c r="F438" s="7">
        <v>0</v>
      </c>
      <c r="G438" s="7">
        <v>0</v>
      </c>
      <c r="H438" s="7">
        <v>0</v>
      </c>
      <c r="I438" s="7">
        <v>30000</v>
      </c>
    </row>
    <row r="439" spans="1:9" x14ac:dyDescent="0.25">
      <c r="A439" t="s">
        <v>69</v>
      </c>
      <c r="B439" t="s">
        <v>984</v>
      </c>
      <c r="C439" s="7">
        <v>0</v>
      </c>
      <c r="D439" s="7">
        <v>0</v>
      </c>
      <c r="E439" s="7">
        <v>0</v>
      </c>
      <c r="F439" s="7">
        <v>0</v>
      </c>
      <c r="G439" s="7">
        <v>0</v>
      </c>
      <c r="H439" s="7">
        <v>0</v>
      </c>
      <c r="I439" s="7">
        <v>0</v>
      </c>
    </row>
    <row r="440" spans="1:9" x14ac:dyDescent="0.25">
      <c r="A440" t="s">
        <v>69</v>
      </c>
      <c r="B440" t="s">
        <v>985</v>
      </c>
      <c r="C440" s="7">
        <v>0</v>
      </c>
      <c r="D440" s="7">
        <v>30000</v>
      </c>
      <c r="E440" s="7">
        <v>0</v>
      </c>
      <c r="F440" s="7">
        <v>0</v>
      </c>
      <c r="G440" s="7">
        <v>0</v>
      </c>
      <c r="H440" s="7">
        <v>0</v>
      </c>
      <c r="I440" s="7">
        <v>30000</v>
      </c>
    </row>
    <row r="441" spans="1:9" x14ac:dyDescent="0.25">
      <c r="A441" t="s">
        <v>69</v>
      </c>
      <c r="B441" t="s">
        <v>986</v>
      </c>
      <c r="C441" s="7">
        <v>0</v>
      </c>
      <c r="D441" s="7">
        <v>0</v>
      </c>
      <c r="E441" s="7">
        <v>0</v>
      </c>
      <c r="F441" s="7">
        <v>0</v>
      </c>
      <c r="G441" s="7">
        <v>0</v>
      </c>
      <c r="H441" s="7">
        <v>0</v>
      </c>
      <c r="I441" s="7">
        <v>0</v>
      </c>
    </row>
    <row r="442" spans="1:9" x14ac:dyDescent="0.25">
      <c r="A442" t="s">
        <v>69</v>
      </c>
      <c r="B442" t="s">
        <v>987</v>
      </c>
      <c r="C442" s="7">
        <v>0</v>
      </c>
      <c r="D442" s="7">
        <v>0</v>
      </c>
      <c r="E442" s="7">
        <v>0</v>
      </c>
      <c r="F442" s="7">
        <v>0</v>
      </c>
      <c r="G442" s="7">
        <v>0</v>
      </c>
      <c r="H442" s="7">
        <v>0</v>
      </c>
      <c r="I442" s="7">
        <v>0</v>
      </c>
    </row>
    <row r="443" spans="1:9" x14ac:dyDescent="0.25">
      <c r="A443" t="s">
        <v>70</v>
      </c>
      <c r="C443" s="7">
        <v>90000</v>
      </c>
      <c r="D443" s="7">
        <v>0</v>
      </c>
      <c r="E443" s="7">
        <v>0</v>
      </c>
      <c r="F443" s="7">
        <v>0</v>
      </c>
      <c r="G443" s="7">
        <v>0</v>
      </c>
      <c r="H443" s="7">
        <v>0</v>
      </c>
      <c r="I443" s="7">
        <v>90000</v>
      </c>
    </row>
    <row r="444" spans="1:9" x14ac:dyDescent="0.25">
      <c r="A444" t="s">
        <v>70</v>
      </c>
      <c r="B444" t="s">
        <v>988</v>
      </c>
      <c r="C444" s="7">
        <v>90000</v>
      </c>
      <c r="D444" s="7">
        <v>0</v>
      </c>
      <c r="E444" s="7">
        <v>0</v>
      </c>
      <c r="F444" s="7">
        <v>0</v>
      </c>
      <c r="G444" s="7">
        <v>0</v>
      </c>
      <c r="H444" s="7">
        <v>0</v>
      </c>
      <c r="I444" s="7">
        <v>90000</v>
      </c>
    </row>
    <row r="445" spans="1:9" x14ac:dyDescent="0.25">
      <c r="A445" t="s">
        <v>70</v>
      </c>
      <c r="B445" t="s">
        <v>989</v>
      </c>
      <c r="C445" s="7">
        <v>0</v>
      </c>
      <c r="D445" s="7">
        <v>0</v>
      </c>
      <c r="E445" s="7">
        <v>0</v>
      </c>
      <c r="F445" s="7">
        <v>0</v>
      </c>
      <c r="G445" s="7">
        <v>0</v>
      </c>
      <c r="H445" s="7">
        <v>0</v>
      </c>
      <c r="I445" s="7">
        <v>0</v>
      </c>
    </row>
    <row r="446" spans="1:9" x14ac:dyDescent="0.25">
      <c r="A446" t="s">
        <v>70</v>
      </c>
      <c r="B446" t="s">
        <v>990</v>
      </c>
      <c r="C446" s="7">
        <v>0</v>
      </c>
      <c r="D446" s="7">
        <v>0</v>
      </c>
      <c r="E446" s="7">
        <v>0</v>
      </c>
      <c r="F446" s="7">
        <v>0</v>
      </c>
      <c r="G446" s="7">
        <v>0</v>
      </c>
      <c r="H446" s="7">
        <v>0</v>
      </c>
      <c r="I446" s="7">
        <v>0</v>
      </c>
    </row>
    <row r="447" spans="1:9" x14ac:dyDescent="0.25">
      <c r="A447" t="s">
        <v>70</v>
      </c>
      <c r="B447" t="s">
        <v>991</v>
      </c>
      <c r="C447" s="7">
        <v>0</v>
      </c>
      <c r="D447" s="7">
        <v>0</v>
      </c>
      <c r="E447" s="7">
        <v>0</v>
      </c>
      <c r="F447" s="7">
        <v>0</v>
      </c>
      <c r="G447" s="7">
        <v>0</v>
      </c>
      <c r="H447" s="7">
        <v>0</v>
      </c>
      <c r="I447" s="7">
        <v>0</v>
      </c>
    </row>
    <row r="448" spans="1:9" x14ac:dyDescent="0.25">
      <c r="A448" t="s">
        <v>71</v>
      </c>
      <c r="C448" s="7">
        <v>0</v>
      </c>
      <c r="D448" s="7">
        <v>0</v>
      </c>
      <c r="E448" s="7">
        <v>0</v>
      </c>
      <c r="F448" s="7">
        <v>0</v>
      </c>
      <c r="G448" s="7">
        <v>0</v>
      </c>
      <c r="H448" s="7">
        <v>0</v>
      </c>
      <c r="I448" s="7">
        <v>0</v>
      </c>
    </row>
    <row r="449" spans="1:9" x14ac:dyDescent="0.25">
      <c r="A449" t="s">
        <v>71</v>
      </c>
      <c r="B449" t="s">
        <v>992</v>
      </c>
      <c r="C449" s="7">
        <v>0</v>
      </c>
      <c r="D449" s="7">
        <v>0</v>
      </c>
      <c r="E449" s="7">
        <v>0</v>
      </c>
      <c r="F449" s="7">
        <v>0</v>
      </c>
      <c r="G449" s="7">
        <v>0</v>
      </c>
      <c r="H449" s="7">
        <v>0</v>
      </c>
      <c r="I449" s="7">
        <v>0</v>
      </c>
    </row>
    <row r="450" spans="1:9" x14ac:dyDescent="0.25">
      <c r="A450" t="s">
        <v>71</v>
      </c>
      <c r="B450" t="s">
        <v>993</v>
      </c>
      <c r="C450" s="7">
        <v>0</v>
      </c>
      <c r="D450" s="7">
        <v>0</v>
      </c>
      <c r="E450" s="7">
        <v>0</v>
      </c>
      <c r="F450" s="7">
        <v>0</v>
      </c>
      <c r="G450" s="7">
        <v>0</v>
      </c>
      <c r="H450" s="7">
        <v>0</v>
      </c>
      <c r="I450" s="7">
        <v>0</v>
      </c>
    </row>
    <row r="451" spans="1:9" x14ac:dyDescent="0.25">
      <c r="A451" t="s">
        <v>72</v>
      </c>
      <c r="C451" s="7">
        <v>20000</v>
      </c>
      <c r="D451" s="7">
        <v>20000</v>
      </c>
      <c r="E451" s="7">
        <v>20000</v>
      </c>
      <c r="F451" s="7">
        <v>20000</v>
      </c>
      <c r="G451" s="7">
        <v>20000</v>
      </c>
      <c r="H451" s="7">
        <v>20000</v>
      </c>
      <c r="I451" s="7">
        <v>120000</v>
      </c>
    </row>
    <row r="452" spans="1:9" x14ac:dyDescent="0.25">
      <c r="A452" t="s">
        <v>72</v>
      </c>
      <c r="B452" t="s">
        <v>994</v>
      </c>
      <c r="C452" s="7">
        <v>0</v>
      </c>
      <c r="D452" s="7">
        <v>0</v>
      </c>
      <c r="E452" s="7">
        <v>0</v>
      </c>
      <c r="F452" s="7">
        <v>0</v>
      </c>
      <c r="G452" s="7">
        <v>0</v>
      </c>
      <c r="H452" s="7">
        <v>0</v>
      </c>
      <c r="I452" s="7">
        <v>0</v>
      </c>
    </row>
    <row r="453" spans="1:9" x14ac:dyDescent="0.25">
      <c r="A453" t="s">
        <v>72</v>
      </c>
      <c r="B453" t="s">
        <v>995</v>
      </c>
      <c r="C453" s="7">
        <v>0</v>
      </c>
      <c r="D453" s="7">
        <v>0</v>
      </c>
      <c r="E453" s="7">
        <v>0</v>
      </c>
      <c r="F453" s="7">
        <v>0</v>
      </c>
      <c r="G453" s="7">
        <v>0</v>
      </c>
      <c r="H453" s="7">
        <v>0</v>
      </c>
      <c r="I453" s="7">
        <v>0</v>
      </c>
    </row>
    <row r="454" spans="1:9" x14ac:dyDescent="0.25">
      <c r="A454" t="s">
        <v>72</v>
      </c>
      <c r="B454" t="s">
        <v>996</v>
      </c>
      <c r="C454" s="7">
        <v>20000</v>
      </c>
      <c r="D454" s="7">
        <v>20000</v>
      </c>
      <c r="E454" s="7">
        <v>20000</v>
      </c>
      <c r="F454" s="7">
        <v>20000</v>
      </c>
      <c r="G454" s="7">
        <v>20000</v>
      </c>
      <c r="H454" s="7">
        <v>20000</v>
      </c>
      <c r="I454" s="7">
        <v>120000</v>
      </c>
    </row>
    <row r="455" spans="1:9" x14ac:dyDescent="0.25">
      <c r="A455" t="s">
        <v>73</v>
      </c>
      <c r="C455" s="7">
        <v>30000</v>
      </c>
      <c r="D455" s="7">
        <v>0</v>
      </c>
      <c r="E455" s="7">
        <v>0</v>
      </c>
      <c r="F455" s="7">
        <v>0</v>
      </c>
      <c r="G455" s="7">
        <v>0</v>
      </c>
      <c r="H455" s="7">
        <v>0</v>
      </c>
      <c r="I455" s="7">
        <v>30000</v>
      </c>
    </row>
    <row r="456" spans="1:9" x14ac:dyDescent="0.25">
      <c r="A456" t="s">
        <v>73</v>
      </c>
      <c r="B456" t="s">
        <v>997</v>
      </c>
      <c r="C456" s="7">
        <v>30000</v>
      </c>
      <c r="D456" s="7">
        <v>0</v>
      </c>
      <c r="E456" s="7">
        <v>0</v>
      </c>
      <c r="F456" s="7">
        <v>0</v>
      </c>
      <c r="G456" s="7">
        <v>0</v>
      </c>
      <c r="H456" s="7">
        <v>0</v>
      </c>
      <c r="I456" s="7">
        <v>30000</v>
      </c>
    </row>
    <row r="457" spans="1:9" x14ac:dyDescent="0.25">
      <c r="A457" t="s">
        <v>73</v>
      </c>
      <c r="B457" t="s">
        <v>998</v>
      </c>
      <c r="C457" s="7">
        <v>0</v>
      </c>
      <c r="D457" s="7">
        <v>0</v>
      </c>
      <c r="E457" s="7">
        <v>0</v>
      </c>
      <c r="F457" s="7">
        <v>0</v>
      </c>
      <c r="G457" s="7">
        <v>0</v>
      </c>
      <c r="H457" s="7">
        <v>0</v>
      </c>
      <c r="I457" s="7">
        <v>0</v>
      </c>
    </row>
    <row r="458" spans="1:9" x14ac:dyDescent="0.25">
      <c r="A458" t="s">
        <v>73</v>
      </c>
      <c r="B458" t="s">
        <v>999</v>
      </c>
      <c r="C458" s="7">
        <v>0</v>
      </c>
      <c r="D458" s="7">
        <v>0</v>
      </c>
      <c r="E458" s="7">
        <v>0</v>
      </c>
      <c r="F458" s="7">
        <v>0</v>
      </c>
      <c r="G458" s="7">
        <v>0</v>
      </c>
      <c r="H458" s="7">
        <v>0</v>
      </c>
      <c r="I458" s="7">
        <v>0</v>
      </c>
    </row>
    <row r="459" spans="1:9" x14ac:dyDescent="0.25">
      <c r="A459" t="s">
        <v>73</v>
      </c>
      <c r="B459" t="s">
        <v>1000</v>
      </c>
      <c r="C459" s="7">
        <v>0</v>
      </c>
      <c r="D459" s="7">
        <v>0</v>
      </c>
      <c r="E459" s="7">
        <v>0</v>
      </c>
      <c r="F459" s="7">
        <v>0</v>
      </c>
      <c r="G459" s="7">
        <v>0</v>
      </c>
      <c r="H459" s="7">
        <v>0</v>
      </c>
      <c r="I459" s="7">
        <v>0</v>
      </c>
    </row>
    <row r="460" spans="1:9" x14ac:dyDescent="0.25">
      <c r="A460" t="s">
        <v>75</v>
      </c>
      <c r="C460" s="7">
        <v>750000</v>
      </c>
      <c r="D460" s="7">
        <v>0</v>
      </c>
      <c r="E460" s="7">
        <v>0</v>
      </c>
      <c r="F460" s="7">
        <v>0</v>
      </c>
      <c r="G460" s="7">
        <v>0</v>
      </c>
      <c r="H460" s="7">
        <v>0</v>
      </c>
      <c r="I460" s="7">
        <v>750000</v>
      </c>
    </row>
    <row r="461" spans="1:9" x14ac:dyDescent="0.25">
      <c r="A461" t="s">
        <v>75</v>
      </c>
      <c r="B461" t="s">
        <v>1001</v>
      </c>
      <c r="C461" s="7">
        <v>0</v>
      </c>
      <c r="D461" s="7">
        <v>0</v>
      </c>
      <c r="E461" s="7">
        <v>0</v>
      </c>
      <c r="F461" s="7">
        <v>0</v>
      </c>
      <c r="G461" s="7">
        <v>0</v>
      </c>
      <c r="H461" s="7">
        <v>0</v>
      </c>
      <c r="I461" s="7">
        <v>0</v>
      </c>
    </row>
    <row r="462" spans="1:9" x14ac:dyDescent="0.25">
      <c r="A462" t="s">
        <v>75</v>
      </c>
      <c r="B462" t="s">
        <v>1002</v>
      </c>
      <c r="C462" s="7">
        <v>0</v>
      </c>
      <c r="D462" s="7">
        <v>0</v>
      </c>
      <c r="E462" s="7">
        <v>0</v>
      </c>
      <c r="F462" s="7">
        <v>0</v>
      </c>
      <c r="G462" s="7">
        <v>0</v>
      </c>
      <c r="H462" s="7">
        <v>0</v>
      </c>
      <c r="I462" s="7">
        <v>0</v>
      </c>
    </row>
    <row r="463" spans="1:9" x14ac:dyDescent="0.25">
      <c r="A463" t="s">
        <v>75</v>
      </c>
      <c r="B463" t="s">
        <v>1003</v>
      </c>
      <c r="C463" s="7">
        <v>0</v>
      </c>
      <c r="D463" s="7">
        <v>0</v>
      </c>
      <c r="E463" s="7">
        <v>0</v>
      </c>
      <c r="F463" s="7">
        <v>0</v>
      </c>
      <c r="G463" s="7">
        <v>0</v>
      </c>
      <c r="H463" s="7">
        <v>0</v>
      </c>
      <c r="I463" s="7">
        <v>0</v>
      </c>
    </row>
    <row r="464" spans="1:9" x14ac:dyDescent="0.25">
      <c r="A464" t="s">
        <v>75</v>
      </c>
      <c r="B464" t="s">
        <v>1004</v>
      </c>
      <c r="C464" s="7">
        <v>750000</v>
      </c>
      <c r="D464" s="7">
        <v>0</v>
      </c>
      <c r="E464" s="7">
        <v>0</v>
      </c>
      <c r="F464" s="7">
        <v>0</v>
      </c>
      <c r="G464" s="7">
        <v>0</v>
      </c>
      <c r="H464" s="7">
        <v>0</v>
      </c>
      <c r="I464" s="7">
        <v>750000</v>
      </c>
    </row>
    <row r="465" spans="1:9" x14ac:dyDescent="0.25">
      <c r="A465" t="s">
        <v>76</v>
      </c>
      <c r="C465" s="7">
        <v>0</v>
      </c>
      <c r="D465" s="7">
        <v>0</v>
      </c>
      <c r="E465" s="7">
        <v>0</v>
      </c>
      <c r="F465" s="7">
        <v>0</v>
      </c>
      <c r="G465" s="7">
        <v>0</v>
      </c>
      <c r="H465" s="7">
        <v>0</v>
      </c>
      <c r="I465" s="7">
        <v>0</v>
      </c>
    </row>
    <row r="466" spans="1:9" x14ac:dyDescent="0.25">
      <c r="A466" t="s">
        <v>76</v>
      </c>
      <c r="B466" t="s">
        <v>1005</v>
      </c>
      <c r="C466" s="7">
        <v>0</v>
      </c>
      <c r="D466" s="7">
        <v>0</v>
      </c>
      <c r="E466" s="7">
        <v>0</v>
      </c>
      <c r="F466" s="7">
        <v>0</v>
      </c>
      <c r="G466" s="7">
        <v>0</v>
      </c>
      <c r="H466" s="7">
        <v>0</v>
      </c>
      <c r="I466" s="7">
        <v>0</v>
      </c>
    </row>
    <row r="467" spans="1:9" x14ac:dyDescent="0.25">
      <c r="A467" t="s">
        <v>76</v>
      </c>
      <c r="B467" t="s">
        <v>1006</v>
      </c>
      <c r="C467" s="7">
        <v>0</v>
      </c>
      <c r="D467" s="7">
        <v>0</v>
      </c>
      <c r="E467" s="7">
        <v>0</v>
      </c>
      <c r="F467" s="7">
        <v>0</v>
      </c>
      <c r="G467" s="7">
        <v>0</v>
      </c>
      <c r="H467" s="7">
        <v>0</v>
      </c>
      <c r="I467" s="7">
        <v>0</v>
      </c>
    </row>
    <row r="468" spans="1:9" x14ac:dyDescent="0.25">
      <c r="A468" t="s">
        <v>76</v>
      </c>
      <c r="B468" t="s">
        <v>1007</v>
      </c>
      <c r="C468" s="7">
        <v>0</v>
      </c>
      <c r="D468" s="7">
        <v>0</v>
      </c>
      <c r="E468" s="7">
        <v>0</v>
      </c>
      <c r="F468" s="7">
        <v>0</v>
      </c>
      <c r="G468" s="7">
        <v>0</v>
      </c>
      <c r="H468" s="7">
        <v>0</v>
      </c>
      <c r="I468" s="7">
        <v>0</v>
      </c>
    </row>
    <row r="469" spans="1:9" x14ac:dyDescent="0.25">
      <c r="A469" t="s">
        <v>76</v>
      </c>
      <c r="B469" t="s">
        <v>1008</v>
      </c>
      <c r="C469" s="7">
        <v>0</v>
      </c>
      <c r="D469" s="7">
        <v>0</v>
      </c>
      <c r="E469" s="7">
        <v>0</v>
      </c>
      <c r="F469" s="7">
        <v>0</v>
      </c>
      <c r="G469" s="7">
        <v>0</v>
      </c>
      <c r="H469" s="7">
        <v>0</v>
      </c>
      <c r="I469" s="7">
        <v>0</v>
      </c>
    </row>
    <row r="470" spans="1:9" x14ac:dyDescent="0.25">
      <c r="A470" t="s">
        <v>76</v>
      </c>
      <c r="B470" t="s">
        <v>1009</v>
      </c>
      <c r="C470" s="7">
        <v>0</v>
      </c>
      <c r="D470" s="7">
        <v>0</v>
      </c>
      <c r="E470" s="7">
        <v>0</v>
      </c>
      <c r="F470" s="7">
        <v>0</v>
      </c>
      <c r="G470" s="7">
        <v>0</v>
      </c>
      <c r="H470" s="7">
        <v>0</v>
      </c>
      <c r="I470" s="7">
        <v>0</v>
      </c>
    </row>
    <row r="471" spans="1:9" x14ac:dyDescent="0.25">
      <c r="A471" t="s">
        <v>76</v>
      </c>
      <c r="B471" t="s">
        <v>1010</v>
      </c>
      <c r="C471" s="7">
        <v>0</v>
      </c>
      <c r="D471" s="7">
        <v>0</v>
      </c>
      <c r="E471" s="7">
        <v>0</v>
      </c>
      <c r="F471" s="7">
        <v>0</v>
      </c>
      <c r="G471" s="7">
        <v>0</v>
      </c>
      <c r="H471" s="7">
        <v>0</v>
      </c>
      <c r="I471" s="7">
        <v>0</v>
      </c>
    </row>
    <row r="472" spans="1:9" x14ac:dyDescent="0.25">
      <c r="A472" t="s">
        <v>76</v>
      </c>
      <c r="B472" t="s">
        <v>1011</v>
      </c>
      <c r="C472" s="7">
        <v>0</v>
      </c>
      <c r="D472" s="7">
        <v>0</v>
      </c>
      <c r="E472" s="7">
        <v>0</v>
      </c>
      <c r="F472" s="7">
        <v>0</v>
      </c>
      <c r="G472" s="7">
        <v>0</v>
      </c>
      <c r="H472" s="7">
        <v>0</v>
      </c>
      <c r="I472" s="7">
        <v>0</v>
      </c>
    </row>
    <row r="473" spans="1:9" x14ac:dyDescent="0.25">
      <c r="A473" t="s">
        <v>76</v>
      </c>
      <c r="B473" t="s">
        <v>1012</v>
      </c>
      <c r="C473" s="7">
        <v>0</v>
      </c>
      <c r="D473" s="7">
        <v>0</v>
      </c>
      <c r="E473" s="7">
        <v>0</v>
      </c>
      <c r="F473" s="7">
        <v>0</v>
      </c>
      <c r="G473" s="7">
        <v>0</v>
      </c>
      <c r="H473" s="7">
        <v>0</v>
      </c>
      <c r="I473" s="7">
        <v>0</v>
      </c>
    </row>
    <row r="474" spans="1:9" x14ac:dyDescent="0.25">
      <c r="A474" t="s">
        <v>76</v>
      </c>
      <c r="B474" t="s">
        <v>1013</v>
      </c>
      <c r="C474" s="7">
        <v>0</v>
      </c>
      <c r="D474" s="7">
        <v>0</v>
      </c>
      <c r="E474" s="7">
        <v>0</v>
      </c>
      <c r="F474" s="7">
        <v>0</v>
      </c>
      <c r="G474" s="7">
        <v>0</v>
      </c>
      <c r="H474" s="7">
        <v>0</v>
      </c>
      <c r="I474" s="7">
        <v>0</v>
      </c>
    </row>
    <row r="475" spans="1:9" x14ac:dyDescent="0.25">
      <c r="A475" t="s">
        <v>76</v>
      </c>
      <c r="B475" t="s">
        <v>1014</v>
      </c>
      <c r="C475" s="7">
        <v>0</v>
      </c>
      <c r="D475" s="7">
        <v>0</v>
      </c>
      <c r="E475" s="7">
        <v>0</v>
      </c>
      <c r="F475" s="7">
        <v>0</v>
      </c>
      <c r="G475" s="7">
        <v>0</v>
      </c>
      <c r="H475" s="7">
        <v>0</v>
      </c>
      <c r="I475" s="7">
        <v>0</v>
      </c>
    </row>
    <row r="476" spans="1:9" x14ac:dyDescent="0.25">
      <c r="A476" t="s">
        <v>76</v>
      </c>
      <c r="B476" t="s">
        <v>1015</v>
      </c>
      <c r="C476" s="7">
        <v>0</v>
      </c>
      <c r="D476" s="7">
        <v>0</v>
      </c>
      <c r="E476" s="7">
        <v>0</v>
      </c>
      <c r="F476" s="7">
        <v>0</v>
      </c>
      <c r="G476" s="7">
        <v>0</v>
      </c>
      <c r="H476" s="7">
        <v>0</v>
      </c>
      <c r="I476" s="7">
        <v>0</v>
      </c>
    </row>
    <row r="477" spans="1:9" x14ac:dyDescent="0.25">
      <c r="A477" t="s">
        <v>76</v>
      </c>
      <c r="B477" t="s">
        <v>1016</v>
      </c>
      <c r="C477" s="7">
        <v>0</v>
      </c>
      <c r="D477" s="7">
        <v>0</v>
      </c>
      <c r="E477" s="7">
        <v>0</v>
      </c>
      <c r="F477" s="7">
        <v>0</v>
      </c>
      <c r="G477" s="7">
        <v>0</v>
      </c>
      <c r="H477" s="7">
        <v>0</v>
      </c>
      <c r="I477" s="7">
        <v>0</v>
      </c>
    </row>
    <row r="478" spans="1:9" x14ac:dyDescent="0.25">
      <c r="A478" t="s">
        <v>85</v>
      </c>
      <c r="C478" s="7">
        <v>0</v>
      </c>
      <c r="D478" s="7">
        <v>0</v>
      </c>
      <c r="E478" s="7">
        <v>0</v>
      </c>
      <c r="F478" s="7">
        <v>0</v>
      </c>
      <c r="G478" s="7">
        <v>0</v>
      </c>
      <c r="H478" s="7">
        <v>0</v>
      </c>
      <c r="I478" s="7">
        <v>0</v>
      </c>
    </row>
    <row r="479" spans="1:9" x14ac:dyDescent="0.25">
      <c r="A479" t="s">
        <v>85</v>
      </c>
      <c r="B479" t="s">
        <v>1017</v>
      </c>
      <c r="C479" s="7">
        <v>0</v>
      </c>
      <c r="D479" s="7">
        <v>0</v>
      </c>
      <c r="E479" s="7">
        <v>0</v>
      </c>
      <c r="F479" s="7">
        <v>0</v>
      </c>
      <c r="G479" s="7">
        <v>0</v>
      </c>
      <c r="H479" s="7">
        <v>0</v>
      </c>
      <c r="I479" s="7">
        <v>0</v>
      </c>
    </row>
    <row r="480" spans="1:9" x14ac:dyDescent="0.25">
      <c r="A480" t="s">
        <v>85</v>
      </c>
      <c r="B480" t="s">
        <v>1018</v>
      </c>
      <c r="C480" s="7">
        <v>0</v>
      </c>
      <c r="D480" s="7">
        <v>0</v>
      </c>
      <c r="E480" s="7">
        <v>0</v>
      </c>
      <c r="F480" s="7">
        <v>0</v>
      </c>
      <c r="G480" s="7">
        <v>0</v>
      </c>
      <c r="H480" s="7">
        <v>0</v>
      </c>
      <c r="I480" s="7">
        <v>0</v>
      </c>
    </row>
    <row r="481" spans="1:9" x14ac:dyDescent="0.25">
      <c r="A481" t="s">
        <v>85</v>
      </c>
      <c r="B481" t="s">
        <v>1019</v>
      </c>
      <c r="C481" s="7">
        <v>0</v>
      </c>
      <c r="D481" s="7">
        <v>0</v>
      </c>
      <c r="E481" s="7">
        <v>0</v>
      </c>
      <c r="F481" s="7">
        <v>0</v>
      </c>
      <c r="G481" s="7">
        <v>0</v>
      </c>
      <c r="H481" s="7">
        <v>0</v>
      </c>
      <c r="I481" s="7">
        <v>0</v>
      </c>
    </row>
    <row r="482" spans="1:9" x14ac:dyDescent="0.25">
      <c r="A482" t="s">
        <v>85</v>
      </c>
      <c r="B482" t="s">
        <v>1020</v>
      </c>
      <c r="C482" s="7">
        <v>0</v>
      </c>
      <c r="D482" s="7">
        <v>0</v>
      </c>
      <c r="E482" s="7">
        <v>0</v>
      </c>
      <c r="F482" s="7">
        <v>0</v>
      </c>
      <c r="G482" s="7">
        <v>0</v>
      </c>
      <c r="H482" s="7">
        <v>0</v>
      </c>
      <c r="I482" s="7">
        <v>0</v>
      </c>
    </row>
    <row r="483" spans="1:9" x14ac:dyDescent="0.25">
      <c r="A483" t="s">
        <v>86</v>
      </c>
      <c r="C483" s="7">
        <v>4500000</v>
      </c>
      <c r="D483" s="7">
        <v>4700000</v>
      </c>
      <c r="E483" s="7">
        <v>1600000</v>
      </c>
      <c r="F483" s="7">
        <v>33800000</v>
      </c>
      <c r="G483" s="7">
        <v>35200000</v>
      </c>
      <c r="H483" s="7">
        <v>31000000</v>
      </c>
      <c r="I483" s="7">
        <v>110800000</v>
      </c>
    </row>
    <row r="484" spans="1:9" x14ac:dyDescent="0.25">
      <c r="A484" t="s">
        <v>86</v>
      </c>
      <c r="B484" t="s">
        <v>1021</v>
      </c>
      <c r="C484" s="7">
        <v>0</v>
      </c>
      <c r="D484" s="7">
        <v>0</v>
      </c>
      <c r="E484" s="7">
        <v>1000000</v>
      </c>
      <c r="F484" s="7">
        <v>17000000</v>
      </c>
      <c r="G484" s="7">
        <v>20000000</v>
      </c>
      <c r="H484" s="7">
        <v>19000000</v>
      </c>
      <c r="I484" s="7">
        <v>57000000</v>
      </c>
    </row>
    <row r="485" spans="1:9" x14ac:dyDescent="0.25">
      <c r="A485" t="s">
        <v>86</v>
      </c>
      <c r="B485" t="s">
        <v>1022</v>
      </c>
      <c r="C485" s="7">
        <v>0</v>
      </c>
      <c r="D485" s="7">
        <v>0</v>
      </c>
      <c r="E485" s="7">
        <v>600000</v>
      </c>
      <c r="F485" s="7">
        <v>12000000</v>
      </c>
      <c r="G485" s="7">
        <v>14000000</v>
      </c>
      <c r="H485" s="7">
        <v>12000000</v>
      </c>
      <c r="I485" s="7">
        <v>38600000</v>
      </c>
    </row>
    <row r="486" spans="1:9" x14ac:dyDescent="0.25">
      <c r="A486" t="s">
        <v>86</v>
      </c>
      <c r="B486" t="s">
        <v>1023</v>
      </c>
      <c r="C486" s="7">
        <v>0</v>
      </c>
      <c r="D486" s="7">
        <v>0</v>
      </c>
      <c r="E486" s="7">
        <v>0</v>
      </c>
      <c r="F486" s="7">
        <v>4800000</v>
      </c>
      <c r="G486" s="7">
        <v>1200000</v>
      </c>
      <c r="H486" s="7">
        <v>0</v>
      </c>
      <c r="I486" s="7">
        <v>6000000</v>
      </c>
    </row>
    <row r="487" spans="1:9" x14ac:dyDescent="0.25">
      <c r="A487" t="s">
        <v>86</v>
      </c>
      <c r="B487" t="s">
        <v>1024</v>
      </c>
      <c r="C487" s="7">
        <v>0</v>
      </c>
      <c r="D487" s="7">
        <v>0</v>
      </c>
      <c r="E487" s="7">
        <v>0</v>
      </c>
      <c r="F487" s="7">
        <v>0</v>
      </c>
      <c r="G487" s="7">
        <v>0</v>
      </c>
      <c r="H487" s="7">
        <v>0</v>
      </c>
      <c r="I487" s="7">
        <v>0</v>
      </c>
    </row>
    <row r="488" spans="1:9" x14ac:dyDescent="0.25">
      <c r="A488" t="s">
        <v>86</v>
      </c>
      <c r="B488" t="s">
        <v>1025</v>
      </c>
      <c r="C488" s="7">
        <v>500000</v>
      </c>
      <c r="D488" s="7">
        <v>2200000</v>
      </c>
      <c r="E488" s="7">
        <v>0</v>
      </c>
      <c r="F488" s="7">
        <v>0</v>
      </c>
      <c r="G488" s="7">
        <v>0</v>
      </c>
      <c r="H488" s="7">
        <v>0</v>
      </c>
      <c r="I488" s="7">
        <v>2700000</v>
      </c>
    </row>
    <row r="489" spans="1:9" x14ac:dyDescent="0.25">
      <c r="A489" t="s">
        <v>86</v>
      </c>
      <c r="B489" t="s">
        <v>1026</v>
      </c>
      <c r="C489" s="7">
        <v>0</v>
      </c>
      <c r="D489" s="7">
        <v>0</v>
      </c>
      <c r="E489" s="7">
        <v>0</v>
      </c>
      <c r="F489" s="7">
        <v>0</v>
      </c>
      <c r="G489" s="7">
        <v>0</v>
      </c>
      <c r="H489" s="7">
        <v>0</v>
      </c>
      <c r="I489" s="7">
        <v>0</v>
      </c>
    </row>
    <row r="490" spans="1:9" x14ac:dyDescent="0.25">
      <c r="A490" t="s">
        <v>86</v>
      </c>
      <c r="B490" t="s">
        <v>1027</v>
      </c>
      <c r="C490" s="7">
        <v>4000000</v>
      </c>
      <c r="D490" s="7">
        <v>2500000</v>
      </c>
      <c r="E490" s="7">
        <v>0</v>
      </c>
      <c r="F490" s="7">
        <v>0</v>
      </c>
      <c r="G490" s="7">
        <v>0</v>
      </c>
      <c r="H490" s="7">
        <v>0</v>
      </c>
      <c r="I490" s="7">
        <v>6500000</v>
      </c>
    </row>
    <row r="491" spans="1:9" x14ac:dyDescent="0.25">
      <c r="A491" t="s">
        <v>88</v>
      </c>
      <c r="C491" s="7">
        <v>0</v>
      </c>
      <c r="D491" s="7">
        <v>0</v>
      </c>
      <c r="E491" s="7">
        <v>0</v>
      </c>
      <c r="F491" s="7">
        <v>0</v>
      </c>
      <c r="G491" s="7">
        <v>0</v>
      </c>
      <c r="H491" s="7">
        <v>0</v>
      </c>
      <c r="I491" s="7">
        <v>0</v>
      </c>
    </row>
    <row r="492" spans="1:9" x14ac:dyDescent="0.25">
      <c r="A492" t="s">
        <v>88</v>
      </c>
      <c r="B492" t="s">
        <v>1028</v>
      </c>
      <c r="C492" s="7">
        <v>0</v>
      </c>
      <c r="D492" s="7">
        <v>0</v>
      </c>
      <c r="E492" s="7">
        <v>0</v>
      </c>
      <c r="F492" s="7">
        <v>0</v>
      </c>
      <c r="G492" s="7">
        <v>0</v>
      </c>
      <c r="H492" s="7">
        <v>0</v>
      </c>
      <c r="I492" s="7">
        <v>0</v>
      </c>
    </row>
    <row r="493" spans="1:9" x14ac:dyDescent="0.25">
      <c r="A493" t="s">
        <v>88</v>
      </c>
      <c r="B493" t="s">
        <v>1029</v>
      </c>
      <c r="C493" s="7">
        <v>0</v>
      </c>
      <c r="D493" s="7">
        <v>0</v>
      </c>
      <c r="E493" s="7">
        <v>0</v>
      </c>
      <c r="F493" s="7">
        <v>0</v>
      </c>
      <c r="G493" s="7">
        <v>0</v>
      </c>
      <c r="H493" s="7">
        <v>0</v>
      </c>
      <c r="I493" s="7">
        <v>0</v>
      </c>
    </row>
    <row r="494" spans="1:9" x14ac:dyDescent="0.25">
      <c r="A494" t="s">
        <v>88</v>
      </c>
      <c r="B494" t="s">
        <v>1030</v>
      </c>
      <c r="C494" s="7">
        <v>0</v>
      </c>
      <c r="D494" s="7">
        <v>0</v>
      </c>
      <c r="E494" s="7">
        <v>0</v>
      </c>
      <c r="F494" s="7">
        <v>0</v>
      </c>
      <c r="G494" s="7">
        <v>0</v>
      </c>
      <c r="H494" s="7">
        <v>0</v>
      </c>
      <c r="I494" s="7">
        <v>0</v>
      </c>
    </row>
    <row r="495" spans="1:9" x14ac:dyDescent="0.25">
      <c r="A495" t="s">
        <v>89</v>
      </c>
      <c r="C495" s="7">
        <v>0</v>
      </c>
      <c r="D495" s="7">
        <v>0</v>
      </c>
      <c r="E495" s="7">
        <v>0</v>
      </c>
      <c r="F495" s="7">
        <v>0</v>
      </c>
      <c r="G495" s="7">
        <v>0</v>
      </c>
      <c r="H495" s="7">
        <v>0</v>
      </c>
      <c r="I495" s="7">
        <v>0</v>
      </c>
    </row>
    <row r="496" spans="1:9" x14ac:dyDescent="0.25">
      <c r="A496" t="s">
        <v>89</v>
      </c>
      <c r="B496" t="s">
        <v>1031</v>
      </c>
      <c r="C496" s="7">
        <v>0</v>
      </c>
      <c r="D496" s="7">
        <v>0</v>
      </c>
      <c r="E496" s="7">
        <v>0</v>
      </c>
      <c r="F496" s="7">
        <v>0</v>
      </c>
      <c r="G496" s="7">
        <v>0</v>
      </c>
      <c r="H496" s="7">
        <v>0</v>
      </c>
      <c r="I496" s="7">
        <v>0</v>
      </c>
    </row>
    <row r="497" spans="1:9" x14ac:dyDescent="0.25">
      <c r="A497" t="s">
        <v>89</v>
      </c>
      <c r="B497" t="s">
        <v>1032</v>
      </c>
      <c r="C497" s="7">
        <v>0</v>
      </c>
      <c r="D497" s="7">
        <v>0</v>
      </c>
      <c r="E497" s="7">
        <v>0</v>
      </c>
      <c r="F497" s="7">
        <v>0</v>
      </c>
      <c r="G497" s="7">
        <v>0</v>
      </c>
      <c r="H497" s="7">
        <v>0</v>
      </c>
      <c r="I497" s="7">
        <v>0</v>
      </c>
    </row>
    <row r="498" spans="1:9" x14ac:dyDescent="0.25">
      <c r="A498" t="s">
        <v>89</v>
      </c>
      <c r="B498" t="s">
        <v>1033</v>
      </c>
      <c r="C498" s="7">
        <v>0</v>
      </c>
      <c r="D498" s="7">
        <v>0</v>
      </c>
      <c r="E498" s="7">
        <v>0</v>
      </c>
      <c r="F498" s="7">
        <v>0</v>
      </c>
      <c r="G498" s="7">
        <v>0</v>
      </c>
      <c r="H498" s="7">
        <v>0</v>
      </c>
      <c r="I498" s="7">
        <v>0</v>
      </c>
    </row>
    <row r="499" spans="1:9" x14ac:dyDescent="0.25">
      <c r="A499" t="s">
        <v>89</v>
      </c>
      <c r="B499" t="s">
        <v>1034</v>
      </c>
      <c r="C499" s="7">
        <v>0</v>
      </c>
      <c r="D499" s="7">
        <v>0</v>
      </c>
      <c r="E499" s="7">
        <v>0</v>
      </c>
      <c r="F499" s="7">
        <v>0</v>
      </c>
      <c r="G499" s="7">
        <v>0</v>
      </c>
      <c r="H499" s="7">
        <v>0</v>
      </c>
      <c r="I499" s="7">
        <v>0</v>
      </c>
    </row>
    <row r="500" spans="1:9" x14ac:dyDescent="0.25">
      <c r="A500" t="s">
        <v>90</v>
      </c>
      <c r="C500" s="7">
        <v>0</v>
      </c>
      <c r="D500" s="7">
        <v>0</v>
      </c>
      <c r="E500" s="7">
        <v>0</v>
      </c>
      <c r="F500" s="7">
        <v>0</v>
      </c>
      <c r="G500" s="7">
        <v>0</v>
      </c>
      <c r="H500" s="7">
        <v>0</v>
      </c>
      <c r="I500" s="7">
        <v>0</v>
      </c>
    </row>
    <row r="501" spans="1:9" x14ac:dyDescent="0.25">
      <c r="A501" t="s">
        <v>90</v>
      </c>
      <c r="B501" t="s">
        <v>1035</v>
      </c>
      <c r="C501" s="7">
        <v>0</v>
      </c>
      <c r="D501" s="7">
        <v>0</v>
      </c>
      <c r="E501" s="7">
        <v>0</v>
      </c>
      <c r="F501" s="7">
        <v>0</v>
      </c>
      <c r="G501" s="7">
        <v>0</v>
      </c>
      <c r="H501" s="7">
        <v>0</v>
      </c>
      <c r="I501" s="7">
        <v>0</v>
      </c>
    </row>
    <row r="502" spans="1:9" x14ac:dyDescent="0.25">
      <c r="A502" t="s">
        <v>90</v>
      </c>
      <c r="B502" t="s">
        <v>1036</v>
      </c>
      <c r="C502" s="7">
        <v>0</v>
      </c>
      <c r="D502" s="7">
        <v>0</v>
      </c>
      <c r="E502" s="7">
        <v>0</v>
      </c>
      <c r="F502" s="7">
        <v>0</v>
      </c>
      <c r="G502" s="7">
        <v>0</v>
      </c>
      <c r="H502" s="7">
        <v>0</v>
      </c>
      <c r="I502" s="7">
        <v>0</v>
      </c>
    </row>
    <row r="503" spans="1:9" x14ac:dyDescent="0.25">
      <c r="A503" t="s">
        <v>91</v>
      </c>
      <c r="C503" s="7">
        <v>0</v>
      </c>
      <c r="D503" s="7">
        <v>0</v>
      </c>
      <c r="E503" s="7">
        <v>0</v>
      </c>
      <c r="F503" s="7">
        <v>0</v>
      </c>
      <c r="G503" s="7">
        <v>0</v>
      </c>
      <c r="H503" s="7">
        <v>0</v>
      </c>
      <c r="I503" s="7">
        <v>0</v>
      </c>
    </row>
    <row r="504" spans="1:9" x14ac:dyDescent="0.25">
      <c r="A504" t="s">
        <v>91</v>
      </c>
      <c r="B504" t="s">
        <v>1037</v>
      </c>
      <c r="C504" s="7">
        <v>0</v>
      </c>
      <c r="D504" s="7">
        <v>0</v>
      </c>
      <c r="E504" s="7">
        <v>0</v>
      </c>
      <c r="F504" s="7">
        <v>0</v>
      </c>
      <c r="G504" s="7">
        <v>0</v>
      </c>
      <c r="H504" s="7">
        <v>0</v>
      </c>
      <c r="I504" s="7">
        <v>0</v>
      </c>
    </row>
    <row r="505" spans="1:9" x14ac:dyDescent="0.25">
      <c r="A505" t="s">
        <v>91</v>
      </c>
      <c r="B505" t="s">
        <v>1038</v>
      </c>
      <c r="C505" s="7">
        <v>0</v>
      </c>
      <c r="D505" s="7">
        <v>0</v>
      </c>
      <c r="E505" s="7">
        <v>0</v>
      </c>
      <c r="F505" s="7">
        <v>0</v>
      </c>
      <c r="G505" s="7">
        <v>0</v>
      </c>
      <c r="H505" s="7">
        <v>0</v>
      </c>
      <c r="I505" s="7">
        <v>0</v>
      </c>
    </row>
    <row r="506" spans="1:9" x14ac:dyDescent="0.25">
      <c r="A506" t="s">
        <v>91</v>
      </c>
      <c r="B506" t="s">
        <v>1039</v>
      </c>
      <c r="C506" s="7">
        <v>0</v>
      </c>
      <c r="D506" s="7">
        <v>0</v>
      </c>
      <c r="E506" s="7">
        <v>0</v>
      </c>
      <c r="F506" s="7">
        <v>0</v>
      </c>
      <c r="G506" s="7">
        <v>0</v>
      </c>
      <c r="H506" s="7">
        <v>0</v>
      </c>
      <c r="I506" s="7">
        <v>0</v>
      </c>
    </row>
    <row r="507" spans="1:9" x14ac:dyDescent="0.25">
      <c r="A507" t="s">
        <v>92</v>
      </c>
      <c r="C507" s="7">
        <v>0</v>
      </c>
      <c r="D507" s="7">
        <v>0</v>
      </c>
      <c r="E507" s="7">
        <v>0</v>
      </c>
      <c r="F507" s="7">
        <v>0</v>
      </c>
      <c r="G507" s="7">
        <v>0</v>
      </c>
      <c r="H507" s="7">
        <v>0</v>
      </c>
      <c r="I507" s="7">
        <v>0</v>
      </c>
    </row>
    <row r="508" spans="1:9" x14ac:dyDescent="0.25">
      <c r="A508" t="s">
        <v>92</v>
      </c>
      <c r="B508" t="s">
        <v>1040</v>
      </c>
      <c r="C508" s="7">
        <v>0</v>
      </c>
      <c r="D508" s="7">
        <v>0</v>
      </c>
      <c r="E508" s="7">
        <v>0</v>
      </c>
      <c r="F508" s="7">
        <v>0</v>
      </c>
      <c r="G508" s="7">
        <v>0</v>
      </c>
      <c r="H508" s="7">
        <v>0</v>
      </c>
      <c r="I508" s="7">
        <v>0</v>
      </c>
    </row>
    <row r="509" spans="1:9" x14ac:dyDescent="0.25">
      <c r="A509" t="s">
        <v>92</v>
      </c>
      <c r="B509" t="s">
        <v>1041</v>
      </c>
      <c r="C509" s="7">
        <v>0</v>
      </c>
      <c r="D509" s="7">
        <v>0</v>
      </c>
      <c r="E509" s="7">
        <v>0</v>
      </c>
      <c r="F509" s="7">
        <v>0</v>
      </c>
      <c r="G509" s="7">
        <v>0</v>
      </c>
      <c r="H509" s="7">
        <v>0</v>
      </c>
      <c r="I509" s="7">
        <v>0</v>
      </c>
    </row>
    <row r="510" spans="1:9" x14ac:dyDescent="0.25">
      <c r="A510" t="s">
        <v>92</v>
      </c>
      <c r="B510" t="s">
        <v>1042</v>
      </c>
      <c r="C510" s="7">
        <v>0</v>
      </c>
      <c r="D510" s="7">
        <v>0</v>
      </c>
      <c r="E510" s="7">
        <v>0</v>
      </c>
      <c r="F510" s="7">
        <v>0</v>
      </c>
      <c r="G510" s="7">
        <v>0</v>
      </c>
      <c r="H510" s="7">
        <v>0</v>
      </c>
      <c r="I510" s="7">
        <v>0</v>
      </c>
    </row>
    <row r="511" spans="1:9" x14ac:dyDescent="0.25">
      <c r="A511" t="s">
        <v>92</v>
      </c>
      <c r="B511" t="s">
        <v>1043</v>
      </c>
      <c r="C511" s="7">
        <v>0</v>
      </c>
      <c r="D511" s="7">
        <v>0</v>
      </c>
      <c r="E511" s="7">
        <v>0</v>
      </c>
      <c r="F511" s="7">
        <v>0</v>
      </c>
      <c r="G511" s="7">
        <v>0</v>
      </c>
      <c r="H511" s="7">
        <v>0</v>
      </c>
      <c r="I511" s="7">
        <v>0</v>
      </c>
    </row>
    <row r="512" spans="1:9" x14ac:dyDescent="0.25">
      <c r="A512" t="s">
        <v>92</v>
      </c>
      <c r="B512" t="s">
        <v>1044</v>
      </c>
      <c r="C512" s="7">
        <v>0</v>
      </c>
      <c r="D512" s="7">
        <v>0</v>
      </c>
      <c r="E512" s="7">
        <v>0</v>
      </c>
      <c r="F512" s="7">
        <v>0</v>
      </c>
      <c r="G512" s="7">
        <v>0</v>
      </c>
      <c r="H512" s="7">
        <v>0</v>
      </c>
      <c r="I512" s="7">
        <v>0</v>
      </c>
    </row>
    <row r="513" spans="1:9" x14ac:dyDescent="0.25">
      <c r="A513" t="s">
        <v>92</v>
      </c>
      <c r="B513" t="s">
        <v>1045</v>
      </c>
      <c r="C513" s="7">
        <v>0</v>
      </c>
      <c r="D513" s="7">
        <v>0</v>
      </c>
      <c r="E513" s="7">
        <v>0</v>
      </c>
      <c r="F513" s="7">
        <v>0</v>
      </c>
      <c r="G513" s="7">
        <v>0</v>
      </c>
      <c r="H513" s="7">
        <v>0</v>
      </c>
      <c r="I513" s="7">
        <v>0</v>
      </c>
    </row>
    <row r="514" spans="1:9" x14ac:dyDescent="0.25">
      <c r="A514" t="s">
        <v>93</v>
      </c>
      <c r="C514" s="7">
        <v>0</v>
      </c>
      <c r="D514" s="7">
        <v>0</v>
      </c>
      <c r="E514" s="7">
        <v>0</v>
      </c>
      <c r="F514" s="7">
        <v>0</v>
      </c>
      <c r="G514" s="7">
        <v>0</v>
      </c>
      <c r="H514" s="7">
        <v>0</v>
      </c>
      <c r="I514" s="7">
        <v>0</v>
      </c>
    </row>
    <row r="515" spans="1:9" x14ac:dyDescent="0.25">
      <c r="A515" t="s">
        <v>93</v>
      </c>
      <c r="B515" t="s">
        <v>1046</v>
      </c>
      <c r="C515" s="7">
        <v>0</v>
      </c>
      <c r="D515" s="7">
        <v>0</v>
      </c>
      <c r="E515" s="7">
        <v>0</v>
      </c>
      <c r="F515" s="7">
        <v>0</v>
      </c>
      <c r="G515" s="7">
        <v>0</v>
      </c>
      <c r="H515" s="7">
        <v>0</v>
      </c>
      <c r="I515" s="7">
        <v>0</v>
      </c>
    </row>
    <row r="516" spans="1:9" x14ac:dyDescent="0.25">
      <c r="A516" t="s">
        <v>93</v>
      </c>
      <c r="B516" t="s">
        <v>1047</v>
      </c>
      <c r="C516" s="7">
        <v>0</v>
      </c>
      <c r="D516" s="7">
        <v>0</v>
      </c>
      <c r="E516" s="7">
        <v>0</v>
      </c>
      <c r="F516" s="7">
        <v>0</v>
      </c>
      <c r="G516" s="7">
        <v>0</v>
      </c>
      <c r="H516" s="7">
        <v>0</v>
      </c>
      <c r="I516" s="7">
        <v>0</v>
      </c>
    </row>
    <row r="517" spans="1:9" x14ac:dyDescent="0.25">
      <c r="A517" t="s">
        <v>93</v>
      </c>
      <c r="B517" t="s">
        <v>1048</v>
      </c>
      <c r="C517" s="7">
        <v>0</v>
      </c>
      <c r="D517" s="7">
        <v>0</v>
      </c>
      <c r="E517" s="7">
        <v>0</v>
      </c>
      <c r="F517" s="7">
        <v>0</v>
      </c>
      <c r="G517" s="7">
        <v>0</v>
      </c>
      <c r="H517" s="7">
        <v>0</v>
      </c>
      <c r="I517" s="7">
        <v>0</v>
      </c>
    </row>
    <row r="518" spans="1:9" x14ac:dyDescent="0.25">
      <c r="A518" t="s">
        <v>93</v>
      </c>
      <c r="B518" t="s">
        <v>1049</v>
      </c>
      <c r="C518" s="7">
        <v>0</v>
      </c>
      <c r="D518" s="7">
        <v>0</v>
      </c>
      <c r="E518" s="7">
        <v>0</v>
      </c>
      <c r="F518" s="7">
        <v>0</v>
      </c>
      <c r="G518" s="7">
        <v>0</v>
      </c>
      <c r="H518" s="7">
        <v>0</v>
      </c>
      <c r="I518" s="7">
        <v>0</v>
      </c>
    </row>
    <row r="519" spans="1:9" x14ac:dyDescent="0.25">
      <c r="A519" t="s">
        <v>93</v>
      </c>
      <c r="B519" t="s">
        <v>1050</v>
      </c>
      <c r="C519" s="7">
        <v>0</v>
      </c>
      <c r="D519" s="7">
        <v>0</v>
      </c>
      <c r="E519" s="7">
        <v>0</v>
      </c>
      <c r="F519" s="7">
        <v>0</v>
      </c>
      <c r="G519" s="7">
        <v>0</v>
      </c>
      <c r="H519" s="7">
        <v>0</v>
      </c>
      <c r="I519" s="7">
        <v>0</v>
      </c>
    </row>
    <row r="520" spans="1:9" x14ac:dyDescent="0.25">
      <c r="A520" t="s">
        <v>93</v>
      </c>
      <c r="B520" t="s">
        <v>1051</v>
      </c>
      <c r="C520" s="7">
        <v>0</v>
      </c>
      <c r="D520" s="7">
        <v>0</v>
      </c>
      <c r="E520" s="7">
        <v>0</v>
      </c>
      <c r="F520" s="7">
        <v>0</v>
      </c>
      <c r="G520" s="7">
        <v>0</v>
      </c>
      <c r="H520" s="7">
        <v>0</v>
      </c>
      <c r="I520" s="7">
        <v>0</v>
      </c>
    </row>
    <row r="521" spans="1:9" x14ac:dyDescent="0.25">
      <c r="A521" t="s">
        <v>94</v>
      </c>
      <c r="C521" s="7">
        <v>0</v>
      </c>
      <c r="D521" s="7">
        <v>0</v>
      </c>
      <c r="E521" s="7">
        <v>0</v>
      </c>
      <c r="F521" s="7">
        <v>0</v>
      </c>
      <c r="G521" s="7">
        <v>0</v>
      </c>
      <c r="H521" s="7">
        <v>0</v>
      </c>
      <c r="I521" s="7">
        <v>0</v>
      </c>
    </row>
    <row r="522" spans="1:9" x14ac:dyDescent="0.25">
      <c r="A522" t="s">
        <v>94</v>
      </c>
      <c r="B522" t="s">
        <v>1052</v>
      </c>
      <c r="C522" s="7">
        <v>0</v>
      </c>
      <c r="D522" s="7">
        <v>0</v>
      </c>
      <c r="E522" s="7">
        <v>0</v>
      </c>
      <c r="F522" s="7">
        <v>0</v>
      </c>
      <c r="G522" s="7">
        <v>0</v>
      </c>
      <c r="H522" s="7">
        <v>0</v>
      </c>
      <c r="I522" s="7">
        <v>0</v>
      </c>
    </row>
    <row r="523" spans="1:9" x14ac:dyDescent="0.25">
      <c r="A523" t="s">
        <v>94</v>
      </c>
      <c r="B523" t="s">
        <v>1053</v>
      </c>
      <c r="C523" s="7">
        <v>0</v>
      </c>
      <c r="D523" s="7">
        <v>0</v>
      </c>
      <c r="E523" s="7">
        <v>0</v>
      </c>
      <c r="F523" s="7">
        <v>0</v>
      </c>
      <c r="G523" s="7">
        <v>0</v>
      </c>
      <c r="H523" s="7">
        <v>0</v>
      </c>
      <c r="I523" s="7">
        <v>0</v>
      </c>
    </row>
    <row r="524" spans="1:9" x14ac:dyDescent="0.25">
      <c r="A524" t="s">
        <v>94</v>
      </c>
      <c r="B524" t="s">
        <v>1054</v>
      </c>
      <c r="C524" s="7">
        <v>0</v>
      </c>
      <c r="D524" s="7">
        <v>0</v>
      </c>
      <c r="E524" s="7">
        <v>0</v>
      </c>
      <c r="F524" s="7">
        <v>0</v>
      </c>
      <c r="G524" s="7">
        <v>0</v>
      </c>
      <c r="H524" s="7">
        <v>0</v>
      </c>
      <c r="I524" s="7">
        <v>0</v>
      </c>
    </row>
    <row r="525" spans="1:9" x14ac:dyDescent="0.25">
      <c r="A525" t="s">
        <v>94</v>
      </c>
      <c r="B525" t="s">
        <v>1055</v>
      </c>
      <c r="C525" s="7">
        <v>0</v>
      </c>
      <c r="D525" s="7">
        <v>0</v>
      </c>
      <c r="E525" s="7">
        <v>0</v>
      </c>
      <c r="F525" s="7">
        <v>0</v>
      </c>
      <c r="G525" s="7">
        <v>0</v>
      </c>
      <c r="H525" s="7">
        <v>0</v>
      </c>
      <c r="I525" s="7">
        <v>0</v>
      </c>
    </row>
    <row r="526" spans="1:9" x14ac:dyDescent="0.25">
      <c r="A526" t="s">
        <v>95</v>
      </c>
      <c r="C526" s="7">
        <v>3000</v>
      </c>
      <c r="D526" s="7">
        <v>0</v>
      </c>
      <c r="E526" s="7">
        <v>0</v>
      </c>
      <c r="F526" s="7">
        <v>0</v>
      </c>
      <c r="G526" s="7">
        <v>0</v>
      </c>
      <c r="H526" s="7">
        <v>0</v>
      </c>
      <c r="I526" s="7">
        <v>3000</v>
      </c>
    </row>
    <row r="527" spans="1:9" x14ac:dyDescent="0.25">
      <c r="A527" t="s">
        <v>95</v>
      </c>
      <c r="B527" t="s">
        <v>1056</v>
      </c>
      <c r="C527" s="7">
        <v>0</v>
      </c>
      <c r="D527" s="7">
        <v>0</v>
      </c>
      <c r="E527" s="7">
        <v>0</v>
      </c>
      <c r="F527" s="7">
        <v>0</v>
      </c>
      <c r="G527" s="7">
        <v>0</v>
      </c>
      <c r="H527" s="7">
        <v>0</v>
      </c>
      <c r="I527" s="7">
        <v>0</v>
      </c>
    </row>
    <row r="528" spans="1:9" x14ac:dyDescent="0.25">
      <c r="A528" t="s">
        <v>95</v>
      </c>
      <c r="B528" t="s">
        <v>1057</v>
      </c>
      <c r="C528" s="7">
        <v>3000</v>
      </c>
      <c r="D528" s="7">
        <v>0</v>
      </c>
      <c r="E528" s="7">
        <v>0</v>
      </c>
      <c r="F528" s="7">
        <v>0</v>
      </c>
      <c r="G528" s="7">
        <v>0</v>
      </c>
      <c r="H528" s="7">
        <v>0</v>
      </c>
      <c r="I528" s="7">
        <v>3000</v>
      </c>
    </row>
    <row r="529" spans="1:9" x14ac:dyDescent="0.25">
      <c r="A529" t="s">
        <v>95</v>
      </c>
      <c r="B529" t="s">
        <v>1058</v>
      </c>
      <c r="C529" s="7">
        <v>0</v>
      </c>
      <c r="D529" s="7">
        <v>0</v>
      </c>
      <c r="E529" s="7">
        <v>0</v>
      </c>
      <c r="F529" s="7">
        <v>0</v>
      </c>
      <c r="G529" s="7">
        <v>0</v>
      </c>
      <c r="H529" s="7">
        <v>0</v>
      </c>
      <c r="I529" s="7">
        <v>0</v>
      </c>
    </row>
    <row r="530" spans="1:9" x14ac:dyDescent="0.25">
      <c r="A530" t="s">
        <v>95</v>
      </c>
      <c r="B530" t="s">
        <v>1059</v>
      </c>
      <c r="C530" s="7">
        <v>0</v>
      </c>
      <c r="D530" s="7">
        <v>0</v>
      </c>
      <c r="E530" s="7">
        <v>0</v>
      </c>
      <c r="F530" s="7">
        <v>0</v>
      </c>
      <c r="G530" s="7">
        <v>0</v>
      </c>
      <c r="H530" s="7">
        <v>0</v>
      </c>
      <c r="I530" s="7">
        <v>0</v>
      </c>
    </row>
    <row r="531" spans="1:9" x14ac:dyDescent="0.25">
      <c r="A531" t="s">
        <v>95</v>
      </c>
      <c r="B531" t="s">
        <v>1060</v>
      </c>
      <c r="C531" s="7">
        <v>0</v>
      </c>
      <c r="D531" s="7">
        <v>0</v>
      </c>
      <c r="E531" s="7">
        <v>0</v>
      </c>
      <c r="F531" s="7">
        <v>0</v>
      </c>
      <c r="G531" s="7">
        <v>0</v>
      </c>
      <c r="H531" s="7">
        <v>0</v>
      </c>
      <c r="I531" s="7">
        <v>0</v>
      </c>
    </row>
    <row r="532" spans="1:9" x14ac:dyDescent="0.25">
      <c r="A532" t="s">
        <v>77</v>
      </c>
      <c r="C532" s="7">
        <v>100000</v>
      </c>
      <c r="D532" s="7">
        <v>0</v>
      </c>
      <c r="E532" s="7">
        <v>0</v>
      </c>
      <c r="F532" s="7">
        <v>0</v>
      </c>
      <c r="G532" s="7">
        <v>0</v>
      </c>
      <c r="H532" s="7">
        <v>0</v>
      </c>
      <c r="I532" s="7">
        <v>100000</v>
      </c>
    </row>
    <row r="533" spans="1:9" x14ac:dyDescent="0.25">
      <c r="A533" t="s">
        <v>77</v>
      </c>
      <c r="B533" t="s">
        <v>1061</v>
      </c>
      <c r="C533" s="7">
        <v>100000</v>
      </c>
      <c r="D533" s="7">
        <v>0</v>
      </c>
      <c r="E533" s="7">
        <v>0</v>
      </c>
      <c r="F533" s="7">
        <v>0</v>
      </c>
      <c r="G533" s="7">
        <v>0</v>
      </c>
      <c r="H533" s="7">
        <v>0</v>
      </c>
      <c r="I533" s="7">
        <v>100000</v>
      </c>
    </row>
    <row r="534" spans="1:9" x14ac:dyDescent="0.25">
      <c r="A534" t="s">
        <v>77</v>
      </c>
      <c r="B534" t="s">
        <v>1062</v>
      </c>
      <c r="C534" s="7">
        <v>0</v>
      </c>
      <c r="D534" s="7">
        <v>0</v>
      </c>
      <c r="E534" s="7">
        <v>0</v>
      </c>
      <c r="F534" s="7">
        <v>0</v>
      </c>
      <c r="G534" s="7">
        <v>0</v>
      </c>
      <c r="H534" s="7">
        <v>0</v>
      </c>
      <c r="I534" s="7">
        <v>0</v>
      </c>
    </row>
    <row r="535" spans="1:9" x14ac:dyDescent="0.25">
      <c r="A535" t="s">
        <v>77</v>
      </c>
      <c r="B535" t="s">
        <v>1063</v>
      </c>
      <c r="C535" s="7">
        <v>0</v>
      </c>
      <c r="D535" s="7">
        <v>0</v>
      </c>
      <c r="E535" s="7">
        <v>0</v>
      </c>
      <c r="F535" s="7">
        <v>0</v>
      </c>
      <c r="G535" s="7">
        <v>0</v>
      </c>
      <c r="H535" s="7">
        <v>0</v>
      </c>
      <c r="I535" s="7">
        <v>0</v>
      </c>
    </row>
    <row r="536" spans="1:9" x14ac:dyDescent="0.25">
      <c r="A536" t="s">
        <v>96</v>
      </c>
      <c r="C536" s="7">
        <v>2000</v>
      </c>
      <c r="D536" s="7">
        <v>2000</v>
      </c>
      <c r="E536" s="7">
        <v>2000</v>
      </c>
      <c r="F536" s="7">
        <v>2000</v>
      </c>
      <c r="G536" s="7">
        <v>2000</v>
      </c>
      <c r="H536" s="7">
        <v>2000</v>
      </c>
      <c r="I536" s="7">
        <v>12000</v>
      </c>
    </row>
    <row r="537" spans="1:9" x14ac:dyDescent="0.25">
      <c r="A537" t="s">
        <v>96</v>
      </c>
      <c r="B537" t="s">
        <v>1064</v>
      </c>
      <c r="C537" s="7">
        <v>0</v>
      </c>
      <c r="D537" s="7">
        <v>0</v>
      </c>
      <c r="E537" s="7">
        <v>0</v>
      </c>
      <c r="F537" s="7">
        <v>0</v>
      </c>
      <c r="G537" s="7">
        <v>0</v>
      </c>
      <c r="H537" s="7">
        <v>0</v>
      </c>
      <c r="I537" s="7">
        <v>0</v>
      </c>
    </row>
    <row r="538" spans="1:9" x14ac:dyDescent="0.25">
      <c r="A538" t="s">
        <v>96</v>
      </c>
      <c r="B538" t="s">
        <v>1065</v>
      </c>
      <c r="C538" s="7">
        <v>2000</v>
      </c>
      <c r="D538" s="7">
        <v>2000</v>
      </c>
      <c r="E538" s="7">
        <v>2000</v>
      </c>
      <c r="F538" s="7">
        <v>2000</v>
      </c>
      <c r="G538" s="7">
        <v>2000</v>
      </c>
      <c r="H538" s="7">
        <v>2000</v>
      </c>
      <c r="I538" s="7">
        <v>12000</v>
      </c>
    </row>
    <row r="539" spans="1:9" x14ac:dyDescent="0.25">
      <c r="A539" t="s">
        <v>96</v>
      </c>
      <c r="B539" t="s">
        <v>1066</v>
      </c>
      <c r="C539" s="7">
        <v>0</v>
      </c>
      <c r="D539" s="7">
        <v>0</v>
      </c>
      <c r="E539" s="7">
        <v>0</v>
      </c>
      <c r="F539" s="7">
        <v>0</v>
      </c>
      <c r="G539" s="7">
        <v>0</v>
      </c>
      <c r="H539" s="7">
        <v>0</v>
      </c>
      <c r="I539" s="7">
        <v>0</v>
      </c>
    </row>
    <row r="540" spans="1:9" x14ac:dyDescent="0.25">
      <c r="A540" t="s">
        <v>96</v>
      </c>
      <c r="B540" t="s">
        <v>1067</v>
      </c>
      <c r="C540" s="7">
        <v>0</v>
      </c>
      <c r="D540" s="7">
        <v>0</v>
      </c>
      <c r="E540" s="7">
        <v>0</v>
      </c>
      <c r="F540" s="7">
        <v>0</v>
      </c>
      <c r="G540" s="7">
        <v>0</v>
      </c>
      <c r="H540" s="7">
        <v>0</v>
      </c>
      <c r="I540" s="7">
        <v>0</v>
      </c>
    </row>
    <row r="541" spans="1:9" x14ac:dyDescent="0.25">
      <c r="A541" t="s">
        <v>96</v>
      </c>
      <c r="B541" t="s">
        <v>1068</v>
      </c>
      <c r="C541" s="7">
        <v>0</v>
      </c>
      <c r="D541" s="7">
        <v>0</v>
      </c>
      <c r="E541" s="7">
        <v>0</v>
      </c>
      <c r="F541" s="7">
        <v>0</v>
      </c>
      <c r="G541" s="7">
        <v>0</v>
      </c>
      <c r="H541" s="7">
        <v>0</v>
      </c>
      <c r="I541" s="7">
        <v>0</v>
      </c>
    </row>
    <row r="542" spans="1:9" x14ac:dyDescent="0.25">
      <c r="A542" t="s">
        <v>97</v>
      </c>
      <c r="C542" s="7">
        <v>0</v>
      </c>
      <c r="D542" s="7">
        <v>0</v>
      </c>
      <c r="E542" s="7">
        <v>0</v>
      </c>
      <c r="F542" s="7">
        <v>0</v>
      </c>
      <c r="G542" s="7">
        <v>0</v>
      </c>
      <c r="H542" s="7">
        <v>0</v>
      </c>
      <c r="I542" s="7">
        <v>0</v>
      </c>
    </row>
    <row r="543" spans="1:9" x14ac:dyDescent="0.25">
      <c r="A543" t="s">
        <v>97</v>
      </c>
      <c r="B543" t="s">
        <v>1069</v>
      </c>
      <c r="C543" s="7">
        <v>0</v>
      </c>
      <c r="D543" s="7">
        <v>0</v>
      </c>
      <c r="E543" s="7">
        <v>0</v>
      </c>
      <c r="F543" s="7">
        <v>0</v>
      </c>
      <c r="G543" s="7">
        <v>0</v>
      </c>
      <c r="H543" s="7">
        <v>0</v>
      </c>
      <c r="I543" s="7">
        <v>0</v>
      </c>
    </row>
    <row r="544" spans="1:9" x14ac:dyDescent="0.25">
      <c r="A544" t="s">
        <v>97</v>
      </c>
      <c r="B544" t="s">
        <v>1070</v>
      </c>
      <c r="C544" s="7">
        <v>0</v>
      </c>
      <c r="D544" s="7">
        <v>0</v>
      </c>
      <c r="E544" s="7">
        <v>0</v>
      </c>
      <c r="F544" s="7">
        <v>0</v>
      </c>
      <c r="G544" s="7">
        <v>0</v>
      </c>
      <c r="H544" s="7">
        <v>0</v>
      </c>
      <c r="I544" s="7">
        <v>0</v>
      </c>
    </row>
    <row r="545" spans="1:9" x14ac:dyDescent="0.25">
      <c r="A545" t="s">
        <v>97</v>
      </c>
      <c r="B545" t="s">
        <v>1071</v>
      </c>
      <c r="C545" s="7">
        <v>0</v>
      </c>
      <c r="D545" s="7">
        <v>0</v>
      </c>
      <c r="E545" s="7">
        <v>0</v>
      </c>
      <c r="F545" s="7">
        <v>0</v>
      </c>
      <c r="G545" s="7">
        <v>0</v>
      </c>
      <c r="H545" s="7">
        <v>0</v>
      </c>
      <c r="I545" s="7">
        <v>0</v>
      </c>
    </row>
    <row r="546" spans="1:9" x14ac:dyDescent="0.25">
      <c r="A546" t="s">
        <v>97</v>
      </c>
      <c r="B546" t="s">
        <v>1072</v>
      </c>
      <c r="C546" s="7">
        <v>0</v>
      </c>
      <c r="D546" s="7">
        <v>0</v>
      </c>
      <c r="E546" s="7">
        <v>0</v>
      </c>
      <c r="F546" s="7">
        <v>0</v>
      </c>
      <c r="G546" s="7">
        <v>0</v>
      </c>
      <c r="H546" s="7">
        <v>0</v>
      </c>
      <c r="I546" s="7">
        <v>0</v>
      </c>
    </row>
    <row r="547" spans="1:9" x14ac:dyDescent="0.25">
      <c r="A547" t="s">
        <v>98</v>
      </c>
      <c r="C547" s="7">
        <v>0</v>
      </c>
      <c r="D547" s="7">
        <v>100000</v>
      </c>
      <c r="E547" s="7">
        <v>199000</v>
      </c>
      <c r="F547" s="7">
        <v>131000</v>
      </c>
      <c r="G547" s="7">
        <v>0</v>
      </c>
      <c r="H547" s="7">
        <v>0</v>
      </c>
      <c r="I547" s="7">
        <v>430000</v>
      </c>
    </row>
    <row r="548" spans="1:9" x14ac:dyDescent="0.25">
      <c r="A548" t="s">
        <v>98</v>
      </c>
      <c r="B548" t="s">
        <v>1073</v>
      </c>
      <c r="C548" s="7">
        <v>0</v>
      </c>
      <c r="D548" s="7">
        <v>0</v>
      </c>
      <c r="E548" s="7">
        <v>0</v>
      </c>
      <c r="F548" s="7">
        <v>0</v>
      </c>
      <c r="G548" s="7">
        <v>0</v>
      </c>
      <c r="H548" s="7">
        <v>0</v>
      </c>
      <c r="I548" s="7">
        <v>0</v>
      </c>
    </row>
    <row r="549" spans="1:9" x14ac:dyDescent="0.25">
      <c r="A549" t="s">
        <v>98</v>
      </c>
      <c r="B549" t="s">
        <v>1074</v>
      </c>
      <c r="C549" s="7">
        <v>0</v>
      </c>
      <c r="D549" s="7">
        <v>100000</v>
      </c>
      <c r="E549" s="7">
        <v>100000</v>
      </c>
      <c r="F549" s="7">
        <v>100000</v>
      </c>
      <c r="G549" s="7">
        <v>0</v>
      </c>
      <c r="H549" s="7">
        <v>0</v>
      </c>
      <c r="I549" s="7">
        <v>300000</v>
      </c>
    </row>
    <row r="550" spans="1:9" x14ac:dyDescent="0.25">
      <c r="A550" t="s">
        <v>98</v>
      </c>
      <c r="B550" t="s">
        <v>1075</v>
      </c>
      <c r="C550" s="7">
        <v>0</v>
      </c>
      <c r="D550" s="7">
        <v>0</v>
      </c>
      <c r="E550" s="7">
        <v>0</v>
      </c>
      <c r="F550" s="7">
        <v>0</v>
      </c>
      <c r="G550" s="7">
        <v>0</v>
      </c>
      <c r="H550" s="7">
        <v>0</v>
      </c>
      <c r="I550" s="7">
        <v>0</v>
      </c>
    </row>
    <row r="551" spans="1:9" x14ac:dyDescent="0.25">
      <c r="A551" t="s">
        <v>98</v>
      </c>
      <c r="B551" t="s">
        <v>1076</v>
      </c>
      <c r="C551" s="7">
        <v>0</v>
      </c>
      <c r="D551" s="7">
        <v>0</v>
      </c>
      <c r="E551" s="7">
        <v>70000</v>
      </c>
      <c r="F551" s="7">
        <v>0</v>
      </c>
      <c r="G551" s="7">
        <v>0</v>
      </c>
      <c r="H551" s="7">
        <v>0</v>
      </c>
      <c r="I551" s="7">
        <v>70000</v>
      </c>
    </row>
    <row r="552" spans="1:9" x14ac:dyDescent="0.25">
      <c r="A552" t="s">
        <v>98</v>
      </c>
      <c r="B552" t="s">
        <v>1077</v>
      </c>
      <c r="C552" s="7">
        <v>0</v>
      </c>
      <c r="D552" s="7">
        <v>0</v>
      </c>
      <c r="E552" s="7">
        <v>0</v>
      </c>
      <c r="F552" s="7">
        <v>0</v>
      </c>
      <c r="G552" s="7">
        <v>0</v>
      </c>
      <c r="H552" s="7">
        <v>0</v>
      </c>
      <c r="I552" s="7">
        <v>0</v>
      </c>
    </row>
    <row r="553" spans="1:9" x14ac:dyDescent="0.25">
      <c r="A553" t="s">
        <v>98</v>
      </c>
      <c r="B553" t="s">
        <v>1078</v>
      </c>
      <c r="C553" s="7">
        <v>0</v>
      </c>
      <c r="D553" s="7">
        <v>0</v>
      </c>
      <c r="E553" s="7">
        <v>0</v>
      </c>
      <c r="F553" s="7">
        <v>0</v>
      </c>
      <c r="G553" s="7">
        <v>0</v>
      </c>
      <c r="H553" s="7">
        <v>0</v>
      </c>
      <c r="I553" s="7">
        <v>0</v>
      </c>
    </row>
    <row r="554" spans="1:9" x14ac:dyDescent="0.25">
      <c r="A554" t="s">
        <v>98</v>
      </c>
      <c r="B554" t="s">
        <v>1079</v>
      </c>
      <c r="C554" s="7">
        <v>0</v>
      </c>
      <c r="D554" s="7">
        <v>0</v>
      </c>
      <c r="E554" s="7">
        <v>29000</v>
      </c>
      <c r="F554" s="7">
        <v>31000</v>
      </c>
      <c r="G554" s="7">
        <v>0</v>
      </c>
      <c r="H554" s="7">
        <v>0</v>
      </c>
      <c r="I554" s="7">
        <v>60000</v>
      </c>
    </row>
    <row r="555" spans="1:9" x14ac:dyDescent="0.25">
      <c r="A555" t="s">
        <v>99</v>
      </c>
      <c r="C555" s="7">
        <v>0</v>
      </c>
      <c r="D555" s="7">
        <v>0</v>
      </c>
      <c r="E555" s="7">
        <v>0</v>
      </c>
      <c r="F555" s="7">
        <v>0</v>
      </c>
      <c r="G555" s="7">
        <v>0</v>
      </c>
      <c r="H555" s="7">
        <v>0</v>
      </c>
      <c r="I555" s="7">
        <v>0</v>
      </c>
    </row>
    <row r="556" spans="1:9" x14ac:dyDescent="0.25">
      <c r="A556" t="s">
        <v>99</v>
      </c>
      <c r="B556" t="s">
        <v>1080</v>
      </c>
      <c r="C556" s="7">
        <v>0</v>
      </c>
      <c r="D556" s="7">
        <v>0</v>
      </c>
      <c r="E556" s="7">
        <v>0</v>
      </c>
      <c r="F556" s="7">
        <v>0</v>
      </c>
      <c r="G556" s="7">
        <v>0</v>
      </c>
      <c r="H556" s="7">
        <v>0</v>
      </c>
      <c r="I556" s="7">
        <v>0</v>
      </c>
    </row>
    <row r="557" spans="1:9" x14ac:dyDescent="0.25">
      <c r="A557" t="s">
        <v>99</v>
      </c>
      <c r="B557" t="s">
        <v>1081</v>
      </c>
      <c r="C557" s="7">
        <v>0</v>
      </c>
      <c r="D557" s="7">
        <v>0</v>
      </c>
      <c r="E557" s="7">
        <v>0</v>
      </c>
      <c r="F557" s="7">
        <v>0</v>
      </c>
      <c r="G557" s="7">
        <v>0</v>
      </c>
      <c r="H557" s="7">
        <v>0</v>
      </c>
      <c r="I557" s="7">
        <v>0</v>
      </c>
    </row>
    <row r="558" spans="1:9" x14ac:dyDescent="0.25">
      <c r="A558" t="s">
        <v>100</v>
      </c>
      <c r="C558" s="7">
        <v>75000</v>
      </c>
      <c r="D558" s="7">
        <v>110000</v>
      </c>
      <c r="E558" s="7">
        <v>80000</v>
      </c>
      <c r="F558" s="7">
        <v>40000</v>
      </c>
      <c r="G558" s="7">
        <v>40000</v>
      </c>
      <c r="H558" s="7">
        <v>40000</v>
      </c>
      <c r="I558" s="7">
        <v>385000</v>
      </c>
    </row>
    <row r="559" spans="1:9" x14ac:dyDescent="0.25">
      <c r="A559" t="s">
        <v>100</v>
      </c>
      <c r="B559" t="s">
        <v>1082</v>
      </c>
      <c r="C559" s="7">
        <v>25000</v>
      </c>
      <c r="D559" s="7">
        <v>25000</v>
      </c>
      <c r="E559" s="7">
        <v>10000</v>
      </c>
      <c r="F559" s="7">
        <v>10000</v>
      </c>
      <c r="G559" s="7">
        <v>10000</v>
      </c>
      <c r="H559" s="7">
        <v>10000</v>
      </c>
      <c r="I559" s="7">
        <v>90000</v>
      </c>
    </row>
    <row r="560" spans="1:9" x14ac:dyDescent="0.25">
      <c r="A560" t="s">
        <v>100</v>
      </c>
      <c r="B560" t="s">
        <v>1083</v>
      </c>
      <c r="C560" s="7">
        <v>25000</v>
      </c>
      <c r="D560" s="7">
        <v>10000</v>
      </c>
      <c r="E560" s="7">
        <v>10000</v>
      </c>
      <c r="F560" s="7">
        <v>10000</v>
      </c>
      <c r="G560" s="7">
        <v>10000</v>
      </c>
      <c r="H560" s="7">
        <v>10000</v>
      </c>
      <c r="I560" s="7">
        <v>75000</v>
      </c>
    </row>
    <row r="561" spans="1:9" x14ac:dyDescent="0.25">
      <c r="A561" t="s">
        <v>100</v>
      </c>
      <c r="B561" t="s">
        <v>1084</v>
      </c>
      <c r="C561" s="7">
        <v>25000</v>
      </c>
      <c r="D561" s="7">
        <v>25000</v>
      </c>
      <c r="E561" s="7">
        <v>10000</v>
      </c>
      <c r="F561" s="7">
        <v>10000</v>
      </c>
      <c r="G561" s="7">
        <v>10000</v>
      </c>
      <c r="H561" s="7">
        <v>10000</v>
      </c>
      <c r="I561" s="7">
        <v>90000</v>
      </c>
    </row>
    <row r="562" spans="1:9" x14ac:dyDescent="0.25">
      <c r="A562" t="s">
        <v>100</v>
      </c>
      <c r="B562" t="s">
        <v>1085</v>
      </c>
      <c r="C562" s="7">
        <v>0</v>
      </c>
      <c r="D562" s="7">
        <v>50000</v>
      </c>
      <c r="E562" s="7">
        <v>50000</v>
      </c>
      <c r="F562" s="7">
        <v>10000</v>
      </c>
      <c r="G562" s="7">
        <v>10000</v>
      </c>
      <c r="H562" s="7">
        <v>10000</v>
      </c>
      <c r="I562" s="7">
        <v>130000</v>
      </c>
    </row>
    <row r="563" spans="1:9" x14ac:dyDescent="0.25">
      <c r="A563" t="s">
        <v>100</v>
      </c>
      <c r="B563" t="s">
        <v>1086</v>
      </c>
      <c r="C563" s="7">
        <v>0</v>
      </c>
      <c r="D563" s="7">
        <v>0</v>
      </c>
      <c r="E563" s="7">
        <v>0</v>
      </c>
      <c r="F563" s="7">
        <v>0</v>
      </c>
      <c r="G563" s="7">
        <v>0</v>
      </c>
      <c r="H563" s="7">
        <v>0</v>
      </c>
      <c r="I563" s="7">
        <v>0</v>
      </c>
    </row>
    <row r="564" spans="1:9" x14ac:dyDescent="0.25">
      <c r="A564" t="s">
        <v>101</v>
      </c>
      <c r="C564" s="7">
        <v>0</v>
      </c>
      <c r="D564" s="7">
        <v>0</v>
      </c>
      <c r="E564" s="7">
        <v>0</v>
      </c>
      <c r="F564" s="7">
        <v>0</v>
      </c>
      <c r="G564" s="7">
        <v>0</v>
      </c>
      <c r="H564" s="7">
        <v>0</v>
      </c>
      <c r="I564" s="7">
        <v>0</v>
      </c>
    </row>
    <row r="565" spans="1:9" x14ac:dyDescent="0.25">
      <c r="A565" t="s">
        <v>101</v>
      </c>
      <c r="B565" t="s">
        <v>1087</v>
      </c>
      <c r="C565" s="7">
        <v>0</v>
      </c>
      <c r="D565" s="7">
        <v>0</v>
      </c>
      <c r="E565" s="7">
        <v>0</v>
      </c>
      <c r="F565" s="7">
        <v>0</v>
      </c>
      <c r="G565" s="7">
        <v>0</v>
      </c>
      <c r="H565" s="7">
        <v>0</v>
      </c>
      <c r="I565" s="7">
        <v>0</v>
      </c>
    </row>
    <row r="566" spans="1:9" x14ac:dyDescent="0.25">
      <c r="A566" t="s">
        <v>101</v>
      </c>
      <c r="B566" t="s">
        <v>1088</v>
      </c>
      <c r="C566" s="7">
        <v>0</v>
      </c>
      <c r="D566" s="7">
        <v>0</v>
      </c>
      <c r="E566" s="7">
        <v>0</v>
      </c>
      <c r="F566" s="7">
        <v>0</v>
      </c>
      <c r="G566" s="7">
        <v>0</v>
      </c>
      <c r="H566" s="7">
        <v>0</v>
      </c>
      <c r="I566" s="7">
        <v>0</v>
      </c>
    </row>
    <row r="567" spans="1:9" x14ac:dyDescent="0.25">
      <c r="A567" t="s">
        <v>101</v>
      </c>
      <c r="B567" t="s">
        <v>1089</v>
      </c>
      <c r="C567" s="7">
        <v>0</v>
      </c>
      <c r="D567" s="7">
        <v>0</v>
      </c>
      <c r="E567" s="7">
        <v>0</v>
      </c>
      <c r="F567" s="7">
        <v>0</v>
      </c>
      <c r="G567" s="7">
        <v>0</v>
      </c>
      <c r="H567" s="7">
        <v>0</v>
      </c>
      <c r="I567" s="7">
        <v>0</v>
      </c>
    </row>
    <row r="568" spans="1:9" x14ac:dyDescent="0.25">
      <c r="A568" t="s">
        <v>101</v>
      </c>
      <c r="B568" t="s">
        <v>1090</v>
      </c>
      <c r="C568" s="7">
        <v>0</v>
      </c>
      <c r="D568" s="7">
        <v>0</v>
      </c>
      <c r="E568" s="7">
        <v>0</v>
      </c>
      <c r="F568" s="7">
        <v>0</v>
      </c>
      <c r="G568" s="7">
        <v>0</v>
      </c>
      <c r="H568" s="7">
        <v>0</v>
      </c>
      <c r="I568" s="7">
        <v>0</v>
      </c>
    </row>
    <row r="569" spans="1:9" x14ac:dyDescent="0.25">
      <c r="A569" t="s">
        <v>101</v>
      </c>
      <c r="B569" t="s">
        <v>1091</v>
      </c>
      <c r="C569" s="7">
        <v>0</v>
      </c>
      <c r="D569" s="7">
        <v>0</v>
      </c>
      <c r="E569" s="7">
        <v>0</v>
      </c>
      <c r="F569" s="7">
        <v>0</v>
      </c>
      <c r="G569" s="7">
        <v>0</v>
      </c>
      <c r="H569" s="7">
        <v>0</v>
      </c>
      <c r="I569" s="7">
        <v>0</v>
      </c>
    </row>
    <row r="570" spans="1:9" x14ac:dyDescent="0.25">
      <c r="A570" t="s">
        <v>102</v>
      </c>
      <c r="C570" s="7">
        <v>60000</v>
      </c>
      <c r="D570" s="7">
        <v>110000</v>
      </c>
      <c r="E570" s="7">
        <v>80000</v>
      </c>
      <c r="F570" s="7">
        <v>0</v>
      </c>
      <c r="G570" s="7">
        <v>0</v>
      </c>
      <c r="H570" s="7">
        <v>0</v>
      </c>
      <c r="I570" s="7">
        <v>250000</v>
      </c>
    </row>
    <row r="571" spans="1:9" x14ac:dyDescent="0.25">
      <c r="A571" t="s">
        <v>102</v>
      </c>
      <c r="B571" t="s">
        <v>1092</v>
      </c>
      <c r="C571" s="7">
        <v>25000</v>
      </c>
      <c r="D571" s="7">
        <v>25000</v>
      </c>
      <c r="E571" s="7">
        <v>0</v>
      </c>
      <c r="F571" s="7">
        <v>0</v>
      </c>
      <c r="G571" s="7">
        <v>0</v>
      </c>
      <c r="H571" s="7">
        <v>0</v>
      </c>
      <c r="I571" s="7">
        <v>50000</v>
      </c>
    </row>
    <row r="572" spans="1:9" x14ac:dyDescent="0.25">
      <c r="A572" t="s">
        <v>102</v>
      </c>
      <c r="B572" t="s">
        <v>1093</v>
      </c>
      <c r="C572" s="7">
        <v>10000</v>
      </c>
      <c r="D572" s="7">
        <v>10000</v>
      </c>
      <c r="E572" s="7">
        <v>0</v>
      </c>
      <c r="F572" s="7">
        <v>0</v>
      </c>
      <c r="G572" s="7">
        <v>0</v>
      </c>
      <c r="H572" s="7">
        <v>0</v>
      </c>
      <c r="I572" s="7">
        <v>20000</v>
      </c>
    </row>
    <row r="573" spans="1:9" x14ac:dyDescent="0.25">
      <c r="A573" t="s">
        <v>102</v>
      </c>
      <c r="B573" t="s">
        <v>1094</v>
      </c>
      <c r="C573" s="7">
        <v>0</v>
      </c>
      <c r="D573" s="7">
        <v>0</v>
      </c>
      <c r="E573" s="7">
        <v>0</v>
      </c>
      <c r="F573" s="7">
        <v>0</v>
      </c>
      <c r="G573" s="7">
        <v>0</v>
      </c>
      <c r="H573" s="7">
        <v>0</v>
      </c>
      <c r="I573" s="7">
        <v>0</v>
      </c>
    </row>
    <row r="574" spans="1:9" x14ac:dyDescent="0.25">
      <c r="A574" t="s">
        <v>102</v>
      </c>
      <c r="B574" t="s">
        <v>1095</v>
      </c>
      <c r="C574" s="7">
        <v>0</v>
      </c>
      <c r="D574" s="7">
        <v>50000</v>
      </c>
      <c r="E574" s="7">
        <v>50000</v>
      </c>
      <c r="F574" s="7">
        <v>0</v>
      </c>
      <c r="G574" s="7">
        <v>0</v>
      </c>
      <c r="H574" s="7">
        <v>0</v>
      </c>
      <c r="I574" s="7">
        <v>100000</v>
      </c>
    </row>
    <row r="575" spans="1:9" x14ac:dyDescent="0.25">
      <c r="A575" t="s">
        <v>102</v>
      </c>
      <c r="B575" t="s">
        <v>1096</v>
      </c>
      <c r="C575" s="7">
        <v>25000</v>
      </c>
      <c r="D575" s="7">
        <v>25000</v>
      </c>
      <c r="E575" s="7">
        <v>0</v>
      </c>
      <c r="F575" s="7">
        <v>0</v>
      </c>
      <c r="G575" s="7">
        <v>0</v>
      </c>
      <c r="H575" s="7">
        <v>0</v>
      </c>
      <c r="I575" s="7">
        <v>50000</v>
      </c>
    </row>
    <row r="576" spans="1:9" x14ac:dyDescent="0.25">
      <c r="A576" t="s">
        <v>102</v>
      </c>
      <c r="B576" t="s">
        <v>1097</v>
      </c>
      <c r="C576" s="7">
        <v>0</v>
      </c>
      <c r="D576" s="7">
        <v>0</v>
      </c>
      <c r="E576" s="7">
        <v>0</v>
      </c>
      <c r="F576" s="7">
        <v>0</v>
      </c>
      <c r="G576" s="7">
        <v>0</v>
      </c>
      <c r="H576" s="7">
        <v>0</v>
      </c>
      <c r="I576" s="7">
        <v>0</v>
      </c>
    </row>
    <row r="577" spans="1:9" x14ac:dyDescent="0.25">
      <c r="A577" t="s">
        <v>102</v>
      </c>
      <c r="B577" t="s">
        <v>1098</v>
      </c>
      <c r="C577" s="7">
        <v>0</v>
      </c>
      <c r="D577" s="7">
        <v>0</v>
      </c>
      <c r="E577" s="7">
        <v>30000</v>
      </c>
      <c r="F577" s="7">
        <v>0</v>
      </c>
      <c r="G577" s="7">
        <v>0</v>
      </c>
      <c r="H577" s="7">
        <v>0</v>
      </c>
      <c r="I577" s="7">
        <v>30000</v>
      </c>
    </row>
    <row r="578" spans="1:9" x14ac:dyDescent="0.25">
      <c r="A578" t="s">
        <v>103</v>
      </c>
      <c r="C578" s="7">
        <v>0</v>
      </c>
      <c r="D578" s="7">
        <v>0</v>
      </c>
      <c r="E578" s="7">
        <v>0</v>
      </c>
      <c r="F578" s="7">
        <v>0</v>
      </c>
      <c r="G578" s="7">
        <v>0</v>
      </c>
      <c r="H578" s="7">
        <v>0</v>
      </c>
      <c r="I578" s="7">
        <v>0</v>
      </c>
    </row>
    <row r="579" spans="1:9" x14ac:dyDescent="0.25">
      <c r="A579" t="s">
        <v>103</v>
      </c>
      <c r="B579" t="s">
        <v>1099</v>
      </c>
      <c r="C579" s="7">
        <v>0</v>
      </c>
      <c r="D579" s="7">
        <v>0</v>
      </c>
      <c r="E579" s="7">
        <v>0</v>
      </c>
      <c r="F579" s="7">
        <v>0</v>
      </c>
      <c r="G579" s="7">
        <v>0</v>
      </c>
      <c r="H579" s="7">
        <v>0</v>
      </c>
      <c r="I579" s="7">
        <v>0</v>
      </c>
    </row>
    <row r="580" spans="1:9" x14ac:dyDescent="0.25">
      <c r="A580" t="s">
        <v>103</v>
      </c>
      <c r="B580" t="s">
        <v>1100</v>
      </c>
      <c r="C580" s="7">
        <v>0</v>
      </c>
      <c r="D580" s="7">
        <v>0</v>
      </c>
      <c r="E580" s="7">
        <v>0</v>
      </c>
      <c r="F580" s="7">
        <v>0</v>
      </c>
      <c r="G580" s="7">
        <v>0</v>
      </c>
      <c r="H580" s="7">
        <v>0</v>
      </c>
      <c r="I580" s="7">
        <v>0</v>
      </c>
    </row>
    <row r="581" spans="1:9" x14ac:dyDescent="0.25">
      <c r="A581" t="s">
        <v>103</v>
      </c>
      <c r="B581" t="s">
        <v>1101</v>
      </c>
      <c r="C581" s="7">
        <v>0</v>
      </c>
      <c r="D581" s="7">
        <v>0</v>
      </c>
      <c r="E581" s="7">
        <v>0</v>
      </c>
      <c r="F581" s="7">
        <v>0</v>
      </c>
      <c r="G581" s="7">
        <v>0</v>
      </c>
      <c r="H581" s="7">
        <v>0</v>
      </c>
      <c r="I581" s="7">
        <v>0</v>
      </c>
    </row>
    <row r="582" spans="1:9" x14ac:dyDescent="0.25">
      <c r="A582" t="s">
        <v>103</v>
      </c>
      <c r="B582" t="s">
        <v>1102</v>
      </c>
      <c r="C582" s="7">
        <v>0</v>
      </c>
      <c r="D582" s="7">
        <v>0</v>
      </c>
      <c r="E582" s="7">
        <v>0</v>
      </c>
      <c r="F582" s="7">
        <v>0</v>
      </c>
      <c r="G582" s="7">
        <v>0</v>
      </c>
      <c r="H582" s="7">
        <v>0</v>
      </c>
      <c r="I582" s="7">
        <v>0</v>
      </c>
    </row>
    <row r="583" spans="1:9" x14ac:dyDescent="0.25">
      <c r="A583" t="s">
        <v>103</v>
      </c>
      <c r="B583" t="s">
        <v>1103</v>
      </c>
      <c r="C583" s="7">
        <v>0</v>
      </c>
      <c r="D583" s="7">
        <v>0</v>
      </c>
      <c r="E583" s="7">
        <v>0</v>
      </c>
      <c r="F583" s="7">
        <v>0</v>
      </c>
      <c r="G583" s="7">
        <v>0</v>
      </c>
      <c r="H583" s="7">
        <v>0</v>
      </c>
      <c r="I583" s="7">
        <v>0</v>
      </c>
    </row>
    <row r="584" spans="1:9" x14ac:dyDescent="0.25">
      <c r="A584" t="s">
        <v>103</v>
      </c>
      <c r="B584" t="s">
        <v>1104</v>
      </c>
      <c r="C584" s="7">
        <v>0</v>
      </c>
      <c r="D584" s="7">
        <v>0</v>
      </c>
      <c r="E584" s="7">
        <v>0</v>
      </c>
      <c r="F584" s="7">
        <v>0</v>
      </c>
      <c r="G584" s="7">
        <v>0</v>
      </c>
      <c r="H584" s="7">
        <v>0</v>
      </c>
      <c r="I584" s="7">
        <v>0</v>
      </c>
    </row>
    <row r="585" spans="1:9" x14ac:dyDescent="0.25">
      <c r="A585" t="s">
        <v>105</v>
      </c>
      <c r="C585" s="7">
        <v>0</v>
      </c>
      <c r="D585" s="7">
        <v>0</v>
      </c>
      <c r="E585" s="7">
        <v>0</v>
      </c>
      <c r="F585" s="7">
        <v>0</v>
      </c>
      <c r="G585" s="7">
        <v>0</v>
      </c>
      <c r="H585" s="7">
        <v>0</v>
      </c>
      <c r="I585" s="7">
        <v>0</v>
      </c>
    </row>
    <row r="586" spans="1:9" x14ac:dyDescent="0.25">
      <c r="A586" t="s">
        <v>105</v>
      </c>
      <c r="B586" t="s">
        <v>1105</v>
      </c>
      <c r="C586" s="7">
        <v>0</v>
      </c>
      <c r="D586" s="7">
        <v>0</v>
      </c>
      <c r="E586" s="7">
        <v>0</v>
      </c>
      <c r="F586" s="7">
        <v>0</v>
      </c>
      <c r="G586" s="7">
        <v>0</v>
      </c>
      <c r="H586" s="7">
        <v>0</v>
      </c>
      <c r="I586" s="7">
        <v>0</v>
      </c>
    </row>
    <row r="587" spans="1:9" x14ac:dyDescent="0.25">
      <c r="A587" t="s">
        <v>105</v>
      </c>
      <c r="B587" t="s">
        <v>1106</v>
      </c>
      <c r="C587" s="7">
        <v>0</v>
      </c>
      <c r="D587" s="7">
        <v>0</v>
      </c>
      <c r="E587" s="7">
        <v>0</v>
      </c>
      <c r="F587" s="7">
        <v>0</v>
      </c>
      <c r="G587" s="7">
        <v>0</v>
      </c>
      <c r="H587" s="7">
        <v>0</v>
      </c>
      <c r="I587" s="7">
        <v>0</v>
      </c>
    </row>
    <row r="588" spans="1:9" x14ac:dyDescent="0.25">
      <c r="A588" t="s">
        <v>106</v>
      </c>
      <c r="C588" s="7">
        <v>40000</v>
      </c>
      <c r="D588" s="7">
        <v>40000</v>
      </c>
      <c r="E588" s="7">
        <v>40000</v>
      </c>
      <c r="F588" s="7">
        <v>40000</v>
      </c>
      <c r="G588" s="7">
        <v>40000</v>
      </c>
      <c r="H588" s="7">
        <v>40000</v>
      </c>
      <c r="I588" s="7">
        <v>240000</v>
      </c>
    </row>
    <row r="589" spans="1:9" x14ac:dyDescent="0.25">
      <c r="A589" t="s">
        <v>106</v>
      </c>
      <c r="B589" t="s">
        <v>1107</v>
      </c>
      <c r="C589" s="7">
        <v>0</v>
      </c>
      <c r="D589" s="7">
        <v>0</v>
      </c>
      <c r="E589" s="7">
        <v>0</v>
      </c>
      <c r="F589" s="7">
        <v>0</v>
      </c>
      <c r="G589" s="7">
        <v>0</v>
      </c>
      <c r="H589" s="7">
        <v>0</v>
      </c>
      <c r="I589" s="7">
        <v>0</v>
      </c>
    </row>
    <row r="590" spans="1:9" x14ac:dyDescent="0.25">
      <c r="A590" t="s">
        <v>106</v>
      </c>
      <c r="B590" t="s">
        <v>1108</v>
      </c>
      <c r="C590" s="7">
        <v>0</v>
      </c>
      <c r="D590" s="7">
        <v>0</v>
      </c>
      <c r="E590" s="7">
        <v>0</v>
      </c>
      <c r="F590" s="7">
        <v>0</v>
      </c>
      <c r="G590" s="7">
        <v>0</v>
      </c>
      <c r="H590" s="7">
        <v>0</v>
      </c>
      <c r="I590" s="7">
        <v>0</v>
      </c>
    </row>
    <row r="591" spans="1:9" x14ac:dyDescent="0.25">
      <c r="A591" t="s">
        <v>106</v>
      </c>
      <c r="B591" t="s">
        <v>1109</v>
      </c>
      <c r="C591" s="7">
        <v>10000</v>
      </c>
      <c r="D591" s="7">
        <v>10000</v>
      </c>
      <c r="E591" s="7">
        <v>10000</v>
      </c>
      <c r="F591" s="7">
        <v>10000</v>
      </c>
      <c r="G591" s="7">
        <v>10000</v>
      </c>
      <c r="H591" s="7">
        <v>10000</v>
      </c>
      <c r="I591" s="7">
        <v>60000</v>
      </c>
    </row>
    <row r="592" spans="1:9" x14ac:dyDescent="0.25">
      <c r="A592" t="s">
        <v>106</v>
      </c>
      <c r="B592" t="s">
        <v>1110</v>
      </c>
      <c r="C592" s="7">
        <v>30000</v>
      </c>
      <c r="D592" s="7">
        <v>30000</v>
      </c>
      <c r="E592" s="7">
        <v>30000</v>
      </c>
      <c r="F592" s="7">
        <v>30000</v>
      </c>
      <c r="G592" s="7">
        <v>30000</v>
      </c>
      <c r="H592" s="7">
        <v>30000</v>
      </c>
      <c r="I592" s="7">
        <v>180000</v>
      </c>
    </row>
    <row r="593" spans="1:9" x14ac:dyDescent="0.25">
      <c r="A593" t="s">
        <v>106</v>
      </c>
      <c r="B593" t="s">
        <v>1111</v>
      </c>
      <c r="C593" s="7">
        <v>0</v>
      </c>
      <c r="D593" s="7">
        <v>0</v>
      </c>
      <c r="E593" s="7">
        <v>0</v>
      </c>
      <c r="F593" s="7">
        <v>0</v>
      </c>
      <c r="G593" s="7">
        <v>0</v>
      </c>
      <c r="H593" s="7">
        <v>0</v>
      </c>
      <c r="I593" s="7">
        <v>0</v>
      </c>
    </row>
    <row r="594" spans="1:9" x14ac:dyDescent="0.25">
      <c r="A594" t="s">
        <v>106</v>
      </c>
      <c r="B594" t="s">
        <v>1112</v>
      </c>
      <c r="C594" s="7">
        <v>0</v>
      </c>
      <c r="D594" s="7">
        <v>0</v>
      </c>
      <c r="E594" s="7">
        <v>0</v>
      </c>
      <c r="F594" s="7">
        <v>0</v>
      </c>
      <c r="G594" s="7">
        <v>0</v>
      </c>
      <c r="H594" s="7">
        <v>0</v>
      </c>
      <c r="I594" s="7">
        <v>0</v>
      </c>
    </row>
    <row r="595" spans="1:9" x14ac:dyDescent="0.25">
      <c r="A595" t="s">
        <v>106</v>
      </c>
      <c r="B595" t="s">
        <v>1113</v>
      </c>
      <c r="C595" s="7">
        <v>0</v>
      </c>
      <c r="D595" s="7">
        <v>0</v>
      </c>
      <c r="E595" s="7">
        <v>0</v>
      </c>
      <c r="F595" s="7">
        <v>0</v>
      </c>
      <c r="G595" s="7">
        <v>0</v>
      </c>
      <c r="H595" s="7">
        <v>0</v>
      </c>
      <c r="I595" s="7">
        <v>0</v>
      </c>
    </row>
    <row r="596" spans="1:9" x14ac:dyDescent="0.25">
      <c r="A596" t="s">
        <v>106</v>
      </c>
      <c r="B596" t="s">
        <v>1114</v>
      </c>
      <c r="C596" s="7">
        <v>0</v>
      </c>
      <c r="D596" s="7">
        <v>0</v>
      </c>
      <c r="E596" s="7">
        <v>0</v>
      </c>
      <c r="F596" s="7">
        <v>0</v>
      </c>
      <c r="G596" s="7">
        <v>0</v>
      </c>
      <c r="H596" s="7">
        <v>0</v>
      </c>
      <c r="I596" s="7">
        <v>0</v>
      </c>
    </row>
    <row r="597" spans="1:9" x14ac:dyDescent="0.25">
      <c r="A597" t="s">
        <v>106</v>
      </c>
      <c r="B597" t="s">
        <v>1115</v>
      </c>
      <c r="C597" s="7">
        <v>0</v>
      </c>
      <c r="D597" s="7">
        <v>0</v>
      </c>
      <c r="E597" s="7">
        <v>0</v>
      </c>
      <c r="F597" s="7">
        <v>0</v>
      </c>
      <c r="G597" s="7">
        <v>0</v>
      </c>
      <c r="H597" s="7">
        <v>0</v>
      </c>
      <c r="I597" s="7">
        <v>0</v>
      </c>
    </row>
    <row r="598" spans="1:9" x14ac:dyDescent="0.25">
      <c r="A598" t="s">
        <v>78</v>
      </c>
      <c r="C598" s="7">
        <v>580000</v>
      </c>
      <c r="D598" s="7">
        <v>555000</v>
      </c>
      <c r="E598" s="7">
        <v>145000</v>
      </c>
      <c r="F598" s="7">
        <v>170000</v>
      </c>
      <c r="G598" s="7">
        <v>145000</v>
      </c>
      <c r="H598" s="7">
        <v>145000</v>
      </c>
      <c r="I598" s="7">
        <v>1740000</v>
      </c>
    </row>
    <row r="599" spans="1:9" x14ac:dyDescent="0.25">
      <c r="A599" t="s">
        <v>78</v>
      </c>
      <c r="B599" t="s">
        <v>1116</v>
      </c>
      <c r="C599" s="7">
        <v>0</v>
      </c>
      <c r="D599" s="7">
        <v>0</v>
      </c>
      <c r="E599" s="7">
        <v>0</v>
      </c>
      <c r="F599" s="7">
        <v>0</v>
      </c>
      <c r="G599" s="7">
        <v>0</v>
      </c>
      <c r="H599" s="7">
        <v>0</v>
      </c>
      <c r="I599" s="7">
        <v>0</v>
      </c>
    </row>
    <row r="600" spans="1:9" x14ac:dyDescent="0.25">
      <c r="A600" t="s">
        <v>78</v>
      </c>
      <c r="B600" t="s">
        <v>1117</v>
      </c>
      <c r="C600" s="7">
        <v>0</v>
      </c>
      <c r="D600" s="7">
        <v>0</v>
      </c>
      <c r="E600" s="7">
        <v>0</v>
      </c>
      <c r="F600" s="7">
        <v>0</v>
      </c>
      <c r="G600" s="7">
        <v>0</v>
      </c>
      <c r="H600" s="7">
        <v>0</v>
      </c>
      <c r="I600" s="7">
        <v>0</v>
      </c>
    </row>
    <row r="601" spans="1:9" x14ac:dyDescent="0.25">
      <c r="A601" t="s">
        <v>78</v>
      </c>
      <c r="B601" t="s">
        <v>1118</v>
      </c>
      <c r="C601" s="7">
        <v>0</v>
      </c>
      <c r="D601" s="7">
        <v>0</v>
      </c>
      <c r="E601" s="7">
        <v>0</v>
      </c>
      <c r="F601" s="7">
        <v>0</v>
      </c>
      <c r="G601" s="7">
        <v>0</v>
      </c>
      <c r="H601" s="7">
        <v>0</v>
      </c>
      <c r="I601" s="7">
        <v>0</v>
      </c>
    </row>
    <row r="602" spans="1:9" x14ac:dyDescent="0.25">
      <c r="A602" t="s">
        <v>78</v>
      </c>
      <c r="B602" t="s">
        <v>1119</v>
      </c>
      <c r="C602" s="7">
        <v>0</v>
      </c>
      <c r="D602" s="7">
        <v>0</v>
      </c>
      <c r="E602" s="7">
        <v>0</v>
      </c>
      <c r="F602" s="7">
        <v>0</v>
      </c>
      <c r="G602" s="7">
        <v>0</v>
      </c>
      <c r="H602" s="7">
        <v>0</v>
      </c>
      <c r="I602" s="7">
        <v>0</v>
      </c>
    </row>
    <row r="603" spans="1:9" x14ac:dyDescent="0.25">
      <c r="A603" t="s">
        <v>78</v>
      </c>
      <c r="B603" t="s">
        <v>1120</v>
      </c>
      <c r="C603" s="7">
        <v>0</v>
      </c>
      <c r="D603" s="7">
        <v>0</v>
      </c>
      <c r="E603" s="7">
        <v>0</v>
      </c>
      <c r="F603" s="7">
        <v>0</v>
      </c>
      <c r="G603" s="7">
        <v>0</v>
      </c>
      <c r="H603" s="7">
        <v>0</v>
      </c>
      <c r="I603" s="7">
        <v>0</v>
      </c>
    </row>
    <row r="604" spans="1:9" x14ac:dyDescent="0.25">
      <c r="A604" t="s">
        <v>78</v>
      </c>
      <c r="B604" t="s">
        <v>1121</v>
      </c>
      <c r="C604" s="7">
        <v>130000</v>
      </c>
      <c r="D604" s="7">
        <v>130000</v>
      </c>
      <c r="E604" s="7">
        <v>130000</v>
      </c>
      <c r="F604" s="7">
        <v>130000</v>
      </c>
      <c r="G604" s="7">
        <v>130000</v>
      </c>
      <c r="H604" s="7">
        <v>130000</v>
      </c>
      <c r="I604" s="7">
        <v>780000</v>
      </c>
    </row>
    <row r="605" spans="1:9" x14ac:dyDescent="0.25">
      <c r="A605" t="s">
        <v>78</v>
      </c>
      <c r="B605" t="s">
        <v>1122</v>
      </c>
      <c r="C605" s="7">
        <v>30000</v>
      </c>
      <c r="D605" s="7">
        <v>5000</v>
      </c>
      <c r="E605" s="7">
        <v>5000</v>
      </c>
      <c r="F605" s="7">
        <v>30000</v>
      </c>
      <c r="G605" s="7">
        <v>5000</v>
      </c>
      <c r="H605" s="7">
        <v>5000</v>
      </c>
      <c r="I605" s="7">
        <v>80000</v>
      </c>
    </row>
    <row r="606" spans="1:9" x14ac:dyDescent="0.25">
      <c r="A606" t="s">
        <v>78</v>
      </c>
      <c r="B606" t="s">
        <v>1123</v>
      </c>
      <c r="C606" s="7">
        <v>0</v>
      </c>
      <c r="D606" s="7">
        <v>0</v>
      </c>
      <c r="E606" s="7">
        <v>0</v>
      </c>
      <c r="F606" s="7">
        <v>0</v>
      </c>
      <c r="G606" s="7">
        <v>0</v>
      </c>
      <c r="H606" s="7">
        <v>0</v>
      </c>
      <c r="I606" s="7">
        <v>0</v>
      </c>
    </row>
    <row r="607" spans="1:9" x14ac:dyDescent="0.25">
      <c r="A607" t="s">
        <v>78</v>
      </c>
      <c r="B607" t="s">
        <v>1124</v>
      </c>
      <c r="C607" s="7">
        <v>0</v>
      </c>
      <c r="D607" s="7">
        <v>0</v>
      </c>
      <c r="E607" s="7">
        <v>0</v>
      </c>
      <c r="F607" s="7">
        <v>0</v>
      </c>
      <c r="G607" s="7">
        <v>0</v>
      </c>
      <c r="H607" s="7">
        <v>0</v>
      </c>
      <c r="I607" s="7">
        <v>0</v>
      </c>
    </row>
    <row r="608" spans="1:9" x14ac:dyDescent="0.25">
      <c r="A608" t="s">
        <v>78</v>
      </c>
      <c r="B608" t="s">
        <v>1125</v>
      </c>
      <c r="C608" s="7">
        <v>10000</v>
      </c>
      <c r="D608" s="7">
        <v>10000</v>
      </c>
      <c r="E608" s="7">
        <v>10000</v>
      </c>
      <c r="F608" s="7">
        <v>10000</v>
      </c>
      <c r="G608" s="7">
        <v>10000</v>
      </c>
      <c r="H608" s="7">
        <v>10000</v>
      </c>
      <c r="I608" s="7">
        <v>60000</v>
      </c>
    </row>
    <row r="609" spans="1:9" x14ac:dyDescent="0.25">
      <c r="A609" t="s">
        <v>78</v>
      </c>
      <c r="B609" t="s">
        <v>1126</v>
      </c>
      <c r="C609" s="7">
        <v>410000</v>
      </c>
      <c r="D609" s="7">
        <v>410000</v>
      </c>
      <c r="E609" s="7">
        <v>0</v>
      </c>
      <c r="F609" s="7">
        <v>0</v>
      </c>
      <c r="G609" s="7">
        <v>0</v>
      </c>
      <c r="H609" s="7">
        <v>0</v>
      </c>
      <c r="I609" s="7">
        <v>820000</v>
      </c>
    </row>
    <row r="610" spans="1:9" x14ac:dyDescent="0.25">
      <c r="A610" t="s">
        <v>107</v>
      </c>
      <c r="C610" s="7">
        <v>0</v>
      </c>
      <c r="D610" s="7">
        <v>0</v>
      </c>
      <c r="E610" s="7">
        <v>10000</v>
      </c>
      <c r="F610" s="7">
        <v>0</v>
      </c>
      <c r="G610" s="7">
        <v>10000</v>
      </c>
      <c r="H610" s="7">
        <v>0</v>
      </c>
      <c r="I610" s="7">
        <v>20000</v>
      </c>
    </row>
    <row r="611" spans="1:9" x14ac:dyDescent="0.25">
      <c r="A611" t="s">
        <v>107</v>
      </c>
      <c r="B611" t="s">
        <v>1127</v>
      </c>
      <c r="C611" s="7">
        <v>0</v>
      </c>
      <c r="D611" s="7">
        <v>0</v>
      </c>
      <c r="E611" s="7">
        <v>0</v>
      </c>
      <c r="F611" s="7">
        <v>0</v>
      </c>
      <c r="G611" s="7">
        <v>0</v>
      </c>
      <c r="H611" s="7">
        <v>0</v>
      </c>
      <c r="I611" s="7">
        <v>0</v>
      </c>
    </row>
    <row r="612" spans="1:9" x14ac:dyDescent="0.25">
      <c r="A612" t="s">
        <v>107</v>
      </c>
      <c r="B612" t="s">
        <v>1128</v>
      </c>
      <c r="C612" s="7">
        <v>0</v>
      </c>
      <c r="D612" s="7">
        <v>0</v>
      </c>
      <c r="E612" s="7">
        <v>0</v>
      </c>
      <c r="F612" s="7">
        <v>0</v>
      </c>
      <c r="G612" s="7">
        <v>0</v>
      </c>
      <c r="H612" s="7">
        <v>0</v>
      </c>
      <c r="I612" s="7">
        <v>0</v>
      </c>
    </row>
    <row r="613" spans="1:9" x14ac:dyDescent="0.25">
      <c r="A613" t="s">
        <v>107</v>
      </c>
      <c r="B613" t="s">
        <v>1129</v>
      </c>
      <c r="C613" s="7">
        <v>0</v>
      </c>
      <c r="D613" s="7">
        <v>0</v>
      </c>
      <c r="E613" s="7">
        <v>0</v>
      </c>
      <c r="F613" s="7">
        <v>0</v>
      </c>
      <c r="G613" s="7">
        <v>0</v>
      </c>
      <c r="H613" s="7">
        <v>0</v>
      </c>
      <c r="I613" s="7">
        <v>0</v>
      </c>
    </row>
    <row r="614" spans="1:9" x14ac:dyDescent="0.25">
      <c r="A614" t="s">
        <v>107</v>
      </c>
      <c r="B614" t="s">
        <v>1130</v>
      </c>
      <c r="C614" s="7">
        <v>0</v>
      </c>
      <c r="D614" s="7">
        <v>0</v>
      </c>
      <c r="E614" s="7">
        <v>0</v>
      </c>
      <c r="F614" s="7">
        <v>0</v>
      </c>
      <c r="G614" s="7">
        <v>0</v>
      </c>
      <c r="H614" s="7">
        <v>0</v>
      </c>
      <c r="I614" s="7">
        <v>0</v>
      </c>
    </row>
    <row r="615" spans="1:9" x14ac:dyDescent="0.25">
      <c r="A615" t="s">
        <v>107</v>
      </c>
      <c r="B615" t="s">
        <v>1131</v>
      </c>
      <c r="C615" s="7">
        <v>0</v>
      </c>
      <c r="D615" s="7">
        <v>0</v>
      </c>
      <c r="E615" s="7">
        <v>0</v>
      </c>
      <c r="F615" s="7">
        <v>0</v>
      </c>
      <c r="G615" s="7">
        <v>0</v>
      </c>
      <c r="H615" s="7">
        <v>0</v>
      </c>
      <c r="I615" s="7">
        <v>0</v>
      </c>
    </row>
    <row r="616" spans="1:9" x14ac:dyDescent="0.25">
      <c r="A616" t="s">
        <v>107</v>
      </c>
      <c r="B616" t="s">
        <v>1132</v>
      </c>
      <c r="C616" s="7">
        <v>0</v>
      </c>
      <c r="D616" s="7">
        <v>0</v>
      </c>
      <c r="E616" s="7">
        <v>10000</v>
      </c>
      <c r="F616" s="7">
        <v>0</v>
      </c>
      <c r="G616" s="7">
        <v>10000</v>
      </c>
      <c r="H616" s="7">
        <v>0</v>
      </c>
      <c r="I616" s="7">
        <v>20000</v>
      </c>
    </row>
    <row r="617" spans="1:9" x14ac:dyDescent="0.25">
      <c r="A617" t="s">
        <v>107</v>
      </c>
      <c r="B617" t="s">
        <v>1133</v>
      </c>
      <c r="C617" s="7">
        <v>0</v>
      </c>
      <c r="D617" s="7">
        <v>0</v>
      </c>
      <c r="E617" s="7">
        <v>0</v>
      </c>
      <c r="F617" s="7">
        <v>0</v>
      </c>
      <c r="G617" s="7">
        <v>0</v>
      </c>
      <c r="H617" s="7">
        <v>0</v>
      </c>
      <c r="I617" s="7">
        <v>0</v>
      </c>
    </row>
    <row r="618" spans="1:9" x14ac:dyDescent="0.25">
      <c r="A618" t="s">
        <v>107</v>
      </c>
      <c r="B618" t="s">
        <v>1134</v>
      </c>
      <c r="C618" s="7">
        <v>0</v>
      </c>
      <c r="D618" s="7">
        <v>0</v>
      </c>
      <c r="E618" s="7">
        <v>0</v>
      </c>
      <c r="F618" s="7">
        <v>0</v>
      </c>
      <c r="G618" s="7">
        <v>0</v>
      </c>
      <c r="H618" s="7">
        <v>0</v>
      </c>
      <c r="I618" s="7">
        <v>0</v>
      </c>
    </row>
    <row r="619" spans="1:9" x14ac:dyDescent="0.25">
      <c r="A619" t="s">
        <v>79</v>
      </c>
      <c r="C619" s="7">
        <v>300000</v>
      </c>
      <c r="D619" s="7">
        <v>300000</v>
      </c>
      <c r="E619" s="7">
        <v>200000</v>
      </c>
      <c r="F619" s="7">
        <v>200000</v>
      </c>
      <c r="G619" s="7">
        <v>0</v>
      </c>
      <c r="H619" s="7">
        <v>0</v>
      </c>
      <c r="I619" s="7">
        <v>1000000</v>
      </c>
    </row>
    <row r="620" spans="1:9" x14ac:dyDescent="0.25">
      <c r="A620" t="s">
        <v>79</v>
      </c>
      <c r="B620" t="s">
        <v>417</v>
      </c>
      <c r="C620" s="7">
        <v>0</v>
      </c>
      <c r="D620" s="7">
        <v>0</v>
      </c>
      <c r="E620" s="7">
        <v>0</v>
      </c>
      <c r="F620" s="7">
        <v>0</v>
      </c>
      <c r="G620" s="7">
        <v>0</v>
      </c>
      <c r="H620" s="7">
        <v>0</v>
      </c>
      <c r="I620" s="7">
        <v>0</v>
      </c>
    </row>
    <row r="621" spans="1:9" x14ac:dyDescent="0.25">
      <c r="A621" t="s">
        <v>79</v>
      </c>
      <c r="B621" t="s">
        <v>418</v>
      </c>
      <c r="C621" s="7">
        <v>0</v>
      </c>
      <c r="D621" s="7">
        <v>0</v>
      </c>
      <c r="E621" s="7">
        <v>0</v>
      </c>
      <c r="F621" s="7">
        <v>0</v>
      </c>
      <c r="G621" s="7">
        <v>0</v>
      </c>
      <c r="H621" s="7">
        <v>0</v>
      </c>
      <c r="I621" s="7">
        <v>0</v>
      </c>
    </row>
    <row r="622" spans="1:9" x14ac:dyDescent="0.25">
      <c r="A622" t="s">
        <v>79</v>
      </c>
      <c r="B622" t="s">
        <v>419</v>
      </c>
      <c r="C622" s="7">
        <v>0</v>
      </c>
      <c r="D622" s="7">
        <v>0</v>
      </c>
      <c r="E622" s="7">
        <v>0</v>
      </c>
      <c r="F622" s="7">
        <v>0</v>
      </c>
      <c r="G622" s="7">
        <v>0</v>
      </c>
      <c r="H622" s="7">
        <v>0</v>
      </c>
      <c r="I622" s="7">
        <v>0</v>
      </c>
    </row>
    <row r="623" spans="1:9" x14ac:dyDescent="0.25">
      <c r="A623" t="s">
        <v>79</v>
      </c>
      <c r="B623" t="s">
        <v>420</v>
      </c>
      <c r="C623" s="7">
        <v>0</v>
      </c>
      <c r="D623" s="7">
        <v>0</v>
      </c>
      <c r="E623" s="7">
        <v>0</v>
      </c>
      <c r="F623" s="7">
        <v>0</v>
      </c>
      <c r="G623" s="7">
        <v>0</v>
      </c>
      <c r="H623" s="7">
        <v>0</v>
      </c>
      <c r="I623" s="7">
        <v>0</v>
      </c>
    </row>
    <row r="624" spans="1:9" x14ac:dyDescent="0.25">
      <c r="A624" t="s">
        <v>79</v>
      </c>
      <c r="B624" t="s">
        <v>421</v>
      </c>
      <c r="C624" s="7">
        <v>100000</v>
      </c>
      <c r="D624" s="7">
        <v>100000</v>
      </c>
      <c r="E624" s="7">
        <v>0</v>
      </c>
      <c r="F624" s="7">
        <v>0</v>
      </c>
      <c r="G624" s="7">
        <v>0</v>
      </c>
      <c r="H624" s="7">
        <v>0</v>
      </c>
      <c r="I624" s="7">
        <v>200000</v>
      </c>
    </row>
    <row r="625" spans="1:9" x14ac:dyDescent="0.25">
      <c r="A625" t="s">
        <v>79</v>
      </c>
      <c r="B625" t="s">
        <v>422</v>
      </c>
      <c r="C625" s="7">
        <v>200000</v>
      </c>
      <c r="D625" s="7">
        <v>200000</v>
      </c>
      <c r="E625" s="7">
        <v>200000</v>
      </c>
      <c r="F625" s="7">
        <v>200000</v>
      </c>
      <c r="G625" s="7">
        <v>0</v>
      </c>
      <c r="H625" s="7">
        <v>0</v>
      </c>
      <c r="I625" s="7">
        <v>800000</v>
      </c>
    </row>
    <row r="626" spans="1:9" x14ac:dyDescent="0.25">
      <c r="A626" t="s">
        <v>79</v>
      </c>
      <c r="B626" t="s">
        <v>423</v>
      </c>
      <c r="C626" s="7">
        <v>0</v>
      </c>
      <c r="D626" s="7">
        <v>0</v>
      </c>
      <c r="E626" s="7">
        <v>0</v>
      </c>
      <c r="F626" s="7">
        <v>0</v>
      </c>
      <c r="G626" s="7">
        <v>0</v>
      </c>
      <c r="H626" s="7">
        <v>0</v>
      </c>
      <c r="I626" s="7">
        <v>0</v>
      </c>
    </row>
    <row r="627" spans="1:9" x14ac:dyDescent="0.25">
      <c r="A627" t="s">
        <v>79</v>
      </c>
      <c r="B627" t="s">
        <v>424</v>
      </c>
      <c r="C627" s="7">
        <v>0</v>
      </c>
      <c r="D627" s="7">
        <v>0</v>
      </c>
      <c r="E627" s="7">
        <v>0</v>
      </c>
      <c r="F627" s="7">
        <v>0</v>
      </c>
      <c r="G627" s="7">
        <v>0</v>
      </c>
      <c r="H627" s="7">
        <v>0</v>
      </c>
      <c r="I627" s="7">
        <v>0</v>
      </c>
    </row>
    <row r="628" spans="1:9" x14ac:dyDescent="0.25">
      <c r="A628" t="s">
        <v>79</v>
      </c>
      <c r="B628" t="s">
        <v>425</v>
      </c>
      <c r="C628" s="7">
        <v>0</v>
      </c>
      <c r="D628" s="7">
        <v>0</v>
      </c>
      <c r="E628" s="7">
        <v>0</v>
      </c>
      <c r="F628" s="7">
        <v>0</v>
      </c>
      <c r="G628" s="7">
        <v>0</v>
      </c>
      <c r="H628" s="7">
        <v>0</v>
      </c>
      <c r="I628" s="7">
        <v>0</v>
      </c>
    </row>
    <row r="629" spans="1:9" x14ac:dyDescent="0.25">
      <c r="A629" t="s">
        <v>79</v>
      </c>
      <c r="B629" t="s">
        <v>426</v>
      </c>
      <c r="C629" s="7">
        <v>0</v>
      </c>
      <c r="D629" s="7">
        <v>0</v>
      </c>
      <c r="E629" s="7">
        <v>0</v>
      </c>
      <c r="F629" s="7">
        <v>0</v>
      </c>
      <c r="G629" s="7">
        <v>0</v>
      </c>
      <c r="H629" s="7">
        <v>0</v>
      </c>
      <c r="I629" s="7">
        <v>0</v>
      </c>
    </row>
    <row r="630" spans="1:9" x14ac:dyDescent="0.25">
      <c r="A630" t="s">
        <v>79</v>
      </c>
      <c r="B630" t="s">
        <v>427</v>
      </c>
      <c r="C630" s="7">
        <v>0</v>
      </c>
      <c r="D630" s="7">
        <v>0</v>
      </c>
      <c r="E630" s="7">
        <v>0</v>
      </c>
      <c r="F630" s="7">
        <v>0</v>
      </c>
      <c r="G630" s="7">
        <v>0</v>
      </c>
      <c r="H630" s="7">
        <v>0</v>
      </c>
      <c r="I630" s="7">
        <v>0</v>
      </c>
    </row>
    <row r="631" spans="1:9" x14ac:dyDescent="0.25">
      <c r="A631" t="s">
        <v>80</v>
      </c>
      <c r="C631" s="7">
        <v>0</v>
      </c>
      <c r="D631" s="7">
        <v>10000</v>
      </c>
      <c r="E631" s="7">
        <v>100000</v>
      </c>
      <c r="F631" s="7">
        <v>100000</v>
      </c>
      <c r="G631" s="7">
        <v>100000</v>
      </c>
      <c r="H631" s="7">
        <v>100000</v>
      </c>
      <c r="I631" s="7">
        <v>410000</v>
      </c>
    </row>
    <row r="632" spans="1:9" x14ac:dyDescent="0.25">
      <c r="A632" t="s">
        <v>80</v>
      </c>
      <c r="B632" t="s">
        <v>1135</v>
      </c>
      <c r="C632" s="7">
        <v>0</v>
      </c>
      <c r="D632" s="7">
        <v>0</v>
      </c>
      <c r="E632" s="7">
        <v>0</v>
      </c>
      <c r="F632" s="7">
        <v>0</v>
      </c>
      <c r="G632" s="7">
        <v>0</v>
      </c>
      <c r="H632" s="7">
        <v>0</v>
      </c>
      <c r="I632" s="7">
        <v>0</v>
      </c>
    </row>
    <row r="633" spans="1:9" x14ac:dyDescent="0.25">
      <c r="A633" t="s">
        <v>80</v>
      </c>
      <c r="B633" t="s">
        <v>1136</v>
      </c>
      <c r="C633" s="7">
        <v>0</v>
      </c>
      <c r="D633" s="7">
        <v>10000</v>
      </c>
      <c r="E633" s="7">
        <v>0</v>
      </c>
      <c r="F633" s="7">
        <v>0</v>
      </c>
      <c r="G633" s="7">
        <v>0</v>
      </c>
      <c r="H633" s="7">
        <v>0</v>
      </c>
      <c r="I633" s="7">
        <v>10000</v>
      </c>
    </row>
    <row r="634" spans="1:9" x14ac:dyDescent="0.25">
      <c r="A634" t="s">
        <v>80</v>
      </c>
      <c r="B634" t="s">
        <v>1137</v>
      </c>
      <c r="C634" s="7">
        <v>0</v>
      </c>
      <c r="D634" s="7">
        <v>0</v>
      </c>
      <c r="E634" s="7">
        <v>100000</v>
      </c>
      <c r="F634" s="7">
        <v>100000</v>
      </c>
      <c r="G634" s="7">
        <v>100000</v>
      </c>
      <c r="H634" s="7">
        <v>100000</v>
      </c>
      <c r="I634" s="7">
        <v>400000</v>
      </c>
    </row>
    <row r="635" spans="1:9" x14ac:dyDescent="0.25">
      <c r="A635" t="s">
        <v>80</v>
      </c>
      <c r="B635" t="s">
        <v>1138</v>
      </c>
      <c r="C635" s="7">
        <v>0</v>
      </c>
      <c r="D635" s="7">
        <v>0</v>
      </c>
      <c r="E635" s="7">
        <v>0</v>
      </c>
      <c r="F635" s="7">
        <v>0</v>
      </c>
      <c r="G635" s="7">
        <v>0</v>
      </c>
      <c r="H635" s="7">
        <v>0</v>
      </c>
      <c r="I635" s="7">
        <v>0</v>
      </c>
    </row>
    <row r="636" spans="1:9" x14ac:dyDescent="0.25">
      <c r="A636" t="s">
        <v>81</v>
      </c>
      <c r="C636" s="7">
        <v>640000</v>
      </c>
      <c r="D636" s="7">
        <v>380000</v>
      </c>
      <c r="E636" s="7">
        <v>90000</v>
      </c>
      <c r="F636" s="7">
        <v>0</v>
      </c>
      <c r="G636" s="7">
        <v>0</v>
      </c>
      <c r="H636" s="7">
        <v>0</v>
      </c>
      <c r="I636" s="7">
        <v>1110000</v>
      </c>
    </row>
    <row r="637" spans="1:9" x14ac:dyDescent="0.25">
      <c r="A637" t="s">
        <v>81</v>
      </c>
      <c r="B637" t="s">
        <v>1139</v>
      </c>
      <c r="C637" s="7">
        <v>485000</v>
      </c>
      <c r="D637" s="7">
        <v>215000</v>
      </c>
      <c r="E637" s="7">
        <v>0</v>
      </c>
      <c r="F637" s="7">
        <v>0</v>
      </c>
      <c r="G637" s="7">
        <v>0</v>
      </c>
      <c r="H637" s="7">
        <v>0</v>
      </c>
      <c r="I637" s="7">
        <v>700000</v>
      </c>
    </row>
    <row r="638" spans="1:9" x14ac:dyDescent="0.25">
      <c r="A638" t="s">
        <v>81</v>
      </c>
      <c r="B638" t="s">
        <v>1140</v>
      </c>
      <c r="C638" s="7">
        <v>35000</v>
      </c>
      <c r="D638" s="7">
        <v>35000</v>
      </c>
      <c r="E638" s="7">
        <v>0</v>
      </c>
      <c r="F638" s="7">
        <v>0</v>
      </c>
      <c r="G638" s="7">
        <v>0</v>
      </c>
      <c r="H638" s="7">
        <v>0</v>
      </c>
      <c r="I638" s="7">
        <v>70000</v>
      </c>
    </row>
    <row r="639" spans="1:9" x14ac:dyDescent="0.25">
      <c r="A639" t="s">
        <v>81</v>
      </c>
      <c r="B639" t="s">
        <v>1141</v>
      </c>
      <c r="C639" s="7">
        <v>0</v>
      </c>
      <c r="D639" s="7">
        <v>20000</v>
      </c>
      <c r="E639" s="7">
        <v>20000</v>
      </c>
      <c r="F639" s="7">
        <v>0</v>
      </c>
      <c r="G639" s="7">
        <v>0</v>
      </c>
      <c r="H639" s="7">
        <v>0</v>
      </c>
      <c r="I639" s="7">
        <v>40000</v>
      </c>
    </row>
    <row r="640" spans="1:9" x14ac:dyDescent="0.25">
      <c r="A640" t="s">
        <v>81</v>
      </c>
      <c r="B640" t="s">
        <v>1142</v>
      </c>
      <c r="C640" s="7">
        <v>80000</v>
      </c>
      <c r="D640" s="7">
        <v>70000</v>
      </c>
      <c r="E640" s="7">
        <v>70000</v>
      </c>
      <c r="F640" s="7">
        <v>0</v>
      </c>
      <c r="G640" s="7">
        <v>0</v>
      </c>
      <c r="H640" s="7">
        <v>0</v>
      </c>
      <c r="I640" s="7">
        <v>220000</v>
      </c>
    </row>
    <row r="641" spans="1:9" x14ac:dyDescent="0.25">
      <c r="A641" t="s">
        <v>81</v>
      </c>
      <c r="B641" t="s">
        <v>1143</v>
      </c>
      <c r="C641" s="7">
        <v>0</v>
      </c>
      <c r="D641" s="7">
        <v>0</v>
      </c>
      <c r="E641" s="7">
        <v>0</v>
      </c>
      <c r="F641" s="7">
        <v>0</v>
      </c>
      <c r="G641" s="7">
        <v>0</v>
      </c>
      <c r="H641" s="7">
        <v>0</v>
      </c>
      <c r="I641" s="7">
        <v>0</v>
      </c>
    </row>
    <row r="642" spans="1:9" x14ac:dyDescent="0.25">
      <c r="A642" t="s">
        <v>81</v>
      </c>
      <c r="B642" t="s">
        <v>1144</v>
      </c>
      <c r="C642" s="7">
        <v>0</v>
      </c>
      <c r="D642" s="7">
        <v>0</v>
      </c>
      <c r="E642" s="7">
        <v>0</v>
      </c>
      <c r="F642" s="7">
        <v>0</v>
      </c>
      <c r="G642" s="7">
        <v>0</v>
      </c>
      <c r="H642" s="7">
        <v>0</v>
      </c>
      <c r="I642" s="7">
        <v>0</v>
      </c>
    </row>
    <row r="643" spans="1:9" x14ac:dyDescent="0.25">
      <c r="A643" t="s">
        <v>81</v>
      </c>
      <c r="B643" t="s">
        <v>1145</v>
      </c>
      <c r="C643" s="7">
        <v>0</v>
      </c>
      <c r="D643" s="7">
        <v>40000</v>
      </c>
      <c r="E643" s="7">
        <v>0</v>
      </c>
      <c r="F643" s="7">
        <v>0</v>
      </c>
      <c r="G643" s="7">
        <v>0</v>
      </c>
      <c r="H643" s="7">
        <v>0</v>
      </c>
      <c r="I643" s="7">
        <v>40000</v>
      </c>
    </row>
    <row r="644" spans="1:9" x14ac:dyDescent="0.25">
      <c r="A644" t="s">
        <v>81</v>
      </c>
      <c r="B644" t="s">
        <v>1146</v>
      </c>
      <c r="C644" s="7">
        <v>40000</v>
      </c>
      <c r="D644" s="7">
        <v>0</v>
      </c>
      <c r="E644" s="7">
        <v>0</v>
      </c>
      <c r="F644" s="7">
        <v>0</v>
      </c>
      <c r="G644" s="7">
        <v>0</v>
      </c>
      <c r="H644" s="7">
        <v>0</v>
      </c>
      <c r="I644" s="7">
        <v>40000</v>
      </c>
    </row>
    <row r="645" spans="1:9" x14ac:dyDescent="0.25">
      <c r="A645" t="s">
        <v>82</v>
      </c>
      <c r="C645" s="7">
        <v>0</v>
      </c>
      <c r="D645" s="7">
        <v>0</v>
      </c>
      <c r="E645" s="7">
        <v>0</v>
      </c>
      <c r="F645" s="7">
        <v>0</v>
      </c>
      <c r="G645" s="7">
        <v>0</v>
      </c>
      <c r="H645" s="7">
        <v>0</v>
      </c>
      <c r="I645" s="7">
        <v>0</v>
      </c>
    </row>
    <row r="646" spans="1:9" x14ac:dyDescent="0.25">
      <c r="A646" t="s">
        <v>82</v>
      </c>
      <c r="B646" t="s">
        <v>1147</v>
      </c>
      <c r="C646" s="7">
        <v>0</v>
      </c>
      <c r="D646" s="7">
        <v>0</v>
      </c>
      <c r="E646" s="7">
        <v>0</v>
      </c>
      <c r="F646" s="7">
        <v>0</v>
      </c>
      <c r="G646" s="7">
        <v>0</v>
      </c>
      <c r="H646" s="7">
        <v>0</v>
      </c>
      <c r="I646" s="7">
        <v>0</v>
      </c>
    </row>
    <row r="647" spans="1:9" x14ac:dyDescent="0.25">
      <c r="A647" t="s">
        <v>82</v>
      </c>
      <c r="B647" t="s">
        <v>1148</v>
      </c>
      <c r="C647" s="7">
        <v>0</v>
      </c>
      <c r="D647" s="7">
        <v>0</v>
      </c>
      <c r="E647" s="7">
        <v>0</v>
      </c>
      <c r="F647" s="7">
        <v>0</v>
      </c>
      <c r="G647" s="7">
        <v>0</v>
      </c>
      <c r="H647" s="7">
        <v>0</v>
      </c>
      <c r="I647" s="7">
        <v>0</v>
      </c>
    </row>
    <row r="648" spans="1:9" x14ac:dyDescent="0.25">
      <c r="A648" t="s">
        <v>82</v>
      </c>
      <c r="B648" t="s">
        <v>1149</v>
      </c>
      <c r="C648" s="7">
        <v>0</v>
      </c>
      <c r="D648" s="7">
        <v>0</v>
      </c>
      <c r="E648" s="7">
        <v>0</v>
      </c>
      <c r="F648" s="7">
        <v>0</v>
      </c>
      <c r="G648" s="7">
        <v>0</v>
      </c>
      <c r="H648" s="7">
        <v>0</v>
      </c>
      <c r="I648" s="7">
        <v>0</v>
      </c>
    </row>
    <row r="649" spans="1:9" x14ac:dyDescent="0.25">
      <c r="A649" t="s">
        <v>82</v>
      </c>
      <c r="B649" t="s">
        <v>1150</v>
      </c>
      <c r="C649" s="7">
        <v>0</v>
      </c>
      <c r="D649" s="7">
        <v>0</v>
      </c>
      <c r="E649" s="7">
        <v>0</v>
      </c>
      <c r="F649" s="7">
        <v>0</v>
      </c>
      <c r="G649" s="7">
        <v>0</v>
      </c>
      <c r="H649" s="7">
        <v>0</v>
      </c>
      <c r="I649" s="7">
        <v>0</v>
      </c>
    </row>
    <row r="650" spans="1:9" x14ac:dyDescent="0.25">
      <c r="A650" t="s">
        <v>82</v>
      </c>
      <c r="B650" t="s">
        <v>1151</v>
      </c>
      <c r="C650" s="7">
        <v>0</v>
      </c>
      <c r="D650" s="7">
        <v>0</v>
      </c>
      <c r="E650" s="7">
        <v>0</v>
      </c>
      <c r="F650" s="7">
        <v>0</v>
      </c>
      <c r="G650" s="7">
        <v>0</v>
      </c>
      <c r="H650" s="7">
        <v>0</v>
      </c>
      <c r="I650" s="7">
        <v>0</v>
      </c>
    </row>
    <row r="651" spans="1:9" x14ac:dyDescent="0.25">
      <c r="A651" t="s">
        <v>82</v>
      </c>
      <c r="B651" t="s">
        <v>1152</v>
      </c>
      <c r="C651" s="7">
        <v>0</v>
      </c>
      <c r="D651" s="7">
        <v>0</v>
      </c>
      <c r="E651" s="7">
        <v>0</v>
      </c>
      <c r="F651" s="7">
        <v>0</v>
      </c>
      <c r="G651" s="7">
        <v>0</v>
      </c>
      <c r="H651" s="7">
        <v>0</v>
      </c>
      <c r="I651" s="7">
        <v>0</v>
      </c>
    </row>
    <row r="652" spans="1:9" x14ac:dyDescent="0.25">
      <c r="A652" t="s">
        <v>82</v>
      </c>
      <c r="B652" t="s">
        <v>1153</v>
      </c>
      <c r="C652" s="7">
        <v>0</v>
      </c>
      <c r="D652" s="7">
        <v>0</v>
      </c>
      <c r="E652" s="7">
        <v>0</v>
      </c>
      <c r="F652" s="7">
        <v>0</v>
      </c>
      <c r="G652" s="7">
        <v>0</v>
      </c>
      <c r="H652" s="7">
        <v>0</v>
      </c>
      <c r="I652" s="7">
        <v>0</v>
      </c>
    </row>
    <row r="653" spans="1:9" x14ac:dyDescent="0.25">
      <c r="A653" t="s">
        <v>83</v>
      </c>
      <c r="C653" s="7">
        <v>0</v>
      </c>
      <c r="D653" s="7">
        <v>0</v>
      </c>
      <c r="E653" s="7">
        <v>0</v>
      </c>
      <c r="F653" s="7">
        <v>0</v>
      </c>
      <c r="G653" s="7">
        <v>0</v>
      </c>
      <c r="H653" s="7">
        <v>0</v>
      </c>
      <c r="I653" s="7">
        <v>0</v>
      </c>
    </row>
    <row r="654" spans="1:9" x14ac:dyDescent="0.25">
      <c r="A654" t="s">
        <v>83</v>
      </c>
      <c r="B654" t="s">
        <v>1154</v>
      </c>
      <c r="C654" s="7">
        <v>0</v>
      </c>
      <c r="D654" s="7">
        <v>0</v>
      </c>
      <c r="E654" s="7">
        <v>0</v>
      </c>
      <c r="F654" s="7">
        <v>0</v>
      </c>
      <c r="G654" s="7">
        <v>0</v>
      </c>
      <c r="H654" s="7">
        <v>0</v>
      </c>
      <c r="I654" s="7">
        <v>0</v>
      </c>
    </row>
    <row r="655" spans="1:9" x14ac:dyDescent="0.25">
      <c r="A655" t="s">
        <v>83</v>
      </c>
      <c r="B655" t="s">
        <v>1155</v>
      </c>
      <c r="C655" s="7">
        <v>0</v>
      </c>
      <c r="D655" s="7">
        <v>0</v>
      </c>
      <c r="E655" s="7">
        <v>0</v>
      </c>
      <c r="F655" s="7">
        <v>0</v>
      </c>
      <c r="G655" s="7">
        <v>0</v>
      </c>
      <c r="H655" s="7">
        <v>0</v>
      </c>
      <c r="I655" s="7">
        <v>0</v>
      </c>
    </row>
    <row r="656" spans="1:9" x14ac:dyDescent="0.25">
      <c r="A656" t="s">
        <v>84</v>
      </c>
      <c r="C656" s="7">
        <v>5000</v>
      </c>
      <c r="D656" s="7">
        <v>5000</v>
      </c>
      <c r="E656" s="7">
        <v>5000</v>
      </c>
      <c r="F656" s="7">
        <v>5000</v>
      </c>
      <c r="G656" s="7">
        <v>5000</v>
      </c>
      <c r="H656" s="7">
        <v>5000</v>
      </c>
      <c r="I656" s="7">
        <v>30000</v>
      </c>
    </row>
    <row r="657" spans="1:9" x14ac:dyDescent="0.25">
      <c r="A657" t="s">
        <v>84</v>
      </c>
      <c r="B657" t="s">
        <v>1156</v>
      </c>
      <c r="C657" s="7">
        <v>5000</v>
      </c>
      <c r="D657" s="7">
        <v>5000</v>
      </c>
      <c r="E657" s="7">
        <v>5000</v>
      </c>
      <c r="F657" s="7">
        <v>5000</v>
      </c>
      <c r="G657" s="7">
        <v>5000</v>
      </c>
      <c r="H657" s="7">
        <v>5000</v>
      </c>
      <c r="I657" s="7">
        <v>30000</v>
      </c>
    </row>
    <row r="658" spans="1:9" x14ac:dyDescent="0.25">
      <c r="A658" t="s">
        <v>84</v>
      </c>
      <c r="B658" t="s">
        <v>1157</v>
      </c>
      <c r="C658" s="7">
        <v>0</v>
      </c>
      <c r="D658" s="7">
        <v>0</v>
      </c>
      <c r="E658" s="7">
        <v>0</v>
      </c>
      <c r="F658" s="7">
        <v>0</v>
      </c>
      <c r="G658" s="7">
        <v>0</v>
      </c>
      <c r="H658" s="7">
        <v>0</v>
      </c>
      <c r="I658" s="7">
        <v>0</v>
      </c>
    </row>
    <row r="659" spans="1:9" x14ac:dyDescent="0.25">
      <c r="A659" t="s">
        <v>84</v>
      </c>
      <c r="B659" t="s">
        <v>1158</v>
      </c>
      <c r="C659" s="7">
        <v>0</v>
      </c>
      <c r="D659" s="7">
        <v>0</v>
      </c>
      <c r="E659" s="7">
        <v>0</v>
      </c>
      <c r="F659" s="7">
        <v>0</v>
      </c>
      <c r="G659" s="7">
        <v>0</v>
      </c>
      <c r="H659" s="7">
        <v>0</v>
      </c>
      <c r="I659" s="7">
        <v>0</v>
      </c>
    </row>
    <row r="660" spans="1:9" x14ac:dyDescent="0.25">
      <c r="A660" t="s">
        <v>84</v>
      </c>
      <c r="B660" t="s">
        <v>1159</v>
      </c>
      <c r="C660" s="7">
        <v>0</v>
      </c>
      <c r="D660" s="7">
        <v>0</v>
      </c>
      <c r="E660" s="7">
        <v>0</v>
      </c>
      <c r="F660" s="7">
        <v>0</v>
      </c>
      <c r="G660" s="7">
        <v>0</v>
      </c>
      <c r="H660" s="7">
        <v>0</v>
      </c>
      <c r="I660" s="7">
        <v>0</v>
      </c>
    </row>
    <row r="661" spans="1:9" x14ac:dyDescent="0.25">
      <c r="A661" t="s">
        <v>84</v>
      </c>
      <c r="B661" t="s">
        <v>1160</v>
      </c>
      <c r="C661" s="7">
        <v>0</v>
      </c>
      <c r="D661" s="7">
        <v>0</v>
      </c>
      <c r="E661" s="7">
        <v>0</v>
      </c>
      <c r="F661" s="7">
        <v>0</v>
      </c>
      <c r="G661" s="7">
        <v>0</v>
      </c>
      <c r="H661" s="7">
        <v>0</v>
      </c>
      <c r="I661" s="7">
        <v>0</v>
      </c>
    </row>
    <row r="662" spans="1:9" x14ac:dyDescent="0.25">
      <c r="A662" t="s">
        <v>110</v>
      </c>
      <c r="C662" s="7">
        <v>0</v>
      </c>
      <c r="D662" s="7">
        <v>0</v>
      </c>
      <c r="E662" s="7">
        <v>0</v>
      </c>
      <c r="F662" s="7">
        <v>0</v>
      </c>
      <c r="G662" s="7">
        <v>0</v>
      </c>
      <c r="H662" s="7">
        <v>0</v>
      </c>
      <c r="I662" s="7">
        <v>0</v>
      </c>
    </row>
    <row r="663" spans="1:9" x14ac:dyDescent="0.25">
      <c r="A663" t="s">
        <v>110</v>
      </c>
      <c r="B663" t="s">
        <v>1161</v>
      </c>
      <c r="C663" s="7">
        <v>0</v>
      </c>
      <c r="D663" s="7">
        <v>0</v>
      </c>
      <c r="E663" s="7">
        <v>0</v>
      </c>
      <c r="F663" s="7">
        <v>0</v>
      </c>
      <c r="G663" s="7">
        <v>0</v>
      </c>
      <c r="H663" s="7">
        <v>0</v>
      </c>
      <c r="I663" s="7">
        <v>0</v>
      </c>
    </row>
    <row r="664" spans="1:9" x14ac:dyDescent="0.25">
      <c r="A664" t="s">
        <v>110</v>
      </c>
      <c r="B664" t="s">
        <v>1162</v>
      </c>
      <c r="C664" s="7">
        <v>0</v>
      </c>
      <c r="D664" s="7">
        <v>0</v>
      </c>
      <c r="E664" s="7">
        <v>0</v>
      </c>
      <c r="F664" s="7">
        <v>0</v>
      </c>
      <c r="G664" s="7">
        <v>0</v>
      </c>
      <c r="H664" s="7">
        <v>0</v>
      </c>
      <c r="I664" s="7">
        <v>0</v>
      </c>
    </row>
    <row r="665" spans="1:9" x14ac:dyDescent="0.25">
      <c r="A665" t="s">
        <v>119</v>
      </c>
      <c r="C665" s="7">
        <v>0</v>
      </c>
      <c r="D665" s="7">
        <v>0</v>
      </c>
      <c r="E665" s="7">
        <v>0</v>
      </c>
      <c r="F665" s="7">
        <v>0</v>
      </c>
      <c r="G665" s="7">
        <v>0</v>
      </c>
      <c r="H665" s="7">
        <v>0</v>
      </c>
      <c r="I665" s="7">
        <v>0</v>
      </c>
    </row>
    <row r="666" spans="1:9" x14ac:dyDescent="0.25">
      <c r="A666" t="s">
        <v>119</v>
      </c>
      <c r="B666" t="s">
        <v>1163</v>
      </c>
      <c r="C666" s="7">
        <v>0</v>
      </c>
      <c r="D666" s="7">
        <v>0</v>
      </c>
      <c r="E666" s="7">
        <v>0</v>
      </c>
      <c r="F666" s="7">
        <v>0</v>
      </c>
      <c r="G666" s="7">
        <v>0</v>
      </c>
      <c r="H666" s="7">
        <v>0</v>
      </c>
      <c r="I666" s="7">
        <v>0</v>
      </c>
    </row>
    <row r="667" spans="1:9" x14ac:dyDescent="0.25">
      <c r="A667" t="s">
        <v>119</v>
      </c>
      <c r="B667" t="s">
        <v>1164</v>
      </c>
      <c r="C667" s="7">
        <v>0</v>
      </c>
      <c r="D667" s="7">
        <v>0</v>
      </c>
      <c r="E667" s="7">
        <v>0</v>
      </c>
      <c r="F667" s="7">
        <v>0</v>
      </c>
      <c r="G667" s="7">
        <v>0</v>
      </c>
      <c r="H667" s="7">
        <v>0</v>
      </c>
      <c r="I667" s="7">
        <v>0</v>
      </c>
    </row>
    <row r="668" spans="1:9" x14ac:dyDescent="0.25">
      <c r="A668" t="s">
        <v>120</v>
      </c>
      <c r="C668" s="7">
        <v>0</v>
      </c>
      <c r="D668" s="7">
        <v>0</v>
      </c>
      <c r="E668" s="7">
        <v>0</v>
      </c>
      <c r="F668" s="7">
        <v>0</v>
      </c>
      <c r="G668" s="7">
        <v>0</v>
      </c>
      <c r="H668" s="7">
        <v>0</v>
      </c>
      <c r="I668" s="7">
        <v>0</v>
      </c>
    </row>
    <row r="669" spans="1:9" x14ac:dyDescent="0.25">
      <c r="A669" t="s">
        <v>120</v>
      </c>
      <c r="B669" t="s">
        <v>1165</v>
      </c>
      <c r="C669" s="7">
        <v>0</v>
      </c>
      <c r="D669" s="7">
        <v>0</v>
      </c>
      <c r="E669" s="7">
        <v>0</v>
      </c>
      <c r="F669" s="7">
        <v>0</v>
      </c>
      <c r="G669" s="7">
        <v>0</v>
      </c>
      <c r="H669" s="7">
        <v>0</v>
      </c>
      <c r="I669" s="7">
        <v>0</v>
      </c>
    </row>
    <row r="670" spans="1:9" x14ac:dyDescent="0.25">
      <c r="A670" t="s">
        <v>120</v>
      </c>
      <c r="B670" t="s">
        <v>1166</v>
      </c>
      <c r="C670" s="7">
        <v>0</v>
      </c>
      <c r="D670" s="7">
        <v>0</v>
      </c>
      <c r="E670" s="7">
        <v>0</v>
      </c>
      <c r="F670" s="7">
        <v>0</v>
      </c>
      <c r="G670" s="7">
        <v>0</v>
      </c>
      <c r="H670" s="7">
        <v>0</v>
      </c>
      <c r="I670" s="7">
        <v>0</v>
      </c>
    </row>
    <row r="671" spans="1:9" x14ac:dyDescent="0.25">
      <c r="A671" t="s">
        <v>120</v>
      </c>
      <c r="B671" t="s">
        <v>1167</v>
      </c>
      <c r="C671" s="7">
        <v>0</v>
      </c>
      <c r="D671" s="7">
        <v>0</v>
      </c>
      <c r="E671" s="7">
        <v>0</v>
      </c>
      <c r="F671" s="7">
        <v>0</v>
      </c>
      <c r="G671" s="7">
        <v>0</v>
      </c>
      <c r="H671" s="7">
        <v>0</v>
      </c>
      <c r="I671" s="7">
        <v>0</v>
      </c>
    </row>
    <row r="672" spans="1:9" x14ac:dyDescent="0.25">
      <c r="A672" t="s">
        <v>120</v>
      </c>
      <c r="B672" t="s">
        <v>1168</v>
      </c>
      <c r="C672" s="7">
        <v>0</v>
      </c>
      <c r="D672" s="7">
        <v>0</v>
      </c>
      <c r="E672" s="7">
        <v>0</v>
      </c>
      <c r="F672" s="7">
        <v>0</v>
      </c>
      <c r="G672" s="7">
        <v>0</v>
      </c>
      <c r="H672" s="7">
        <v>0</v>
      </c>
      <c r="I672" s="7">
        <v>0</v>
      </c>
    </row>
    <row r="673" spans="1:9" x14ac:dyDescent="0.25">
      <c r="A673" t="s">
        <v>121</v>
      </c>
      <c r="C673" s="7">
        <v>50000</v>
      </c>
      <c r="D673" s="7">
        <v>50000</v>
      </c>
      <c r="E673" s="7">
        <v>50000</v>
      </c>
      <c r="F673" s="7">
        <v>50000</v>
      </c>
      <c r="G673" s="7">
        <v>50000</v>
      </c>
      <c r="H673" s="7">
        <v>50000</v>
      </c>
      <c r="I673" s="7">
        <v>300000</v>
      </c>
    </row>
    <row r="674" spans="1:9" x14ac:dyDescent="0.25">
      <c r="A674" t="s">
        <v>121</v>
      </c>
      <c r="B674" t="s">
        <v>1169</v>
      </c>
      <c r="C674" s="7">
        <v>0</v>
      </c>
      <c r="D674" s="7">
        <v>0</v>
      </c>
      <c r="E674" s="7">
        <v>0</v>
      </c>
      <c r="F674" s="7">
        <v>0</v>
      </c>
      <c r="G674" s="7">
        <v>0</v>
      </c>
      <c r="H674" s="7">
        <v>0</v>
      </c>
      <c r="I674" s="7">
        <v>0</v>
      </c>
    </row>
    <row r="675" spans="1:9" x14ac:dyDescent="0.25">
      <c r="A675" t="s">
        <v>121</v>
      </c>
      <c r="B675" t="s">
        <v>1170</v>
      </c>
      <c r="C675" s="7">
        <v>0</v>
      </c>
      <c r="D675" s="7">
        <v>0</v>
      </c>
      <c r="E675" s="7">
        <v>0</v>
      </c>
      <c r="F675" s="7">
        <v>0</v>
      </c>
      <c r="G675" s="7">
        <v>0</v>
      </c>
      <c r="H675" s="7">
        <v>0</v>
      </c>
      <c r="I675" s="7">
        <v>0</v>
      </c>
    </row>
    <row r="676" spans="1:9" x14ac:dyDescent="0.25">
      <c r="A676" t="s">
        <v>121</v>
      </c>
      <c r="B676" t="s">
        <v>1171</v>
      </c>
      <c r="C676" s="7">
        <v>50000</v>
      </c>
      <c r="D676" s="7">
        <v>50000</v>
      </c>
      <c r="E676" s="7">
        <v>50000</v>
      </c>
      <c r="F676" s="7">
        <v>50000</v>
      </c>
      <c r="G676" s="7">
        <v>50000</v>
      </c>
      <c r="H676" s="7">
        <v>50000</v>
      </c>
      <c r="I676" s="7">
        <v>300000</v>
      </c>
    </row>
    <row r="677" spans="1:9" x14ac:dyDescent="0.25">
      <c r="A677" t="s">
        <v>121</v>
      </c>
      <c r="B677" t="s">
        <v>1172</v>
      </c>
      <c r="C677" s="7">
        <v>0</v>
      </c>
      <c r="D677" s="7">
        <v>0</v>
      </c>
      <c r="E677" s="7">
        <v>0</v>
      </c>
      <c r="F677" s="7">
        <v>0</v>
      </c>
      <c r="G677" s="7">
        <v>0</v>
      </c>
      <c r="H677" s="7">
        <v>0</v>
      </c>
      <c r="I677" s="7">
        <v>0</v>
      </c>
    </row>
    <row r="678" spans="1:9" x14ac:dyDescent="0.25">
      <c r="A678" t="s">
        <v>121</v>
      </c>
      <c r="B678" t="s">
        <v>1173</v>
      </c>
      <c r="C678" s="7">
        <v>0</v>
      </c>
      <c r="D678" s="7">
        <v>0</v>
      </c>
      <c r="E678" s="7">
        <v>0</v>
      </c>
      <c r="F678" s="7">
        <v>0</v>
      </c>
      <c r="G678" s="7">
        <v>0</v>
      </c>
      <c r="H678" s="7">
        <v>0</v>
      </c>
      <c r="I678" s="7">
        <v>0</v>
      </c>
    </row>
    <row r="679" spans="1:9" x14ac:dyDescent="0.25">
      <c r="A679" t="s">
        <v>121</v>
      </c>
      <c r="B679" t="s">
        <v>1174</v>
      </c>
      <c r="C679" s="7">
        <v>0</v>
      </c>
      <c r="D679" s="7">
        <v>0</v>
      </c>
      <c r="E679" s="7">
        <v>0</v>
      </c>
      <c r="F679" s="7">
        <v>0</v>
      </c>
      <c r="G679" s="7">
        <v>0</v>
      </c>
      <c r="H679" s="7">
        <v>0</v>
      </c>
      <c r="I679" s="7">
        <v>0</v>
      </c>
    </row>
    <row r="680" spans="1:9" x14ac:dyDescent="0.25">
      <c r="A680" t="s">
        <v>121</v>
      </c>
      <c r="B680" t="s">
        <v>1175</v>
      </c>
      <c r="C680" s="7">
        <v>0</v>
      </c>
      <c r="D680" s="7">
        <v>0</v>
      </c>
      <c r="E680" s="7">
        <v>0</v>
      </c>
      <c r="F680" s="7">
        <v>0</v>
      </c>
      <c r="G680" s="7">
        <v>0</v>
      </c>
      <c r="H680" s="7">
        <v>0</v>
      </c>
      <c r="I680" s="7">
        <v>0</v>
      </c>
    </row>
    <row r="681" spans="1:9" x14ac:dyDescent="0.25">
      <c r="A681" t="s">
        <v>111</v>
      </c>
      <c r="C681" s="7">
        <v>76600</v>
      </c>
      <c r="D681" s="7">
        <v>76600</v>
      </c>
      <c r="E681" s="7">
        <v>8000</v>
      </c>
      <c r="F681" s="7">
        <v>8000</v>
      </c>
      <c r="G681" s="7">
        <v>8000</v>
      </c>
      <c r="H681" s="7">
        <v>8000</v>
      </c>
      <c r="I681" s="7">
        <v>185200</v>
      </c>
    </row>
    <row r="682" spans="1:9" x14ac:dyDescent="0.25">
      <c r="A682" t="s">
        <v>111</v>
      </c>
      <c r="B682" t="s">
        <v>1176</v>
      </c>
      <c r="C682" s="7">
        <v>0</v>
      </c>
      <c r="D682" s="7">
        <v>0</v>
      </c>
      <c r="E682" s="7">
        <v>0</v>
      </c>
      <c r="F682" s="7">
        <v>0</v>
      </c>
      <c r="G682" s="7">
        <v>0</v>
      </c>
      <c r="H682" s="7">
        <v>0</v>
      </c>
      <c r="I682" s="7">
        <v>0</v>
      </c>
    </row>
    <row r="683" spans="1:9" x14ac:dyDescent="0.25">
      <c r="A683" t="s">
        <v>111</v>
      </c>
      <c r="B683" t="s">
        <v>1177</v>
      </c>
      <c r="C683" s="7">
        <v>68600</v>
      </c>
      <c r="D683" s="7">
        <v>68600</v>
      </c>
      <c r="E683" s="7">
        <v>0</v>
      </c>
      <c r="F683" s="7">
        <v>0</v>
      </c>
      <c r="G683" s="7">
        <v>0</v>
      </c>
      <c r="H683" s="7">
        <v>0</v>
      </c>
      <c r="I683" s="7">
        <v>137200</v>
      </c>
    </row>
    <row r="684" spans="1:9" x14ac:dyDescent="0.25">
      <c r="A684" t="s">
        <v>111</v>
      </c>
      <c r="B684" t="s">
        <v>1178</v>
      </c>
      <c r="C684" s="7">
        <v>0</v>
      </c>
      <c r="D684" s="7">
        <v>0</v>
      </c>
      <c r="E684" s="7">
        <v>0</v>
      </c>
      <c r="F684" s="7">
        <v>0</v>
      </c>
      <c r="G684" s="7">
        <v>0</v>
      </c>
      <c r="H684" s="7">
        <v>0</v>
      </c>
      <c r="I684" s="7">
        <v>0</v>
      </c>
    </row>
    <row r="685" spans="1:9" x14ac:dyDescent="0.25">
      <c r="A685" t="s">
        <v>111</v>
      </c>
      <c r="B685" t="s">
        <v>1179</v>
      </c>
      <c r="C685" s="7">
        <v>8000</v>
      </c>
      <c r="D685" s="7">
        <v>8000</v>
      </c>
      <c r="E685" s="7">
        <v>8000</v>
      </c>
      <c r="F685" s="7">
        <v>8000</v>
      </c>
      <c r="G685" s="7">
        <v>8000</v>
      </c>
      <c r="H685" s="7">
        <v>8000</v>
      </c>
      <c r="I685" s="7">
        <v>48000</v>
      </c>
    </row>
    <row r="686" spans="1:9" x14ac:dyDescent="0.25">
      <c r="A686" t="s">
        <v>112</v>
      </c>
      <c r="C686" s="7">
        <v>835000</v>
      </c>
      <c r="D686" s="7">
        <v>775000</v>
      </c>
      <c r="E686" s="7">
        <v>1125000</v>
      </c>
      <c r="F686" s="7">
        <v>755000</v>
      </c>
      <c r="G686" s="7">
        <v>635000</v>
      </c>
      <c r="H686" s="7">
        <v>635000</v>
      </c>
      <c r="I686" s="7">
        <v>4760000</v>
      </c>
    </row>
    <row r="687" spans="1:9" x14ac:dyDescent="0.25">
      <c r="A687" t="s">
        <v>112</v>
      </c>
      <c r="B687" t="s">
        <v>1180</v>
      </c>
      <c r="C687" s="7">
        <v>50000</v>
      </c>
      <c r="D687" s="7">
        <v>50000</v>
      </c>
      <c r="E687" s="7">
        <v>50000</v>
      </c>
      <c r="F687" s="7">
        <v>50000</v>
      </c>
      <c r="G687" s="7">
        <v>50000</v>
      </c>
      <c r="H687" s="7">
        <v>50000</v>
      </c>
      <c r="I687" s="7">
        <v>300000</v>
      </c>
    </row>
    <row r="688" spans="1:9" x14ac:dyDescent="0.25">
      <c r="A688" t="s">
        <v>112</v>
      </c>
      <c r="B688" t="s">
        <v>1181</v>
      </c>
      <c r="C688" s="7">
        <v>35000</v>
      </c>
      <c r="D688" s="7">
        <v>35000</v>
      </c>
      <c r="E688" s="7">
        <v>35000</v>
      </c>
      <c r="F688" s="7">
        <v>35000</v>
      </c>
      <c r="G688" s="7">
        <v>35000</v>
      </c>
      <c r="H688" s="7">
        <v>35000</v>
      </c>
      <c r="I688" s="7">
        <v>210000</v>
      </c>
    </row>
    <row r="689" spans="1:9" x14ac:dyDescent="0.25">
      <c r="A689" t="s">
        <v>112</v>
      </c>
      <c r="B689" t="s">
        <v>1182</v>
      </c>
      <c r="C689" s="7">
        <v>300000</v>
      </c>
      <c r="D689" s="7">
        <v>300000</v>
      </c>
      <c r="E689" s="7">
        <v>300000</v>
      </c>
      <c r="F689" s="7">
        <v>300000</v>
      </c>
      <c r="G689" s="7">
        <v>300000</v>
      </c>
      <c r="H689" s="7">
        <v>300000</v>
      </c>
      <c r="I689" s="7">
        <v>1800000</v>
      </c>
    </row>
    <row r="690" spans="1:9" x14ac:dyDescent="0.25">
      <c r="A690" t="s">
        <v>112</v>
      </c>
      <c r="B690" t="s">
        <v>1183</v>
      </c>
      <c r="C690" s="7">
        <v>250000</v>
      </c>
      <c r="D690" s="7">
        <v>250000</v>
      </c>
      <c r="E690" s="7">
        <v>250000</v>
      </c>
      <c r="F690" s="7">
        <v>250000</v>
      </c>
      <c r="G690" s="7">
        <v>250000</v>
      </c>
      <c r="H690" s="7">
        <v>250000</v>
      </c>
      <c r="I690" s="7">
        <v>1500000</v>
      </c>
    </row>
    <row r="691" spans="1:9" x14ac:dyDescent="0.25">
      <c r="A691" t="s">
        <v>112</v>
      </c>
      <c r="B691" t="s">
        <v>1184</v>
      </c>
      <c r="C691" s="7">
        <v>200000</v>
      </c>
      <c r="D691" s="7">
        <v>140000</v>
      </c>
      <c r="E691" s="7">
        <v>490000</v>
      </c>
      <c r="F691" s="7">
        <v>120000</v>
      </c>
      <c r="G691" s="7">
        <v>0</v>
      </c>
      <c r="H691" s="7">
        <v>0</v>
      </c>
      <c r="I691" s="7">
        <v>950000</v>
      </c>
    </row>
    <row r="692" spans="1:9" x14ac:dyDescent="0.25">
      <c r="A692" t="s">
        <v>112</v>
      </c>
      <c r="B692" t="s">
        <v>1185</v>
      </c>
      <c r="C692" s="7">
        <v>0</v>
      </c>
      <c r="D692" s="7">
        <v>0</v>
      </c>
      <c r="E692" s="7">
        <v>0</v>
      </c>
      <c r="F692" s="7">
        <v>0</v>
      </c>
      <c r="G692" s="7">
        <v>0</v>
      </c>
      <c r="H692" s="7">
        <v>0</v>
      </c>
      <c r="I692" s="7">
        <v>0</v>
      </c>
    </row>
    <row r="693" spans="1:9" x14ac:dyDescent="0.25">
      <c r="A693" t="s">
        <v>112</v>
      </c>
      <c r="B693" t="s">
        <v>1186</v>
      </c>
      <c r="C693" s="7">
        <v>0</v>
      </c>
      <c r="D693" s="7">
        <v>0</v>
      </c>
      <c r="E693" s="7">
        <v>0</v>
      </c>
      <c r="F693" s="7">
        <v>0</v>
      </c>
      <c r="G693" s="7">
        <v>0</v>
      </c>
      <c r="H693" s="7">
        <v>0</v>
      </c>
      <c r="I693" s="7">
        <v>0</v>
      </c>
    </row>
    <row r="694" spans="1:9" x14ac:dyDescent="0.25">
      <c r="A694" t="s">
        <v>112</v>
      </c>
      <c r="B694" t="s">
        <v>1187</v>
      </c>
      <c r="C694" s="7">
        <v>0</v>
      </c>
      <c r="D694" s="7">
        <v>0</v>
      </c>
      <c r="E694" s="7">
        <v>0</v>
      </c>
      <c r="F694" s="7">
        <v>0</v>
      </c>
      <c r="G694" s="7">
        <v>0</v>
      </c>
      <c r="H694" s="7">
        <v>0</v>
      </c>
      <c r="I694" s="7">
        <v>0</v>
      </c>
    </row>
    <row r="695" spans="1:9" x14ac:dyDescent="0.25">
      <c r="A695" t="s">
        <v>113</v>
      </c>
      <c r="C695" s="7">
        <v>10000</v>
      </c>
      <c r="D695" s="7">
        <v>15000</v>
      </c>
      <c r="E695" s="7">
        <v>15000</v>
      </c>
      <c r="F695" s="7">
        <v>15000</v>
      </c>
      <c r="G695" s="7">
        <v>15000</v>
      </c>
      <c r="H695" s="7">
        <v>15000</v>
      </c>
      <c r="I695" s="7">
        <v>85000</v>
      </c>
    </row>
    <row r="696" spans="1:9" x14ac:dyDescent="0.25">
      <c r="A696" t="s">
        <v>113</v>
      </c>
      <c r="B696" t="s">
        <v>1188</v>
      </c>
      <c r="C696" s="7">
        <v>10000</v>
      </c>
      <c r="D696" s="7">
        <v>10000</v>
      </c>
      <c r="E696" s="7">
        <v>10000</v>
      </c>
      <c r="F696" s="7">
        <v>10000</v>
      </c>
      <c r="G696" s="7">
        <v>10000</v>
      </c>
      <c r="H696" s="7">
        <v>10000</v>
      </c>
      <c r="I696" s="7">
        <v>60000</v>
      </c>
    </row>
    <row r="697" spans="1:9" x14ac:dyDescent="0.25">
      <c r="A697" t="s">
        <v>113</v>
      </c>
      <c r="B697" t="s">
        <v>1189</v>
      </c>
      <c r="C697" s="7">
        <v>0</v>
      </c>
      <c r="D697" s="7">
        <v>0</v>
      </c>
      <c r="E697" s="7">
        <v>0</v>
      </c>
      <c r="F697" s="7">
        <v>0</v>
      </c>
      <c r="G697" s="7">
        <v>0</v>
      </c>
      <c r="H697" s="7">
        <v>0</v>
      </c>
      <c r="I697" s="7">
        <v>0</v>
      </c>
    </row>
    <row r="698" spans="1:9" x14ac:dyDescent="0.25">
      <c r="A698" t="s">
        <v>113</v>
      </c>
      <c r="B698" t="s">
        <v>1190</v>
      </c>
      <c r="C698" s="7">
        <v>0</v>
      </c>
      <c r="D698" s="7">
        <v>0</v>
      </c>
      <c r="E698" s="7">
        <v>0</v>
      </c>
      <c r="F698" s="7">
        <v>0</v>
      </c>
      <c r="G698" s="7">
        <v>0</v>
      </c>
      <c r="H698" s="7">
        <v>0</v>
      </c>
      <c r="I698" s="7">
        <v>0</v>
      </c>
    </row>
    <row r="699" spans="1:9" x14ac:dyDescent="0.25">
      <c r="A699" t="s">
        <v>113</v>
      </c>
      <c r="B699" t="s">
        <v>1191</v>
      </c>
      <c r="C699" s="7">
        <v>0</v>
      </c>
      <c r="D699" s="7">
        <v>5000</v>
      </c>
      <c r="E699" s="7">
        <v>5000</v>
      </c>
      <c r="F699" s="7">
        <v>5000</v>
      </c>
      <c r="G699" s="7">
        <v>5000</v>
      </c>
      <c r="H699" s="7">
        <v>5000</v>
      </c>
      <c r="I699" s="7">
        <v>25000</v>
      </c>
    </row>
    <row r="700" spans="1:9" x14ac:dyDescent="0.25">
      <c r="A700" t="s">
        <v>114</v>
      </c>
      <c r="C700" s="7">
        <v>0</v>
      </c>
      <c r="D700" s="7">
        <v>0</v>
      </c>
      <c r="E700" s="7">
        <v>0</v>
      </c>
      <c r="F700" s="7">
        <v>0</v>
      </c>
      <c r="G700" s="7">
        <v>0</v>
      </c>
      <c r="H700" s="7">
        <v>0</v>
      </c>
      <c r="I700" s="7">
        <v>0</v>
      </c>
    </row>
    <row r="701" spans="1:9" x14ac:dyDescent="0.25">
      <c r="A701" t="s">
        <v>114</v>
      </c>
      <c r="B701" t="s">
        <v>1192</v>
      </c>
      <c r="C701" s="7">
        <v>0</v>
      </c>
      <c r="D701" s="7">
        <v>0</v>
      </c>
      <c r="E701" s="7">
        <v>0</v>
      </c>
      <c r="F701" s="7">
        <v>0</v>
      </c>
      <c r="G701" s="7">
        <v>0</v>
      </c>
      <c r="H701" s="7">
        <v>0</v>
      </c>
      <c r="I701" s="7">
        <v>0</v>
      </c>
    </row>
    <row r="702" spans="1:9" x14ac:dyDescent="0.25">
      <c r="A702" t="s">
        <v>116</v>
      </c>
      <c r="C702" s="7">
        <v>200000</v>
      </c>
      <c r="D702" s="7">
        <v>2065000</v>
      </c>
      <c r="E702" s="7">
        <v>4200000</v>
      </c>
      <c r="F702" s="7">
        <v>0</v>
      </c>
      <c r="G702" s="7">
        <v>0</v>
      </c>
      <c r="H702" s="7">
        <v>0</v>
      </c>
      <c r="I702" s="7">
        <v>6465000</v>
      </c>
    </row>
    <row r="703" spans="1:9" x14ac:dyDescent="0.25">
      <c r="A703" t="s">
        <v>116</v>
      </c>
      <c r="B703" t="s">
        <v>1193</v>
      </c>
      <c r="C703" s="7">
        <v>200000</v>
      </c>
      <c r="D703" s="7">
        <v>65000</v>
      </c>
      <c r="E703" s="7">
        <v>0</v>
      </c>
      <c r="F703" s="7">
        <v>0</v>
      </c>
      <c r="G703" s="7">
        <v>0</v>
      </c>
      <c r="H703" s="7">
        <v>0</v>
      </c>
      <c r="I703" s="7">
        <v>265000</v>
      </c>
    </row>
    <row r="704" spans="1:9" x14ac:dyDescent="0.25">
      <c r="A704" t="s">
        <v>116</v>
      </c>
      <c r="B704" t="s">
        <v>1194</v>
      </c>
      <c r="C704" s="7">
        <v>0</v>
      </c>
      <c r="D704" s="7">
        <v>0</v>
      </c>
      <c r="E704" s="7">
        <v>0</v>
      </c>
      <c r="F704" s="7">
        <v>0</v>
      </c>
      <c r="G704" s="7">
        <v>0</v>
      </c>
      <c r="H704" s="7">
        <v>0</v>
      </c>
      <c r="I704" s="7">
        <v>0</v>
      </c>
    </row>
    <row r="705" spans="1:9" x14ac:dyDescent="0.25">
      <c r="A705" t="s">
        <v>116</v>
      </c>
      <c r="B705" t="s">
        <v>1195</v>
      </c>
      <c r="C705" s="7">
        <v>0</v>
      </c>
      <c r="D705" s="7">
        <v>2000000</v>
      </c>
      <c r="E705" s="7">
        <v>4200000</v>
      </c>
      <c r="F705" s="7">
        <v>0</v>
      </c>
      <c r="G705" s="7">
        <v>0</v>
      </c>
      <c r="H705" s="7">
        <v>0</v>
      </c>
      <c r="I705" s="7">
        <v>6200000</v>
      </c>
    </row>
    <row r="706" spans="1:9" x14ac:dyDescent="0.25">
      <c r="A706" t="s">
        <v>116</v>
      </c>
      <c r="B706" t="s">
        <v>1196</v>
      </c>
      <c r="C706" s="7">
        <v>0</v>
      </c>
      <c r="D706" s="7">
        <v>0</v>
      </c>
      <c r="E706" s="7">
        <v>0</v>
      </c>
      <c r="F706" s="7">
        <v>0</v>
      </c>
      <c r="G706" s="7">
        <v>0</v>
      </c>
      <c r="H706" s="7">
        <v>0</v>
      </c>
      <c r="I706" s="7">
        <v>0</v>
      </c>
    </row>
    <row r="707" spans="1:9" x14ac:dyDescent="0.25">
      <c r="A707" t="s">
        <v>117</v>
      </c>
      <c r="C707" s="7">
        <v>0</v>
      </c>
      <c r="D707" s="7">
        <v>0</v>
      </c>
      <c r="E707" s="7">
        <v>0</v>
      </c>
      <c r="F707" s="7">
        <v>0</v>
      </c>
      <c r="G707" s="7">
        <v>0</v>
      </c>
      <c r="H707" s="7">
        <v>0</v>
      </c>
      <c r="I707" s="7">
        <v>0</v>
      </c>
    </row>
    <row r="708" spans="1:9" x14ac:dyDescent="0.25">
      <c r="A708" t="s">
        <v>117</v>
      </c>
      <c r="B708" t="s">
        <v>1197</v>
      </c>
      <c r="C708" s="7">
        <v>0</v>
      </c>
      <c r="D708" s="7">
        <v>0</v>
      </c>
      <c r="E708" s="7">
        <v>0</v>
      </c>
      <c r="F708" s="7">
        <v>0</v>
      </c>
      <c r="G708" s="7">
        <v>0</v>
      </c>
      <c r="H708" s="7">
        <v>0</v>
      </c>
      <c r="I708" s="7">
        <v>0</v>
      </c>
    </row>
    <row r="709" spans="1:9" x14ac:dyDescent="0.25">
      <c r="A709" t="s">
        <v>117</v>
      </c>
      <c r="B709" t="s">
        <v>1198</v>
      </c>
      <c r="C709" s="7">
        <v>0</v>
      </c>
      <c r="D709" s="7">
        <v>0</v>
      </c>
      <c r="E709" s="7">
        <v>0</v>
      </c>
      <c r="F709" s="7">
        <v>0</v>
      </c>
      <c r="G709" s="7">
        <v>0</v>
      </c>
      <c r="H709" s="7">
        <v>0</v>
      </c>
      <c r="I709" s="7">
        <v>0</v>
      </c>
    </row>
    <row r="710" spans="1:9" x14ac:dyDescent="0.25">
      <c r="A710" t="s">
        <v>117</v>
      </c>
      <c r="B710" t="s">
        <v>1199</v>
      </c>
      <c r="C710" s="7">
        <v>0</v>
      </c>
      <c r="D710" s="7">
        <v>0</v>
      </c>
      <c r="E710" s="7">
        <v>0</v>
      </c>
      <c r="F710" s="7">
        <v>0</v>
      </c>
      <c r="G710" s="7">
        <v>0</v>
      </c>
      <c r="H710" s="7">
        <v>0</v>
      </c>
      <c r="I710" s="7">
        <v>0</v>
      </c>
    </row>
    <row r="711" spans="1:9" x14ac:dyDescent="0.25">
      <c r="A711" t="s">
        <v>117</v>
      </c>
      <c r="B711" t="s">
        <v>1200</v>
      </c>
      <c r="C711" s="7">
        <v>0</v>
      </c>
      <c r="D711" s="7">
        <v>0</v>
      </c>
      <c r="E711" s="7">
        <v>0</v>
      </c>
      <c r="F711" s="7">
        <v>0</v>
      </c>
      <c r="G711" s="7">
        <v>0</v>
      </c>
      <c r="H711" s="7">
        <v>0</v>
      </c>
      <c r="I711" s="7">
        <v>0</v>
      </c>
    </row>
    <row r="712" spans="1:9" x14ac:dyDescent="0.25">
      <c r="A712" t="s">
        <v>118</v>
      </c>
      <c r="C712" s="7">
        <v>74000</v>
      </c>
      <c r="D712" s="7">
        <v>282000</v>
      </c>
      <c r="E712" s="7">
        <v>40000</v>
      </c>
      <c r="F712" s="7">
        <v>40000</v>
      </c>
      <c r="G712" s="7">
        <v>290000</v>
      </c>
      <c r="H712" s="7">
        <v>40000</v>
      </c>
      <c r="I712" s="7">
        <v>766000</v>
      </c>
    </row>
    <row r="713" spans="1:9" x14ac:dyDescent="0.25">
      <c r="A713" t="s">
        <v>118</v>
      </c>
      <c r="B713" t="s">
        <v>1201</v>
      </c>
      <c r="C713" s="7">
        <v>50000</v>
      </c>
      <c r="D713" s="7">
        <v>0</v>
      </c>
      <c r="E713" s="7">
        <v>0</v>
      </c>
      <c r="F713" s="7">
        <v>0</v>
      </c>
      <c r="G713" s="7">
        <v>0</v>
      </c>
      <c r="H713" s="7">
        <v>0</v>
      </c>
      <c r="I713" s="7">
        <v>50000</v>
      </c>
    </row>
    <row r="714" spans="1:9" x14ac:dyDescent="0.25">
      <c r="A714" t="s">
        <v>118</v>
      </c>
      <c r="B714" t="s">
        <v>1202</v>
      </c>
      <c r="C714" s="7">
        <v>0</v>
      </c>
      <c r="D714" s="7">
        <v>250000</v>
      </c>
      <c r="E714" s="7">
        <v>0</v>
      </c>
      <c r="F714" s="7">
        <v>0</v>
      </c>
      <c r="G714" s="7">
        <v>0</v>
      </c>
      <c r="H714" s="7">
        <v>0</v>
      </c>
      <c r="I714" s="7">
        <v>250000</v>
      </c>
    </row>
    <row r="715" spans="1:9" x14ac:dyDescent="0.25">
      <c r="A715" t="s">
        <v>118</v>
      </c>
      <c r="B715" t="s">
        <v>1203</v>
      </c>
      <c r="C715" s="7">
        <v>0</v>
      </c>
      <c r="D715" s="7">
        <v>0</v>
      </c>
      <c r="E715" s="7">
        <v>0</v>
      </c>
      <c r="F715" s="7">
        <v>0</v>
      </c>
      <c r="G715" s="7">
        <v>250000</v>
      </c>
      <c r="H715" s="7">
        <v>0</v>
      </c>
      <c r="I715" s="7">
        <v>250000</v>
      </c>
    </row>
    <row r="716" spans="1:9" x14ac:dyDescent="0.25">
      <c r="A716" t="s">
        <v>118</v>
      </c>
      <c r="B716" t="s">
        <v>1204</v>
      </c>
      <c r="C716" s="7">
        <v>24000</v>
      </c>
      <c r="D716" s="7">
        <v>32000</v>
      </c>
      <c r="E716" s="7">
        <v>40000</v>
      </c>
      <c r="F716" s="7">
        <v>40000</v>
      </c>
      <c r="G716" s="7">
        <v>40000</v>
      </c>
      <c r="H716" s="7">
        <v>40000</v>
      </c>
      <c r="I716" s="7">
        <v>216000</v>
      </c>
    </row>
    <row r="717" spans="1:9" x14ac:dyDescent="0.25">
      <c r="A717" t="s">
        <v>122</v>
      </c>
      <c r="C717" s="7">
        <v>23675000</v>
      </c>
      <c r="D717" s="7">
        <v>23550000</v>
      </c>
      <c r="E717" s="7">
        <v>23575000</v>
      </c>
      <c r="F717" s="7">
        <v>23575000</v>
      </c>
      <c r="G717" s="7">
        <v>23575000</v>
      </c>
      <c r="H717" s="7">
        <v>23525000</v>
      </c>
      <c r="I717" s="7">
        <v>141475000</v>
      </c>
    </row>
    <row r="718" spans="1:9" x14ac:dyDescent="0.25">
      <c r="A718" t="s">
        <v>122</v>
      </c>
      <c r="B718" t="s">
        <v>1205</v>
      </c>
      <c r="C718" s="7">
        <v>90000</v>
      </c>
      <c r="D718" s="7">
        <v>60000</v>
      </c>
      <c r="E718" s="7">
        <v>30000</v>
      </c>
      <c r="F718" s="7">
        <v>30000</v>
      </c>
      <c r="G718" s="7">
        <v>30000</v>
      </c>
      <c r="H718" s="7">
        <v>30000</v>
      </c>
      <c r="I718" s="7">
        <v>270000</v>
      </c>
    </row>
    <row r="719" spans="1:9" x14ac:dyDescent="0.25">
      <c r="A719" t="s">
        <v>122</v>
      </c>
      <c r="B719" t="s">
        <v>1206</v>
      </c>
      <c r="C719" s="7">
        <v>100000</v>
      </c>
      <c r="D719" s="7">
        <v>0</v>
      </c>
      <c r="E719" s="7">
        <v>50000</v>
      </c>
      <c r="F719" s="7">
        <v>50000</v>
      </c>
      <c r="G719" s="7">
        <v>50000</v>
      </c>
      <c r="H719" s="7">
        <v>0</v>
      </c>
      <c r="I719" s="7">
        <v>250000</v>
      </c>
    </row>
    <row r="720" spans="1:9" x14ac:dyDescent="0.25">
      <c r="A720" t="s">
        <v>122</v>
      </c>
      <c r="B720" t="s">
        <v>1207</v>
      </c>
      <c r="C720" s="7">
        <v>60000</v>
      </c>
      <c r="D720" s="7">
        <v>65000</v>
      </c>
      <c r="E720" s="7">
        <v>70000</v>
      </c>
      <c r="F720" s="7">
        <v>70000</v>
      </c>
      <c r="G720" s="7">
        <v>70000</v>
      </c>
      <c r="H720" s="7">
        <v>70000</v>
      </c>
      <c r="I720" s="7">
        <v>405000</v>
      </c>
    </row>
    <row r="721" spans="1:9" x14ac:dyDescent="0.25">
      <c r="A721" t="s">
        <v>122</v>
      </c>
      <c r="B721" t="s">
        <v>1208</v>
      </c>
      <c r="C721" s="7">
        <v>2850000</v>
      </c>
      <c r="D721" s="7">
        <v>2850000</v>
      </c>
      <c r="E721" s="7">
        <v>2850000</v>
      </c>
      <c r="F721" s="7">
        <v>2850000</v>
      </c>
      <c r="G721" s="7">
        <v>2850000</v>
      </c>
      <c r="H721" s="7">
        <v>2850000</v>
      </c>
      <c r="I721" s="7">
        <v>17100000</v>
      </c>
    </row>
    <row r="722" spans="1:9" x14ac:dyDescent="0.25">
      <c r="A722" t="s">
        <v>122</v>
      </c>
      <c r="B722" t="s">
        <v>1209</v>
      </c>
      <c r="C722" s="7">
        <v>100000</v>
      </c>
      <c r="D722" s="7">
        <v>100000</v>
      </c>
      <c r="E722" s="7">
        <v>100000</v>
      </c>
      <c r="F722" s="7">
        <v>100000</v>
      </c>
      <c r="G722" s="7">
        <v>100000</v>
      </c>
      <c r="H722" s="7">
        <v>100000</v>
      </c>
      <c r="I722" s="7">
        <v>600000</v>
      </c>
    </row>
    <row r="723" spans="1:9" x14ac:dyDescent="0.25">
      <c r="A723" t="s">
        <v>122</v>
      </c>
      <c r="B723" t="s">
        <v>1210</v>
      </c>
      <c r="C723" s="7">
        <v>19925000</v>
      </c>
      <c r="D723" s="7">
        <v>19925000</v>
      </c>
      <c r="E723" s="7">
        <v>19925000</v>
      </c>
      <c r="F723" s="7">
        <v>19925000</v>
      </c>
      <c r="G723" s="7">
        <v>19925000</v>
      </c>
      <c r="H723" s="7">
        <v>19925000</v>
      </c>
      <c r="I723" s="7">
        <v>119550000</v>
      </c>
    </row>
    <row r="724" spans="1:9" x14ac:dyDescent="0.25">
      <c r="A724" t="s">
        <v>122</v>
      </c>
      <c r="B724" t="s">
        <v>1211</v>
      </c>
      <c r="C724" s="7">
        <v>550000</v>
      </c>
      <c r="D724" s="7">
        <v>550000</v>
      </c>
      <c r="E724" s="7">
        <v>550000</v>
      </c>
      <c r="F724" s="7">
        <v>550000</v>
      </c>
      <c r="G724" s="7">
        <v>550000</v>
      </c>
      <c r="H724" s="7">
        <v>550000</v>
      </c>
      <c r="I724" s="7">
        <v>3300000</v>
      </c>
    </row>
    <row r="725" spans="1:9" x14ac:dyDescent="0.25">
      <c r="A725" t="s">
        <v>131</v>
      </c>
      <c r="C725" s="7">
        <v>0</v>
      </c>
      <c r="D725" s="7">
        <v>0</v>
      </c>
      <c r="E725" s="7">
        <v>0</v>
      </c>
      <c r="F725" s="7">
        <v>0</v>
      </c>
      <c r="G725" s="7">
        <v>0</v>
      </c>
      <c r="H725" s="7">
        <v>0</v>
      </c>
      <c r="I725" s="7">
        <v>0</v>
      </c>
    </row>
    <row r="726" spans="1:9" x14ac:dyDescent="0.25">
      <c r="A726" t="s">
        <v>131</v>
      </c>
      <c r="B726" t="s">
        <v>1212</v>
      </c>
      <c r="C726" s="7">
        <v>0</v>
      </c>
      <c r="D726" s="7">
        <v>0</v>
      </c>
      <c r="E726" s="7">
        <v>0</v>
      </c>
      <c r="F726" s="7">
        <v>0</v>
      </c>
      <c r="G726" s="7">
        <v>0</v>
      </c>
      <c r="H726" s="7">
        <v>0</v>
      </c>
      <c r="I726" s="7">
        <v>0</v>
      </c>
    </row>
    <row r="727" spans="1:9" x14ac:dyDescent="0.25">
      <c r="A727" t="s">
        <v>131</v>
      </c>
      <c r="B727" t="s">
        <v>1213</v>
      </c>
      <c r="C727" s="7">
        <v>0</v>
      </c>
      <c r="D727" s="7">
        <v>0</v>
      </c>
      <c r="E727" s="7">
        <v>0</v>
      </c>
      <c r="F727" s="7">
        <v>0</v>
      </c>
      <c r="G727" s="7">
        <v>0</v>
      </c>
      <c r="H727" s="7">
        <v>0</v>
      </c>
      <c r="I727" s="7">
        <v>0</v>
      </c>
    </row>
    <row r="728" spans="1:9" x14ac:dyDescent="0.25">
      <c r="A728" t="s">
        <v>131</v>
      </c>
      <c r="B728" t="s">
        <v>1214</v>
      </c>
      <c r="C728" s="7">
        <v>0</v>
      </c>
      <c r="D728" s="7">
        <v>0</v>
      </c>
      <c r="E728" s="7">
        <v>0</v>
      </c>
      <c r="F728" s="7">
        <v>0</v>
      </c>
      <c r="G728" s="7">
        <v>0</v>
      </c>
      <c r="H728" s="7">
        <v>0</v>
      </c>
      <c r="I728" s="7">
        <v>0</v>
      </c>
    </row>
    <row r="729" spans="1:9" x14ac:dyDescent="0.25">
      <c r="A729" t="s">
        <v>132</v>
      </c>
      <c r="C729" s="7">
        <v>0</v>
      </c>
      <c r="D729" s="7">
        <v>0</v>
      </c>
      <c r="E729" s="7">
        <v>0</v>
      </c>
      <c r="F729" s="7">
        <v>0</v>
      </c>
      <c r="G729" s="7">
        <v>0</v>
      </c>
      <c r="H729" s="7">
        <v>0</v>
      </c>
      <c r="I729" s="7">
        <v>0</v>
      </c>
    </row>
    <row r="730" spans="1:9" x14ac:dyDescent="0.25">
      <c r="A730" t="s">
        <v>132</v>
      </c>
      <c r="B730" t="s">
        <v>1215</v>
      </c>
      <c r="C730" s="7">
        <v>0</v>
      </c>
      <c r="D730" s="7">
        <v>0</v>
      </c>
      <c r="E730" s="7">
        <v>0</v>
      </c>
      <c r="F730" s="7">
        <v>0</v>
      </c>
      <c r="G730" s="7">
        <v>0</v>
      </c>
      <c r="H730" s="7">
        <v>0</v>
      </c>
      <c r="I730" s="7">
        <v>0</v>
      </c>
    </row>
    <row r="731" spans="1:9" x14ac:dyDescent="0.25">
      <c r="A731" t="s">
        <v>132</v>
      </c>
      <c r="B731" t="s">
        <v>1216</v>
      </c>
      <c r="C731" s="7">
        <v>0</v>
      </c>
      <c r="D731" s="7">
        <v>0</v>
      </c>
      <c r="E731" s="7">
        <v>0</v>
      </c>
      <c r="F731" s="7">
        <v>0</v>
      </c>
      <c r="G731" s="7">
        <v>0</v>
      </c>
      <c r="H731" s="7">
        <v>0</v>
      </c>
      <c r="I731" s="7">
        <v>0</v>
      </c>
    </row>
    <row r="732" spans="1:9" x14ac:dyDescent="0.25">
      <c r="A732" t="s">
        <v>132</v>
      </c>
      <c r="B732" t="s">
        <v>1217</v>
      </c>
      <c r="C732" s="7">
        <v>0</v>
      </c>
      <c r="D732" s="7">
        <v>0</v>
      </c>
      <c r="E732" s="7">
        <v>0</v>
      </c>
      <c r="F732" s="7">
        <v>0</v>
      </c>
      <c r="G732" s="7">
        <v>0</v>
      </c>
      <c r="H732" s="7">
        <v>0</v>
      </c>
      <c r="I732" s="7">
        <v>0</v>
      </c>
    </row>
    <row r="733" spans="1:9" x14ac:dyDescent="0.25">
      <c r="A733" t="s">
        <v>133</v>
      </c>
      <c r="C733" s="7">
        <v>45000</v>
      </c>
      <c r="D733" s="7">
        <v>25000</v>
      </c>
      <c r="E733" s="7">
        <v>20000</v>
      </c>
      <c r="F733" s="7">
        <v>15000</v>
      </c>
      <c r="G733" s="7">
        <v>10000</v>
      </c>
      <c r="H733" s="7">
        <v>10000</v>
      </c>
      <c r="I733" s="7">
        <v>125000</v>
      </c>
    </row>
    <row r="734" spans="1:9" x14ac:dyDescent="0.25">
      <c r="A734" t="s">
        <v>133</v>
      </c>
      <c r="B734" t="s">
        <v>1218</v>
      </c>
      <c r="C734" s="7">
        <v>20000</v>
      </c>
      <c r="D734" s="7">
        <v>5000</v>
      </c>
      <c r="E734" s="7">
        <v>5000</v>
      </c>
      <c r="F734" s="7">
        <v>0</v>
      </c>
      <c r="G734" s="7">
        <v>0</v>
      </c>
      <c r="H734" s="7">
        <v>0</v>
      </c>
      <c r="I734" s="7">
        <v>30000</v>
      </c>
    </row>
    <row r="735" spans="1:9" x14ac:dyDescent="0.25">
      <c r="A735" t="s">
        <v>133</v>
      </c>
      <c r="B735" t="s">
        <v>1219</v>
      </c>
      <c r="C735" s="7">
        <v>20000</v>
      </c>
      <c r="D735" s="7">
        <v>10000</v>
      </c>
      <c r="E735" s="7">
        <v>5000</v>
      </c>
      <c r="F735" s="7">
        <v>5000</v>
      </c>
      <c r="G735" s="7">
        <v>0</v>
      </c>
      <c r="H735" s="7">
        <v>0</v>
      </c>
      <c r="I735" s="7">
        <v>40000</v>
      </c>
    </row>
    <row r="736" spans="1:9" x14ac:dyDescent="0.25">
      <c r="A736" t="s">
        <v>133</v>
      </c>
      <c r="B736" t="s">
        <v>1220</v>
      </c>
      <c r="C736" s="7">
        <v>5000</v>
      </c>
      <c r="D736" s="7">
        <v>10000</v>
      </c>
      <c r="E736" s="7">
        <v>10000</v>
      </c>
      <c r="F736" s="7">
        <v>10000</v>
      </c>
      <c r="G736" s="7">
        <v>10000</v>
      </c>
      <c r="H736" s="7">
        <v>10000</v>
      </c>
      <c r="I736" s="7">
        <v>55000</v>
      </c>
    </row>
    <row r="737" spans="1:9" x14ac:dyDescent="0.25">
      <c r="A737" t="s">
        <v>123</v>
      </c>
      <c r="C737" s="7">
        <v>0</v>
      </c>
      <c r="D737" s="7">
        <v>0</v>
      </c>
      <c r="E737" s="7">
        <v>0</v>
      </c>
      <c r="F737" s="7">
        <v>0</v>
      </c>
      <c r="G737" s="7">
        <v>0</v>
      </c>
      <c r="H737" s="7">
        <v>0</v>
      </c>
      <c r="I737" s="7">
        <v>0</v>
      </c>
    </row>
    <row r="738" spans="1:9" x14ac:dyDescent="0.25">
      <c r="A738" t="s">
        <v>123</v>
      </c>
      <c r="B738" t="s">
        <v>1221</v>
      </c>
      <c r="C738" s="7">
        <v>0</v>
      </c>
      <c r="D738" s="7">
        <v>0</v>
      </c>
      <c r="E738" s="7">
        <v>0</v>
      </c>
      <c r="F738" s="7">
        <v>0</v>
      </c>
      <c r="G738" s="7">
        <v>0</v>
      </c>
      <c r="H738" s="7">
        <v>0</v>
      </c>
      <c r="I738" s="7">
        <v>0</v>
      </c>
    </row>
    <row r="739" spans="1:9" x14ac:dyDescent="0.25">
      <c r="A739" t="s">
        <v>123</v>
      </c>
      <c r="B739" t="s">
        <v>1222</v>
      </c>
      <c r="C739" s="7">
        <v>0</v>
      </c>
      <c r="D739" s="7">
        <v>0</v>
      </c>
      <c r="E739" s="7">
        <v>0</v>
      </c>
      <c r="F739" s="7">
        <v>0</v>
      </c>
      <c r="G739" s="7">
        <v>0</v>
      </c>
      <c r="H739" s="7">
        <v>0</v>
      </c>
      <c r="I739" s="7">
        <v>0</v>
      </c>
    </row>
    <row r="740" spans="1:9" x14ac:dyDescent="0.25">
      <c r="A740" t="s">
        <v>123</v>
      </c>
      <c r="B740" t="s">
        <v>1223</v>
      </c>
      <c r="C740" s="7">
        <v>0</v>
      </c>
      <c r="D740" s="7">
        <v>0</v>
      </c>
      <c r="E740" s="7">
        <v>0</v>
      </c>
      <c r="F740" s="7">
        <v>0</v>
      </c>
      <c r="G740" s="7">
        <v>0</v>
      </c>
      <c r="H740" s="7">
        <v>0</v>
      </c>
      <c r="I740" s="7">
        <v>0</v>
      </c>
    </row>
    <row r="741" spans="1:9" x14ac:dyDescent="0.25">
      <c r="A741" t="s">
        <v>123</v>
      </c>
      <c r="B741" t="s">
        <v>1224</v>
      </c>
      <c r="C741" s="7">
        <v>0</v>
      </c>
      <c r="D741" s="7">
        <v>0</v>
      </c>
      <c r="E741" s="7">
        <v>0</v>
      </c>
      <c r="F741" s="7">
        <v>0</v>
      </c>
      <c r="G741" s="7">
        <v>0</v>
      </c>
      <c r="H741" s="7">
        <v>0</v>
      </c>
      <c r="I741" s="7">
        <v>0</v>
      </c>
    </row>
    <row r="742" spans="1:9" x14ac:dyDescent="0.25">
      <c r="A742" t="s">
        <v>123</v>
      </c>
      <c r="B742" t="s">
        <v>1225</v>
      </c>
      <c r="C742" s="7">
        <v>0</v>
      </c>
      <c r="D742" s="7">
        <v>0</v>
      </c>
      <c r="E742" s="7">
        <v>0</v>
      </c>
      <c r="F742" s="7">
        <v>0</v>
      </c>
      <c r="G742" s="7">
        <v>0</v>
      </c>
      <c r="H742" s="7">
        <v>0</v>
      </c>
      <c r="I742" s="7">
        <v>0</v>
      </c>
    </row>
    <row r="743" spans="1:9" x14ac:dyDescent="0.25">
      <c r="A743" t="s">
        <v>123</v>
      </c>
      <c r="B743" t="s">
        <v>1226</v>
      </c>
      <c r="C743" s="7">
        <v>0</v>
      </c>
      <c r="D743" s="7">
        <v>0</v>
      </c>
      <c r="E743" s="7">
        <v>0</v>
      </c>
      <c r="F743" s="7">
        <v>0</v>
      </c>
      <c r="G743" s="7">
        <v>0</v>
      </c>
      <c r="H743" s="7">
        <v>0</v>
      </c>
      <c r="I743" s="7">
        <v>0</v>
      </c>
    </row>
    <row r="744" spans="1:9" x14ac:dyDescent="0.25">
      <c r="A744" t="s">
        <v>123</v>
      </c>
      <c r="B744" t="s">
        <v>1227</v>
      </c>
      <c r="C744" s="7">
        <v>0</v>
      </c>
      <c r="D744" s="7">
        <v>0</v>
      </c>
      <c r="E744" s="7">
        <v>0</v>
      </c>
      <c r="F744" s="7">
        <v>0</v>
      </c>
      <c r="G744" s="7">
        <v>0</v>
      </c>
      <c r="H744" s="7">
        <v>0</v>
      </c>
      <c r="I744" s="7">
        <v>0</v>
      </c>
    </row>
    <row r="745" spans="1:9" x14ac:dyDescent="0.25">
      <c r="A745" t="s">
        <v>124</v>
      </c>
      <c r="C745" s="7">
        <v>0</v>
      </c>
      <c r="D745" s="7">
        <v>0</v>
      </c>
      <c r="E745" s="7">
        <v>0</v>
      </c>
      <c r="F745" s="7">
        <v>0</v>
      </c>
      <c r="G745" s="7">
        <v>0</v>
      </c>
      <c r="H745" s="7">
        <v>0</v>
      </c>
      <c r="I745" s="7">
        <v>0</v>
      </c>
    </row>
    <row r="746" spans="1:9" x14ac:dyDescent="0.25">
      <c r="A746" t="s">
        <v>124</v>
      </c>
      <c r="B746" t="s">
        <v>1228</v>
      </c>
      <c r="C746" s="7">
        <v>0</v>
      </c>
      <c r="D746" s="7">
        <v>0</v>
      </c>
      <c r="E746" s="7">
        <v>0</v>
      </c>
      <c r="F746" s="7">
        <v>0</v>
      </c>
      <c r="G746" s="7">
        <v>0</v>
      </c>
      <c r="H746" s="7">
        <v>0</v>
      </c>
      <c r="I746" s="7">
        <v>0</v>
      </c>
    </row>
    <row r="747" spans="1:9" x14ac:dyDescent="0.25">
      <c r="A747" t="s">
        <v>124</v>
      </c>
      <c r="B747" t="s">
        <v>1229</v>
      </c>
      <c r="C747" s="7">
        <v>0</v>
      </c>
      <c r="D747" s="7">
        <v>0</v>
      </c>
      <c r="E747" s="7">
        <v>0</v>
      </c>
      <c r="F747" s="7">
        <v>0</v>
      </c>
      <c r="G747" s="7">
        <v>0</v>
      </c>
      <c r="H747" s="7">
        <v>0</v>
      </c>
      <c r="I747" s="7">
        <v>0</v>
      </c>
    </row>
    <row r="748" spans="1:9" x14ac:dyDescent="0.25">
      <c r="A748" t="s">
        <v>124</v>
      </c>
      <c r="B748" t="s">
        <v>1230</v>
      </c>
      <c r="C748" s="7">
        <v>0</v>
      </c>
      <c r="D748" s="7">
        <v>0</v>
      </c>
      <c r="E748" s="7">
        <v>0</v>
      </c>
      <c r="F748" s="7">
        <v>0</v>
      </c>
      <c r="G748" s="7">
        <v>0</v>
      </c>
      <c r="H748" s="7">
        <v>0</v>
      </c>
      <c r="I748" s="7">
        <v>0</v>
      </c>
    </row>
    <row r="749" spans="1:9" x14ac:dyDescent="0.25">
      <c r="A749" t="s">
        <v>124</v>
      </c>
      <c r="B749" t="s">
        <v>1231</v>
      </c>
      <c r="C749" s="7">
        <v>0</v>
      </c>
      <c r="D749" s="7">
        <v>0</v>
      </c>
      <c r="E749" s="7">
        <v>0</v>
      </c>
      <c r="F749" s="7">
        <v>0</v>
      </c>
      <c r="G749" s="7">
        <v>0</v>
      </c>
      <c r="H749" s="7">
        <v>0</v>
      </c>
      <c r="I749" s="7">
        <v>0</v>
      </c>
    </row>
    <row r="750" spans="1:9" x14ac:dyDescent="0.25">
      <c r="A750" t="s">
        <v>124</v>
      </c>
      <c r="B750" t="s">
        <v>1232</v>
      </c>
      <c r="C750" s="7">
        <v>0</v>
      </c>
      <c r="D750" s="7">
        <v>0</v>
      </c>
      <c r="E750" s="7">
        <v>0</v>
      </c>
      <c r="F750" s="7">
        <v>0</v>
      </c>
      <c r="G750" s="7">
        <v>0</v>
      </c>
      <c r="H750" s="7">
        <v>0</v>
      </c>
      <c r="I750" s="7">
        <v>0</v>
      </c>
    </row>
    <row r="751" spans="1:9" x14ac:dyDescent="0.25">
      <c r="A751" t="s">
        <v>125</v>
      </c>
      <c r="C751" s="7">
        <v>0</v>
      </c>
      <c r="D751" s="7">
        <v>100000</v>
      </c>
      <c r="E751" s="7">
        <v>100000</v>
      </c>
      <c r="F751" s="7">
        <v>126150</v>
      </c>
      <c r="G751" s="7">
        <v>16150</v>
      </c>
      <c r="H751" s="7">
        <v>16150</v>
      </c>
      <c r="I751" s="7">
        <v>358450</v>
      </c>
    </row>
    <row r="752" spans="1:9" x14ac:dyDescent="0.25">
      <c r="A752" t="s">
        <v>125</v>
      </c>
      <c r="B752" t="s">
        <v>1233</v>
      </c>
      <c r="C752" s="7">
        <v>0</v>
      </c>
      <c r="D752" s="7">
        <v>0</v>
      </c>
      <c r="E752" s="7">
        <v>0</v>
      </c>
      <c r="F752" s="7">
        <v>0</v>
      </c>
      <c r="G752" s="7">
        <v>0</v>
      </c>
      <c r="H752" s="7">
        <v>0</v>
      </c>
      <c r="I752" s="7">
        <v>0</v>
      </c>
    </row>
    <row r="753" spans="1:9" x14ac:dyDescent="0.25">
      <c r="A753" t="s">
        <v>125</v>
      </c>
      <c r="B753" t="s">
        <v>1234</v>
      </c>
      <c r="C753" s="7">
        <v>0</v>
      </c>
      <c r="D753" s="7">
        <v>100000</v>
      </c>
      <c r="E753" s="7">
        <v>100000</v>
      </c>
      <c r="F753" s="7">
        <v>100000</v>
      </c>
      <c r="G753" s="7">
        <v>0</v>
      </c>
      <c r="H753" s="7">
        <v>0</v>
      </c>
      <c r="I753" s="7">
        <v>300000</v>
      </c>
    </row>
    <row r="754" spans="1:9" x14ac:dyDescent="0.25">
      <c r="A754" t="s">
        <v>125</v>
      </c>
      <c r="B754" t="s">
        <v>1235</v>
      </c>
      <c r="C754" s="7">
        <v>0</v>
      </c>
      <c r="D754" s="7">
        <v>0</v>
      </c>
      <c r="E754" s="7">
        <v>0</v>
      </c>
      <c r="F754" s="7">
        <v>0</v>
      </c>
      <c r="G754" s="7">
        <v>0</v>
      </c>
      <c r="H754" s="7">
        <v>0</v>
      </c>
      <c r="I754" s="7">
        <v>0</v>
      </c>
    </row>
    <row r="755" spans="1:9" x14ac:dyDescent="0.25">
      <c r="A755" t="s">
        <v>125</v>
      </c>
      <c r="B755" t="s">
        <v>1236</v>
      </c>
      <c r="C755" s="7">
        <v>0</v>
      </c>
      <c r="D755" s="7">
        <v>0</v>
      </c>
      <c r="E755" s="7">
        <v>0</v>
      </c>
      <c r="F755" s="7">
        <v>26150</v>
      </c>
      <c r="G755" s="7">
        <v>16150</v>
      </c>
      <c r="H755" s="7">
        <v>16150</v>
      </c>
      <c r="I755" s="7">
        <v>58450</v>
      </c>
    </row>
    <row r="756" spans="1:9" x14ac:dyDescent="0.25">
      <c r="A756" t="s">
        <v>126</v>
      </c>
      <c r="C756" s="7">
        <v>0</v>
      </c>
      <c r="D756" s="7">
        <v>50000</v>
      </c>
      <c r="E756" s="7">
        <v>50000</v>
      </c>
      <c r="F756" s="7">
        <v>50000</v>
      </c>
      <c r="G756" s="7">
        <v>50000</v>
      </c>
      <c r="H756" s="7">
        <v>50000</v>
      </c>
      <c r="I756" s="7">
        <v>250000</v>
      </c>
    </row>
    <row r="757" spans="1:9" x14ac:dyDescent="0.25">
      <c r="A757" t="s">
        <v>126</v>
      </c>
      <c r="B757" t="s">
        <v>1237</v>
      </c>
      <c r="C757" s="7">
        <v>0</v>
      </c>
      <c r="D757" s="7">
        <v>0</v>
      </c>
      <c r="E757" s="7">
        <v>0</v>
      </c>
      <c r="F757" s="7">
        <v>0</v>
      </c>
      <c r="G757" s="7">
        <v>0</v>
      </c>
      <c r="H757" s="7">
        <v>0</v>
      </c>
      <c r="I757" s="7">
        <v>0</v>
      </c>
    </row>
    <row r="758" spans="1:9" x14ac:dyDescent="0.25">
      <c r="A758" t="s">
        <v>126</v>
      </c>
      <c r="B758" t="s">
        <v>1238</v>
      </c>
      <c r="C758" s="7">
        <v>0</v>
      </c>
      <c r="D758" s="7">
        <v>0</v>
      </c>
      <c r="E758" s="7">
        <v>0</v>
      </c>
      <c r="F758" s="7">
        <v>0</v>
      </c>
      <c r="G758" s="7">
        <v>0</v>
      </c>
      <c r="H758" s="7">
        <v>0</v>
      </c>
      <c r="I758" s="7">
        <v>0</v>
      </c>
    </row>
    <row r="759" spans="1:9" x14ac:dyDescent="0.25">
      <c r="A759" t="s">
        <v>126</v>
      </c>
      <c r="B759" t="s">
        <v>1239</v>
      </c>
      <c r="C759" s="7">
        <v>0</v>
      </c>
      <c r="D759" s="7">
        <v>0</v>
      </c>
      <c r="E759" s="7">
        <v>0</v>
      </c>
      <c r="F759" s="7">
        <v>0</v>
      </c>
      <c r="G759" s="7">
        <v>0</v>
      </c>
      <c r="H759" s="7">
        <v>0</v>
      </c>
      <c r="I759" s="7">
        <v>0</v>
      </c>
    </row>
    <row r="760" spans="1:9" x14ac:dyDescent="0.25">
      <c r="A760" t="s">
        <v>126</v>
      </c>
      <c r="B760" t="s">
        <v>1240</v>
      </c>
      <c r="C760" s="7">
        <v>0</v>
      </c>
      <c r="D760" s="7">
        <v>0</v>
      </c>
      <c r="E760" s="7">
        <v>0</v>
      </c>
      <c r="F760" s="7">
        <v>0</v>
      </c>
      <c r="G760" s="7">
        <v>0</v>
      </c>
      <c r="H760" s="7">
        <v>0</v>
      </c>
      <c r="I760" s="7">
        <v>0</v>
      </c>
    </row>
    <row r="761" spans="1:9" x14ac:dyDescent="0.25">
      <c r="A761" t="s">
        <v>126</v>
      </c>
      <c r="B761" t="s">
        <v>1241</v>
      </c>
      <c r="C761" s="7">
        <v>0</v>
      </c>
      <c r="D761" s="7">
        <v>50000</v>
      </c>
      <c r="E761" s="7">
        <v>50000</v>
      </c>
      <c r="F761" s="7">
        <v>50000</v>
      </c>
      <c r="G761" s="7">
        <v>50000</v>
      </c>
      <c r="H761" s="7">
        <v>50000</v>
      </c>
      <c r="I761" s="7">
        <v>250000</v>
      </c>
    </row>
    <row r="762" spans="1:9" x14ac:dyDescent="0.25">
      <c r="A762" t="s">
        <v>126</v>
      </c>
      <c r="B762" t="s">
        <v>1242</v>
      </c>
      <c r="C762" s="7">
        <v>0</v>
      </c>
      <c r="D762" s="7">
        <v>0</v>
      </c>
      <c r="E762" s="7">
        <v>0</v>
      </c>
      <c r="F762" s="7">
        <v>0</v>
      </c>
      <c r="G762" s="7">
        <v>0</v>
      </c>
      <c r="H762" s="7">
        <v>0</v>
      </c>
      <c r="I762" s="7">
        <v>0</v>
      </c>
    </row>
    <row r="763" spans="1:9" x14ac:dyDescent="0.25">
      <c r="A763" t="s">
        <v>126</v>
      </c>
      <c r="B763" t="s">
        <v>1243</v>
      </c>
      <c r="C763" s="7">
        <v>0</v>
      </c>
      <c r="D763" s="7">
        <v>0</v>
      </c>
      <c r="E763" s="7">
        <v>0</v>
      </c>
      <c r="F763" s="7">
        <v>0</v>
      </c>
      <c r="G763" s="7">
        <v>0</v>
      </c>
      <c r="H763" s="7">
        <v>0</v>
      </c>
      <c r="I763" s="7">
        <v>0</v>
      </c>
    </row>
    <row r="764" spans="1:9" x14ac:dyDescent="0.25">
      <c r="A764" t="s">
        <v>126</v>
      </c>
      <c r="B764" t="s">
        <v>1244</v>
      </c>
      <c r="C764" s="7">
        <v>0</v>
      </c>
      <c r="D764" s="7">
        <v>0</v>
      </c>
      <c r="E764" s="7">
        <v>0</v>
      </c>
      <c r="F764" s="7">
        <v>0</v>
      </c>
      <c r="G764" s="7">
        <v>0</v>
      </c>
      <c r="H764" s="7">
        <v>0</v>
      </c>
      <c r="I764" s="7">
        <v>0</v>
      </c>
    </row>
    <row r="765" spans="1:9" x14ac:dyDescent="0.25">
      <c r="A765" t="s">
        <v>127</v>
      </c>
      <c r="C765" s="7">
        <v>100000</v>
      </c>
      <c r="D765" s="7">
        <v>100000</v>
      </c>
      <c r="E765" s="7">
        <v>100000</v>
      </c>
      <c r="F765" s="7">
        <v>0</v>
      </c>
      <c r="G765" s="7">
        <v>0</v>
      </c>
      <c r="H765" s="7">
        <v>0</v>
      </c>
      <c r="I765" s="7">
        <v>300000</v>
      </c>
    </row>
    <row r="766" spans="1:9" x14ac:dyDescent="0.25">
      <c r="A766" t="s">
        <v>127</v>
      </c>
      <c r="B766" t="s">
        <v>1245</v>
      </c>
      <c r="C766" s="7">
        <v>0</v>
      </c>
      <c r="D766" s="7">
        <v>0</v>
      </c>
      <c r="E766" s="7">
        <v>0</v>
      </c>
      <c r="F766" s="7">
        <v>0</v>
      </c>
      <c r="G766" s="7">
        <v>0</v>
      </c>
      <c r="H766" s="7">
        <v>0</v>
      </c>
      <c r="I766" s="7">
        <v>0</v>
      </c>
    </row>
    <row r="767" spans="1:9" x14ac:dyDescent="0.25">
      <c r="A767" t="s">
        <v>127</v>
      </c>
      <c r="B767" t="s">
        <v>1246</v>
      </c>
      <c r="C767" s="7">
        <v>0</v>
      </c>
      <c r="D767" s="7">
        <v>0</v>
      </c>
      <c r="E767" s="7">
        <v>0</v>
      </c>
      <c r="F767" s="7">
        <v>0</v>
      </c>
      <c r="G767" s="7">
        <v>0</v>
      </c>
      <c r="H767" s="7">
        <v>0</v>
      </c>
      <c r="I767" s="7">
        <v>0</v>
      </c>
    </row>
    <row r="768" spans="1:9" x14ac:dyDescent="0.25">
      <c r="A768" t="s">
        <v>127</v>
      </c>
      <c r="B768" t="s">
        <v>1247</v>
      </c>
      <c r="C768" s="7">
        <v>0</v>
      </c>
      <c r="D768" s="7">
        <v>0</v>
      </c>
      <c r="E768" s="7">
        <v>0</v>
      </c>
      <c r="F768" s="7">
        <v>0</v>
      </c>
      <c r="G768" s="7">
        <v>0</v>
      </c>
      <c r="H768" s="7">
        <v>0</v>
      </c>
      <c r="I768" s="7">
        <v>0</v>
      </c>
    </row>
    <row r="769" spans="1:9" x14ac:dyDescent="0.25">
      <c r="A769" t="s">
        <v>127</v>
      </c>
      <c r="B769" t="s">
        <v>1248</v>
      </c>
      <c r="C769" s="7">
        <v>0</v>
      </c>
      <c r="D769" s="7">
        <v>0</v>
      </c>
      <c r="E769" s="7">
        <v>0</v>
      </c>
      <c r="F769" s="7">
        <v>0</v>
      </c>
      <c r="G769" s="7">
        <v>0</v>
      </c>
      <c r="H769" s="7">
        <v>0</v>
      </c>
      <c r="I769" s="7">
        <v>0</v>
      </c>
    </row>
    <row r="770" spans="1:9" x14ac:dyDescent="0.25">
      <c r="A770" t="s">
        <v>127</v>
      </c>
      <c r="B770" t="s">
        <v>1249</v>
      </c>
      <c r="C770" s="7">
        <v>0</v>
      </c>
      <c r="D770" s="7">
        <v>0</v>
      </c>
      <c r="E770" s="7">
        <v>0</v>
      </c>
      <c r="F770" s="7">
        <v>0</v>
      </c>
      <c r="G770" s="7">
        <v>0</v>
      </c>
      <c r="H770" s="7">
        <v>0</v>
      </c>
      <c r="I770" s="7">
        <v>0</v>
      </c>
    </row>
    <row r="771" spans="1:9" x14ac:dyDescent="0.25">
      <c r="A771" t="s">
        <v>127</v>
      </c>
      <c r="B771" t="s">
        <v>1250</v>
      </c>
      <c r="C771" s="7">
        <v>100000</v>
      </c>
      <c r="D771" s="7">
        <v>100000</v>
      </c>
      <c r="E771" s="7">
        <v>100000</v>
      </c>
      <c r="F771" s="7">
        <v>0</v>
      </c>
      <c r="G771" s="7">
        <v>0</v>
      </c>
      <c r="H771" s="7">
        <v>0</v>
      </c>
      <c r="I771" s="7">
        <v>300000</v>
      </c>
    </row>
    <row r="772" spans="1:9" x14ac:dyDescent="0.25">
      <c r="A772" t="s">
        <v>128</v>
      </c>
      <c r="C772" s="7">
        <v>500000</v>
      </c>
      <c r="D772" s="7">
        <v>0</v>
      </c>
      <c r="E772" s="7">
        <v>0</v>
      </c>
      <c r="F772" s="7">
        <v>0</v>
      </c>
      <c r="G772" s="7">
        <v>0</v>
      </c>
      <c r="H772" s="7">
        <v>0</v>
      </c>
      <c r="I772" s="7">
        <v>500000</v>
      </c>
    </row>
    <row r="773" spans="1:9" x14ac:dyDescent="0.25">
      <c r="A773" t="s">
        <v>128</v>
      </c>
      <c r="B773" t="s">
        <v>1251</v>
      </c>
      <c r="C773" s="7">
        <v>500000</v>
      </c>
      <c r="D773" s="7">
        <v>0</v>
      </c>
      <c r="E773" s="7">
        <v>0</v>
      </c>
      <c r="F773" s="7">
        <v>0</v>
      </c>
      <c r="G773" s="7">
        <v>0</v>
      </c>
      <c r="H773" s="7">
        <v>0</v>
      </c>
      <c r="I773" s="7">
        <v>500000</v>
      </c>
    </row>
    <row r="774" spans="1:9" x14ac:dyDescent="0.25">
      <c r="A774" t="s">
        <v>128</v>
      </c>
      <c r="B774" t="s">
        <v>1252</v>
      </c>
      <c r="C774" s="7">
        <v>0</v>
      </c>
      <c r="D774" s="7">
        <v>0</v>
      </c>
      <c r="E774" s="7">
        <v>0</v>
      </c>
      <c r="F774" s="7">
        <v>0</v>
      </c>
      <c r="G774" s="7">
        <v>0</v>
      </c>
      <c r="H774" s="7">
        <v>0</v>
      </c>
      <c r="I774" s="7">
        <v>0</v>
      </c>
    </row>
    <row r="775" spans="1:9" x14ac:dyDescent="0.25">
      <c r="A775" t="s">
        <v>128</v>
      </c>
      <c r="B775" t="s">
        <v>1253</v>
      </c>
      <c r="C775" s="7">
        <v>0</v>
      </c>
      <c r="D775" s="7">
        <v>0</v>
      </c>
      <c r="E775" s="7">
        <v>0</v>
      </c>
      <c r="F775" s="7">
        <v>0</v>
      </c>
      <c r="G775" s="7">
        <v>0</v>
      </c>
      <c r="H775" s="7">
        <v>0</v>
      </c>
      <c r="I775" s="7">
        <v>0</v>
      </c>
    </row>
    <row r="776" spans="1:9" x14ac:dyDescent="0.25">
      <c r="A776" t="s">
        <v>129</v>
      </c>
      <c r="C776" s="7">
        <v>0</v>
      </c>
      <c r="D776" s="7">
        <v>0</v>
      </c>
      <c r="E776" s="7">
        <v>0</v>
      </c>
      <c r="F776" s="7">
        <v>0</v>
      </c>
      <c r="G776" s="7">
        <v>0</v>
      </c>
      <c r="H776" s="7">
        <v>0</v>
      </c>
      <c r="I776" s="7">
        <v>0</v>
      </c>
    </row>
    <row r="777" spans="1:9" x14ac:dyDescent="0.25">
      <c r="A777" t="s">
        <v>129</v>
      </c>
      <c r="B777" t="s">
        <v>1254</v>
      </c>
      <c r="C777" s="7">
        <v>0</v>
      </c>
      <c r="D777" s="7">
        <v>0</v>
      </c>
      <c r="E777" s="7">
        <v>0</v>
      </c>
      <c r="F777" s="7">
        <v>0</v>
      </c>
      <c r="G777" s="7">
        <v>0</v>
      </c>
      <c r="H777" s="7">
        <v>0</v>
      </c>
      <c r="I777" s="7">
        <v>0</v>
      </c>
    </row>
    <row r="778" spans="1:9" x14ac:dyDescent="0.25">
      <c r="A778" t="s">
        <v>129</v>
      </c>
      <c r="B778" t="s">
        <v>1255</v>
      </c>
      <c r="C778" s="7">
        <v>0</v>
      </c>
      <c r="D778" s="7">
        <v>0</v>
      </c>
      <c r="E778" s="7">
        <v>0</v>
      </c>
      <c r="F778" s="7">
        <v>0</v>
      </c>
      <c r="G778" s="7">
        <v>0</v>
      </c>
      <c r="H778" s="7">
        <v>0</v>
      </c>
      <c r="I778" s="7">
        <v>0</v>
      </c>
    </row>
    <row r="779" spans="1:9" x14ac:dyDescent="0.25">
      <c r="A779" t="s">
        <v>130</v>
      </c>
      <c r="C779" s="7">
        <v>0</v>
      </c>
      <c r="D779" s="7">
        <v>0</v>
      </c>
      <c r="E779" s="7">
        <v>0</v>
      </c>
      <c r="F779" s="7">
        <v>0</v>
      </c>
      <c r="G779" s="7">
        <v>0</v>
      </c>
      <c r="H779" s="7">
        <v>0</v>
      </c>
      <c r="I779" s="7">
        <v>0</v>
      </c>
    </row>
    <row r="780" spans="1:9" x14ac:dyDescent="0.25">
      <c r="A780" t="s">
        <v>130</v>
      </c>
      <c r="B780" t="s">
        <v>1256</v>
      </c>
      <c r="C780" s="7">
        <v>0</v>
      </c>
      <c r="D780" s="7">
        <v>0</v>
      </c>
      <c r="E780" s="7">
        <v>0</v>
      </c>
      <c r="F780" s="7">
        <v>0</v>
      </c>
      <c r="G780" s="7">
        <v>0</v>
      </c>
      <c r="H780" s="7">
        <v>0</v>
      </c>
      <c r="I780" s="7">
        <v>0</v>
      </c>
    </row>
    <row r="781" spans="1:9" x14ac:dyDescent="0.25">
      <c r="A781" t="s">
        <v>130</v>
      </c>
      <c r="B781" t="s">
        <v>1257</v>
      </c>
      <c r="C781" s="7">
        <v>0</v>
      </c>
      <c r="D781" s="7">
        <v>0</v>
      </c>
      <c r="E781" s="7">
        <v>0</v>
      </c>
      <c r="F781" s="7">
        <v>0</v>
      </c>
      <c r="G781" s="7">
        <v>0</v>
      </c>
      <c r="H781" s="7">
        <v>0</v>
      </c>
      <c r="I781" s="7">
        <v>0</v>
      </c>
    </row>
    <row r="782" spans="1:9" x14ac:dyDescent="0.25">
      <c r="A782" t="s">
        <v>130</v>
      </c>
      <c r="B782" t="s">
        <v>1258</v>
      </c>
      <c r="C782" s="7">
        <v>0</v>
      </c>
      <c r="D782" s="7">
        <v>0</v>
      </c>
      <c r="E782" s="7">
        <v>0</v>
      </c>
      <c r="F782" s="7">
        <v>0</v>
      </c>
      <c r="G782" s="7">
        <v>0</v>
      </c>
      <c r="H782" s="7">
        <v>0</v>
      </c>
      <c r="I782" s="7">
        <v>0</v>
      </c>
    </row>
    <row r="783" spans="1:9" x14ac:dyDescent="0.25">
      <c r="A783" t="s">
        <v>134</v>
      </c>
      <c r="C783" s="7">
        <v>0</v>
      </c>
      <c r="D783" s="7">
        <v>0</v>
      </c>
      <c r="E783" s="7">
        <v>0</v>
      </c>
      <c r="F783" s="7">
        <v>0</v>
      </c>
      <c r="G783" s="7">
        <v>0</v>
      </c>
      <c r="H783" s="7">
        <v>0</v>
      </c>
      <c r="I783" s="7">
        <v>0</v>
      </c>
    </row>
    <row r="784" spans="1:9" x14ac:dyDescent="0.25">
      <c r="A784" t="s">
        <v>134</v>
      </c>
      <c r="B784" t="s">
        <v>1259</v>
      </c>
      <c r="C784" s="7">
        <v>0</v>
      </c>
      <c r="D784" s="7">
        <v>0</v>
      </c>
      <c r="E784" s="7">
        <v>0</v>
      </c>
      <c r="F784" s="7">
        <v>0</v>
      </c>
      <c r="G784" s="7">
        <v>0</v>
      </c>
      <c r="H784" s="7">
        <v>0</v>
      </c>
      <c r="I784" s="7">
        <v>0</v>
      </c>
    </row>
    <row r="785" spans="1:9" x14ac:dyDescent="0.25">
      <c r="A785" t="s">
        <v>134</v>
      </c>
      <c r="B785" t="s">
        <v>1260</v>
      </c>
      <c r="C785" s="7">
        <v>0</v>
      </c>
      <c r="D785" s="7">
        <v>0</v>
      </c>
      <c r="E785" s="7">
        <v>0</v>
      </c>
      <c r="F785" s="7">
        <v>0</v>
      </c>
      <c r="G785" s="7">
        <v>0</v>
      </c>
      <c r="H785" s="7">
        <v>0</v>
      </c>
      <c r="I785" s="7">
        <v>0</v>
      </c>
    </row>
    <row r="786" spans="1:9" x14ac:dyDescent="0.25">
      <c r="A786" t="s">
        <v>135</v>
      </c>
      <c r="C786" s="7">
        <v>0</v>
      </c>
      <c r="D786" s="7">
        <v>0</v>
      </c>
      <c r="E786" s="7">
        <v>0</v>
      </c>
      <c r="F786" s="7">
        <v>0</v>
      </c>
      <c r="G786" s="7">
        <v>0</v>
      </c>
      <c r="H786" s="7">
        <v>0</v>
      </c>
      <c r="I786" s="7">
        <v>0</v>
      </c>
    </row>
    <row r="787" spans="1:9" x14ac:dyDescent="0.25">
      <c r="A787" t="s">
        <v>135</v>
      </c>
      <c r="B787" t="s">
        <v>1261</v>
      </c>
      <c r="C787" s="7">
        <v>0</v>
      </c>
      <c r="D787" s="7">
        <v>0</v>
      </c>
      <c r="E787" s="7">
        <v>0</v>
      </c>
      <c r="F787" s="7">
        <v>0</v>
      </c>
      <c r="G787" s="7">
        <v>0</v>
      </c>
      <c r="H787" s="7">
        <v>0</v>
      </c>
      <c r="I787" s="7">
        <v>0</v>
      </c>
    </row>
    <row r="788" spans="1:9" x14ac:dyDescent="0.25">
      <c r="A788" t="s">
        <v>135</v>
      </c>
      <c r="B788" t="s">
        <v>1262</v>
      </c>
      <c r="C788" s="7">
        <v>0</v>
      </c>
      <c r="D788" s="7">
        <v>0</v>
      </c>
      <c r="E788" s="7">
        <v>0</v>
      </c>
      <c r="F788" s="7">
        <v>0</v>
      </c>
      <c r="G788" s="7">
        <v>0</v>
      </c>
      <c r="H788" s="7">
        <v>0</v>
      </c>
      <c r="I788" s="7">
        <v>0</v>
      </c>
    </row>
    <row r="789" spans="1:9" x14ac:dyDescent="0.25">
      <c r="A789" t="s">
        <v>135</v>
      </c>
      <c r="B789" t="s">
        <v>1263</v>
      </c>
      <c r="C789" s="7">
        <v>0</v>
      </c>
      <c r="D789" s="7">
        <v>0</v>
      </c>
      <c r="E789" s="7">
        <v>0</v>
      </c>
      <c r="F789" s="7">
        <v>0</v>
      </c>
      <c r="G789" s="7">
        <v>0</v>
      </c>
      <c r="H789" s="7">
        <v>0</v>
      </c>
      <c r="I789" s="7">
        <v>0</v>
      </c>
    </row>
    <row r="790" spans="1:9" x14ac:dyDescent="0.25">
      <c r="A790" t="s">
        <v>135</v>
      </c>
      <c r="B790" t="s">
        <v>1264</v>
      </c>
      <c r="C790" s="7">
        <v>0</v>
      </c>
      <c r="D790" s="7">
        <v>0</v>
      </c>
      <c r="E790" s="7">
        <v>0</v>
      </c>
      <c r="F790" s="7">
        <v>0</v>
      </c>
      <c r="G790" s="7">
        <v>0</v>
      </c>
      <c r="H790" s="7">
        <v>0</v>
      </c>
      <c r="I790" s="7">
        <v>0</v>
      </c>
    </row>
    <row r="791" spans="1:9" x14ac:dyDescent="0.25">
      <c r="A791" t="s">
        <v>135</v>
      </c>
      <c r="B791" t="s">
        <v>1265</v>
      </c>
      <c r="C791" s="7">
        <v>0</v>
      </c>
      <c r="D791" s="7">
        <v>0</v>
      </c>
      <c r="E791" s="7">
        <v>0</v>
      </c>
      <c r="F791" s="7">
        <v>0</v>
      </c>
      <c r="G791" s="7">
        <v>0</v>
      </c>
      <c r="H791" s="7">
        <v>0</v>
      </c>
      <c r="I791" s="7">
        <v>0</v>
      </c>
    </row>
    <row r="792" spans="1:9" x14ac:dyDescent="0.25">
      <c r="A792" t="s">
        <v>136</v>
      </c>
      <c r="C792" s="7">
        <v>200000</v>
      </c>
      <c r="D792" s="7">
        <v>200000</v>
      </c>
      <c r="E792" s="7">
        <v>200000</v>
      </c>
      <c r="F792" s="7">
        <v>200000</v>
      </c>
      <c r="G792" s="7">
        <v>200000</v>
      </c>
      <c r="H792" s="7">
        <v>200000</v>
      </c>
      <c r="I792" s="7">
        <v>1200000</v>
      </c>
    </row>
    <row r="793" spans="1:9" x14ac:dyDescent="0.25">
      <c r="A793" t="s">
        <v>136</v>
      </c>
      <c r="B793" t="s">
        <v>1266</v>
      </c>
      <c r="C793" s="7">
        <v>100000</v>
      </c>
      <c r="D793" s="7">
        <v>100000</v>
      </c>
      <c r="E793" s="7">
        <v>100000</v>
      </c>
      <c r="F793" s="7">
        <v>100000</v>
      </c>
      <c r="G793" s="7">
        <v>100000</v>
      </c>
      <c r="H793" s="7">
        <v>100000</v>
      </c>
      <c r="I793" s="7">
        <v>600000</v>
      </c>
    </row>
    <row r="794" spans="1:9" x14ac:dyDescent="0.25">
      <c r="A794" t="s">
        <v>136</v>
      </c>
      <c r="B794" t="s">
        <v>1267</v>
      </c>
      <c r="C794" s="7">
        <v>0</v>
      </c>
      <c r="D794" s="7">
        <v>0</v>
      </c>
      <c r="E794" s="7">
        <v>0</v>
      </c>
      <c r="F794" s="7">
        <v>0</v>
      </c>
      <c r="G794" s="7">
        <v>0</v>
      </c>
      <c r="H794" s="7">
        <v>0</v>
      </c>
      <c r="I794" s="7">
        <v>0</v>
      </c>
    </row>
    <row r="795" spans="1:9" x14ac:dyDescent="0.25">
      <c r="A795" t="s">
        <v>136</v>
      </c>
      <c r="B795" t="s">
        <v>1268</v>
      </c>
      <c r="C795" s="7">
        <v>0</v>
      </c>
      <c r="D795" s="7">
        <v>0</v>
      </c>
      <c r="E795" s="7">
        <v>0</v>
      </c>
      <c r="F795" s="7">
        <v>0</v>
      </c>
      <c r="G795" s="7">
        <v>0</v>
      </c>
      <c r="H795" s="7">
        <v>0</v>
      </c>
      <c r="I795" s="7">
        <v>0</v>
      </c>
    </row>
    <row r="796" spans="1:9" x14ac:dyDescent="0.25">
      <c r="A796" t="s">
        <v>136</v>
      </c>
      <c r="B796" t="s">
        <v>1269</v>
      </c>
      <c r="C796" s="7">
        <v>0</v>
      </c>
      <c r="D796" s="7">
        <v>0</v>
      </c>
      <c r="E796" s="7">
        <v>0</v>
      </c>
      <c r="F796" s="7">
        <v>0</v>
      </c>
      <c r="G796" s="7">
        <v>0</v>
      </c>
      <c r="H796" s="7">
        <v>0</v>
      </c>
      <c r="I796" s="7">
        <v>0</v>
      </c>
    </row>
    <row r="797" spans="1:9" x14ac:dyDescent="0.25">
      <c r="A797" t="s">
        <v>136</v>
      </c>
      <c r="B797" t="s">
        <v>1270</v>
      </c>
      <c r="C797" s="7">
        <v>0</v>
      </c>
      <c r="D797" s="7">
        <v>0</v>
      </c>
      <c r="E797" s="7">
        <v>0</v>
      </c>
      <c r="F797" s="7">
        <v>0</v>
      </c>
      <c r="G797" s="7">
        <v>0</v>
      </c>
      <c r="H797" s="7">
        <v>0</v>
      </c>
      <c r="I797" s="7">
        <v>0</v>
      </c>
    </row>
    <row r="798" spans="1:9" x14ac:dyDescent="0.25">
      <c r="A798" t="s">
        <v>136</v>
      </c>
      <c r="B798" t="s">
        <v>1271</v>
      </c>
      <c r="C798" s="7">
        <v>0</v>
      </c>
      <c r="D798" s="7">
        <v>0</v>
      </c>
      <c r="E798" s="7">
        <v>0</v>
      </c>
      <c r="F798" s="7">
        <v>0</v>
      </c>
      <c r="G798" s="7">
        <v>0</v>
      </c>
      <c r="H798" s="7">
        <v>0</v>
      </c>
      <c r="I798" s="7">
        <v>0</v>
      </c>
    </row>
    <row r="799" spans="1:9" x14ac:dyDescent="0.25">
      <c r="A799" t="s">
        <v>136</v>
      </c>
      <c r="B799" t="s">
        <v>1272</v>
      </c>
      <c r="C799" s="7">
        <v>100000</v>
      </c>
      <c r="D799" s="7">
        <v>100000</v>
      </c>
      <c r="E799" s="7">
        <v>100000</v>
      </c>
      <c r="F799" s="7">
        <v>100000</v>
      </c>
      <c r="G799" s="7">
        <v>100000</v>
      </c>
      <c r="H799" s="7">
        <v>100000</v>
      </c>
      <c r="I799" s="7">
        <v>600000</v>
      </c>
    </row>
    <row r="800" spans="1:9" x14ac:dyDescent="0.25">
      <c r="A800" t="s">
        <v>137</v>
      </c>
      <c r="C800" s="7">
        <v>0</v>
      </c>
      <c r="D800" s="7">
        <v>0</v>
      </c>
      <c r="E800" s="7">
        <v>0</v>
      </c>
      <c r="F800" s="7">
        <v>0</v>
      </c>
      <c r="G800" s="7">
        <v>0</v>
      </c>
      <c r="H800" s="7">
        <v>0</v>
      </c>
      <c r="I800" s="7">
        <v>0</v>
      </c>
    </row>
    <row r="801" spans="1:9" x14ac:dyDescent="0.25">
      <c r="A801" t="s">
        <v>137</v>
      </c>
      <c r="B801" t="s">
        <v>1273</v>
      </c>
      <c r="C801" s="7">
        <v>0</v>
      </c>
      <c r="D801" s="7">
        <v>0</v>
      </c>
      <c r="E801" s="7">
        <v>0</v>
      </c>
      <c r="F801" s="7">
        <v>0</v>
      </c>
      <c r="G801" s="7">
        <v>0</v>
      </c>
      <c r="H801" s="7">
        <v>0</v>
      </c>
      <c r="I801" s="7">
        <v>0</v>
      </c>
    </row>
    <row r="802" spans="1:9" x14ac:dyDescent="0.25">
      <c r="A802" t="s">
        <v>137</v>
      </c>
      <c r="B802" t="s">
        <v>1274</v>
      </c>
      <c r="C802" s="7">
        <v>0</v>
      </c>
      <c r="D802" s="7">
        <v>0</v>
      </c>
      <c r="E802" s="7">
        <v>0</v>
      </c>
      <c r="F802" s="7">
        <v>0</v>
      </c>
      <c r="G802" s="7">
        <v>0</v>
      </c>
      <c r="H802" s="7">
        <v>0</v>
      </c>
      <c r="I802" s="7">
        <v>0</v>
      </c>
    </row>
    <row r="803" spans="1:9" x14ac:dyDescent="0.25">
      <c r="A803" t="s">
        <v>137</v>
      </c>
      <c r="B803" t="s">
        <v>1275</v>
      </c>
      <c r="C803" s="7">
        <v>0</v>
      </c>
      <c r="D803" s="7">
        <v>0</v>
      </c>
      <c r="E803" s="7">
        <v>0</v>
      </c>
      <c r="F803" s="7">
        <v>0</v>
      </c>
      <c r="G803" s="7">
        <v>0</v>
      </c>
      <c r="H803" s="7">
        <v>0</v>
      </c>
      <c r="I803" s="7">
        <v>0</v>
      </c>
    </row>
    <row r="804" spans="1:9" x14ac:dyDescent="0.25">
      <c r="A804" t="s">
        <v>139</v>
      </c>
      <c r="C804" s="7">
        <v>5790000</v>
      </c>
      <c r="D804" s="7">
        <v>1350000</v>
      </c>
      <c r="E804" s="7">
        <v>1800000</v>
      </c>
      <c r="F804" s="7">
        <v>1800000</v>
      </c>
      <c r="G804" s="7">
        <v>2000000</v>
      </c>
      <c r="H804" s="7">
        <v>2000000</v>
      </c>
      <c r="I804" s="7">
        <v>14740000</v>
      </c>
    </row>
    <row r="805" spans="1:9" x14ac:dyDescent="0.25">
      <c r="A805" t="s">
        <v>139</v>
      </c>
      <c r="B805" t="s">
        <v>1276</v>
      </c>
      <c r="C805" s="7">
        <v>800000</v>
      </c>
      <c r="D805" s="7">
        <v>800000</v>
      </c>
      <c r="E805" s="7">
        <v>800000</v>
      </c>
      <c r="F805" s="7">
        <v>800000</v>
      </c>
      <c r="G805" s="7">
        <v>800000</v>
      </c>
      <c r="H805" s="7">
        <v>800000</v>
      </c>
      <c r="I805" s="7">
        <v>4800000</v>
      </c>
    </row>
    <row r="806" spans="1:9" x14ac:dyDescent="0.25">
      <c r="A806" t="s">
        <v>139</v>
      </c>
      <c r="B806" t="s">
        <v>1277</v>
      </c>
      <c r="C806" s="7">
        <v>0</v>
      </c>
      <c r="D806" s="7">
        <v>0</v>
      </c>
      <c r="E806" s="7">
        <v>50000</v>
      </c>
      <c r="F806" s="7">
        <v>50000</v>
      </c>
      <c r="G806" s="7">
        <v>50000</v>
      </c>
      <c r="H806" s="7">
        <v>50000</v>
      </c>
      <c r="I806" s="7">
        <v>200000</v>
      </c>
    </row>
    <row r="807" spans="1:9" x14ac:dyDescent="0.25">
      <c r="A807" t="s">
        <v>139</v>
      </c>
      <c r="B807" t="s">
        <v>1278</v>
      </c>
      <c r="C807" s="7">
        <v>0</v>
      </c>
      <c r="D807" s="7">
        <v>0</v>
      </c>
      <c r="E807" s="7">
        <v>0</v>
      </c>
      <c r="F807" s="7">
        <v>0</v>
      </c>
      <c r="G807" s="7">
        <v>0</v>
      </c>
      <c r="H807" s="7">
        <v>0</v>
      </c>
      <c r="I807" s="7">
        <v>0</v>
      </c>
    </row>
    <row r="808" spans="1:9" x14ac:dyDescent="0.25">
      <c r="A808" t="s">
        <v>139</v>
      </c>
      <c r="B808" t="s">
        <v>1279</v>
      </c>
      <c r="C808" s="7">
        <v>0</v>
      </c>
      <c r="D808" s="7">
        <v>0</v>
      </c>
      <c r="E808" s="7">
        <v>400000</v>
      </c>
      <c r="F808" s="7">
        <v>400000</v>
      </c>
      <c r="G808" s="7">
        <v>600000</v>
      </c>
      <c r="H808" s="7">
        <v>600000</v>
      </c>
      <c r="I808" s="7">
        <v>2000000</v>
      </c>
    </row>
    <row r="809" spans="1:9" x14ac:dyDescent="0.25">
      <c r="A809" t="s">
        <v>139</v>
      </c>
      <c r="B809" t="s">
        <v>1280</v>
      </c>
      <c r="C809" s="7">
        <v>0</v>
      </c>
      <c r="D809" s="7">
        <v>100000</v>
      </c>
      <c r="E809" s="7">
        <v>100000</v>
      </c>
      <c r="F809" s="7">
        <v>100000</v>
      </c>
      <c r="G809" s="7">
        <v>100000</v>
      </c>
      <c r="H809" s="7">
        <v>100000</v>
      </c>
      <c r="I809" s="7">
        <v>500000</v>
      </c>
    </row>
    <row r="810" spans="1:9" x14ac:dyDescent="0.25">
      <c r="A810" t="s">
        <v>139</v>
      </c>
      <c r="B810" t="s">
        <v>1281</v>
      </c>
      <c r="C810" s="7">
        <v>4500000</v>
      </c>
      <c r="D810" s="7">
        <v>0</v>
      </c>
      <c r="E810" s="7">
        <v>0</v>
      </c>
      <c r="F810" s="7">
        <v>0</v>
      </c>
      <c r="G810" s="7">
        <v>0</v>
      </c>
      <c r="H810" s="7">
        <v>0</v>
      </c>
      <c r="I810" s="7">
        <v>4500000</v>
      </c>
    </row>
    <row r="811" spans="1:9" x14ac:dyDescent="0.25">
      <c r="A811" t="s">
        <v>139</v>
      </c>
      <c r="B811" t="s">
        <v>1282</v>
      </c>
      <c r="C811" s="7">
        <v>0</v>
      </c>
      <c r="D811" s="7">
        <v>0</v>
      </c>
      <c r="E811" s="7">
        <v>0</v>
      </c>
      <c r="F811" s="7">
        <v>0</v>
      </c>
      <c r="G811" s="7">
        <v>0</v>
      </c>
      <c r="H811" s="7">
        <v>0</v>
      </c>
      <c r="I811" s="7">
        <v>0</v>
      </c>
    </row>
    <row r="812" spans="1:9" x14ac:dyDescent="0.25">
      <c r="A812" t="s">
        <v>139</v>
      </c>
      <c r="B812" t="s">
        <v>1283</v>
      </c>
      <c r="C812" s="7">
        <v>0</v>
      </c>
      <c r="D812" s="7">
        <v>0</v>
      </c>
      <c r="E812" s="7">
        <v>0</v>
      </c>
      <c r="F812" s="7">
        <v>0</v>
      </c>
      <c r="G812" s="7">
        <v>0</v>
      </c>
      <c r="H812" s="7">
        <v>0</v>
      </c>
      <c r="I812" s="7">
        <v>0</v>
      </c>
    </row>
    <row r="813" spans="1:9" x14ac:dyDescent="0.25">
      <c r="A813" t="s">
        <v>139</v>
      </c>
      <c r="B813" t="s">
        <v>1284</v>
      </c>
      <c r="C813" s="7">
        <v>450000</v>
      </c>
      <c r="D813" s="7">
        <v>450000</v>
      </c>
      <c r="E813" s="7">
        <v>450000</v>
      </c>
      <c r="F813" s="7">
        <v>450000</v>
      </c>
      <c r="G813" s="7">
        <v>450000</v>
      </c>
      <c r="H813" s="7">
        <v>450000</v>
      </c>
      <c r="I813" s="7">
        <v>2700000</v>
      </c>
    </row>
    <row r="814" spans="1:9" x14ac:dyDescent="0.25">
      <c r="A814" t="s">
        <v>139</v>
      </c>
      <c r="B814" t="s">
        <v>1285</v>
      </c>
      <c r="C814" s="7">
        <v>20000</v>
      </c>
      <c r="D814" s="7">
        <v>0</v>
      </c>
      <c r="E814" s="7">
        <v>0</v>
      </c>
      <c r="F814" s="7">
        <v>0</v>
      </c>
      <c r="G814" s="7">
        <v>0</v>
      </c>
      <c r="H814" s="7">
        <v>0</v>
      </c>
      <c r="I814" s="7">
        <v>20000</v>
      </c>
    </row>
    <row r="815" spans="1:9" x14ac:dyDescent="0.25">
      <c r="A815" t="s">
        <v>139</v>
      </c>
      <c r="B815" t="s">
        <v>1286</v>
      </c>
      <c r="C815" s="7">
        <v>20000</v>
      </c>
      <c r="D815" s="7">
        <v>0</v>
      </c>
      <c r="E815" s="7">
        <v>0</v>
      </c>
      <c r="F815" s="7">
        <v>0</v>
      </c>
      <c r="G815" s="7">
        <v>0</v>
      </c>
      <c r="H815" s="7">
        <v>0</v>
      </c>
      <c r="I815" s="7">
        <v>20000</v>
      </c>
    </row>
    <row r="816" spans="1:9" x14ac:dyDescent="0.25">
      <c r="A816" t="s">
        <v>115</v>
      </c>
      <c r="C816" s="7"/>
      <c r="D816" s="7"/>
      <c r="E816" s="7"/>
      <c r="F816" s="7"/>
      <c r="G816" s="7"/>
      <c r="H816" s="7"/>
      <c r="I816" s="7"/>
    </row>
    <row r="817" spans="1:9" x14ac:dyDescent="0.25">
      <c r="A817" t="s">
        <v>115</v>
      </c>
      <c r="B817" t="s">
        <v>3009</v>
      </c>
      <c r="C817" s="7"/>
      <c r="D817" s="7"/>
      <c r="E817" s="7"/>
      <c r="F817" s="7"/>
      <c r="G817" s="7"/>
      <c r="H817" s="7"/>
      <c r="I817" s="7"/>
    </row>
    <row r="818" spans="1:9" x14ac:dyDescent="0.25">
      <c r="A818" t="s">
        <v>115</v>
      </c>
      <c r="B818" t="s">
        <v>3010</v>
      </c>
      <c r="C818" s="7"/>
      <c r="D818" s="7"/>
      <c r="E818" s="7"/>
      <c r="F818" s="7"/>
      <c r="G818" s="7"/>
      <c r="H818" s="7"/>
      <c r="I818" s="7"/>
    </row>
    <row r="819" spans="1:9" x14ac:dyDescent="0.25">
      <c r="A819" t="s">
        <v>115</v>
      </c>
      <c r="B819" t="s">
        <v>3011</v>
      </c>
      <c r="C819" s="7"/>
      <c r="D819" s="7"/>
      <c r="E819" s="7"/>
      <c r="F819" s="7"/>
      <c r="G819" s="7"/>
      <c r="H819" s="7"/>
      <c r="I819" s="7"/>
    </row>
    <row r="820" spans="1:9" x14ac:dyDescent="0.25">
      <c r="A820" t="s">
        <v>115</v>
      </c>
      <c r="B820" t="s">
        <v>3012</v>
      </c>
      <c r="C820" s="7"/>
      <c r="D820" s="7"/>
      <c r="E820" s="7"/>
      <c r="F820" s="7"/>
      <c r="G820" s="7"/>
      <c r="H820" s="7"/>
      <c r="I820" s="7"/>
    </row>
    <row r="821" spans="1:9" x14ac:dyDescent="0.25">
      <c r="A821" t="s">
        <v>115</v>
      </c>
      <c r="B821" t="s">
        <v>3013</v>
      </c>
      <c r="C821" s="7"/>
      <c r="D821" s="7"/>
      <c r="E821" s="7"/>
      <c r="F821" s="7"/>
      <c r="G821" s="7"/>
      <c r="H821" s="7"/>
      <c r="I821" s="7"/>
    </row>
    <row r="822" spans="1:9" x14ac:dyDescent="0.25">
      <c r="A822" t="s">
        <v>115</v>
      </c>
      <c r="B822" t="s">
        <v>3014</v>
      </c>
      <c r="C822" s="7"/>
      <c r="D822" s="7"/>
      <c r="E822" s="7"/>
      <c r="F822" s="7"/>
      <c r="G822" s="7"/>
      <c r="H822" s="7"/>
      <c r="I822" s="7"/>
    </row>
    <row r="823" spans="1:9" x14ac:dyDescent="0.25">
      <c r="A823" t="s">
        <v>115</v>
      </c>
      <c r="B823" t="s">
        <v>3015</v>
      </c>
      <c r="C823" s="7"/>
      <c r="D823" s="7"/>
      <c r="E823" s="7"/>
      <c r="F823" s="7"/>
      <c r="G823" s="7"/>
      <c r="H823" s="7"/>
      <c r="I823" s="7"/>
    </row>
    <row r="824" spans="1:9" x14ac:dyDescent="0.25">
      <c r="A824" t="s">
        <v>115</v>
      </c>
      <c r="B824" t="s">
        <v>3016</v>
      </c>
      <c r="C824" s="7"/>
      <c r="D824" s="7"/>
      <c r="E824" s="7"/>
      <c r="F824" s="7"/>
      <c r="G824" s="7"/>
      <c r="H824" s="7"/>
      <c r="I824" s="7"/>
    </row>
    <row r="825" spans="1:9" x14ac:dyDescent="0.25">
      <c r="A825" t="s">
        <v>115</v>
      </c>
      <c r="B825" t="s">
        <v>3017</v>
      </c>
      <c r="C825" s="7"/>
      <c r="D825" s="7"/>
      <c r="E825" s="7"/>
      <c r="F825" s="7"/>
      <c r="G825" s="7"/>
      <c r="H825" s="7"/>
      <c r="I825" s="7"/>
    </row>
    <row r="826" spans="1:9" x14ac:dyDescent="0.25">
      <c r="A826" t="s">
        <v>115</v>
      </c>
      <c r="B826" t="s">
        <v>3018</v>
      </c>
      <c r="C826" s="7"/>
      <c r="D826" s="7"/>
      <c r="E826" s="7"/>
      <c r="F826" s="7"/>
      <c r="G826" s="7"/>
      <c r="H826" s="7"/>
      <c r="I826" s="7"/>
    </row>
    <row r="827" spans="1:9" x14ac:dyDescent="0.25">
      <c r="A827" t="s">
        <v>115</v>
      </c>
      <c r="B827" t="s">
        <v>3019</v>
      </c>
      <c r="C827" s="7"/>
      <c r="D827" s="7"/>
      <c r="E827" s="7"/>
      <c r="F827" s="7"/>
      <c r="G827" s="7"/>
      <c r="H827" s="7"/>
      <c r="I827" s="7"/>
    </row>
    <row r="828" spans="1:9" x14ac:dyDescent="0.25">
      <c r="A828" t="s">
        <v>115</v>
      </c>
      <c r="B828" t="s">
        <v>3020</v>
      </c>
      <c r="C828" s="7"/>
      <c r="D828" s="7"/>
      <c r="E828" s="7"/>
      <c r="F828" s="7"/>
      <c r="G828" s="7"/>
      <c r="H828" s="7"/>
      <c r="I828" s="7"/>
    </row>
    <row r="829" spans="1:9" x14ac:dyDescent="0.25">
      <c r="A829" t="s">
        <v>411</v>
      </c>
      <c r="C829" s="7">
        <v>152585830</v>
      </c>
      <c r="D829" s="7">
        <v>159239413</v>
      </c>
      <c r="E829" s="7">
        <v>163377580</v>
      </c>
      <c r="F829" s="7">
        <v>185700730</v>
      </c>
      <c r="G829" s="7">
        <v>189423230</v>
      </c>
      <c r="H829" s="7">
        <v>177699780</v>
      </c>
      <c r="I829" s="7">
        <v>1028026563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dimension ref="A1:AB67"/>
  <sheetViews>
    <sheetView showGridLines="0" workbookViewId="0">
      <pane xSplit="8" ySplit="2" topLeftCell="I29" activePane="bottomRight" state="frozen"/>
      <selection pane="topRight" activeCell="H1" sqref="H1"/>
      <selection pane="bottomLeft" activeCell="A3" sqref="A3"/>
      <selection pane="bottomRight" activeCell="E31" sqref="E31"/>
    </sheetView>
  </sheetViews>
  <sheetFormatPr baseColWidth="10" defaultColWidth="10.85546875" defaultRowHeight="15" x14ac:dyDescent="0.25"/>
  <cols>
    <col min="1" max="1" width="8.85546875" bestFit="1" customWidth="1"/>
    <col min="2" max="2" width="55.42578125" customWidth="1"/>
    <col min="3" max="3" width="14.7109375" customWidth="1"/>
    <col min="4" max="4" width="13.85546875" bestFit="1" customWidth="1"/>
    <col min="5" max="6" width="12.85546875" bestFit="1" customWidth="1"/>
    <col min="7" max="8" width="13.85546875" bestFit="1" customWidth="1"/>
    <col min="9" max="10" width="18.140625" bestFit="1" customWidth="1"/>
    <col min="11" max="14" width="16.5703125" bestFit="1" customWidth="1"/>
    <col min="15" max="16" width="15.42578125" bestFit="1" customWidth="1"/>
    <col min="17" max="18" width="16.5703125" bestFit="1" customWidth="1"/>
    <col min="19" max="20" width="15.42578125" bestFit="1" customWidth="1"/>
    <col min="21" max="22" width="18.140625" bestFit="1" customWidth="1"/>
    <col min="23" max="23" width="15.42578125" bestFit="1" customWidth="1"/>
    <col min="24" max="24" width="16.5703125" bestFit="1" customWidth="1"/>
    <col min="25" max="26" width="18.140625" bestFit="1" customWidth="1"/>
    <col min="27" max="28" width="16.5703125" bestFit="1" customWidth="1"/>
  </cols>
  <sheetData>
    <row r="1" spans="1:28" ht="30.6" customHeight="1" x14ac:dyDescent="0.25">
      <c r="D1" s="1" t="s">
        <v>492</v>
      </c>
      <c r="E1" s="1"/>
      <c r="F1" s="1"/>
      <c r="G1" s="1"/>
      <c r="H1" s="1"/>
      <c r="I1" s="558" t="s">
        <v>493</v>
      </c>
      <c r="J1" s="559"/>
      <c r="K1" s="559"/>
      <c r="L1" s="559"/>
      <c r="M1" s="559"/>
      <c r="N1" s="559"/>
      <c r="O1" s="559"/>
      <c r="P1" s="559"/>
      <c r="Q1" s="559"/>
      <c r="R1" s="559"/>
      <c r="S1" s="559"/>
      <c r="T1" s="559"/>
      <c r="U1" s="559"/>
      <c r="V1" s="559"/>
      <c r="W1" s="559"/>
      <c r="X1" s="559"/>
      <c r="Y1" s="559"/>
      <c r="Z1" s="559"/>
      <c r="AA1" s="559"/>
      <c r="AB1" s="559"/>
    </row>
    <row r="2" spans="1:28" ht="26.25" x14ac:dyDescent="0.25">
      <c r="A2" s="41" t="s">
        <v>392</v>
      </c>
      <c r="B2" s="41" t="s">
        <v>393</v>
      </c>
      <c r="C2" s="41" t="s">
        <v>1500</v>
      </c>
      <c r="D2" s="16" t="s">
        <v>415</v>
      </c>
      <c r="E2" s="42" t="s">
        <v>416</v>
      </c>
      <c r="F2" s="43" t="s">
        <v>414</v>
      </c>
      <c r="G2" s="44" t="s">
        <v>494</v>
      </c>
      <c r="H2" s="45" t="s">
        <v>394</v>
      </c>
      <c r="I2" s="16" t="s">
        <v>617</v>
      </c>
      <c r="J2" s="16" t="s">
        <v>616</v>
      </c>
      <c r="K2" s="16" t="s">
        <v>618</v>
      </c>
      <c r="L2" s="16" t="s">
        <v>619</v>
      </c>
      <c r="M2" s="42" t="s">
        <v>620</v>
      </c>
      <c r="N2" s="42" t="s">
        <v>621</v>
      </c>
      <c r="O2" s="42" t="s">
        <v>622</v>
      </c>
      <c r="P2" s="42" t="s">
        <v>623</v>
      </c>
      <c r="Q2" s="43" t="s">
        <v>624</v>
      </c>
      <c r="R2" s="43" t="s">
        <v>625</v>
      </c>
      <c r="S2" s="43" t="s">
        <v>626</v>
      </c>
      <c r="T2" s="43" t="s">
        <v>627</v>
      </c>
      <c r="U2" s="44" t="s">
        <v>632</v>
      </c>
      <c r="V2" s="44" t="s">
        <v>633</v>
      </c>
      <c r="W2" s="44" t="s">
        <v>634</v>
      </c>
      <c r="X2" s="44" t="s">
        <v>635</v>
      </c>
      <c r="Y2" s="41" t="s">
        <v>628</v>
      </c>
      <c r="Z2" s="41" t="s">
        <v>629</v>
      </c>
      <c r="AA2" s="41" t="s">
        <v>630</v>
      </c>
      <c r="AB2" s="41" t="s">
        <v>631</v>
      </c>
    </row>
    <row r="3" spans="1:28" x14ac:dyDescent="0.25">
      <c r="A3" s="330" t="s">
        <v>0</v>
      </c>
      <c r="B3" s="331" t="str">
        <f>VLOOKUP(A3,'1. Mesures'!$A$2:$B$116,2,0)</f>
        <v xml:space="preserve">Remettre à ciel ouvert le réseau hydrographique  </v>
      </c>
      <c r="C3" s="331" t="str">
        <f>"ACE"&amp;"-"&amp;VLOOKUP(A3,'6. Mesures_ Budget_ Maximaliste'!$A$4:$C$32,3,0)</f>
        <v>ACE-PP</v>
      </c>
      <c r="D3" s="337">
        <v>6120000</v>
      </c>
      <c r="E3" s="337">
        <v>2330000</v>
      </c>
      <c r="F3" s="337"/>
      <c r="G3" s="337"/>
      <c r="H3" s="338">
        <v>8450000</v>
      </c>
      <c r="I3" s="339">
        <f>VLOOKUP($A3,'6. Mesures_ Budget_ Maximaliste'!$A$4:$W$32,8,0)</f>
        <v>88200000</v>
      </c>
      <c r="J3" s="339">
        <f>VLOOKUP($A3,'6. Mesures_ Budget_ Maximaliste'!$A$4:$W$32,9,0)</f>
        <v>116200000</v>
      </c>
      <c r="K3" s="339">
        <f>VLOOKUP($A3,'6. Mesures_ Budget_ Maximaliste'!$A$4:$W$32,10,0)</f>
        <v>4610216.8377614897</v>
      </c>
      <c r="L3" s="339">
        <f>VLOOKUP($A3,'6. Mesures_ Budget_ Maximaliste'!$A$4:$W$32,11,0)</f>
        <v>5913622.450348652</v>
      </c>
      <c r="M3" s="339">
        <f>VLOOKUP($A3,'6. Mesures_ Budget_ Maximaliste'!$A$4:$W$32,12,0)</f>
        <v>120600000</v>
      </c>
      <c r="N3" s="339">
        <f>VLOOKUP($A3,'6. Mesures_ Budget_ Maximaliste'!$A$4:$W$32,13,0)</f>
        <v>160600000</v>
      </c>
      <c r="O3" s="339">
        <f>VLOOKUP($A3,'6. Mesures_ Budget_ Maximaliste'!$A$4:$W$32,14,0)</f>
        <v>5686024.0539449845</v>
      </c>
      <c r="P3" s="339">
        <f>VLOOKUP($A3,'6. Mesures_ Budget_ Maximaliste'!$A$4:$W$32,15,0)</f>
        <v>7548032.0719266459</v>
      </c>
      <c r="Q3" s="339">
        <f>VLOOKUP($A3,'6. Mesures_ Budget_ Maximaliste'!$A$4:$W$32,16,0)</f>
        <v>0</v>
      </c>
      <c r="R3" s="339">
        <f>VLOOKUP($A3,'6. Mesures_ Budget_ Maximaliste'!$A$4:$W$32,17,0)</f>
        <v>0</v>
      </c>
      <c r="S3" s="339">
        <f>VLOOKUP($A3,'6. Mesures_ Budget_ Maximaliste'!$A$4:$W$32,18,0)</f>
        <v>0</v>
      </c>
      <c r="T3" s="339">
        <f>VLOOKUP($A3,'6. Mesures_ Budget_ Maximaliste'!$A$4:$W$32,19,0)</f>
        <v>0</v>
      </c>
      <c r="U3" s="339">
        <f>VLOOKUP($A3,'6. Mesures_ Budget_ Maximaliste'!$A$4:$W$32,20,0)</f>
        <v>0</v>
      </c>
      <c r="V3" s="339">
        <f>VLOOKUP($A3,'6. Mesures_ Budget_ Maximaliste'!$A$4:$W$32,21,0)</f>
        <v>0</v>
      </c>
      <c r="W3" s="339">
        <f>VLOOKUP($A3,'6. Mesures_ Budget_ Maximaliste'!$A$4:$W$32,22,0)</f>
        <v>0</v>
      </c>
      <c r="X3" s="339">
        <f>VLOOKUP($A3,'6. Mesures_ Budget_ Maximaliste'!$A$4:$W$32,23,0)</f>
        <v>0</v>
      </c>
      <c r="Y3" s="340">
        <f>VLOOKUP($A3,'6. Mesures_ Budget_ Maximaliste'!$A$4:$W$32,4,0)</f>
        <v>208800000</v>
      </c>
      <c r="Z3" s="340">
        <f>VLOOKUP($A3,'6. Mesures_ Budget_ Maximaliste'!$A$4:$W$32,5,0)</f>
        <v>276800000</v>
      </c>
      <c r="AA3" s="340">
        <f>VLOOKUP($A3,'6. Mesures_ Budget_ Maximaliste'!$A$4:$W$32,6,0)</f>
        <v>10296240.891706474</v>
      </c>
      <c r="AB3" s="340">
        <f>VLOOKUP($A3,'6. Mesures_ Budget_ Maximaliste'!$A$4:$W$32,7,0)</f>
        <v>13461654.522275299</v>
      </c>
    </row>
    <row r="4" spans="1:28" ht="39" x14ac:dyDescent="0.25">
      <c r="A4" s="330" t="s">
        <v>1</v>
      </c>
      <c r="B4" s="331" t="str">
        <f>VLOOKUP(A4,'1. Mesures'!$A$2:$B$116,2,0)</f>
        <v>Améliorer la qualité des berges et des lits du réseau hydrographique, créer des méandres et aménager des zones propices au développement de la faune et de la flore aquatiques</v>
      </c>
      <c r="C4" s="331" t="str">
        <f>"ACE"&amp;"-"&amp;VLOOKUP(A4,'6. Mesures_ Budget_ Maximaliste'!$A$4:$C$32,3,0)</f>
        <v>ACE-PP</v>
      </c>
      <c r="D4" s="337">
        <v>6670000</v>
      </c>
      <c r="E4" s="337">
        <v>690000</v>
      </c>
      <c r="F4" s="337">
        <v>1265000</v>
      </c>
      <c r="G4" s="337"/>
      <c r="H4" s="338">
        <v>8625000</v>
      </c>
      <c r="I4" s="339">
        <f>VLOOKUP($A4,'6. Mesures_ Budget_ Maximaliste'!$A$4:$W$32,8,0)</f>
        <v>4360000</v>
      </c>
      <c r="J4" s="339">
        <f>VLOOKUP($A4,'6. Mesures_ Budget_ Maximaliste'!$A$4:$W$32,9,0)</f>
        <v>10360000</v>
      </c>
      <c r="K4" s="339">
        <f>VLOOKUP($A4,'6. Mesures_ Budget_ Maximaliste'!$A$4:$W$32,10,0)</f>
        <v>246200.80179816615</v>
      </c>
      <c r="L4" s="339">
        <f>VLOOKUP($A4,'6. Mesures_ Budget_ Maximaliste'!$A$4:$W$32,11,0)</f>
        <v>525502.00449541537</v>
      </c>
      <c r="M4" s="339">
        <f>VLOOKUP($A4,'6. Mesures_ Budget_ Maximaliste'!$A$4:$W$32,12,0)</f>
        <v>0</v>
      </c>
      <c r="N4" s="339">
        <f>VLOOKUP($A4,'6. Mesures_ Budget_ Maximaliste'!$A$4:$W$32,13,0)</f>
        <v>0</v>
      </c>
      <c r="O4" s="339">
        <f>VLOOKUP($A4,'6. Mesures_ Budget_ Maximaliste'!$A$4:$W$32,14,0)</f>
        <v>0</v>
      </c>
      <c r="P4" s="339">
        <f>VLOOKUP($A4,'6. Mesures_ Budget_ Maximaliste'!$A$4:$W$32,15,0)</f>
        <v>0</v>
      </c>
      <c r="Q4" s="339">
        <f>VLOOKUP($A4,'6. Mesures_ Budget_ Maximaliste'!$A$4:$W$32,16,0)</f>
        <v>1163000</v>
      </c>
      <c r="R4" s="339">
        <f>VLOOKUP($A4,'6. Mesures_ Budget_ Maximaliste'!$A$4:$W$32,17,0)</f>
        <v>2213000</v>
      </c>
      <c r="S4" s="339">
        <f>VLOOKUP($A4,'6. Mesures_ Budget_ Maximaliste'!$A$4:$W$32,18,0)</f>
        <v>61705.220494495697</v>
      </c>
      <c r="T4" s="339">
        <f>VLOOKUP($A4,'6. Mesures_ Budget_ Maximaliste'!$A$4:$W$32,19,0)</f>
        <v>110582.93096651431</v>
      </c>
      <c r="U4" s="339">
        <f>VLOOKUP($A4,'6. Mesures_ Budget_ Maximaliste'!$A$4:$W$32,20,0)</f>
        <v>0</v>
      </c>
      <c r="V4" s="339">
        <f>VLOOKUP($A4,'6. Mesures_ Budget_ Maximaliste'!$A$4:$W$32,21,0)</f>
        <v>0</v>
      </c>
      <c r="W4" s="339">
        <f>VLOOKUP($A4,'6. Mesures_ Budget_ Maximaliste'!$A$4:$W$32,22,0)</f>
        <v>0</v>
      </c>
      <c r="X4" s="339">
        <f>VLOOKUP($A4,'6. Mesures_ Budget_ Maximaliste'!$A$4:$W$32,23,0)</f>
        <v>0</v>
      </c>
      <c r="Y4" s="340">
        <f>VLOOKUP($A4,'6. Mesures_ Budget_ Maximaliste'!$A$4:$W$32,4,0)</f>
        <v>5523000</v>
      </c>
      <c r="Z4" s="340">
        <f>VLOOKUP($A4,'6. Mesures_ Budget_ Maximaliste'!$A$4:$W$32,5,0)</f>
        <v>12573000</v>
      </c>
      <c r="AA4" s="340">
        <f>VLOOKUP($A4,'6. Mesures_ Budget_ Maximaliste'!$A$4:$W$32,6,0)</f>
        <v>307906.02229266183</v>
      </c>
      <c r="AB4" s="340">
        <f>VLOOKUP($A4,'6. Mesures_ Budget_ Maximaliste'!$A$4:$W$32,7,0)</f>
        <v>636084.93546192965</v>
      </c>
    </row>
    <row r="5" spans="1:28" x14ac:dyDescent="0.25">
      <c r="A5" s="330" t="s">
        <v>2</v>
      </c>
      <c r="B5" s="331" t="str">
        <f>VLOOKUP(A5,'1. Mesures'!$A$2:$B$116,2,0)</f>
        <v>Supprimer les obstacles à la libre circulation des poissons</v>
      </c>
      <c r="C5" s="331" t="str">
        <f>"ACE"&amp;"-"&amp;VLOOKUP(A5,'6. Mesures_ Budget_ Maximaliste'!$A$4:$C$32,3,0)</f>
        <v>ACE-PP</v>
      </c>
      <c r="D5" s="337">
        <v>250000</v>
      </c>
      <c r="E5" s="337">
        <v>200000</v>
      </c>
      <c r="F5" s="337"/>
      <c r="G5" s="337"/>
      <c r="H5" s="338">
        <v>450000</v>
      </c>
      <c r="I5" s="339">
        <f>VLOOKUP($A5,'6. Mesures_ Budget_ Maximaliste'!$A$4:$W$32,8,0)</f>
        <v>560000</v>
      </c>
      <c r="J5" s="339">
        <f>VLOOKUP($A5,'6. Mesures_ Budget_ Maximaliste'!$A$4:$W$32,9,0)</f>
        <v>1060000</v>
      </c>
      <c r="K5" s="339">
        <f>VLOOKUP($A5,'6. Mesures_ Budget_ Maximaliste'!$A$4:$W$32,10,0)</f>
        <v>52909.999610976782</v>
      </c>
      <c r="L5" s="339">
        <f>VLOOKUP($A5,'6. Mesures_ Budget_ Maximaliste'!$A$4:$W$32,11,0)</f>
        <v>95819.999221953563</v>
      </c>
      <c r="M5" s="339">
        <f>VLOOKUP($A5,'6. Mesures_ Budget_ Maximaliste'!$A$4:$W$32,12,0)</f>
        <v>0</v>
      </c>
      <c r="N5" s="339">
        <f>VLOOKUP($A5,'6. Mesures_ Budget_ Maximaliste'!$A$4:$W$32,13,0)</f>
        <v>0</v>
      </c>
      <c r="O5" s="339">
        <f>VLOOKUP($A5,'6. Mesures_ Budget_ Maximaliste'!$A$4:$W$32,14,0)</f>
        <v>0</v>
      </c>
      <c r="P5" s="339">
        <f>VLOOKUP($A5,'6. Mesures_ Budget_ Maximaliste'!$A$4:$W$32,15,0)</f>
        <v>0</v>
      </c>
      <c r="Q5" s="339">
        <f>VLOOKUP($A5,'6. Mesures_ Budget_ Maximaliste'!$A$4:$W$32,16,0)</f>
        <v>0</v>
      </c>
      <c r="R5" s="339">
        <f>VLOOKUP($A5,'6. Mesures_ Budget_ Maximaliste'!$A$4:$W$32,17,0)</f>
        <v>0</v>
      </c>
      <c r="S5" s="339">
        <f>VLOOKUP($A5,'6. Mesures_ Budget_ Maximaliste'!$A$4:$W$32,18,0)</f>
        <v>0</v>
      </c>
      <c r="T5" s="339">
        <f>VLOOKUP($A5,'6. Mesures_ Budget_ Maximaliste'!$A$4:$W$32,19,0)</f>
        <v>0</v>
      </c>
      <c r="U5" s="339">
        <f>VLOOKUP($A5,'6. Mesures_ Budget_ Maximaliste'!$A$4:$W$32,20,0)</f>
        <v>0</v>
      </c>
      <c r="V5" s="339">
        <f>VLOOKUP($A5,'6. Mesures_ Budget_ Maximaliste'!$A$4:$W$32,21,0)</f>
        <v>0</v>
      </c>
      <c r="W5" s="339">
        <f>VLOOKUP($A5,'6. Mesures_ Budget_ Maximaliste'!$A$4:$W$32,22,0)</f>
        <v>0</v>
      </c>
      <c r="X5" s="339">
        <f>VLOOKUP($A5,'6. Mesures_ Budget_ Maximaliste'!$A$4:$W$32,23,0)</f>
        <v>0</v>
      </c>
      <c r="Y5" s="340">
        <f>VLOOKUP($A5,'6. Mesures_ Budget_ Maximaliste'!$A$4:$W$32,4,0)</f>
        <v>560000</v>
      </c>
      <c r="Z5" s="340">
        <f>VLOOKUP($A5,'6. Mesures_ Budget_ Maximaliste'!$A$4:$W$32,5,0)</f>
        <v>1060000</v>
      </c>
      <c r="AA5" s="340">
        <f>VLOOKUP($A5,'6. Mesures_ Budget_ Maximaliste'!$A$4:$W$32,6,0)</f>
        <v>52909.999610976782</v>
      </c>
      <c r="AB5" s="340">
        <f>VLOOKUP($A5,'6. Mesures_ Budget_ Maximaliste'!$A$4:$W$32,7,0)</f>
        <v>95819.999221953563</v>
      </c>
    </row>
    <row r="6" spans="1:28" ht="39" x14ac:dyDescent="0.25">
      <c r="A6" s="330" t="s">
        <v>3</v>
      </c>
      <c r="B6" s="331" t="str">
        <f>VLOOKUP(A6,'1. Mesures'!$A$2:$B$116,2,0)</f>
        <v>Lutter contre les espèces exotiques envahissantes qui portent atteinte ou présentent un risque pour le bon potentiel écologique des masses d'eau de surface</v>
      </c>
      <c r="C6" s="331" t="str">
        <f>"ACE"&amp;"-"&amp;VLOOKUP(A6,'6. Mesures_ Budget_ Maximaliste'!$A$4:$C$32,3,0)</f>
        <v>ACE-PP</v>
      </c>
      <c r="D6" s="337">
        <f>330000/3</f>
        <v>110000</v>
      </c>
      <c r="E6" s="337">
        <f>330000/3</f>
        <v>110000</v>
      </c>
      <c r="F6" s="337">
        <f>330000/3</f>
        <v>110000</v>
      </c>
      <c r="G6" s="337"/>
      <c r="H6" s="338">
        <v>330000</v>
      </c>
      <c r="I6" s="339">
        <f>VLOOKUP($A6,'6. Mesures_ Budget_ Maximaliste'!$A$4:$W$32,8,0)</f>
        <v>0</v>
      </c>
      <c r="J6" s="339">
        <f>VLOOKUP($A6,'6. Mesures_ Budget_ Maximaliste'!$A$4:$W$32,9,0)</f>
        <v>0</v>
      </c>
      <c r="K6" s="339">
        <f>VLOOKUP($A6,'6. Mesures_ Budget_ Maximaliste'!$A$4:$W$32,10,0)</f>
        <v>0</v>
      </c>
      <c r="L6" s="339">
        <f>VLOOKUP($A6,'6. Mesures_ Budget_ Maximaliste'!$A$4:$W$32,11,0)</f>
        <v>0</v>
      </c>
      <c r="M6" s="339">
        <f>VLOOKUP($A6,'6. Mesures_ Budget_ Maximaliste'!$A$4:$W$32,12,0)</f>
        <v>600000</v>
      </c>
      <c r="N6" s="339">
        <f>VLOOKUP($A6,'6. Mesures_ Budget_ Maximaliste'!$A$4:$W$32,13,0)</f>
        <v>600000</v>
      </c>
      <c r="O6" s="339">
        <f>VLOOKUP($A6,'6. Mesures_ Budget_ Maximaliste'!$A$4:$W$32,14,0)</f>
        <v>100000</v>
      </c>
      <c r="P6" s="339">
        <f>VLOOKUP($A6,'6. Mesures_ Budget_ Maximaliste'!$A$4:$W$32,15,0)</f>
        <v>100000</v>
      </c>
      <c r="Q6" s="339">
        <f>VLOOKUP($A6,'6. Mesures_ Budget_ Maximaliste'!$A$4:$W$32,16,0)</f>
        <v>0</v>
      </c>
      <c r="R6" s="339">
        <f>VLOOKUP($A6,'6. Mesures_ Budget_ Maximaliste'!$A$4:$W$32,17,0)</f>
        <v>0</v>
      </c>
      <c r="S6" s="339">
        <f>VLOOKUP($A6,'6. Mesures_ Budget_ Maximaliste'!$A$4:$W$32,18,0)</f>
        <v>0</v>
      </c>
      <c r="T6" s="339">
        <f>VLOOKUP($A6,'6. Mesures_ Budget_ Maximaliste'!$A$4:$W$32,19,0)</f>
        <v>0</v>
      </c>
      <c r="U6" s="339">
        <f>VLOOKUP($A6,'6. Mesures_ Budget_ Maximaliste'!$A$4:$W$32,20,0)</f>
        <v>0</v>
      </c>
      <c r="V6" s="339">
        <f>VLOOKUP($A6,'6. Mesures_ Budget_ Maximaliste'!$A$4:$W$32,21,0)</f>
        <v>0</v>
      </c>
      <c r="W6" s="339">
        <f>VLOOKUP($A6,'6. Mesures_ Budget_ Maximaliste'!$A$4:$W$32,22,0)</f>
        <v>0</v>
      </c>
      <c r="X6" s="339">
        <f>VLOOKUP($A6,'6. Mesures_ Budget_ Maximaliste'!$A$4:$W$32,23,0)</f>
        <v>0</v>
      </c>
      <c r="Y6" s="340">
        <f>VLOOKUP($A6,'6. Mesures_ Budget_ Maximaliste'!$A$4:$W$32,4,0)</f>
        <v>600000</v>
      </c>
      <c r="Z6" s="340">
        <f>VLOOKUP($A6,'6. Mesures_ Budget_ Maximaliste'!$A$4:$W$32,5,0)</f>
        <v>600000</v>
      </c>
      <c r="AA6" s="340">
        <f>VLOOKUP($A6,'6. Mesures_ Budget_ Maximaliste'!$A$4:$W$32,6,0)</f>
        <v>100000</v>
      </c>
      <c r="AB6" s="340">
        <f>VLOOKUP($A6,'6. Mesures_ Budget_ Maximaliste'!$A$4:$W$32,7,0)</f>
        <v>100000</v>
      </c>
    </row>
    <row r="7" spans="1:28" ht="26.25" x14ac:dyDescent="0.25">
      <c r="A7" s="330" t="s">
        <v>4</v>
      </c>
      <c r="B7" s="331" t="str">
        <f>VLOOKUP(A7,'1. Mesures'!$A$2:$B$116,2,0)</f>
        <v xml:space="preserve">Inventorier les rejets directs dans une base de données dynamique </v>
      </c>
      <c r="C7" s="331" t="str">
        <f>"ACE"&amp;"-"&amp;VLOOKUP(A7,'6. Mesures_ Budget_ Maximaliste'!$A$4:$C$32,3,0)</f>
        <v>ACE-</v>
      </c>
      <c r="D7" s="337">
        <v>25000</v>
      </c>
      <c r="E7" s="337"/>
      <c r="F7" s="337">
        <v>42000</v>
      </c>
      <c r="G7" s="337"/>
      <c r="H7" s="338">
        <f>SUM(D7:G7)</f>
        <v>67000</v>
      </c>
      <c r="I7" s="339"/>
      <c r="J7" s="339"/>
      <c r="K7" s="339"/>
      <c r="L7" s="339"/>
      <c r="M7" s="339"/>
      <c r="N7" s="339"/>
      <c r="O7" s="339"/>
      <c r="P7" s="339"/>
      <c r="Q7" s="339"/>
      <c r="R7" s="339"/>
      <c r="S7" s="339"/>
      <c r="T7" s="339"/>
      <c r="U7" s="339"/>
      <c r="V7" s="339"/>
      <c r="W7" s="339"/>
      <c r="X7" s="339"/>
      <c r="Y7" s="340"/>
      <c r="Z7" s="340"/>
      <c r="AA7" s="340"/>
      <c r="AB7" s="340"/>
    </row>
    <row r="8" spans="1:28" ht="29.1" customHeight="1" x14ac:dyDescent="0.25">
      <c r="A8" s="330" t="s">
        <v>5</v>
      </c>
      <c r="B8" s="331" t="str">
        <f>VLOOKUP(A8,'1. Mesures'!$A$2:$B$116,2,0)</f>
        <v xml:space="preserve">Assurer le raccordement effectif des points de rejet d’eaux usées domestiques et non domestiques vers le réseau d’égouttage </v>
      </c>
      <c r="C8" s="331" t="str">
        <f>"ACE"&amp;"-"&amp;VLOOKUP(A8,'6. Mesures_ Budget_ Maximaliste'!$A$4:$C$32,3,0)</f>
        <v>ACE-CV</v>
      </c>
      <c r="D8" s="337"/>
      <c r="E8" s="337"/>
      <c r="F8" s="337">
        <v>200000</v>
      </c>
      <c r="G8" s="337"/>
      <c r="H8" s="338">
        <v>200000</v>
      </c>
      <c r="I8" s="339">
        <f>VLOOKUP($A8,'6. Mesures_ Budget_ Maximaliste'!$A$4:$W$32,8,0)</f>
        <v>3025000</v>
      </c>
      <c r="J8" s="339">
        <f>VLOOKUP($A8,'6. Mesures_ Budget_ Maximaliste'!$A$4:$W$32,9,0)</f>
        <v>3525000</v>
      </c>
      <c r="K8" s="339">
        <f>VLOOKUP($A8,'6. Mesures_ Budget_ Maximaliste'!$A$4:$W$32,10,0)</f>
        <v>232075.24783415336</v>
      </c>
      <c r="L8" s="339">
        <f>VLOOKUP($A8,'6. Mesures_ Budget_ Maximaliste'!$A$4:$W$32,11,0)</f>
        <v>260990.29740098401</v>
      </c>
      <c r="M8" s="339">
        <f>VLOOKUP($A8,'6. Mesures_ Budget_ Maximaliste'!$A$4:$W$32,12,0)</f>
        <v>0</v>
      </c>
      <c r="N8" s="339">
        <f>VLOOKUP($A8,'6. Mesures_ Budget_ Maximaliste'!$A$4:$W$32,13,0)</f>
        <v>0</v>
      </c>
      <c r="O8" s="339">
        <f>VLOOKUP($A8,'6. Mesures_ Budget_ Maximaliste'!$A$4:$W$32,14,0)</f>
        <v>0</v>
      </c>
      <c r="P8" s="339">
        <f>VLOOKUP($A8,'6. Mesures_ Budget_ Maximaliste'!$A$4:$W$32,15,0)</f>
        <v>0</v>
      </c>
      <c r="Q8" s="339">
        <f>VLOOKUP($A8,'6. Mesures_ Budget_ Maximaliste'!$A$4:$W$32,16,0)</f>
        <v>0</v>
      </c>
      <c r="R8" s="339">
        <f>VLOOKUP($A8,'6. Mesures_ Budget_ Maximaliste'!$A$4:$W$32,17,0)</f>
        <v>0</v>
      </c>
      <c r="S8" s="339">
        <f>VLOOKUP($A8,'6. Mesures_ Budget_ Maximaliste'!$A$4:$W$32,18,0)</f>
        <v>0</v>
      </c>
      <c r="T8" s="339">
        <f>VLOOKUP($A8,'6. Mesures_ Budget_ Maximaliste'!$A$4:$W$32,19,0)</f>
        <v>0</v>
      </c>
      <c r="U8" s="339">
        <f>VLOOKUP($A8,'6. Mesures_ Budget_ Maximaliste'!$A$4:$W$32,20,0)</f>
        <v>0</v>
      </c>
      <c r="V8" s="339">
        <f>VLOOKUP($A8,'6. Mesures_ Budget_ Maximaliste'!$A$4:$W$32,21,0)</f>
        <v>0</v>
      </c>
      <c r="W8" s="339">
        <f>VLOOKUP($A8,'6. Mesures_ Budget_ Maximaliste'!$A$4:$W$32,22,0)</f>
        <v>0</v>
      </c>
      <c r="X8" s="339">
        <f>VLOOKUP($A8,'6. Mesures_ Budget_ Maximaliste'!$A$4:$W$32,23,0)</f>
        <v>0</v>
      </c>
      <c r="Y8" s="340">
        <f>VLOOKUP($A8,'6. Mesures_ Budget_ Maximaliste'!$A$4:$W$32,4,0)</f>
        <v>3025000</v>
      </c>
      <c r="Z8" s="340">
        <f>VLOOKUP($A8,'6. Mesures_ Budget_ Maximaliste'!$A$4:$W$32,5,0)</f>
        <v>3525000</v>
      </c>
      <c r="AA8" s="340">
        <f>VLOOKUP($A8,'6. Mesures_ Budget_ Maximaliste'!$A$4:$W$32,6,0)</f>
        <v>232075.24783415336</v>
      </c>
      <c r="AB8" s="340">
        <f>VLOOKUP($A8,'6. Mesures_ Budget_ Maximaliste'!$A$4:$W$32,7,0)</f>
        <v>260990.29740098401</v>
      </c>
    </row>
    <row r="9" spans="1:28" ht="29.1" customHeight="1" x14ac:dyDescent="0.25">
      <c r="A9" s="330" t="s">
        <v>6</v>
      </c>
      <c r="B9" s="331" t="str">
        <f>VLOOKUP(A9,'1. Mesures'!$A$2:$B$116,2,0)</f>
        <v>Gérer les rejets d'eaux usées non raccordables aux stations d'épuration collectives</v>
      </c>
      <c r="C9" s="331" t="str">
        <f>"ACE"&amp;"-"&amp;VLOOKUP(A9,'6. Mesures_ Budget_ Maximaliste'!$A$4:$C$32,3,0)</f>
        <v>ACE-CV</v>
      </c>
      <c r="D9" s="337"/>
      <c r="E9" s="337"/>
      <c r="F9" s="337">
        <v>75000</v>
      </c>
      <c r="G9" s="337"/>
      <c r="H9" s="338">
        <v>75000</v>
      </c>
      <c r="I9" s="339">
        <f>VLOOKUP($A9,'6. Mesures_ Budget_ Maximaliste'!$A$4:$W$32,8,0)</f>
        <v>5390000</v>
      </c>
      <c r="J9" s="339">
        <f>VLOOKUP($A9,'6. Mesures_ Budget_ Maximaliste'!$A$4:$W$32,9,0)</f>
        <v>6390000</v>
      </c>
      <c r="K9" s="339">
        <f>VLOOKUP($A9,'6. Mesures_ Budget_ Maximaliste'!$A$4:$W$32,10,0)</f>
        <v>432908.75164314441</v>
      </c>
      <c r="L9" s="339">
        <f>VLOOKUP($A9,'6. Mesures_ Budget_ Maximaliste'!$A$4:$W$32,11,0)</f>
        <v>506490.50197177334</v>
      </c>
      <c r="M9" s="339">
        <f>VLOOKUP($A9,'6. Mesures_ Budget_ Maximaliste'!$A$4:$W$32,12,0)</f>
        <v>0</v>
      </c>
      <c r="N9" s="339">
        <f>VLOOKUP($A9,'6. Mesures_ Budget_ Maximaliste'!$A$4:$W$32,13,0)</f>
        <v>0</v>
      </c>
      <c r="O9" s="339">
        <f>VLOOKUP($A9,'6. Mesures_ Budget_ Maximaliste'!$A$4:$W$32,14,0)</f>
        <v>0</v>
      </c>
      <c r="P9" s="339">
        <f>VLOOKUP($A9,'6. Mesures_ Budget_ Maximaliste'!$A$4:$W$32,15,0)</f>
        <v>0</v>
      </c>
      <c r="Q9" s="339">
        <f>VLOOKUP($A9,'6. Mesures_ Budget_ Maximaliste'!$A$4:$W$32,16,0)</f>
        <v>0</v>
      </c>
      <c r="R9" s="339">
        <f>VLOOKUP($A9,'6. Mesures_ Budget_ Maximaliste'!$A$4:$W$32,17,0)</f>
        <v>0</v>
      </c>
      <c r="S9" s="339">
        <f>VLOOKUP($A9,'6. Mesures_ Budget_ Maximaliste'!$A$4:$W$32,18,0)</f>
        <v>0</v>
      </c>
      <c r="T9" s="339">
        <f>VLOOKUP($A9,'6. Mesures_ Budget_ Maximaliste'!$A$4:$W$32,19,0)</f>
        <v>0</v>
      </c>
      <c r="U9" s="339">
        <f>VLOOKUP($A9,'6. Mesures_ Budget_ Maximaliste'!$A$4:$W$32,20,0)</f>
        <v>0</v>
      </c>
      <c r="V9" s="339">
        <f>VLOOKUP($A9,'6. Mesures_ Budget_ Maximaliste'!$A$4:$W$32,21,0)</f>
        <v>0</v>
      </c>
      <c r="W9" s="339">
        <f>VLOOKUP($A9,'6. Mesures_ Budget_ Maximaliste'!$A$4:$W$32,22,0)</f>
        <v>0</v>
      </c>
      <c r="X9" s="339">
        <f>VLOOKUP($A9,'6. Mesures_ Budget_ Maximaliste'!$A$4:$W$32,23,0)</f>
        <v>0</v>
      </c>
      <c r="Y9" s="340">
        <f>VLOOKUP($A9,'6. Mesures_ Budget_ Maximaliste'!$A$4:$W$32,4,0)</f>
        <v>5390000</v>
      </c>
      <c r="Z9" s="340">
        <f>VLOOKUP($A9,'6. Mesures_ Budget_ Maximaliste'!$A$4:$W$32,5,0)</f>
        <v>6390000</v>
      </c>
      <c r="AA9" s="340">
        <f>VLOOKUP($A9,'6. Mesures_ Budget_ Maximaliste'!$A$4:$W$32,6,0)</f>
        <v>432908.75164314441</v>
      </c>
      <c r="AB9" s="340">
        <f>VLOOKUP($A9,'6. Mesures_ Budget_ Maximaliste'!$A$4:$W$32,7,0)</f>
        <v>506490.50197177334</v>
      </c>
    </row>
    <row r="10" spans="1:28" ht="39" x14ac:dyDescent="0.25">
      <c r="A10" s="330" t="s">
        <v>7</v>
      </c>
      <c r="B10" s="331" t="str">
        <f>VLOOKUP(A10,'1. Mesures'!$A$2:$B$116,2,0)</f>
        <v>Réaliser l'état de l'art des déversoirs d'orages actuels et optimaliser leur conception pour réduire le transfert de polluants vers les masses d’eau de surface</v>
      </c>
      <c r="C10" s="331" t="str">
        <f>"ACE"&amp;"-"&amp;VLOOKUP(A10,'6. Mesures_ Budget_ Maximaliste'!$A$4:$C$32,3,0)</f>
        <v>ACE-CV</v>
      </c>
      <c r="D10" s="337">
        <f>2220000+20000</f>
        <v>2240000</v>
      </c>
      <c r="E10" s="337">
        <v>10000</v>
      </c>
      <c r="F10" s="337">
        <v>10000</v>
      </c>
      <c r="G10" s="337"/>
      <c r="H10" s="338">
        <v>2260000</v>
      </c>
      <c r="I10" s="339">
        <f>VLOOKUP($A10,'6. Mesures_ Budget_ Maximaliste'!$A$4:$W$32,8,0)</f>
        <v>291200000</v>
      </c>
      <c r="J10" s="339">
        <f>VLOOKUP($A10,'6. Mesures_ Budget_ Maximaliste'!$A$4:$W$32,9,0)</f>
        <v>551200000</v>
      </c>
      <c r="K10" s="339">
        <f>VLOOKUP($A10,'6. Mesures_ Budget_ Maximaliste'!$A$4:$W$32,10,0)</f>
        <v>18336107.224349778</v>
      </c>
      <c r="L10" s="339">
        <f>VLOOKUP($A10,'6. Mesures_ Budget_ Maximaliste'!$A$4:$W$32,11,0)</f>
        <v>31472214.448699556</v>
      </c>
      <c r="M10" s="339">
        <f>VLOOKUP($A10,'6. Mesures_ Budget_ Maximaliste'!$A$4:$W$32,12,0)</f>
        <v>89600000</v>
      </c>
      <c r="N10" s="339">
        <f>VLOOKUP($A10,'6. Mesures_ Budget_ Maximaliste'!$A$4:$W$32,13,0)</f>
        <v>169600000</v>
      </c>
      <c r="O10" s="339">
        <f>VLOOKUP($A10,'6. Mesures_ Budget_ Maximaliste'!$A$4:$W$32,14,0)</f>
        <v>4041879.1459537782</v>
      </c>
      <c r="P10" s="339">
        <f>VLOOKUP($A10,'6. Mesures_ Budget_ Maximaliste'!$A$4:$W$32,15,0)</f>
        <v>8083758.2919075564</v>
      </c>
      <c r="Q10" s="339">
        <f>VLOOKUP($A10,'6. Mesures_ Budget_ Maximaliste'!$A$4:$W$32,16,0)</f>
        <v>156800000</v>
      </c>
      <c r="R10" s="339">
        <f>VLOOKUP($A10,'6. Mesures_ Budget_ Maximaliste'!$A$4:$W$32,17,0)</f>
        <v>296800000</v>
      </c>
      <c r="S10" s="339">
        <f>VLOOKUP($A10,'6. Mesures_ Budget_ Maximaliste'!$A$4:$W$32,18,0)</f>
        <v>9873288.5054191127</v>
      </c>
      <c r="T10" s="339">
        <f>VLOOKUP($A10,'6. Mesures_ Budget_ Maximaliste'!$A$4:$W$32,19,0)</f>
        <v>16946577.010838225</v>
      </c>
      <c r="U10" s="339">
        <f>VLOOKUP($A10,'6. Mesures_ Budget_ Maximaliste'!$A$4:$W$32,20,0)</f>
        <v>0</v>
      </c>
      <c r="V10" s="339">
        <f>VLOOKUP($A10,'6. Mesures_ Budget_ Maximaliste'!$A$4:$W$32,21,0)</f>
        <v>0</v>
      </c>
      <c r="W10" s="339">
        <f>VLOOKUP($A10,'6. Mesures_ Budget_ Maximaliste'!$A$4:$W$32,22,0)</f>
        <v>0</v>
      </c>
      <c r="X10" s="339">
        <f>VLOOKUP($A10,'6. Mesures_ Budget_ Maximaliste'!$A$4:$W$32,23,0)</f>
        <v>0</v>
      </c>
      <c r="Y10" s="340">
        <f>VLOOKUP($A10,'6. Mesures_ Budget_ Maximaliste'!$A$4:$W$32,4,0)</f>
        <v>537600000</v>
      </c>
      <c r="Z10" s="340">
        <f>VLOOKUP($A10,'6. Mesures_ Budget_ Maximaliste'!$A$4:$W$32,5,0)</f>
        <v>1017600000</v>
      </c>
      <c r="AA10" s="340">
        <f>VLOOKUP($A10,'6. Mesures_ Budget_ Maximaliste'!$A$4:$W$32,6,0)</f>
        <v>32251274.875722669</v>
      </c>
      <c r="AB10" s="340">
        <f>VLOOKUP($A10,'6. Mesures_ Budget_ Maximaliste'!$A$4:$W$32,7,0)</f>
        <v>56502549.751445338</v>
      </c>
    </row>
    <row r="11" spans="1:28" ht="51.75" x14ac:dyDescent="0.25">
      <c r="A11" s="332" t="s">
        <v>8</v>
      </c>
      <c r="B11" s="331" t="str">
        <f>VLOOKUP(A11,'1. Mesures'!$A$2:$B$116,2,0)</f>
        <v>Mettre en place un système de régulation des débits circulant dans le réseau d’assainissement pour réduire la fréquence des déversements au niveau des déversoirs d’orage et assurer un meilleur traitement des eaux usées</v>
      </c>
      <c r="C11" s="331" t="str">
        <f>"ACE"&amp;"-"&amp;VLOOKUP(A11,'6. Mesures_ Budget_ Maximaliste'!$A$4:$C$32,3,0)</f>
        <v>ACE-CV</v>
      </c>
      <c r="D11" s="337">
        <f>1920000+1475000</f>
        <v>3395000</v>
      </c>
      <c r="E11" s="337">
        <v>1475000</v>
      </c>
      <c r="F11" s="341"/>
      <c r="G11" s="337"/>
      <c r="H11" s="338">
        <v>4870000</v>
      </c>
      <c r="I11" s="339">
        <f>VLOOKUP($A11,'6. Mesures_ Budget_ Maximaliste'!$A$4:$W$32,8,0)</f>
        <v>0</v>
      </c>
      <c r="J11" s="339">
        <f>VLOOKUP($A11,'6. Mesures_ Budget_ Maximaliste'!$A$4:$W$32,9,0)</f>
        <v>0</v>
      </c>
      <c r="K11" s="339">
        <f>VLOOKUP($A11,'6. Mesures_ Budget_ Maximaliste'!$A$4:$W$32,10,0)</f>
        <v>0</v>
      </c>
      <c r="L11" s="339">
        <f>VLOOKUP($A11,'6. Mesures_ Budget_ Maximaliste'!$A$4:$W$32,11,0)</f>
        <v>0</v>
      </c>
      <c r="M11" s="339">
        <f>VLOOKUP($A11,'6. Mesures_ Budget_ Maximaliste'!$A$4:$W$32,12,0)</f>
        <v>0</v>
      </c>
      <c r="N11" s="339">
        <f>VLOOKUP($A11,'6. Mesures_ Budget_ Maximaliste'!$A$4:$W$32,13,0)</f>
        <v>0</v>
      </c>
      <c r="O11" s="339">
        <f>VLOOKUP($A11,'6. Mesures_ Budget_ Maximaliste'!$A$4:$W$32,14,0)</f>
        <v>0</v>
      </c>
      <c r="P11" s="339">
        <f>VLOOKUP($A11,'6. Mesures_ Budget_ Maximaliste'!$A$4:$W$32,15,0)</f>
        <v>0</v>
      </c>
      <c r="Q11" s="339">
        <f>VLOOKUP($A11,'6. Mesures_ Budget_ Maximaliste'!$A$4:$W$32,16,0)</f>
        <v>0</v>
      </c>
      <c r="R11" s="339">
        <f>VLOOKUP($A11,'6. Mesures_ Budget_ Maximaliste'!$A$4:$W$32,17,0)</f>
        <v>0</v>
      </c>
      <c r="S11" s="339">
        <f>VLOOKUP($A11,'6. Mesures_ Budget_ Maximaliste'!$A$4:$W$32,18,0)</f>
        <v>0</v>
      </c>
      <c r="T11" s="339">
        <f>VLOOKUP($A11,'6. Mesures_ Budget_ Maximaliste'!$A$4:$W$32,19,0)</f>
        <v>0</v>
      </c>
      <c r="U11" s="339">
        <f>VLOOKUP($A11,'6. Mesures_ Budget_ Maximaliste'!$A$4:$W$32,20,0)</f>
        <v>0</v>
      </c>
      <c r="V11" s="339">
        <f>VLOOKUP($A11,'6. Mesures_ Budget_ Maximaliste'!$A$4:$W$32,21,0)</f>
        <v>0</v>
      </c>
      <c r="W11" s="339">
        <f>VLOOKUP($A11,'6. Mesures_ Budget_ Maximaliste'!$A$4:$W$32,22,0)</f>
        <v>0</v>
      </c>
      <c r="X11" s="339">
        <f>VLOOKUP($A11,'6. Mesures_ Budget_ Maximaliste'!$A$4:$W$32,23,0)</f>
        <v>0</v>
      </c>
      <c r="Y11" s="340">
        <f>VLOOKUP($A11,'6. Mesures_ Budget_ Maximaliste'!$A$4:$W$32,4,0)</f>
        <v>0</v>
      </c>
      <c r="Z11" s="340">
        <f>VLOOKUP($A11,'6. Mesures_ Budget_ Maximaliste'!$A$4:$W$32,5,0)</f>
        <v>0</v>
      </c>
      <c r="AA11" s="340">
        <f>VLOOKUP($A11,'6. Mesures_ Budget_ Maximaliste'!$A$4:$W$32,6,0)</f>
        <v>0</v>
      </c>
      <c r="AB11" s="340">
        <f>VLOOKUP($A11,'6. Mesures_ Budget_ Maximaliste'!$A$4:$W$32,7,0)</f>
        <v>0</v>
      </c>
    </row>
    <row r="12" spans="1:28" ht="26.25" x14ac:dyDescent="0.25">
      <c r="A12" s="330" t="s">
        <v>9</v>
      </c>
      <c r="B12" s="331" t="str">
        <f>VLOOKUP(A12,'1. Mesures'!$A$2:$B$116,2,0)</f>
        <v>Réaliser les chainons manquants entre le réseau public d'égouttage et les collecteurs (égouts "orphelins")</v>
      </c>
      <c r="C12" s="331" t="str">
        <f>"ACE"&amp;"-"&amp;VLOOKUP(A12,'6. Mesures_ Budget_ Maximaliste'!$A$4:$C$32,3,0)</f>
        <v>ACE-CV</v>
      </c>
      <c r="D12" s="337">
        <f>1400000+450000</f>
        <v>1850000</v>
      </c>
      <c r="E12" s="337"/>
      <c r="F12" s="337">
        <v>450000</v>
      </c>
      <c r="G12" s="337"/>
      <c r="H12" s="338">
        <v>2300000</v>
      </c>
      <c r="I12" s="339">
        <f>VLOOKUP($A12,'6. Mesures_ Budget_ Maximaliste'!$A$4:$W$32,8,0)</f>
        <v>0</v>
      </c>
      <c r="J12" s="339">
        <f>VLOOKUP($A12,'6. Mesures_ Budget_ Maximaliste'!$A$4:$W$32,9,0)</f>
        <v>0</v>
      </c>
      <c r="K12" s="339">
        <f>VLOOKUP($A12,'6. Mesures_ Budget_ Maximaliste'!$A$4:$W$32,10,0)</f>
        <v>0</v>
      </c>
      <c r="L12" s="339">
        <f>VLOOKUP($A12,'6. Mesures_ Budget_ Maximaliste'!$A$4:$W$32,11,0)</f>
        <v>0</v>
      </c>
      <c r="M12" s="339">
        <f>VLOOKUP($A12,'6. Mesures_ Budget_ Maximaliste'!$A$4:$W$32,12,0)</f>
        <v>0</v>
      </c>
      <c r="N12" s="339">
        <f>VLOOKUP($A12,'6. Mesures_ Budget_ Maximaliste'!$A$4:$W$32,13,0)</f>
        <v>0</v>
      </c>
      <c r="O12" s="339">
        <f>VLOOKUP($A12,'6. Mesures_ Budget_ Maximaliste'!$A$4:$W$32,14,0)</f>
        <v>0</v>
      </c>
      <c r="P12" s="339">
        <f>VLOOKUP($A12,'6. Mesures_ Budget_ Maximaliste'!$A$4:$W$32,15,0)</f>
        <v>0</v>
      </c>
      <c r="Q12" s="339">
        <f>VLOOKUP($A12,'6. Mesures_ Budget_ Maximaliste'!$A$4:$W$32,16,0)</f>
        <v>0</v>
      </c>
      <c r="R12" s="339">
        <f>VLOOKUP($A12,'6. Mesures_ Budget_ Maximaliste'!$A$4:$W$32,17,0)</f>
        <v>0</v>
      </c>
      <c r="S12" s="339">
        <f>VLOOKUP($A12,'6. Mesures_ Budget_ Maximaliste'!$A$4:$W$32,18,0)</f>
        <v>0</v>
      </c>
      <c r="T12" s="339">
        <f>VLOOKUP($A12,'6. Mesures_ Budget_ Maximaliste'!$A$4:$W$32,19,0)</f>
        <v>0</v>
      </c>
      <c r="U12" s="339">
        <f>VLOOKUP($A12,'6. Mesures_ Budget_ Maximaliste'!$A$4:$W$32,20,0)</f>
        <v>0</v>
      </c>
      <c r="V12" s="339">
        <f>VLOOKUP($A12,'6. Mesures_ Budget_ Maximaliste'!$A$4:$W$32,21,0)</f>
        <v>0</v>
      </c>
      <c r="W12" s="339">
        <f>VLOOKUP($A12,'6. Mesures_ Budget_ Maximaliste'!$A$4:$W$32,22,0)</f>
        <v>0</v>
      </c>
      <c r="X12" s="339">
        <f>VLOOKUP($A12,'6. Mesures_ Budget_ Maximaliste'!$A$4:$W$32,23,0)</f>
        <v>0</v>
      </c>
      <c r="Y12" s="340">
        <f>VLOOKUP($A12,'6. Mesures_ Budget_ Maximaliste'!$A$4:$W$32,4,0)</f>
        <v>0</v>
      </c>
      <c r="Z12" s="340">
        <f>VLOOKUP($A12,'6. Mesures_ Budget_ Maximaliste'!$A$4:$W$32,5,0)</f>
        <v>0</v>
      </c>
      <c r="AA12" s="340">
        <f>VLOOKUP($A12,'6. Mesures_ Budget_ Maximaliste'!$A$4:$W$32,6,0)</f>
        <v>0</v>
      </c>
      <c r="AB12" s="340">
        <f>VLOOKUP($A12,'6. Mesures_ Budget_ Maximaliste'!$A$4:$W$32,7,0)</f>
        <v>0</v>
      </c>
    </row>
    <row r="13" spans="1:28" ht="26.25" x14ac:dyDescent="0.25">
      <c r="A13" s="330" t="s">
        <v>10</v>
      </c>
      <c r="B13" s="331" t="str">
        <f>VLOOKUP(A13,'1. Mesures'!$A$2:$B$116,2,0)</f>
        <v>Assurer la gestion des déchets macroscopiques dans les masses d'eau, en particulier après les épisodes de déversement</v>
      </c>
      <c r="C13" s="331" t="str">
        <f>"ACE"&amp;"-"&amp;VLOOKUP(A13,'6. Mesures_ Budget_ Maximaliste'!$A$4:$C$32,3,0)</f>
        <v>ACE-PP</v>
      </c>
      <c r="D13" s="337">
        <v>235000</v>
      </c>
      <c r="E13" s="337"/>
      <c r="F13" s="337">
        <v>222000</v>
      </c>
      <c r="G13" s="337"/>
      <c r="H13" s="338">
        <v>457000</v>
      </c>
      <c r="I13" s="339">
        <f>VLOOKUP($A13,'6. Mesures_ Budget_ Maximaliste'!$A$4:$W$32,8,0)</f>
        <v>3000000</v>
      </c>
      <c r="J13" s="339">
        <f>VLOOKUP($A13,'6. Mesures_ Budget_ Maximaliste'!$A$4:$W$32,9,0)</f>
        <v>4500000</v>
      </c>
      <c r="K13" s="339">
        <f>VLOOKUP($A13,'6. Mesures_ Budget_ Maximaliste'!$A$4:$W$32,10,0)</f>
        <v>173490.29740098401</v>
      </c>
      <c r="L13" s="339">
        <f>VLOOKUP($A13,'6. Mesures_ Budget_ Maximaliste'!$A$4:$W$32,11,0)</f>
        <v>260235.44610147603</v>
      </c>
      <c r="M13" s="339">
        <f>VLOOKUP($A13,'6. Mesures_ Budget_ Maximaliste'!$A$4:$W$32,12,0)</f>
        <v>0</v>
      </c>
      <c r="N13" s="339">
        <f>VLOOKUP($A13,'6. Mesures_ Budget_ Maximaliste'!$A$4:$W$32,13,0)</f>
        <v>0</v>
      </c>
      <c r="O13" s="339">
        <f>VLOOKUP($A13,'6. Mesures_ Budget_ Maximaliste'!$A$4:$W$32,14,0)</f>
        <v>0</v>
      </c>
      <c r="P13" s="339">
        <f>VLOOKUP($A13,'6. Mesures_ Budget_ Maximaliste'!$A$4:$W$32,15,0)</f>
        <v>0</v>
      </c>
      <c r="Q13" s="339">
        <f>VLOOKUP($A13,'6. Mesures_ Budget_ Maximaliste'!$A$4:$W$32,16,0)</f>
        <v>0</v>
      </c>
      <c r="R13" s="339">
        <f>VLOOKUP($A13,'6. Mesures_ Budget_ Maximaliste'!$A$4:$W$32,17,0)</f>
        <v>0</v>
      </c>
      <c r="S13" s="339">
        <f>VLOOKUP($A13,'6. Mesures_ Budget_ Maximaliste'!$A$4:$W$32,18,0)</f>
        <v>0</v>
      </c>
      <c r="T13" s="339">
        <f>VLOOKUP($A13,'6. Mesures_ Budget_ Maximaliste'!$A$4:$W$32,19,0)</f>
        <v>0</v>
      </c>
      <c r="U13" s="339">
        <f>VLOOKUP($A13,'6. Mesures_ Budget_ Maximaliste'!$A$4:$W$32,20,0)</f>
        <v>0</v>
      </c>
      <c r="V13" s="339">
        <f>VLOOKUP($A13,'6. Mesures_ Budget_ Maximaliste'!$A$4:$W$32,21,0)</f>
        <v>0</v>
      </c>
      <c r="W13" s="339">
        <f>VLOOKUP($A13,'6. Mesures_ Budget_ Maximaliste'!$A$4:$W$32,22,0)</f>
        <v>0</v>
      </c>
      <c r="X13" s="339">
        <f>VLOOKUP($A13,'6. Mesures_ Budget_ Maximaliste'!$A$4:$W$32,23,0)</f>
        <v>0</v>
      </c>
      <c r="Y13" s="340">
        <f>VLOOKUP($A13,'6. Mesures_ Budget_ Maximaliste'!$A$4:$W$32,4,0)</f>
        <v>3000000</v>
      </c>
      <c r="Z13" s="340">
        <f>VLOOKUP($A13,'6. Mesures_ Budget_ Maximaliste'!$A$4:$W$32,5,0)</f>
        <v>4500000</v>
      </c>
      <c r="AA13" s="340">
        <f>VLOOKUP($A13,'6. Mesures_ Budget_ Maximaliste'!$A$4:$W$32,6,0)</f>
        <v>173490.29740098401</v>
      </c>
      <c r="AB13" s="340">
        <f>VLOOKUP($A13,'6. Mesures_ Budget_ Maximaliste'!$A$4:$W$32,7,0)</f>
        <v>260235.44610147603</v>
      </c>
    </row>
    <row r="14" spans="1:28" ht="26.25" x14ac:dyDescent="0.25">
      <c r="A14" s="330" t="s">
        <v>11</v>
      </c>
      <c r="B14" s="331" t="str">
        <f>VLOOKUP(A14,'1. Mesures'!$A$2:$B$116,2,0)</f>
        <v>Améliorer le rendement épuratoire des stations d'épuration collectives</v>
      </c>
      <c r="C14" s="331" t="str">
        <f>"ACE"&amp;"-"&amp;VLOOKUP(A14,'6. Mesures_ Budget_ Maximaliste'!$A$4:$C$32,3,0)</f>
        <v>ACE-CV</v>
      </c>
      <c r="D14" s="337">
        <v>0</v>
      </c>
      <c r="E14" s="337"/>
      <c r="F14" s="337"/>
      <c r="G14" s="337"/>
      <c r="H14" s="338">
        <v>0</v>
      </c>
      <c r="I14" s="339">
        <f>VLOOKUP($A14,'6. Mesures_ Budget_ Maximaliste'!$A$4:$W$32,8,0)</f>
        <v>348000000</v>
      </c>
      <c r="J14" s="339">
        <f>VLOOKUP($A14,'6. Mesures_ Budget_ Maximaliste'!$A$4:$W$32,9,0)</f>
        <v>378000000</v>
      </c>
      <c r="K14" s="339">
        <f>VLOOKUP($A14,'6. Mesures_ Budget_ Maximaliste'!$A$4:$W$32,10,0)</f>
        <v>41674514.870049201</v>
      </c>
      <c r="L14" s="339">
        <f>VLOOKUP($A14,'6. Mesures_ Budget_ Maximaliste'!$A$4:$W$32,11,0)</f>
        <v>43409417.844059043</v>
      </c>
      <c r="M14" s="339">
        <f>VLOOKUP($A14,'6. Mesures_ Budget_ Maximaliste'!$A$4:$W$32,12,0)</f>
        <v>0</v>
      </c>
      <c r="N14" s="339">
        <f>VLOOKUP($A14,'6. Mesures_ Budget_ Maximaliste'!$A$4:$W$32,13,0)</f>
        <v>0</v>
      </c>
      <c r="O14" s="339">
        <f>VLOOKUP($A14,'6. Mesures_ Budget_ Maximaliste'!$A$4:$W$32,14,0)</f>
        <v>0</v>
      </c>
      <c r="P14" s="339">
        <f>VLOOKUP($A14,'6. Mesures_ Budget_ Maximaliste'!$A$4:$W$32,15,0)</f>
        <v>0</v>
      </c>
      <c r="Q14" s="339">
        <f>VLOOKUP($A14,'6. Mesures_ Budget_ Maximaliste'!$A$4:$W$32,16,0)</f>
        <v>0</v>
      </c>
      <c r="R14" s="339">
        <f>VLOOKUP($A14,'6. Mesures_ Budget_ Maximaliste'!$A$4:$W$32,17,0)</f>
        <v>0</v>
      </c>
      <c r="S14" s="339">
        <f>VLOOKUP($A14,'6. Mesures_ Budget_ Maximaliste'!$A$4:$W$32,18,0)</f>
        <v>0</v>
      </c>
      <c r="T14" s="339">
        <f>VLOOKUP($A14,'6. Mesures_ Budget_ Maximaliste'!$A$4:$W$32,19,0)</f>
        <v>0</v>
      </c>
      <c r="U14" s="339">
        <f>VLOOKUP($A14,'6. Mesures_ Budget_ Maximaliste'!$A$4:$W$32,20,0)</f>
        <v>0</v>
      </c>
      <c r="V14" s="339">
        <f>VLOOKUP($A14,'6. Mesures_ Budget_ Maximaliste'!$A$4:$W$32,21,0)</f>
        <v>0</v>
      </c>
      <c r="W14" s="339">
        <f>VLOOKUP($A14,'6. Mesures_ Budget_ Maximaliste'!$A$4:$W$32,22,0)</f>
        <v>0</v>
      </c>
      <c r="X14" s="339">
        <f>VLOOKUP($A14,'6. Mesures_ Budget_ Maximaliste'!$A$4:$W$32,23,0)</f>
        <v>0</v>
      </c>
      <c r="Y14" s="340">
        <f>VLOOKUP($A14,'6. Mesures_ Budget_ Maximaliste'!$A$4:$W$32,4,0)</f>
        <v>348000000</v>
      </c>
      <c r="Z14" s="340">
        <f>VLOOKUP($A14,'6. Mesures_ Budget_ Maximaliste'!$A$4:$W$32,5,0)</f>
        <v>378000000</v>
      </c>
      <c r="AA14" s="340">
        <f>VLOOKUP($A14,'6. Mesures_ Budget_ Maximaliste'!$A$4:$W$32,6,0)</f>
        <v>41674514.870049201</v>
      </c>
      <c r="AB14" s="340">
        <f>VLOOKUP($A14,'6. Mesures_ Budget_ Maximaliste'!$A$4:$W$32,7,0)</f>
        <v>43409417.844059043</v>
      </c>
    </row>
    <row r="15" spans="1:28" ht="26.25" x14ac:dyDescent="0.25">
      <c r="A15" s="330" t="s">
        <v>13</v>
      </c>
      <c r="B15" s="331" t="str">
        <f>VLOOKUP(A15,'1. Mesures'!$A$2:$B$116,2,0)</f>
        <v>Assurer un contrôle réglementaire sur le respect des normes de rejet en eaux de surface et en égout</v>
      </c>
      <c r="C15" s="331" t="str">
        <f>"ACE"&amp;"-"&amp;VLOOKUP(A15,'6. Mesures_ Budget_ Maximaliste'!$A$4:$C$32,3,0)</f>
        <v>ACE-</v>
      </c>
      <c r="D15" s="337">
        <v>30000</v>
      </c>
      <c r="E15" s="337">
        <v>30000</v>
      </c>
      <c r="F15" s="337">
        <v>30000</v>
      </c>
      <c r="G15" s="337"/>
      <c r="H15" s="338">
        <v>90000</v>
      </c>
      <c r="I15" s="339">
        <f>VLOOKUP($A15,'6. Mesures_ Budget_ Maximaliste'!$A$4:$W$32,8,0)</f>
        <v>0</v>
      </c>
      <c r="J15" s="339">
        <f>VLOOKUP($A15,'6. Mesures_ Budget_ Maximaliste'!$A$4:$W$32,9,0)</f>
        <v>0</v>
      </c>
      <c r="K15" s="339">
        <f>VLOOKUP($A15,'6. Mesures_ Budget_ Maximaliste'!$A$4:$W$32,10,0)</f>
        <v>0</v>
      </c>
      <c r="L15" s="339">
        <f>VLOOKUP($A15,'6. Mesures_ Budget_ Maximaliste'!$A$4:$W$32,11,0)</f>
        <v>0</v>
      </c>
      <c r="M15" s="339">
        <f>VLOOKUP($A15,'6. Mesures_ Budget_ Maximaliste'!$A$4:$W$32,12,0)</f>
        <v>0</v>
      </c>
      <c r="N15" s="339">
        <f>VLOOKUP($A15,'6. Mesures_ Budget_ Maximaliste'!$A$4:$W$32,13,0)</f>
        <v>0</v>
      </c>
      <c r="O15" s="339">
        <f>VLOOKUP($A15,'6. Mesures_ Budget_ Maximaliste'!$A$4:$W$32,14,0)</f>
        <v>0</v>
      </c>
      <c r="P15" s="339">
        <f>VLOOKUP($A15,'6. Mesures_ Budget_ Maximaliste'!$A$4:$W$32,15,0)</f>
        <v>0</v>
      </c>
      <c r="Q15" s="339">
        <f>VLOOKUP($A15,'6. Mesures_ Budget_ Maximaliste'!$A$4:$W$32,16,0)</f>
        <v>0</v>
      </c>
      <c r="R15" s="339">
        <f>VLOOKUP($A15,'6. Mesures_ Budget_ Maximaliste'!$A$4:$W$32,17,0)</f>
        <v>0</v>
      </c>
      <c r="S15" s="339">
        <f>VLOOKUP($A15,'6. Mesures_ Budget_ Maximaliste'!$A$4:$W$32,18,0)</f>
        <v>0</v>
      </c>
      <c r="T15" s="339">
        <f>VLOOKUP($A15,'6. Mesures_ Budget_ Maximaliste'!$A$4:$W$32,19,0)</f>
        <v>0</v>
      </c>
      <c r="U15" s="339">
        <f>VLOOKUP($A15,'6. Mesures_ Budget_ Maximaliste'!$A$4:$W$32,20,0)</f>
        <v>0</v>
      </c>
      <c r="V15" s="339">
        <f>VLOOKUP($A15,'6. Mesures_ Budget_ Maximaliste'!$A$4:$W$32,21,0)</f>
        <v>0</v>
      </c>
      <c r="W15" s="339">
        <f>VLOOKUP($A15,'6. Mesures_ Budget_ Maximaliste'!$A$4:$W$32,22,0)</f>
        <v>0</v>
      </c>
      <c r="X15" s="339">
        <f>VLOOKUP($A15,'6. Mesures_ Budget_ Maximaliste'!$A$4:$W$32,23,0)</f>
        <v>0</v>
      </c>
      <c r="Y15" s="340">
        <f>VLOOKUP($A15,'6. Mesures_ Budget_ Maximaliste'!$A$4:$W$32,4,0)</f>
        <v>0</v>
      </c>
      <c r="Z15" s="340">
        <f>VLOOKUP($A15,'6. Mesures_ Budget_ Maximaliste'!$A$4:$W$32,5,0)</f>
        <v>0</v>
      </c>
      <c r="AA15" s="340">
        <f>VLOOKUP($A15,'6. Mesures_ Budget_ Maximaliste'!$A$4:$W$32,6,0)</f>
        <v>0</v>
      </c>
      <c r="AB15" s="340">
        <f>VLOOKUP($A15,'6. Mesures_ Budget_ Maximaliste'!$A$4:$W$32,7,0)</f>
        <v>0</v>
      </c>
    </row>
    <row r="16" spans="1:28" ht="26.25" x14ac:dyDescent="0.25">
      <c r="A16" s="330" t="s">
        <v>15</v>
      </c>
      <c r="B16" s="331" t="str">
        <f>VLOOKUP(A16,'1. Mesures'!$A$2:$B$116,2,0)</f>
        <v>Réaliser le curage sur les derniers tronçons du réseau hydrographique pour enlever la pollution «historique »</v>
      </c>
      <c r="C16" s="331" t="str">
        <f>"ACE"&amp;"-"&amp;VLOOKUP(A16,'6. Mesures_ Budget_ Maximaliste'!$A$4:$C$32,3,0)</f>
        <v>ACE-PP</v>
      </c>
      <c r="D16" s="337">
        <v>1650000</v>
      </c>
      <c r="E16" s="337"/>
      <c r="F16" s="337"/>
      <c r="G16" s="337"/>
      <c r="H16" s="338">
        <v>1650000</v>
      </c>
      <c r="I16" s="339">
        <f>VLOOKUP($A16,'6. Mesures_ Budget_ Maximaliste'!$A$4:$W$32,8,0)</f>
        <v>3520000</v>
      </c>
      <c r="J16" s="339">
        <f>VLOOKUP($A16,'6. Mesures_ Budget_ Maximaliste'!$A$4:$W$32,9,0)</f>
        <v>19360000</v>
      </c>
      <c r="K16" s="339">
        <f>VLOOKUP($A16,'6. Mesures_ Budget_ Maximaliste'!$A$4:$W$32,10,0)</f>
        <v>259007.76115677369</v>
      </c>
      <c r="L16" s="339">
        <f>VLOOKUP($A16,'6. Mesures_ Budget_ Maximaliste'!$A$4:$W$32,11,0)</f>
        <v>1424542.6863622551</v>
      </c>
      <c r="M16" s="339">
        <f>VLOOKUP($A16,'6. Mesures_ Budget_ Maximaliste'!$A$4:$W$32,12,0)</f>
        <v>0</v>
      </c>
      <c r="N16" s="339">
        <f>VLOOKUP($A16,'6. Mesures_ Budget_ Maximaliste'!$A$4:$W$32,13,0)</f>
        <v>0</v>
      </c>
      <c r="O16" s="339">
        <f>VLOOKUP($A16,'6. Mesures_ Budget_ Maximaliste'!$A$4:$W$32,14,0)</f>
        <v>0</v>
      </c>
      <c r="P16" s="339">
        <f>VLOOKUP($A16,'6. Mesures_ Budget_ Maximaliste'!$A$4:$W$32,15,0)</f>
        <v>0</v>
      </c>
      <c r="Q16" s="339">
        <f>VLOOKUP($A16,'6. Mesures_ Budget_ Maximaliste'!$A$4:$W$32,16,0)</f>
        <v>0</v>
      </c>
      <c r="R16" s="339">
        <f>VLOOKUP($A16,'6. Mesures_ Budget_ Maximaliste'!$A$4:$W$32,17,0)</f>
        <v>0</v>
      </c>
      <c r="S16" s="339">
        <f>VLOOKUP($A16,'6. Mesures_ Budget_ Maximaliste'!$A$4:$W$32,18,0)</f>
        <v>0</v>
      </c>
      <c r="T16" s="339">
        <f>VLOOKUP($A16,'6. Mesures_ Budget_ Maximaliste'!$A$4:$W$32,19,0)</f>
        <v>0</v>
      </c>
      <c r="U16" s="339">
        <f>VLOOKUP($A16,'6. Mesures_ Budget_ Maximaliste'!$A$4:$W$32,20,0)</f>
        <v>0</v>
      </c>
      <c r="V16" s="339">
        <f>VLOOKUP($A16,'6. Mesures_ Budget_ Maximaliste'!$A$4:$W$32,21,0)</f>
        <v>0</v>
      </c>
      <c r="W16" s="339">
        <f>VLOOKUP($A16,'6. Mesures_ Budget_ Maximaliste'!$A$4:$W$32,22,0)</f>
        <v>0</v>
      </c>
      <c r="X16" s="339">
        <f>VLOOKUP($A16,'6. Mesures_ Budget_ Maximaliste'!$A$4:$W$32,23,0)</f>
        <v>0</v>
      </c>
      <c r="Y16" s="340">
        <f>VLOOKUP($A16,'6. Mesures_ Budget_ Maximaliste'!$A$4:$W$32,4,0)</f>
        <v>3520000</v>
      </c>
      <c r="Z16" s="340">
        <f>VLOOKUP($A16,'6. Mesures_ Budget_ Maximaliste'!$A$4:$W$32,5,0)</f>
        <v>19360000</v>
      </c>
      <c r="AA16" s="340">
        <f>VLOOKUP($A16,'6. Mesures_ Budget_ Maximaliste'!$A$4:$W$32,6,0)</f>
        <v>259007.76115677369</v>
      </c>
      <c r="AB16" s="340">
        <f>VLOOKUP($A16,'6. Mesures_ Budget_ Maximaliste'!$A$4:$W$32,7,0)</f>
        <v>1424542.6863622551</v>
      </c>
    </row>
    <row r="17" spans="1:28" ht="26.25" x14ac:dyDescent="0.25">
      <c r="A17" s="330" t="s">
        <v>16</v>
      </c>
      <c r="B17" s="331" t="str">
        <f>VLOOKUP(A17,'1. Mesures'!$A$2:$B$116,2,0)</f>
        <v>Diminuer les sources de matières en suspension vers le canal par l’optimisation de la dérivation d’Aa</v>
      </c>
      <c r="C17" s="331" t="str">
        <f>"ACE"&amp;"-"&amp;VLOOKUP(A17,'6. Mesures_ Budget_ Maximaliste'!$A$4:$C$32,3,0)</f>
        <v>ACE-</v>
      </c>
      <c r="D17" s="337">
        <v>18000</v>
      </c>
      <c r="E17" s="337"/>
      <c r="F17" s="337">
        <v>210000</v>
      </c>
      <c r="G17" s="337"/>
      <c r="H17" s="338">
        <v>228000</v>
      </c>
      <c r="I17" s="339">
        <f>VLOOKUP($A17,'6. Mesures_ Budget_ Maximaliste'!$A$4:$W$32,8,0)</f>
        <v>0</v>
      </c>
      <c r="J17" s="339">
        <f>VLOOKUP($A17,'6. Mesures_ Budget_ Maximaliste'!$A$4:$W$32,9,0)</f>
        <v>0</v>
      </c>
      <c r="K17" s="339">
        <f>VLOOKUP($A17,'6. Mesures_ Budget_ Maximaliste'!$A$4:$W$32,10,0)</f>
        <v>0</v>
      </c>
      <c r="L17" s="339">
        <f>VLOOKUP($A17,'6. Mesures_ Budget_ Maximaliste'!$A$4:$W$32,11,0)</f>
        <v>0</v>
      </c>
      <c r="M17" s="339">
        <f>VLOOKUP($A17,'6. Mesures_ Budget_ Maximaliste'!$A$4:$W$32,12,0)</f>
        <v>0</v>
      </c>
      <c r="N17" s="339">
        <f>VLOOKUP($A17,'6. Mesures_ Budget_ Maximaliste'!$A$4:$W$32,13,0)</f>
        <v>0</v>
      </c>
      <c r="O17" s="339">
        <f>VLOOKUP($A17,'6. Mesures_ Budget_ Maximaliste'!$A$4:$W$32,14,0)</f>
        <v>0</v>
      </c>
      <c r="P17" s="339">
        <f>VLOOKUP($A17,'6. Mesures_ Budget_ Maximaliste'!$A$4:$W$32,15,0)</f>
        <v>0</v>
      </c>
      <c r="Q17" s="339">
        <f>VLOOKUP($A17,'6. Mesures_ Budget_ Maximaliste'!$A$4:$W$32,16,0)</f>
        <v>0</v>
      </c>
      <c r="R17" s="339">
        <f>VLOOKUP($A17,'6. Mesures_ Budget_ Maximaliste'!$A$4:$W$32,17,0)</f>
        <v>0</v>
      </c>
      <c r="S17" s="339">
        <f>VLOOKUP($A17,'6. Mesures_ Budget_ Maximaliste'!$A$4:$W$32,18,0)</f>
        <v>0</v>
      </c>
      <c r="T17" s="339">
        <f>VLOOKUP($A17,'6. Mesures_ Budget_ Maximaliste'!$A$4:$W$32,19,0)</f>
        <v>0</v>
      </c>
      <c r="U17" s="339">
        <f>VLOOKUP($A17,'6. Mesures_ Budget_ Maximaliste'!$A$4:$W$32,20,0)</f>
        <v>0</v>
      </c>
      <c r="V17" s="339">
        <f>VLOOKUP($A17,'6. Mesures_ Budget_ Maximaliste'!$A$4:$W$32,21,0)</f>
        <v>0</v>
      </c>
      <c r="W17" s="339">
        <f>VLOOKUP($A17,'6. Mesures_ Budget_ Maximaliste'!$A$4:$W$32,22,0)</f>
        <v>0</v>
      </c>
      <c r="X17" s="339">
        <f>VLOOKUP($A17,'6. Mesures_ Budget_ Maximaliste'!$A$4:$W$32,23,0)</f>
        <v>0</v>
      </c>
      <c r="Y17" s="340">
        <f>VLOOKUP($A17,'6. Mesures_ Budget_ Maximaliste'!$A$4:$W$32,4,0)</f>
        <v>0</v>
      </c>
      <c r="Z17" s="340">
        <f>VLOOKUP($A17,'6. Mesures_ Budget_ Maximaliste'!$A$4:$W$32,5,0)</f>
        <v>0</v>
      </c>
      <c r="AA17" s="340">
        <f>VLOOKUP($A17,'6. Mesures_ Budget_ Maximaliste'!$A$4:$W$32,6,0)</f>
        <v>0</v>
      </c>
      <c r="AB17" s="340">
        <f>VLOOKUP($A17,'6. Mesures_ Budget_ Maximaliste'!$A$4:$W$32,7,0)</f>
        <v>0</v>
      </c>
    </row>
    <row r="18" spans="1:28" ht="29.1" customHeight="1" x14ac:dyDescent="0.25">
      <c r="A18" s="330" t="s">
        <v>18</v>
      </c>
      <c r="B18" s="331" t="str">
        <f>VLOOKUP(A18,'1. Mesures'!$A$2:$B$116,2,0)</f>
        <v xml:space="preserve">Lutter contre les décharges de matériaux autour et dans le Canal et assurer le dragage et l'élimination des sédiments pollués </v>
      </c>
      <c r="C18" s="331" t="str">
        <f>"ACE"&amp;"-"&amp;VLOOKUP(A18,'6. Mesures_ Budget_ Maximaliste'!$A$4:$C$32,3,0)</f>
        <v>ACE-PP</v>
      </c>
      <c r="D18" s="337"/>
      <c r="E18" s="337"/>
      <c r="F18" s="337">
        <v>11109480</v>
      </c>
      <c r="G18" s="337"/>
      <c r="H18" s="342">
        <v>11109480</v>
      </c>
      <c r="I18" s="339">
        <f>VLOOKUP($A18,'6. Mesures_ Budget_ Maximaliste'!$A$4:$W$32,8,0)</f>
        <v>0</v>
      </c>
      <c r="J18" s="339">
        <f>VLOOKUP($A18,'6. Mesures_ Budget_ Maximaliste'!$A$4:$W$32,9,0)</f>
        <v>0</v>
      </c>
      <c r="K18" s="339">
        <f>VLOOKUP($A18,'6. Mesures_ Budget_ Maximaliste'!$A$4:$W$32,10,0)</f>
        <v>0</v>
      </c>
      <c r="L18" s="339">
        <f>VLOOKUP($A18,'6. Mesures_ Budget_ Maximaliste'!$A$4:$W$32,11,0)</f>
        <v>0</v>
      </c>
      <c r="M18" s="339">
        <f>VLOOKUP($A18,'6. Mesures_ Budget_ Maximaliste'!$A$4:$W$32,12,0)</f>
        <v>0</v>
      </c>
      <c r="N18" s="339">
        <f>VLOOKUP($A18,'6. Mesures_ Budget_ Maximaliste'!$A$4:$W$32,13,0)</f>
        <v>0</v>
      </c>
      <c r="O18" s="339">
        <f>VLOOKUP($A18,'6. Mesures_ Budget_ Maximaliste'!$A$4:$W$32,14,0)</f>
        <v>0</v>
      </c>
      <c r="P18" s="339">
        <f>VLOOKUP($A18,'6. Mesures_ Budget_ Maximaliste'!$A$4:$W$32,15,0)</f>
        <v>0</v>
      </c>
      <c r="Q18" s="339">
        <f>VLOOKUP($A18,'6. Mesures_ Budget_ Maximaliste'!$A$4:$W$32,16,0)</f>
        <v>35950000</v>
      </c>
      <c r="R18" s="339">
        <f>VLOOKUP($A18,'6. Mesures_ Budget_ Maximaliste'!$A$4:$W$32,17,0)</f>
        <v>46200000</v>
      </c>
      <c r="S18" s="339">
        <f>VLOOKUP($A18,'6. Mesures_ Budget_ Maximaliste'!$A$4:$W$32,18,0)</f>
        <v>2756965.8239198541</v>
      </c>
      <c r="T18" s="339">
        <f>VLOOKUP($A18,'6. Mesures_ Budget_ Maximaliste'!$A$4:$W$32,19,0)</f>
        <v>3511178.7647882998</v>
      </c>
      <c r="U18" s="339">
        <f>VLOOKUP($A18,'6. Mesures_ Budget_ Maximaliste'!$A$4:$W$32,20,0)</f>
        <v>0</v>
      </c>
      <c r="V18" s="339">
        <f>VLOOKUP($A18,'6. Mesures_ Budget_ Maximaliste'!$A$4:$W$32,21,0)</f>
        <v>0</v>
      </c>
      <c r="W18" s="339">
        <f>VLOOKUP($A18,'6. Mesures_ Budget_ Maximaliste'!$A$4:$W$32,22,0)</f>
        <v>0</v>
      </c>
      <c r="X18" s="339">
        <f>VLOOKUP($A18,'6. Mesures_ Budget_ Maximaliste'!$A$4:$W$32,23,0)</f>
        <v>0</v>
      </c>
      <c r="Y18" s="340">
        <f>VLOOKUP($A18,'6. Mesures_ Budget_ Maximaliste'!$A$4:$W$32,4,0)</f>
        <v>35950000</v>
      </c>
      <c r="Z18" s="340">
        <f>VLOOKUP($A18,'6. Mesures_ Budget_ Maximaliste'!$A$4:$W$32,5,0)</f>
        <v>46200000</v>
      </c>
      <c r="AA18" s="340">
        <f>VLOOKUP($A18,'6. Mesures_ Budget_ Maximaliste'!$A$4:$W$32,6,0)</f>
        <v>2756965.8239198541</v>
      </c>
      <c r="AB18" s="340">
        <f>VLOOKUP($A18,'6. Mesures_ Budget_ Maximaliste'!$A$4:$W$32,7,0)</f>
        <v>3511178.7647882998</v>
      </c>
    </row>
    <row r="19" spans="1:28" ht="26.25" x14ac:dyDescent="0.25">
      <c r="A19" s="330" t="s">
        <v>21</v>
      </c>
      <c r="B19" s="331" t="str">
        <f>VLOOKUP(A19,'1. Mesures'!$A$2:$B$116,2,0)</f>
        <v>Assurer la surveillance de la qualité de la colonne d’eau, des sédiments, du biote, de la biologie et de l’hydromorphologie</v>
      </c>
      <c r="C19" s="331" t="str">
        <f>"ACE"&amp;"-"&amp;VLOOKUP(A19,'6. Mesures_ Budget_ Maximaliste'!$A$4:$C$32,3,0)</f>
        <v>ACE-</v>
      </c>
      <c r="D19" s="337">
        <f>H19/3</f>
        <v>589833.33333333337</v>
      </c>
      <c r="E19" s="337">
        <v>589833.33333333337</v>
      </c>
      <c r="F19" s="337">
        <v>589833.33333333337</v>
      </c>
      <c r="G19" s="337"/>
      <c r="H19" s="338">
        <v>1769500</v>
      </c>
      <c r="I19" s="339">
        <f>VLOOKUP($A19,'6. Mesures_ Budget_ Maximaliste'!$A$4:$W$32,8,0)</f>
        <v>0</v>
      </c>
      <c r="J19" s="339">
        <f>VLOOKUP($A19,'6. Mesures_ Budget_ Maximaliste'!$A$4:$W$32,9,0)</f>
        <v>0</v>
      </c>
      <c r="K19" s="339">
        <f>VLOOKUP($A19,'6. Mesures_ Budget_ Maximaliste'!$A$4:$W$32,10,0)</f>
        <v>0</v>
      </c>
      <c r="L19" s="339">
        <f>VLOOKUP($A19,'6. Mesures_ Budget_ Maximaliste'!$A$4:$W$32,11,0)</f>
        <v>0</v>
      </c>
      <c r="M19" s="339">
        <f>VLOOKUP($A19,'6. Mesures_ Budget_ Maximaliste'!$A$4:$W$32,12,0)</f>
        <v>0</v>
      </c>
      <c r="N19" s="339">
        <f>VLOOKUP($A19,'6. Mesures_ Budget_ Maximaliste'!$A$4:$W$32,13,0)</f>
        <v>0</v>
      </c>
      <c r="O19" s="339">
        <f>VLOOKUP($A19,'6. Mesures_ Budget_ Maximaliste'!$A$4:$W$32,14,0)</f>
        <v>0</v>
      </c>
      <c r="P19" s="339">
        <f>VLOOKUP($A19,'6. Mesures_ Budget_ Maximaliste'!$A$4:$W$32,15,0)</f>
        <v>0</v>
      </c>
      <c r="Q19" s="339">
        <f>VLOOKUP($A19,'6. Mesures_ Budget_ Maximaliste'!$A$4:$W$32,16,0)</f>
        <v>0</v>
      </c>
      <c r="R19" s="339">
        <f>VLOOKUP($A19,'6. Mesures_ Budget_ Maximaliste'!$A$4:$W$32,17,0)</f>
        <v>0</v>
      </c>
      <c r="S19" s="339">
        <f>VLOOKUP($A19,'6. Mesures_ Budget_ Maximaliste'!$A$4:$W$32,18,0)</f>
        <v>0</v>
      </c>
      <c r="T19" s="339">
        <f>VLOOKUP($A19,'6. Mesures_ Budget_ Maximaliste'!$A$4:$W$32,19,0)</f>
        <v>0</v>
      </c>
      <c r="U19" s="339">
        <f>VLOOKUP($A19,'6. Mesures_ Budget_ Maximaliste'!$A$4:$W$32,20,0)</f>
        <v>0</v>
      </c>
      <c r="V19" s="339">
        <f>VLOOKUP($A19,'6. Mesures_ Budget_ Maximaliste'!$A$4:$W$32,21,0)</f>
        <v>0</v>
      </c>
      <c r="W19" s="339">
        <f>VLOOKUP($A19,'6. Mesures_ Budget_ Maximaliste'!$A$4:$W$32,22,0)</f>
        <v>0</v>
      </c>
      <c r="X19" s="339">
        <f>VLOOKUP($A19,'6. Mesures_ Budget_ Maximaliste'!$A$4:$W$32,23,0)</f>
        <v>0</v>
      </c>
      <c r="Y19" s="340">
        <f>VLOOKUP($A19,'6. Mesures_ Budget_ Maximaliste'!$A$4:$W$32,4,0)</f>
        <v>0</v>
      </c>
      <c r="Z19" s="340">
        <f>VLOOKUP($A19,'6. Mesures_ Budget_ Maximaliste'!$A$4:$W$32,5,0)</f>
        <v>0</v>
      </c>
      <c r="AA19" s="340">
        <f>VLOOKUP($A19,'6. Mesures_ Budget_ Maximaliste'!$A$4:$W$32,6,0)</f>
        <v>0</v>
      </c>
      <c r="AB19" s="340">
        <f>VLOOKUP($A19,'6. Mesures_ Budget_ Maximaliste'!$A$4:$W$32,7,0)</f>
        <v>0</v>
      </c>
    </row>
    <row r="20" spans="1:28" ht="26.25" x14ac:dyDescent="0.25">
      <c r="A20" s="330" t="s">
        <v>22</v>
      </c>
      <c r="B20" s="331" t="str">
        <f>VLOOKUP(A20,'1. Mesures'!$A$2:$B$116,2,0)</f>
        <v>Assurer et développer le réseau de monitoring qualitatif et quantitatif en continu FlowBru</v>
      </c>
      <c r="C20" s="331" t="str">
        <f>"ACE"&amp;"-"&amp;VLOOKUP(A20,'6. Mesures_ Budget_ Maximaliste'!$A$4:$C$32,3,0)</f>
        <v>ACE-</v>
      </c>
      <c r="D20" s="337">
        <f>140000+2790000/3</f>
        <v>1070000</v>
      </c>
      <c r="E20" s="337">
        <f>2790000/3</f>
        <v>930000</v>
      </c>
      <c r="F20" s="337">
        <f>20000+140000+2790000/3</f>
        <v>1090000</v>
      </c>
      <c r="G20" s="337"/>
      <c r="H20" s="338">
        <v>3090000</v>
      </c>
      <c r="I20" s="339">
        <f>VLOOKUP($A20,'6. Mesures_ Budget_ Maximaliste'!$A$4:$W$32,8,0)</f>
        <v>0</v>
      </c>
      <c r="J20" s="339">
        <f>VLOOKUP($A20,'6. Mesures_ Budget_ Maximaliste'!$A$4:$W$32,9,0)</f>
        <v>0</v>
      </c>
      <c r="K20" s="339">
        <f>VLOOKUP($A20,'6. Mesures_ Budget_ Maximaliste'!$A$4:$W$32,10,0)</f>
        <v>0</v>
      </c>
      <c r="L20" s="339">
        <f>VLOOKUP($A20,'6. Mesures_ Budget_ Maximaliste'!$A$4:$W$32,11,0)</f>
        <v>0</v>
      </c>
      <c r="M20" s="339">
        <f>VLOOKUP($A20,'6. Mesures_ Budget_ Maximaliste'!$A$4:$W$32,12,0)</f>
        <v>0</v>
      </c>
      <c r="N20" s="339">
        <f>VLOOKUP($A20,'6. Mesures_ Budget_ Maximaliste'!$A$4:$W$32,13,0)</f>
        <v>0</v>
      </c>
      <c r="O20" s="339">
        <f>VLOOKUP($A20,'6. Mesures_ Budget_ Maximaliste'!$A$4:$W$32,14,0)</f>
        <v>0</v>
      </c>
      <c r="P20" s="339">
        <f>VLOOKUP($A20,'6. Mesures_ Budget_ Maximaliste'!$A$4:$W$32,15,0)</f>
        <v>0</v>
      </c>
      <c r="Q20" s="339">
        <f>VLOOKUP($A20,'6. Mesures_ Budget_ Maximaliste'!$A$4:$W$32,16,0)</f>
        <v>0</v>
      </c>
      <c r="R20" s="339">
        <f>VLOOKUP($A20,'6. Mesures_ Budget_ Maximaliste'!$A$4:$W$32,17,0)</f>
        <v>0</v>
      </c>
      <c r="S20" s="339">
        <f>VLOOKUP($A20,'6. Mesures_ Budget_ Maximaliste'!$A$4:$W$32,18,0)</f>
        <v>0</v>
      </c>
      <c r="T20" s="339">
        <f>VLOOKUP($A20,'6. Mesures_ Budget_ Maximaliste'!$A$4:$W$32,19,0)</f>
        <v>0</v>
      </c>
      <c r="U20" s="339">
        <f>VLOOKUP($A20,'6. Mesures_ Budget_ Maximaliste'!$A$4:$W$32,20,0)</f>
        <v>0</v>
      </c>
      <c r="V20" s="339">
        <f>VLOOKUP($A20,'6. Mesures_ Budget_ Maximaliste'!$A$4:$W$32,21,0)</f>
        <v>0</v>
      </c>
      <c r="W20" s="339">
        <f>VLOOKUP($A20,'6. Mesures_ Budget_ Maximaliste'!$A$4:$W$32,22,0)</f>
        <v>0</v>
      </c>
      <c r="X20" s="339">
        <f>VLOOKUP($A20,'6. Mesures_ Budget_ Maximaliste'!$A$4:$W$32,23,0)</f>
        <v>0</v>
      </c>
      <c r="Y20" s="340">
        <f>VLOOKUP($A20,'6. Mesures_ Budget_ Maximaliste'!$A$4:$W$32,4,0)</f>
        <v>0</v>
      </c>
      <c r="Z20" s="340">
        <f>VLOOKUP($A20,'6. Mesures_ Budget_ Maximaliste'!$A$4:$W$32,5,0)</f>
        <v>0</v>
      </c>
      <c r="AA20" s="340">
        <f>VLOOKUP($A20,'6. Mesures_ Budget_ Maximaliste'!$A$4:$W$32,6,0)</f>
        <v>0</v>
      </c>
      <c r="AB20" s="340">
        <f>VLOOKUP($A20,'6. Mesures_ Budget_ Maximaliste'!$A$4:$W$32,7,0)</f>
        <v>0</v>
      </c>
    </row>
    <row r="21" spans="1:28" ht="26.25" x14ac:dyDescent="0.25">
      <c r="A21" s="330" t="s">
        <v>25</v>
      </c>
      <c r="B21" s="331" t="str">
        <f>VLOOKUP(A21,'1. Mesures'!$A$2:$B$116,2,0)</f>
        <v>Sensibiliser les Bruxellois.e.s à l'impact des certaines pratiques sur les eaux de surface</v>
      </c>
      <c r="C21" s="331" t="str">
        <f>"ACE"&amp;"-"&amp;VLOOKUP(A21,'6. Mesures_ Budget_ Maximaliste'!$A$4:$C$32,3,0)</f>
        <v>ACE-</v>
      </c>
      <c r="D21" s="337">
        <f>0.67*H21</f>
        <v>26800</v>
      </c>
      <c r="E21" s="337">
        <f>0.28*H21</f>
        <v>11200.000000000002</v>
      </c>
      <c r="F21" s="337">
        <f>0.05*H21</f>
        <v>2000</v>
      </c>
      <c r="G21" s="337"/>
      <c r="H21" s="338">
        <v>40000</v>
      </c>
      <c r="I21" s="339">
        <f>VLOOKUP($A21,'6. Mesures_ Budget_ Maximaliste'!$A$4:$W$32,8,0)</f>
        <v>0</v>
      </c>
      <c r="J21" s="339">
        <f>VLOOKUP($A21,'6. Mesures_ Budget_ Maximaliste'!$A$4:$W$32,9,0)</f>
        <v>0</v>
      </c>
      <c r="K21" s="339">
        <f>VLOOKUP($A21,'6. Mesures_ Budget_ Maximaliste'!$A$4:$W$32,10,0)</f>
        <v>0</v>
      </c>
      <c r="L21" s="339">
        <f>VLOOKUP($A21,'6. Mesures_ Budget_ Maximaliste'!$A$4:$W$32,11,0)</f>
        <v>0</v>
      </c>
      <c r="M21" s="339">
        <f>VLOOKUP($A21,'6. Mesures_ Budget_ Maximaliste'!$A$4:$W$32,12,0)</f>
        <v>0</v>
      </c>
      <c r="N21" s="339">
        <f>VLOOKUP($A21,'6. Mesures_ Budget_ Maximaliste'!$A$4:$W$32,13,0)</f>
        <v>0</v>
      </c>
      <c r="O21" s="339">
        <f>VLOOKUP($A21,'6. Mesures_ Budget_ Maximaliste'!$A$4:$W$32,14,0)</f>
        <v>0</v>
      </c>
      <c r="P21" s="339">
        <f>VLOOKUP($A21,'6. Mesures_ Budget_ Maximaliste'!$A$4:$W$32,15,0)</f>
        <v>0</v>
      </c>
      <c r="Q21" s="339">
        <f>VLOOKUP($A21,'6. Mesures_ Budget_ Maximaliste'!$A$4:$W$32,16,0)</f>
        <v>0</v>
      </c>
      <c r="R21" s="339">
        <f>VLOOKUP($A21,'6. Mesures_ Budget_ Maximaliste'!$A$4:$W$32,17,0)</f>
        <v>0</v>
      </c>
      <c r="S21" s="339">
        <f>VLOOKUP($A21,'6. Mesures_ Budget_ Maximaliste'!$A$4:$W$32,18,0)</f>
        <v>0</v>
      </c>
      <c r="T21" s="339">
        <f>VLOOKUP($A21,'6. Mesures_ Budget_ Maximaliste'!$A$4:$W$32,19,0)</f>
        <v>0</v>
      </c>
      <c r="U21" s="339">
        <f>VLOOKUP($A21,'6. Mesures_ Budget_ Maximaliste'!$A$4:$W$32,20,0)</f>
        <v>0</v>
      </c>
      <c r="V21" s="339">
        <f>VLOOKUP($A21,'6. Mesures_ Budget_ Maximaliste'!$A$4:$W$32,21,0)</f>
        <v>0</v>
      </c>
      <c r="W21" s="339">
        <f>VLOOKUP($A21,'6. Mesures_ Budget_ Maximaliste'!$A$4:$W$32,22,0)</f>
        <v>0</v>
      </c>
      <c r="X21" s="339">
        <f>VLOOKUP($A21,'6. Mesures_ Budget_ Maximaliste'!$A$4:$W$32,23,0)</f>
        <v>0</v>
      </c>
      <c r="Y21" s="340">
        <f>VLOOKUP($A21,'6. Mesures_ Budget_ Maximaliste'!$A$4:$W$32,4,0)</f>
        <v>0</v>
      </c>
      <c r="Z21" s="340">
        <f>VLOOKUP($A21,'6. Mesures_ Budget_ Maximaliste'!$A$4:$W$32,5,0)</f>
        <v>0</v>
      </c>
      <c r="AA21" s="340">
        <f>VLOOKUP($A21,'6. Mesures_ Budget_ Maximaliste'!$A$4:$W$32,6,0)</f>
        <v>0</v>
      </c>
      <c r="AB21" s="340">
        <f>VLOOKUP($A21,'6. Mesures_ Budget_ Maximaliste'!$A$4:$W$32,7,0)</f>
        <v>0</v>
      </c>
    </row>
    <row r="22" spans="1:28" ht="26.25" x14ac:dyDescent="0.25">
      <c r="A22" s="330" t="s">
        <v>26</v>
      </c>
      <c r="B22" s="331" t="str">
        <f>VLOOKUP(A22,'1. Mesures'!$A$2:$B$116,2,0)</f>
        <v>Assurer la gestion des pollutions intra régionales et transfrontalières</v>
      </c>
      <c r="C22" s="331" t="str">
        <f>"ACE"&amp;"-"&amp;VLOOKUP(A22,'6. Mesures_ Budget_ Maximaliste'!$A$4:$C$32,3,0)</f>
        <v>ACE-</v>
      </c>
      <c r="D22" s="337">
        <f>0.67*H22</f>
        <v>15276.000000000002</v>
      </c>
      <c r="E22" s="337">
        <f>0.28*H22</f>
        <v>6384.0000000000009</v>
      </c>
      <c r="F22" s="337">
        <f>0.05*H22</f>
        <v>1140</v>
      </c>
      <c r="G22" s="337"/>
      <c r="H22" s="338">
        <v>22800</v>
      </c>
      <c r="I22" s="339">
        <f>VLOOKUP($A22,'6. Mesures_ Budget_ Maximaliste'!$A$4:$W$32,8,0)</f>
        <v>0</v>
      </c>
      <c r="J22" s="339">
        <f>VLOOKUP($A22,'6. Mesures_ Budget_ Maximaliste'!$A$4:$W$32,9,0)</f>
        <v>0</v>
      </c>
      <c r="K22" s="339">
        <f>VLOOKUP($A22,'6. Mesures_ Budget_ Maximaliste'!$A$4:$W$32,10,0)</f>
        <v>0</v>
      </c>
      <c r="L22" s="339">
        <f>VLOOKUP($A22,'6. Mesures_ Budget_ Maximaliste'!$A$4:$W$32,11,0)</f>
        <v>0</v>
      </c>
      <c r="M22" s="339">
        <f>VLOOKUP($A22,'6. Mesures_ Budget_ Maximaliste'!$A$4:$W$32,12,0)</f>
        <v>0</v>
      </c>
      <c r="N22" s="339">
        <f>VLOOKUP($A22,'6. Mesures_ Budget_ Maximaliste'!$A$4:$W$32,13,0)</f>
        <v>0</v>
      </c>
      <c r="O22" s="339">
        <f>VLOOKUP($A22,'6. Mesures_ Budget_ Maximaliste'!$A$4:$W$32,14,0)</f>
        <v>0</v>
      </c>
      <c r="P22" s="339">
        <f>VLOOKUP($A22,'6. Mesures_ Budget_ Maximaliste'!$A$4:$W$32,15,0)</f>
        <v>0</v>
      </c>
      <c r="Q22" s="339">
        <f>VLOOKUP($A22,'6. Mesures_ Budget_ Maximaliste'!$A$4:$W$32,16,0)</f>
        <v>0</v>
      </c>
      <c r="R22" s="339">
        <f>VLOOKUP($A22,'6. Mesures_ Budget_ Maximaliste'!$A$4:$W$32,17,0)</f>
        <v>0</v>
      </c>
      <c r="S22" s="339">
        <f>VLOOKUP($A22,'6. Mesures_ Budget_ Maximaliste'!$A$4:$W$32,18,0)</f>
        <v>0</v>
      </c>
      <c r="T22" s="339">
        <f>VLOOKUP($A22,'6. Mesures_ Budget_ Maximaliste'!$A$4:$W$32,19,0)</f>
        <v>0</v>
      </c>
      <c r="U22" s="339">
        <f>VLOOKUP($A22,'6. Mesures_ Budget_ Maximaliste'!$A$4:$W$32,20,0)</f>
        <v>0</v>
      </c>
      <c r="V22" s="339">
        <f>VLOOKUP($A22,'6. Mesures_ Budget_ Maximaliste'!$A$4:$W$32,21,0)</f>
        <v>0</v>
      </c>
      <c r="W22" s="339">
        <f>VLOOKUP($A22,'6. Mesures_ Budget_ Maximaliste'!$A$4:$W$32,22,0)</f>
        <v>0</v>
      </c>
      <c r="X22" s="339">
        <f>VLOOKUP($A22,'6. Mesures_ Budget_ Maximaliste'!$A$4:$W$32,23,0)</f>
        <v>0</v>
      </c>
      <c r="Y22" s="340">
        <f>VLOOKUP($A22,'6. Mesures_ Budget_ Maximaliste'!$A$4:$W$32,4,0)</f>
        <v>0</v>
      </c>
      <c r="Z22" s="340">
        <f>VLOOKUP($A22,'6. Mesures_ Budget_ Maximaliste'!$A$4:$W$32,5,0)</f>
        <v>0</v>
      </c>
      <c r="AA22" s="340">
        <f>VLOOKUP($A22,'6. Mesures_ Budget_ Maximaliste'!$A$4:$W$32,6,0)</f>
        <v>0</v>
      </c>
      <c r="AB22" s="340">
        <f>VLOOKUP($A22,'6. Mesures_ Budget_ Maximaliste'!$A$4:$W$32,7,0)</f>
        <v>0</v>
      </c>
    </row>
    <row r="23" spans="1:28" ht="64.5" x14ac:dyDescent="0.25">
      <c r="A23" s="332" t="s">
        <v>27</v>
      </c>
      <c r="B23" s="333" t="str">
        <f>VLOOKUP(A23,'1. Mesures'!$A$2:$B$116,2,0)</f>
        <v>Identifier les opportunités de connexion au réseau hydrographique des eaux claires actuellement perdues par temps sec dans le réseau d’égouttage et définir un débit minimum écologique et une hauteur d'eau minimale pour les masses d'eau</v>
      </c>
      <c r="C23" s="331" t="str">
        <f>"ACE"&amp;"-"&amp;VLOOKUP(A23,'6. Mesures_ Budget_ Maximaliste'!$A$4:$C$32,3,0)</f>
        <v>ACE-</v>
      </c>
      <c r="D23" s="337">
        <v>2557000</v>
      </c>
      <c r="E23" s="337">
        <v>40000</v>
      </c>
      <c r="F23" s="337"/>
      <c r="G23" s="337"/>
      <c r="H23" s="338">
        <f>D23+E23+F23</f>
        <v>2597000</v>
      </c>
      <c r="I23" s="339">
        <f>VLOOKUP($A23,'6. Mesures_ Budget_ Maximaliste'!$A$4:$W$32,8,0)</f>
        <v>180000</v>
      </c>
      <c r="J23" s="339">
        <f>VLOOKUP($A23,'6. Mesures_ Budget_ Maximaliste'!$A$4:$W$32,9,0)</f>
        <v>18180000</v>
      </c>
      <c r="K23" s="339">
        <f>VLOOKUP($A23,'6. Mesures_ Budget_ Maximaliste'!$A$4:$W$32,10,0)</f>
        <v>309301.20269724925</v>
      </c>
      <c r="L23" s="339">
        <f>VLOOKUP($A23,'6. Mesures_ Budget_ Maximaliste'!$A$4:$W$32,11,0)</f>
        <v>867903.60809174762</v>
      </c>
      <c r="M23" s="339">
        <f>VLOOKUP($A23,'6. Mesures_ Budget_ Maximaliste'!$A$4:$W$32,12,0)</f>
        <v>0</v>
      </c>
      <c r="N23" s="339">
        <f>VLOOKUP($A23,'6. Mesures_ Budget_ Maximaliste'!$A$4:$W$32,13,0)</f>
        <v>0</v>
      </c>
      <c r="O23" s="339">
        <f>VLOOKUP($A23,'6. Mesures_ Budget_ Maximaliste'!$A$4:$W$32,14,0)</f>
        <v>0</v>
      </c>
      <c r="P23" s="339">
        <f>VLOOKUP($A23,'6. Mesures_ Budget_ Maximaliste'!$A$4:$W$32,15,0)</f>
        <v>0</v>
      </c>
      <c r="Q23" s="339">
        <f>VLOOKUP($A23,'6. Mesures_ Budget_ Maximaliste'!$A$4:$W$32,16,0)</f>
        <v>0</v>
      </c>
      <c r="R23" s="339">
        <f>VLOOKUP($A23,'6. Mesures_ Budget_ Maximaliste'!$A$4:$W$32,17,0)</f>
        <v>0</v>
      </c>
      <c r="S23" s="339">
        <f>VLOOKUP($A23,'6. Mesures_ Budget_ Maximaliste'!$A$4:$W$32,18,0)</f>
        <v>0</v>
      </c>
      <c r="T23" s="339">
        <f>VLOOKUP($A23,'6. Mesures_ Budget_ Maximaliste'!$A$4:$W$32,19,0)</f>
        <v>0</v>
      </c>
      <c r="U23" s="339">
        <f>VLOOKUP($A23,'6. Mesures_ Budget_ Maximaliste'!$A$4:$W$32,20,0)</f>
        <v>0</v>
      </c>
      <c r="V23" s="339">
        <f>VLOOKUP($A23,'6. Mesures_ Budget_ Maximaliste'!$A$4:$W$32,21,0)</f>
        <v>0</v>
      </c>
      <c r="W23" s="339">
        <f>VLOOKUP($A23,'6. Mesures_ Budget_ Maximaliste'!$A$4:$W$32,22,0)</f>
        <v>0</v>
      </c>
      <c r="X23" s="339">
        <f>VLOOKUP($A23,'6. Mesures_ Budget_ Maximaliste'!$A$4:$W$32,23,0)</f>
        <v>0</v>
      </c>
      <c r="Y23" s="340">
        <f>VLOOKUP($A23,'6. Mesures_ Budget_ Maximaliste'!$A$4:$W$32,4,0)</f>
        <v>180000</v>
      </c>
      <c r="Z23" s="340">
        <f>VLOOKUP($A23,'6. Mesures_ Budget_ Maximaliste'!$A$4:$W$32,5,0)</f>
        <v>18180000</v>
      </c>
      <c r="AA23" s="340">
        <f>VLOOKUP($A23,'6. Mesures_ Budget_ Maximaliste'!$A$4:$W$32,6,0)</f>
        <v>309301.20269724925</v>
      </c>
      <c r="AB23" s="340">
        <f>VLOOKUP($A23,'6. Mesures_ Budget_ Maximaliste'!$A$4:$W$32,7,0)</f>
        <v>867903.60809174762</v>
      </c>
    </row>
    <row r="24" spans="1:28" ht="14.45" customHeight="1" x14ac:dyDescent="0.25">
      <c r="A24" s="334" t="s">
        <v>12</v>
      </c>
      <c r="B24" s="331" t="str">
        <f>VLOOKUP(A24,'1. Mesures'!$A$2:$B$116,2,0)</f>
        <v xml:space="preserve">Actualiser les normes de rejets des eaux usées </v>
      </c>
      <c r="C24" s="331" t="str">
        <f>"ACE"&amp;"-"&amp;VLOOKUP(A24,'6. Mesures_ Budget_ Maximaliste'!$A$4:$C$32,3,0)</f>
        <v>ACE-</v>
      </c>
      <c r="D24" s="337"/>
      <c r="E24" s="337"/>
      <c r="F24" s="337"/>
      <c r="G24" s="337"/>
      <c r="H24" s="338"/>
      <c r="I24" s="339">
        <f>VLOOKUP($A24,'6. Mesures_ Budget_ Maximaliste'!$A$4:$W$32,8,0)</f>
        <v>0</v>
      </c>
      <c r="J24" s="339">
        <f>VLOOKUP($A24,'6. Mesures_ Budget_ Maximaliste'!$A$4:$W$32,9,0)</f>
        <v>0</v>
      </c>
      <c r="K24" s="339">
        <f>VLOOKUP($A24,'6. Mesures_ Budget_ Maximaliste'!$A$4:$W$32,10,0)</f>
        <v>0</v>
      </c>
      <c r="L24" s="339">
        <f>VLOOKUP($A24,'6. Mesures_ Budget_ Maximaliste'!$A$4:$W$32,11,0)</f>
        <v>0</v>
      </c>
      <c r="M24" s="339">
        <f>VLOOKUP($A24,'6. Mesures_ Budget_ Maximaliste'!$A$4:$W$32,12,0)</f>
        <v>0</v>
      </c>
      <c r="N24" s="339">
        <f>VLOOKUP($A24,'6. Mesures_ Budget_ Maximaliste'!$A$4:$W$32,13,0)</f>
        <v>0</v>
      </c>
      <c r="O24" s="339">
        <f>VLOOKUP($A24,'6. Mesures_ Budget_ Maximaliste'!$A$4:$W$32,14,0)</f>
        <v>0</v>
      </c>
      <c r="P24" s="339">
        <f>VLOOKUP($A24,'6. Mesures_ Budget_ Maximaliste'!$A$4:$W$32,15,0)</f>
        <v>0</v>
      </c>
      <c r="Q24" s="339">
        <f>VLOOKUP($A24,'6. Mesures_ Budget_ Maximaliste'!$A$4:$W$32,16,0)</f>
        <v>0</v>
      </c>
      <c r="R24" s="339">
        <f>VLOOKUP($A24,'6. Mesures_ Budget_ Maximaliste'!$A$4:$W$32,17,0)</f>
        <v>0</v>
      </c>
      <c r="S24" s="339">
        <f>VLOOKUP($A24,'6. Mesures_ Budget_ Maximaliste'!$A$4:$W$32,18,0)</f>
        <v>0</v>
      </c>
      <c r="T24" s="339">
        <f>VLOOKUP($A24,'6. Mesures_ Budget_ Maximaliste'!$A$4:$W$32,19,0)</f>
        <v>0</v>
      </c>
      <c r="U24" s="339">
        <f>VLOOKUP($A24,'6. Mesures_ Budget_ Maximaliste'!$A$4:$W$32,20,0)</f>
        <v>0</v>
      </c>
      <c r="V24" s="339">
        <f>VLOOKUP($A24,'6. Mesures_ Budget_ Maximaliste'!$A$4:$W$32,21,0)</f>
        <v>0</v>
      </c>
      <c r="W24" s="339">
        <f>VLOOKUP($A24,'6. Mesures_ Budget_ Maximaliste'!$A$4:$W$32,22,0)</f>
        <v>0</v>
      </c>
      <c r="X24" s="339">
        <f>VLOOKUP($A24,'6. Mesures_ Budget_ Maximaliste'!$A$4:$W$32,23,0)</f>
        <v>0</v>
      </c>
      <c r="Y24" s="340">
        <f>VLOOKUP($A24,'6. Mesures_ Budget_ Maximaliste'!$A$4:$W$32,4,0)</f>
        <v>0</v>
      </c>
      <c r="Z24" s="340">
        <f>VLOOKUP($A24,'6. Mesures_ Budget_ Maximaliste'!$A$4:$W$32,5,0)</f>
        <v>0</v>
      </c>
      <c r="AA24" s="340">
        <f>VLOOKUP($A24,'6. Mesures_ Budget_ Maximaliste'!$A$4:$W$32,6,0)</f>
        <v>0</v>
      </c>
      <c r="AB24" s="340">
        <f>VLOOKUP($A24,'6. Mesures_ Budget_ Maximaliste'!$A$4:$W$32,7,0)</f>
        <v>0</v>
      </c>
    </row>
    <row r="25" spans="1:28" ht="29.1" customHeight="1" x14ac:dyDescent="0.25">
      <c r="A25" s="334" t="s">
        <v>14</v>
      </c>
      <c r="B25" s="331" t="str">
        <f>VLOOKUP(A25,'1. Mesures'!$A$2:$B$116,2,0)</f>
        <v xml:space="preserve">Mettre en œuvre à l’échelle régionale les règlements et plans d’actions visant des substances polluantes, émergentes ou non </v>
      </c>
      <c r="C25" s="331" t="str">
        <f>"ACE"&amp;"-"&amp;VLOOKUP(A25,'6. Mesures_ Budget_ Maximaliste'!$A$4:$C$32,3,0)</f>
        <v>ACE-</v>
      </c>
      <c r="D25" s="337"/>
      <c r="E25" s="337"/>
      <c r="F25" s="337"/>
      <c r="G25" s="337"/>
      <c r="H25" s="343"/>
      <c r="I25" s="339">
        <f>VLOOKUP($A25,'6. Mesures_ Budget_ Maximaliste'!$A$4:$W$32,8,0)</f>
        <v>0</v>
      </c>
      <c r="J25" s="339">
        <f>VLOOKUP($A25,'6. Mesures_ Budget_ Maximaliste'!$A$4:$W$32,9,0)</f>
        <v>0</v>
      </c>
      <c r="K25" s="339">
        <f>VLOOKUP($A25,'6. Mesures_ Budget_ Maximaliste'!$A$4:$W$32,10,0)</f>
        <v>0</v>
      </c>
      <c r="L25" s="339">
        <f>VLOOKUP($A25,'6. Mesures_ Budget_ Maximaliste'!$A$4:$W$32,11,0)</f>
        <v>0</v>
      </c>
      <c r="M25" s="339">
        <f>VLOOKUP($A25,'6. Mesures_ Budget_ Maximaliste'!$A$4:$W$32,12,0)</f>
        <v>0</v>
      </c>
      <c r="N25" s="339">
        <f>VLOOKUP($A25,'6. Mesures_ Budget_ Maximaliste'!$A$4:$W$32,13,0)</f>
        <v>0</v>
      </c>
      <c r="O25" s="339">
        <f>VLOOKUP($A25,'6. Mesures_ Budget_ Maximaliste'!$A$4:$W$32,14,0)</f>
        <v>0</v>
      </c>
      <c r="P25" s="339">
        <f>VLOOKUP($A25,'6. Mesures_ Budget_ Maximaliste'!$A$4:$W$32,15,0)</f>
        <v>0</v>
      </c>
      <c r="Q25" s="339">
        <f>VLOOKUP($A25,'6. Mesures_ Budget_ Maximaliste'!$A$4:$W$32,16,0)</f>
        <v>0</v>
      </c>
      <c r="R25" s="339">
        <f>VLOOKUP($A25,'6. Mesures_ Budget_ Maximaliste'!$A$4:$W$32,17,0)</f>
        <v>0</v>
      </c>
      <c r="S25" s="339">
        <f>VLOOKUP($A25,'6. Mesures_ Budget_ Maximaliste'!$A$4:$W$32,18,0)</f>
        <v>0</v>
      </c>
      <c r="T25" s="339">
        <f>VLOOKUP($A25,'6. Mesures_ Budget_ Maximaliste'!$A$4:$W$32,19,0)</f>
        <v>0</v>
      </c>
      <c r="U25" s="339">
        <f>VLOOKUP($A25,'6. Mesures_ Budget_ Maximaliste'!$A$4:$W$32,20,0)</f>
        <v>0</v>
      </c>
      <c r="V25" s="339">
        <f>VLOOKUP($A25,'6. Mesures_ Budget_ Maximaliste'!$A$4:$W$32,21,0)</f>
        <v>0</v>
      </c>
      <c r="W25" s="339">
        <f>VLOOKUP($A25,'6. Mesures_ Budget_ Maximaliste'!$A$4:$W$32,22,0)</f>
        <v>0</v>
      </c>
      <c r="X25" s="339">
        <f>VLOOKUP($A25,'6. Mesures_ Budget_ Maximaliste'!$A$4:$W$32,23,0)</f>
        <v>0</v>
      </c>
      <c r="Y25" s="340">
        <f>VLOOKUP($A25,'6. Mesures_ Budget_ Maximaliste'!$A$4:$W$32,4,0)</f>
        <v>0</v>
      </c>
      <c r="Z25" s="340">
        <f>VLOOKUP($A25,'6. Mesures_ Budget_ Maximaliste'!$A$4:$W$32,5,0)</f>
        <v>0</v>
      </c>
      <c r="AA25" s="340">
        <f>VLOOKUP($A25,'6. Mesures_ Budget_ Maximaliste'!$A$4:$W$32,6,0)</f>
        <v>0</v>
      </c>
      <c r="AB25" s="340">
        <f>VLOOKUP($A25,'6. Mesures_ Budget_ Maximaliste'!$A$4:$W$32,7,0)</f>
        <v>0</v>
      </c>
    </row>
    <row r="26" spans="1:28" ht="29.1" customHeight="1" x14ac:dyDescent="0.25">
      <c r="A26" s="334" t="s">
        <v>19</v>
      </c>
      <c r="B26" s="331" t="str">
        <f>VLOOKUP(A26,'1. Mesures'!$A$2:$B$116,2,0)</f>
        <v>Actualiser les objectifs de qualité des eaux de surface dans l’arrêté "NQE"</v>
      </c>
      <c r="C26" s="331" t="str">
        <f>"ACE"&amp;"-"&amp;VLOOKUP(A26,'6. Mesures_ Budget_ Maximaliste'!$A$4:$C$32,3,0)</f>
        <v>ACE-</v>
      </c>
      <c r="D26" s="337"/>
      <c r="E26" s="337"/>
      <c r="F26" s="337"/>
      <c r="G26" s="337"/>
      <c r="H26" s="343"/>
      <c r="I26" s="339">
        <f>VLOOKUP($A26,'6. Mesures_ Budget_ Maximaliste'!$A$4:$W$32,8,0)</f>
        <v>0</v>
      </c>
      <c r="J26" s="339">
        <f>VLOOKUP($A26,'6. Mesures_ Budget_ Maximaliste'!$A$4:$W$32,9,0)</f>
        <v>0</v>
      </c>
      <c r="K26" s="339">
        <f>VLOOKUP($A26,'6. Mesures_ Budget_ Maximaliste'!$A$4:$W$32,10,0)</f>
        <v>0</v>
      </c>
      <c r="L26" s="339">
        <f>VLOOKUP($A26,'6. Mesures_ Budget_ Maximaliste'!$A$4:$W$32,11,0)</f>
        <v>0</v>
      </c>
      <c r="M26" s="339">
        <f>VLOOKUP($A26,'6. Mesures_ Budget_ Maximaliste'!$A$4:$W$32,12,0)</f>
        <v>0</v>
      </c>
      <c r="N26" s="339">
        <f>VLOOKUP($A26,'6. Mesures_ Budget_ Maximaliste'!$A$4:$W$32,13,0)</f>
        <v>0</v>
      </c>
      <c r="O26" s="339">
        <f>VLOOKUP($A26,'6. Mesures_ Budget_ Maximaliste'!$A$4:$W$32,14,0)</f>
        <v>0</v>
      </c>
      <c r="P26" s="339">
        <f>VLOOKUP($A26,'6. Mesures_ Budget_ Maximaliste'!$A$4:$W$32,15,0)</f>
        <v>0</v>
      </c>
      <c r="Q26" s="339">
        <f>VLOOKUP($A26,'6. Mesures_ Budget_ Maximaliste'!$A$4:$W$32,16,0)</f>
        <v>0</v>
      </c>
      <c r="R26" s="339">
        <f>VLOOKUP($A26,'6. Mesures_ Budget_ Maximaliste'!$A$4:$W$32,17,0)</f>
        <v>0</v>
      </c>
      <c r="S26" s="339">
        <f>VLOOKUP($A26,'6. Mesures_ Budget_ Maximaliste'!$A$4:$W$32,18,0)</f>
        <v>0</v>
      </c>
      <c r="T26" s="339">
        <f>VLOOKUP($A26,'6. Mesures_ Budget_ Maximaliste'!$A$4:$W$32,19,0)</f>
        <v>0</v>
      </c>
      <c r="U26" s="339">
        <f>VLOOKUP($A26,'6. Mesures_ Budget_ Maximaliste'!$A$4:$W$32,20,0)</f>
        <v>0</v>
      </c>
      <c r="V26" s="339">
        <f>VLOOKUP($A26,'6. Mesures_ Budget_ Maximaliste'!$A$4:$W$32,21,0)</f>
        <v>0</v>
      </c>
      <c r="W26" s="339">
        <f>VLOOKUP($A26,'6. Mesures_ Budget_ Maximaliste'!$A$4:$W$32,22,0)</f>
        <v>0</v>
      </c>
      <c r="X26" s="339">
        <f>VLOOKUP($A26,'6. Mesures_ Budget_ Maximaliste'!$A$4:$W$32,23,0)</f>
        <v>0</v>
      </c>
      <c r="Y26" s="340">
        <f>VLOOKUP($A26,'6. Mesures_ Budget_ Maximaliste'!$A$4:$W$32,4,0)</f>
        <v>0</v>
      </c>
      <c r="Z26" s="340">
        <f>VLOOKUP($A26,'6. Mesures_ Budget_ Maximaliste'!$A$4:$W$32,5,0)</f>
        <v>0</v>
      </c>
      <c r="AA26" s="340">
        <f>VLOOKUP($A26,'6. Mesures_ Budget_ Maximaliste'!$A$4:$W$32,6,0)</f>
        <v>0</v>
      </c>
      <c r="AB26" s="340">
        <f>VLOOKUP($A26,'6. Mesures_ Budget_ Maximaliste'!$A$4:$W$32,7,0)</f>
        <v>0</v>
      </c>
    </row>
    <row r="27" spans="1:28" ht="29.1" customHeight="1" x14ac:dyDescent="0.25">
      <c r="A27" s="334" t="s">
        <v>20</v>
      </c>
      <c r="B27" s="331" t="str">
        <f>VLOOKUP(A27,'1. Mesures'!$A$2:$B$116,2,0)</f>
        <v>Mener des investigations et des actions ciblées pour les paramètres chimiques et physico-chimiques qui peuvent s’avérer problématiques pour les eaux de surface</v>
      </c>
      <c r="C27" s="331" t="str">
        <f>"ACE"&amp;"-"&amp;VLOOKUP(A27,'6. Mesures_ Budget_ Maximaliste'!$A$4:$C$32,3,0)</f>
        <v>ACE-</v>
      </c>
      <c r="D27" s="337"/>
      <c r="E27" s="337"/>
      <c r="F27" s="337"/>
      <c r="G27" s="337"/>
      <c r="H27" s="343"/>
      <c r="I27" s="339">
        <f>VLOOKUP($A27,'6. Mesures_ Budget_ Maximaliste'!$A$4:$W$32,8,0)</f>
        <v>0</v>
      </c>
      <c r="J27" s="339">
        <f>VLOOKUP($A27,'6. Mesures_ Budget_ Maximaliste'!$A$4:$W$32,9,0)</f>
        <v>0</v>
      </c>
      <c r="K27" s="339">
        <f>VLOOKUP($A27,'6. Mesures_ Budget_ Maximaliste'!$A$4:$W$32,10,0)</f>
        <v>0</v>
      </c>
      <c r="L27" s="339">
        <f>VLOOKUP($A27,'6. Mesures_ Budget_ Maximaliste'!$A$4:$W$32,11,0)</f>
        <v>0</v>
      </c>
      <c r="M27" s="339">
        <f>VLOOKUP($A27,'6. Mesures_ Budget_ Maximaliste'!$A$4:$W$32,12,0)</f>
        <v>0</v>
      </c>
      <c r="N27" s="339">
        <f>VLOOKUP($A27,'6. Mesures_ Budget_ Maximaliste'!$A$4:$W$32,13,0)</f>
        <v>0</v>
      </c>
      <c r="O27" s="339">
        <f>VLOOKUP($A27,'6. Mesures_ Budget_ Maximaliste'!$A$4:$W$32,14,0)</f>
        <v>0</v>
      </c>
      <c r="P27" s="339">
        <f>VLOOKUP($A27,'6. Mesures_ Budget_ Maximaliste'!$A$4:$W$32,15,0)</f>
        <v>0</v>
      </c>
      <c r="Q27" s="339">
        <f>VLOOKUP($A27,'6. Mesures_ Budget_ Maximaliste'!$A$4:$W$32,16,0)</f>
        <v>0</v>
      </c>
      <c r="R27" s="339">
        <f>VLOOKUP($A27,'6. Mesures_ Budget_ Maximaliste'!$A$4:$W$32,17,0)</f>
        <v>0</v>
      </c>
      <c r="S27" s="339">
        <f>VLOOKUP($A27,'6. Mesures_ Budget_ Maximaliste'!$A$4:$W$32,18,0)</f>
        <v>0</v>
      </c>
      <c r="T27" s="339">
        <f>VLOOKUP($A27,'6. Mesures_ Budget_ Maximaliste'!$A$4:$W$32,19,0)</f>
        <v>0</v>
      </c>
      <c r="U27" s="339">
        <f>VLOOKUP($A27,'6. Mesures_ Budget_ Maximaliste'!$A$4:$W$32,20,0)</f>
        <v>0</v>
      </c>
      <c r="V27" s="339">
        <f>VLOOKUP($A27,'6. Mesures_ Budget_ Maximaliste'!$A$4:$W$32,21,0)</f>
        <v>0</v>
      </c>
      <c r="W27" s="339">
        <f>VLOOKUP($A27,'6. Mesures_ Budget_ Maximaliste'!$A$4:$W$32,22,0)</f>
        <v>0</v>
      </c>
      <c r="X27" s="339">
        <f>VLOOKUP($A27,'6. Mesures_ Budget_ Maximaliste'!$A$4:$W$32,23,0)</f>
        <v>0</v>
      </c>
      <c r="Y27" s="340">
        <f>VLOOKUP($A27,'6. Mesures_ Budget_ Maximaliste'!$A$4:$W$32,4,0)</f>
        <v>0</v>
      </c>
      <c r="Z27" s="340">
        <f>VLOOKUP($A27,'6. Mesures_ Budget_ Maximaliste'!$A$4:$W$32,5,0)</f>
        <v>0</v>
      </c>
      <c r="AA27" s="340">
        <f>VLOOKUP($A27,'6. Mesures_ Budget_ Maximaliste'!$A$4:$W$32,6,0)</f>
        <v>0</v>
      </c>
      <c r="AB27" s="340">
        <f>VLOOKUP($A27,'6. Mesures_ Budget_ Maximaliste'!$A$4:$W$32,7,0)</f>
        <v>0</v>
      </c>
    </row>
    <row r="28" spans="1:28" ht="57.6" customHeight="1" x14ac:dyDescent="0.25">
      <c r="A28" s="334" t="s">
        <v>24</v>
      </c>
      <c r="B28" s="331" t="str">
        <f>VLOOKUP(A28,'1. Mesures'!$A$2:$B$116,2,0)</f>
        <v>Développer un modèle de qualité physico-chimique de la Senne pour déterminer les objectifs réalisables à long terme pour cette masse d’eau</v>
      </c>
      <c r="C28" s="331" t="str">
        <f>"ACE"&amp;"-"&amp;VLOOKUP(A28,'6. Mesures_ Budget_ Maximaliste'!$A$4:$C$32,3,0)</f>
        <v>ACE-</v>
      </c>
      <c r="D28" s="337"/>
      <c r="E28" s="337"/>
      <c r="F28" s="337"/>
      <c r="G28" s="337"/>
      <c r="H28" s="343"/>
      <c r="I28" s="339">
        <f>VLOOKUP($A28,'6. Mesures_ Budget_ Maximaliste'!$A$4:$W$32,8,0)</f>
        <v>0</v>
      </c>
      <c r="J28" s="339">
        <f>VLOOKUP($A28,'6. Mesures_ Budget_ Maximaliste'!$A$4:$W$32,9,0)</f>
        <v>0</v>
      </c>
      <c r="K28" s="339">
        <f>VLOOKUP($A28,'6. Mesures_ Budget_ Maximaliste'!$A$4:$W$32,10,0)</f>
        <v>0</v>
      </c>
      <c r="L28" s="339">
        <f>VLOOKUP($A28,'6. Mesures_ Budget_ Maximaliste'!$A$4:$W$32,11,0)</f>
        <v>0</v>
      </c>
      <c r="M28" s="339">
        <f>VLOOKUP($A28,'6. Mesures_ Budget_ Maximaliste'!$A$4:$W$32,12,0)</f>
        <v>0</v>
      </c>
      <c r="N28" s="339">
        <f>VLOOKUP($A28,'6. Mesures_ Budget_ Maximaliste'!$A$4:$W$32,13,0)</f>
        <v>0</v>
      </c>
      <c r="O28" s="339">
        <f>VLOOKUP($A28,'6. Mesures_ Budget_ Maximaliste'!$A$4:$W$32,14,0)</f>
        <v>0</v>
      </c>
      <c r="P28" s="339">
        <f>VLOOKUP($A28,'6. Mesures_ Budget_ Maximaliste'!$A$4:$W$32,15,0)</f>
        <v>0</v>
      </c>
      <c r="Q28" s="339">
        <f>VLOOKUP($A28,'6. Mesures_ Budget_ Maximaliste'!$A$4:$W$32,16,0)</f>
        <v>0</v>
      </c>
      <c r="R28" s="339">
        <f>VLOOKUP($A28,'6. Mesures_ Budget_ Maximaliste'!$A$4:$W$32,17,0)</f>
        <v>0</v>
      </c>
      <c r="S28" s="339">
        <f>VLOOKUP($A28,'6. Mesures_ Budget_ Maximaliste'!$A$4:$W$32,18,0)</f>
        <v>0</v>
      </c>
      <c r="T28" s="339">
        <f>VLOOKUP($A28,'6. Mesures_ Budget_ Maximaliste'!$A$4:$W$32,19,0)</f>
        <v>0</v>
      </c>
      <c r="U28" s="339">
        <f>VLOOKUP($A28,'6. Mesures_ Budget_ Maximaliste'!$A$4:$W$32,20,0)</f>
        <v>0</v>
      </c>
      <c r="V28" s="339">
        <f>VLOOKUP($A28,'6. Mesures_ Budget_ Maximaliste'!$A$4:$W$32,21,0)</f>
        <v>0</v>
      </c>
      <c r="W28" s="339">
        <f>VLOOKUP($A28,'6. Mesures_ Budget_ Maximaliste'!$A$4:$W$32,22,0)</f>
        <v>0</v>
      </c>
      <c r="X28" s="339">
        <f>VLOOKUP($A28,'6. Mesures_ Budget_ Maximaliste'!$A$4:$W$32,23,0)</f>
        <v>0</v>
      </c>
      <c r="Y28" s="340">
        <f>VLOOKUP($A28,'6. Mesures_ Budget_ Maximaliste'!$A$4:$W$32,4,0)</f>
        <v>0</v>
      </c>
      <c r="Z28" s="340">
        <f>VLOOKUP($A28,'6. Mesures_ Budget_ Maximaliste'!$A$4:$W$32,5,0)</f>
        <v>0</v>
      </c>
      <c r="AA28" s="340">
        <f>VLOOKUP($A28,'6. Mesures_ Budget_ Maximaliste'!$A$4:$W$32,6,0)</f>
        <v>0</v>
      </c>
      <c r="AB28" s="340">
        <f>VLOOKUP($A28,'6. Mesures_ Budget_ Maximaliste'!$A$4:$W$32,7,0)</f>
        <v>0</v>
      </c>
    </row>
    <row r="29" spans="1:28" ht="29.1" customHeight="1" x14ac:dyDescent="0.25">
      <c r="A29" s="330" t="s">
        <v>38</v>
      </c>
      <c r="B29" s="331" t="str">
        <f>VLOOKUP(A29,'1. Mesures'!$A$2:$B$116,2,0)</f>
        <v xml:space="preserve">Rénover et étendre le réseau d'assainissement afin de réduire les concentrations en nitrates d’origine non agricole </v>
      </c>
      <c r="C29" s="331" t="str">
        <f>"ACE"&amp;"-"&amp;VLOOKUP(A29,'6. Mesures_ Budget_ Maximaliste'!$A$4:$C$32,3,0)</f>
        <v>ACE-CV</v>
      </c>
      <c r="D29" s="337">
        <f>15300000*0.45+((H29-15300000)*0.05/3)</f>
        <v>12791280</v>
      </c>
      <c r="E29" s="337">
        <f>15300000*0.1+((H29-15300000)*0.05/3)</f>
        <v>7436280</v>
      </c>
      <c r="F29" s="337">
        <f>15300000*0.45+((H29-15300000)*0.05/3)</f>
        <v>12791280</v>
      </c>
      <c r="G29" s="337">
        <f>(H29-15300000)*0.95</f>
        <v>336657960</v>
      </c>
      <c r="H29" s="338">
        <v>369676800</v>
      </c>
      <c r="I29" s="339">
        <f>VLOOKUP($A29,'6. Mesures_ Budget_ Maximaliste'!$A$4:$W$32,8,0)</f>
        <v>0</v>
      </c>
      <c r="J29" s="339">
        <f>VLOOKUP($A29,'6. Mesures_ Budget_ Maximaliste'!$A$4:$W$32,9,0)</f>
        <v>0</v>
      </c>
      <c r="K29" s="339">
        <f>VLOOKUP($A29,'6. Mesures_ Budget_ Maximaliste'!$A$4:$W$32,10,0)</f>
        <v>0</v>
      </c>
      <c r="L29" s="339">
        <f>VLOOKUP($A29,'6. Mesures_ Budget_ Maximaliste'!$A$4:$W$32,11,0)</f>
        <v>0</v>
      </c>
      <c r="M29" s="339">
        <f>VLOOKUP($A29,'6. Mesures_ Budget_ Maximaliste'!$A$4:$W$32,12,0)</f>
        <v>0</v>
      </c>
      <c r="N29" s="339">
        <f>VLOOKUP($A29,'6. Mesures_ Budget_ Maximaliste'!$A$4:$W$32,13,0)</f>
        <v>0</v>
      </c>
      <c r="O29" s="339">
        <f>VLOOKUP($A29,'6. Mesures_ Budget_ Maximaliste'!$A$4:$W$32,14,0)</f>
        <v>0</v>
      </c>
      <c r="P29" s="339">
        <f>VLOOKUP($A29,'6. Mesures_ Budget_ Maximaliste'!$A$4:$W$32,15,0)</f>
        <v>0</v>
      </c>
      <c r="Q29" s="339">
        <f>VLOOKUP($A29,'6. Mesures_ Budget_ Maximaliste'!$A$4:$W$32,16,0)</f>
        <v>0</v>
      </c>
      <c r="R29" s="339">
        <f>VLOOKUP($A29,'6. Mesures_ Budget_ Maximaliste'!$A$4:$W$32,17,0)</f>
        <v>0</v>
      </c>
      <c r="S29" s="339">
        <f>VLOOKUP($A29,'6. Mesures_ Budget_ Maximaliste'!$A$4:$W$32,18,0)</f>
        <v>0</v>
      </c>
      <c r="T29" s="339">
        <f>VLOOKUP($A29,'6. Mesures_ Budget_ Maximaliste'!$A$4:$W$32,19,0)</f>
        <v>0</v>
      </c>
      <c r="U29" s="339">
        <f>VLOOKUP($A29,'6. Mesures_ Budget_ Maximaliste'!$A$4:$W$32,20,0)</f>
        <v>1317000000</v>
      </c>
      <c r="V29" s="339">
        <f>VLOOKUP($A29,'6. Mesures_ Budget_ Maximaliste'!$A$4:$W$32,21,0)</f>
        <v>1842000000</v>
      </c>
      <c r="W29" s="339">
        <f>VLOOKUP($A29,'6. Mesures_ Budget_ Maximaliste'!$A$4:$W$32,22,0)</f>
        <v>138275267.82581198</v>
      </c>
      <c r="X29" s="339">
        <f>VLOOKUP($A29,'6. Mesures_ Budget_ Maximaliste'!$A$4:$W$32,23,0)</f>
        <v>193285374.95613676</v>
      </c>
      <c r="Y29" s="340">
        <f>VLOOKUP($A29,'6. Mesures_ Budget_ Maximaliste'!$A$4:$W$32,4,0)</f>
        <v>1317000000</v>
      </c>
      <c r="Z29" s="340">
        <f>VLOOKUP($A29,'6. Mesures_ Budget_ Maximaliste'!$A$4:$W$32,5,0)</f>
        <v>1842000000</v>
      </c>
      <c r="AA29" s="340">
        <f>VLOOKUP($A29,'6. Mesures_ Budget_ Maximaliste'!$A$4:$W$32,6,0)</f>
        <v>138275267.82581198</v>
      </c>
      <c r="AB29" s="340">
        <f>VLOOKUP($A29,'6. Mesures_ Budget_ Maximaliste'!$A$4:$W$32,7,0)</f>
        <v>193285374.95613676</v>
      </c>
    </row>
    <row r="30" spans="1:28" ht="39" x14ac:dyDescent="0.25">
      <c r="A30" s="330" t="s">
        <v>65</v>
      </c>
      <c r="B30" s="331" t="str">
        <f>VLOOKUP(A30,'1. Mesures'!$A$2:$B$116,2,0)</f>
        <v>Assurer le traitement des eaux résiduaires urbaines conformément à la directive 91/271/CEE et reprise de l’ensemble des ouvrages d’épuration par le secteur public</v>
      </c>
      <c r="C30" s="331" t="str">
        <f>"ACE"&amp;"-"&amp;VLOOKUP(A30,'6. Mesures_ Budget_ Maximaliste'!$A$4:$C$32,3,0)</f>
        <v>ACE-CV</v>
      </c>
      <c r="D30" s="337">
        <f>H30</f>
        <v>310800000</v>
      </c>
      <c r="E30" s="337"/>
      <c r="F30" s="337"/>
      <c r="G30" s="337"/>
      <c r="H30" s="342">
        <v>310800000</v>
      </c>
      <c r="I30" s="339">
        <f>VLOOKUP($A30,'6. Mesures_ Budget_ Maximaliste'!$A$4:$W$32,8,0)</f>
        <v>0</v>
      </c>
      <c r="J30" s="339">
        <f>VLOOKUP($A30,'6. Mesures_ Budget_ Maximaliste'!$A$4:$W$32,9,0)</f>
        <v>0</v>
      </c>
      <c r="K30" s="339">
        <f>VLOOKUP($A30,'6. Mesures_ Budget_ Maximaliste'!$A$4:$W$32,10,0)</f>
        <v>0</v>
      </c>
      <c r="L30" s="339">
        <f>VLOOKUP($A30,'6. Mesures_ Budget_ Maximaliste'!$A$4:$W$32,11,0)</f>
        <v>0</v>
      </c>
      <c r="M30" s="339">
        <f>VLOOKUP($A30,'6. Mesures_ Budget_ Maximaliste'!$A$4:$W$32,12,0)</f>
        <v>0</v>
      </c>
      <c r="N30" s="339">
        <f>VLOOKUP($A30,'6. Mesures_ Budget_ Maximaliste'!$A$4:$W$32,13,0)</f>
        <v>0</v>
      </c>
      <c r="O30" s="339">
        <f>VLOOKUP($A30,'6. Mesures_ Budget_ Maximaliste'!$A$4:$W$32,14,0)</f>
        <v>0</v>
      </c>
      <c r="P30" s="339">
        <f>VLOOKUP($A30,'6. Mesures_ Budget_ Maximaliste'!$A$4:$W$32,15,0)</f>
        <v>0</v>
      </c>
      <c r="Q30" s="339">
        <f>VLOOKUP($A30,'6. Mesures_ Budget_ Maximaliste'!$A$4:$W$32,16,0)</f>
        <v>0</v>
      </c>
      <c r="R30" s="339">
        <f>VLOOKUP($A30,'6. Mesures_ Budget_ Maximaliste'!$A$4:$W$32,17,0)</f>
        <v>0</v>
      </c>
      <c r="S30" s="339">
        <f>VLOOKUP($A30,'6. Mesures_ Budget_ Maximaliste'!$A$4:$W$32,18,0)</f>
        <v>0</v>
      </c>
      <c r="T30" s="339">
        <f>VLOOKUP($A30,'6. Mesures_ Budget_ Maximaliste'!$A$4:$W$32,19,0)</f>
        <v>0</v>
      </c>
      <c r="U30" s="339">
        <f>VLOOKUP($A30,'6. Mesures_ Budget_ Maximaliste'!$A$4:$W$32,20,0)</f>
        <v>0</v>
      </c>
      <c r="V30" s="339">
        <f>VLOOKUP($A30,'6. Mesures_ Budget_ Maximaliste'!$A$4:$W$32,21,0)</f>
        <v>0</v>
      </c>
      <c r="W30" s="339">
        <f>VLOOKUP($A30,'6. Mesures_ Budget_ Maximaliste'!$A$4:$W$32,22,0)</f>
        <v>0</v>
      </c>
      <c r="X30" s="339">
        <f>VLOOKUP($A30,'6. Mesures_ Budget_ Maximaliste'!$A$4:$W$32,23,0)</f>
        <v>0</v>
      </c>
      <c r="Y30" s="340">
        <f>VLOOKUP($A30,'6. Mesures_ Budget_ Maximaliste'!$A$4:$W$32,4,0)</f>
        <v>0</v>
      </c>
      <c r="Z30" s="340">
        <f>VLOOKUP($A30,'6. Mesures_ Budget_ Maximaliste'!$A$4:$W$32,5,0)</f>
        <v>0</v>
      </c>
      <c r="AA30" s="340">
        <f>VLOOKUP($A30,'6. Mesures_ Budget_ Maximaliste'!$A$4:$W$32,6,0)</f>
        <v>0</v>
      </c>
      <c r="AB30" s="340">
        <f>VLOOKUP($A30,'6. Mesures_ Budget_ Maximaliste'!$A$4:$W$32,7,0)</f>
        <v>0</v>
      </c>
    </row>
    <row r="31" spans="1:28" ht="39" x14ac:dyDescent="0.25">
      <c r="A31" s="330" t="s">
        <v>79</v>
      </c>
      <c r="B31" s="331" t="str">
        <f>VLOOKUP(A31,'1. Mesures'!$A$2:$B$116,2,0)</f>
        <v>Mettre en œuvre la GiEP dans l'espace public et privé, ainsi que les autres mesures de résilience climatique liées à la gestion de l’eau</v>
      </c>
      <c r="C31" s="331" t="str">
        <f>"ACE"&amp;"-"&amp;VLOOKUP(A31,'6. Mesures_ Budget_ Maximaliste'!$A$4:$C$32,3,0)</f>
        <v>ACE-PP</v>
      </c>
      <c r="D31" s="337">
        <f>0.67*H31</f>
        <v>670000</v>
      </c>
      <c r="E31" s="337">
        <f>0.28*H31</f>
        <v>280000</v>
      </c>
      <c r="F31" s="337">
        <f>0.05*H31</f>
        <v>50000</v>
      </c>
      <c r="G31" s="337"/>
      <c r="H31" s="342">
        <v>1000000</v>
      </c>
      <c r="I31" s="339">
        <f>VLOOKUP($A31,'6. Mesures_ Budget_ Maximaliste'!$A$4:$W$32,8,0)</f>
        <v>613612800</v>
      </c>
      <c r="J31" s="339">
        <f>VLOOKUP($A31,'6. Mesures_ Budget_ Maximaliste'!$A$4:$W$32,9,0)</f>
        <v>647112800</v>
      </c>
      <c r="K31" s="339">
        <f>VLOOKUP($A31,'6. Mesures_ Budget_ Maximaliste'!$A$4:$W$32,10,0)</f>
        <v>39265487.786493875</v>
      </c>
      <c r="L31" s="339">
        <f>VLOOKUP($A31,'6. Mesures_ Budget_ Maximaliste'!$A$4:$W$32,11,0)</f>
        <v>41202796.107471533</v>
      </c>
      <c r="M31" s="339">
        <f>VLOOKUP($A31,'6. Mesures_ Budget_ Maximaliste'!$A$4:$W$32,12,0)</f>
        <v>325861545.49449217</v>
      </c>
      <c r="N31" s="339">
        <f>VLOOKUP($A31,'6. Mesures_ Budget_ Maximaliste'!$A$4:$W$32,13,0)</f>
        <v>339861545.49449217</v>
      </c>
      <c r="O31" s="339">
        <f>VLOOKUP($A31,'6. Mesures_ Budget_ Maximaliste'!$A$4:$W$32,14,0)</f>
        <v>16409457.582415352</v>
      </c>
      <c r="P31" s="339">
        <f>VLOOKUP($A31,'6. Mesures_ Budget_ Maximaliste'!$A$4:$W$32,15,0)</f>
        <v>17219078.970286615</v>
      </c>
      <c r="Q31" s="339">
        <f>VLOOKUP($A31,'6. Mesures_ Budget_ Maximaliste'!$A$4:$W$32,16,0)</f>
        <v>9158400</v>
      </c>
      <c r="R31" s="339">
        <f>VLOOKUP($A31,'6. Mesures_ Budget_ Maximaliste'!$A$4:$W$32,17,0)</f>
        <v>9658400</v>
      </c>
      <c r="S31" s="339">
        <f>VLOOKUP($A31,'6. Mesures_ Budget_ Maximaliste'!$A$4:$W$32,18,0)</f>
        <v>586052.05651483394</v>
      </c>
      <c r="T31" s="339">
        <f>VLOOKUP($A31,'6. Mesures_ Budget_ Maximaliste'!$A$4:$W$32,19,0)</f>
        <v>614967.10608166468</v>
      </c>
      <c r="U31" s="339">
        <f>VLOOKUP($A31,'6. Mesures_ Budget_ Maximaliste'!$A$4:$W$32,20,0)</f>
        <v>0</v>
      </c>
      <c r="V31" s="339">
        <f>VLOOKUP($A31,'6. Mesures_ Budget_ Maximaliste'!$A$4:$W$32,21,0)</f>
        <v>0</v>
      </c>
      <c r="W31" s="339">
        <f>VLOOKUP($A31,'6. Mesures_ Budget_ Maximaliste'!$A$4:$W$32,22,0)</f>
        <v>0</v>
      </c>
      <c r="X31" s="339">
        <f>VLOOKUP($A31,'6. Mesures_ Budget_ Maximaliste'!$A$4:$W$32,23,0)</f>
        <v>0</v>
      </c>
      <c r="Y31" s="340">
        <f>VLOOKUP($A31,'6. Mesures_ Budget_ Maximaliste'!$A$4:$W$32,4,0)</f>
        <v>948632745.49449217</v>
      </c>
      <c r="Z31" s="340">
        <f>VLOOKUP($A31,'6. Mesures_ Budget_ Maximaliste'!$A$4:$W$32,5,0)</f>
        <v>996632745.49449217</v>
      </c>
      <c r="AA31" s="340">
        <f>VLOOKUP($A31,'6. Mesures_ Budget_ Maximaliste'!$A$4:$W$32,6,0)</f>
        <v>56260997.425424062</v>
      </c>
      <c r="AB31" s="340">
        <f>VLOOKUP($A31,'6. Mesures_ Budget_ Maximaliste'!$A$4:$W$32,7,0)</f>
        <v>59036842.183839813</v>
      </c>
    </row>
    <row r="32" spans="1:28" x14ac:dyDescent="0.25">
      <c r="A32" s="335" t="s">
        <v>394</v>
      </c>
      <c r="B32" s="336"/>
      <c r="C32" s="46"/>
      <c r="D32" s="344">
        <f>SUM(D3:D31)</f>
        <v>351113189.33333331</v>
      </c>
      <c r="E32" s="344">
        <f t="shared" ref="E32:G32" si="0">SUM(E3:E31)</f>
        <v>14138697.333333332</v>
      </c>
      <c r="F32" s="344">
        <f t="shared" si="0"/>
        <v>28247733.333333336</v>
      </c>
      <c r="G32" s="344">
        <f t="shared" si="0"/>
        <v>336657960</v>
      </c>
      <c r="H32" s="345">
        <f>SUM(H3:H31)</f>
        <v>730157580</v>
      </c>
      <c r="I32" s="346">
        <f t="shared" ref="I32:AB32" si="1">SUM(I3:I31)</f>
        <v>1361047800</v>
      </c>
      <c r="J32" s="346">
        <f t="shared" si="1"/>
        <v>1755887800</v>
      </c>
      <c r="K32" s="346">
        <f t="shared" si="1"/>
        <v>105592220.78079578</v>
      </c>
      <c r="L32" s="346">
        <f t="shared" si="1"/>
        <v>125939535.39422438</v>
      </c>
      <c r="M32" s="346">
        <f t="shared" si="1"/>
        <v>536661545.49449217</v>
      </c>
      <c r="N32" s="346">
        <f t="shared" si="1"/>
        <v>670661545.49449217</v>
      </c>
      <c r="O32" s="346">
        <f t="shared" si="1"/>
        <v>26237360.782314114</v>
      </c>
      <c r="P32" s="346">
        <f t="shared" si="1"/>
        <v>32950869.334120817</v>
      </c>
      <c r="Q32" s="346">
        <f t="shared" si="1"/>
        <v>203071400</v>
      </c>
      <c r="R32" s="346">
        <f t="shared" si="1"/>
        <v>354871400</v>
      </c>
      <c r="S32" s="346">
        <f t="shared" si="1"/>
        <v>13278011.606348295</v>
      </c>
      <c r="T32" s="346">
        <f t="shared" si="1"/>
        <v>21183305.812674705</v>
      </c>
      <c r="U32" s="346">
        <f t="shared" si="1"/>
        <v>1317000000</v>
      </c>
      <c r="V32" s="346">
        <f t="shared" si="1"/>
        <v>1842000000</v>
      </c>
      <c r="W32" s="346">
        <f t="shared" si="1"/>
        <v>138275267.82581198</v>
      </c>
      <c r="X32" s="346">
        <f t="shared" si="1"/>
        <v>193285374.95613676</v>
      </c>
      <c r="Y32" s="346">
        <f t="shared" si="1"/>
        <v>3417780745.4944921</v>
      </c>
      <c r="Z32" s="346">
        <f t="shared" si="1"/>
        <v>4623420745.4944925</v>
      </c>
      <c r="AA32" s="346">
        <f t="shared" si="1"/>
        <v>283382860.99527013</v>
      </c>
      <c r="AB32" s="346">
        <f t="shared" si="1"/>
        <v>373359085.49715662</v>
      </c>
    </row>
    <row r="33" spans="1:8" x14ac:dyDescent="0.25">
      <c r="H33" s="7"/>
    </row>
    <row r="34" spans="1:8" x14ac:dyDescent="0.25">
      <c r="A34" s="154"/>
    </row>
    <row r="35" spans="1:8" x14ac:dyDescent="0.25">
      <c r="A35" s="155"/>
    </row>
    <row r="67" spans="3:3" x14ac:dyDescent="0.25">
      <c r="C67" s="554"/>
    </row>
  </sheetData>
  <autoFilter ref="A2:AB32" xr:uid="{00000000-0009-0000-0000-000005000000}"/>
  <customSheetViews>
    <customSheetView guid="{EF54F107-4E56-41C4-B59A-31FB3D27216D}">
      <selection activeCell="G37" sqref="G37"/>
      <pageMargins left="0.7" right="0.7" top="0.75" bottom="0.75" header="0.3" footer="0.3"/>
    </customSheetView>
  </customSheetViews>
  <mergeCells count="2">
    <mergeCell ref="D1:H1"/>
    <mergeCell ref="I1:AB1"/>
  </mergeCells>
  <conditionalFormatting sqref="D3:G31">
    <cfRule type="cellIs" dxfId="35" priority="1" operator="greaterThan">
      <formula>10000000</formula>
    </cfRule>
    <cfRule type="cellIs" dxfId="34" priority="2" operator="between">
      <formula>1000000</formula>
      <formula>10000000</formula>
    </cfRule>
    <cfRule type="cellIs" dxfId="33" priority="3" operator="lessThan">
      <formula>1000000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5">
    <tabColor theme="6"/>
    <outlinePr summaryBelow="0"/>
    <pageSetUpPr fitToPage="1"/>
  </sheetPr>
  <dimension ref="A1:AK215"/>
  <sheetViews>
    <sheetView showGridLines="0" zoomScale="55" zoomScaleNormal="55" workbookViewId="0">
      <selection activeCell="L4" sqref="L4"/>
    </sheetView>
  </sheetViews>
  <sheetFormatPr baseColWidth="10" defaultColWidth="10.85546875" defaultRowHeight="15" outlineLevelRow="2" x14ac:dyDescent="0.25"/>
  <cols>
    <col min="1" max="1" width="10.42578125" customWidth="1"/>
    <col min="2" max="2" width="11.7109375" customWidth="1"/>
    <col min="3" max="3" width="68" customWidth="1"/>
    <col min="4" max="4" width="16.140625" bestFit="1" customWidth="1"/>
    <col min="5" max="5" width="18.28515625" customWidth="1"/>
    <col min="6" max="6" width="21.140625" style="69" customWidth="1"/>
    <col min="12" max="12" width="6" bestFit="1" customWidth="1"/>
    <col min="14" max="15" width="26.5703125" bestFit="1" customWidth="1"/>
    <col min="33" max="33" width="9.140625" customWidth="1"/>
    <col min="34" max="34" width="8.85546875" customWidth="1"/>
    <col min="35" max="35" width="8.5703125" customWidth="1"/>
    <col min="36" max="36" width="8.140625" customWidth="1"/>
    <col min="37" max="37" width="9.85546875" customWidth="1"/>
  </cols>
  <sheetData>
    <row r="1" spans="1:37" ht="20.25" x14ac:dyDescent="0.3">
      <c r="G1" s="560" t="s">
        <v>498</v>
      </c>
      <c r="H1" s="561"/>
      <c r="I1" s="561"/>
      <c r="J1" s="561"/>
      <c r="K1" s="561"/>
      <c r="L1" s="561"/>
      <c r="M1" s="561"/>
      <c r="N1" s="561"/>
      <c r="O1" s="561"/>
      <c r="P1" s="561"/>
      <c r="Q1" s="561"/>
      <c r="R1" s="561"/>
      <c r="S1" s="561"/>
      <c r="T1" s="561"/>
      <c r="U1" s="561"/>
      <c r="V1" s="561"/>
      <c r="W1" s="561"/>
      <c r="X1" s="561"/>
      <c r="Y1" s="561"/>
      <c r="Z1" s="561"/>
      <c r="AA1" s="561"/>
      <c r="AB1" s="561"/>
      <c r="AC1" s="561"/>
      <c r="AD1" s="561"/>
      <c r="AE1" s="561"/>
      <c r="AF1" s="561"/>
      <c r="AG1" s="561"/>
      <c r="AH1" s="561"/>
      <c r="AI1" s="561"/>
      <c r="AJ1" s="561"/>
      <c r="AK1" s="561"/>
    </row>
    <row r="2" spans="1:37" x14ac:dyDescent="0.25">
      <c r="G2" s="564" t="s">
        <v>2594</v>
      </c>
      <c r="H2" s="565"/>
      <c r="I2" s="565"/>
      <c r="J2" s="565"/>
      <c r="K2" s="565"/>
      <c r="L2" s="565"/>
      <c r="M2" s="565"/>
      <c r="N2" s="565"/>
      <c r="O2" s="565"/>
      <c r="P2" s="565"/>
      <c r="Q2" s="565"/>
      <c r="R2" s="565"/>
      <c r="S2" s="565"/>
      <c r="T2" s="565"/>
      <c r="U2" s="565"/>
      <c r="V2" s="566"/>
      <c r="W2" s="324"/>
      <c r="X2" s="56"/>
      <c r="Y2" s="56"/>
      <c r="Z2" s="56"/>
      <c r="AA2" s="56"/>
      <c r="AB2" s="56"/>
      <c r="AC2" s="56"/>
      <c r="AD2" s="325"/>
      <c r="AE2" s="56"/>
      <c r="AF2" s="56"/>
      <c r="AG2" s="325"/>
      <c r="AH2" s="56"/>
      <c r="AI2" s="56"/>
      <c r="AJ2" s="56"/>
      <c r="AK2" s="56"/>
    </row>
    <row r="3" spans="1:37" ht="31.5" customHeight="1" x14ac:dyDescent="0.25">
      <c r="G3" s="567" t="s">
        <v>1540</v>
      </c>
      <c r="H3" s="567"/>
      <c r="I3" s="567"/>
      <c r="J3" s="567"/>
      <c r="K3" s="568"/>
      <c r="L3" s="385" t="s">
        <v>1541</v>
      </c>
      <c r="M3" s="569" t="s">
        <v>2597</v>
      </c>
      <c r="N3" s="570"/>
      <c r="O3" s="380"/>
      <c r="P3" s="380" t="s">
        <v>1543</v>
      </c>
      <c r="Q3" s="381"/>
      <c r="R3" s="571" t="s">
        <v>2593</v>
      </c>
      <c r="S3" s="572"/>
      <c r="T3" s="572"/>
      <c r="U3" s="572"/>
      <c r="V3" s="573"/>
      <c r="W3" s="574" t="s">
        <v>1537</v>
      </c>
      <c r="X3" s="574"/>
      <c r="Y3" s="574"/>
      <c r="Z3" s="574"/>
      <c r="AA3" s="574"/>
      <c r="AB3" s="574"/>
      <c r="AC3" s="575"/>
      <c r="AD3" s="576" t="s">
        <v>1538</v>
      </c>
      <c r="AE3" s="577"/>
      <c r="AF3" s="577"/>
      <c r="AG3" s="562" t="s">
        <v>1539</v>
      </c>
      <c r="AH3" s="563"/>
      <c r="AI3" s="563"/>
      <c r="AJ3" s="563"/>
      <c r="AK3" s="563"/>
    </row>
    <row r="4" spans="1:37" ht="177.75" customHeight="1" x14ac:dyDescent="0.25">
      <c r="G4" s="163" t="s">
        <v>1545</v>
      </c>
      <c r="H4" s="163" t="s">
        <v>1546</v>
      </c>
      <c r="I4" s="164" t="s">
        <v>1547</v>
      </c>
      <c r="J4" s="164" t="s">
        <v>1548</v>
      </c>
      <c r="K4" s="165" t="s">
        <v>1549</v>
      </c>
      <c r="L4" s="166" t="s">
        <v>1616</v>
      </c>
      <c r="M4" s="167" t="s">
        <v>1550</v>
      </c>
      <c r="N4" s="168" t="s">
        <v>1551</v>
      </c>
      <c r="O4" s="169" t="s">
        <v>1552</v>
      </c>
      <c r="P4" s="169" t="s">
        <v>1553</v>
      </c>
      <c r="Q4" s="170" t="s">
        <v>1554</v>
      </c>
      <c r="R4" s="60" t="s">
        <v>1555</v>
      </c>
      <c r="S4" s="171" t="s">
        <v>1556</v>
      </c>
      <c r="T4" s="171" t="s">
        <v>1557</v>
      </c>
      <c r="U4" s="171" t="s">
        <v>1558</v>
      </c>
      <c r="V4" s="172" t="s">
        <v>1559</v>
      </c>
      <c r="W4" s="382" t="s">
        <v>1560</v>
      </c>
      <c r="X4" s="173" t="s">
        <v>1561</v>
      </c>
      <c r="Y4" s="173" t="s">
        <v>1562</v>
      </c>
      <c r="Z4" s="173" t="s">
        <v>1563</v>
      </c>
      <c r="AA4" s="173" t="s">
        <v>1564</v>
      </c>
      <c r="AB4" s="174" t="s">
        <v>1565</v>
      </c>
      <c r="AC4" s="175" t="s">
        <v>1566</v>
      </c>
      <c r="AD4" s="383" t="s">
        <v>1567</v>
      </c>
      <c r="AE4" s="176" t="s">
        <v>1568</v>
      </c>
      <c r="AF4" s="176" t="s">
        <v>1569</v>
      </c>
      <c r="AG4" s="177" t="s">
        <v>514</v>
      </c>
      <c r="AH4" s="176" t="s">
        <v>1570</v>
      </c>
      <c r="AI4" s="176" t="s">
        <v>1571</v>
      </c>
      <c r="AJ4" s="176" t="s">
        <v>1572</v>
      </c>
      <c r="AK4" s="176" t="s">
        <v>1573</v>
      </c>
    </row>
    <row r="5" spans="1:37" x14ac:dyDescent="0.25">
      <c r="A5" s="16" t="s">
        <v>412</v>
      </c>
      <c r="B5" s="16" t="s">
        <v>413</v>
      </c>
      <c r="C5" s="16" t="s">
        <v>1519</v>
      </c>
      <c r="D5" s="16" t="s">
        <v>1500</v>
      </c>
      <c r="E5" s="16" t="s">
        <v>1501</v>
      </c>
      <c r="F5" s="16" t="s">
        <v>492</v>
      </c>
      <c r="G5" s="214">
        <v>-0.5</v>
      </c>
      <c r="H5" s="214">
        <v>0.5</v>
      </c>
      <c r="I5" s="215">
        <v>0</v>
      </c>
      <c r="J5" s="215">
        <v>0.6</v>
      </c>
      <c r="K5" s="216">
        <v>0.6</v>
      </c>
      <c r="L5" s="217" t="s">
        <v>1574</v>
      </c>
      <c r="M5" s="218" t="s">
        <v>1575</v>
      </c>
      <c r="N5" s="219">
        <v>7</v>
      </c>
      <c r="O5" s="220">
        <v>6</v>
      </c>
      <c r="P5" s="220">
        <v>6</v>
      </c>
      <c r="Q5" s="221">
        <v>4</v>
      </c>
      <c r="R5" s="222">
        <v>6</v>
      </c>
      <c r="S5" s="222">
        <v>6</v>
      </c>
      <c r="T5" s="222">
        <v>6</v>
      </c>
      <c r="U5" s="223" t="s">
        <v>1576</v>
      </c>
      <c r="V5" s="224">
        <v>8</v>
      </c>
      <c r="W5" s="225"/>
      <c r="X5" s="225"/>
      <c r="Y5" s="225"/>
      <c r="Z5" s="225"/>
      <c r="AA5" s="225"/>
      <c r="AB5" s="226"/>
      <c r="AC5" s="227"/>
      <c r="AD5" s="228"/>
      <c r="AE5" s="228"/>
      <c r="AF5" s="228"/>
      <c r="AG5" s="228"/>
      <c r="AH5" s="228"/>
      <c r="AI5" s="228"/>
      <c r="AJ5" s="228"/>
      <c r="AK5" s="228"/>
    </row>
    <row r="6" spans="1:37" x14ac:dyDescent="0.25">
      <c r="A6" s="157" t="s">
        <v>0</v>
      </c>
      <c r="B6" s="63"/>
      <c r="C6" s="156" t="s">
        <v>238</v>
      </c>
      <c r="D6" s="63"/>
      <c r="E6" s="63"/>
      <c r="F6" s="72">
        <f>SUM(F7:F15)</f>
        <v>6120000</v>
      </c>
      <c r="G6" s="507">
        <f>VLOOKUP($A6,'7. PGE_Efficacité'!$A$6:$AO$268,11,0)</f>
        <v>0</v>
      </c>
      <c r="H6" s="507">
        <f>VLOOKUP($A6,'7. PGE_Efficacité'!$A$6:$AO$268,12,0)</f>
        <v>0</v>
      </c>
      <c r="I6" s="507">
        <f>VLOOKUP($A6,'7. PGE_Efficacité'!$A$6:$AO$268,13,0)</f>
        <v>0</v>
      </c>
      <c r="J6" s="507">
        <f>VLOOKUP($A6,'7. PGE_Efficacité'!$A$6:$AO$268,14,0)</f>
        <v>0</v>
      </c>
      <c r="K6" s="507">
        <f>VLOOKUP($A6,'7. PGE_Efficacité'!$A$6:$AO$268,15,0)</f>
        <v>0</v>
      </c>
      <c r="L6" s="507">
        <f>VLOOKUP($A6,'7. PGE_Efficacité'!$A$6:$AO$268,16,0)</f>
        <v>0</v>
      </c>
      <c r="M6" s="507">
        <f>VLOOKUP($A6,'7. PGE_Efficacité'!$A$6:$AO$268,17,0)</f>
        <v>0</v>
      </c>
      <c r="N6" s="507">
        <f>VLOOKUP($A6,'7. PGE_Efficacité'!$A$6:$AO$268,18,0)</f>
        <v>0</v>
      </c>
      <c r="O6" s="507">
        <f>VLOOKUP($A6,'7. PGE_Efficacité'!$A$6:$AO$268,19,0)</f>
        <v>0</v>
      </c>
      <c r="P6" s="507">
        <f>VLOOKUP($A6,'7. PGE_Efficacité'!$A$6:$AO$268,20,0)</f>
        <v>0</v>
      </c>
      <c r="Q6" s="507">
        <f>VLOOKUP($A6,'7. PGE_Efficacité'!$A$6:$AO$268,21,0)</f>
        <v>0</v>
      </c>
      <c r="R6" s="507">
        <f>VLOOKUP($A6,'7. PGE_Efficacité'!$A$6:$AO$268,22,0)</f>
        <v>0</v>
      </c>
      <c r="S6" s="507">
        <f>VLOOKUP($A6,'7. PGE_Efficacité'!$A$6:$AO$268,23,0)</f>
        <v>0</v>
      </c>
      <c r="T6" s="507">
        <f>VLOOKUP($A6,'7. PGE_Efficacité'!$A$6:$AO$268,24,0)</f>
        <v>0</v>
      </c>
      <c r="U6" s="507">
        <f>VLOOKUP($A6,'7. PGE_Efficacité'!$A$6:$AO$268,25,0)</f>
        <v>0</v>
      </c>
      <c r="V6" s="507">
        <f>VLOOKUP($A6,'7. PGE_Efficacité'!$A$6:$AO$268,26,0)</f>
        <v>0</v>
      </c>
      <c r="W6" s="507">
        <f>VLOOKUP($A6,'7. PGE_Efficacité'!$A$6:$AO$268,27,0)</f>
        <v>0</v>
      </c>
      <c r="X6" s="507">
        <f>VLOOKUP($A6,'7. PGE_Efficacité'!$A$6:$AO$268,28,0)</f>
        <v>0</v>
      </c>
      <c r="Y6" s="507">
        <f>VLOOKUP($A6,'7. PGE_Efficacité'!$A$6:$AO$268,29,0)</f>
        <v>0</v>
      </c>
      <c r="Z6" s="507">
        <f>VLOOKUP($A6,'7. PGE_Efficacité'!$A$6:$AO$268,30,0)</f>
        <v>0</v>
      </c>
      <c r="AA6" s="507">
        <f>VLOOKUP($A6,'7. PGE_Efficacité'!$A$6:$AO$268,31,0)</f>
        <v>0</v>
      </c>
      <c r="AB6" s="507" t="str">
        <f>VLOOKUP($A6,'7. PGE_Efficacité'!$A$6:$AO$268,32,0)</f>
        <v>+</v>
      </c>
      <c r="AC6" s="507">
        <f>VLOOKUP($A6,'7. PGE_Efficacité'!$A$6:$AO$268,33,0)</f>
        <v>0</v>
      </c>
      <c r="AD6" s="507" t="str">
        <f>VLOOKUP($A6,'7. PGE_Efficacité'!$A$6:$AO$268,34,0)</f>
        <v>+++</v>
      </c>
      <c r="AE6" s="507" t="str">
        <f>VLOOKUP($A6,'7. PGE_Efficacité'!$A$6:$AO$268,35,0)</f>
        <v>+++</v>
      </c>
      <c r="AF6" s="507" t="str">
        <f>VLOOKUP($A6,'7. PGE_Efficacité'!$A$6:$AO$268,36,0)</f>
        <v>+++</v>
      </c>
      <c r="AG6" s="507">
        <f>VLOOKUP($A6,'7. PGE_Efficacité'!$A$6:$AO$268,37,0)</f>
        <v>0</v>
      </c>
      <c r="AH6" s="507" t="str">
        <f>VLOOKUP($A6,'7. PGE_Efficacité'!$A$6:$AO$268,38,0)</f>
        <v>++</v>
      </c>
      <c r="AI6" s="507" t="str">
        <f>VLOOKUP($A6,'7. PGE_Efficacité'!$A$6:$AO$268,39,0)</f>
        <v>+++</v>
      </c>
      <c r="AJ6" s="507" t="str">
        <f>VLOOKUP($A6,'7. PGE_Efficacité'!$A$6:$AO$268,40,0)</f>
        <v>+++</v>
      </c>
      <c r="AK6" s="507" t="str">
        <f>VLOOKUP($A6,'7. PGE_Efficacité'!$A$6:$AO$268,41,0)</f>
        <v>+++</v>
      </c>
    </row>
    <row r="7" spans="1:37" outlineLevel="1" x14ac:dyDescent="0.25">
      <c r="A7" s="65" t="s">
        <v>0</v>
      </c>
      <c r="B7" s="65" t="s">
        <v>636</v>
      </c>
      <c r="C7" s="65" t="s">
        <v>1291</v>
      </c>
      <c r="D7" s="65" t="s">
        <v>1520</v>
      </c>
      <c r="E7" s="65" t="s">
        <v>415</v>
      </c>
      <c r="F7" s="73">
        <v>100000</v>
      </c>
      <c r="G7" s="64">
        <f>VLOOKUP($B7,'7. PGE_Efficacité'!$A$6:$AO$268,11,0)</f>
        <v>0</v>
      </c>
      <c r="H7" s="64">
        <f>VLOOKUP($B7,'7. PGE_Efficacité'!$A$6:$AO$268,12,0)</f>
        <v>0</v>
      </c>
      <c r="I7" s="64">
        <f>VLOOKUP($B7,'7. PGE_Efficacité'!$A$6:$AO$268,13,0)</f>
        <v>0</v>
      </c>
      <c r="J7" s="64">
        <f>VLOOKUP($B7,'7. PGE_Efficacité'!$A$6:$AO$268,14,0)</f>
        <v>0</v>
      </c>
      <c r="K7" s="64">
        <f>VLOOKUP($B7,'7. PGE_Efficacité'!$A$6:$AO$268,15,0)</f>
        <v>0</v>
      </c>
      <c r="L7" s="64">
        <f>VLOOKUP($B7,'7. PGE_Efficacité'!$A$6:$AO$268,16,0)</f>
        <v>0</v>
      </c>
      <c r="M7" s="64">
        <f>VLOOKUP($B7,'7. PGE_Efficacité'!$A$6:$AO$268,17,0)</f>
        <v>0</v>
      </c>
      <c r="N7" s="64">
        <f>VLOOKUP($B7,'7. PGE_Efficacité'!$A$6:$AO$268,18,0)</f>
        <v>0</v>
      </c>
      <c r="O7" s="64">
        <f>VLOOKUP($B7,'7. PGE_Efficacité'!$A$6:$AO$268,19,0)</f>
        <v>0</v>
      </c>
      <c r="P7" s="64">
        <f>VLOOKUP($B7,'7. PGE_Efficacité'!$A$6:$AO$268,20,0)</f>
        <v>0</v>
      </c>
      <c r="Q7" s="64">
        <f>VLOOKUP($B7,'7. PGE_Efficacité'!$A$6:$AO$268,21,0)</f>
        <v>0</v>
      </c>
      <c r="R7" s="64">
        <f>VLOOKUP($B7,'7. PGE_Efficacité'!$A$6:$AO$268,22,0)</f>
        <v>0</v>
      </c>
      <c r="S7" s="64">
        <f>VLOOKUP($B7,'7. PGE_Efficacité'!$A$6:$AO$268,23,0)</f>
        <v>0</v>
      </c>
      <c r="T7" s="64">
        <f>VLOOKUP($B7,'7. PGE_Efficacité'!$A$6:$AO$268,24,0)</f>
        <v>0</v>
      </c>
      <c r="U7" s="64">
        <f>VLOOKUP($B7,'7. PGE_Efficacité'!$A$6:$AO$268,25,0)</f>
        <v>0</v>
      </c>
      <c r="V7" s="64">
        <f>VLOOKUP($B7,'7. PGE_Efficacité'!$A$6:$AO$268,26,0)</f>
        <v>0</v>
      </c>
      <c r="W7" s="61">
        <f>VLOOKUP($B7,'7. PGE_Efficacité'!$A$6:$AO$268,27,0)</f>
        <v>0</v>
      </c>
      <c r="X7" s="61">
        <f>VLOOKUP($B7,'7. PGE_Efficacité'!$A$6:$AO$268,28,0)</f>
        <v>0</v>
      </c>
      <c r="Y7" s="61">
        <f>VLOOKUP($B7,'7. PGE_Efficacité'!$A$6:$AO$268,29,0)</f>
        <v>0</v>
      </c>
      <c r="Z7" s="61">
        <f>VLOOKUP($B7,'7. PGE_Efficacité'!$A$6:$AO$268,30,0)</f>
        <v>0</v>
      </c>
      <c r="AA7" s="61">
        <f>VLOOKUP($B7,'7. PGE_Efficacité'!$A$6:$AO$268,31,0)</f>
        <v>0</v>
      </c>
      <c r="AB7" s="61">
        <f>VLOOKUP($B7,'7. PGE_Efficacité'!$A$6:$AO$268,32,0)</f>
        <v>0</v>
      </c>
      <c r="AC7" s="61">
        <f>VLOOKUP($B7,'7. PGE_Efficacité'!$A$6:$AO$268,33,0)</f>
        <v>0</v>
      </c>
      <c r="AD7" s="61">
        <f>VLOOKUP($B7,'7. PGE_Efficacité'!$A$6:$AO$268,34,0)</f>
        <v>0</v>
      </c>
      <c r="AE7" s="61">
        <f>VLOOKUP($B7,'7. PGE_Efficacité'!$A$6:$AO$268,35,0)</f>
        <v>0</v>
      </c>
      <c r="AF7" s="61">
        <f>VLOOKUP($B7,'7. PGE_Efficacité'!$A$6:$AO$268,36,0)</f>
        <v>0</v>
      </c>
      <c r="AG7" s="61">
        <f>VLOOKUP($B7,'7. PGE_Efficacité'!$A$6:$AO$268,37,0)</f>
        <v>0</v>
      </c>
      <c r="AH7" s="61">
        <f>VLOOKUP($B7,'7. PGE_Efficacité'!$A$6:$AO$268,38,0)</f>
        <v>0</v>
      </c>
      <c r="AI7" s="61">
        <f>VLOOKUP($B7,'7. PGE_Efficacité'!$A$6:$AO$268,39,0)</f>
        <v>0</v>
      </c>
      <c r="AJ7" s="61">
        <f>VLOOKUP($B7,'7. PGE_Efficacité'!$A$6:$AO$268,40,0)</f>
        <v>0</v>
      </c>
      <c r="AK7" s="61">
        <f>VLOOKUP($B7,'7. PGE_Efficacité'!$A$6:$AO$268,41,0)</f>
        <v>0</v>
      </c>
    </row>
    <row r="8" spans="1:37" outlineLevel="1" x14ac:dyDescent="0.25">
      <c r="A8" s="65" t="s">
        <v>0</v>
      </c>
      <c r="B8" s="65" t="s">
        <v>640</v>
      </c>
      <c r="C8" s="65" t="s">
        <v>1291</v>
      </c>
      <c r="D8" s="65" t="s">
        <v>1520</v>
      </c>
      <c r="E8" s="65" t="s">
        <v>415</v>
      </c>
      <c r="F8" s="73">
        <v>3700000</v>
      </c>
      <c r="G8" s="64">
        <f>VLOOKUP($B8,'7. PGE_Efficacité'!$A$6:$AO$268,11,0)</f>
        <v>0</v>
      </c>
      <c r="H8" s="64">
        <f>VLOOKUP($B8,'7. PGE_Efficacité'!$A$6:$AO$268,12,0)</f>
        <v>0</v>
      </c>
      <c r="I8" s="64">
        <f>VLOOKUP($B8,'7. PGE_Efficacité'!$A$6:$AO$268,13,0)</f>
        <v>0</v>
      </c>
      <c r="J8" s="64">
        <f>VLOOKUP($B8,'7. PGE_Efficacité'!$A$6:$AO$268,14,0)</f>
        <v>0</v>
      </c>
      <c r="K8" s="64">
        <f>VLOOKUP($B8,'7. PGE_Efficacité'!$A$6:$AO$268,15,0)</f>
        <v>0</v>
      </c>
      <c r="L8" s="64">
        <f>VLOOKUP($B8,'7. PGE_Efficacité'!$A$6:$AO$268,16,0)</f>
        <v>0</v>
      </c>
      <c r="M8" s="64">
        <f>VLOOKUP($B8,'7. PGE_Efficacité'!$A$6:$AO$268,17,0)</f>
        <v>0</v>
      </c>
      <c r="N8" s="64">
        <f>VLOOKUP($B8,'7. PGE_Efficacité'!$A$6:$AO$268,18,0)</f>
        <v>0</v>
      </c>
      <c r="O8" s="64">
        <f>VLOOKUP($B8,'7. PGE_Efficacité'!$A$6:$AO$268,19,0)</f>
        <v>0</v>
      </c>
      <c r="P8" s="64">
        <f>VLOOKUP($B8,'7. PGE_Efficacité'!$A$6:$AO$268,20,0)</f>
        <v>0</v>
      </c>
      <c r="Q8" s="64">
        <f>VLOOKUP($B8,'7. PGE_Efficacité'!$A$6:$AO$268,21,0)</f>
        <v>0</v>
      </c>
      <c r="R8" s="64">
        <f>VLOOKUP($B8,'7. PGE_Efficacité'!$A$6:$AO$268,22,0)</f>
        <v>0</v>
      </c>
      <c r="S8" s="64">
        <f>VLOOKUP($B8,'7. PGE_Efficacité'!$A$6:$AO$268,23,0)</f>
        <v>0</v>
      </c>
      <c r="T8" s="64">
        <f>VLOOKUP($B8,'7. PGE_Efficacité'!$A$6:$AO$268,24,0)</f>
        <v>0</v>
      </c>
      <c r="U8" s="64">
        <f>VLOOKUP($B8,'7. PGE_Efficacité'!$A$6:$AO$268,25,0)</f>
        <v>0</v>
      </c>
      <c r="V8" s="64">
        <f>VLOOKUP($B8,'7. PGE_Efficacité'!$A$6:$AO$268,26,0)</f>
        <v>0</v>
      </c>
      <c r="W8" s="61">
        <f>VLOOKUP($B8,'7. PGE_Efficacité'!$A$6:$AO$268,27,0)</f>
        <v>0</v>
      </c>
      <c r="X8" s="61">
        <f>VLOOKUP($B8,'7. PGE_Efficacité'!$A$6:$AO$268,28,0)</f>
        <v>0</v>
      </c>
      <c r="Y8" s="61">
        <f>VLOOKUP($B8,'7. PGE_Efficacité'!$A$6:$AO$268,29,0)</f>
        <v>0</v>
      </c>
      <c r="Z8" s="61">
        <f>VLOOKUP($B8,'7. PGE_Efficacité'!$A$6:$AO$268,30,0)</f>
        <v>0</v>
      </c>
      <c r="AA8" s="61">
        <f>VLOOKUP($B8,'7. PGE_Efficacité'!$A$6:$AO$268,31,0)</f>
        <v>0</v>
      </c>
      <c r="AB8" s="61">
        <f>VLOOKUP($B8,'7. PGE_Efficacité'!$A$6:$AO$268,32,0)</f>
        <v>0</v>
      </c>
      <c r="AC8" s="61">
        <f>VLOOKUP($B8,'7. PGE_Efficacité'!$A$6:$AO$268,33,0)</f>
        <v>0</v>
      </c>
      <c r="AD8" s="61" t="str">
        <f>VLOOKUP($B8,'7. PGE_Efficacité'!$A$6:$AO$268,34,0)</f>
        <v>++</v>
      </c>
      <c r="AE8" s="61" t="str">
        <f>VLOOKUP($B8,'7. PGE_Efficacité'!$A$6:$AO$268,35,0)</f>
        <v>++</v>
      </c>
      <c r="AF8" s="61" t="str">
        <f>VLOOKUP($B8,'7. PGE_Efficacité'!$A$6:$AO$268,36,0)</f>
        <v>++</v>
      </c>
      <c r="AG8" s="61">
        <f>VLOOKUP($B8,'7. PGE_Efficacité'!$A$6:$AO$268,37,0)</f>
        <v>0</v>
      </c>
      <c r="AH8" s="61">
        <f>VLOOKUP($B8,'7. PGE_Efficacité'!$A$6:$AO$268,38,0)</f>
        <v>0</v>
      </c>
      <c r="AI8" s="61">
        <f>VLOOKUP($B8,'7. PGE_Efficacité'!$A$6:$AO$268,39,0)</f>
        <v>0</v>
      </c>
      <c r="AJ8" s="61">
        <f>VLOOKUP($B8,'7. PGE_Efficacité'!$A$6:$AO$268,40,0)</f>
        <v>0</v>
      </c>
      <c r="AK8" s="61">
        <f>VLOOKUP($B8,'7. PGE_Efficacité'!$A$6:$AO$268,41,0)</f>
        <v>0</v>
      </c>
    </row>
    <row r="9" spans="1:37" outlineLevel="1" x14ac:dyDescent="0.25">
      <c r="A9" s="65" t="s">
        <v>0</v>
      </c>
      <c r="B9" s="65" t="s">
        <v>641</v>
      </c>
      <c r="C9" s="65" t="s">
        <v>1302</v>
      </c>
      <c r="D9" s="65" t="s">
        <v>1520</v>
      </c>
      <c r="E9" s="65" t="s">
        <v>415</v>
      </c>
      <c r="F9" s="73">
        <v>100000</v>
      </c>
      <c r="G9" s="64">
        <f>VLOOKUP($B9,'7. PGE_Efficacité'!$A$6:$AO$268,11,0)</f>
        <v>0</v>
      </c>
      <c r="H9" s="64">
        <f>VLOOKUP($B9,'7. PGE_Efficacité'!$A$6:$AO$268,12,0)</f>
        <v>0</v>
      </c>
      <c r="I9" s="64">
        <f>VLOOKUP($B9,'7. PGE_Efficacité'!$A$6:$AO$268,13,0)</f>
        <v>0</v>
      </c>
      <c r="J9" s="64">
        <f>VLOOKUP($B9,'7. PGE_Efficacité'!$A$6:$AO$268,14,0)</f>
        <v>0</v>
      </c>
      <c r="K9" s="64">
        <f>VLOOKUP($B9,'7. PGE_Efficacité'!$A$6:$AO$268,15,0)</f>
        <v>0</v>
      </c>
      <c r="L9" s="64">
        <f>VLOOKUP($B9,'7. PGE_Efficacité'!$A$6:$AO$268,16,0)</f>
        <v>0</v>
      </c>
      <c r="M9" s="64">
        <f>VLOOKUP($B9,'7. PGE_Efficacité'!$A$6:$AO$268,17,0)</f>
        <v>0</v>
      </c>
      <c r="N9" s="64">
        <f>VLOOKUP($B9,'7. PGE_Efficacité'!$A$6:$AO$268,18,0)</f>
        <v>0</v>
      </c>
      <c r="O9" s="64">
        <f>VLOOKUP($B9,'7. PGE_Efficacité'!$A$6:$AO$268,19,0)</f>
        <v>0</v>
      </c>
      <c r="P9" s="64">
        <f>VLOOKUP($B9,'7. PGE_Efficacité'!$A$6:$AO$268,20,0)</f>
        <v>0</v>
      </c>
      <c r="Q9" s="64">
        <f>VLOOKUP($B9,'7. PGE_Efficacité'!$A$6:$AO$268,21,0)</f>
        <v>0</v>
      </c>
      <c r="R9" s="64">
        <f>VLOOKUP($B9,'7. PGE_Efficacité'!$A$6:$AO$268,22,0)</f>
        <v>0</v>
      </c>
      <c r="S9" s="64">
        <f>VLOOKUP($B9,'7. PGE_Efficacité'!$A$6:$AO$268,23,0)</f>
        <v>0</v>
      </c>
      <c r="T9" s="64">
        <f>VLOOKUP($B9,'7. PGE_Efficacité'!$A$6:$AO$268,24,0)</f>
        <v>0</v>
      </c>
      <c r="U9" s="64">
        <f>VLOOKUP($B9,'7. PGE_Efficacité'!$A$6:$AO$268,25,0)</f>
        <v>0</v>
      </c>
      <c r="V9" s="64">
        <f>VLOOKUP($B9,'7. PGE_Efficacité'!$A$6:$AO$268,26,0)</f>
        <v>0</v>
      </c>
      <c r="W9" s="61">
        <f>VLOOKUP($B9,'7. PGE_Efficacité'!$A$6:$AO$268,27,0)</f>
        <v>0</v>
      </c>
      <c r="X9" s="61">
        <f>VLOOKUP($B9,'7. PGE_Efficacité'!$A$6:$AO$268,28,0)</f>
        <v>0</v>
      </c>
      <c r="Y9" s="61">
        <f>VLOOKUP($B9,'7. PGE_Efficacité'!$A$6:$AO$268,29,0)</f>
        <v>0</v>
      </c>
      <c r="Z9" s="61">
        <f>VLOOKUP($B9,'7. PGE_Efficacité'!$A$6:$AO$268,30,0)</f>
        <v>0</v>
      </c>
      <c r="AA9" s="61">
        <f>VLOOKUP($B9,'7. PGE_Efficacité'!$A$6:$AO$268,31,0)</f>
        <v>0</v>
      </c>
      <c r="AB9" s="61">
        <f>VLOOKUP($B9,'7. PGE_Efficacité'!$A$6:$AO$268,32,0)</f>
        <v>0</v>
      </c>
      <c r="AC9" s="61">
        <f>VLOOKUP($B9,'7. PGE_Efficacité'!$A$6:$AO$268,33,0)</f>
        <v>0</v>
      </c>
      <c r="AD9" s="61">
        <f>VLOOKUP($B9,'7. PGE_Efficacité'!$A$6:$AO$268,34,0)</f>
        <v>0</v>
      </c>
      <c r="AE9" s="61">
        <f>VLOOKUP($B9,'7. PGE_Efficacité'!$A$6:$AO$268,35,0)</f>
        <v>0</v>
      </c>
      <c r="AF9" s="61">
        <f>VLOOKUP($B9,'7. PGE_Efficacité'!$A$6:$AO$268,36,0)</f>
        <v>0</v>
      </c>
      <c r="AG9" s="61">
        <f>VLOOKUP($B9,'7. PGE_Efficacité'!$A$6:$AO$268,37,0)</f>
        <v>0</v>
      </c>
      <c r="AH9" s="61">
        <f>VLOOKUP($B9,'7. PGE_Efficacité'!$A$6:$AO$268,38,0)</f>
        <v>0</v>
      </c>
      <c r="AI9" s="61">
        <f>VLOOKUP($B9,'7. PGE_Efficacité'!$A$6:$AO$268,39,0)</f>
        <v>0</v>
      </c>
      <c r="AJ9" s="61">
        <f>VLOOKUP($B9,'7. PGE_Efficacité'!$A$6:$AO$268,40,0)</f>
        <v>0</v>
      </c>
      <c r="AK9" s="61">
        <f>VLOOKUP($B9,'7. PGE_Efficacité'!$A$6:$AO$268,41,0)</f>
        <v>0</v>
      </c>
    </row>
    <row r="10" spans="1:37" outlineLevel="1" x14ac:dyDescent="0.25">
      <c r="A10" s="65" t="s">
        <v>0</v>
      </c>
      <c r="B10" s="65" t="s">
        <v>642</v>
      </c>
      <c r="C10" s="65" t="s">
        <v>1303</v>
      </c>
      <c r="D10" s="65" t="s">
        <v>1520</v>
      </c>
      <c r="E10" s="65" t="s">
        <v>415</v>
      </c>
      <c r="F10" s="73">
        <v>0</v>
      </c>
      <c r="G10" s="64">
        <f>VLOOKUP($B10,'7. PGE_Efficacité'!$A$6:$AO$268,11,0)</f>
        <v>0</v>
      </c>
      <c r="H10" s="64">
        <f>VLOOKUP($B10,'7. PGE_Efficacité'!$A$6:$AO$268,12,0)</f>
        <v>0</v>
      </c>
      <c r="I10" s="64">
        <f>VLOOKUP($B10,'7. PGE_Efficacité'!$A$6:$AO$268,13,0)</f>
        <v>0</v>
      </c>
      <c r="J10" s="64">
        <f>VLOOKUP($B10,'7. PGE_Efficacité'!$A$6:$AO$268,14,0)</f>
        <v>0</v>
      </c>
      <c r="K10" s="64">
        <f>VLOOKUP($B10,'7. PGE_Efficacité'!$A$6:$AO$268,15,0)</f>
        <v>0</v>
      </c>
      <c r="L10" s="64">
        <f>VLOOKUP($B10,'7. PGE_Efficacité'!$A$6:$AO$268,16,0)</f>
        <v>0</v>
      </c>
      <c r="M10" s="64">
        <f>VLOOKUP($B10,'7. PGE_Efficacité'!$A$6:$AO$268,17,0)</f>
        <v>0</v>
      </c>
      <c r="N10" s="64">
        <f>VLOOKUP($B10,'7. PGE_Efficacité'!$A$6:$AO$268,18,0)</f>
        <v>0</v>
      </c>
      <c r="O10" s="64">
        <f>VLOOKUP($B10,'7. PGE_Efficacité'!$A$6:$AO$268,19,0)</f>
        <v>0</v>
      </c>
      <c r="P10" s="64">
        <f>VLOOKUP($B10,'7. PGE_Efficacité'!$A$6:$AO$268,20,0)</f>
        <v>0</v>
      </c>
      <c r="Q10" s="64">
        <f>VLOOKUP($B10,'7. PGE_Efficacité'!$A$6:$AO$268,21,0)</f>
        <v>0</v>
      </c>
      <c r="R10" s="64">
        <f>VLOOKUP($B10,'7. PGE_Efficacité'!$A$6:$AO$268,22,0)</f>
        <v>0</v>
      </c>
      <c r="S10" s="64">
        <f>VLOOKUP($B10,'7. PGE_Efficacité'!$A$6:$AO$268,23,0)</f>
        <v>0</v>
      </c>
      <c r="T10" s="64">
        <f>VLOOKUP($B10,'7. PGE_Efficacité'!$A$6:$AO$268,24,0)</f>
        <v>0</v>
      </c>
      <c r="U10" s="64">
        <f>VLOOKUP($B10,'7. PGE_Efficacité'!$A$6:$AO$268,25,0)</f>
        <v>0</v>
      </c>
      <c r="V10" s="64">
        <f>VLOOKUP($B10,'7. PGE_Efficacité'!$A$6:$AO$268,26,0)</f>
        <v>0</v>
      </c>
      <c r="W10" s="61">
        <f>VLOOKUP($B10,'7. PGE_Efficacité'!$A$6:$AO$268,27,0)</f>
        <v>0</v>
      </c>
      <c r="X10" s="61">
        <f>VLOOKUP($B10,'7. PGE_Efficacité'!$A$6:$AO$268,28,0)</f>
        <v>0</v>
      </c>
      <c r="Y10" s="61">
        <f>VLOOKUP($B10,'7. PGE_Efficacité'!$A$6:$AO$268,29,0)</f>
        <v>0</v>
      </c>
      <c r="Z10" s="61">
        <f>VLOOKUP($B10,'7. PGE_Efficacité'!$A$6:$AO$268,30,0)</f>
        <v>0</v>
      </c>
      <c r="AA10" s="61">
        <f>VLOOKUP($B10,'7. PGE_Efficacité'!$A$6:$AO$268,31,0)</f>
        <v>0</v>
      </c>
      <c r="AB10" s="61">
        <f>VLOOKUP($B10,'7. PGE_Efficacité'!$A$6:$AO$268,32,0)</f>
        <v>0</v>
      </c>
      <c r="AC10" s="61">
        <f>VLOOKUP($B10,'7. PGE_Efficacité'!$A$6:$AO$268,33,0)</f>
        <v>0</v>
      </c>
      <c r="AD10" s="61" t="str">
        <f>VLOOKUP($B10,'7. PGE_Efficacité'!$A$6:$AO$268,34,0)</f>
        <v>+++</v>
      </c>
      <c r="AE10" s="61" t="str">
        <f>VLOOKUP($B10,'7. PGE_Efficacité'!$A$6:$AO$268,35,0)</f>
        <v>+++</v>
      </c>
      <c r="AF10" s="61" t="str">
        <f>VLOOKUP($B10,'7. PGE_Efficacité'!$A$6:$AO$268,36,0)</f>
        <v>+++</v>
      </c>
      <c r="AG10" s="61">
        <f>VLOOKUP($B10,'7. PGE_Efficacité'!$A$6:$AO$268,37,0)</f>
        <v>0</v>
      </c>
      <c r="AH10" s="61">
        <f>VLOOKUP($B10,'7. PGE_Efficacité'!$A$6:$AO$268,38,0)</f>
        <v>0</v>
      </c>
      <c r="AI10" s="61">
        <f>VLOOKUP($B10,'7. PGE_Efficacité'!$A$6:$AO$268,39,0)</f>
        <v>0</v>
      </c>
      <c r="AJ10" s="61">
        <f>VLOOKUP($B10,'7. PGE_Efficacité'!$A$6:$AO$268,40,0)</f>
        <v>0</v>
      </c>
      <c r="AK10" s="61">
        <f>VLOOKUP($B10,'7. PGE_Efficacité'!$A$6:$AO$268,41,0)</f>
        <v>0</v>
      </c>
    </row>
    <row r="11" spans="1:37" outlineLevel="1" x14ac:dyDescent="0.25">
      <c r="A11" s="65" t="s">
        <v>0</v>
      </c>
      <c r="B11" s="65" t="s">
        <v>643</v>
      </c>
      <c r="C11" s="65" t="s">
        <v>1304</v>
      </c>
      <c r="D11" s="65" t="s">
        <v>1520</v>
      </c>
      <c r="E11" s="65" t="s">
        <v>415</v>
      </c>
      <c r="F11" s="73">
        <v>50000</v>
      </c>
      <c r="G11" s="64">
        <f>VLOOKUP($B11,'7. PGE_Efficacité'!$A$6:$AO$268,11,0)</f>
        <v>0</v>
      </c>
      <c r="H11" s="64">
        <f>VLOOKUP($B11,'7. PGE_Efficacité'!$A$6:$AO$268,12,0)</f>
        <v>0</v>
      </c>
      <c r="I11" s="64">
        <f>VLOOKUP($B11,'7. PGE_Efficacité'!$A$6:$AO$268,13,0)</f>
        <v>0</v>
      </c>
      <c r="J11" s="64">
        <f>VLOOKUP($B11,'7. PGE_Efficacité'!$A$6:$AO$268,14,0)</f>
        <v>0</v>
      </c>
      <c r="K11" s="64">
        <f>VLOOKUP($B11,'7. PGE_Efficacité'!$A$6:$AO$268,15,0)</f>
        <v>0</v>
      </c>
      <c r="L11" s="64">
        <f>VLOOKUP($B11,'7. PGE_Efficacité'!$A$6:$AO$268,16,0)</f>
        <v>0</v>
      </c>
      <c r="M11" s="64">
        <f>VLOOKUP($B11,'7. PGE_Efficacité'!$A$6:$AO$268,17,0)</f>
        <v>0</v>
      </c>
      <c r="N11" s="64">
        <f>VLOOKUP($B11,'7. PGE_Efficacité'!$A$6:$AO$268,18,0)</f>
        <v>0</v>
      </c>
      <c r="O11" s="64">
        <f>VLOOKUP($B11,'7. PGE_Efficacité'!$A$6:$AO$268,19,0)</f>
        <v>0</v>
      </c>
      <c r="P11" s="64">
        <f>VLOOKUP($B11,'7. PGE_Efficacité'!$A$6:$AO$268,20,0)</f>
        <v>0</v>
      </c>
      <c r="Q11" s="64">
        <f>VLOOKUP($B11,'7. PGE_Efficacité'!$A$6:$AO$268,21,0)</f>
        <v>0</v>
      </c>
      <c r="R11" s="64">
        <f>VLOOKUP($B11,'7. PGE_Efficacité'!$A$6:$AO$268,22,0)</f>
        <v>0</v>
      </c>
      <c r="S11" s="64">
        <f>VLOOKUP($B11,'7. PGE_Efficacité'!$A$6:$AO$268,23,0)</f>
        <v>0</v>
      </c>
      <c r="T11" s="64">
        <f>VLOOKUP($B11,'7. PGE_Efficacité'!$A$6:$AO$268,24,0)</f>
        <v>0</v>
      </c>
      <c r="U11" s="64">
        <f>VLOOKUP($B11,'7. PGE_Efficacité'!$A$6:$AO$268,25,0)</f>
        <v>0</v>
      </c>
      <c r="V11" s="64">
        <f>VLOOKUP($B11,'7. PGE_Efficacité'!$A$6:$AO$268,26,0)</f>
        <v>0</v>
      </c>
      <c r="W11" s="61">
        <f>VLOOKUP($B11,'7. PGE_Efficacité'!$A$6:$AO$268,27,0)</f>
        <v>0</v>
      </c>
      <c r="X11" s="61">
        <f>VLOOKUP($B11,'7. PGE_Efficacité'!$A$6:$AO$268,28,0)</f>
        <v>0</v>
      </c>
      <c r="Y11" s="61">
        <f>VLOOKUP($B11,'7. PGE_Efficacité'!$A$6:$AO$268,29,0)</f>
        <v>0</v>
      </c>
      <c r="Z11" s="61">
        <f>VLOOKUP($B11,'7. PGE_Efficacité'!$A$6:$AO$268,30,0)</f>
        <v>0</v>
      </c>
      <c r="AA11" s="61">
        <f>VLOOKUP($B11,'7. PGE_Efficacité'!$A$6:$AO$268,31,0)</f>
        <v>0</v>
      </c>
      <c r="AB11" s="61">
        <f>VLOOKUP($B11,'7. PGE_Efficacité'!$A$6:$AO$268,32,0)</f>
        <v>0</v>
      </c>
      <c r="AC11" s="61">
        <f>VLOOKUP($B11,'7. PGE_Efficacité'!$A$6:$AO$268,33,0)</f>
        <v>0</v>
      </c>
      <c r="AD11" s="61">
        <f>VLOOKUP($B11,'7. PGE_Efficacité'!$A$6:$AO$268,34,0)</f>
        <v>0</v>
      </c>
      <c r="AE11" s="61">
        <f>VLOOKUP($B11,'7. PGE_Efficacité'!$A$6:$AO$268,35,0)</f>
        <v>0</v>
      </c>
      <c r="AF11" s="61">
        <f>VLOOKUP($B11,'7. PGE_Efficacité'!$A$6:$AO$268,36,0)</f>
        <v>0</v>
      </c>
      <c r="AG11" s="61">
        <f>VLOOKUP($B11,'7. PGE_Efficacité'!$A$6:$AO$268,37,0)</f>
        <v>0</v>
      </c>
      <c r="AH11" s="61">
        <f>VLOOKUP($B11,'7. PGE_Efficacité'!$A$6:$AO$268,38,0)</f>
        <v>0</v>
      </c>
      <c r="AI11" s="61">
        <f>VLOOKUP($B11,'7. PGE_Efficacité'!$A$6:$AO$268,39,0)</f>
        <v>0</v>
      </c>
      <c r="AJ11" s="61">
        <f>VLOOKUP($B11,'7. PGE_Efficacité'!$A$6:$AO$268,40,0)</f>
        <v>0</v>
      </c>
      <c r="AK11" s="61">
        <f>VLOOKUP($B11,'7. PGE_Efficacité'!$A$6:$AO$268,41,0)</f>
        <v>0</v>
      </c>
    </row>
    <row r="12" spans="1:37" outlineLevel="1" x14ac:dyDescent="0.25">
      <c r="A12" s="65" t="s">
        <v>0</v>
      </c>
      <c r="B12" s="65" t="s">
        <v>644</v>
      </c>
      <c r="C12" s="65" t="s">
        <v>1305</v>
      </c>
      <c r="D12" s="65" t="s">
        <v>1520</v>
      </c>
      <c r="E12" s="65" t="s">
        <v>415</v>
      </c>
      <c r="F12" s="73">
        <v>2000000</v>
      </c>
      <c r="G12" s="64">
        <f>VLOOKUP($B12,'7. PGE_Efficacité'!$A$6:$AO$268,11,0)</f>
        <v>0</v>
      </c>
      <c r="H12" s="64">
        <f>VLOOKUP($B12,'7. PGE_Efficacité'!$A$6:$AO$268,12,0)</f>
        <v>0</v>
      </c>
      <c r="I12" s="64">
        <f>VLOOKUP($B12,'7. PGE_Efficacité'!$A$6:$AO$268,13,0)</f>
        <v>0</v>
      </c>
      <c r="J12" s="64">
        <f>VLOOKUP($B12,'7. PGE_Efficacité'!$A$6:$AO$268,14,0)</f>
        <v>0</v>
      </c>
      <c r="K12" s="64">
        <f>VLOOKUP($B12,'7. PGE_Efficacité'!$A$6:$AO$268,15,0)</f>
        <v>0</v>
      </c>
      <c r="L12" s="64">
        <f>VLOOKUP($B12,'7. PGE_Efficacité'!$A$6:$AO$268,16,0)</f>
        <v>0</v>
      </c>
      <c r="M12" s="64">
        <f>VLOOKUP($B12,'7. PGE_Efficacité'!$A$6:$AO$268,17,0)</f>
        <v>0</v>
      </c>
      <c r="N12" s="64">
        <f>VLOOKUP($B12,'7. PGE_Efficacité'!$A$6:$AO$268,18,0)</f>
        <v>0</v>
      </c>
      <c r="O12" s="64">
        <f>VLOOKUP($B12,'7. PGE_Efficacité'!$A$6:$AO$268,19,0)</f>
        <v>0</v>
      </c>
      <c r="P12" s="64">
        <f>VLOOKUP($B12,'7. PGE_Efficacité'!$A$6:$AO$268,20,0)</f>
        <v>0</v>
      </c>
      <c r="Q12" s="64">
        <f>VLOOKUP($B12,'7. PGE_Efficacité'!$A$6:$AO$268,21,0)</f>
        <v>0</v>
      </c>
      <c r="R12" s="64">
        <f>VLOOKUP($B12,'7. PGE_Efficacité'!$A$6:$AO$268,22,0)</f>
        <v>0</v>
      </c>
      <c r="S12" s="64">
        <f>VLOOKUP($B12,'7. PGE_Efficacité'!$A$6:$AO$268,23,0)</f>
        <v>0</v>
      </c>
      <c r="T12" s="64">
        <f>VLOOKUP($B12,'7. PGE_Efficacité'!$A$6:$AO$268,24,0)</f>
        <v>0</v>
      </c>
      <c r="U12" s="64">
        <f>VLOOKUP($B12,'7. PGE_Efficacité'!$A$6:$AO$268,25,0)</f>
        <v>0</v>
      </c>
      <c r="V12" s="64">
        <f>VLOOKUP($B12,'7. PGE_Efficacité'!$A$6:$AO$268,26,0)</f>
        <v>0</v>
      </c>
      <c r="W12" s="61">
        <f>VLOOKUP($B12,'7. PGE_Efficacité'!$A$6:$AO$268,27,0)</f>
        <v>0</v>
      </c>
      <c r="X12" s="61">
        <f>VLOOKUP($B12,'7. PGE_Efficacité'!$A$6:$AO$268,28,0)</f>
        <v>0</v>
      </c>
      <c r="Y12" s="61">
        <f>VLOOKUP($B12,'7. PGE_Efficacité'!$A$6:$AO$268,29,0)</f>
        <v>0</v>
      </c>
      <c r="Z12" s="61">
        <f>VLOOKUP($B12,'7. PGE_Efficacité'!$A$6:$AO$268,30,0)</f>
        <v>0</v>
      </c>
      <c r="AA12" s="61">
        <f>VLOOKUP($B12,'7. PGE_Efficacité'!$A$6:$AO$268,31,0)</f>
        <v>0</v>
      </c>
      <c r="AB12" s="61">
        <f>VLOOKUP($B12,'7. PGE_Efficacité'!$A$6:$AO$268,32,0)</f>
        <v>0</v>
      </c>
      <c r="AC12" s="61">
        <f>VLOOKUP($B12,'7. PGE_Efficacité'!$A$6:$AO$268,33,0)</f>
        <v>0</v>
      </c>
      <c r="AD12" s="61" t="str">
        <f>VLOOKUP($B12,'7. PGE_Efficacité'!$A$6:$AO$268,34,0)</f>
        <v>+</v>
      </c>
      <c r="AE12" s="61" t="str">
        <f>VLOOKUP($B12,'7. PGE_Efficacité'!$A$6:$AO$268,35,0)</f>
        <v>+</v>
      </c>
      <c r="AF12" s="61" t="str">
        <f>VLOOKUP($B12,'7. PGE_Efficacité'!$A$6:$AO$268,36,0)</f>
        <v>+</v>
      </c>
      <c r="AG12" s="61">
        <f>VLOOKUP($B12,'7. PGE_Efficacité'!$A$6:$AO$268,37,0)</f>
        <v>0</v>
      </c>
      <c r="AH12" s="61">
        <f>VLOOKUP($B12,'7. PGE_Efficacité'!$A$6:$AO$268,38,0)</f>
        <v>0</v>
      </c>
      <c r="AI12" s="61">
        <f>VLOOKUP($B12,'7. PGE_Efficacité'!$A$6:$AO$268,39,0)</f>
        <v>0</v>
      </c>
      <c r="AJ12" s="61">
        <f>VLOOKUP($B12,'7. PGE_Efficacité'!$A$6:$AO$268,40,0)</f>
        <v>0</v>
      </c>
      <c r="AK12" s="61">
        <f>VLOOKUP($B12,'7. PGE_Efficacité'!$A$6:$AO$268,41,0)</f>
        <v>0</v>
      </c>
    </row>
    <row r="13" spans="1:37" outlineLevel="1" x14ac:dyDescent="0.25">
      <c r="A13" s="65" t="s">
        <v>0</v>
      </c>
      <c r="B13" s="65" t="s">
        <v>638</v>
      </c>
      <c r="C13" s="65" t="s">
        <v>1300</v>
      </c>
      <c r="D13" s="65" t="s">
        <v>1520</v>
      </c>
      <c r="E13" s="65" t="s">
        <v>415</v>
      </c>
      <c r="F13" s="73">
        <v>100000</v>
      </c>
      <c r="G13" s="64">
        <f>VLOOKUP($B13,'7. PGE_Efficacité'!$A$6:$AO$268,11,0)</f>
        <v>0</v>
      </c>
      <c r="H13" s="64">
        <f>VLOOKUP($B13,'7. PGE_Efficacité'!$A$6:$AO$268,12,0)</f>
        <v>0</v>
      </c>
      <c r="I13" s="64">
        <f>VLOOKUP($B13,'7. PGE_Efficacité'!$A$6:$AO$268,13,0)</f>
        <v>0</v>
      </c>
      <c r="J13" s="64">
        <f>VLOOKUP($B13,'7. PGE_Efficacité'!$A$6:$AO$268,14,0)</f>
        <v>0</v>
      </c>
      <c r="K13" s="64">
        <f>VLOOKUP($B13,'7. PGE_Efficacité'!$A$6:$AO$268,15,0)</f>
        <v>0</v>
      </c>
      <c r="L13" s="64">
        <f>VLOOKUP($B13,'7. PGE_Efficacité'!$A$6:$AO$268,16,0)</f>
        <v>0</v>
      </c>
      <c r="M13" s="64">
        <f>VLOOKUP($B13,'7. PGE_Efficacité'!$A$6:$AO$268,17,0)</f>
        <v>0</v>
      </c>
      <c r="N13" s="64">
        <f>VLOOKUP($B13,'7. PGE_Efficacité'!$A$6:$AO$268,18,0)</f>
        <v>0</v>
      </c>
      <c r="O13" s="64">
        <f>VLOOKUP($B13,'7. PGE_Efficacité'!$A$6:$AO$268,19,0)</f>
        <v>0</v>
      </c>
      <c r="P13" s="64">
        <f>VLOOKUP($B13,'7. PGE_Efficacité'!$A$6:$AO$268,20,0)</f>
        <v>0</v>
      </c>
      <c r="Q13" s="64">
        <f>VLOOKUP($B13,'7. PGE_Efficacité'!$A$6:$AO$268,21,0)</f>
        <v>0</v>
      </c>
      <c r="R13" s="64">
        <f>VLOOKUP($B13,'7. PGE_Efficacité'!$A$6:$AO$268,22,0)</f>
        <v>0</v>
      </c>
      <c r="S13" s="64">
        <f>VLOOKUP($B13,'7. PGE_Efficacité'!$A$6:$AO$268,23,0)</f>
        <v>0</v>
      </c>
      <c r="T13" s="64">
        <f>VLOOKUP($B13,'7. PGE_Efficacité'!$A$6:$AO$268,24,0)</f>
        <v>0</v>
      </c>
      <c r="U13" s="64">
        <f>VLOOKUP($B13,'7. PGE_Efficacité'!$A$6:$AO$268,25,0)</f>
        <v>0</v>
      </c>
      <c r="V13" s="64">
        <f>VLOOKUP($B13,'7. PGE_Efficacité'!$A$6:$AO$268,26,0)</f>
        <v>0</v>
      </c>
      <c r="W13" s="61">
        <f>VLOOKUP($B13,'7. PGE_Efficacité'!$A$6:$AO$268,27,0)</f>
        <v>0</v>
      </c>
      <c r="X13" s="61">
        <f>VLOOKUP($B13,'7. PGE_Efficacité'!$A$6:$AO$268,28,0)</f>
        <v>0</v>
      </c>
      <c r="Y13" s="61">
        <f>VLOOKUP($B13,'7. PGE_Efficacité'!$A$6:$AO$268,29,0)</f>
        <v>0</v>
      </c>
      <c r="Z13" s="61">
        <f>VLOOKUP($B13,'7. PGE_Efficacité'!$A$6:$AO$268,30,0)</f>
        <v>0</v>
      </c>
      <c r="AA13" s="61">
        <f>VLOOKUP($B13,'7. PGE_Efficacité'!$A$6:$AO$268,31,0)</f>
        <v>0</v>
      </c>
      <c r="AB13" s="61">
        <f>VLOOKUP($B13,'7. PGE_Efficacité'!$A$6:$AO$268,32,0)</f>
        <v>0</v>
      </c>
      <c r="AC13" s="61">
        <f>VLOOKUP($B13,'7. PGE_Efficacité'!$A$6:$AO$268,33,0)</f>
        <v>0</v>
      </c>
      <c r="AD13" s="61">
        <f>VLOOKUP($B13,'7. PGE_Efficacité'!$A$6:$AO$268,34,0)</f>
        <v>0</v>
      </c>
      <c r="AE13" s="61">
        <f>VLOOKUP($B13,'7. PGE_Efficacité'!$A$6:$AO$268,35,0)</f>
        <v>0</v>
      </c>
      <c r="AF13" s="61">
        <f>VLOOKUP($B13,'7. PGE_Efficacité'!$A$6:$AO$268,36,0)</f>
        <v>0</v>
      </c>
      <c r="AG13" s="61">
        <f>VLOOKUP($B13,'7. PGE_Efficacité'!$A$6:$AO$268,37,0)</f>
        <v>0</v>
      </c>
      <c r="AH13" s="61">
        <f>VLOOKUP($B13,'7. PGE_Efficacité'!$A$6:$AO$268,38,0)</f>
        <v>0</v>
      </c>
      <c r="AI13" s="61">
        <f>VLOOKUP($B13,'7. PGE_Efficacité'!$A$6:$AO$268,39,0)</f>
        <v>0</v>
      </c>
      <c r="AJ13" s="61">
        <f>VLOOKUP($B13,'7. PGE_Efficacité'!$A$6:$AO$268,40,0)</f>
        <v>0</v>
      </c>
      <c r="AK13" s="61">
        <f>VLOOKUP($B13,'7. PGE_Efficacité'!$A$6:$AO$268,41,0)</f>
        <v>0</v>
      </c>
    </row>
    <row r="14" spans="1:37" outlineLevel="1" x14ac:dyDescent="0.25">
      <c r="A14" s="65" t="s">
        <v>0</v>
      </c>
      <c r="B14" s="65" t="s">
        <v>639</v>
      </c>
      <c r="C14" s="65" t="s">
        <v>1301</v>
      </c>
      <c r="D14" s="65" t="s">
        <v>1520</v>
      </c>
      <c r="E14" s="65" t="s">
        <v>415</v>
      </c>
      <c r="F14" s="73">
        <v>70000</v>
      </c>
      <c r="G14" s="64">
        <f>VLOOKUP($B14,'7. PGE_Efficacité'!$A$6:$AO$268,11,0)</f>
        <v>0</v>
      </c>
      <c r="H14" s="64">
        <f>VLOOKUP($B14,'7. PGE_Efficacité'!$A$6:$AO$268,12,0)</f>
        <v>0</v>
      </c>
      <c r="I14" s="64">
        <f>VLOOKUP($B14,'7. PGE_Efficacité'!$A$6:$AO$268,13,0)</f>
        <v>0</v>
      </c>
      <c r="J14" s="64">
        <f>VLOOKUP($B14,'7. PGE_Efficacité'!$A$6:$AO$268,14,0)</f>
        <v>0</v>
      </c>
      <c r="K14" s="64">
        <f>VLOOKUP($B14,'7. PGE_Efficacité'!$A$6:$AO$268,15,0)</f>
        <v>0</v>
      </c>
      <c r="L14" s="64">
        <f>VLOOKUP($B14,'7. PGE_Efficacité'!$A$6:$AO$268,16,0)</f>
        <v>0</v>
      </c>
      <c r="M14" s="64">
        <f>VLOOKUP($B14,'7. PGE_Efficacité'!$A$6:$AO$268,17,0)</f>
        <v>0</v>
      </c>
      <c r="N14" s="64">
        <f>VLOOKUP($B14,'7. PGE_Efficacité'!$A$6:$AO$268,18,0)</f>
        <v>0</v>
      </c>
      <c r="O14" s="64">
        <f>VLOOKUP($B14,'7. PGE_Efficacité'!$A$6:$AO$268,19,0)</f>
        <v>0</v>
      </c>
      <c r="P14" s="64">
        <f>VLOOKUP($B14,'7. PGE_Efficacité'!$A$6:$AO$268,20,0)</f>
        <v>0</v>
      </c>
      <c r="Q14" s="64">
        <f>VLOOKUP($B14,'7. PGE_Efficacité'!$A$6:$AO$268,21,0)</f>
        <v>0</v>
      </c>
      <c r="R14" s="64">
        <f>VLOOKUP($B14,'7. PGE_Efficacité'!$A$6:$AO$268,22,0)</f>
        <v>0</v>
      </c>
      <c r="S14" s="64">
        <f>VLOOKUP($B14,'7. PGE_Efficacité'!$A$6:$AO$268,23,0)</f>
        <v>0</v>
      </c>
      <c r="T14" s="64">
        <f>VLOOKUP($B14,'7. PGE_Efficacité'!$A$6:$AO$268,24,0)</f>
        <v>0</v>
      </c>
      <c r="U14" s="64">
        <f>VLOOKUP($B14,'7. PGE_Efficacité'!$A$6:$AO$268,25,0)</f>
        <v>0</v>
      </c>
      <c r="V14" s="64">
        <f>VLOOKUP($B14,'7. PGE_Efficacité'!$A$6:$AO$268,26,0)</f>
        <v>0</v>
      </c>
      <c r="W14" s="61">
        <f>VLOOKUP($B14,'7. PGE_Efficacité'!$A$6:$AO$268,27,0)</f>
        <v>0</v>
      </c>
      <c r="X14" s="61">
        <f>VLOOKUP($B14,'7. PGE_Efficacité'!$A$6:$AO$268,28,0)</f>
        <v>0</v>
      </c>
      <c r="Y14" s="61">
        <f>VLOOKUP($B14,'7. PGE_Efficacité'!$A$6:$AO$268,29,0)</f>
        <v>0</v>
      </c>
      <c r="Z14" s="61">
        <f>VLOOKUP($B14,'7. PGE_Efficacité'!$A$6:$AO$268,30,0)</f>
        <v>0</v>
      </c>
      <c r="AA14" s="61">
        <f>VLOOKUP($B14,'7. PGE_Efficacité'!$A$6:$AO$268,31,0)</f>
        <v>0</v>
      </c>
      <c r="AB14" s="61">
        <f>VLOOKUP($B14,'7. PGE_Efficacité'!$A$6:$AO$268,32,0)</f>
        <v>0</v>
      </c>
      <c r="AC14" s="61">
        <f>VLOOKUP($B14,'7. PGE_Efficacité'!$A$6:$AO$268,33,0)</f>
        <v>0</v>
      </c>
      <c r="AD14" s="61">
        <f>VLOOKUP($B14,'7. PGE_Efficacité'!$A$6:$AO$268,34,0)</f>
        <v>0</v>
      </c>
      <c r="AE14" s="61">
        <f>VLOOKUP($B14,'7. PGE_Efficacité'!$A$6:$AO$268,35,0)</f>
        <v>0</v>
      </c>
      <c r="AF14" s="61">
        <f>VLOOKUP($B14,'7. PGE_Efficacité'!$A$6:$AO$268,36,0)</f>
        <v>0</v>
      </c>
      <c r="AG14" s="61">
        <f>VLOOKUP($B14,'7. PGE_Efficacité'!$A$6:$AO$268,37,0)</f>
        <v>0</v>
      </c>
      <c r="AH14" s="61">
        <f>VLOOKUP($B14,'7. PGE_Efficacité'!$A$6:$AO$268,38,0)</f>
        <v>0</v>
      </c>
      <c r="AI14" s="61">
        <f>VLOOKUP($B14,'7. PGE_Efficacité'!$A$6:$AO$268,39,0)</f>
        <v>0</v>
      </c>
      <c r="AJ14" s="61">
        <f>VLOOKUP($B14,'7. PGE_Efficacité'!$A$6:$AO$268,40,0)</f>
        <v>0</v>
      </c>
      <c r="AK14" s="61">
        <f>VLOOKUP($B14,'7. PGE_Efficacité'!$A$6:$AO$268,41,0)</f>
        <v>0</v>
      </c>
    </row>
    <row r="15" spans="1:37" outlineLevel="1" x14ac:dyDescent="0.25">
      <c r="A15" s="65" t="s">
        <v>0</v>
      </c>
      <c r="B15" s="65" t="s">
        <v>648</v>
      </c>
      <c r="C15" s="65" t="s">
        <v>1309</v>
      </c>
      <c r="D15" s="65" t="s">
        <v>1520</v>
      </c>
      <c r="E15" s="65" t="s">
        <v>415</v>
      </c>
      <c r="F15" s="73">
        <v>0</v>
      </c>
      <c r="G15" s="64">
        <f>VLOOKUP($B15,'7. PGE_Efficacité'!$A$6:$AO$268,11,0)</f>
        <v>0</v>
      </c>
      <c r="H15" s="64">
        <f>VLOOKUP($B15,'7. PGE_Efficacité'!$A$6:$AO$268,12,0)</f>
        <v>0</v>
      </c>
      <c r="I15" s="64">
        <f>VLOOKUP($B15,'7. PGE_Efficacité'!$A$6:$AO$268,13,0)</f>
        <v>0</v>
      </c>
      <c r="J15" s="64">
        <f>VLOOKUP($B15,'7. PGE_Efficacité'!$A$6:$AO$268,14,0)</f>
        <v>0</v>
      </c>
      <c r="K15" s="64">
        <f>VLOOKUP($B15,'7. PGE_Efficacité'!$A$6:$AO$268,15,0)</f>
        <v>0</v>
      </c>
      <c r="L15" s="64">
        <f>VLOOKUP($B15,'7. PGE_Efficacité'!$A$6:$AO$268,16,0)</f>
        <v>0</v>
      </c>
      <c r="M15" s="64">
        <f>VLOOKUP($B15,'7. PGE_Efficacité'!$A$6:$AO$268,17,0)</f>
        <v>0</v>
      </c>
      <c r="N15" s="64">
        <f>VLOOKUP($B15,'7. PGE_Efficacité'!$A$6:$AO$268,18,0)</f>
        <v>0</v>
      </c>
      <c r="O15" s="64">
        <f>VLOOKUP($B15,'7. PGE_Efficacité'!$A$6:$AO$268,19,0)</f>
        <v>0</v>
      </c>
      <c r="P15" s="64">
        <f>VLOOKUP($B15,'7. PGE_Efficacité'!$A$6:$AO$268,20,0)</f>
        <v>0</v>
      </c>
      <c r="Q15" s="64">
        <f>VLOOKUP($B15,'7. PGE_Efficacité'!$A$6:$AO$268,21,0)</f>
        <v>0</v>
      </c>
      <c r="R15" s="64">
        <f>VLOOKUP($B15,'7. PGE_Efficacité'!$A$6:$AO$268,22,0)</f>
        <v>0</v>
      </c>
      <c r="S15" s="64">
        <f>VLOOKUP($B15,'7. PGE_Efficacité'!$A$6:$AO$268,23,0)</f>
        <v>0</v>
      </c>
      <c r="T15" s="64">
        <f>VLOOKUP($B15,'7. PGE_Efficacité'!$A$6:$AO$268,24,0)</f>
        <v>0</v>
      </c>
      <c r="U15" s="64">
        <f>VLOOKUP($B15,'7. PGE_Efficacité'!$A$6:$AO$268,25,0)</f>
        <v>0</v>
      </c>
      <c r="V15" s="64">
        <f>VLOOKUP($B15,'7. PGE_Efficacité'!$A$6:$AO$268,26,0)</f>
        <v>0</v>
      </c>
      <c r="W15" s="61">
        <f>VLOOKUP($B15,'7. PGE_Efficacité'!$A$6:$AO$268,27,0)</f>
        <v>0</v>
      </c>
      <c r="X15" s="61">
        <f>VLOOKUP($B15,'7. PGE_Efficacité'!$A$6:$AO$268,28,0)</f>
        <v>0</v>
      </c>
      <c r="Y15" s="61">
        <f>VLOOKUP($B15,'7. PGE_Efficacité'!$A$6:$AO$268,29,0)</f>
        <v>0</v>
      </c>
      <c r="Z15" s="61">
        <f>VLOOKUP($B15,'7. PGE_Efficacité'!$A$6:$AO$268,30,0)</f>
        <v>0</v>
      </c>
      <c r="AA15" s="61">
        <f>VLOOKUP($B15,'7. PGE_Efficacité'!$A$6:$AO$268,31,0)</f>
        <v>0</v>
      </c>
      <c r="AB15" s="61">
        <f>VLOOKUP($B15,'7. PGE_Efficacité'!$A$6:$AO$268,32,0)</f>
        <v>0</v>
      </c>
      <c r="AC15" s="61">
        <f>VLOOKUP($B15,'7. PGE_Efficacité'!$A$6:$AO$268,33,0)</f>
        <v>0</v>
      </c>
      <c r="AD15" s="61" t="str">
        <f>VLOOKUP($B15,'7. PGE_Efficacité'!$A$6:$AO$268,34,0)</f>
        <v>++++</v>
      </c>
      <c r="AE15" s="61" t="str">
        <f>VLOOKUP($B15,'7. PGE_Efficacité'!$A$6:$AO$268,35,0)</f>
        <v>++++</v>
      </c>
      <c r="AF15" s="61" t="str">
        <f>VLOOKUP($B15,'7. PGE_Efficacité'!$A$6:$AO$268,36,0)</f>
        <v>++++</v>
      </c>
      <c r="AG15" s="61">
        <f>VLOOKUP($B15,'7. PGE_Efficacité'!$A$6:$AO$268,37,0)</f>
        <v>0</v>
      </c>
      <c r="AH15" s="61">
        <f>VLOOKUP($B15,'7. PGE_Efficacité'!$A$6:$AO$268,38,0)</f>
        <v>0</v>
      </c>
      <c r="AI15" s="61">
        <f>VLOOKUP($B15,'7. PGE_Efficacité'!$A$6:$AO$268,39,0)</f>
        <v>0</v>
      </c>
      <c r="AJ15" s="61">
        <f>VLOOKUP($B15,'7. PGE_Efficacité'!$A$6:$AO$268,40,0)</f>
        <v>0</v>
      </c>
      <c r="AK15" s="61">
        <f>VLOOKUP($B15,'7. PGE_Efficacité'!$A$6:$AO$268,41,0)</f>
        <v>0</v>
      </c>
    </row>
    <row r="16" spans="1:37" ht="39" collapsed="1" x14ac:dyDescent="0.25">
      <c r="A16" s="157" t="s">
        <v>1</v>
      </c>
      <c r="B16" s="63"/>
      <c r="C16" s="156" t="s">
        <v>237</v>
      </c>
      <c r="D16" s="63"/>
      <c r="E16" s="63"/>
      <c r="F16" s="72">
        <f>SUM(F17:F32)</f>
        <v>6670000</v>
      </c>
      <c r="G16" s="178">
        <f>VLOOKUP($A16,'7. PGE_Efficacité'!$A$6:$AO$268,11,0)</f>
        <v>0</v>
      </c>
      <c r="H16" s="178">
        <f>VLOOKUP($A16,'7. PGE_Efficacité'!$A$6:$AO$268,12,0)</f>
        <v>0</v>
      </c>
      <c r="I16" s="178">
        <f>VLOOKUP($A16,'7. PGE_Efficacité'!$A$6:$AO$268,13,0)</f>
        <v>0</v>
      </c>
      <c r="J16" s="178">
        <f>VLOOKUP($A16,'7. PGE_Efficacité'!$A$6:$AO$268,14,0)</f>
        <v>0</v>
      </c>
      <c r="K16" s="178">
        <f>VLOOKUP($A16,'7. PGE_Efficacité'!$A$6:$AO$268,15,0)</f>
        <v>0</v>
      </c>
      <c r="L16" s="178">
        <f>VLOOKUP($A16,'7. PGE_Efficacité'!$A$6:$AO$268,16,0)</f>
        <v>0</v>
      </c>
      <c r="M16" s="178">
        <f>VLOOKUP($A16,'7. PGE_Efficacité'!$A$6:$AO$268,17,0)</f>
        <v>0</v>
      </c>
      <c r="N16" s="178">
        <f>VLOOKUP($A16,'7. PGE_Efficacité'!$A$6:$AO$268,18,0)</f>
        <v>0</v>
      </c>
      <c r="O16" s="178">
        <f>VLOOKUP($A16,'7. PGE_Efficacité'!$A$6:$AO$268,19,0)</f>
        <v>0</v>
      </c>
      <c r="P16" s="178">
        <f>VLOOKUP($A16,'7. PGE_Efficacité'!$A$6:$AO$268,20,0)</f>
        <v>0</v>
      </c>
      <c r="Q16" s="178">
        <f>VLOOKUP($A16,'7. PGE_Efficacité'!$A$6:$AO$268,21,0)</f>
        <v>0</v>
      </c>
      <c r="R16" s="178">
        <f>VLOOKUP($A16,'7. PGE_Efficacité'!$A$6:$AO$268,22,0)</f>
        <v>0</v>
      </c>
      <c r="S16" s="178">
        <f>VLOOKUP($A16,'7. PGE_Efficacité'!$A$6:$AO$268,23,0)</f>
        <v>0</v>
      </c>
      <c r="T16" s="178">
        <f>VLOOKUP($A16,'7. PGE_Efficacité'!$A$6:$AO$268,24,0)</f>
        <v>0</v>
      </c>
      <c r="U16" s="178">
        <f>VLOOKUP($A16,'7. PGE_Efficacité'!$A$6:$AO$268,25,0)</f>
        <v>0</v>
      </c>
      <c r="V16" s="178">
        <f>VLOOKUP($A16,'7. PGE_Efficacité'!$A$6:$AO$268,26,0)</f>
        <v>0</v>
      </c>
      <c r="W16" s="179">
        <f>VLOOKUP($A16,'7. PGE_Efficacité'!$A$6:$AO$268,27,0)</f>
        <v>0</v>
      </c>
      <c r="X16" s="179">
        <f>VLOOKUP($A16,'7. PGE_Efficacité'!$A$6:$AO$268,28,0)</f>
        <v>0</v>
      </c>
      <c r="Y16" s="179">
        <f>VLOOKUP($A16,'7. PGE_Efficacité'!$A$6:$AO$268,29,0)</f>
        <v>0</v>
      </c>
      <c r="Z16" s="179">
        <f>VLOOKUP($A16,'7. PGE_Efficacité'!$A$6:$AO$268,30,0)</f>
        <v>0</v>
      </c>
      <c r="AA16" s="179">
        <f>VLOOKUP($A16,'7. PGE_Efficacité'!$A$6:$AO$268,31,0)</f>
        <v>0</v>
      </c>
      <c r="AB16" s="179" t="str">
        <f>VLOOKUP($A16,'7. PGE_Efficacité'!$A$6:$AO$268,32,0)</f>
        <v>+</v>
      </c>
      <c r="AC16" s="179">
        <f>VLOOKUP($A16,'7. PGE_Efficacité'!$A$6:$AO$268,33,0)</f>
        <v>0</v>
      </c>
      <c r="AD16" s="179" t="str">
        <f>VLOOKUP($A16,'7. PGE_Efficacité'!$A$6:$AO$268,34,0)</f>
        <v>+++</v>
      </c>
      <c r="AE16" s="179" t="str">
        <f>VLOOKUP($A16,'7. PGE_Efficacité'!$A$6:$AO$268,35,0)</f>
        <v>+++</v>
      </c>
      <c r="AF16" s="179" t="str">
        <f>VLOOKUP($A16,'7. PGE_Efficacité'!$A$6:$AO$268,36,0)</f>
        <v>+++</v>
      </c>
      <c r="AG16" s="179">
        <f>VLOOKUP($A16,'7. PGE_Efficacité'!$A$6:$AO$268,37,0)</f>
        <v>0</v>
      </c>
      <c r="AH16" s="179" t="str">
        <f>VLOOKUP($A16,'7. PGE_Efficacité'!$A$6:$AO$268,38,0)</f>
        <v>++</v>
      </c>
      <c r="AI16" s="179" t="str">
        <f>VLOOKUP($A16,'7. PGE_Efficacité'!$A$6:$AO$268,39,0)</f>
        <v>+++</v>
      </c>
      <c r="AJ16" s="179" t="str">
        <f>VLOOKUP($A16,'7. PGE_Efficacité'!$A$6:$AO$268,40,0)</f>
        <v>+++</v>
      </c>
      <c r="AK16" s="179" t="str">
        <f>VLOOKUP($A16,'7. PGE_Efficacité'!$A$6:$AO$268,41,0)</f>
        <v>+++</v>
      </c>
    </row>
    <row r="17" spans="1:37" hidden="1" outlineLevel="1" x14ac:dyDescent="0.25">
      <c r="A17" s="65" t="s">
        <v>1</v>
      </c>
      <c r="B17" s="65" t="s">
        <v>700</v>
      </c>
      <c r="C17" s="65" t="s">
        <v>1360</v>
      </c>
      <c r="D17" s="65" t="s">
        <v>1520</v>
      </c>
      <c r="E17" s="65" t="s">
        <v>415</v>
      </c>
      <c r="F17" s="73">
        <v>80000</v>
      </c>
      <c r="G17" s="64">
        <f>VLOOKUP($B17,'7. PGE_Efficacité'!$A$6:$AO$268,11,0)</f>
        <v>0</v>
      </c>
      <c r="H17" s="64">
        <f>VLOOKUP($B17,'7. PGE_Efficacité'!$A$6:$AO$268,12,0)</f>
        <v>0</v>
      </c>
      <c r="I17" s="64">
        <f>VLOOKUP($B17,'7. PGE_Efficacité'!$A$6:$AO$268,13,0)</f>
        <v>0</v>
      </c>
      <c r="J17" s="64">
        <f>VLOOKUP($B17,'7. PGE_Efficacité'!$A$6:$AO$268,14,0)</f>
        <v>0</v>
      </c>
      <c r="K17" s="64">
        <f>VLOOKUP($B17,'7. PGE_Efficacité'!$A$6:$AO$268,15,0)</f>
        <v>0</v>
      </c>
      <c r="L17" s="64">
        <f>VLOOKUP($B17,'7. PGE_Efficacité'!$A$6:$AO$268,16,0)</f>
        <v>0</v>
      </c>
      <c r="M17" s="64">
        <f>VLOOKUP($B17,'7. PGE_Efficacité'!$A$6:$AO$268,17,0)</f>
        <v>0</v>
      </c>
      <c r="N17" s="64">
        <f>VLOOKUP($B17,'7. PGE_Efficacité'!$A$6:$AO$268,18,0)</f>
        <v>0</v>
      </c>
      <c r="O17" s="64">
        <f>VLOOKUP($B17,'7. PGE_Efficacité'!$A$6:$AO$268,19,0)</f>
        <v>0</v>
      </c>
      <c r="P17" s="64">
        <f>VLOOKUP($B17,'7. PGE_Efficacité'!$A$6:$AO$268,20,0)</f>
        <v>0</v>
      </c>
      <c r="Q17" s="64">
        <f>VLOOKUP($B17,'7. PGE_Efficacité'!$A$6:$AO$268,21,0)</f>
        <v>0</v>
      </c>
      <c r="R17" s="64">
        <f>VLOOKUP($B17,'7. PGE_Efficacité'!$A$6:$AO$268,22,0)</f>
        <v>0</v>
      </c>
      <c r="S17" s="64">
        <f>VLOOKUP($B17,'7. PGE_Efficacité'!$A$6:$AO$268,23,0)</f>
        <v>0</v>
      </c>
      <c r="T17" s="64">
        <f>VLOOKUP($B17,'7. PGE_Efficacité'!$A$6:$AO$268,24,0)</f>
        <v>0</v>
      </c>
      <c r="U17" s="64">
        <f>VLOOKUP($B17,'7. PGE_Efficacité'!$A$6:$AO$268,25,0)</f>
        <v>0</v>
      </c>
      <c r="V17" s="64">
        <f>VLOOKUP($B17,'7. PGE_Efficacité'!$A$6:$AO$268,26,0)</f>
        <v>0</v>
      </c>
      <c r="W17" s="61">
        <f>VLOOKUP($B17,'7. PGE_Efficacité'!$A$6:$AO$268,27,0)</f>
        <v>0</v>
      </c>
      <c r="X17" s="61">
        <f>VLOOKUP($B17,'7. PGE_Efficacité'!$A$6:$AO$268,28,0)</f>
        <v>0</v>
      </c>
      <c r="Y17" s="61">
        <f>VLOOKUP($B17,'7. PGE_Efficacité'!$A$6:$AO$268,29,0)</f>
        <v>0</v>
      </c>
      <c r="Z17" s="61">
        <f>VLOOKUP($B17,'7. PGE_Efficacité'!$A$6:$AO$268,30,0)</f>
        <v>0</v>
      </c>
      <c r="AA17" s="61">
        <f>VLOOKUP($B17,'7. PGE_Efficacité'!$A$6:$AO$268,31,0)</f>
        <v>0</v>
      </c>
      <c r="AB17" s="61">
        <f>VLOOKUP($B17,'7. PGE_Efficacité'!$A$6:$AO$268,32,0)</f>
        <v>0</v>
      </c>
      <c r="AC17" s="61">
        <f>VLOOKUP($B17,'7. PGE_Efficacité'!$A$6:$AO$268,33,0)</f>
        <v>0</v>
      </c>
      <c r="AD17" s="61">
        <f>VLOOKUP($B17,'7. PGE_Efficacité'!$A$6:$AO$268,34,0)</f>
        <v>0</v>
      </c>
      <c r="AE17" s="61">
        <f>VLOOKUP($B17,'7. PGE_Efficacité'!$A$6:$AO$268,35,0)</f>
        <v>0</v>
      </c>
      <c r="AF17" s="61">
        <f>VLOOKUP($B17,'7. PGE_Efficacité'!$A$6:$AO$268,36,0)</f>
        <v>0</v>
      </c>
      <c r="AG17" s="61">
        <f>VLOOKUP($B17,'7. PGE_Efficacité'!$A$6:$AO$268,37,0)</f>
        <v>0</v>
      </c>
      <c r="AH17" s="61">
        <f>VLOOKUP($B17,'7. PGE_Efficacité'!$A$6:$AO$268,38,0)</f>
        <v>0</v>
      </c>
      <c r="AI17" s="61">
        <f>VLOOKUP($B17,'7. PGE_Efficacité'!$A$6:$AO$268,39,0)</f>
        <v>0</v>
      </c>
      <c r="AJ17" s="61">
        <f>VLOOKUP($B17,'7. PGE_Efficacité'!$A$6:$AO$268,40,0)</f>
        <v>0</v>
      </c>
      <c r="AK17" s="61">
        <f>VLOOKUP($B17,'7. PGE_Efficacité'!$A$6:$AO$268,41,0)</f>
        <v>0</v>
      </c>
    </row>
    <row r="18" spans="1:37" hidden="1" outlineLevel="1" x14ac:dyDescent="0.25">
      <c r="A18" s="65" t="s">
        <v>1</v>
      </c>
      <c r="B18" s="65" t="s">
        <v>711</v>
      </c>
      <c r="C18" s="65" t="s">
        <v>1371</v>
      </c>
      <c r="D18" s="65" t="s">
        <v>1520</v>
      </c>
      <c r="E18" s="65" t="s">
        <v>415</v>
      </c>
      <c r="F18" s="73">
        <v>1500000</v>
      </c>
      <c r="G18" s="64">
        <f>VLOOKUP($B18,'7. PGE_Efficacité'!$A$6:$AO$268,11,0)</f>
        <v>0</v>
      </c>
      <c r="H18" s="64">
        <f>VLOOKUP($B18,'7. PGE_Efficacité'!$A$6:$AO$268,12,0)</f>
        <v>0</v>
      </c>
      <c r="I18" s="64">
        <f>VLOOKUP($B18,'7. PGE_Efficacité'!$A$6:$AO$268,13,0)</f>
        <v>0</v>
      </c>
      <c r="J18" s="64">
        <f>VLOOKUP($B18,'7. PGE_Efficacité'!$A$6:$AO$268,14,0)</f>
        <v>0</v>
      </c>
      <c r="K18" s="64">
        <f>VLOOKUP($B18,'7. PGE_Efficacité'!$A$6:$AO$268,15,0)</f>
        <v>0</v>
      </c>
      <c r="L18" s="64">
        <f>VLOOKUP($B18,'7. PGE_Efficacité'!$A$6:$AO$268,16,0)</f>
        <v>0</v>
      </c>
      <c r="M18" s="64">
        <f>VLOOKUP($B18,'7. PGE_Efficacité'!$A$6:$AO$268,17,0)</f>
        <v>0</v>
      </c>
      <c r="N18" s="64">
        <f>VLOOKUP($B18,'7. PGE_Efficacité'!$A$6:$AO$268,18,0)</f>
        <v>0</v>
      </c>
      <c r="O18" s="64">
        <f>VLOOKUP($B18,'7. PGE_Efficacité'!$A$6:$AO$268,19,0)</f>
        <v>0</v>
      </c>
      <c r="P18" s="64">
        <f>VLOOKUP($B18,'7. PGE_Efficacité'!$A$6:$AO$268,20,0)</f>
        <v>0</v>
      </c>
      <c r="Q18" s="64">
        <f>VLOOKUP($B18,'7. PGE_Efficacité'!$A$6:$AO$268,21,0)</f>
        <v>0</v>
      </c>
      <c r="R18" s="64">
        <f>VLOOKUP($B18,'7. PGE_Efficacité'!$A$6:$AO$268,22,0)</f>
        <v>0</v>
      </c>
      <c r="S18" s="64">
        <f>VLOOKUP($B18,'7. PGE_Efficacité'!$A$6:$AO$268,23,0)</f>
        <v>0</v>
      </c>
      <c r="T18" s="64">
        <f>VLOOKUP($B18,'7. PGE_Efficacité'!$A$6:$AO$268,24,0)</f>
        <v>0</v>
      </c>
      <c r="U18" s="64">
        <f>VLOOKUP($B18,'7. PGE_Efficacité'!$A$6:$AO$268,25,0)</f>
        <v>0</v>
      </c>
      <c r="V18" s="64">
        <f>VLOOKUP($B18,'7. PGE_Efficacité'!$A$6:$AO$268,26,0)</f>
        <v>0</v>
      </c>
      <c r="W18" s="61">
        <f>VLOOKUP($B18,'7. PGE_Efficacité'!$A$6:$AO$268,27,0)</f>
        <v>0</v>
      </c>
      <c r="X18" s="61">
        <f>VLOOKUP($B18,'7. PGE_Efficacité'!$A$6:$AO$268,28,0)</f>
        <v>0</v>
      </c>
      <c r="Y18" s="61">
        <f>VLOOKUP($B18,'7. PGE_Efficacité'!$A$6:$AO$268,29,0)</f>
        <v>0</v>
      </c>
      <c r="Z18" s="61">
        <f>VLOOKUP($B18,'7. PGE_Efficacité'!$A$6:$AO$268,30,0)</f>
        <v>0</v>
      </c>
      <c r="AA18" s="61">
        <f>VLOOKUP($B18,'7. PGE_Efficacité'!$A$6:$AO$268,31,0)</f>
        <v>0</v>
      </c>
      <c r="AB18" s="61">
        <f>VLOOKUP($B18,'7. PGE_Efficacité'!$A$6:$AO$268,32,0)</f>
        <v>0</v>
      </c>
      <c r="AC18" s="61">
        <f>VLOOKUP($B18,'7. PGE_Efficacité'!$A$6:$AO$268,33,0)</f>
        <v>0</v>
      </c>
      <c r="AD18" s="61" t="str">
        <f>VLOOKUP($B18,'7. PGE_Efficacité'!$A$6:$AO$268,34,0)</f>
        <v>++</v>
      </c>
      <c r="AE18" s="61" t="str">
        <f>VLOOKUP($B18,'7. PGE_Efficacité'!$A$6:$AO$268,35,0)</f>
        <v>++</v>
      </c>
      <c r="AF18" s="61" t="str">
        <f>VLOOKUP($B18,'7. PGE_Efficacité'!$A$6:$AO$268,36,0)</f>
        <v>++</v>
      </c>
      <c r="AG18" s="61">
        <f>VLOOKUP($B18,'7. PGE_Efficacité'!$A$6:$AO$268,37,0)</f>
        <v>0</v>
      </c>
      <c r="AH18" s="61">
        <f>VLOOKUP($B18,'7. PGE_Efficacité'!$A$6:$AO$268,38,0)</f>
        <v>0</v>
      </c>
      <c r="AI18" s="61">
        <f>VLOOKUP($B18,'7. PGE_Efficacité'!$A$6:$AO$268,39,0)</f>
        <v>0</v>
      </c>
      <c r="AJ18" s="61">
        <f>VLOOKUP($B18,'7. PGE_Efficacité'!$A$6:$AO$268,40,0)</f>
        <v>0</v>
      </c>
      <c r="AK18" s="61">
        <f>VLOOKUP($B18,'7. PGE_Efficacité'!$A$6:$AO$268,41,0)</f>
        <v>0</v>
      </c>
    </row>
    <row r="19" spans="1:37" hidden="1" outlineLevel="1" x14ac:dyDescent="0.25">
      <c r="A19" s="65" t="s">
        <v>1</v>
      </c>
      <c r="B19" s="65" t="s">
        <v>721</v>
      </c>
      <c r="C19" s="65" t="s">
        <v>1381</v>
      </c>
      <c r="D19" s="65" t="s">
        <v>1520</v>
      </c>
      <c r="E19" s="65" t="s">
        <v>415</v>
      </c>
      <c r="F19" s="73">
        <v>2500000</v>
      </c>
      <c r="G19" s="64">
        <f>VLOOKUP($B19,'7. PGE_Efficacité'!$A$6:$AO$268,11,0)</f>
        <v>0</v>
      </c>
      <c r="H19" s="64">
        <f>VLOOKUP($B19,'7. PGE_Efficacité'!$A$6:$AO$268,12,0)</f>
        <v>0</v>
      </c>
      <c r="I19" s="64">
        <f>VLOOKUP($B19,'7. PGE_Efficacité'!$A$6:$AO$268,13,0)</f>
        <v>0</v>
      </c>
      <c r="J19" s="64">
        <f>VLOOKUP($B19,'7. PGE_Efficacité'!$A$6:$AO$268,14,0)</f>
        <v>0</v>
      </c>
      <c r="K19" s="64">
        <f>VLOOKUP($B19,'7. PGE_Efficacité'!$A$6:$AO$268,15,0)</f>
        <v>0</v>
      </c>
      <c r="L19" s="64">
        <f>VLOOKUP($B19,'7. PGE_Efficacité'!$A$6:$AO$268,16,0)</f>
        <v>0</v>
      </c>
      <c r="M19" s="64">
        <f>VLOOKUP($B19,'7. PGE_Efficacité'!$A$6:$AO$268,17,0)</f>
        <v>0</v>
      </c>
      <c r="N19" s="64">
        <f>VLOOKUP($B19,'7. PGE_Efficacité'!$A$6:$AO$268,18,0)</f>
        <v>0</v>
      </c>
      <c r="O19" s="64">
        <f>VLOOKUP($B19,'7. PGE_Efficacité'!$A$6:$AO$268,19,0)</f>
        <v>0</v>
      </c>
      <c r="P19" s="64">
        <f>VLOOKUP($B19,'7. PGE_Efficacité'!$A$6:$AO$268,20,0)</f>
        <v>0</v>
      </c>
      <c r="Q19" s="64">
        <f>VLOOKUP($B19,'7. PGE_Efficacité'!$A$6:$AO$268,21,0)</f>
        <v>0</v>
      </c>
      <c r="R19" s="64">
        <f>VLOOKUP($B19,'7. PGE_Efficacité'!$A$6:$AO$268,22,0)</f>
        <v>0</v>
      </c>
      <c r="S19" s="64">
        <f>VLOOKUP($B19,'7. PGE_Efficacité'!$A$6:$AO$268,23,0)</f>
        <v>0</v>
      </c>
      <c r="T19" s="64">
        <f>VLOOKUP($B19,'7. PGE_Efficacité'!$A$6:$AO$268,24,0)</f>
        <v>0</v>
      </c>
      <c r="U19" s="64">
        <f>VLOOKUP($B19,'7. PGE_Efficacité'!$A$6:$AO$268,25,0)</f>
        <v>0</v>
      </c>
      <c r="V19" s="64">
        <f>VLOOKUP($B19,'7. PGE_Efficacité'!$A$6:$AO$268,26,0)</f>
        <v>0</v>
      </c>
      <c r="W19" s="61">
        <f>VLOOKUP($B19,'7. PGE_Efficacité'!$A$6:$AO$268,27,0)</f>
        <v>0</v>
      </c>
      <c r="X19" s="61">
        <f>VLOOKUP($B19,'7. PGE_Efficacité'!$A$6:$AO$268,28,0)</f>
        <v>0</v>
      </c>
      <c r="Y19" s="61">
        <f>VLOOKUP($B19,'7. PGE_Efficacité'!$A$6:$AO$268,29,0)</f>
        <v>0</v>
      </c>
      <c r="Z19" s="61">
        <f>VLOOKUP($B19,'7. PGE_Efficacité'!$A$6:$AO$268,30,0)</f>
        <v>0</v>
      </c>
      <c r="AA19" s="61">
        <f>VLOOKUP($B19,'7. PGE_Efficacité'!$A$6:$AO$268,31,0)</f>
        <v>0</v>
      </c>
      <c r="AB19" s="61">
        <f>VLOOKUP($B19,'7. PGE_Efficacité'!$A$6:$AO$268,32,0)</f>
        <v>0</v>
      </c>
      <c r="AC19" s="61">
        <f>VLOOKUP($B19,'7. PGE_Efficacité'!$A$6:$AO$268,33,0)</f>
        <v>0</v>
      </c>
      <c r="AD19" s="61" t="str">
        <f>VLOOKUP($B19,'7. PGE_Efficacité'!$A$6:$AO$268,34,0)</f>
        <v>++</v>
      </c>
      <c r="AE19" s="61" t="str">
        <f>VLOOKUP($B19,'7. PGE_Efficacité'!$A$6:$AO$268,35,0)</f>
        <v>++</v>
      </c>
      <c r="AF19" s="61" t="str">
        <f>VLOOKUP($B19,'7. PGE_Efficacité'!$A$6:$AO$268,36,0)</f>
        <v>++</v>
      </c>
      <c r="AG19" s="61">
        <f>VLOOKUP($B19,'7. PGE_Efficacité'!$A$6:$AO$268,37,0)</f>
        <v>0</v>
      </c>
      <c r="AH19" s="61">
        <f>VLOOKUP($B19,'7. PGE_Efficacité'!$A$6:$AO$268,38,0)</f>
        <v>0</v>
      </c>
      <c r="AI19" s="61">
        <f>VLOOKUP($B19,'7. PGE_Efficacité'!$A$6:$AO$268,39,0)</f>
        <v>0</v>
      </c>
      <c r="AJ19" s="61">
        <f>VLOOKUP($B19,'7. PGE_Efficacité'!$A$6:$AO$268,40,0)</f>
        <v>0</v>
      </c>
      <c r="AK19" s="61">
        <f>VLOOKUP($B19,'7. PGE_Efficacité'!$A$6:$AO$268,41,0)</f>
        <v>0</v>
      </c>
    </row>
    <row r="20" spans="1:37" hidden="1" outlineLevel="1" x14ac:dyDescent="0.25">
      <c r="A20" s="65" t="s">
        <v>1</v>
      </c>
      <c r="B20" s="65" t="s">
        <v>722</v>
      </c>
      <c r="C20" s="65" t="s">
        <v>1382</v>
      </c>
      <c r="D20" s="65" t="s">
        <v>1520</v>
      </c>
      <c r="E20" s="65" t="s">
        <v>415</v>
      </c>
      <c r="F20" s="73">
        <v>90000</v>
      </c>
      <c r="G20" s="64">
        <f>VLOOKUP($B20,'7. PGE_Efficacité'!$A$6:$AO$268,11,0)</f>
        <v>0</v>
      </c>
      <c r="H20" s="64">
        <f>VLOOKUP($B20,'7. PGE_Efficacité'!$A$6:$AO$268,12,0)</f>
        <v>0</v>
      </c>
      <c r="I20" s="64">
        <f>VLOOKUP($B20,'7. PGE_Efficacité'!$A$6:$AO$268,13,0)</f>
        <v>0</v>
      </c>
      <c r="J20" s="64">
        <f>VLOOKUP($B20,'7. PGE_Efficacité'!$A$6:$AO$268,14,0)</f>
        <v>0</v>
      </c>
      <c r="K20" s="64">
        <f>VLOOKUP($B20,'7. PGE_Efficacité'!$A$6:$AO$268,15,0)</f>
        <v>0</v>
      </c>
      <c r="L20" s="64">
        <f>VLOOKUP($B20,'7. PGE_Efficacité'!$A$6:$AO$268,16,0)</f>
        <v>0</v>
      </c>
      <c r="M20" s="64">
        <f>VLOOKUP($B20,'7. PGE_Efficacité'!$A$6:$AO$268,17,0)</f>
        <v>0</v>
      </c>
      <c r="N20" s="64">
        <f>VLOOKUP($B20,'7. PGE_Efficacité'!$A$6:$AO$268,18,0)</f>
        <v>0</v>
      </c>
      <c r="O20" s="64">
        <f>VLOOKUP($B20,'7. PGE_Efficacité'!$A$6:$AO$268,19,0)</f>
        <v>0</v>
      </c>
      <c r="P20" s="64">
        <f>VLOOKUP($B20,'7. PGE_Efficacité'!$A$6:$AO$268,20,0)</f>
        <v>0</v>
      </c>
      <c r="Q20" s="64">
        <f>VLOOKUP($B20,'7. PGE_Efficacité'!$A$6:$AO$268,21,0)</f>
        <v>0</v>
      </c>
      <c r="R20" s="64">
        <f>VLOOKUP($B20,'7. PGE_Efficacité'!$A$6:$AO$268,22,0)</f>
        <v>0</v>
      </c>
      <c r="S20" s="64">
        <f>VLOOKUP($B20,'7. PGE_Efficacité'!$A$6:$AO$268,23,0)</f>
        <v>0</v>
      </c>
      <c r="T20" s="64">
        <f>VLOOKUP($B20,'7. PGE_Efficacité'!$A$6:$AO$268,24,0)</f>
        <v>0</v>
      </c>
      <c r="U20" s="64">
        <f>VLOOKUP($B20,'7. PGE_Efficacité'!$A$6:$AO$268,25,0)</f>
        <v>0</v>
      </c>
      <c r="V20" s="64">
        <f>VLOOKUP($B20,'7. PGE_Efficacité'!$A$6:$AO$268,26,0)</f>
        <v>0</v>
      </c>
      <c r="W20" s="61">
        <f>VLOOKUP($B20,'7. PGE_Efficacité'!$A$6:$AO$268,27,0)</f>
        <v>0</v>
      </c>
      <c r="X20" s="61">
        <f>VLOOKUP($B20,'7. PGE_Efficacité'!$A$6:$AO$268,28,0)</f>
        <v>0</v>
      </c>
      <c r="Y20" s="61">
        <f>VLOOKUP($B20,'7. PGE_Efficacité'!$A$6:$AO$268,29,0)</f>
        <v>0</v>
      </c>
      <c r="Z20" s="61">
        <f>VLOOKUP($B20,'7. PGE_Efficacité'!$A$6:$AO$268,30,0)</f>
        <v>0</v>
      </c>
      <c r="AA20" s="61">
        <f>VLOOKUP($B20,'7. PGE_Efficacité'!$A$6:$AO$268,31,0)</f>
        <v>0</v>
      </c>
      <c r="AB20" s="61">
        <f>VLOOKUP($B20,'7. PGE_Efficacité'!$A$6:$AO$268,32,0)</f>
        <v>0</v>
      </c>
      <c r="AC20" s="61">
        <f>VLOOKUP($B20,'7. PGE_Efficacité'!$A$6:$AO$268,33,0)</f>
        <v>0</v>
      </c>
      <c r="AD20" s="61">
        <f>VLOOKUP($B20,'7. PGE_Efficacité'!$A$6:$AO$268,34,0)</f>
        <v>0</v>
      </c>
      <c r="AE20" s="61">
        <f>VLOOKUP($B20,'7. PGE_Efficacité'!$A$6:$AO$268,35,0)</f>
        <v>0</v>
      </c>
      <c r="AF20" s="61">
        <f>VLOOKUP($B20,'7. PGE_Efficacité'!$A$6:$AO$268,36,0)</f>
        <v>0</v>
      </c>
      <c r="AG20" s="61">
        <f>VLOOKUP($B20,'7. PGE_Efficacité'!$A$6:$AO$268,37,0)</f>
        <v>0</v>
      </c>
      <c r="AH20" s="61">
        <f>VLOOKUP($B20,'7. PGE_Efficacité'!$A$6:$AO$268,38,0)</f>
        <v>0</v>
      </c>
      <c r="AI20" s="61">
        <f>VLOOKUP($B20,'7. PGE_Efficacité'!$A$6:$AO$268,39,0)</f>
        <v>0</v>
      </c>
      <c r="AJ20" s="61">
        <f>VLOOKUP($B20,'7. PGE_Efficacité'!$A$6:$AO$268,40,0)</f>
        <v>0</v>
      </c>
      <c r="AK20" s="61">
        <f>VLOOKUP($B20,'7. PGE_Efficacité'!$A$6:$AO$268,41,0)</f>
        <v>0</v>
      </c>
    </row>
    <row r="21" spans="1:37" hidden="1" outlineLevel="1" x14ac:dyDescent="0.25">
      <c r="A21" s="65" t="s">
        <v>1</v>
      </c>
      <c r="B21" s="65" t="s">
        <v>723</v>
      </c>
      <c r="C21" s="65" t="s">
        <v>1382</v>
      </c>
      <c r="D21" s="65" t="s">
        <v>1520</v>
      </c>
      <c r="E21" s="65" t="s">
        <v>415</v>
      </c>
      <c r="F21" s="73">
        <v>550000</v>
      </c>
      <c r="G21" s="64">
        <f>VLOOKUP($B21,'7. PGE_Efficacité'!$A$6:$AO$268,11,0)</f>
        <v>0</v>
      </c>
      <c r="H21" s="64">
        <f>VLOOKUP($B21,'7. PGE_Efficacité'!$A$6:$AO$268,12,0)</f>
        <v>0</v>
      </c>
      <c r="I21" s="64">
        <f>VLOOKUP($B21,'7. PGE_Efficacité'!$A$6:$AO$268,13,0)</f>
        <v>0</v>
      </c>
      <c r="J21" s="64">
        <f>VLOOKUP($B21,'7. PGE_Efficacité'!$A$6:$AO$268,14,0)</f>
        <v>0</v>
      </c>
      <c r="K21" s="64">
        <f>VLOOKUP($B21,'7. PGE_Efficacité'!$A$6:$AO$268,15,0)</f>
        <v>0</v>
      </c>
      <c r="L21" s="64">
        <f>VLOOKUP($B21,'7. PGE_Efficacité'!$A$6:$AO$268,16,0)</f>
        <v>0</v>
      </c>
      <c r="M21" s="64">
        <f>VLOOKUP($B21,'7. PGE_Efficacité'!$A$6:$AO$268,17,0)</f>
        <v>0</v>
      </c>
      <c r="N21" s="64">
        <f>VLOOKUP($B21,'7. PGE_Efficacité'!$A$6:$AO$268,18,0)</f>
        <v>0</v>
      </c>
      <c r="O21" s="64">
        <f>VLOOKUP($B21,'7. PGE_Efficacité'!$A$6:$AO$268,19,0)</f>
        <v>0</v>
      </c>
      <c r="P21" s="64">
        <f>VLOOKUP($B21,'7. PGE_Efficacité'!$A$6:$AO$268,20,0)</f>
        <v>0</v>
      </c>
      <c r="Q21" s="64">
        <f>VLOOKUP($B21,'7. PGE_Efficacité'!$A$6:$AO$268,21,0)</f>
        <v>0</v>
      </c>
      <c r="R21" s="64">
        <f>VLOOKUP($B21,'7. PGE_Efficacité'!$A$6:$AO$268,22,0)</f>
        <v>0</v>
      </c>
      <c r="S21" s="64">
        <f>VLOOKUP($B21,'7. PGE_Efficacité'!$A$6:$AO$268,23,0)</f>
        <v>0</v>
      </c>
      <c r="T21" s="64">
        <f>VLOOKUP($B21,'7. PGE_Efficacité'!$A$6:$AO$268,24,0)</f>
        <v>0</v>
      </c>
      <c r="U21" s="64">
        <f>VLOOKUP($B21,'7. PGE_Efficacité'!$A$6:$AO$268,25,0)</f>
        <v>0</v>
      </c>
      <c r="V21" s="64">
        <f>VLOOKUP($B21,'7. PGE_Efficacité'!$A$6:$AO$268,26,0)</f>
        <v>0</v>
      </c>
      <c r="W21" s="61">
        <f>VLOOKUP($B21,'7. PGE_Efficacité'!$A$6:$AO$268,27,0)</f>
        <v>0</v>
      </c>
      <c r="X21" s="61">
        <f>VLOOKUP($B21,'7. PGE_Efficacité'!$A$6:$AO$268,28,0)</f>
        <v>0</v>
      </c>
      <c r="Y21" s="61">
        <f>VLOOKUP($B21,'7. PGE_Efficacité'!$A$6:$AO$268,29,0)</f>
        <v>0</v>
      </c>
      <c r="Z21" s="61">
        <f>VLOOKUP($B21,'7. PGE_Efficacité'!$A$6:$AO$268,30,0)</f>
        <v>0</v>
      </c>
      <c r="AA21" s="61">
        <f>VLOOKUP($B21,'7. PGE_Efficacité'!$A$6:$AO$268,31,0)</f>
        <v>0</v>
      </c>
      <c r="AB21" s="61">
        <f>VLOOKUP($B21,'7. PGE_Efficacité'!$A$6:$AO$268,32,0)</f>
        <v>0</v>
      </c>
      <c r="AC21" s="61">
        <f>VLOOKUP($B21,'7. PGE_Efficacité'!$A$6:$AO$268,33,0)</f>
        <v>0</v>
      </c>
      <c r="AD21" s="61" t="str">
        <f>VLOOKUP($B21,'7. PGE_Efficacité'!$A$6:$AO$268,34,0)</f>
        <v>+</v>
      </c>
      <c r="AE21" s="61" t="str">
        <f>VLOOKUP($B21,'7. PGE_Efficacité'!$A$6:$AO$268,35,0)</f>
        <v>+</v>
      </c>
      <c r="AF21" s="61" t="str">
        <f>VLOOKUP($B21,'7. PGE_Efficacité'!$A$6:$AO$268,36,0)</f>
        <v>+</v>
      </c>
      <c r="AG21" s="61">
        <f>VLOOKUP($B21,'7. PGE_Efficacité'!$A$6:$AO$268,37,0)</f>
        <v>0</v>
      </c>
      <c r="AH21" s="61">
        <f>VLOOKUP($B21,'7. PGE_Efficacité'!$A$6:$AO$268,38,0)</f>
        <v>0</v>
      </c>
      <c r="AI21" s="61">
        <f>VLOOKUP($B21,'7. PGE_Efficacité'!$A$6:$AO$268,39,0)</f>
        <v>0</v>
      </c>
      <c r="AJ21" s="61">
        <f>VLOOKUP($B21,'7. PGE_Efficacité'!$A$6:$AO$268,40,0)</f>
        <v>0</v>
      </c>
      <c r="AK21" s="61">
        <f>VLOOKUP($B21,'7. PGE_Efficacité'!$A$6:$AO$268,41,0)</f>
        <v>0</v>
      </c>
    </row>
    <row r="22" spans="1:37" hidden="1" outlineLevel="1" x14ac:dyDescent="0.25">
      <c r="A22" s="65" t="s">
        <v>1</v>
      </c>
      <c r="B22" s="65" t="s">
        <v>724</v>
      </c>
      <c r="C22" s="65" t="s">
        <v>1383</v>
      </c>
      <c r="D22" s="65" t="s">
        <v>1520</v>
      </c>
      <c r="E22" s="65" t="s">
        <v>415</v>
      </c>
      <c r="F22" s="73">
        <v>150000</v>
      </c>
      <c r="G22" s="64">
        <f>VLOOKUP($B22,'7. PGE_Efficacité'!$A$6:$AO$268,11,0)</f>
        <v>0</v>
      </c>
      <c r="H22" s="64">
        <f>VLOOKUP($B22,'7. PGE_Efficacité'!$A$6:$AO$268,12,0)</f>
        <v>0</v>
      </c>
      <c r="I22" s="64">
        <f>VLOOKUP($B22,'7. PGE_Efficacité'!$A$6:$AO$268,13,0)</f>
        <v>0</v>
      </c>
      <c r="J22" s="64">
        <f>VLOOKUP($B22,'7. PGE_Efficacité'!$A$6:$AO$268,14,0)</f>
        <v>0</v>
      </c>
      <c r="K22" s="64">
        <f>VLOOKUP($B22,'7. PGE_Efficacité'!$A$6:$AO$268,15,0)</f>
        <v>0</v>
      </c>
      <c r="L22" s="64">
        <f>VLOOKUP($B22,'7. PGE_Efficacité'!$A$6:$AO$268,16,0)</f>
        <v>0</v>
      </c>
      <c r="M22" s="64">
        <f>VLOOKUP($B22,'7. PGE_Efficacité'!$A$6:$AO$268,17,0)</f>
        <v>0</v>
      </c>
      <c r="N22" s="64">
        <f>VLOOKUP($B22,'7. PGE_Efficacité'!$A$6:$AO$268,18,0)</f>
        <v>0</v>
      </c>
      <c r="O22" s="64">
        <f>VLOOKUP($B22,'7. PGE_Efficacité'!$A$6:$AO$268,19,0)</f>
        <v>0</v>
      </c>
      <c r="P22" s="64">
        <f>VLOOKUP($B22,'7. PGE_Efficacité'!$A$6:$AO$268,20,0)</f>
        <v>0</v>
      </c>
      <c r="Q22" s="64">
        <f>VLOOKUP($B22,'7. PGE_Efficacité'!$A$6:$AO$268,21,0)</f>
        <v>0</v>
      </c>
      <c r="R22" s="64">
        <f>VLOOKUP($B22,'7. PGE_Efficacité'!$A$6:$AO$268,22,0)</f>
        <v>0</v>
      </c>
      <c r="S22" s="64">
        <f>VLOOKUP($B22,'7. PGE_Efficacité'!$A$6:$AO$268,23,0)</f>
        <v>0</v>
      </c>
      <c r="T22" s="64">
        <f>VLOOKUP($B22,'7. PGE_Efficacité'!$A$6:$AO$268,24,0)</f>
        <v>0</v>
      </c>
      <c r="U22" s="64">
        <f>VLOOKUP($B22,'7. PGE_Efficacité'!$A$6:$AO$268,25,0)</f>
        <v>0</v>
      </c>
      <c r="V22" s="64">
        <f>VLOOKUP($B22,'7. PGE_Efficacité'!$A$6:$AO$268,26,0)</f>
        <v>0</v>
      </c>
      <c r="W22" s="61">
        <f>VLOOKUP($B22,'7. PGE_Efficacité'!$A$6:$AO$268,27,0)</f>
        <v>0</v>
      </c>
      <c r="X22" s="61">
        <f>VLOOKUP($B22,'7. PGE_Efficacité'!$A$6:$AO$268,28,0)</f>
        <v>0</v>
      </c>
      <c r="Y22" s="61">
        <f>VLOOKUP($B22,'7. PGE_Efficacité'!$A$6:$AO$268,29,0)</f>
        <v>0</v>
      </c>
      <c r="Z22" s="61">
        <f>VLOOKUP($B22,'7. PGE_Efficacité'!$A$6:$AO$268,30,0)</f>
        <v>0</v>
      </c>
      <c r="AA22" s="61">
        <f>VLOOKUP($B22,'7. PGE_Efficacité'!$A$6:$AO$268,31,0)</f>
        <v>0</v>
      </c>
      <c r="AB22" s="61">
        <f>VLOOKUP($B22,'7. PGE_Efficacité'!$A$6:$AO$268,32,0)</f>
        <v>0</v>
      </c>
      <c r="AC22" s="61">
        <f>VLOOKUP($B22,'7. PGE_Efficacité'!$A$6:$AO$268,33,0)</f>
        <v>0</v>
      </c>
      <c r="AD22" s="61">
        <f>VLOOKUP($B22,'7. PGE_Efficacité'!$A$6:$AO$268,34,0)</f>
        <v>0</v>
      </c>
      <c r="AE22" s="61">
        <f>VLOOKUP($B22,'7. PGE_Efficacité'!$A$6:$AO$268,35,0)</f>
        <v>0</v>
      </c>
      <c r="AF22" s="61">
        <f>VLOOKUP($B22,'7. PGE_Efficacité'!$A$6:$AO$268,36,0)</f>
        <v>0</v>
      </c>
      <c r="AG22" s="61">
        <f>VLOOKUP($B22,'7. PGE_Efficacité'!$A$6:$AO$268,37,0)</f>
        <v>0</v>
      </c>
      <c r="AH22" s="61">
        <f>VLOOKUP($B22,'7. PGE_Efficacité'!$A$6:$AO$268,38,0)</f>
        <v>0</v>
      </c>
      <c r="AI22" s="61">
        <f>VLOOKUP($B22,'7. PGE_Efficacité'!$A$6:$AO$268,39,0)</f>
        <v>0</v>
      </c>
      <c r="AJ22" s="61">
        <f>VLOOKUP($B22,'7. PGE_Efficacité'!$A$6:$AO$268,40,0)</f>
        <v>0</v>
      </c>
      <c r="AK22" s="61">
        <f>VLOOKUP($B22,'7. PGE_Efficacité'!$A$6:$AO$268,41,0)</f>
        <v>0</v>
      </c>
    </row>
    <row r="23" spans="1:37" hidden="1" outlineLevel="1" x14ac:dyDescent="0.25">
      <c r="A23" s="65" t="s">
        <v>1</v>
      </c>
      <c r="B23" s="65" t="s">
        <v>725</v>
      </c>
      <c r="C23" s="65" t="s">
        <v>1384</v>
      </c>
      <c r="D23" s="65" t="s">
        <v>1520</v>
      </c>
      <c r="E23" s="65" t="s">
        <v>415</v>
      </c>
      <c r="F23" s="73">
        <v>600000</v>
      </c>
      <c r="G23" s="64">
        <f>VLOOKUP($B23,'7. PGE_Efficacité'!$A$6:$AO$268,11,0)</f>
        <v>0</v>
      </c>
      <c r="H23" s="64">
        <f>VLOOKUP($B23,'7. PGE_Efficacité'!$A$6:$AO$268,12,0)</f>
        <v>0</v>
      </c>
      <c r="I23" s="64">
        <f>VLOOKUP($B23,'7. PGE_Efficacité'!$A$6:$AO$268,13,0)</f>
        <v>0</v>
      </c>
      <c r="J23" s="64">
        <f>VLOOKUP($B23,'7. PGE_Efficacité'!$A$6:$AO$268,14,0)</f>
        <v>0</v>
      </c>
      <c r="K23" s="64">
        <f>VLOOKUP($B23,'7. PGE_Efficacité'!$A$6:$AO$268,15,0)</f>
        <v>0</v>
      </c>
      <c r="L23" s="64">
        <f>VLOOKUP($B23,'7. PGE_Efficacité'!$A$6:$AO$268,16,0)</f>
        <v>0</v>
      </c>
      <c r="M23" s="64">
        <f>VLOOKUP($B23,'7. PGE_Efficacité'!$A$6:$AO$268,17,0)</f>
        <v>0</v>
      </c>
      <c r="N23" s="64">
        <f>VLOOKUP($B23,'7. PGE_Efficacité'!$A$6:$AO$268,18,0)</f>
        <v>0</v>
      </c>
      <c r="O23" s="64">
        <f>VLOOKUP($B23,'7. PGE_Efficacité'!$A$6:$AO$268,19,0)</f>
        <v>0</v>
      </c>
      <c r="P23" s="64">
        <f>VLOOKUP($B23,'7. PGE_Efficacité'!$A$6:$AO$268,20,0)</f>
        <v>0</v>
      </c>
      <c r="Q23" s="64">
        <f>VLOOKUP($B23,'7. PGE_Efficacité'!$A$6:$AO$268,21,0)</f>
        <v>0</v>
      </c>
      <c r="R23" s="64">
        <f>VLOOKUP($B23,'7. PGE_Efficacité'!$A$6:$AO$268,22,0)</f>
        <v>0</v>
      </c>
      <c r="S23" s="64">
        <f>VLOOKUP($B23,'7. PGE_Efficacité'!$A$6:$AO$268,23,0)</f>
        <v>0</v>
      </c>
      <c r="T23" s="64">
        <f>VLOOKUP($B23,'7. PGE_Efficacité'!$A$6:$AO$268,24,0)</f>
        <v>0</v>
      </c>
      <c r="U23" s="64">
        <f>VLOOKUP($B23,'7. PGE_Efficacité'!$A$6:$AO$268,25,0)</f>
        <v>0</v>
      </c>
      <c r="V23" s="64">
        <f>VLOOKUP($B23,'7. PGE_Efficacité'!$A$6:$AO$268,26,0)</f>
        <v>0</v>
      </c>
      <c r="W23" s="61">
        <f>VLOOKUP($B23,'7. PGE_Efficacité'!$A$6:$AO$268,27,0)</f>
        <v>0</v>
      </c>
      <c r="X23" s="61">
        <f>VLOOKUP($B23,'7. PGE_Efficacité'!$A$6:$AO$268,28,0)</f>
        <v>0</v>
      </c>
      <c r="Y23" s="61">
        <f>VLOOKUP($B23,'7. PGE_Efficacité'!$A$6:$AO$268,29,0)</f>
        <v>0</v>
      </c>
      <c r="Z23" s="61">
        <f>VLOOKUP($B23,'7. PGE_Efficacité'!$A$6:$AO$268,30,0)</f>
        <v>0</v>
      </c>
      <c r="AA23" s="61">
        <f>VLOOKUP($B23,'7. PGE_Efficacité'!$A$6:$AO$268,31,0)</f>
        <v>0</v>
      </c>
      <c r="AB23" s="61">
        <f>VLOOKUP($B23,'7. PGE_Efficacité'!$A$6:$AO$268,32,0)</f>
        <v>0</v>
      </c>
      <c r="AC23" s="61">
        <f>VLOOKUP($B23,'7. PGE_Efficacité'!$A$6:$AO$268,33,0)</f>
        <v>0</v>
      </c>
      <c r="AD23" s="61" t="str">
        <f>VLOOKUP($B23,'7. PGE_Efficacité'!$A$6:$AO$268,34,0)</f>
        <v>+</v>
      </c>
      <c r="AE23" s="61" t="str">
        <f>VLOOKUP($B23,'7. PGE_Efficacité'!$A$6:$AO$268,35,0)</f>
        <v>+</v>
      </c>
      <c r="AF23" s="61" t="str">
        <f>VLOOKUP($B23,'7. PGE_Efficacité'!$A$6:$AO$268,36,0)</f>
        <v>+</v>
      </c>
      <c r="AG23" s="61">
        <f>VLOOKUP($B23,'7. PGE_Efficacité'!$A$6:$AO$268,37,0)</f>
        <v>0</v>
      </c>
      <c r="AH23" s="61">
        <f>VLOOKUP($B23,'7. PGE_Efficacité'!$A$6:$AO$268,38,0)</f>
        <v>0</v>
      </c>
      <c r="AI23" s="61">
        <f>VLOOKUP($B23,'7. PGE_Efficacité'!$A$6:$AO$268,39,0)</f>
        <v>0</v>
      </c>
      <c r="AJ23" s="61">
        <f>VLOOKUP($B23,'7. PGE_Efficacité'!$A$6:$AO$268,40,0)</f>
        <v>0</v>
      </c>
      <c r="AK23" s="61">
        <f>VLOOKUP($B23,'7. PGE_Efficacité'!$A$6:$AO$268,41,0)</f>
        <v>0</v>
      </c>
    </row>
    <row r="24" spans="1:37" hidden="1" outlineLevel="1" x14ac:dyDescent="0.25">
      <c r="A24" s="65" t="s">
        <v>1</v>
      </c>
      <c r="B24" s="65" t="s">
        <v>726</v>
      </c>
      <c r="C24" s="65" t="s">
        <v>1385</v>
      </c>
      <c r="D24" s="65" t="s">
        <v>1520</v>
      </c>
      <c r="E24" s="65" t="s">
        <v>415</v>
      </c>
      <c r="F24" s="73">
        <v>150000</v>
      </c>
      <c r="G24" s="64">
        <f>VLOOKUP($B24,'7. PGE_Efficacité'!$A$6:$AO$268,11,0)</f>
        <v>0</v>
      </c>
      <c r="H24" s="64">
        <f>VLOOKUP($B24,'7. PGE_Efficacité'!$A$6:$AO$268,12,0)</f>
        <v>0</v>
      </c>
      <c r="I24" s="64">
        <f>VLOOKUP($B24,'7. PGE_Efficacité'!$A$6:$AO$268,13,0)</f>
        <v>0</v>
      </c>
      <c r="J24" s="64">
        <f>VLOOKUP($B24,'7. PGE_Efficacité'!$A$6:$AO$268,14,0)</f>
        <v>0</v>
      </c>
      <c r="K24" s="64">
        <f>VLOOKUP($B24,'7. PGE_Efficacité'!$A$6:$AO$268,15,0)</f>
        <v>0</v>
      </c>
      <c r="L24" s="64">
        <f>VLOOKUP($B24,'7. PGE_Efficacité'!$A$6:$AO$268,16,0)</f>
        <v>0</v>
      </c>
      <c r="M24" s="64">
        <f>VLOOKUP($B24,'7. PGE_Efficacité'!$A$6:$AO$268,17,0)</f>
        <v>0</v>
      </c>
      <c r="N24" s="64">
        <f>VLOOKUP($B24,'7. PGE_Efficacité'!$A$6:$AO$268,18,0)</f>
        <v>0</v>
      </c>
      <c r="O24" s="64">
        <f>VLOOKUP($B24,'7. PGE_Efficacité'!$A$6:$AO$268,19,0)</f>
        <v>0</v>
      </c>
      <c r="P24" s="64">
        <f>VLOOKUP($B24,'7. PGE_Efficacité'!$A$6:$AO$268,20,0)</f>
        <v>0</v>
      </c>
      <c r="Q24" s="64">
        <f>VLOOKUP($B24,'7. PGE_Efficacité'!$A$6:$AO$268,21,0)</f>
        <v>0</v>
      </c>
      <c r="R24" s="64">
        <f>VLOOKUP($B24,'7. PGE_Efficacité'!$A$6:$AO$268,22,0)</f>
        <v>0</v>
      </c>
      <c r="S24" s="64">
        <f>VLOOKUP($B24,'7. PGE_Efficacité'!$A$6:$AO$268,23,0)</f>
        <v>0</v>
      </c>
      <c r="T24" s="64">
        <f>VLOOKUP($B24,'7. PGE_Efficacité'!$A$6:$AO$268,24,0)</f>
        <v>0</v>
      </c>
      <c r="U24" s="64">
        <f>VLOOKUP($B24,'7. PGE_Efficacité'!$A$6:$AO$268,25,0)</f>
        <v>0</v>
      </c>
      <c r="V24" s="64">
        <f>VLOOKUP($B24,'7. PGE_Efficacité'!$A$6:$AO$268,26,0)</f>
        <v>0</v>
      </c>
      <c r="W24" s="61">
        <f>VLOOKUP($B24,'7. PGE_Efficacité'!$A$6:$AO$268,27,0)</f>
        <v>0</v>
      </c>
      <c r="X24" s="61">
        <f>VLOOKUP($B24,'7. PGE_Efficacité'!$A$6:$AO$268,28,0)</f>
        <v>0</v>
      </c>
      <c r="Y24" s="61">
        <f>VLOOKUP($B24,'7. PGE_Efficacité'!$A$6:$AO$268,29,0)</f>
        <v>0</v>
      </c>
      <c r="Z24" s="61">
        <f>VLOOKUP($B24,'7. PGE_Efficacité'!$A$6:$AO$268,30,0)</f>
        <v>0</v>
      </c>
      <c r="AA24" s="61">
        <f>VLOOKUP($B24,'7. PGE_Efficacité'!$A$6:$AO$268,31,0)</f>
        <v>0</v>
      </c>
      <c r="AB24" s="61">
        <f>VLOOKUP($B24,'7. PGE_Efficacité'!$A$6:$AO$268,32,0)</f>
        <v>0</v>
      </c>
      <c r="AC24" s="61">
        <f>VLOOKUP($B24,'7. PGE_Efficacité'!$A$6:$AO$268,33,0)</f>
        <v>0</v>
      </c>
      <c r="AD24" s="61">
        <f>VLOOKUP($B24,'7. PGE_Efficacité'!$A$6:$AO$268,34,0)</f>
        <v>0</v>
      </c>
      <c r="AE24" s="61">
        <f>VLOOKUP($B24,'7. PGE_Efficacité'!$A$6:$AO$268,35,0)</f>
        <v>0</v>
      </c>
      <c r="AF24" s="61">
        <f>VLOOKUP($B24,'7. PGE_Efficacité'!$A$6:$AO$268,36,0)</f>
        <v>0</v>
      </c>
      <c r="AG24" s="61">
        <f>VLOOKUP($B24,'7. PGE_Efficacité'!$A$6:$AO$268,37,0)</f>
        <v>0</v>
      </c>
      <c r="AH24" s="61">
        <f>VLOOKUP($B24,'7. PGE_Efficacité'!$A$6:$AO$268,38,0)</f>
        <v>0</v>
      </c>
      <c r="AI24" s="61">
        <f>VLOOKUP($B24,'7. PGE_Efficacité'!$A$6:$AO$268,39,0)</f>
        <v>0</v>
      </c>
      <c r="AJ24" s="61">
        <f>VLOOKUP($B24,'7. PGE_Efficacité'!$A$6:$AO$268,40,0)</f>
        <v>0</v>
      </c>
      <c r="AK24" s="61">
        <f>VLOOKUP($B24,'7. PGE_Efficacité'!$A$6:$AO$268,41,0)</f>
        <v>0</v>
      </c>
    </row>
    <row r="25" spans="1:37" hidden="1" outlineLevel="1" x14ac:dyDescent="0.25">
      <c r="A25" s="65" t="s">
        <v>1</v>
      </c>
      <c r="B25" s="65" t="s">
        <v>727</v>
      </c>
      <c r="C25" s="65" t="s">
        <v>1361</v>
      </c>
      <c r="D25" s="65" t="s">
        <v>1520</v>
      </c>
      <c r="E25" s="65" t="s">
        <v>415</v>
      </c>
      <c r="F25" s="73">
        <v>50000</v>
      </c>
      <c r="G25" s="64">
        <f>VLOOKUP($B25,'7. PGE_Efficacité'!$A$6:$AO$268,11,0)</f>
        <v>0</v>
      </c>
      <c r="H25" s="64">
        <f>VLOOKUP($B25,'7. PGE_Efficacité'!$A$6:$AO$268,12,0)</f>
        <v>0</v>
      </c>
      <c r="I25" s="64">
        <f>VLOOKUP($B25,'7. PGE_Efficacité'!$A$6:$AO$268,13,0)</f>
        <v>0</v>
      </c>
      <c r="J25" s="64">
        <f>VLOOKUP($B25,'7. PGE_Efficacité'!$A$6:$AO$268,14,0)</f>
        <v>0</v>
      </c>
      <c r="K25" s="64">
        <f>VLOOKUP($B25,'7. PGE_Efficacité'!$A$6:$AO$268,15,0)</f>
        <v>0</v>
      </c>
      <c r="L25" s="64">
        <f>VLOOKUP($B25,'7. PGE_Efficacité'!$A$6:$AO$268,16,0)</f>
        <v>0</v>
      </c>
      <c r="M25" s="64">
        <f>VLOOKUP($B25,'7. PGE_Efficacité'!$A$6:$AO$268,17,0)</f>
        <v>0</v>
      </c>
      <c r="N25" s="64">
        <f>VLOOKUP($B25,'7. PGE_Efficacité'!$A$6:$AO$268,18,0)</f>
        <v>0</v>
      </c>
      <c r="O25" s="64">
        <f>VLOOKUP($B25,'7. PGE_Efficacité'!$A$6:$AO$268,19,0)</f>
        <v>0</v>
      </c>
      <c r="P25" s="64">
        <f>VLOOKUP($B25,'7. PGE_Efficacité'!$A$6:$AO$268,20,0)</f>
        <v>0</v>
      </c>
      <c r="Q25" s="64">
        <f>VLOOKUP($B25,'7. PGE_Efficacité'!$A$6:$AO$268,21,0)</f>
        <v>0</v>
      </c>
      <c r="R25" s="64">
        <f>VLOOKUP($B25,'7. PGE_Efficacité'!$A$6:$AO$268,22,0)</f>
        <v>0</v>
      </c>
      <c r="S25" s="64">
        <f>VLOOKUP($B25,'7. PGE_Efficacité'!$A$6:$AO$268,23,0)</f>
        <v>0</v>
      </c>
      <c r="T25" s="64">
        <f>VLOOKUP($B25,'7. PGE_Efficacité'!$A$6:$AO$268,24,0)</f>
        <v>0</v>
      </c>
      <c r="U25" s="64">
        <f>VLOOKUP($B25,'7. PGE_Efficacité'!$A$6:$AO$268,25,0)</f>
        <v>0</v>
      </c>
      <c r="V25" s="64">
        <f>VLOOKUP($B25,'7. PGE_Efficacité'!$A$6:$AO$268,26,0)</f>
        <v>0</v>
      </c>
      <c r="W25" s="61">
        <f>VLOOKUP($B25,'7. PGE_Efficacité'!$A$6:$AO$268,27,0)</f>
        <v>0</v>
      </c>
      <c r="X25" s="61">
        <f>VLOOKUP($B25,'7. PGE_Efficacité'!$A$6:$AO$268,28,0)</f>
        <v>0</v>
      </c>
      <c r="Y25" s="61">
        <f>VLOOKUP($B25,'7. PGE_Efficacité'!$A$6:$AO$268,29,0)</f>
        <v>0</v>
      </c>
      <c r="Z25" s="61">
        <f>VLOOKUP($B25,'7. PGE_Efficacité'!$A$6:$AO$268,30,0)</f>
        <v>0</v>
      </c>
      <c r="AA25" s="61">
        <f>VLOOKUP($B25,'7. PGE_Efficacité'!$A$6:$AO$268,31,0)</f>
        <v>0</v>
      </c>
      <c r="AB25" s="61">
        <f>VLOOKUP($B25,'7. PGE_Efficacité'!$A$6:$AO$268,32,0)</f>
        <v>0</v>
      </c>
      <c r="AC25" s="61">
        <f>VLOOKUP($B25,'7. PGE_Efficacité'!$A$6:$AO$268,33,0)</f>
        <v>0</v>
      </c>
      <c r="AD25" s="61">
        <f>VLOOKUP($B25,'7. PGE_Efficacité'!$A$6:$AO$268,34,0)</f>
        <v>0</v>
      </c>
      <c r="AE25" s="61">
        <f>VLOOKUP($B25,'7. PGE_Efficacité'!$A$6:$AO$268,35,0)</f>
        <v>0</v>
      </c>
      <c r="AF25" s="61">
        <f>VLOOKUP($B25,'7. PGE_Efficacité'!$A$6:$AO$268,36,0)</f>
        <v>0</v>
      </c>
      <c r="AG25" s="61">
        <f>VLOOKUP($B25,'7. PGE_Efficacité'!$A$6:$AO$268,37,0)</f>
        <v>0</v>
      </c>
      <c r="AH25" s="61">
        <f>VLOOKUP($B25,'7. PGE_Efficacité'!$A$6:$AO$268,38,0)</f>
        <v>0</v>
      </c>
      <c r="AI25" s="61">
        <f>VLOOKUP($B25,'7. PGE_Efficacité'!$A$6:$AO$268,39,0)</f>
        <v>0</v>
      </c>
      <c r="AJ25" s="61">
        <f>VLOOKUP($B25,'7. PGE_Efficacité'!$A$6:$AO$268,40,0)</f>
        <v>0</v>
      </c>
      <c r="AK25" s="61">
        <f>VLOOKUP($B25,'7. PGE_Efficacité'!$A$6:$AO$268,41,0)</f>
        <v>0</v>
      </c>
    </row>
    <row r="26" spans="1:37" hidden="1" outlineLevel="1" x14ac:dyDescent="0.25">
      <c r="A26" s="65" t="s">
        <v>1</v>
      </c>
      <c r="B26" s="65" t="s">
        <v>701</v>
      </c>
      <c r="C26" s="65" t="s">
        <v>1361</v>
      </c>
      <c r="D26" s="65" t="s">
        <v>1520</v>
      </c>
      <c r="E26" s="65" t="s">
        <v>415</v>
      </c>
      <c r="F26" s="73">
        <v>0</v>
      </c>
      <c r="G26" s="64">
        <f>VLOOKUP($B26,'7. PGE_Efficacité'!$A$6:$AO$268,11,0)</f>
        <v>0</v>
      </c>
      <c r="H26" s="64">
        <f>VLOOKUP($B26,'7. PGE_Efficacité'!$A$6:$AO$268,12,0)</f>
        <v>0</v>
      </c>
      <c r="I26" s="64">
        <f>VLOOKUP($B26,'7. PGE_Efficacité'!$A$6:$AO$268,13,0)</f>
        <v>0</v>
      </c>
      <c r="J26" s="64">
        <f>VLOOKUP($B26,'7. PGE_Efficacité'!$A$6:$AO$268,14,0)</f>
        <v>0</v>
      </c>
      <c r="K26" s="64">
        <f>VLOOKUP($B26,'7. PGE_Efficacité'!$A$6:$AO$268,15,0)</f>
        <v>0</v>
      </c>
      <c r="L26" s="64">
        <f>VLOOKUP($B26,'7. PGE_Efficacité'!$A$6:$AO$268,16,0)</f>
        <v>0</v>
      </c>
      <c r="M26" s="64">
        <f>VLOOKUP($B26,'7. PGE_Efficacité'!$A$6:$AO$268,17,0)</f>
        <v>0</v>
      </c>
      <c r="N26" s="64">
        <f>VLOOKUP($B26,'7. PGE_Efficacité'!$A$6:$AO$268,18,0)</f>
        <v>0</v>
      </c>
      <c r="O26" s="64">
        <f>VLOOKUP($B26,'7. PGE_Efficacité'!$A$6:$AO$268,19,0)</f>
        <v>0</v>
      </c>
      <c r="P26" s="64">
        <f>VLOOKUP($B26,'7. PGE_Efficacité'!$A$6:$AO$268,20,0)</f>
        <v>0</v>
      </c>
      <c r="Q26" s="64">
        <f>VLOOKUP($B26,'7. PGE_Efficacité'!$A$6:$AO$268,21,0)</f>
        <v>0</v>
      </c>
      <c r="R26" s="64">
        <f>VLOOKUP($B26,'7. PGE_Efficacité'!$A$6:$AO$268,22,0)</f>
        <v>0</v>
      </c>
      <c r="S26" s="64">
        <f>VLOOKUP($B26,'7. PGE_Efficacité'!$A$6:$AO$268,23,0)</f>
        <v>0</v>
      </c>
      <c r="T26" s="64">
        <f>VLOOKUP($B26,'7. PGE_Efficacité'!$A$6:$AO$268,24,0)</f>
        <v>0</v>
      </c>
      <c r="U26" s="64">
        <f>VLOOKUP($B26,'7. PGE_Efficacité'!$A$6:$AO$268,25,0)</f>
        <v>0</v>
      </c>
      <c r="V26" s="64">
        <f>VLOOKUP($B26,'7. PGE_Efficacité'!$A$6:$AO$268,26,0)</f>
        <v>0</v>
      </c>
      <c r="W26" s="61">
        <f>VLOOKUP($B26,'7. PGE_Efficacité'!$A$6:$AO$268,27,0)</f>
        <v>0</v>
      </c>
      <c r="X26" s="61">
        <f>VLOOKUP($B26,'7. PGE_Efficacité'!$A$6:$AO$268,28,0)</f>
        <v>0</v>
      </c>
      <c r="Y26" s="61">
        <f>VLOOKUP($B26,'7. PGE_Efficacité'!$A$6:$AO$268,29,0)</f>
        <v>0</v>
      </c>
      <c r="Z26" s="61">
        <f>VLOOKUP($B26,'7. PGE_Efficacité'!$A$6:$AO$268,30,0)</f>
        <v>0</v>
      </c>
      <c r="AA26" s="61">
        <f>VLOOKUP($B26,'7. PGE_Efficacité'!$A$6:$AO$268,31,0)</f>
        <v>0</v>
      </c>
      <c r="AB26" s="61">
        <f>VLOOKUP($B26,'7. PGE_Efficacité'!$A$6:$AO$268,32,0)</f>
        <v>0</v>
      </c>
      <c r="AC26" s="61">
        <f>VLOOKUP($B26,'7. PGE_Efficacité'!$A$6:$AO$268,33,0)</f>
        <v>0</v>
      </c>
      <c r="AD26" s="61" t="str">
        <f>VLOOKUP($B26,'7. PGE_Efficacité'!$A$6:$AO$268,34,0)</f>
        <v>++</v>
      </c>
      <c r="AE26" s="61" t="str">
        <f>VLOOKUP($B26,'7. PGE_Efficacité'!$A$6:$AO$268,35,0)</f>
        <v>++</v>
      </c>
      <c r="AF26" s="61" t="str">
        <f>VLOOKUP($B26,'7. PGE_Efficacité'!$A$6:$AO$268,36,0)</f>
        <v>++</v>
      </c>
      <c r="AG26" s="61">
        <f>VLOOKUP($B26,'7. PGE_Efficacité'!$A$6:$AO$268,37,0)</f>
        <v>0</v>
      </c>
      <c r="AH26" s="61">
        <f>VLOOKUP($B26,'7. PGE_Efficacité'!$A$6:$AO$268,38,0)</f>
        <v>0</v>
      </c>
      <c r="AI26" s="61">
        <f>VLOOKUP($B26,'7. PGE_Efficacité'!$A$6:$AO$268,39,0)</f>
        <v>0</v>
      </c>
      <c r="AJ26" s="61">
        <f>VLOOKUP($B26,'7. PGE_Efficacité'!$A$6:$AO$268,40,0)</f>
        <v>0</v>
      </c>
      <c r="AK26" s="61">
        <f>VLOOKUP($B26,'7. PGE_Efficacité'!$A$6:$AO$268,41,0)</f>
        <v>0</v>
      </c>
    </row>
    <row r="27" spans="1:37" hidden="1" outlineLevel="1" x14ac:dyDescent="0.25">
      <c r="A27" s="65" t="s">
        <v>1</v>
      </c>
      <c r="B27" s="65" t="s">
        <v>702</v>
      </c>
      <c r="C27" s="65" t="s">
        <v>1362</v>
      </c>
      <c r="D27" s="65" t="s">
        <v>1520</v>
      </c>
      <c r="E27" s="65" t="s">
        <v>415</v>
      </c>
      <c r="F27" s="73">
        <v>0</v>
      </c>
      <c r="G27" s="64">
        <f>VLOOKUP($B27,'7. PGE_Efficacité'!$A$6:$AO$268,11,0)</f>
        <v>0</v>
      </c>
      <c r="H27" s="64">
        <f>VLOOKUP($B27,'7. PGE_Efficacité'!$A$6:$AO$268,12,0)</f>
        <v>0</v>
      </c>
      <c r="I27" s="64">
        <f>VLOOKUP($B27,'7. PGE_Efficacité'!$A$6:$AO$268,13,0)</f>
        <v>0</v>
      </c>
      <c r="J27" s="64">
        <f>VLOOKUP($B27,'7. PGE_Efficacité'!$A$6:$AO$268,14,0)</f>
        <v>0</v>
      </c>
      <c r="K27" s="64">
        <f>VLOOKUP($B27,'7. PGE_Efficacité'!$A$6:$AO$268,15,0)</f>
        <v>0</v>
      </c>
      <c r="L27" s="64">
        <f>VLOOKUP($B27,'7. PGE_Efficacité'!$A$6:$AO$268,16,0)</f>
        <v>0</v>
      </c>
      <c r="M27" s="64">
        <f>VLOOKUP($B27,'7. PGE_Efficacité'!$A$6:$AO$268,17,0)</f>
        <v>0</v>
      </c>
      <c r="N27" s="64">
        <f>VLOOKUP($B27,'7. PGE_Efficacité'!$A$6:$AO$268,18,0)</f>
        <v>0</v>
      </c>
      <c r="O27" s="64">
        <f>VLOOKUP($B27,'7. PGE_Efficacité'!$A$6:$AO$268,19,0)</f>
        <v>0</v>
      </c>
      <c r="P27" s="64">
        <f>VLOOKUP($B27,'7. PGE_Efficacité'!$A$6:$AO$268,20,0)</f>
        <v>0</v>
      </c>
      <c r="Q27" s="64">
        <f>VLOOKUP($B27,'7. PGE_Efficacité'!$A$6:$AO$268,21,0)</f>
        <v>0</v>
      </c>
      <c r="R27" s="64">
        <f>VLOOKUP($B27,'7. PGE_Efficacité'!$A$6:$AO$268,22,0)</f>
        <v>0</v>
      </c>
      <c r="S27" s="64">
        <f>VLOOKUP($B27,'7. PGE_Efficacité'!$A$6:$AO$268,23,0)</f>
        <v>0</v>
      </c>
      <c r="T27" s="64">
        <f>VLOOKUP($B27,'7. PGE_Efficacité'!$A$6:$AO$268,24,0)</f>
        <v>0</v>
      </c>
      <c r="U27" s="64">
        <f>VLOOKUP($B27,'7. PGE_Efficacité'!$A$6:$AO$268,25,0)</f>
        <v>0</v>
      </c>
      <c r="V27" s="64">
        <f>VLOOKUP($B27,'7. PGE_Efficacité'!$A$6:$AO$268,26,0)</f>
        <v>0</v>
      </c>
      <c r="W27" s="61">
        <f>VLOOKUP($B27,'7. PGE_Efficacité'!$A$6:$AO$268,27,0)</f>
        <v>0</v>
      </c>
      <c r="X27" s="61">
        <f>VLOOKUP($B27,'7. PGE_Efficacité'!$A$6:$AO$268,28,0)</f>
        <v>0</v>
      </c>
      <c r="Y27" s="61">
        <f>VLOOKUP($B27,'7. PGE_Efficacité'!$A$6:$AO$268,29,0)</f>
        <v>0</v>
      </c>
      <c r="Z27" s="61">
        <f>VLOOKUP($B27,'7. PGE_Efficacité'!$A$6:$AO$268,30,0)</f>
        <v>0</v>
      </c>
      <c r="AA27" s="61">
        <f>VLOOKUP($B27,'7. PGE_Efficacité'!$A$6:$AO$268,31,0)</f>
        <v>0</v>
      </c>
      <c r="AB27" s="61">
        <f>VLOOKUP($B27,'7. PGE_Efficacité'!$A$6:$AO$268,32,0)</f>
        <v>0</v>
      </c>
      <c r="AC27" s="61">
        <f>VLOOKUP($B27,'7. PGE_Efficacité'!$A$6:$AO$268,33,0)</f>
        <v>0</v>
      </c>
      <c r="AD27" s="61">
        <f>VLOOKUP($B27,'7. PGE_Efficacité'!$A$6:$AO$268,34,0)</f>
        <v>0</v>
      </c>
      <c r="AE27" s="61">
        <f>VLOOKUP($B27,'7. PGE_Efficacité'!$A$6:$AO$268,35,0)</f>
        <v>0</v>
      </c>
      <c r="AF27" s="61">
        <f>VLOOKUP($B27,'7. PGE_Efficacité'!$A$6:$AO$268,36,0)</f>
        <v>0</v>
      </c>
      <c r="AG27" s="61">
        <f>VLOOKUP($B27,'7. PGE_Efficacité'!$A$6:$AO$268,37,0)</f>
        <v>0</v>
      </c>
      <c r="AH27" s="61">
        <f>VLOOKUP($B27,'7. PGE_Efficacité'!$A$6:$AO$268,38,0)</f>
        <v>0</v>
      </c>
      <c r="AI27" s="61">
        <f>VLOOKUP($B27,'7. PGE_Efficacité'!$A$6:$AO$268,39,0)</f>
        <v>0</v>
      </c>
      <c r="AJ27" s="61">
        <f>VLOOKUP($B27,'7. PGE_Efficacité'!$A$6:$AO$268,40,0)</f>
        <v>0</v>
      </c>
      <c r="AK27" s="61">
        <f>VLOOKUP($B27,'7. PGE_Efficacité'!$A$6:$AO$268,41,0)</f>
        <v>0</v>
      </c>
    </row>
    <row r="28" spans="1:37" hidden="1" outlineLevel="1" x14ac:dyDescent="0.25">
      <c r="A28" s="65" t="s">
        <v>1</v>
      </c>
      <c r="B28" s="65" t="s">
        <v>703</v>
      </c>
      <c r="C28" s="65" t="s">
        <v>1363</v>
      </c>
      <c r="D28" s="65" t="s">
        <v>1520</v>
      </c>
      <c r="E28" s="65" t="s">
        <v>415</v>
      </c>
      <c r="F28" s="73">
        <v>0</v>
      </c>
      <c r="G28" s="64">
        <f>VLOOKUP($B28,'7. PGE_Efficacité'!$A$6:$AO$268,11,0)</f>
        <v>0</v>
      </c>
      <c r="H28" s="64">
        <f>VLOOKUP($B28,'7. PGE_Efficacité'!$A$6:$AO$268,12,0)</f>
        <v>0</v>
      </c>
      <c r="I28" s="64">
        <f>VLOOKUP($B28,'7. PGE_Efficacité'!$A$6:$AO$268,13,0)</f>
        <v>0</v>
      </c>
      <c r="J28" s="64">
        <f>VLOOKUP($B28,'7. PGE_Efficacité'!$A$6:$AO$268,14,0)</f>
        <v>0</v>
      </c>
      <c r="K28" s="64">
        <f>VLOOKUP($B28,'7. PGE_Efficacité'!$A$6:$AO$268,15,0)</f>
        <v>0</v>
      </c>
      <c r="L28" s="64">
        <f>VLOOKUP($B28,'7. PGE_Efficacité'!$A$6:$AO$268,16,0)</f>
        <v>0</v>
      </c>
      <c r="M28" s="64">
        <f>VLOOKUP($B28,'7. PGE_Efficacité'!$A$6:$AO$268,17,0)</f>
        <v>0</v>
      </c>
      <c r="N28" s="64">
        <f>VLOOKUP($B28,'7. PGE_Efficacité'!$A$6:$AO$268,18,0)</f>
        <v>0</v>
      </c>
      <c r="O28" s="64">
        <f>VLOOKUP($B28,'7. PGE_Efficacité'!$A$6:$AO$268,19,0)</f>
        <v>0</v>
      </c>
      <c r="P28" s="64">
        <f>VLOOKUP($B28,'7. PGE_Efficacité'!$A$6:$AO$268,20,0)</f>
        <v>0</v>
      </c>
      <c r="Q28" s="64">
        <f>VLOOKUP($B28,'7. PGE_Efficacité'!$A$6:$AO$268,21,0)</f>
        <v>0</v>
      </c>
      <c r="R28" s="64">
        <f>VLOOKUP($B28,'7. PGE_Efficacité'!$A$6:$AO$268,22,0)</f>
        <v>0</v>
      </c>
      <c r="S28" s="64">
        <f>VLOOKUP($B28,'7. PGE_Efficacité'!$A$6:$AO$268,23,0)</f>
        <v>0</v>
      </c>
      <c r="T28" s="64">
        <f>VLOOKUP($B28,'7. PGE_Efficacité'!$A$6:$AO$268,24,0)</f>
        <v>0</v>
      </c>
      <c r="U28" s="64">
        <f>VLOOKUP($B28,'7. PGE_Efficacité'!$A$6:$AO$268,25,0)</f>
        <v>0</v>
      </c>
      <c r="V28" s="64">
        <f>VLOOKUP($B28,'7. PGE_Efficacité'!$A$6:$AO$268,26,0)</f>
        <v>0</v>
      </c>
      <c r="W28" s="61">
        <f>VLOOKUP($B28,'7. PGE_Efficacité'!$A$6:$AO$268,27,0)</f>
        <v>0</v>
      </c>
      <c r="X28" s="61">
        <f>VLOOKUP($B28,'7. PGE_Efficacité'!$A$6:$AO$268,28,0)</f>
        <v>0</v>
      </c>
      <c r="Y28" s="61">
        <f>VLOOKUP($B28,'7. PGE_Efficacité'!$A$6:$AO$268,29,0)</f>
        <v>0</v>
      </c>
      <c r="Z28" s="61">
        <f>VLOOKUP($B28,'7. PGE_Efficacité'!$A$6:$AO$268,30,0)</f>
        <v>0</v>
      </c>
      <c r="AA28" s="61">
        <f>VLOOKUP($B28,'7. PGE_Efficacité'!$A$6:$AO$268,31,0)</f>
        <v>0</v>
      </c>
      <c r="AB28" s="61">
        <f>VLOOKUP($B28,'7. PGE_Efficacité'!$A$6:$AO$268,32,0)</f>
        <v>0</v>
      </c>
      <c r="AC28" s="61">
        <f>VLOOKUP($B28,'7. PGE_Efficacité'!$A$6:$AO$268,33,0)</f>
        <v>0</v>
      </c>
      <c r="AD28" s="61" t="str">
        <f>VLOOKUP($B28,'7. PGE_Efficacité'!$A$6:$AO$268,34,0)</f>
        <v>+++</v>
      </c>
      <c r="AE28" s="61" t="str">
        <f>VLOOKUP($B28,'7. PGE_Efficacité'!$A$6:$AO$268,35,0)</f>
        <v>+++</v>
      </c>
      <c r="AF28" s="61" t="str">
        <f>VLOOKUP($B28,'7. PGE_Efficacité'!$A$6:$AO$268,36,0)</f>
        <v>+++</v>
      </c>
      <c r="AG28" s="61">
        <f>VLOOKUP($B28,'7. PGE_Efficacité'!$A$6:$AO$268,37,0)</f>
        <v>0</v>
      </c>
      <c r="AH28" s="61">
        <f>VLOOKUP($B28,'7. PGE_Efficacité'!$A$6:$AO$268,38,0)</f>
        <v>0</v>
      </c>
      <c r="AI28" s="61">
        <f>VLOOKUP($B28,'7. PGE_Efficacité'!$A$6:$AO$268,39,0)</f>
        <v>0</v>
      </c>
      <c r="AJ28" s="61">
        <f>VLOOKUP($B28,'7. PGE_Efficacité'!$A$6:$AO$268,40,0)</f>
        <v>0</v>
      </c>
      <c r="AK28" s="61">
        <f>VLOOKUP($B28,'7. PGE_Efficacité'!$A$6:$AO$268,41,0)</f>
        <v>0</v>
      </c>
    </row>
    <row r="29" spans="1:37" hidden="1" outlineLevel="1" x14ac:dyDescent="0.25">
      <c r="A29" s="65" t="s">
        <v>1</v>
      </c>
      <c r="B29" s="65" t="s">
        <v>704</v>
      </c>
      <c r="C29" s="65" t="s">
        <v>1364</v>
      </c>
      <c r="D29" s="65" t="s">
        <v>1520</v>
      </c>
      <c r="E29" s="65" t="s">
        <v>415</v>
      </c>
      <c r="F29" s="73">
        <v>0</v>
      </c>
      <c r="G29" s="64">
        <f>VLOOKUP($B29,'7. PGE_Efficacité'!$A$6:$AO$268,11,0)</f>
        <v>0</v>
      </c>
      <c r="H29" s="64">
        <f>VLOOKUP($B29,'7. PGE_Efficacité'!$A$6:$AO$268,12,0)</f>
        <v>0</v>
      </c>
      <c r="I29" s="64">
        <f>VLOOKUP($B29,'7. PGE_Efficacité'!$A$6:$AO$268,13,0)</f>
        <v>0</v>
      </c>
      <c r="J29" s="64">
        <f>VLOOKUP($B29,'7. PGE_Efficacité'!$A$6:$AO$268,14,0)</f>
        <v>0</v>
      </c>
      <c r="K29" s="64">
        <f>VLOOKUP($B29,'7. PGE_Efficacité'!$A$6:$AO$268,15,0)</f>
        <v>0</v>
      </c>
      <c r="L29" s="64">
        <f>VLOOKUP($B29,'7. PGE_Efficacité'!$A$6:$AO$268,16,0)</f>
        <v>0</v>
      </c>
      <c r="M29" s="64">
        <f>VLOOKUP($B29,'7. PGE_Efficacité'!$A$6:$AO$268,17,0)</f>
        <v>0</v>
      </c>
      <c r="N29" s="64">
        <f>VLOOKUP($B29,'7. PGE_Efficacité'!$A$6:$AO$268,18,0)</f>
        <v>0</v>
      </c>
      <c r="O29" s="64">
        <f>VLOOKUP($B29,'7. PGE_Efficacité'!$A$6:$AO$268,19,0)</f>
        <v>0</v>
      </c>
      <c r="P29" s="64">
        <f>VLOOKUP($B29,'7. PGE_Efficacité'!$A$6:$AO$268,20,0)</f>
        <v>0</v>
      </c>
      <c r="Q29" s="64">
        <f>VLOOKUP($B29,'7. PGE_Efficacité'!$A$6:$AO$268,21,0)</f>
        <v>0</v>
      </c>
      <c r="R29" s="64">
        <f>VLOOKUP($B29,'7. PGE_Efficacité'!$A$6:$AO$268,22,0)</f>
        <v>0</v>
      </c>
      <c r="S29" s="64">
        <f>VLOOKUP($B29,'7. PGE_Efficacité'!$A$6:$AO$268,23,0)</f>
        <v>0</v>
      </c>
      <c r="T29" s="64">
        <f>VLOOKUP($B29,'7. PGE_Efficacité'!$A$6:$AO$268,24,0)</f>
        <v>0</v>
      </c>
      <c r="U29" s="64">
        <f>VLOOKUP($B29,'7. PGE_Efficacité'!$A$6:$AO$268,25,0)</f>
        <v>0</v>
      </c>
      <c r="V29" s="64">
        <f>VLOOKUP($B29,'7. PGE_Efficacité'!$A$6:$AO$268,26,0)</f>
        <v>0</v>
      </c>
      <c r="W29" s="61">
        <f>VLOOKUP($B29,'7. PGE_Efficacité'!$A$6:$AO$268,27,0)</f>
        <v>0</v>
      </c>
      <c r="X29" s="61">
        <f>VLOOKUP($B29,'7. PGE_Efficacité'!$A$6:$AO$268,28,0)</f>
        <v>0</v>
      </c>
      <c r="Y29" s="61">
        <f>VLOOKUP($B29,'7. PGE_Efficacité'!$A$6:$AO$268,29,0)</f>
        <v>0</v>
      </c>
      <c r="Z29" s="61">
        <f>VLOOKUP($B29,'7. PGE_Efficacité'!$A$6:$AO$268,30,0)</f>
        <v>0</v>
      </c>
      <c r="AA29" s="61">
        <f>VLOOKUP($B29,'7. PGE_Efficacité'!$A$6:$AO$268,31,0)</f>
        <v>0</v>
      </c>
      <c r="AB29" s="61">
        <f>VLOOKUP($B29,'7. PGE_Efficacité'!$A$6:$AO$268,32,0)</f>
        <v>0</v>
      </c>
      <c r="AC29" s="61">
        <f>VLOOKUP($B29,'7. PGE_Efficacité'!$A$6:$AO$268,33,0)</f>
        <v>0</v>
      </c>
      <c r="AD29" s="61" t="str">
        <f>VLOOKUP($B29,'7. PGE_Efficacité'!$A$6:$AO$268,34,0)</f>
        <v>+</v>
      </c>
      <c r="AE29" s="61" t="str">
        <f>VLOOKUP($B29,'7. PGE_Efficacité'!$A$6:$AO$268,35,0)</f>
        <v>+</v>
      </c>
      <c r="AF29" s="61" t="str">
        <f>VLOOKUP($B29,'7. PGE_Efficacité'!$A$6:$AO$268,36,0)</f>
        <v>+</v>
      </c>
      <c r="AG29" s="61">
        <f>VLOOKUP($B29,'7. PGE_Efficacité'!$A$6:$AO$268,37,0)</f>
        <v>0</v>
      </c>
      <c r="AH29" s="61">
        <f>VLOOKUP($B29,'7. PGE_Efficacité'!$A$6:$AO$268,38,0)</f>
        <v>0</v>
      </c>
      <c r="AI29" s="61">
        <f>VLOOKUP($B29,'7. PGE_Efficacité'!$A$6:$AO$268,39,0)</f>
        <v>0</v>
      </c>
      <c r="AJ29" s="61">
        <f>VLOOKUP($B29,'7. PGE_Efficacité'!$A$6:$AO$268,40,0)</f>
        <v>0</v>
      </c>
      <c r="AK29" s="61">
        <f>VLOOKUP($B29,'7. PGE_Efficacité'!$A$6:$AO$268,41,0)</f>
        <v>0</v>
      </c>
    </row>
    <row r="30" spans="1:37" hidden="1" outlineLevel="1" x14ac:dyDescent="0.25">
      <c r="A30" s="65" t="s">
        <v>1</v>
      </c>
      <c r="B30" s="65" t="s">
        <v>718</v>
      </c>
      <c r="C30" s="65" t="s">
        <v>1378</v>
      </c>
      <c r="D30" s="65" t="s">
        <v>1520</v>
      </c>
      <c r="E30" s="65" t="s">
        <v>415</v>
      </c>
      <c r="F30" s="73">
        <v>300000</v>
      </c>
      <c r="G30" s="64">
        <f>VLOOKUP($B30,'7. PGE_Efficacité'!$A$6:$AO$268,11,0)</f>
        <v>0</v>
      </c>
      <c r="H30" s="64">
        <f>VLOOKUP($B30,'7. PGE_Efficacité'!$A$6:$AO$268,12,0)</f>
        <v>0</v>
      </c>
      <c r="I30" s="64">
        <f>VLOOKUP($B30,'7. PGE_Efficacité'!$A$6:$AO$268,13,0)</f>
        <v>0</v>
      </c>
      <c r="J30" s="64">
        <f>VLOOKUP($B30,'7. PGE_Efficacité'!$A$6:$AO$268,14,0)</f>
        <v>0</v>
      </c>
      <c r="K30" s="64">
        <f>VLOOKUP($B30,'7. PGE_Efficacité'!$A$6:$AO$268,15,0)</f>
        <v>0</v>
      </c>
      <c r="L30" s="64">
        <f>VLOOKUP($B30,'7. PGE_Efficacité'!$A$6:$AO$268,16,0)</f>
        <v>0</v>
      </c>
      <c r="M30" s="64">
        <f>VLOOKUP($B30,'7. PGE_Efficacité'!$A$6:$AO$268,17,0)</f>
        <v>0</v>
      </c>
      <c r="N30" s="64">
        <f>VLOOKUP($B30,'7. PGE_Efficacité'!$A$6:$AO$268,18,0)</f>
        <v>0</v>
      </c>
      <c r="O30" s="64">
        <f>VLOOKUP($B30,'7. PGE_Efficacité'!$A$6:$AO$268,19,0)</f>
        <v>0</v>
      </c>
      <c r="P30" s="64">
        <f>VLOOKUP($B30,'7. PGE_Efficacité'!$A$6:$AO$268,20,0)</f>
        <v>0</v>
      </c>
      <c r="Q30" s="64">
        <f>VLOOKUP($B30,'7. PGE_Efficacité'!$A$6:$AO$268,21,0)</f>
        <v>0</v>
      </c>
      <c r="R30" s="64">
        <f>VLOOKUP($B30,'7. PGE_Efficacité'!$A$6:$AO$268,22,0)</f>
        <v>0</v>
      </c>
      <c r="S30" s="64">
        <f>VLOOKUP($B30,'7. PGE_Efficacité'!$A$6:$AO$268,23,0)</f>
        <v>0</v>
      </c>
      <c r="T30" s="64">
        <f>VLOOKUP($B30,'7. PGE_Efficacité'!$A$6:$AO$268,24,0)</f>
        <v>0</v>
      </c>
      <c r="U30" s="64">
        <f>VLOOKUP($B30,'7. PGE_Efficacité'!$A$6:$AO$268,25,0)</f>
        <v>0</v>
      </c>
      <c r="V30" s="64">
        <f>VLOOKUP($B30,'7. PGE_Efficacité'!$A$6:$AO$268,26,0)</f>
        <v>0</v>
      </c>
      <c r="W30" s="61">
        <f>VLOOKUP($B30,'7. PGE_Efficacité'!$A$6:$AO$268,27,0)</f>
        <v>0</v>
      </c>
      <c r="X30" s="61">
        <f>VLOOKUP($B30,'7. PGE_Efficacité'!$A$6:$AO$268,28,0)</f>
        <v>0</v>
      </c>
      <c r="Y30" s="61">
        <f>VLOOKUP($B30,'7. PGE_Efficacité'!$A$6:$AO$268,29,0)</f>
        <v>0</v>
      </c>
      <c r="Z30" s="61">
        <f>VLOOKUP($B30,'7. PGE_Efficacité'!$A$6:$AO$268,30,0)</f>
        <v>0</v>
      </c>
      <c r="AA30" s="61">
        <f>VLOOKUP($B30,'7. PGE_Efficacité'!$A$6:$AO$268,31,0)</f>
        <v>0</v>
      </c>
      <c r="AB30" s="61">
        <f>VLOOKUP($B30,'7. PGE_Efficacité'!$A$6:$AO$268,32,0)</f>
        <v>0</v>
      </c>
      <c r="AC30" s="61">
        <f>VLOOKUP($B30,'7. PGE_Efficacité'!$A$6:$AO$268,33,0)</f>
        <v>0</v>
      </c>
      <c r="AD30" s="61">
        <f>VLOOKUP($B30,'7. PGE_Efficacité'!$A$6:$AO$268,34,0)</f>
        <v>0</v>
      </c>
      <c r="AE30" s="61">
        <f>VLOOKUP($B30,'7. PGE_Efficacité'!$A$6:$AO$268,35,0)</f>
        <v>0</v>
      </c>
      <c r="AF30" s="61">
        <f>VLOOKUP($B30,'7. PGE_Efficacité'!$A$6:$AO$268,36,0)</f>
        <v>0</v>
      </c>
      <c r="AG30" s="61">
        <f>VLOOKUP($B30,'7. PGE_Efficacité'!$A$6:$AO$268,37,0)</f>
        <v>0</v>
      </c>
      <c r="AH30" s="61">
        <f>VLOOKUP($B30,'7. PGE_Efficacité'!$A$6:$AO$268,38,0)</f>
        <v>0</v>
      </c>
      <c r="AI30" s="61">
        <f>VLOOKUP($B30,'7. PGE_Efficacité'!$A$6:$AO$268,39,0)</f>
        <v>0</v>
      </c>
      <c r="AJ30" s="61">
        <f>VLOOKUP($B30,'7. PGE_Efficacité'!$A$6:$AO$268,40,0)</f>
        <v>0</v>
      </c>
      <c r="AK30" s="61">
        <f>VLOOKUP($B30,'7. PGE_Efficacité'!$A$6:$AO$268,41,0)</f>
        <v>0</v>
      </c>
    </row>
    <row r="31" spans="1:37" hidden="1" outlineLevel="1" x14ac:dyDescent="0.25">
      <c r="A31" s="65" t="s">
        <v>1</v>
      </c>
      <c r="B31" s="65" t="s">
        <v>719</v>
      </c>
      <c r="C31" s="65" t="s">
        <v>1379</v>
      </c>
      <c r="D31" s="65" t="s">
        <v>1520</v>
      </c>
      <c r="E31" s="65" t="s">
        <v>415</v>
      </c>
      <c r="F31" s="73">
        <v>500000</v>
      </c>
      <c r="G31" s="64">
        <f>VLOOKUP($B31,'7. PGE_Efficacité'!$A$6:$AO$268,11,0)</f>
        <v>0</v>
      </c>
      <c r="H31" s="64">
        <f>VLOOKUP($B31,'7. PGE_Efficacité'!$A$6:$AO$268,12,0)</f>
        <v>0</v>
      </c>
      <c r="I31" s="64">
        <f>VLOOKUP($B31,'7. PGE_Efficacité'!$A$6:$AO$268,13,0)</f>
        <v>0</v>
      </c>
      <c r="J31" s="64">
        <f>VLOOKUP($B31,'7. PGE_Efficacité'!$A$6:$AO$268,14,0)</f>
        <v>0</v>
      </c>
      <c r="K31" s="64">
        <f>VLOOKUP($B31,'7. PGE_Efficacité'!$A$6:$AO$268,15,0)</f>
        <v>0</v>
      </c>
      <c r="L31" s="64">
        <f>VLOOKUP($B31,'7. PGE_Efficacité'!$A$6:$AO$268,16,0)</f>
        <v>0</v>
      </c>
      <c r="M31" s="64">
        <f>VLOOKUP($B31,'7. PGE_Efficacité'!$A$6:$AO$268,17,0)</f>
        <v>0</v>
      </c>
      <c r="N31" s="64">
        <f>VLOOKUP($B31,'7. PGE_Efficacité'!$A$6:$AO$268,18,0)</f>
        <v>0</v>
      </c>
      <c r="O31" s="64">
        <f>VLOOKUP($B31,'7. PGE_Efficacité'!$A$6:$AO$268,19,0)</f>
        <v>0</v>
      </c>
      <c r="P31" s="64">
        <f>VLOOKUP($B31,'7. PGE_Efficacité'!$A$6:$AO$268,20,0)</f>
        <v>0</v>
      </c>
      <c r="Q31" s="64">
        <f>VLOOKUP($B31,'7. PGE_Efficacité'!$A$6:$AO$268,21,0)</f>
        <v>0</v>
      </c>
      <c r="R31" s="64">
        <f>VLOOKUP($B31,'7. PGE_Efficacité'!$A$6:$AO$268,22,0)</f>
        <v>0</v>
      </c>
      <c r="S31" s="64">
        <f>VLOOKUP($B31,'7. PGE_Efficacité'!$A$6:$AO$268,23,0)</f>
        <v>0</v>
      </c>
      <c r="T31" s="64">
        <f>VLOOKUP($B31,'7. PGE_Efficacité'!$A$6:$AO$268,24,0)</f>
        <v>0</v>
      </c>
      <c r="U31" s="64">
        <f>VLOOKUP($B31,'7. PGE_Efficacité'!$A$6:$AO$268,25,0)</f>
        <v>0</v>
      </c>
      <c r="V31" s="64">
        <f>VLOOKUP($B31,'7. PGE_Efficacité'!$A$6:$AO$268,26,0)</f>
        <v>0</v>
      </c>
      <c r="W31" s="61">
        <f>VLOOKUP($B31,'7. PGE_Efficacité'!$A$6:$AO$268,27,0)</f>
        <v>0</v>
      </c>
      <c r="X31" s="61">
        <f>VLOOKUP($B31,'7. PGE_Efficacité'!$A$6:$AO$268,28,0)</f>
        <v>0</v>
      </c>
      <c r="Y31" s="61">
        <f>VLOOKUP($B31,'7. PGE_Efficacité'!$A$6:$AO$268,29,0)</f>
        <v>0</v>
      </c>
      <c r="Z31" s="61">
        <f>VLOOKUP($B31,'7. PGE_Efficacité'!$A$6:$AO$268,30,0)</f>
        <v>0</v>
      </c>
      <c r="AA31" s="61">
        <f>VLOOKUP($B31,'7. PGE_Efficacité'!$A$6:$AO$268,31,0)</f>
        <v>0</v>
      </c>
      <c r="AB31" s="61">
        <f>VLOOKUP($B31,'7. PGE_Efficacité'!$A$6:$AO$268,32,0)</f>
        <v>0</v>
      </c>
      <c r="AC31" s="61">
        <f>VLOOKUP($B31,'7. PGE_Efficacité'!$A$6:$AO$268,33,0)</f>
        <v>0</v>
      </c>
      <c r="AD31" s="61">
        <f>VLOOKUP($B31,'7. PGE_Efficacité'!$A$6:$AO$268,34,0)</f>
        <v>0</v>
      </c>
      <c r="AE31" s="61">
        <f>VLOOKUP($B31,'7. PGE_Efficacité'!$A$6:$AO$268,35,0)</f>
        <v>0</v>
      </c>
      <c r="AF31" s="61">
        <f>VLOOKUP($B31,'7. PGE_Efficacité'!$A$6:$AO$268,36,0)</f>
        <v>0</v>
      </c>
      <c r="AG31" s="61">
        <f>VLOOKUP($B31,'7. PGE_Efficacité'!$A$6:$AO$268,37,0)</f>
        <v>0</v>
      </c>
      <c r="AH31" s="61">
        <f>VLOOKUP($B31,'7. PGE_Efficacité'!$A$6:$AO$268,38,0)</f>
        <v>0</v>
      </c>
      <c r="AI31" s="61">
        <f>VLOOKUP($B31,'7. PGE_Efficacité'!$A$6:$AO$268,39,0)</f>
        <v>0</v>
      </c>
      <c r="AJ31" s="61">
        <f>VLOOKUP($B31,'7. PGE_Efficacité'!$A$6:$AO$268,40,0)</f>
        <v>0</v>
      </c>
      <c r="AK31" s="61">
        <f>VLOOKUP($B31,'7. PGE_Efficacité'!$A$6:$AO$268,41,0)</f>
        <v>0</v>
      </c>
    </row>
    <row r="32" spans="1:37" hidden="1" outlineLevel="1" x14ac:dyDescent="0.25">
      <c r="A32" s="65" t="s">
        <v>1</v>
      </c>
      <c r="B32" s="65" t="s">
        <v>720</v>
      </c>
      <c r="C32" s="65" t="s">
        <v>1380</v>
      </c>
      <c r="D32" s="65" t="s">
        <v>1520</v>
      </c>
      <c r="E32" s="65" t="s">
        <v>415</v>
      </c>
      <c r="F32" s="73">
        <v>200000</v>
      </c>
      <c r="G32" s="64">
        <f>VLOOKUP($B32,'7. PGE_Efficacité'!$A$6:$AO$268,11,0)</f>
        <v>0</v>
      </c>
      <c r="H32" s="64">
        <f>VLOOKUP($B32,'7. PGE_Efficacité'!$A$6:$AO$268,12,0)</f>
        <v>0</v>
      </c>
      <c r="I32" s="64">
        <f>VLOOKUP($B32,'7. PGE_Efficacité'!$A$6:$AO$268,13,0)</f>
        <v>0</v>
      </c>
      <c r="J32" s="64">
        <f>VLOOKUP($B32,'7. PGE_Efficacité'!$A$6:$AO$268,14,0)</f>
        <v>0</v>
      </c>
      <c r="K32" s="64">
        <f>VLOOKUP($B32,'7. PGE_Efficacité'!$A$6:$AO$268,15,0)</f>
        <v>0</v>
      </c>
      <c r="L32" s="64">
        <f>VLOOKUP($B32,'7. PGE_Efficacité'!$A$6:$AO$268,16,0)</f>
        <v>0</v>
      </c>
      <c r="M32" s="64">
        <f>VLOOKUP($B32,'7. PGE_Efficacité'!$A$6:$AO$268,17,0)</f>
        <v>0</v>
      </c>
      <c r="N32" s="64">
        <f>VLOOKUP($B32,'7. PGE_Efficacité'!$A$6:$AO$268,18,0)</f>
        <v>0</v>
      </c>
      <c r="O32" s="64">
        <f>VLOOKUP($B32,'7. PGE_Efficacité'!$A$6:$AO$268,19,0)</f>
        <v>0</v>
      </c>
      <c r="P32" s="64">
        <f>VLOOKUP($B32,'7. PGE_Efficacité'!$A$6:$AO$268,20,0)</f>
        <v>0</v>
      </c>
      <c r="Q32" s="64">
        <f>VLOOKUP($B32,'7. PGE_Efficacité'!$A$6:$AO$268,21,0)</f>
        <v>0</v>
      </c>
      <c r="R32" s="64">
        <f>VLOOKUP($B32,'7. PGE_Efficacité'!$A$6:$AO$268,22,0)</f>
        <v>0</v>
      </c>
      <c r="S32" s="64">
        <f>VLOOKUP($B32,'7. PGE_Efficacité'!$A$6:$AO$268,23,0)</f>
        <v>0</v>
      </c>
      <c r="T32" s="64">
        <f>VLOOKUP($B32,'7. PGE_Efficacité'!$A$6:$AO$268,24,0)</f>
        <v>0</v>
      </c>
      <c r="U32" s="64">
        <f>VLOOKUP($B32,'7. PGE_Efficacité'!$A$6:$AO$268,25,0)</f>
        <v>0</v>
      </c>
      <c r="V32" s="64">
        <f>VLOOKUP($B32,'7. PGE_Efficacité'!$A$6:$AO$268,26,0)</f>
        <v>0</v>
      </c>
      <c r="W32" s="61">
        <f>VLOOKUP($B32,'7. PGE_Efficacité'!$A$6:$AO$268,27,0)</f>
        <v>0</v>
      </c>
      <c r="X32" s="61">
        <f>VLOOKUP($B32,'7. PGE_Efficacité'!$A$6:$AO$268,28,0)</f>
        <v>0</v>
      </c>
      <c r="Y32" s="61">
        <f>VLOOKUP($B32,'7. PGE_Efficacité'!$A$6:$AO$268,29,0)</f>
        <v>0</v>
      </c>
      <c r="Z32" s="61">
        <f>VLOOKUP($B32,'7. PGE_Efficacité'!$A$6:$AO$268,30,0)</f>
        <v>0</v>
      </c>
      <c r="AA32" s="61">
        <f>VLOOKUP($B32,'7. PGE_Efficacité'!$A$6:$AO$268,31,0)</f>
        <v>0</v>
      </c>
      <c r="AB32" s="61">
        <f>VLOOKUP($B32,'7. PGE_Efficacité'!$A$6:$AO$268,32,0)</f>
        <v>0</v>
      </c>
      <c r="AC32" s="61">
        <f>VLOOKUP($B32,'7. PGE_Efficacité'!$A$6:$AO$268,33,0)</f>
        <v>0</v>
      </c>
      <c r="AD32" s="61">
        <f>VLOOKUP($B32,'7. PGE_Efficacité'!$A$6:$AO$268,34,0)</f>
        <v>0</v>
      </c>
      <c r="AE32" s="61">
        <f>VLOOKUP($B32,'7. PGE_Efficacité'!$A$6:$AO$268,35,0)</f>
        <v>0</v>
      </c>
      <c r="AF32" s="61">
        <f>VLOOKUP($B32,'7. PGE_Efficacité'!$A$6:$AO$268,36,0)</f>
        <v>0</v>
      </c>
      <c r="AG32" s="61">
        <f>VLOOKUP($B32,'7. PGE_Efficacité'!$A$6:$AO$268,37,0)</f>
        <v>0</v>
      </c>
      <c r="AH32" s="61">
        <f>VLOOKUP($B32,'7. PGE_Efficacité'!$A$6:$AO$268,38,0)</f>
        <v>0</v>
      </c>
      <c r="AI32" s="61">
        <f>VLOOKUP($B32,'7. PGE_Efficacité'!$A$6:$AO$268,39,0)</f>
        <v>0</v>
      </c>
      <c r="AJ32" s="61">
        <f>VLOOKUP($B32,'7. PGE_Efficacité'!$A$6:$AO$268,40,0)</f>
        <v>0</v>
      </c>
      <c r="AK32" s="61">
        <f>VLOOKUP($B32,'7. PGE_Efficacité'!$A$6:$AO$268,41,0)</f>
        <v>0</v>
      </c>
    </row>
    <row r="33" spans="1:37" collapsed="1" x14ac:dyDescent="0.25">
      <c r="A33" s="157" t="s">
        <v>2</v>
      </c>
      <c r="B33" s="63"/>
      <c r="C33" s="156" t="s">
        <v>236</v>
      </c>
      <c r="D33" s="63"/>
      <c r="E33" s="63"/>
      <c r="F33" s="72">
        <f>SUM(F34)</f>
        <v>250000</v>
      </c>
      <c r="G33" s="180">
        <f>VLOOKUP($A33,'7. PGE_Efficacité'!$A$6:$AO$268,11,0)</f>
        <v>0</v>
      </c>
      <c r="H33" s="180">
        <f>VLOOKUP($A33,'7. PGE_Efficacité'!$A$6:$AO$268,12,0)</f>
        <v>0</v>
      </c>
      <c r="I33" s="180">
        <f>VLOOKUP($A33,'7. PGE_Efficacité'!$A$6:$AO$268,13,0)</f>
        <v>0</v>
      </c>
      <c r="J33" s="180">
        <f>VLOOKUP($A33,'7. PGE_Efficacité'!$A$6:$AO$268,14,0)</f>
        <v>0</v>
      </c>
      <c r="K33" s="180">
        <f>VLOOKUP($A33,'7. PGE_Efficacité'!$A$6:$AO$268,15,0)</f>
        <v>0</v>
      </c>
      <c r="L33" s="180">
        <f>VLOOKUP($A33,'7. PGE_Efficacité'!$A$6:$AO$268,16,0)</f>
        <v>0</v>
      </c>
      <c r="M33" s="180">
        <f>VLOOKUP($A33,'7. PGE_Efficacité'!$A$6:$AO$268,17,0)</f>
        <v>0</v>
      </c>
      <c r="N33" s="180">
        <f>VLOOKUP($A33,'7. PGE_Efficacité'!$A$6:$AO$268,18,0)</f>
        <v>0</v>
      </c>
      <c r="O33" s="180">
        <f>VLOOKUP($A33,'7. PGE_Efficacité'!$A$6:$AO$268,19,0)</f>
        <v>0</v>
      </c>
      <c r="P33" s="180">
        <f>VLOOKUP($A33,'7. PGE_Efficacité'!$A$6:$AO$268,20,0)</f>
        <v>0</v>
      </c>
      <c r="Q33" s="180">
        <f>VLOOKUP($A33,'7. PGE_Efficacité'!$A$6:$AO$268,21,0)</f>
        <v>0</v>
      </c>
      <c r="R33" s="180">
        <f>VLOOKUP($A33,'7. PGE_Efficacité'!$A$6:$AO$268,22,0)</f>
        <v>0</v>
      </c>
      <c r="S33" s="180">
        <f>VLOOKUP($A33,'7. PGE_Efficacité'!$A$6:$AO$268,23,0)</f>
        <v>0</v>
      </c>
      <c r="T33" s="180">
        <f>VLOOKUP($A33,'7. PGE_Efficacité'!$A$6:$AO$268,24,0)</f>
        <v>0</v>
      </c>
      <c r="U33" s="180">
        <f>VLOOKUP($A33,'7. PGE_Efficacité'!$A$6:$AO$268,25,0)</f>
        <v>0</v>
      </c>
      <c r="V33" s="180">
        <f>VLOOKUP($A33,'7. PGE_Efficacité'!$A$6:$AO$268,26,0)</f>
        <v>0</v>
      </c>
      <c r="W33" s="181">
        <f>VLOOKUP($A33,'7. PGE_Efficacité'!$A$6:$AO$268,27,0)</f>
        <v>0</v>
      </c>
      <c r="X33" s="181">
        <f>VLOOKUP($A33,'7. PGE_Efficacité'!$A$6:$AO$268,28,0)</f>
        <v>0</v>
      </c>
      <c r="Y33" s="181">
        <f>VLOOKUP($A33,'7. PGE_Efficacité'!$A$6:$AO$268,29,0)</f>
        <v>0</v>
      </c>
      <c r="Z33" s="181">
        <f>VLOOKUP($A33,'7. PGE_Efficacité'!$A$6:$AO$268,30,0)</f>
        <v>0</v>
      </c>
      <c r="AA33" s="181">
        <f>VLOOKUP($A33,'7. PGE_Efficacité'!$A$6:$AO$268,31,0)</f>
        <v>0</v>
      </c>
      <c r="AB33" s="181">
        <f>VLOOKUP($A33,'7. PGE_Efficacité'!$A$6:$AO$268,32,0)</f>
        <v>0</v>
      </c>
      <c r="AC33" s="181">
        <f>VLOOKUP($A33,'7. PGE_Efficacité'!$A$6:$AO$268,33,0)</f>
        <v>0</v>
      </c>
      <c r="AD33" s="181" t="str">
        <f>VLOOKUP($A33,'7. PGE_Efficacité'!$A$6:$AO$268,34,0)</f>
        <v>++</v>
      </c>
      <c r="AE33" s="181">
        <f>VLOOKUP($A33,'7. PGE_Efficacité'!$A$6:$AO$268,35,0)</f>
        <v>0</v>
      </c>
      <c r="AF33" s="181">
        <f>VLOOKUP($A33,'7. PGE_Efficacité'!$A$6:$AO$268,36,0)</f>
        <v>0</v>
      </c>
      <c r="AG33" s="181">
        <f>VLOOKUP($A33,'7. PGE_Efficacité'!$A$6:$AO$268,37,0)</f>
        <v>0</v>
      </c>
      <c r="AH33" s="181">
        <f>VLOOKUP($A33,'7. PGE_Efficacité'!$A$6:$AO$268,38,0)</f>
        <v>0</v>
      </c>
      <c r="AI33" s="181">
        <f>VLOOKUP($A33,'7. PGE_Efficacité'!$A$6:$AO$268,39,0)</f>
        <v>0</v>
      </c>
      <c r="AJ33" s="181">
        <f>VLOOKUP($A33,'7. PGE_Efficacité'!$A$6:$AO$268,40,0)</f>
        <v>0</v>
      </c>
      <c r="AK33" s="181" t="str">
        <f>VLOOKUP($A33,'7. PGE_Efficacité'!$A$6:$AO$268,41,0)</f>
        <v>++</v>
      </c>
    </row>
    <row r="34" spans="1:37" hidden="1" outlineLevel="1" x14ac:dyDescent="0.25">
      <c r="A34" s="65" t="s">
        <v>2</v>
      </c>
      <c r="B34" s="65" t="s">
        <v>779</v>
      </c>
      <c r="C34" s="65" t="s">
        <v>1417</v>
      </c>
      <c r="D34" s="65" t="s">
        <v>1520</v>
      </c>
      <c r="E34" s="65" t="s">
        <v>415</v>
      </c>
      <c r="F34" s="73">
        <v>250000</v>
      </c>
      <c r="G34" s="64">
        <f>VLOOKUP($B34,'7. PGE_Efficacité'!$A$6:$AO$268,11,0)</f>
        <v>0</v>
      </c>
      <c r="H34" s="64">
        <f>VLOOKUP($B34,'7. PGE_Efficacité'!$A$6:$AO$268,12,0)</f>
        <v>0</v>
      </c>
      <c r="I34" s="64">
        <f>VLOOKUP($B34,'7. PGE_Efficacité'!$A$6:$AO$268,13,0)</f>
        <v>0</v>
      </c>
      <c r="J34" s="64">
        <f>VLOOKUP($B34,'7. PGE_Efficacité'!$A$6:$AO$268,14,0)</f>
        <v>0</v>
      </c>
      <c r="K34" s="64">
        <f>VLOOKUP($B34,'7. PGE_Efficacité'!$A$6:$AO$268,15,0)</f>
        <v>0</v>
      </c>
      <c r="L34" s="64">
        <f>VLOOKUP($B34,'7. PGE_Efficacité'!$A$6:$AO$268,16,0)</f>
        <v>0</v>
      </c>
      <c r="M34" s="64">
        <f>VLOOKUP($B34,'7. PGE_Efficacité'!$A$6:$AO$268,17,0)</f>
        <v>0</v>
      </c>
      <c r="N34" s="64">
        <f>VLOOKUP($B34,'7. PGE_Efficacité'!$A$6:$AO$268,18,0)</f>
        <v>0</v>
      </c>
      <c r="O34" s="64">
        <f>VLOOKUP($B34,'7. PGE_Efficacité'!$A$6:$AO$268,19,0)</f>
        <v>0</v>
      </c>
      <c r="P34" s="64">
        <f>VLOOKUP($B34,'7. PGE_Efficacité'!$A$6:$AO$268,20,0)</f>
        <v>0</v>
      </c>
      <c r="Q34" s="64">
        <f>VLOOKUP($B34,'7. PGE_Efficacité'!$A$6:$AO$268,21,0)</f>
        <v>0</v>
      </c>
      <c r="R34" s="64">
        <f>VLOOKUP($B34,'7. PGE_Efficacité'!$A$6:$AO$268,22,0)</f>
        <v>0</v>
      </c>
      <c r="S34" s="64">
        <f>VLOOKUP($B34,'7. PGE_Efficacité'!$A$6:$AO$268,23,0)</f>
        <v>0</v>
      </c>
      <c r="T34" s="64">
        <f>VLOOKUP($B34,'7. PGE_Efficacité'!$A$6:$AO$268,24,0)</f>
        <v>0</v>
      </c>
      <c r="U34" s="64">
        <f>VLOOKUP($B34,'7. PGE_Efficacité'!$A$6:$AO$268,25,0)</f>
        <v>0</v>
      </c>
      <c r="V34" s="64">
        <f>VLOOKUP($B34,'7. PGE_Efficacité'!$A$6:$AO$268,26,0)</f>
        <v>0</v>
      </c>
      <c r="W34" s="61">
        <f>VLOOKUP($B34,'7. PGE_Efficacité'!$A$6:$AO$268,27,0)</f>
        <v>0</v>
      </c>
      <c r="X34" s="61">
        <f>VLOOKUP($B34,'7. PGE_Efficacité'!$A$6:$AO$268,28,0)</f>
        <v>0</v>
      </c>
      <c r="Y34" s="61">
        <f>VLOOKUP($B34,'7. PGE_Efficacité'!$A$6:$AO$268,29,0)</f>
        <v>0</v>
      </c>
      <c r="Z34" s="61">
        <f>VLOOKUP($B34,'7. PGE_Efficacité'!$A$6:$AO$268,30,0)</f>
        <v>0</v>
      </c>
      <c r="AA34" s="61">
        <f>VLOOKUP($B34,'7. PGE_Efficacité'!$A$6:$AO$268,31,0)</f>
        <v>0</v>
      </c>
      <c r="AB34" s="61">
        <f>VLOOKUP($B34,'7. PGE_Efficacité'!$A$6:$AO$268,32,0)</f>
        <v>0</v>
      </c>
      <c r="AC34" s="61">
        <f>VLOOKUP($B34,'7. PGE_Efficacité'!$A$6:$AO$268,33,0)</f>
        <v>0</v>
      </c>
      <c r="AD34" s="61" t="str">
        <f>VLOOKUP($B34,'7. PGE_Efficacité'!$A$6:$AO$268,34,0)</f>
        <v>++</v>
      </c>
      <c r="AE34" s="61">
        <f>VLOOKUP($B34,'7. PGE_Efficacité'!$A$6:$AO$268,35,0)</f>
        <v>0</v>
      </c>
      <c r="AF34" s="61">
        <f>VLOOKUP($B34,'7. PGE_Efficacité'!$A$6:$AO$268,36,0)</f>
        <v>0</v>
      </c>
      <c r="AG34" s="61">
        <f>VLOOKUP($B34,'7. PGE_Efficacité'!$A$6:$AO$268,37,0)</f>
        <v>0</v>
      </c>
      <c r="AH34" s="61">
        <f>VLOOKUP($B34,'7. PGE_Efficacité'!$A$6:$AO$268,38,0)</f>
        <v>0</v>
      </c>
      <c r="AI34" s="61">
        <f>VLOOKUP($B34,'7. PGE_Efficacité'!$A$6:$AO$268,39,0)</f>
        <v>0</v>
      </c>
      <c r="AJ34" s="61">
        <f>VLOOKUP($B34,'7. PGE_Efficacité'!$A$6:$AO$268,40,0)</f>
        <v>0</v>
      </c>
      <c r="AK34" s="61" t="str">
        <f>VLOOKUP($B34,'7. PGE_Efficacité'!$A$6:$AO$268,41,0)</f>
        <v>++</v>
      </c>
    </row>
    <row r="35" spans="1:37" ht="26.25" collapsed="1" x14ac:dyDescent="0.25">
      <c r="A35" s="157" t="s">
        <v>3</v>
      </c>
      <c r="B35" s="63"/>
      <c r="C35" s="156" t="s">
        <v>235</v>
      </c>
      <c r="D35" s="63"/>
      <c r="E35" s="63"/>
      <c r="F35" s="72">
        <f>SUM(F36:F49)</f>
        <v>110000</v>
      </c>
      <c r="G35" s="180">
        <f>VLOOKUP($A35,'7. PGE_Efficacité'!$A$6:$AO$268,11,0)</f>
        <v>0</v>
      </c>
      <c r="H35" s="180">
        <f>VLOOKUP($A35,'7. PGE_Efficacité'!$A$6:$AO$268,12,0)</f>
        <v>0</v>
      </c>
      <c r="I35" s="180">
        <f>VLOOKUP($A35,'7. PGE_Efficacité'!$A$6:$AO$268,13,0)</f>
        <v>0</v>
      </c>
      <c r="J35" s="180">
        <f>VLOOKUP($A35,'7. PGE_Efficacité'!$A$6:$AO$268,14,0)</f>
        <v>0</v>
      </c>
      <c r="K35" s="180">
        <f>VLOOKUP($A35,'7. PGE_Efficacité'!$A$6:$AO$268,15,0)</f>
        <v>0</v>
      </c>
      <c r="L35" s="180">
        <f>VLOOKUP($A35,'7. PGE_Efficacité'!$A$6:$AO$268,16,0)</f>
        <v>0</v>
      </c>
      <c r="M35" s="180">
        <f>VLOOKUP($A35,'7. PGE_Efficacité'!$A$6:$AO$268,17,0)</f>
        <v>0</v>
      </c>
      <c r="N35" s="180">
        <f>VLOOKUP($A35,'7. PGE_Efficacité'!$A$6:$AO$268,18,0)</f>
        <v>0</v>
      </c>
      <c r="O35" s="180">
        <f>VLOOKUP($A35,'7. PGE_Efficacité'!$A$6:$AO$268,19,0)</f>
        <v>0</v>
      </c>
      <c r="P35" s="180">
        <f>VLOOKUP($A35,'7. PGE_Efficacité'!$A$6:$AO$268,20,0)</f>
        <v>0</v>
      </c>
      <c r="Q35" s="180">
        <f>VLOOKUP($A35,'7. PGE_Efficacité'!$A$6:$AO$268,21,0)</f>
        <v>0</v>
      </c>
      <c r="R35" s="180">
        <f>VLOOKUP($A35,'7. PGE_Efficacité'!$A$6:$AO$268,22,0)</f>
        <v>0</v>
      </c>
      <c r="S35" s="180">
        <f>VLOOKUP($A35,'7. PGE_Efficacité'!$A$6:$AO$268,23,0)</f>
        <v>0</v>
      </c>
      <c r="T35" s="180">
        <f>VLOOKUP($A35,'7. PGE_Efficacité'!$A$6:$AO$268,24,0)</f>
        <v>0</v>
      </c>
      <c r="U35" s="180">
        <f>VLOOKUP($A35,'7. PGE_Efficacité'!$A$6:$AO$268,25,0)</f>
        <v>0</v>
      </c>
      <c r="V35" s="180">
        <f>VLOOKUP($A35,'7. PGE_Efficacité'!$A$6:$AO$268,26,0)</f>
        <v>0</v>
      </c>
      <c r="W35" s="181">
        <f>VLOOKUP($A35,'7. PGE_Efficacité'!$A$6:$AO$268,27,0)</f>
        <v>0</v>
      </c>
      <c r="X35" s="181">
        <f>VLOOKUP($A35,'7. PGE_Efficacité'!$A$6:$AO$268,28,0)</f>
        <v>0</v>
      </c>
      <c r="Y35" s="181">
        <f>VLOOKUP($A35,'7. PGE_Efficacité'!$A$6:$AO$268,29,0)</f>
        <v>0</v>
      </c>
      <c r="Z35" s="181">
        <f>VLOOKUP($A35,'7. PGE_Efficacité'!$A$6:$AO$268,30,0)</f>
        <v>0</v>
      </c>
      <c r="AA35" s="181">
        <f>VLOOKUP($A35,'7. PGE_Efficacité'!$A$6:$AO$268,31,0)</f>
        <v>0</v>
      </c>
      <c r="AB35" s="181">
        <f>VLOOKUP($A35,'7. PGE_Efficacité'!$A$6:$AO$268,32,0)</f>
        <v>0</v>
      </c>
      <c r="AC35" s="181">
        <f>VLOOKUP($A35,'7. PGE_Efficacité'!$A$6:$AO$268,33,0)</f>
        <v>0</v>
      </c>
      <c r="AD35" s="181">
        <f>VLOOKUP($A35,'7. PGE_Efficacité'!$A$6:$AO$268,34,0)</f>
        <v>0</v>
      </c>
      <c r="AE35" s="181">
        <f>VLOOKUP($A35,'7. PGE_Efficacité'!$A$6:$AO$268,35,0)</f>
        <v>0</v>
      </c>
      <c r="AF35" s="181">
        <f>VLOOKUP($A35,'7. PGE_Efficacité'!$A$6:$AO$268,36,0)</f>
        <v>0</v>
      </c>
      <c r="AG35" s="181">
        <f>VLOOKUP($A35,'7. PGE_Efficacité'!$A$6:$AO$268,37,0)</f>
        <v>0</v>
      </c>
      <c r="AH35" s="181">
        <f>VLOOKUP($A35,'7. PGE_Efficacité'!$A$6:$AO$268,38,0)</f>
        <v>0</v>
      </c>
      <c r="AI35" s="181" t="str">
        <f>VLOOKUP($A35,'7. PGE_Efficacité'!$A$6:$AO$268,39,0)</f>
        <v>+</v>
      </c>
      <c r="AJ35" s="181" t="str">
        <f>VLOOKUP($A35,'7. PGE_Efficacité'!$A$6:$AO$268,40,0)</f>
        <v>+</v>
      </c>
      <c r="AK35" s="181" t="str">
        <f>VLOOKUP($A35,'7. PGE_Efficacité'!$A$6:$AO$268,41,0)</f>
        <v>+</v>
      </c>
    </row>
    <row r="36" spans="1:37" hidden="1" outlineLevel="1" x14ac:dyDescent="0.25">
      <c r="A36" s="65" t="s">
        <v>3</v>
      </c>
      <c r="B36" s="65" t="s">
        <v>784</v>
      </c>
      <c r="C36" s="65" t="s">
        <v>1422</v>
      </c>
      <c r="D36" s="65" t="s">
        <v>1520</v>
      </c>
      <c r="E36" s="65" t="s">
        <v>1290</v>
      </c>
      <c r="F36" s="73">
        <v>0</v>
      </c>
      <c r="G36" s="64">
        <f>VLOOKUP($B36,'7. PGE_Efficacité'!$A$6:$AO$268,11,0)</f>
        <v>0</v>
      </c>
      <c r="H36" s="64">
        <f>VLOOKUP($B36,'7. PGE_Efficacité'!$A$6:$AO$268,12,0)</f>
        <v>0</v>
      </c>
      <c r="I36" s="64">
        <f>VLOOKUP($B36,'7. PGE_Efficacité'!$A$6:$AO$268,13,0)</f>
        <v>0</v>
      </c>
      <c r="J36" s="64">
        <f>VLOOKUP($B36,'7. PGE_Efficacité'!$A$6:$AO$268,14,0)</f>
        <v>0</v>
      </c>
      <c r="K36" s="64">
        <f>VLOOKUP($B36,'7. PGE_Efficacité'!$A$6:$AO$268,15,0)</f>
        <v>0</v>
      </c>
      <c r="L36" s="64">
        <f>VLOOKUP($B36,'7. PGE_Efficacité'!$A$6:$AO$268,16,0)</f>
        <v>0</v>
      </c>
      <c r="M36" s="64">
        <f>VLOOKUP($B36,'7. PGE_Efficacité'!$A$6:$AO$268,17,0)</f>
        <v>0</v>
      </c>
      <c r="N36" s="64">
        <f>VLOOKUP($B36,'7. PGE_Efficacité'!$A$6:$AO$268,18,0)</f>
        <v>0</v>
      </c>
      <c r="O36" s="64">
        <f>VLOOKUP($B36,'7. PGE_Efficacité'!$A$6:$AO$268,19,0)</f>
        <v>0</v>
      </c>
      <c r="P36" s="64">
        <f>VLOOKUP($B36,'7. PGE_Efficacité'!$A$6:$AO$268,20,0)</f>
        <v>0</v>
      </c>
      <c r="Q36" s="64">
        <f>VLOOKUP($B36,'7. PGE_Efficacité'!$A$6:$AO$268,21,0)</f>
        <v>0</v>
      </c>
      <c r="R36" s="64">
        <f>VLOOKUP($B36,'7. PGE_Efficacité'!$A$6:$AO$268,22,0)</f>
        <v>0</v>
      </c>
      <c r="S36" s="64">
        <f>VLOOKUP($B36,'7. PGE_Efficacité'!$A$6:$AO$268,23,0)</f>
        <v>0</v>
      </c>
      <c r="T36" s="64">
        <f>VLOOKUP($B36,'7. PGE_Efficacité'!$A$6:$AO$268,24,0)</f>
        <v>0</v>
      </c>
      <c r="U36" s="64">
        <f>VLOOKUP($B36,'7. PGE_Efficacité'!$A$6:$AO$268,25,0)</f>
        <v>0</v>
      </c>
      <c r="V36" s="64">
        <f>VLOOKUP($B36,'7. PGE_Efficacité'!$A$6:$AO$268,26,0)</f>
        <v>0</v>
      </c>
      <c r="W36" s="61">
        <f>VLOOKUP($B36,'7. PGE_Efficacité'!$A$6:$AO$268,27,0)</f>
        <v>0</v>
      </c>
      <c r="X36" s="61">
        <f>VLOOKUP($B36,'7. PGE_Efficacité'!$A$6:$AO$268,28,0)</f>
        <v>0</v>
      </c>
      <c r="Y36" s="61">
        <f>VLOOKUP($B36,'7. PGE_Efficacité'!$A$6:$AO$268,29,0)</f>
        <v>0</v>
      </c>
      <c r="Z36" s="61">
        <f>VLOOKUP($B36,'7. PGE_Efficacité'!$A$6:$AO$268,30,0)</f>
        <v>0</v>
      </c>
      <c r="AA36" s="61">
        <f>VLOOKUP($B36,'7. PGE_Efficacité'!$A$6:$AO$268,31,0)</f>
        <v>0</v>
      </c>
      <c r="AB36" s="61">
        <f>VLOOKUP($B36,'7. PGE_Efficacité'!$A$6:$AO$268,32,0)</f>
        <v>0</v>
      </c>
      <c r="AC36" s="61">
        <f>VLOOKUP($B36,'7. PGE_Efficacité'!$A$6:$AO$268,33,0)</f>
        <v>0</v>
      </c>
      <c r="AD36" s="61">
        <f>VLOOKUP($B36,'7. PGE_Efficacité'!$A$6:$AO$268,34,0)</f>
        <v>0</v>
      </c>
      <c r="AE36" s="61">
        <f>VLOOKUP($B36,'7. PGE_Efficacité'!$A$6:$AO$268,35,0)</f>
        <v>0</v>
      </c>
      <c r="AF36" s="61">
        <f>VLOOKUP($B36,'7. PGE_Efficacité'!$A$6:$AO$268,36,0)</f>
        <v>0</v>
      </c>
      <c r="AG36" s="61">
        <f>VLOOKUP($B36,'7. PGE_Efficacité'!$A$6:$AO$268,37,0)</f>
        <v>0</v>
      </c>
      <c r="AH36" s="61">
        <f>VLOOKUP($B36,'7. PGE_Efficacité'!$A$6:$AO$268,38,0)</f>
        <v>0</v>
      </c>
      <c r="AI36" s="61">
        <f>VLOOKUP($B36,'7. PGE_Efficacité'!$A$6:$AO$268,39,0)</f>
        <v>0</v>
      </c>
      <c r="AJ36" s="61">
        <f>VLOOKUP($B36,'7. PGE_Efficacité'!$A$6:$AO$268,40,0)</f>
        <v>0</v>
      </c>
      <c r="AK36" s="61">
        <f>VLOOKUP($B36,'7. PGE_Efficacité'!$A$6:$AO$268,41,0)</f>
        <v>0</v>
      </c>
    </row>
    <row r="37" spans="1:37" hidden="1" outlineLevel="1" x14ac:dyDescent="0.25">
      <c r="A37" s="65" t="s">
        <v>3</v>
      </c>
      <c r="B37" s="65" t="s">
        <v>789</v>
      </c>
      <c r="C37" s="65" t="s">
        <v>1427</v>
      </c>
      <c r="D37" s="65" t="s">
        <v>1520</v>
      </c>
      <c r="E37" s="65" t="s">
        <v>1290</v>
      </c>
      <c r="F37" s="73">
        <v>0</v>
      </c>
      <c r="G37" s="64">
        <f>VLOOKUP($B37,'7. PGE_Efficacité'!$A$6:$AO$268,11,0)</f>
        <v>0</v>
      </c>
      <c r="H37" s="64">
        <f>VLOOKUP($B37,'7. PGE_Efficacité'!$A$6:$AO$268,12,0)</f>
        <v>0</v>
      </c>
      <c r="I37" s="64">
        <f>VLOOKUP($B37,'7. PGE_Efficacité'!$A$6:$AO$268,13,0)</f>
        <v>0</v>
      </c>
      <c r="J37" s="64">
        <f>VLOOKUP($B37,'7. PGE_Efficacité'!$A$6:$AO$268,14,0)</f>
        <v>0</v>
      </c>
      <c r="K37" s="64">
        <f>VLOOKUP($B37,'7. PGE_Efficacité'!$A$6:$AO$268,15,0)</f>
        <v>0</v>
      </c>
      <c r="L37" s="64">
        <f>VLOOKUP($B37,'7. PGE_Efficacité'!$A$6:$AO$268,16,0)</f>
        <v>0</v>
      </c>
      <c r="M37" s="64">
        <f>VLOOKUP($B37,'7. PGE_Efficacité'!$A$6:$AO$268,17,0)</f>
        <v>0</v>
      </c>
      <c r="N37" s="64">
        <f>VLOOKUP($B37,'7. PGE_Efficacité'!$A$6:$AO$268,18,0)</f>
        <v>0</v>
      </c>
      <c r="O37" s="64">
        <f>VLOOKUP($B37,'7. PGE_Efficacité'!$A$6:$AO$268,19,0)</f>
        <v>0</v>
      </c>
      <c r="P37" s="64">
        <f>VLOOKUP($B37,'7. PGE_Efficacité'!$A$6:$AO$268,20,0)</f>
        <v>0</v>
      </c>
      <c r="Q37" s="64">
        <f>VLOOKUP($B37,'7. PGE_Efficacité'!$A$6:$AO$268,21,0)</f>
        <v>0</v>
      </c>
      <c r="R37" s="64">
        <f>VLOOKUP($B37,'7. PGE_Efficacité'!$A$6:$AO$268,22,0)</f>
        <v>0</v>
      </c>
      <c r="S37" s="64">
        <f>VLOOKUP($B37,'7. PGE_Efficacité'!$A$6:$AO$268,23,0)</f>
        <v>0</v>
      </c>
      <c r="T37" s="64">
        <f>VLOOKUP($B37,'7. PGE_Efficacité'!$A$6:$AO$268,24,0)</f>
        <v>0</v>
      </c>
      <c r="U37" s="64">
        <f>VLOOKUP($B37,'7. PGE_Efficacité'!$A$6:$AO$268,25,0)</f>
        <v>0</v>
      </c>
      <c r="V37" s="64">
        <f>VLOOKUP($B37,'7. PGE_Efficacité'!$A$6:$AO$268,26,0)</f>
        <v>0</v>
      </c>
      <c r="W37" s="61">
        <f>VLOOKUP($B37,'7. PGE_Efficacité'!$A$6:$AO$268,27,0)</f>
        <v>0</v>
      </c>
      <c r="X37" s="61">
        <f>VLOOKUP($B37,'7. PGE_Efficacité'!$A$6:$AO$268,28,0)</f>
        <v>0</v>
      </c>
      <c r="Y37" s="61">
        <f>VLOOKUP($B37,'7. PGE_Efficacité'!$A$6:$AO$268,29,0)</f>
        <v>0</v>
      </c>
      <c r="Z37" s="61">
        <f>VLOOKUP($B37,'7. PGE_Efficacité'!$A$6:$AO$268,30,0)</f>
        <v>0</v>
      </c>
      <c r="AA37" s="61">
        <f>VLOOKUP($B37,'7. PGE_Efficacité'!$A$6:$AO$268,31,0)</f>
        <v>0</v>
      </c>
      <c r="AB37" s="61">
        <f>VLOOKUP($B37,'7. PGE_Efficacité'!$A$6:$AO$268,32,0)</f>
        <v>0</v>
      </c>
      <c r="AC37" s="61">
        <f>VLOOKUP($B37,'7. PGE_Efficacité'!$A$6:$AO$268,33,0)</f>
        <v>0</v>
      </c>
      <c r="AD37" s="61">
        <f>VLOOKUP($B37,'7. PGE_Efficacité'!$A$6:$AO$268,34,0)</f>
        <v>0</v>
      </c>
      <c r="AE37" s="61">
        <f>VLOOKUP($B37,'7. PGE_Efficacité'!$A$6:$AO$268,35,0)</f>
        <v>0</v>
      </c>
      <c r="AF37" s="61">
        <f>VLOOKUP($B37,'7. PGE_Efficacité'!$A$6:$AO$268,36,0)</f>
        <v>0</v>
      </c>
      <c r="AG37" s="61">
        <f>VLOOKUP($B37,'7. PGE_Efficacité'!$A$6:$AO$268,37,0)</f>
        <v>0</v>
      </c>
      <c r="AH37" s="61">
        <f>VLOOKUP($B37,'7. PGE_Efficacité'!$A$6:$AO$268,38,0)</f>
        <v>0</v>
      </c>
      <c r="AI37" s="61">
        <f>VLOOKUP($B37,'7. PGE_Efficacité'!$A$6:$AO$268,39,0)</f>
        <v>0</v>
      </c>
      <c r="AJ37" s="61">
        <f>VLOOKUP($B37,'7. PGE_Efficacité'!$A$6:$AO$268,40,0)</f>
        <v>0</v>
      </c>
      <c r="AK37" s="61">
        <f>VLOOKUP($B37,'7. PGE_Efficacité'!$A$6:$AO$268,41,0)</f>
        <v>0</v>
      </c>
    </row>
    <row r="38" spans="1:37" hidden="1" outlineLevel="1" x14ac:dyDescent="0.25">
      <c r="A38" s="65" t="s">
        <v>3</v>
      </c>
      <c r="B38" s="65" t="s">
        <v>790</v>
      </c>
      <c r="C38" s="65" t="s">
        <v>1428</v>
      </c>
      <c r="D38" s="65" t="s">
        <v>1520</v>
      </c>
      <c r="E38" s="65" t="s">
        <v>1290</v>
      </c>
      <c r="F38" s="73">
        <v>0</v>
      </c>
      <c r="G38" s="64">
        <f>VLOOKUP($B38,'7. PGE_Efficacité'!$A$6:$AO$268,11,0)</f>
        <v>0</v>
      </c>
      <c r="H38" s="64">
        <f>VLOOKUP($B38,'7. PGE_Efficacité'!$A$6:$AO$268,12,0)</f>
        <v>0</v>
      </c>
      <c r="I38" s="64">
        <f>VLOOKUP($B38,'7. PGE_Efficacité'!$A$6:$AO$268,13,0)</f>
        <v>0</v>
      </c>
      <c r="J38" s="64">
        <f>VLOOKUP($B38,'7. PGE_Efficacité'!$A$6:$AO$268,14,0)</f>
        <v>0</v>
      </c>
      <c r="K38" s="64">
        <f>VLOOKUP($B38,'7. PGE_Efficacité'!$A$6:$AO$268,15,0)</f>
        <v>0</v>
      </c>
      <c r="L38" s="64">
        <f>VLOOKUP($B38,'7. PGE_Efficacité'!$A$6:$AO$268,16,0)</f>
        <v>0</v>
      </c>
      <c r="M38" s="64">
        <f>VLOOKUP($B38,'7. PGE_Efficacité'!$A$6:$AO$268,17,0)</f>
        <v>0</v>
      </c>
      <c r="N38" s="64">
        <f>VLOOKUP($B38,'7. PGE_Efficacité'!$A$6:$AO$268,18,0)</f>
        <v>0</v>
      </c>
      <c r="O38" s="64">
        <f>VLOOKUP($B38,'7. PGE_Efficacité'!$A$6:$AO$268,19,0)</f>
        <v>0</v>
      </c>
      <c r="P38" s="64">
        <f>VLOOKUP($B38,'7. PGE_Efficacité'!$A$6:$AO$268,20,0)</f>
        <v>0</v>
      </c>
      <c r="Q38" s="64">
        <f>VLOOKUP($B38,'7. PGE_Efficacité'!$A$6:$AO$268,21,0)</f>
        <v>0</v>
      </c>
      <c r="R38" s="64">
        <f>VLOOKUP($B38,'7. PGE_Efficacité'!$A$6:$AO$268,22,0)</f>
        <v>0</v>
      </c>
      <c r="S38" s="64">
        <f>VLOOKUP($B38,'7. PGE_Efficacité'!$A$6:$AO$268,23,0)</f>
        <v>0</v>
      </c>
      <c r="T38" s="64">
        <f>VLOOKUP($B38,'7. PGE_Efficacité'!$A$6:$AO$268,24,0)</f>
        <v>0</v>
      </c>
      <c r="U38" s="64">
        <f>VLOOKUP($B38,'7. PGE_Efficacité'!$A$6:$AO$268,25,0)</f>
        <v>0</v>
      </c>
      <c r="V38" s="64">
        <f>VLOOKUP($B38,'7. PGE_Efficacité'!$A$6:$AO$268,26,0)</f>
        <v>0</v>
      </c>
      <c r="W38" s="61">
        <f>VLOOKUP($B38,'7. PGE_Efficacité'!$A$6:$AO$268,27,0)</f>
        <v>0</v>
      </c>
      <c r="X38" s="61">
        <f>VLOOKUP($B38,'7. PGE_Efficacité'!$A$6:$AO$268,28,0)</f>
        <v>0</v>
      </c>
      <c r="Y38" s="61">
        <f>VLOOKUP($B38,'7. PGE_Efficacité'!$A$6:$AO$268,29,0)</f>
        <v>0</v>
      </c>
      <c r="Z38" s="61">
        <f>VLOOKUP($B38,'7. PGE_Efficacité'!$A$6:$AO$268,30,0)</f>
        <v>0</v>
      </c>
      <c r="AA38" s="61">
        <f>VLOOKUP($B38,'7. PGE_Efficacité'!$A$6:$AO$268,31,0)</f>
        <v>0</v>
      </c>
      <c r="AB38" s="61">
        <f>VLOOKUP($B38,'7. PGE_Efficacité'!$A$6:$AO$268,32,0)</f>
        <v>0</v>
      </c>
      <c r="AC38" s="61">
        <f>VLOOKUP($B38,'7. PGE_Efficacité'!$A$6:$AO$268,33,0)</f>
        <v>0</v>
      </c>
      <c r="AD38" s="61">
        <f>VLOOKUP($B38,'7. PGE_Efficacité'!$A$6:$AO$268,34,0)</f>
        <v>0</v>
      </c>
      <c r="AE38" s="61">
        <f>VLOOKUP($B38,'7. PGE_Efficacité'!$A$6:$AO$268,35,0)</f>
        <v>0</v>
      </c>
      <c r="AF38" s="61">
        <f>VLOOKUP($B38,'7. PGE_Efficacité'!$A$6:$AO$268,36,0)</f>
        <v>0</v>
      </c>
      <c r="AG38" s="61">
        <f>VLOOKUP($B38,'7. PGE_Efficacité'!$A$6:$AO$268,37,0)</f>
        <v>0</v>
      </c>
      <c r="AH38" s="61">
        <f>VLOOKUP($B38,'7. PGE_Efficacité'!$A$6:$AO$268,38,0)</f>
        <v>0</v>
      </c>
      <c r="AI38" s="61">
        <f>VLOOKUP($B38,'7. PGE_Efficacité'!$A$6:$AO$268,39,0)</f>
        <v>0</v>
      </c>
      <c r="AJ38" s="61">
        <f>VLOOKUP($B38,'7. PGE_Efficacité'!$A$6:$AO$268,40,0)</f>
        <v>0</v>
      </c>
      <c r="AK38" s="61">
        <f>VLOOKUP($B38,'7. PGE_Efficacité'!$A$6:$AO$268,41,0)</f>
        <v>0</v>
      </c>
    </row>
    <row r="39" spans="1:37" hidden="1" outlineLevel="1" x14ac:dyDescent="0.25">
      <c r="A39" s="65" t="s">
        <v>3</v>
      </c>
      <c r="B39" s="65" t="s">
        <v>791</v>
      </c>
      <c r="C39" s="65" t="s">
        <v>1429</v>
      </c>
      <c r="D39" s="65" t="s">
        <v>1520</v>
      </c>
      <c r="E39" s="65" t="s">
        <v>1290</v>
      </c>
      <c r="F39" s="73">
        <v>0</v>
      </c>
      <c r="G39" s="64">
        <f>VLOOKUP($B39,'7. PGE_Efficacité'!$A$6:$AO$268,11,0)</f>
        <v>0</v>
      </c>
      <c r="H39" s="64">
        <f>VLOOKUP($B39,'7. PGE_Efficacité'!$A$6:$AO$268,12,0)</f>
        <v>0</v>
      </c>
      <c r="I39" s="64">
        <f>VLOOKUP($B39,'7. PGE_Efficacité'!$A$6:$AO$268,13,0)</f>
        <v>0</v>
      </c>
      <c r="J39" s="64">
        <f>VLOOKUP($B39,'7. PGE_Efficacité'!$A$6:$AO$268,14,0)</f>
        <v>0</v>
      </c>
      <c r="K39" s="64">
        <f>VLOOKUP($B39,'7. PGE_Efficacité'!$A$6:$AO$268,15,0)</f>
        <v>0</v>
      </c>
      <c r="L39" s="64">
        <f>VLOOKUP($B39,'7. PGE_Efficacité'!$A$6:$AO$268,16,0)</f>
        <v>0</v>
      </c>
      <c r="M39" s="64">
        <f>VLOOKUP($B39,'7. PGE_Efficacité'!$A$6:$AO$268,17,0)</f>
        <v>0</v>
      </c>
      <c r="N39" s="64">
        <f>VLOOKUP($B39,'7. PGE_Efficacité'!$A$6:$AO$268,18,0)</f>
        <v>0</v>
      </c>
      <c r="O39" s="64">
        <f>VLOOKUP($B39,'7. PGE_Efficacité'!$A$6:$AO$268,19,0)</f>
        <v>0</v>
      </c>
      <c r="P39" s="64">
        <f>VLOOKUP($B39,'7. PGE_Efficacité'!$A$6:$AO$268,20,0)</f>
        <v>0</v>
      </c>
      <c r="Q39" s="64">
        <f>VLOOKUP($B39,'7. PGE_Efficacité'!$A$6:$AO$268,21,0)</f>
        <v>0</v>
      </c>
      <c r="R39" s="64">
        <f>VLOOKUP($B39,'7. PGE_Efficacité'!$A$6:$AO$268,22,0)</f>
        <v>0</v>
      </c>
      <c r="S39" s="64">
        <f>VLOOKUP($B39,'7. PGE_Efficacité'!$A$6:$AO$268,23,0)</f>
        <v>0</v>
      </c>
      <c r="T39" s="64">
        <f>VLOOKUP($B39,'7. PGE_Efficacité'!$A$6:$AO$268,24,0)</f>
        <v>0</v>
      </c>
      <c r="U39" s="64">
        <f>VLOOKUP($B39,'7. PGE_Efficacité'!$A$6:$AO$268,25,0)</f>
        <v>0</v>
      </c>
      <c r="V39" s="64">
        <f>VLOOKUP($B39,'7. PGE_Efficacité'!$A$6:$AO$268,26,0)</f>
        <v>0</v>
      </c>
      <c r="W39" s="61">
        <f>VLOOKUP($B39,'7. PGE_Efficacité'!$A$6:$AO$268,27,0)</f>
        <v>0</v>
      </c>
      <c r="X39" s="61">
        <f>VLOOKUP($B39,'7. PGE_Efficacité'!$A$6:$AO$268,28,0)</f>
        <v>0</v>
      </c>
      <c r="Y39" s="61">
        <f>VLOOKUP($B39,'7. PGE_Efficacité'!$A$6:$AO$268,29,0)</f>
        <v>0</v>
      </c>
      <c r="Z39" s="61">
        <f>VLOOKUP($B39,'7. PGE_Efficacité'!$A$6:$AO$268,30,0)</f>
        <v>0</v>
      </c>
      <c r="AA39" s="61">
        <f>VLOOKUP($B39,'7. PGE_Efficacité'!$A$6:$AO$268,31,0)</f>
        <v>0</v>
      </c>
      <c r="AB39" s="61">
        <f>VLOOKUP($B39,'7. PGE_Efficacité'!$A$6:$AO$268,32,0)</f>
        <v>0</v>
      </c>
      <c r="AC39" s="61">
        <f>VLOOKUP($B39,'7. PGE_Efficacité'!$A$6:$AO$268,33,0)</f>
        <v>0</v>
      </c>
      <c r="AD39" s="61">
        <f>VLOOKUP($B39,'7. PGE_Efficacité'!$A$6:$AO$268,34,0)</f>
        <v>0</v>
      </c>
      <c r="AE39" s="61">
        <f>VLOOKUP($B39,'7. PGE_Efficacité'!$A$6:$AO$268,35,0)</f>
        <v>0</v>
      </c>
      <c r="AF39" s="61">
        <f>VLOOKUP($B39,'7. PGE_Efficacité'!$A$6:$AO$268,36,0)</f>
        <v>0</v>
      </c>
      <c r="AG39" s="61">
        <f>VLOOKUP($B39,'7. PGE_Efficacité'!$A$6:$AO$268,37,0)</f>
        <v>0</v>
      </c>
      <c r="AH39" s="61">
        <f>VLOOKUP($B39,'7. PGE_Efficacité'!$A$6:$AO$268,38,0)</f>
        <v>0</v>
      </c>
      <c r="AI39" s="61">
        <f>VLOOKUP($B39,'7. PGE_Efficacité'!$A$6:$AO$268,39,0)</f>
        <v>0</v>
      </c>
      <c r="AJ39" s="61">
        <f>VLOOKUP($B39,'7. PGE_Efficacité'!$A$6:$AO$268,40,0)</f>
        <v>0</v>
      </c>
      <c r="AK39" s="61">
        <f>VLOOKUP($B39,'7. PGE_Efficacité'!$A$6:$AO$268,41,0)</f>
        <v>0</v>
      </c>
    </row>
    <row r="40" spans="1:37" hidden="1" outlineLevel="1" x14ac:dyDescent="0.25">
      <c r="A40" s="65" t="s">
        <v>3</v>
      </c>
      <c r="B40" s="65" t="s">
        <v>792</v>
      </c>
      <c r="C40" s="65" t="s">
        <v>1430</v>
      </c>
      <c r="D40" s="65" t="s">
        <v>1520</v>
      </c>
      <c r="E40" s="65" t="s">
        <v>1290</v>
      </c>
      <c r="F40" s="73">
        <v>0</v>
      </c>
      <c r="G40" s="64">
        <f>VLOOKUP($B40,'7. PGE_Efficacité'!$A$6:$AO$268,11,0)</f>
        <v>0</v>
      </c>
      <c r="H40" s="64">
        <f>VLOOKUP($B40,'7. PGE_Efficacité'!$A$6:$AO$268,12,0)</f>
        <v>0</v>
      </c>
      <c r="I40" s="64">
        <f>VLOOKUP($B40,'7. PGE_Efficacité'!$A$6:$AO$268,13,0)</f>
        <v>0</v>
      </c>
      <c r="J40" s="64">
        <f>VLOOKUP($B40,'7. PGE_Efficacité'!$A$6:$AO$268,14,0)</f>
        <v>0</v>
      </c>
      <c r="K40" s="64">
        <f>VLOOKUP($B40,'7. PGE_Efficacité'!$A$6:$AO$268,15,0)</f>
        <v>0</v>
      </c>
      <c r="L40" s="64">
        <f>VLOOKUP($B40,'7. PGE_Efficacité'!$A$6:$AO$268,16,0)</f>
        <v>0</v>
      </c>
      <c r="M40" s="64">
        <f>VLOOKUP($B40,'7. PGE_Efficacité'!$A$6:$AO$268,17,0)</f>
        <v>0</v>
      </c>
      <c r="N40" s="64">
        <f>VLOOKUP($B40,'7. PGE_Efficacité'!$A$6:$AO$268,18,0)</f>
        <v>0</v>
      </c>
      <c r="O40" s="64">
        <f>VLOOKUP($B40,'7. PGE_Efficacité'!$A$6:$AO$268,19,0)</f>
        <v>0</v>
      </c>
      <c r="P40" s="64">
        <f>VLOOKUP($B40,'7. PGE_Efficacité'!$A$6:$AO$268,20,0)</f>
        <v>0</v>
      </c>
      <c r="Q40" s="64">
        <f>VLOOKUP($B40,'7. PGE_Efficacité'!$A$6:$AO$268,21,0)</f>
        <v>0</v>
      </c>
      <c r="R40" s="64">
        <f>VLOOKUP($B40,'7. PGE_Efficacité'!$A$6:$AO$268,22,0)</f>
        <v>0</v>
      </c>
      <c r="S40" s="64">
        <f>VLOOKUP($B40,'7. PGE_Efficacité'!$A$6:$AO$268,23,0)</f>
        <v>0</v>
      </c>
      <c r="T40" s="64">
        <f>VLOOKUP($B40,'7. PGE_Efficacité'!$A$6:$AO$268,24,0)</f>
        <v>0</v>
      </c>
      <c r="U40" s="64">
        <f>VLOOKUP($B40,'7. PGE_Efficacité'!$A$6:$AO$268,25,0)</f>
        <v>0</v>
      </c>
      <c r="V40" s="64">
        <f>VLOOKUP($B40,'7. PGE_Efficacité'!$A$6:$AO$268,26,0)</f>
        <v>0</v>
      </c>
      <c r="W40" s="61">
        <f>VLOOKUP($B40,'7. PGE_Efficacité'!$A$6:$AO$268,27,0)</f>
        <v>0</v>
      </c>
      <c r="X40" s="61">
        <f>VLOOKUP($B40,'7. PGE_Efficacité'!$A$6:$AO$268,28,0)</f>
        <v>0</v>
      </c>
      <c r="Y40" s="61">
        <f>VLOOKUP($B40,'7. PGE_Efficacité'!$A$6:$AO$268,29,0)</f>
        <v>0</v>
      </c>
      <c r="Z40" s="61">
        <f>VLOOKUP($B40,'7. PGE_Efficacité'!$A$6:$AO$268,30,0)</f>
        <v>0</v>
      </c>
      <c r="AA40" s="61">
        <f>VLOOKUP($B40,'7. PGE_Efficacité'!$A$6:$AO$268,31,0)</f>
        <v>0</v>
      </c>
      <c r="AB40" s="61">
        <f>VLOOKUP($B40,'7. PGE_Efficacité'!$A$6:$AO$268,32,0)</f>
        <v>0</v>
      </c>
      <c r="AC40" s="61">
        <f>VLOOKUP($B40,'7. PGE_Efficacité'!$A$6:$AO$268,33,0)</f>
        <v>0</v>
      </c>
      <c r="AD40" s="61">
        <f>VLOOKUP($B40,'7. PGE_Efficacité'!$A$6:$AO$268,34,0)</f>
        <v>0</v>
      </c>
      <c r="AE40" s="61">
        <f>VLOOKUP($B40,'7. PGE_Efficacité'!$A$6:$AO$268,35,0)</f>
        <v>0</v>
      </c>
      <c r="AF40" s="61">
        <f>VLOOKUP($B40,'7. PGE_Efficacité'!$A$6:$AO$268,36,0)</f>
        <v>0</v>
      </c>
      <c r="AG40" s="61">
        <f>VLOOKUP($B40,'7. PGE_Efficacité'!$A$6:$AO$268,37,0)</f>
        <v>0</v>
      </c>
      <c r="AH40" s="61">
        <f>VLOOKUP($B40,'7. PGE_Efficacité'!$A$6:$AO$268,38,0)</f>
        <v>0</v>
      </c>
      <c r="AI40" s="61">
        <f>VLOOKUP($B40,'7. PGE_Efficacité'!$A$6:$AO$268,39,0)</f>
        <v>0</v>
      </c>
      <c r="AJ40" s="61">
        <f>VLOOKUP($B40,'7. PGE_Efficacité'!$A$6:$AO$268,40,0)</f>
        <v>0</v>
      </c>
      <c r="AK40" s="61">
        <f>VLOOKUP($B40,'7. PGE_Efficacité'!$A$6:$AO$268,41,0)</f>
        <v>0</v>
      </c>
    </row>
    <row r="41" spans="1:37" hidden="1" outlineLevel="1" x14ac:dyDescent="0.25">
      <c r="A41" s="65" t="s">
        <v>3</v>
      </c>
      <c r="B41" s="65" t="s">
        <v>793</v>
      </c>
      <c r="C41" s="65" t="s">
        <v>1431</v>
      </c>
      <c r="D41" s="65" t="s">
        <v>1520</v>
      </c>
      <c r="E41" s="65" t="s">
        <v>1290</v>
      </c>
      <c r="F41" s="73">
        <v>0</v>
      </c>
      <c r="G41" s="64">
        <f>VLOOKUP($B41,'7. PGE_Efficacité'!$A$6:$AO$268,11,0)</f>
        <v>0</v>
      </c>
      <c r="H41" s="64">
        <f>VLOOKUP($B41,'7. PGE_Efficacité'!$A$6:$AO$268,12,0)</f>
        <v>0</v>
      </c>
      <c r="I41" s="64">
        <f>VLOOKUP($B41,'7. PGE_Efficacité'!$A$6:$AO$268,13,0)</f>
        <v>0</v>
      </c>
      <c r="J41" s="64">
        <f>VLOOKUP($B41,'7. PGE_Efficacité'!$A$6:$AO$268,14,0)</f>
        <v>0</v>
      </c>
      <c r="K41" s="64">
        <f>VLOOKUP($B41,'7. PGE_Efficacité'!$A$6:$AO$268,15,0)</f>
        <v>0</v>
      </c>
      <c r="L41" s="64">
        <f>VLOOKUP($B41,'7. PGE_Efficacité'!$A$6:$AO$268,16,0)</f>
        <v>0</v>
      </c>
      <c r="M41" s="64">
        <f>VLOOKUP($B41,'7. PGE_Efficacité'!$A$6:$AO$268,17,0)</f>
        <v>0</v>
      </c>
      <c r="N41" s="64">
        <f>VLOOKUP($B41,'7. PGE_Efficacité'!$A$6:$AO$268,18,0)</f>
        <v>0</v>
      </c>
      <c r="O41" s="64">
        <f>VLOOKUP($B41,'7. PGE_Efficacité'!$A$6:$AO$268,19,0)</f>
        <v>0</v>
      </c>
      <c r="P41" s="64">
        <f>VLOOKUP($B41,'7. PGE_Efficacité'!$A$6:$AO$268,20,0)</f>
        <v>0</v>
      </c>
      <c r="Q41" s="64">
        <f>VLOOKUP($B41,'7. PGE_Efficacité'!$A$6:$AO$268,21,0)</f>
        <v>0</v>
      </c>
      <c r="R41" s="64">
        <f>VLOOKUP($B41,'7. PGE_Efficacité'!$A$6:$AO$268,22,0)</f>
        <v>0</v>
      </c>
      <c r="S41" s="64">
        <f>VLOOKUP($B41,'7. PGE_Efficacité'!$A$6:$AO$268,23,0)</f>
        <v>0</v>
      </c>
      <c r="T41" s="64">
        <f>VLOOKUP($B41,'7. PGE_Efficacité'!$A$6:$AO$268,24,0)</f>
        <v>0</v>
      </c>
      <c r="U41" s="64">
        <f>VLOOKUP($B41,'7. PGE_Efficacité'!$A$6:$AO$268,25,0)</f>
        <v>0</v>
      </c>
      <c r="V41" s="64">
        <f>VLOOKUP($B41,'7. PGE_Efficacité'!$A$6:$AO$268,26,0)</f>
        <v>0</v>
      </c>
      <c r="W41" s="61">
        <f>VLOOKUP($B41,'7. PGE_Efficacité'!$A$6:$AO$268,27,0)</f>
        <v>0</v>
      </c>
      <c r="X41" s="61">
        <f>VLOOKUP($B41,'7. PGE_Efficacité'!$A$6:$AO$268,28,0)</f>
        <v>0</v>
      </c>
      <c r="Y41" s="61">
        <f>VLOOKUP($B41,'7. PGE_Efficacité'!$A$6:$AO$268,29,0)</f>
        <v>0</v>
      </c>
      <c r="Z41" s="61">
        <f>VLOOKUP($B41,'7. PGE_Efficacité'!$A$6:$AO$268,30,0)</f>
        <v>0</v>
      </c>
      <c r="AA41" s="61">
        <f>VLOOKUP($B41,'7. PGE_Efficacité'!$A$6:$AO$268,31,0)</f>
        <v>0</v>
      </c>
      <c r="AB41" s="61">
        <f>VLOOKUP($B41,'7. PGE_Efficacité'!$A$6:$AO$268,32,0)</f>
        <v>0</v>
      </c>
      <c r="AC41" s="61">
        <f>VLOOKUP($B41,'7. PGE_Efficacité'!$A$6:$AO$268,33,0)</f>
        <v>0</v>
      </c>
      <c r="AD41" s="61">
        <f>VLOOKUP($B41,'7. PGE_Efficacité'!$A$6:$AO$268,34,0)</f>
        <v>0</v>
      </c>
      <c r="AE41" s="61">
        <f>VLOOKUP($B41,'7. PGE_Efficacité'!$A$6:$AO$268,35,0)</f>
        <v>0</v>
      </c>
      <c r="AF41" s="61">
        <f>VLOOKUP($B41,'7. PGE_Efficacité'!$A$6:$AO$268,36,0)</f>
        <v>0</v>
      </c>
      <c r="AG41" s="61">
        <f>VLOOKUP($B41,'7. PGE_Efficacité'!$A$6:$AO$268,37,0)</f>
        <v>0</v>
      </c>
      <c r="AH41" s="61">
        <f>VLOOKUP($B41,'7. PGE_Efficacité'!$A$6:$AO$268,38,0)</f>
        <v>0</v>
      </c>
      <c r="AI41" s="61">
        <f>VLOOKUP($B41,'7. PGE_Efficacité'!$A$6:$AO$268,39,0)</f>
        <v>0</v>
      </c>
      <c r="AJ41" s="61">
        <f>VLOOKUP($B41,'7. PGE_Efficacité'!$A$6:$AO$268,40,0)</f>
        <v>0</v>
      </c>
      <c r="AK41" s="61">
        <f>VLOOKUP($B41,'7. PGE_Efficacité'!$A$6:$AO$268,41,0)</f>
        <v>0</v>
      </c>
    </row>
    <row r="42" spans="1:37" hidden="1" outlineLevel="1" x14ac:dyDescent="0.25">
      <c r="A42" s="65" t="s">
        <v>3</v>
      </c>
      <c r="B42" s="65" t="s">
        <v>794</v>
      </c>
      <c r="C42" s="65" t="s">
        <v>1432</v>
      </c>
      <c r="D42" s="65" t="s">
        <v>1520</v>
      </c>
      <c r="E42" s="65" t="s">
        <v>1290</v>
      </c>
      <c r="F42" s="73">
        <v>0</v>
      </c>
      <c r="G42" s="64">
        <f>VLOOKUP($B42,'7. PGE_Efficacité'!$A$6:$AO$268,11,0)</f>
        <v>0</v>
      </c>
      <c r="H42" s="64">
        <f>VLOOKUP($B42,'7. PGE_Efficacité'!$A$6:$AO$268,12,0)</f>
        <v>0</v>
      </c>
      <c r="I42" s="64">
        <f>VLOOKUP($B42,'7. PGE_Efficacité'!$A$6:$AO$268,13,0)</f>
        <v>0</v>
      </c>
      <c r="J42" s="64">
        <f>VLOOKUP($B42,'7. PGE_Efficacité'!$A$6:$AO$268,14,0)</f>
        <v>0</v>
      </c>
      <c r="K42" s="64">
        <f>VLOOKUP($B42,'7. PGE_Efficacité'!$A$6:$AO$268,15,0)</f>
        <v>0</v>
      </c>
      <c r="L42" s="64">
        <f>VLOOKUP($B42,'7. PGE_Efficacité'!$A$6:$AO$268,16,0)</f>
        <v>0</v>
      </c>
      <c r="M42" s="64">
        <f>VLOOKUP($B42,'7. PGE_Efficacité'!$A$6:$AO$268,17,0)</f>
        <v>0</v>
      </c>
      <c r="N42" s="64">
        <f>VLOOKUP($B42,'7. PGE_Efficacité'!$A$6:$AO$268,18,0)</f>
        <v>0</v>
      </c>
      <c r="O42" s="64">
        <f>VLOOKUP($B42,'7. PGE_Efficacité'!$A$6:$AO$268,19,0)</f>
        <v>0</v>
      </c>
      <c r="P42" s="64">
        <f>VLOOKUP($B42,'7. PGE_Efficacité'!$A$6:$AO$268,20,0)</f>
        <v>0</v>
      </c>
      <c r="Q42" s="64">
        <f>VLOOKUP($B42,'7. PGE_Efficacité'!$A$6:$AO$268,21,0)</f>
        <v>0</v>
      </c>
      <c r="R42" s="64">
        <f>VLOOKUP($B42,'7. PGE_Efficacité'!$A$6:$AO$268,22,0)</f>
        <v>0</v>
      </c>
      <c r="S42" s="64">
        <f>VLOOKUP($B42,'7. PGE_Efficacité'!$A$6:$AO$268,23,0)</f>
        <v>0</v>
      </c>
      <c r="T42" s="64">
        <f>VLOOKUP($B42,'7. PGE_Efficacité'!$A$6:$AO$268,24,0)</f>
        <v>0</v>
      </c>
      <c r="U42" s="64">
        <f>VLOOKUP($B42,'7. PGE_Efficacité'!$A$6:$AO$268,25,0)</f>
        <v>0</v>
      </c>
      <c r="V42" s="64">
        <f>VLOOKUP($B42,'7. PGE_Efficacité'!$A$6:$AO$268,26,0)</f>
        <v>0</v>
      </c>
      <c r="W42" s="61">
        <f>VLOOKUP($B42,'7. PGE_Efficacité'!$A$6:$AO$268,27,0)</f>
        <v>0</v>
      </c>
      <c r="X42" s="61">
        <f>VLOOKUP($B42,'7. PGE_Efficacité'!$A$6:$AO$268,28,0)</f>
        <v>0</v>
      </c>
      <c r="Y42" s="61">
        <f>VLOOKUP($B42,'7. PGE_Efficacité'!$A$6:$AO$268,29,0)</f>
        <v>0</v>
      </c>
      <c r="Z42" s="61">
        <f>VLOOKUP($B42,'7. PGE_Efficacité'!$A$6:$AO$268,30,0)</f>
        <v>0</v>
      </c>
      <c r="AA42" s="61">
        <f>VLOOKUP($B42,'7. PGE_Efficacité'!$A$6:$AO$268,31,0)</f>
        <v>0</v>
      </c>
      <c r="AB42" s="61">
        <f>VLOOKUP($B42,'7. PGE_Efficacité'!$A$6:$AO$268,32,0)</f>
        <v>0</v>
      </c>
      <c r="AC42" s="61">
        <f>VLOOKUP($B42,'7. PGE_Efficacité'!$A$6:$AO$268,33,0)</f>
        <v>0</v>
      </c>
      <c r="AD42" s="61">
        <f>VLOOKUP($B42,'7. PGE_Efficacité'!$A$6:$AO$268,34,0)</f>
        <v>0</v>
      </c>
      <c r="AE42" s="61">
        <f>VLOOKUP($B42,'7. PGE_Efficacité'!$A$6:$AO$268,35,0)</f>
        <v>0</v>
      </c>
      <c r="AF42" s="61">
        <f>VLOOKUP($B42,'7. PGE_Efficacité'!$A$6:$AO$268,36,0)</f>
        <v>0</v>
      </c>
      <c r="AG42" s="61">
        <f>VLOOKUP($B42,'7. PGE_Efficacité'!$A$6:$AO$268,37,0)</f>
        <v>0</v>
      </c>
      <c r="AH42" s="61">
        <f>VLOOKUP($B42,'7. PGE_Efficacité'!$A$6:$AO$268,38,0)</f>
        <v>0</v>
      </c>
      <c r="AI42" s="61">
        <f>VLOOKUP($B42,'7. PGE_Efficacité'!$A$6:$AO$268,39,0)</f>
        <v>0</v>
      </c>
      <c r="AJ42" s="61">
        <f>VLOOKUP($B42,'7. PGE_Efficacité'!$A$6:$AO$268,40,0)</f>
        <v>0</v>
      </c>
      <c r="AK42" s="61">
        <f>VLOOKUP($B42,'7. PGE_Efficacité'!$A$6:$AO$268,41,0)</f>
        <v>0</v>
      </c>
    </row>
    <row r="43" spans="1:37" hidden="1" outlineLevel="1" x14ac:dyDescent="0.25">
      <c r="A43" s="65" t="s">
        <v>3</v>
      </c>
      <c r="B43" s="65" t="s">
        <v>795</v>
      </c>
      <c r="C43" s="65" t="s">
        <v>1433</v>
      </c>
      <c r="D43" s="65" t="s">
        <v>1520</v>
      </c>
      <c r="E43" s="65" t="s">
        <v>1290</v>
      </c>
      <c r="F43" s="73">
        <f>165000/3</f>
        <v>55000</v>
      </c>
      <c r="G43" s="64">
        <f>VLOOKUP($B43,'7. PGE_Efficacité'!$A$6:$AO$268,11,0)</f>
        <v>0</v>
      </c>
      <c r="H43" s="64">
        <f>VLOOKUP($B43,'7. PGE_Efficacité'!$A$6:$AO$268,12,0)</f>
        <v>0</v>
      </c>
      <c r="I43" s="64">
        <f>VLOOKUP($B43,'7. PGE_Efficacité'!$A$6:$AO$268,13,0)</f>
        <v>0</v>
      </c>
      <c r="J43" s="64">
        <f>VLOOKUP($B43,'7. PGE_Efficacité'!$A$6:$AO$268,14,0)</f>
        <v>0</v>
      </c>
      <c r="K43" s="64">
        <f>VLOOKUP($B43,'7. PGE_Efficacité'!$A$6:$AO$268,15,0)</f>
        <v>0</v>
      </c>
      <c r="L43" s="64">
        <f>VLOOKUP($B43,'7. PGE_Efficacité'!$A$6:$AO$268,16,0)</f>
        <v>0</v>
      </c>
      <c r="M43" s="64">
        <f>VLOOKUP($B43,'7. PGE_Efficacité'!$A$6:$AO$268,17,0)</f>
        <v>0</v>
      </c>
      <c r="N43" s="64">
        <f>VLOOKUP($B43,'7. PGE_Efficacité'!$A$6:$AO$268,18,0)</f>
        <v>0</v>
      </c>
      <c r="O43" s="64">
        <f>VLOOKUP($B43,'7. PGE_Efficacité'!$A$6:$AO$268,19,0)</f>
        <v>0</v>
      </c>
      <c r="P43" s="64">
        <f>VLOOKUP($B43,'7. PGE_Efficacité'!$A$6:$AO$268,20,0)</f>
        <v>0</v>
      </c>
      <c r="Q43" s="64">
        <f>VLOOKUP($B43,'7. PGE_Efficacité'!$A$6:$AO$268,21,0)</f>
        <v>0</v>
      </c>
      <c r="R43" s="64">
        <f>VLOOKUP($B43,'7. PGE_Efficacité'!$A$6:$AO$268,22,0)</f>
        <v>0</v>
      </c>
      <c r="S43" s="64">
        <f>VLOOKUP($B43,'7. PGE_Efficacité'!$A$6:$AO$268,23,0)</f>
        <v>0</v>
      </c>
      <c r="T43" s="64">
        <f>VLOOKUP($B43,'7. PGE_Efficacité'!$A$6:$AO$268,24,0)</f>
        <v>0</v>
      </c>
      <c r="U43" s="64">
        <f>VLOOKUP($B43,'7. PGE_Efficacité'!$A$6:$AO$268,25,0)</f>
        <v>0</v>
      </c>
      <c r="V43" s="64">
        <f>VLOOKUP($B43,'7. PGE_Efficacité'!$A$6:$AO$268,26,0)</f>
        <v>0</v>
      </c>
      <c r="W43" s="61">
        <f>VLOOKUP($B43,'7. PGE_Efficacité'!$A$6:$AO$268,27,0)</f>
        <v>0</v>
      </c>
      <c r="X43" s="61">
        <f>VLOOKUP($B43,'7. PGE_Efficacité'!$A$6:$AO$268,28,0)</f>
        <v>0</v>
      </c>
      <c r="Y43" s="61">
        <f>VLOOKUP($B43,'7. PGE_Efficacité'!$A$6:$AO$268,29,0)</f>
        <v>0</v>
      </c>
      <c r="Z43" s="61">
        <f>VLOOKUP($B43,'7. PGE_Efficacité'!$A$6:$AO$268,30,0)</f>
        <v>0</v>
      </c>
      <c r="AA43" s="61">
        <f>VLOOKUP($B43,'7. PGE_Efficacité'!$A$6:$AO$268,31,0)</f>
        <v>0</v>
      </c>
      <c r="AB43" s="61">
        <f>VLOOKUP($B43,'7. PGE_Efficacité'!$A$6:$AO$268,32,0)</f>
        <v>0</v>
      </c>
      <c r="AC43" s="61">
        <f>VLOOKUP($B43,'7. PGE_Efficacité'!$A$6:$AO$268,33,0)</f>
        <v>0</v>
      </c>
      <c r="AD43" s="61">
        <f>VLOOKUP($B43,'7. PGE_Efficacité'!$A$6:$AO$268,34,0)</f>
        <v>0</v>
      </c>
      <c r="AE43" s="61">
        <f>VLOOKUP($B43,'7. PGE_Efficacité'!$A$6:$AO$268,35,0)</f>
        <v>0</v>
      </c>
      <c r="AF43" s="61">
        <f>VLOOKUP($B43,'7. PGE_Efficacité'!$A$6:$AO$268,36,0)</f>
        <v>0</v>
      </c>
      <c r="AG43" s="61">
        <f>VLOOKUP($B43,'7. PGE_Efficacité'!$A$6:$AO$268,37,0)</f>
        <v>0</v>
      </c>
      <c r="AH43" s="61">
        <f>VLOOKUP($B43,'7. PGE_Efficacité'!$A$6:$AO$268,38,0)</f>
        <v>0</v>
      </c>
      <c r="AI43" s="61">
        <f>VLOOKUP($B43,'7. PGE_Efficacité'!$A$6:$AO$268,39,0)</f>
        <v>0</v>
      </c>
      <c r="AJ43" s="61">
        <f>VLOOKUP($B43,'7. PGE_Efficacité'!$A$6:$AO$268,40,0)</f>
        <v>0</v>
      </c>
      <c r="AK43" s="61">
        <f>VLOOKUP($B43,'7. PGE_Efficacité'!$A$6:$AO$268,41,0)</f>
        <v>0</v>
      </c>
    </row>
    <row r="44" spans="1:37" hidden="1" outlineLevel="1" x14ac:dyDescent="0.25">
      <c r="A44" s="65" t="s">
        <v>3</v>
      </c>
      <c r="B44" s="65" t="s">
        <v>796</v>
      </c>
      <c r="C44" s="65" t="s">
        <v>1434</v>
      </c>
      <c r="D44" s="65" t="s">
        <v>1520</v>
      </c>
      <c r="E44" s="65" t="s">
        <v>1290</v>
      </c>
      <c r="F44" s="73">
        <v>0</v>
      </c>
      <c r="G44" s="64">
        <f>VLOOKUP($B44,'7. PGE_Efficacité'!$A$6:$AO$268,11,0)</f>
        <v>0</v>
      </c>
      <c r="H44" s="64">
        <f>VLOOKUP($B44,'7. PGE_Efficacité'!$A$6:$AO$268,12,0)</f>
        <v>0</v>
      </c>
      <c r="I44" s="64">
        <f>VLOOKUP($B44,'7. PGE_Efficacité'!$A$6:$AO$268,13,0)</f>
        <v>0</v>
      </c>
      <c r="J44" s="64">
        <f>VLOOKUP($B44,'7. PGE_Efficacité'!$A$6:$AO$268,14,0)</f>
        <v>0</v>
      </c>
      <c r="K44" s="64">
        <f>VLOOKUP($B44,'7. PGE_Efficacité'!$A$6:$AO$268,15,0)</f>
        <v>0</v>
      </c>
      <c r="L44" s="64">
        <f>VLOOKUP($B44,'7. PGE_Efficacité'!$A$6:$AO$268,16,0)</f>
        <v>0</v>
      </c>
      <c r="M44" s="64">
        <f>VLOOKUP($B44,'7. PGE_Efficacité'!$A$6:$AO$268,17,0)</f>
        <v>0</v>
      </c>
      <c r="N44" s="64">
        <f>VLOOKUP($B44,'7. PGE_Efficacité'!$A$6:$AO$268,18,0)</f>
        <v>0</v>
      </c>
      <c r="O44" s="64">
        <f>VLOOKUP($B44,'7. PGE_Efficacité'!$A$6:$AO$268,19,0)</f>
        <v>0</v>
      </c>
      <c r="P44" s="64">
        <f>VLOOKUP($B44,'7. PGE_Efficacité'!$A$6:$AO$268,20,0)</f>
        <v>0</v>
      </c>
      <c r="Q44" s="64">
        <f>VLOOKUP($B44,'7. PGE_Efficacité'!$A$6:$AO$268,21,0)</f>
        <v>0</v>
      </c>
      <c r="R44" s="64">
        <f>VLOOKUP($B44,'7. PGE_Efficacité'!$A$6:$AO$268,22,0)</f>
        <v>0</v>
      </c>
      <c r="S44" s="64">
        <f>VLOOKUP($B44,'7. PGE_Efficacité'!$A$6:$AO$268,23,0)</f>
        <v>0</v>
      </c>
      <c r="T44" s="64">
        <f>VLOOKUP($B44,'7. PGE_Efficacité'!$A$6:$AO$268,24,0)</f>
        <v>0</v>
      </c>
      <c r="U44" s="64">
        <f>VLOOKUP($B44,'7. PGE_Efficacité'!$A$6:$AO$268,25,0)</f>
        <v>0</v>
      </c>
      <c r="V44" s="64">
        <f>VLOOKUP($B44,'7. PGE_Efficacité'!$A$6:$AO$268,26,0)</f>
        <v>0</v>
      </c>
      <c r="W44" s="61">
        <f>VLOOKUP($B44,'7. PGE_Efficacité'!$A$6:$AO$268,27,0)</f>
        <v>0</v>
      </c>
      <c r="X44" s="61">
        <f>VLOOKUP($B44,'7. PGE_Efficacité'!$A$6:$AO$268,28,0)</f>
        <v>0</v>
      </c>
      <c r="Y44" s="61">
        <f>VLOOKUP($B44,'7. PGE_Efficacité'!$A$6:$AO$268,29,0)</f>
        <v>0</v>
      </c>
      <c r="Z44" s="61">
        <f>VLOOKUP($B44,'7. PGE_Efficacité'!$A$6:$AO$268,30,0)</f>
        <v>0</v>
      </c>
      <c r="AA44" s="61">
        <f>VLOOKUP($B44,'7. PGE_Efficacité'!$A$6:$AO$268,31,0)</f>
        <v>0</v>
      </c>
      <c r="AB44" s="61">
        <f>VLOOKUP($B44,'7. PGE_Efficacité'!$A$6:$AO$268,32,0)</f>
        <v>0</v>
      </c>
      <c r="AC44" s="61">
        <f>VLOOKUP($B44,'7. PGE_Efficacité'!$A$6:$AO$268,33,0)</f>
        <v>0</v>
      </c>
      <c r="AD44" s="61">
        <f>VLOOKUP($B44,'7. PGE_Efficacité'!$A$6:$AO$268,34,0)</f>
        <v>0</v>
      </c>
      <c r="AE44" s="61">
        <f>VLOOKUP($B44,'7. PGE_Efficacité'!$A$6:$AO$268,35,0)</f>
        <v>0</v>
      </c>
      <c r="AF44" s="61">
        <f>VLOOKUP($B44,'7. PGE_Efficacité'!$A$6:$AO$268,36,0)</f>
        <v>0</v>
      </c>
      <c r="AG44" s="61">
        <f>VLOOKUP($B44,'7. PGE_Efficacité'!$A$6:$AO$268,37,0)</f>
        <v>0</v>
      </c>
      <c r="AH44" s="61">
        <f>VLOOKUP($B44,'7. PGE_Efficacité'!$A$6:$AO$268,38,0)</f>
        <v>0</v>
      </c>
      <c r="AI44" s="61">
        <f>VLOOKUP($B44,'7. PGE_Efficacité'!$A$6:$AO$268,39,0)</f>
        <v>0</v>
      </c>
      <c r="AJ44" s="61">
        <f>VLOOKUP($B44,'7. PGE_Efficacité'!$A$6:$AO$268,40,0)</f>
        <v>0</v>
      </c>
      <c r="AK44" s="61">
        <f>VLOOKUP($B44,'7. PGE_Efficacité'!$A$6:$AO$268,41,0)</f>
        <v>0</v>
      </c>
    </row>
    <row r="45" spans="1:37" hidden="1" outlineLevel="1" x14ac:dyDescent="0.25">
      <c r="A45" s="65" t="s">
        <v>3</v>
      </c>
      <c r="B45" s="65" t="s">
        <v>785</v>
      </c>
      <c r="C45" s="65" t="s">
        <v>1423</v>
      </c>
      <c r="D45" s="65" t="s">
        <v>1520</v>
      </c>
      <c r="E45" s="65" t="s">
        <v>1290</v>
      </c>
      <c r="F45" s="73">
        <v>0</v>
      </c>
      <c r="G45" s="64">
        <f>VLOOKUP($B45,'7. PGE_Efficacité'!$A$6:$AO$268,11,0)</f>
        <v>0</v>
      </c>
      <c r="H45" s="64">
        <f>VLOOKUP($B45,'7. PGE_Efficacité'!$A$6:$AO$268,12,0)</f>
        <v>0</v>
      </c>
      <c r="I45" s="64">
        <f>VLOOKUP($B45,'7. PGE_Efficacité'!$A$6:$AO$268,13,0)</f>
        <v>0</v>
      </c>
      <c r="J45" s="64">
        <f>VLOOKUP($B45,'7. PGE_Efficacité'!$A$6:$AO$268,14,0)</f>
        <v>0</v>
      </c>
      <c r="K45" s="64">
        <f>VLOOKUP($B45,'7. PGE_Efficacité'!$A$6:$AO$268,15,0)</f>
        <v>0</v>
      </c>
      <c r="L45" s="64">
        <f>VLOOKUP($B45,'7. PGE_Efficacité'!$A$6:$AO$268,16,0)</f>
        <v>0</v>
      </c>
      <c r="M45" s="64">
        <f>VLOOKUP($B45,'7. PGE_Efficacité'!$A$6:$AO$268,17,0)</f>
        <v>0</v>
      </c>
      <c r="N45" s="64">
        <f>VLOOKUP($B45,'7. PGE_Efficacité'!$A$6:$AO$268,18,0)</f>
        <v>0</v>
      </c>
      <c r="O45" s="64">
        <f>VLOOKUP($B45,'7. PGE_Efficacité'!$A$6:$AO$268,19,0)</f>
        <v>0</v>
      </c>
      <c r="P45" s="64">
        <f>VLOOKUP($B45,'7. PGE_Efficacité'!$A$6:$AO$268,20,0)</f>
        <v>0</v>
      </c>
      <c r="Q45" s="64">
        <f>VLOOKUP($B45,'7. PGE_Efficacité'!$A$6:$AO$268,21,0)</f>
        <v>0</v>
      </c>
      <c r="R45" s="64">
        <f>VLOOKUP($B45,'7. PGE_Efficacité'!$A$6:$AO$268,22,0)</f>
        <v>0</v>
      </c>
      <c r="S45" s="64">
        <f>VLOOKUP($B45,'7. PGE_Efficacité'!$A$6:$AO$268,23,0)</f>
        <v>0</v>
      </c>
      <c r="T45" s="64">
        <f>VLOOKUP($B45,'7. PGE_Efficacité'!$A$6:$AO$268,24,0)</f>
        <v>0</v>
      </c>
      <c r="U45" s="64">
        <f>VLOOKUP($B45,'7. PGE_Efficacité'!$A$6:$AO$268,25,0)</f>
        <v>0</v>
      </c>
      <c r="V45" s="64">
        <f>VLOOKUP($B45,'7. PGE_Efficacité'!$A$6:$AO$268,26,0)</f>
        <v>0</v>
      </c>
      <c r="W45" s="61">
        <f>VLOOKUP($B45,'7. PGE_Efficacité'!$A$6:$AO$268,27,0)</f>
        <v>0</v>
      </c>
      <c r="X45" s="61">
        <f>VLOOKUP($B45,'7. PGE_Efficacité'!$A$6:$AO$268,28,0)</f>
        <v>0</v>
      </c>
      <c r="Y45" s="61">
        <f>VLOOKUP($B45,'7. PGE_Efficacité'!$A$6:$AO$268,29,0)</f>
        <v>0</v>
      </c>
      <c r="Z45" s="61">
        <f>VLOOKUP($B45,'7. PGE_Efficacité'!$A$6:$AO$268,30,0)</f>
        <v>0</v>
      </c>
      <c r="AA45" s="61">
        <f>VLOOKUP($B45,'7. PGE_Efficacité'!$A$6:$AO$268,31,0)</f>
        <v>0</v>
      </c>
      <c r="AB45" s="61">
        <f>VLOOKUP($B45,'7. PGE_Efficacité'!$A$6:$AO$268,32,0)</f>
        <v>0</v>
      </c>
      <c r="AC45" s="61">
        <f>VLOOKUP($B45,'7. PGE_Efficacité'!$A$6:$AO$268,33,0)</f>
        <v>0</v>
      </c>
      <c r="AD45" s="61">
        <f>VLOOKUP($B45,'7. PGE_Efficacité'!$A$6:$AO$268,34,0)</f>
        <v>0</v>
      </c>
      <c r="AE45" s="61">
        <f>VLOOKUP($B45,'7. PGE_Efficacité'!$A$6:$AO$268,35,0)</f>
        <v>0</v>
      </c>
      <c r="AF45" s="61">
        <f>VLOOKUP($B45,'7. PGE_Efficacité'!$A$6:$AO$268,36,0)</f>
        <v>0</v>
      </c>
      <c r="AG45" s="61">
        <f>VLOOKUP($B45,'7. PGE_Efficacité'!$A$6:$AO$268,37,0)</f>
        <v>0</v>
      </c>
      <c r="AH45" s="61">
        <f>VLOOKUP($B45,'7. PGE_Efficacité'!$A$6:$AO$268,38,0)</f>
        <v>0</v>
      </c>
      <c r="AI45" s="61">
        <f>VLOOKUP($B45,'7. PGE_Efficacité'!$A$6:$AO$268,39,0)</f>
        <v>0</v>
      </c>
      <c r="AJ45" s="61">
        <f>VLOOKUP($B45,'7. PGE_Efficacité'!$A$6:$AO$268,40,0)</f>
        <v>0</v>
      </c>
      <c r="AK45" s="61">
        <f>VLOOKUP($B45,'7. PGE_Efficacité'!$A$6:$AO$268,41,0)</f>
        <v>0</v>
      </c>
    </row>
    <row r="46" spans="1:37" hidden="1" outlineLevel="1" x14ac:dyDescent="0.25">
      <c r="A46" s="65" t="s">
        <v>3</v>
      </c>
      <c r="B46" s="65" t="s">
        <v>786</v>
      </c>
      <c r="C46" s="65" t="s">
        <v>1424</v>
      </c>
      <c r="D46" s="65" t="s">
        <v>1520</v>
      </c>
      <c r="E46" s="65" t="s">
        <v>1290</v>
      </c>
      <c r="F46" s="73">
        <v>0</v>
      </c>
      <c r="G46" s="64">
        <f>VLOOKUP($B46,'7. PGE_Efficacité'!$A$6:$AO$268,11,0)</f>
        <v>0</v>
      </c>
      <c r="H46" s="64">
        <f>VLOOKUP($B46,'7. PGE_Efficacité'!$A$6:$AO$268,12,0)</f>
        <v>0</v>
      </c>
      <c r="I46" s="64">
        <f>VLOOKUP($B46,'7. PGE_Efficacité'!$A$6:$AO$268,13,0)</f>
        <v>0</v>
      </c>
      <c r="J46" s="64">
        <f>VLOOKUP($B46,'7. PGE_Efficacité'!$A$6:$AO$268,14,0)</f>
        <v>0</v>
      </c>
      <c r="K46" s="64">
        <f>VLOOKUP($B46,'7. PGE_Efficacité'!$A$6:$AO$268,15,0)</f>
        <v>0</v>
      </c>
      <c r="L46" s="64">
        <f>VLOOKUP($B46,'7. PGE_Efficacité'!$A$6:$AO$268,16,0)</f>
        <v>0</v>
      </c>
      <c r="M46" s="64">
        <f>VLOOKUP($B46,'7. PGE_Efficacité'!$A$6:$AO$268,17,0)</f>
        <v>0</v>
      </c>
      <c r="N46" s="64">
        <f>VLOOKUP($B46,'7. PGE_Efficacité'!$A$6:$AO$268,18,0)</f>
        <v>0</v>
      </c>
      <c r="O46" s="64">
        <f>VLOOKUP($B46,'7. PGE_Efficacité'!$A$6:$AO$268,19,0)</f>
        <v>0</v>
      </c>
      <c r="P46" s="64">
        <f>VLOOKUP($B46,'7. PGE_Efficacité'!$A$6:$AO$268,20,0)</f>
        <v>0</v>
      </c>
      <c r="Q46" s="64">
        <f>VLOOKUP($B46,'7. PGE_Efficacité'!$A$6:$AO$268,21,0)</f>
        <v>0</v>
      </c>
      <c r="R46" s="64">
        <f>VLOOKUP($B46,'7. PGE_Efficacité'!$A$6:$AO$268,22,0)</f>
        <v>0</v>
      </c>
      <c r="S46" s="64">
        <f>VLOOKUP($B46,'7. PGE_Efficacité'!$A$6:$AO$268,23,0)</f>
        <v>0</v>
      </c>
      <c r="T46" s="64">
        <f>VLOOKUP($B46,'7. PGE_Efficacité'!$A$6:$AO$268,24,0)</f>
        <v>0</v>
      </c>
      <c r="U46" s="64">
        <f>VLOOKUP($B46,'7. PGE_Efficacité'!$A$6:$AO$268,25,0)</f>
        <v>0</v>
      </c>
      <c r="V46" s="64">
        <f>VLOOKUP($B46,'7. PGE_Efficacité'!$A$6:$AO$268,26,0)</f>
        <v>0</v>
      </c>
      <c r="W46" s="61">
        <f>VLOOKUP($B46,'7. PGE_Efficacité'!$A$6:$AO$268,27,0)</f>
        <v>0</v>
      </c>
      <c r="X46" s="61">
        <f>VLOOKUP($B46,'7. PGE_Efficacité'!$A$6:$AO$268,28,0)</f>
        <v>0</v>
      </c>
      <c r="Y46" s="61">
        <f>VLOOKUP($B46,'7. PGE_Efficacité'!$A$6:$AO$268,29,0)</f>
        <v>0</v>
      </c>
      <c r="Z46" s="61">
        <f>VLOOKUP($B46,'7. PGE_Efficacité'!$A$6:$AO$268,30,0)</f>
        <v>0</v>
      </c>
      <c r="AA46" s="61">
        <f>VLOOKUP($B46,'7. PGE_Efficacité'!$A$6:$AO$268,31,0)</f>
        <v>0</v>
      </c>
      <c r="AB46" s="61">
        <f>VLOOKUP($B46,'7. PGE_Efficacité'!$A$6:$AO$268,32,0)</f>
        <v>0</v>
      </c>
      <c r="AC46" s="61">
        <f>VLOOKUP($B46,'7. PGE_Efficacité'!$A$6:$AO$268,33,0)</f>
        <v>0</v>
      </c>
      <c r="AD46" s="61">
        <f>VLOOKUP($B46,'7. PGE_Efficacité'!$A$6:$AO$268,34,0)</f>
        <v>0</v>
      </c>
      <c r="AE46" s="61">
        <f>VLOOKUP($B46,'7. PGE_Efficacité'!$A$6:$AO$268,35,0)</f>
        <v>0</v>
      </c>
      <c r="AF46" s="61">
        <f>VLOOKUP($B46,'7. PGE_Efficacité'!$A$6:$AO$268,36,0)</f>
        <v>0</v>
      </c>
      <c r="AG46" s="61">
        <f>VLOOKUP($B46,'7. PGE_Efficacité'!$A$6:$AO$268,37,0)</f>
        <v>0</v>
      </c>
      <c r="AH46" s="61">
        <f>VLOOKUP($B46,'7. PGE_Efficacité'!$A$6:$AO$268,38,0)</f>
        <v>0</v>
      </c>
      <c r="AI46" s="61">
        <f>VLOOKUP($B46,'7. PGE_Efficacité'!$A$6:$AO$268,39,0)</f>
        <v>0</v>
      </c>
      <c r="AJ46" s="61">
        <f>VLOOKUP($B46,'7. PGE_Efficacité'!$A$6:$AO$268,40,0)</f>
        <v>0</v>
      </c>
      <c r="AK46" s="61">
        <f>VLOOKUP($B46,'7. PGE_Efficacité'!$A$6:$AO$268,41,0)</f>
        <v>0</v>
      </c>
    </row>
    <row r="47" spans="1:37" hidden="1" outlineLevel="1" x14ac:dyDescent="0.25">
      <c r="A47" s="65" t="s">
        <v>3</v>
      </c>
      <c r="B47" s="65" t="s">
        <v>787</v>
      </c>
      <c r="C47" s="65" t="s">
        <v>1425</v>
      </c>
      <c r="D47" s="65" t="s">
        <v>1520</v>
      </c>
      <c r="E47" s="65" t="s">
        <v>1290</v>
      </c>
      <c r="F47" s="73">
        <v>0</v>
      </c>
      <c r="G47" s="64">
        <f>VLOOKUP($B47,'7. PGE_Efficacité'!$A$6:$AO$268,11,0)</f>
        <v>0</v>
      </c>
      <c r="H47" s="64">
        <f>VLOOKUP($B47,'7. PGE_Efficacité'!$A$6:$AO$268,12,0)</f>
        <v>0</v>
      </c>
      <c r="I47" s="64">
        <f>VLOOKUP($B47,'7. PGE_Efficacité'!$A$6:$AO$268,13,0)</f>
        <v>0</v>
      </c>
      <c r="J47" s="64">
        <f>VLOOKUP($B47,'7. PGE_Efficacité'!$A$6:$AO$268,14,0)</f>
        <v>0</v>
      </c>
      <c r="K47" s="64">
        <f>VLOOKUP($B47,'7. PGE_Efficacité'!$A$6:$AO$268,15,0)</f>
        <v>0</v>
      </c>
      <c r="L47" s="64">
        <f>VLOOKUP($B47,'7. PGE_Efficacité'!$A$6:$AO$268,16,0)</f>
        <v>0</v>
      </c>
      <c r="M47" s="64">
        <f>VLOOKUP($B47,'7. PGE_Efficacité'!$A$6:$AO$268,17,0)</f>
        <v>0</v>
      </c>
      <c r="N47" s="64">
        <f>VLOOKUP($B47,'7. PGE_Efficacité'!$A$6:$AO$268,18,0)</f>
        <v>0</v>
      </c>
      <c r="O47" s="64">
        <f>VLOOKUP($B47,'7. PGE_Efficacité'!$A$6:$AO$268,19,0)</f>
        <v>0</v>
      </c>
      <c r="P47" s="64">
        <f>VLOOKUP($B47,'7. PGE_Efficacité'!$A$6:$AO$268,20,0)</f>
        <v>0</v>
      </c>
      <c r="Q47" s="64">
        <f>VLOOKUP($B47,'7. PGE_Efficacité'!$A$6:$AO$268,21,0)</f>
        <v>0</v>
      </c>
      <c r="R47" s="64">
        <f>VLOOKUP($B47,'7. PGE_Efficacité'!$A$6:$AO$268,22,0)</f>
        <v>0</v>
      </c>
      <c r="S47" s="64">
        <f>VLOOKUP($B47,'7. PGE_Efficacité'!$A$6:$AO$268,23,0)</f>
        <v>0</v>
      </c>
      <c r="T47" s="64">
        <f>VLOOKUP($B47,'7. PGE_Efficacité'!$A$6:$AO$268,24,0)</f>
        <v>0</v>
      </c>
      <c r="U47" s="64">
        <f>VLOOKUP($B47,'7. PGE_Efficacité'!$A$6:$AO$268,25,0)</f>
        <v>0</v>
      </c>
      <c r="V47" s="64">
        <f>VLOOKUP($B47,'7. PGE_Efficacité'!$A$6:$AO$268,26,0)</f>
        <v>0</v>
      </c>
      <c r="W47" s="61">
        <f>VLOOKUP($B47,'7. PGE_Efficacité'!$A$6:$AO$268,27,0)</f>
        <v>0</v>
      </c>
      <c r="X47" s="61">
        <f>VLOOKUP($B47,'7. PGE_Efficacité'!$A$6:$AO$268,28,0)</f>
        <v>0</v>
      </c>
      <c r="Y47" s="61">
        <f>VLOOKUP($B47,'7. PGE_Efficacité'!$A$6:$AO$268,29,0)</f>
        <v>0</v>
      </c>
      <c r="Z47" s="61">
        <f>VLOOKUP($B47,'7. PGE_Efficacité'!$A$6:$AO$268,30,0)</f>
        <v>0</v>
      </c>
      <c r="AA47" s="61">
        <f>VLOOKUP($B47,'7. PGE_Efficacité'!$A$6:$AO$268,31,0)</f>
        <v>0</v>
      </c>
      <c r="AB47" s="61">
        <f>VLOOKUP($B47,'7. PGE_Efficacité'!$A$6:$AO$268,32,0)</f>
        <v>0</v>
      </c>
      <c r="AC47" s="61">
        <f>VLOOKUP($B47,'7. PGE_Efficacité'!$A$6:$AO$268,33,0)</f>
        <v>0</v>
      </c>
      <c r="AD47" s="61">
        <f>VLOOKUP($B47,'7. PGE_Efficacité'!$A$6:$AO$268,34,0)</f>
        <v>0</v>
      </c>
      <c r="AE47" s="61">
        <f>VLOOKUP($B47,'7. PGE_Efficacité'!$A$6:$AO$268,35,0)</f>
        <v>0</v>
      </c>
      <c r="AF47" s="61">
        <f>VLOOKUP($B47,'7. PGE_Efficacité'!$A$6:$AO$268,36,0)</f>
        <v>0</v>
      </c>
      <c r="AG47" s="61">
        <f>VLOOKUP($B47,'7. PGE_Efficacité'!$A$6:$AO$268,37,0)</f>
        <v>0</v>
      </c>
      <c r="AH47" s="61">
        <f>VLOOKUP($B47,'7. PGE_Efficacité'!$A$6:$AO$268,38,0)</f>
        <v>0</v>
      </c>
      <c r="AI47" s="61">
        <f>VLOOKUP($B47,'7. PGE_Efficacité'!$A$6:$AO$268,39,0)</f>
        <v>0</v>
      </c>
      <c r="AJ47" s="61">
        <f>VLOOKUP($B47,'7. PGE_Efficacité'!$A$6:$AO$268,40,0)</f>
        <v>0</v>
      </c>
      <c r="AK47" s="61">
        <f>VLOOKUP($B47,'7. PGE_Efficacité'!$A$6:$AO$268,41,0)</f>
        <v>0</v>
      </c>
    </row>
    <row r="48" spans="1:37" hidden="1" outlineLevel="1" x14ac:dyDescent="0.25">
      <c r="A48" s="65" t="s">
        <v>3</v>
      </c>
      <c r="B48" s="65" t="s">
        <v>788</v>
      </c>
      <c r="C48" s="65" t="s">
        <v>1426</v>
      </c>
      <c r="D48" s="65" t="s">
        <v>1520</v>
      </c>
      <c r="E48" s="65" t="s">
        <v>1290</v>
      </c>
      <c r="F48" s="73">
        <f>165000/3</f>
        <v>55000</v>
      </c>
      <c r="G48" s="64">
        <f>VLOOKUP($B48,'7. PGE_Efficacité'!$A$6:$AO$268,11,0)</f>
        <v>0</v>
      </c>
      <c r="H48" s="64">
        <f>VLOOKUP($B48,'7. PGE_Efficacité'!$A$6:$AO$268,12,0)</f>
        <v>0</v>
      </c>
      <c r="I48" s="64">
        <f>VLOOKUP($B48,'7. PGE_Efficacité'!$A$6:$AO$268,13,0)</f>
        <v>0</v>
      </c>
      <c r="J48" s="64">
        <f>VLOOKUP($B48,'7. PGE_Efficacité'!$A$6:$AO$268,14,0)</f>
        <v>0</v>
      </c>
      <c r="K48" s="64">
        <f>VLOOKUP($B48,'7. PGE_Efficacité'!$A$6:$AO$268,15,0)</f>
        <v>0</v>
      </c>
      <c r="L48" s="64">
        <f>VLOOKUP($B48,'7. PGE_Efficacité'!$A$6:$AO$268,16,0)</f>
        <v>0</v>
      </c>
      <c r="M48" s="64">
        <f>VLOOKUP($B48,'7. PGE_Efficacité'!$A$6:$AO$268,17,0)</f>
        <v>0</v>
      </c>
      <c r="N48" s="64">
        <f>VLOOKUP($B48,'7. PGE_Efficacité'!$A$6:$AO$268,18,0)</f>
        <v>0</v>
      </c>
      <c r="O48" s="64">
        <f>VLOOKUP($B48,'7. PGE_Efficacité'!$A$6:$AO$268,19,0)</f>
        <v>0</v>
      </c>
      <c r="P48" s="64">
        <f>VLOOKUP($B48,'7. PGE_Efficacité'!$A$6:$AO$268,20,0)</f>
        <v>0</v>
      </c>
      <c r="Q48" s="64">
        <f>VLOOKUP($B48,'7. PGE_Efficacité'!$A$6:$AO$268,21,0)</f>
        <v>0</v>
      </c>
      <c r="R48" s="64">
        <f>VLOOKUP($B48,'7. PGE_Efficacité'!$A$6:$AO$268,22,0)</f>
        <v>0</v>
      </c>
      <c r="S48" s="64">
        <f>VLOOKUP($B48,'7. PGE_Efficacité'!$A$6:$AO$268,23,0)</f>
        <v>0</v>
      </c>
      <c r="T48" s="64">
        <f>VLOOKUP($B48,'7. PGE_Efficacité'!$A$6:$AO$268,24,0)</f>
        <v>0</v>
      </c>
      <c r="U48" s="64">
        <f>VLOOKUP($B48,'7. PGE_Efficacité'!$A$6:$AO$268,25,0)</f>
        <v>0</v>
      </c>
      <c r="V48" s="64">
        <f>VLOOKUP($B48,'7. PGE_Efficacité'!$A$6:$AO$268,26,0)</f>
        <v>0</v>
      </c>
      <c r="W48" s="61">
        <f>VLOOKUP($B48,'7. PGE_Efficacité'!$A$6:$AO$268,27,0)</f>
        <v>0</v>
      </c>
      <c r="X48" s="61">
        <f>VLOOKUP($B48,'7. PGE_Efficacité'!$A$6:$AO$268,28,0)</f>
        <v>0</v>
      </c>
      <c r="Y48" s="61">
        <f>VLOOKUP($B48,'7. PGE_Efficacité'!$A$6:$AO$268,29,0)</f>
        <v>0</v>
      </c>
      <c r="Z48" s="61">
        <f>VLOOKUP($B48,'7. PGE_Efficacité'!$A$6:$AO$268,30,0)</f>
        <v>0</v>
      </c>
      <c r="AA48" s="61">
        <f>VLOOKUP($B48,'7. PGE_Efficacité'!$A$6:$AO$268,31,0)</f>
        <v>0</v>
      </c>
      <c r="AB48" s="61">
        <f>VLOOKUP($B48,'7. PGE_Efficacité'!$A$6:$AO$268,32,0)</f>
        <v>0</v>
      </c>
      <c r="AC48" s="61">
        <f>VLOOKUP($B48,'7. PGE_Efficacité'!$A$6:$AO$268,33,0)</f>
        <v>0</v>
      </c>
      <c r="AD48" s="61">
        <f>VLOOKUP($B48,'7. PGE_Efficacité'!$A$6:$AO$268,34,0)</f>
        <v>0</v>
      </c>
      <c r="AE48" s="61">
        <f>VLOOKUP($B48,'7. PGE_Efficacité'!$A$6:$AO$268,35,0)</f>
        <v>0</v>
      </c>
      <c r="AF48" s="61">
        <f>VLOOKUP($B48,'7. PGE_Efficacité'!$A$6:$AO$268,36,0)</f>
        <v>0</v>
      </c>
      <c r="AG48" s="61">
        <f>VLOOKUP($B48,'7. PGE_Efficacité'!$A$6:$AO$268,37,0)</f>
        <v>0</v>
      </c>
      <c r="AH48" s="61">
        <f>VLOOKUP($B48,'7. PGE_Efficacité'!$A$6:$AO$268,38,0)</f>
        <v>0</v>
      </c>
      <c r="AI48" s="61">
        <f>VLOOKUP($B48,'7. PGE_Efficacité'!$A$6:$AO$268,39,0)</f>
        <v>0</v>
      </c>
      <c r="AJ48" s="61">
        <f>VLOOKUP($B48,'7. PGE_Efficacité'!$A$6:$AO$268,40,0)</f>
        <v>0</v>
      </c>
      <c r="AK48" s="61">
        <f>VLOOKUP($B48,'7. PGE_Efficacité'!$A$6:$AO$268,41,0)</f>
        <v>0</v>
      </c>
    </row>
    <row r="49" spans="1:37" hidden="1" outlineLevel="1" x14ac:dyDescent="0.25">
      <c r="A49" s="65" t="s">
        <v>3</v>
      </c>
      <c r="B49" s="65" t="s">
        <v>797</v>
      </c>
      <c r="C49" s="65" t="s">
        <v>1435</v>
      </c>
      <c r="D49" s="65" t="s">
        <v>1520</v>
      </c>
      <c r="E49" s="65" t="s">
        <v>1290</v>
      </c>
      <c r="F49" s="73">
        <v>0</v>
      </c>
      <c r="G49" s="64">
        <f>VLOOKUP($B49,'7. PGE_Efficacité'!$A$6:$AO$268,11,0)</f>
        <v>0</v>
      </c>
      <c r="H49" s="64">
        <f>VLOOKUP($B49,'7. PGE_Efficacité'!$A$6:$AO$268,12,0)</f>
        <v>0</v>
      </c>
      <c r="I49" s="64">
        <f>VLOOKUP($B49,'7. PGE_Efficacité'!$A$6:$AO$268,13,0)</f>
        <v>0</v>
      </c>
      <c r="J49" s="64">
        <f>VLOOKUP($B49,'7. PGE_Efficacité'!$A$6:$AO$268,14,0)</f>
        <v>0</v>
      </c>
      <c r="K49" s="64">
        <f>VLOOKUP($B49,'7. PGE_Efficacité'!$A$6:$AO$268,15,0)</f>
        <v>0</v>
      </c>
      <c r="L49" s="64">
        <f>VLOOKUP($B49,'7. PGE_Efficacité'!$A$6:$AO$268,16,0)</f>
        <v>0</v>
      </c>
      <c r="M49" s="64">
        <f>VLOOKUP($B49,'7. PGE_Efficacité'!$A$6:$AO$268,17,0)</f>
        <v>0</v>
      </c>
      <c r="N49" s="64">
        <f>VLOOKUP($B49,'7. PGE_Efficacité'!$A$6:$AO$268,18,0)</f>
        <v>0</v>
      </c>
      <c r="O49" s="64">
        <f>VLOOKUP($B49,'7. PGE_Efficacité'!$A$6:$AO$268,19,0)</f>
        <v>0</v>
      </c>
      <c r="P49" s="64">
        <f>VLOOKUP($B49,'7. PGE_Efficacité'!$A$6:$AO$268,20,0)</f>
        <v>0</v>
      </c>
      <c r="Q49" s="64">
        <f>VLOOKUP($B49,'7. PGE_Efficacité'!$A$6:$AO$268,21,0)</f>
        <v>0</v>
      </c>
      <c r="R49" s="64">
        <f>VLOOKUP($B49,'7. PGE_Efficacité'!$A$6:$AO$268,22,0)</f>
        <v>0</v>
      </c>
      <c r="S49" s="64">
        <f>VLOOKUP($B49,'7. PGE_Efficacité'!$A$6:$AO$268,23,0)</f>
        <v>0</v>
      </c>
      <c r="T49" s="64">
        <f>VLOOKUP($B49,'7. PGE_Efficacité'!$A$6:$AO$268,24,0)</f>
        <v>0</v>
      </c>
      <c r="U49" s="64">
        <f>VLOOKUP($B49,'7. PGE_Efficacité'!$A$6:$AO$268,25,0)</f>
        <v>0</v>
      </c>
      <c r="V49" s="64">
        <f>VLOOKUP($B49,'7. PGE_Efficacité'!$A$6:$AO$268,26,0)</f>
        <v>0</v>
      </c>
      <c r="W49" s="61">
        <f>VLOOKUP($B49,'7. PGE_Efficacité'!$A$6:$AO$268,27,0)</f>
        <v>0</v>
      </c>
      <c r="X49" s="61">
        <f>VLOOKUP($B49,'7. PGE_Efficacité'!$A$6:$AO$268,28,0)</f>
        <v>0</v>
      </c>
      <c r="Y49" s="61">
        <f>VLOOKUP($B49,'7. PGE_Efficacité'!$A$6:$AO$268,29,0)</f>
        <v>0</v>
      </c>
      <c r="Z49" s="61">
        <f>VLOOKUP($B49,'7. PGE_Efficacité'!$A$6:$AO$268,30,0)</f>
        <v>0</v>
      </c>
      <c r="AA49" s="61">
        <f>VLOOKUP($B49,'7. PGE_Efficacité'!$A$6:$AO$268,31,0)</f>
        <v>0</v>
      </c>
      <c r="AB49" s="61">
        <f>VLOOKUP($B49,'7. PGE_Efficacité'!$A$6:$AO$268,32,0)</f>
        <v>0</v>
      </c>
      <c r="AC49" s="61">
        <f>VLOOKUP($B49,'7. PGE_Efficacité'!$A$6:$AO$268,33,0)</f>
        <v>0</v>
      </c>
      <c r="AD49" s="61">
        <f>VLOOKUP($B49,'7. PGE_Efficacité'!$A$6:$AO$268,34,0)</f>
        <v>0</v>
      </c>
      <c r="AE49" s="61">
        <f>VLOOKUP($B49,'7. PGE_Efficacité'!$A$6:$AO$268,35,0)</f>
        <v>0</v>
      </c>
      <c r="AF49" s="61">
        <f>VLOOKUP($B49,'7. PGE_Efficacité'!$A$6:$AO$268,36,0)</f>
        <v>0</v>
      </c>
      <c r="AG49" s="61">
        <f>VLOOKUP($B49,'7. PGE_Efficacité'!$A$6:$AO$268,37,0)</f>
        <v>0</v>
      </c>
      <c r="AH49" s="61">
        <f>VLOOKUP($B49,'7. PGE_Efficacité'!$A$6:$AO$268,38,0)</f>
        <v>0</v>
      </c>
      <c r="AI49" s="61">
        <f>VLOOKUP($B49,'7. PGE_Efficacité'!$A$6:$AO$268,39,0)</f>
        <v>0</v>
      </c>
      <c r="AJ49" s="61">
        <f>VLOOKUP($B49,'7. PGE_Efficacité'!$A$6:$AO$268,40,0)</f>
        <v>0</v>
      </c>
      <c r="AK49" s="61">
        <f>VLOOKUP($B49,'7. PGE_Efficacité'!$A$6:$AO$268,41,0)</f>
        <v>0</v>
      </c>
    </row>
    <row r="50" spans="1:37" collapsed="1" x14ac:dyDescent="0.25">
      <c r="A50" s="157" t="s">
        <v>4</v>
      </c>
      <c r="B50" s="63"/>
      <c r="C50" s="156" t="str">
        <f>VLOOKUP(A50,'1. Mesures'!A5:B6,2,0)</f>
        <v xml:space="preserve">Inventorier les rejets directs dans une base de données dynamique </v>
      </c>
      <c r="D50" s="63"/>
      <c r="E50" s="63"/>
      <c r="F50" s="72">
        <f>SUM(F51:F73)</f>
        <v>25000</v>
      </c>
      <c r="G50" s="180">
        <f>VLOOKUP($A50,'7. PGE_Efficacité'!$A$6:$AO$268,11,0)</f>
        <v>0</v>
      </c>
      <c r="H50" s="180">
        <f>VLOOKUP($A50,'7. PGE_Efficacité'!$A$6:$AO$268,12,0)</f>
        <v>0</v>
      </c>
      <c r="I50" s="180">
        <f>VLOOKUP($A50,'7. PGE_Efficacité'!$A$6:$AO$268,13,0)</f>
        <v>0</v>
      </c>
      <c r="J50" s="180">
        <f>VLOOKUP($A50,'7. PGE_Efficacité'!$A$6:$AO$268,14,0)</f>
        <v>0</v>
      </c>
      <c r="K50" s="180">
        <f>VLOOKUP($A50,'7. PGE_Efficacité'!$A$6:$AO$268,15,0)</f>
        <v>0</v>
      </c>
      <c r="L50" s="180">
        <f>VLOOKUP($A50,'7. PGE_Efficacité'!$A$6:$AO$268,16,0)</f>
        <v>0</v>
      </c>
      <c r="M50" s="180">
        <f>VLOOKUP($A50,'7. PGE_Efficacité'!$A$6:$AO$268,17,0)</f>
        <v>0</v>
      </c>
      <c r="N50" s="180">
        <f>VLOOKUP($A50,'7. PGE_Efficacité'!$A$6:$AO$268,18,0)</f>
        <v>0</v>
      </c>
      <c r="O50" s="180">
        <f>VLOOKUP($A50,'7. PGE_Efficacité'!$A$6:$AO$268,19,0)</f>
        <v>0</v>
      </c>
      <c r="P50" s="180">
        <f>VLOOKUP($A50,'7. PGE_Efficacité'!$A$6:$AO$268,20,0)</f>
        <v>0</v>
      </c>
      <c r="Q50" s="180">
        <f>VLOOKUP($A50,'7. PGE_Efficacité'!$A$6:$AO$268,21,0)</f>
        <v>0</v>
      </c>
      <c r="R50" s="180">
        <f>VLOOKUP($A50,'7. PGE_Efficacité'!$A$6:$AO$268,22,0)</f>
        <v>0</v>
      </c>
      <c r="S50" s="180">
        <f>VLOOKUP($A50,'7. PGE_Efficacité'!$A$6:$AO$268,23,0)</f>
        <v>0</v>
      </c>
      <c r="T50" s="180">
        <f>VLOOKUP($A50,'7. PGE_Efficacité'!$A$6:$AO$268,24,0)</f>
        <v>0</v>
      </c>
      <c r="U50" s="180">
        <f>VLOOKUP($A50,'7. PGE_Efficacité'!$A$6:$AO$268,25,0)</f>
        <v>0</v>
      </c>
      <c r="V50" s="180">
        <f>VLOOKUP($A50,'7. PGE_Efficacité'!$A$6:$AO$268,26,0)</f>
        <v>0</v>
      </c>
      <c r="W50" s="181">
        <f>VLOOKUP($A50,'7. PGE_Efficacité'!$A$6:$AO$268,27,0)</f>
        <v>0</v>
      </c>
      <c r="X50" s="181">
        <f>VLOOKUP($A50,'7. PGE_Efficacité'!$A$6:$AO$268,28,0)</f>
        <v>0</v>
      </c>
      <c r="Y50" s="181">
        <f>VLOOKUP($A50,'7. PGE_Efficacité'!$A$6:$AO$268,29,0)</f>
        <v>0</v>
      </c>
      <c r="Z50" s="181">
        <f>VLOOKUP($A50,'7. PGE_Efficacité'!$A$6:$AO$268,30,0)</f>
        <v>0</v>
      </c>
      <c r="AA50" s="181">
        <f>VLOOKUP($A50,'7. PGE_Efficacité'!$A$6:$AO$268,31,0)</f>
        <v>0</v>
      </c>
      <c r="AB50" s="181">
        <f>VLOOKUP($A50,'7. PGE_Efficacité'!$A$6:$AO$268,32,0)</f>
        <v>0</v>
      </c>
      <c r="AC50" s="181">
        <f>VLOOKUP($A50,'7. PGE_Efficacité'!$A$6:$AO$268,33,0)</f>
        <v>0</v>
      </c>
      <c r="AD50" s="181">
        <f>VLOOKUP($A50,'7. PGE_Efficacité'!$A$6:$AO$268,34,0)</f>
        <v>0</v>
      </c>
      <c r="AE50" s="181">
        <f>VLOOKUP($A50,'7. PGE_Efficacité'!$A$6:$AO$268,35,0)</f>
        <v>0</v>
      </c>
      <c r="AF50" s="181">
        <f>VLOOKUP($A50,'7. PGE_Efficacité'!$A$6:$AO$268,36,0)</f>
        <v>0</v>
      </c>
      <c r="AG50" s="181">
        <f>VLOOKUP($A50,'7. PGE_Efficacité'!$A$6:$AO$268,37,0)</f>
        <v>0</v>
      </c>
      <c r="AH50" s="181">
        <f>VLOOKUP($A50,'7. PGE_Efficacité'!$A$6:$AO$268,38,0)</f>
        <v>0</v>
      </c>
      <c r="AI50" s="181">
        <f>VLOOKUP($A50,'7. PGE_Efficacité'!$A$6:$AO$268,39,0)</f>
        <v>0</v>
      </c>
      <c r="AJ50" s="181">
        <f>VLOOKUP($A50,'7. PGE_Efficacité'!$A$6:$AO$268,40,0)</f>
        <v>0</v>
      </c>
      <c r="AK50" s="181">
        <f>VLOOKUP($A50,'7. PGE_Efficacité'!$A$6:$AO$268,41,0)</f>
        <v>0</v>
      </c>
    </row>
    <row r="51" spans="1:37" hidden="1" outlineLevel="2" x14ac:dyDescent="0.25">
      <c r="A51" t="s">
        <v>4</v>
      </c>
      <c r="B51" s="65" t="s">
        <v>798</v>
      </c>
      <c r="C51" s="65" t="str">
        <f>VLOOKUP(B51,[1]ACTIONS!$A$49:$B$97,2,0)</f>
        <v xml:space="preserve">Définir les informations à récolter par point de rejet et créer un format permettant l’encodage dans la base de données géographique BE des rejets </v>
      </c>
      <c r="D51" s="65"/>
      <c r="E51" s="65" t="str">
        <f>VLOOKUP(B51,[1]ACTIONS!$A$49:$D$97,4,0)</f>
        <v>SEN / WOL / CAN</v>
      </c>
      <c r="F51" s="73">
        <f>VLOOKUP(B51,[1]Budget!$A$9:$H$105,8,0)</f>
        <v>0</v>
      </c>
      <c r="G51" s="64">
        <f>VLOOKUP($B51,'7. PGE_Efficacité'!$A$6:$AO$268,11,0)</f>
        <v>0</v>
      </c>
      <c r="H51" s="64">
        <f>VLOOKUP($B51,'7. PGE_Efficacité'!$A$6:$AO$268,12,0)</f>
        <v>0</v>
      </c>
      <c r="I51" s="64">
        <f>VLOOKUP($B51,'7. PGE_Efficacité'!$A$6:$AO$268,13,0)</f>
        <v>0</v>
      </c>
      <c r="J51" s="64">
        <f>VLOOKUP($B51,'7. PGE_Efficacité'!$A$6:$AO$268,14,0)</f>
        <v>0</v>
      </c>
      <c r="K51" s="64">
        <f>VLOOKUP($B51,'7. PGE_Efficacité'!$A$6:$AO$268,15,0)</f>
        <v>0</v>
      </c>
      <c r="L51" s="64">
        <f>VLOOKUP($B51,'7. PGE_Efficacité'!$A$6:$AO$268,16,0)</f>
        <v>0</v>
      </c>
      <c r="M51" s="64">
        <f>VLOOKUP($B51,'7. PGE_Efficacité'!$A$6:$AO$268,17,0)</f>
        <v>0</v>
      </c>
      <c r="N51" s="64">
        <f>VLOOKUP($B51,'7. PGE_Efficacité'!$A$6:$AO$268,18,0)</f>
        <v>0</v>
      </c>
      <c r="O51" s="64">
        <f>VLOOKUP($B51,'7. PGE_Efficacité'!$A$6:$AO$268,19,0)</f>
        <v>0</v>
      </c>
      <c r="P51" s="64">
        <f>VLOOKUP($B51,'7. PGE_Efficacité'!$A$6:$AO$268,20,0)</f>
        <v>0</v>
      </c>
      <c r="Q51" s="64">
        <f>VLOOKUP($B51,'7. PGE_Efficacité'!$A$6:$AO$268,21,0)</f>
        <v>0</v>
      </c>
      <c r="R51" s="64">
        <f>VLOOKUP($B51,'7. PGE_Efficacité'!$A$6:$AO$268,22,0)</f>
        <v>0</v>
      </c>
      <c r="S51" s="64">
        <f>VLOOKUP($B51,'7. PGE_Efficacité'!$A$6:$AO$268,23,0)</f>
        <v>0</v>
      </c>
      <c r="T51" s="64">
        <f>VLOOKUP($B51,'7. PGE_Efficacité'!$A$6:$AO$268,24,0)</f>
        <v>0</v>
      </c>
      <c r="U51" s="64">
        <f>VLOOKUP($B51,'7. PGE_Efficacité'!$A$6:$AO$268,25,0)</f>
        <v>0</v>
      </c>
      <c r="V51" s="64">
        <f>VLOOKUP($B51,'7. PGE_Efficacité'!$A$6:$AO$268,26,0)</f>
        <v>0</v>
      </c>
      <c r="W51" s="61">
        <f>VLOOKUP($B51,'7. PGE_Efficacité'!$A$6:$AO$268,27,0)</f>
        <v>0</v>
      </c>
      <c r="X51" s="61">
        <f>VLOOKUP($B51,'7. PGE_Efficacité'!$A$6:$AO$268,28,0)</f>
        <v>0</v>
      </c>
      <c r="Y51" s="61">
        <f>VLOOKUP($B51,'7. PGE_Efficacité'!$A$6:$AO$268,29,0)</f>
        <v>0</v>
      </c>
      <c r="Z51" s="61">
        <f>VLOOKUP($B51,'7. PGE_Efficacité'!$A$6:$AO$268,30,0)</f>
        <v>0</v>
      </c>
      <c r="AA51" s="61">
        <f>VLOOKUP($B51,'7. PGE_Efficacité'!$A$6:$AO$268,31,0)</f>
        <v>0</v>
      </c>
      <c r="AB51" s="61">
        <f>VLOOKUP($B51,'7. PGE_Efficacité'!$A$6:$AO$268,32,0)</f>
        <v>0</v>
      </c>
      <c r="AC51" s="61">
        <f>VLOOKUP($B51,'7. PGE_Efficacité'!$A$6:$AO$268,33,0)</f>
        <v>0</v>
      </c>
      <c r="AD51" s="61">
        <f>VLOOKUP($B51,'7. PGE_Efficacité'!$A$6:$AO$268,34,0)</f>
        <v>0</v>
      </c>
      <c r="AE51" s="61">
        <f>VLOOKUP($B51,'7. PGE_Efficacité'!$A$6:$AO$268,35,0)</f>
        <v>0</v>
      </c>
      <c r="AF51" s="61">
        <f>VLOOKUP($B51,'7. PGE_Efficacité'!$A$6:$AO$268,36,0)</f>
        <v>0</v>
      </c>
      <c r="AG51" s="61">
        <f>VLOOKUP($B51,'7. PGE_Efficacité'!$A$6:$AO$268,37,0)</f>
        <v>0</v>
      </c>
      <c r="AH51" s="61">
        <f>VLOOKUP($B51,'7. PGE_Efficacité'!$A$6:$AO$268,38,0)</f>
        <v>0</v>
      </c>
      <c r="AI51" s="61">
        <f>VLOOKUP($B51,'7. PGE_Efficacité'!$A$6:$AO$268,39,0)</f>
        <v>0</v>
      </c>
      <c r="AJ51" s="61">
        <f>VLOOKUP($B51,'7. PGE_Efficacité'!$A$6:$AO$268,40,0)</f>
        <v>0</v>
      </c>
      <c r="AK51" s="61">
        <f>VLOOKUP($B51,'7. PGE_Efficacité'!$A$6:$AO$268,41,0)</f>
        <v>0</v>
      </c>
    </row>
    <row r="52" spans="1:37" hidden="1" outlineLevel="2" x14ac:dyDescent="0.25">
      <c r="A52" t="s">
        <v>4</v>
      </c>
      <c r="B52" s="65" t="s">
        <v>809</v>
      </c>
      <c r="C52" s="65" t="str">
        <f>VLOOKUP(B52,[1]ACTIONS!$A$49:$B$97,2,0)</f>
        <v>Récupérer les données complémentaires disponibles auprès des opérateurs (chainons manquants, zones non raccordées…)</v>
      </c>
      <c r="D52" s="65"/>
      <c r="E52" s="65" t="str">
        <f>VLOOKUP(B52,[1]ACTIONS!$A$49:$D$97,4,0)</f>
        <v>SEN / WOL / CAN</v>
      </c>
      <c r="F52" s="73">
        <f>VLOOKUP(B52,[1]Budget!$A$9:$H$105,8,0)</f>
        <v>0</v>
      </c>
      <c r="G52" s="64">
        <f>VLOOKUP($B52,'7. PGE_Efficacité'!$A$6:$AO$268,11,0)</f>
        <v>0</v>
      </c>
      <c r="H52" s="64">
        <f>VLOOKUP($B52,'7. PGE_Efficacité'!$A$6:$AO$268,12,0)</f>
        <v>0</v>
      </c>
      <c r="I52" s="64">
        <f>VLOOKUP($B52,'7. PGE_Efficacité'!$A$6:$AO$268,13,0)</f>
        <v>0</v>
      </c>
      <c r="J52" s="64">
        <f>VLOOKUP($B52,'7. PGE_Efficacité'!$A$6:$AO$268,14,0)</f>
        <v>0</v>
      </c>
      <c r="K52" s="64">
        <f>VLOOKUP($B52,'7. PGE_Efficacité'!$A$6:$AO$268,15,0)</f>
        <v>0</v>
      </c>
      <c r="L52" s="64">
        <f>VLOOKUP($B52,'7. PGE_Efficacité'!$A$6:$AO$268,16,0)</f>
        <v>0</v>
      </c>
      <c r="M52" s="64">
        <f>VLOOKUP($B52,'7. PGE_Efficacité'!$A$6:$AO$268,17,0)</f>
        <v>0</v>
      </c>
      <c r="N52" s="64">
        <f>VLOOKUP($B52,'7. PGE_Efficacité'!$A$6:$AO$268,18,0)</f>
        <v>0</v>
      </c>
      <c r="O52" s="64">
        <f>VLOOKUP($B52,'7. PGE_Efficacité'!$A$6:$AO$268,19,0)</f>
        <v>0</v>
      </c>
      <c r="P52" s="64">
        <f>VLOOKUP($B52,'7. PGE_Efficacité'!$A$6:$AO$268,20,0)</f>
        <v>0</v>
      </c>
      <c r="Q52" s="64">
        <f>VLOOKUP($B52,'7. PGE_Efficacité'!$A$6:$AO$268,21,0)</f>
        <v>0</v>
      </c>
      <c r="R52" s="64">
        <f>VLOOKUP($B52,'7. PGE_Efficacité'!$A$6:$AO$268,22,0)</f>
        <v>0</v>
      </c>
      <c r="S52" s="64">
        <f>VLOOKUP($B52,'7. PGE_Efficacité'!$A$6:$AO$268,23,0)</f>
        <v>0</v>
      </c>
      <c r="T52" s="64">
        <f>VLOOKUP($B52,'7. PGE_Efficacité'!$A$6:$AO$268,24,0)</f>
        <v>0</v>
      </c>
      <c r="U52" s="64">
        <f>VLOOKUP($B52,'7. PGE_Efficacité'!$A$6:$AO$268,25,0)</f>
        <v>0</v>
      </c>
      <c r="V52" s="64">
        <f>VLOOKUP($B52,'7. PGE_Efficacité'!$A$6:$AO$268,26,0)</f>
        <v>0</v>
      </c>
      <c r="W52" s="61">
        <f>VLOOKUP($B52,'7. PGE_Efficacité'!$A$6:$AO$268,27,0)</f>
        <v>0</v>
      </c>
      <c r="X52" s="61">
        <f>VLOOKUP($B52,'7. PGE_Efficacité'!$A$6:$AO$268,28,0)</f>
        <v>0</v>
      </c>
      <c r="Y52" s="61">
        <f>VLOOKUP($B52,'7. PGE_Efficacité'!$A$6:$AO$268,29,0)</f>
        <v>0</v>
      </c>
      <c r="Z52" s="61">
        <f>VLOOKUP($B52,'7. PGE_Efficacité'!$A$6:$AO$268,30,0)</f>
        <v>0</v>
      </c>
      <c r="AA52" s="61">
        <f>VLOOKUP($B52,'7. PGE_Efficacité'!$A$6:$AO$268,31,0)</f>
        <v>0</v>
      </c>
      <c r="AB52" s="61">
        <f>VLOOKUP($B52,'7. PGE_Efficacité'!$A$6:$AO$268,32,0)</f>
        <v>0</v>
      </c>
      <c r="AC52" s="61">
        <f>VLOOKUP($B52,'7. PGE_Efficacité'!$A$6:$AO$268,33,0)</f>
        <v>0</v>
      </c>
      <c r="AD52" s="61">
        <f>VLOOKUP($B52,'7. PGE_Efficacité'!$A$6:$AO$268,34,0)</f>
        <v>0</v>
      </c>
      <c r="AE52" s="61">
        <f>VLOOKUP($B52,'7. PGE_Efficacité'!$A$6:$AO$268,35,0)</f>
        <v>0</v>
      </c>
      <c r="AF52" s="61">
        <f>VLOOKUP($B52,'7. PGE_Efficacité'!$A$6:$AO$268,36,0)</f>
        <v>0</v>
      </c>
      <c r="AG52" s="61">
        <f>VLOOKUP($B52,'7. PGE_Efficacité'!$A$6:$AO$268,37,0)</f>
        <v>0</v>
      </c>
      <c r="AH52" s="61">
        <f>VLOOKUP($B52,'7. PGE_Efficacité'!$A$6:$AO$268,38,0)</f>
        <v>0</v>
      </c>
      <c r="AI52" s="61">
        <f>VLOOKUP($B52,'7. PGE_Efficacité'!$A$6:$AO$268,39,0)</f>
        <v>0</v>
      </c>
      <c r="AJ52" s="61">
        <f>VLOOKUP($B52,'7. PGE_Efficacité'!$A$6:$AO$268,40,0)</f>
        <v>0</v>
      </c>
      <c r="AK52" s="61">
        <f>VLOOKUP($B52,'7. PGE_Efficacité'!$A$6:$AO$268,41,0)</f>
        <v>0</v>
      </c>
    </row>
    <row r="53" spans="1:37" hidden="1" outlineLevel="2" x14ac:dyDescent="0.25">
      <c r="A53" t="s">
        <v>4</v>
      </c>
      <c r="B53" s="65" t="s">
        <v>814</v>
      </c>
      <c r="C53" s="65" t="str">
        <f>VLOOKUP(B53,[1]ACTIONS!$A$49:$B$97,2,0)</f>
        <v xml:space="preserve">Dresser une carte des rejets avec les informations de la base de données </v>
      </c>
      <c r="D53" s="65"/>
      <c r="E53" s="65" t="str">
        <f>VLOOKUP(B53,[1]ACTIONS!$A$49:$D$97,4,0)</f>
        <v>SEN / WOL / CAN</v>
      </c>
      <c r="F53" s="73">
        <f>VLOOKUP(B53,[1]Budget!$A$9:$H$105,8,0)</f>
        <v>0</v>
      </c>
      <c r="G53" s="64">
        <f>VLOOKUP($B53,'7. PGE_Efficacité'!$A$6:$AO$268,11,0)</f>
        <v>0</v>
      </c>
      <c r="H53" s="64">
        <f>VLOOKUP($B53,'7. PGE_Efficacité'!$A$6:$AO$268,12,0)</f>
        <v>0</v>
      </c>
      <c r="I53" s="64">
        <f>VLOOKUP($B53,'7. PGE_Efficacité'!$A$6:$AO$268,13,0)</f>
        <v>0</v>
      </c>
      <c r="J53" s="64">
        <f>VLOOKUP($B53,'7. PGE_Efficacité'!$A$6:$AO$268,14,0)</f>
        <v>0</v>
      </c>
      <c r="K53" s="64">
        <f>VLOOKUP($B53,'7. PGE_Efficacité'!$A$6:$AO$268,15,0)</f>
        <v>0</v>
      </c>
      <c r="L53" s="64">
        <f>VLOOKUP($B53,'7. PGE_Efficacité'!$A$6:$AO$268,16,0)</f>
        <v>0</v>
      </c>
      <c r="M53" s="64">
        <f>VLOOKUP($B53,'7. PGE_Efficacité'!$A$6:$AO$268,17,0)</f>
        <v>0</v>
      </c>
      <c r="N53" s="64">
        <f>VLOOKUP($B53,'7. PGE_Efficacité'!$A$6:$AO$268,18,0)</f>
        <v>0</v>
      </c>
      <c r="O53" s="64">
        <f>VLOOKUP($B53,'7. PGE_Efficacité'!$A$6:$AO$268,19,0)</f>
        <v>0</v>
      </c>
      <c r="P53" s="64">
        <f>VLOOKUP($B53,'7. PGE_Efficacité'!$A$6:$AO$268,20,0)</f>
        <v>0</v>
      </c>
      <c r="Q53" s="64">
        <f>VLOOKUP($B53,'7. PGE_Efficacité'!$A$6:$AO$268,21,0)</f>
        <v>0</v>
      </c>
      <c r="R53" s="64">
        <f>VLOOKUP($B53,'7. PGE_Efficacité'!$A$6:$AO$268,22,0)</f>
        <v>0</v>
      </c>
      <c r="S53" s="64">
        <f>VLOOKUP($B53,'7. PGE_Efficacité'!$A$6:$AO$268,23,0)</f>
        <v>0</v>
      </c>
      <c r="T53" s="64">
        <f>VLOOKUP($B53,'7. PGE_Efficacité'!$A$6:$AO$268,24,0)</f>
        <v>0</v>
      </c>
      <c r="U53" s="64">
        <f>VLOOKUP($B53,'7. PGE_Efficacité'!$A$6:$AO$268,25,0)</f>
        <v>0</v>
      </c>
      <c r="V53" s="64">
        <f>VLOOKUP($B53,'7. PGE_Efficacité'!$A$6:$AO$268,26,0)</f>
        <v>0</v>
      </c>
      <c r="W53" s="61">
        <f>VLOOKUP($B53,'7. PGE_Efficacité'!$A$6:$AO$268,27,0)</f>
        <v>0</v>
      </c>
      <c r="X53" s="61">
        <f>VLOOKUP($B53,'7. PGE_Efficacité'!$A$6:$AO$268,28,0)</f>
        <v>0</v>
      </c>
      <c r="Y53" s="61">
        <f>VLOOKUP($B53,'7. PGE_Efficacité'!$A$6:$AO$268,29,0)</f>
        <v>0</v>
      </c>
      <c r="Z53" s="61">
        <f>VLOOKUP($B53,'7. PGE_Efficacité'!$A$6:$AO$268,30,0)</f>
        <v>0</v>
      </c>
      <c r="AA53" s="61">
        <f>VLOOKUP($B53,'7. PGE_Efficacité'!$A$6:$AO$268,31,0)</f>
        <v>0</v>
      </c>
      <c r="AB53" s="61">
        <f>VLOOKUP($B53,'7. PGE_Efficacité'!$A$6:$AO$268,32,0)</f>
        <v>0</v>
      </c>
      <c r="AC53" s="61">
        <f>VLOOKUP($B53,'7. PGE_Efficacité'!$A$6:$AO$268,33,0)</f>
        <v>0</v>
      </c>
      <c r="AD53" s="61">
        <f>VLOOKUP($B53,'7. PGE_Efficacité'!$A$6:$AO$268,34,0)</f>
        <v>0</v>
      </c>
      <c r="AE53" s="61">
        <f>VLOOKUP($B53,'7. PGE_Efficacité'!$A$6:$AO$268,35,0)</f>
        <v>0</v>
      </c>
      <c r="AF53" s="61">
        <f>VLOOKUP($B53,'7. PGE_Efficacité'!$A$6:$AO$268,36,0)</f>
        <v>0</v>
      </c>
      <c r="AG53" s="61">
        <f>VLOOKUP($B53,'7. PGE_Efficacité'!$A$6:$AO$268,37,0)</f>
        <v>0</v>
      </c>
      <c r="AH53" s="61">
        <f>VLOOKUP($B53,'7. PGE_Efficacité'!$A$6:$AO$268,38,0)</f>
        <v>0</v>
      </c>
      <c r="AI53" s="61">
        <f>VLOOKUP($B53,'7. PGE_Efficacité'!$A$6:$AO$268,39,0)</f>
        <v>0</v>
      </c>
      <c r="AJ53" s="61">
        <f>VLOOKUP($B53,'7. PGE_Efficacité'!$A$6:$AO$268,40,0)</f>
        <v>0</v>
      </c>
      <c r="AK53" s="61">
        <f>VLOOKUP($B53,'7. PGE_Efficacité'!$A$6:$AO$268,41,0)</f>
        <v>0</v>
      </c>
    </row>
    <row r="54" spans="1:37" hidden="1" outlineLevel="2" x14ac:dyDescent="0.25">
      <c r="A54" t="s">
        <v>4</v>
      </c>
      <c r="B54" s="65" t="s">
        <v>815</v>
      </c>
      <c r="C54" s="65" t="str">
        <f>VLOOKUP(B54,[1]ACTIONS!$A$49:$B$97,2,0)</f>
        <v>Mettre la carte des rejets et les résultats à disposition du Port, de VVQ et de la SBGE</v>
      </c>
      <c r="D54" s="65"/>
      <c r="E54" s="65" t="str">
        <f>VLOOKUP(B54,[1]ACTIONS!$A$49:$D$97,4,0)</f>
        <v>SEN / WOL / CAN</v>
      </c>
      <c r="F54" s="73">
        <f>VLOOKUP(B54,[1]Budget!$A$9:$H$105,8,0)</f>
        <v>0</v>
      </c>
      <c r="G54" s="64">
        <f>VLOOKUP($B54,'7. PGE_Efficacité'!$A$6:$AO$268,11,0)</f>
        <v>0</v>
      </c>
      <c r="H54" s="64">
        <f>VLOOKUP($B54,'7. PGE_Efficacité'!$A$6:$AO$268,12,0)</f>
        <v>0</v>
      </c>
      <c r="I54" s="64">
        <f>VLOOKUP($B54,'7. PGE_Efficacité'!$A$6:$AO$268,13,0)</f>
        <v>0</v>
      </c>
      <c r="J54" s="64">
        <f>VLOOKUP($B54,'7. PGE_Efficacité'!$A$6:$AO$268,14,0)</f>
        <v>0</v>
      </c>
      <c r="K54" s="64">
        <f>VLOOKUP($B54,'7. PGE_Efficacité'!$A$6:$AO$268,15,0)</f>
        <v>0</v>
      </c>
      <c r="L54" s="64">
        <f>VLOOKUP($B54,'7. PGE_Efficacité'!$A$6:$AO$268,16,0)</f>
        <v>0</v>
      </c>
      <c r="M54" s="64">
        <f>VLOOKUP($B54,'7. PGE_Efficacité'!$A$6:$AO$268,17,0)</f>
        <v>0</v>
      </c>
      <c r="N54" s="64">
        <f>VLOOKUP($B54,'7. PGE_Efficacité'!$A$6:$AO$268,18,0)</f>
        <v>0</v>
      </c>
      <c r="O54" s="64">
        <f>VLOOKUP($B54,'7. PGE_Efficacité'!$A$6:$AO$268,19,0)</f>
        <v>0</v>
      </c>
      <c r="P54" s="64">
        <f>VLOOKUP($B54,'7. PGE_Efficacité'!$A$6:$AO$268,20,0)</f>
        <v>0</v>
      </c>
      <c r="Q54" s="64">
        <f>VLOOKUP($B54,'7. PGE_Efficacité'!$A$6:$AO$268,21,0)</f>
        <v>0</v>
      </c>
      <c r="R54" s="64">
        <f>VLOOKUP($B54,'7. PGE_Efficacité'!$A$6:$AO$268,22,0)</f>
        <v>0</v>
      </c>
      <c r="S54" s="64">
        <f>VLOOKUP($B54,'7. PGE_Efficacité'!$A$6:$AO$268,23,0)</f>
        <v>0</v>
      </c>
      <c r="T54" s="64">
        <f>VLOOKUP($B54,'7. PGE_Efficacité'!$A$6:$AO$268,24,0)</f>
        <v>0</v>
      </c>
      <c r="U54" s="64">
        <f>VLOOKUP($B54,'7. PGE_Efficacité'!$A$6:$AO$268,25,0)</f>
        <v>0</v>
      </c>
      <c r="V54" s="64">
        <f>VLOOKUP($B54,'7. PGE_Efficacité'!$A$6:$AO$268,26,0)</f>
        <v>0</v>
      </c>
      <c r="W54" s="61">
        <f>VLOOKUP($B54,'7. PGE_Efficacité'!$A$6:$AO$268,27,0)</f>
        <v>0</v>
      </c>
      <c r="X54" s="61">
        <f>VLOOKUP($B54,'7. PGE_Efficacité'!$A$6:$AO$268,28,0)</f>
        <v>0</v>
      </c>
      <c r="Y54" s="61">
        <f>VLOOKUP($B54,'7. PGE_Efficacité'!$A$6:$AO$268,29,0)</f>
        <v>0</v>
      </c>
      <c r="Z54" s="61">
        <f>VLOOKUP($B54,'7. PGE_Efficacité'!$A$6:$AO$268,30,0)</f>
        <v>0</v>
      </c>
      <c r="AA54" s="61">
        <f>VLOOKUP($B54,'7. PGE_Efficacité'!$A$6:$AO$268,31,0)</f>
        <v>0</v>
      </c>
      <c r="AB54" s="61">
        <f>VLOOKUP($B54,'7. PGE_Efficacité'!$A$6:$AO$268,32,0)</f>
        <v>0</v>
      </c>
      <c r="AC54" s="61">
        <f>VLOOKUP($B54,'7. PGE_Efficacité'!$A$6:$AO$268,33,0)</f>
        <v>0</v>
      </c>
      <c r="AD54" s="61">
        <f>VLOOKUP($B54,'7. PGE_Efficacité'!$A$6:$AO$268,34,0)</f>
        <v>0</v>
      </c>
      <c r="AE54" s="61">
        <f>VLOOKUP($B54,'7. PGE_Efficacité'!$A$6:$AO$268,35,0)</f>
        <v>0</v>
      </c>
      <c r="AF54" s="61">
        <f>VLOOKUP($B54,'7. PGE_Efficacité'!$A$6:$AO$268,36,0)</f>
        <v>0</v>
      </c>
      <c r="AG54" s="61">
        <f>VLOOKUP($B54,'7. PGE_Efficacité'!$A$6:$AO$268,37,0)</f>
        <v>0</v>
      </c>
      <c r="AH54" s="61">
        <f>VLOOKUP($B54,'7. PGE_Efficacité'!$A$6:$AO$268,38,0)</f>
        <v>0</v>
      </c>
      <c r="AI54" s="61">
        <f>VLOOKUP($B54,'7. PGE_Efficacité'!$A$6:$AO$268,39,0)</f>
        <v>0</v>
      </c>
      <c r="AJ54" s="61">
        <f>VLOOKUP($B54,'7. PGE_Efficacité'!$A$6:$AO$268,40,0)</f>
        <v>0</v>
      </c>
      <c r="AK54" s="61">
        <f>VLOOKUP($B54,'7. PGE_Efficacité'!$A$6:$AO$268,41,0)</f>
        <v>0</v>
      </c>
    </row>
    <row r="55" spans="1:37" hidden="1" outlineLevel="2" x14ac:dyDescent="0.25">
      <c r="A55" t="s">
        <v>4</v>
      </c>
      <c r="B55" s="65" t="s">
        <v>816</v>
      </c>
      <c r="C55" s="65" t="str">
        <f>VLOOKUP(B55,[1]ACTIONS!$A$49:$B$97,2,0)</f>
        <v>Mettre à disposition les données pertinentes (masse d’eau réceptrice, localisation du point de rejet, source/propriétaire, éléments permettant d’estimer la charge et le débit de rejet, traitement d’épuration éventuel) des autorisations de rejet vers les eaux de surface</v>
      </c>
      <c r="D55" s="65"/>
      <c r="E55" s="65" t="str">
        <f>VLOOKUP(B55,[1]ACTIONS!$A$49:$D$97,4,0)</f>
        <v>SEN / WOL / CAN</v>
      </c>
      <c r="F55" s="73">
        <f>VLOOKUP(B55,[1]Budget!$A$9:$H$105,8,0)</f>
        <v>0</v>
      </c>
      <c r="G55" s="64">
        <f>VLOOKUP($B55,'7. PGE_Efficacité'!$A$6:$AO$268,11,0)</f>
        <v>0</v>
      </c>
      <c r="H55" s="64">
        <f>VLOOKUP($B55,'7. PGE_Efficacité'!$A$6:$AO$268,12,0)</f>
        <v>0</v>
      </c>
      <c r="I55" s="64">
        <f>VLOOKUP($B55,'7. PGE_Efficacité'!$A$6:$AO$268,13,0)</f>
        <v>0</v>
      </c>
      <c r="J55" s="64">
        <f>VLOOKUP($B55,'7. PGE_Efficacité'!$A$6:$AO$268,14,0)</f>
        <v>0</v>
      </c>
      <c r="K55" s="64">
        <f>VLOOKUP($B55,'7. PGE_Efficacité'!$A$6:$AO$268,15,0)</f>
        <v>0</v>
      </c>
      <c r="L55" s="64">
        <f>VLOOKUP($B55,'7. PGE_Efficacité'!$A$6:$AO$268,16,0)</f>
        <v>0</v>
      </c>
      <c r="M55" s="64">
        <f>VLOOKUP($B55,'7. PGE_Efficacité'!$A$6:$AO$268,17,0)</f>
        <v>0</v>
      </c>
      <c r="N55" s="64">
        <f>VLOOKUP($B55,'7. PGE_Efficacité'!$A$6:$AO$268,18,0)</f>
        <v>0</v>
      </c>
      <c r="O55" s="64">
        <f>VLOOKUP($B55,'7. PGE_Efficacité'!$A$6:$AO$268,19,0)</f>
        <v>0</v>
      </c>
      <c r="P55" s="64">
        <f>VLOOKUP($B55,'7. PGE_Efficacité'!$A$6:$AO$268,20,0)</f>
        <v>0</v>
      </c>
      <c r="Q55" s="64">
        <f>VLOOKUP($B55,'7. PGE_Efficacité'!$A$6:$AO$268,21,0)</f>
        <v>0</v>
      </c>
      <c r="R55" s="64">
        <f>VLOOKUP($B55,'7. PGE_Efficacité'!$A$6:$AO$268,22,0)</f>
        <v>0</v>
      </c>
      <c r="S55" s="64">
        <f>VLOOKUP($B55,'7. PGE_Efficacité'!$A$6:$AO$268,23,0)</f>
        <v>0</v>
      </c>
      <c r="T55" s="64">
        <f>VLOOKUP($B55,'7. PGE_Efficacité'!$A$6:$AO$268,24,0)</f>
        <v>0</v>
      </c>
      <c r="U55" s="64">
        <f>VLOOKUP($B55,'7. PGE_Efficacité'!$A$6:$AO$268,25,0)</f>
        <v>0</v>
      </c>
      <c r="V55" s="64">
        <f>VLOOKUP($B55,'7. PGE_Efficacité'!$A$6:$AO$268,26,0)</f>
        <v>0</v>
      </c>
      <c r="W55" s="61">
        <f>VLOOKUP($B55,'7. PGE_Efficacité'!$A$6:$AO$268,27,0)</f>
        <v>0</v>
      </c>
      <c r="X55" s="61">
        <f>VLOOKUP($B55,'7. PGE_Efficacité'!$A$6:$AO$268,28,0)</f>
        <v>0</v>
      </c>
      <c r="Y55" s="61">
        <f>VLOOKUP($B55,'7. PGE_Efficacité'!$A$6:$AO$268,29,0)</f>
        <v>0</v>
      </c>
      <c r="Z55" s="61">
        <f>VLOOKUP($B55,'7. PGE_Efficacité'!$A$6:$AO$268,30,0)</f>
        <v>0</v>
      </c>
      <c r="AA55" s="61">
        <f>VLOOKUP($B55,'7. PGE_Efficacité'!$A$6:$AO$268,31,0)</f>
        <v>0</v>
      </c>
      <c r="AB55" s="61">
        <f>VLOOKUP($B55,'7. PGE_Efficacité'!$A$6:$AO$268,32,0)</f>
        <v>0</v>
      </c>
      <c r="AC55" s="61">
        <f>VLOOKUP($B55,'7. PGE_Efficacité'!$A$6:$AO$268,33,0)</f>
        <v>0</v>
      </c>
      <c r="AD55" s="61">
        <f>VLOOKUP($B55,'7. PGE_Efficacité'!$A$6:$AO$268,34,0)</f>
        <v>0</v>
      </c>
      <c r="AE55" s="61">
        <f>VLOOKUP($B55,'7. PGE_Efficacité'!$A$6:$AO$268,35,0)</f>
        <v>0</v>
      </c>
      <c r="AF55" s="61">
        <f>VLOOKUP($B55,'7. PGE_Efficacité'!$A$6:$AO$268,36,0)</f>
        <v>0</v>
      </c>
      <c r="AG55" s="61">
        <f>VLOOKUP($B55,'7. PGE_Efficacité'!$A$6:$AO$268,37,0)</f>
        <v>0</v>
      </c>
      <c r="AH55" s="61">
        <f>VLOOKUP($B55,'7. PGE_Efficacité'!$A$6:$AO$268,38,0)</f>
        <v>0</v>
      </c>
      <c r="AI55" s="61">
        <f>VLOOKUP($B55,'7. PGE_Efficacité'!$A$6:$AO$268,39,0)</f>
        <v>0</v>
      </c>
      <c r="AJ55" s="61">
        <f>VLOOKUP($B55,'7. PGE_Efficacité'!$A$6:$AO$268,40,0)</f>
        <v>0</v>
      </c>
      <c r="AK55" s="61">
        <f>VLOOKUP($B55,'7. PGE_Efficacité'!$A$6:$AO$268,41,0)</f>
        <v>0</v>
      </c>
    </row>
    <row r="56" spans="1:37" hidden="1" outlineLevel="2" x14ac:dyDescent="0.25">
      <c r="A56" t="s">
        <v>4</v>
      </c>
      <c r="B56" s="65" t="s">
        <v>817</v>
      </c>
      <c r="C56" s="65" t="str">
        <f>VLOOKUP(B56,[1]ACTIONS!$A$49:$B$97,2,0)</f>
        <v>Mener des investigations sur l’origine des rejets non identifiés en remontant les tuyaux</v>
      </c>
      <c r="D56" s="65"/>
      <c r="E56" s="65" t="str">
        <f>VLOOKUP(B56,[1]ACTIONS!$A$49:$D$97,4,0)</f>
        <v>SEN / WOL / CAN</v>
      </c>
      <c r="F56" s="73">
        <f>VLOOKUP(B56,[1]Budget!$A$9:$H$105,8,0)</f>
        <v>0</v>
      </c>
      <c r="G56" s="64">
        <f>VLOOKUP($B56,'7. PGE_Efficacité'!$A$6:$AO$268,11,0)</f>
        <v>0</v>
      </c>
      <c r="H56" s="64">
        <f>VLOOKUP($B56,'7. PGE_Efficacité'!$A$6:$AO$268,12,0)</f>
        <v>0</v>
      </c>
      <c r="I56" s="64">
        <f>VLOOKUP($B56,'7. PGE_Efficacité'!$A$6:$AO$268,13,0)</f>
        <v>0</v>
      </c>
      <c r="J56" s="64">
        <f>VLOOKUP($B56,'7. PGE_Efficacité'!$A$6:$AO$268,14,0)</f>
        <v>0</v>
      </c>
      <c r="K56" s="64">
        <f>VLOOKUP($B56,'7. PGE_Efficacité'!$A$6:$AO$268,15,0)</f>
        <v>0</v>
      </c>
      <c r="L56" s="64">
        <f>VLOOKUP($B56,'7. PGE_Efficacité'!$A$6:$AO$268,16,0)</f>
        <v>0</v>
      </c>
      <c r="M56" s="64">
        <f>VLOOKUP($B56,'7. PGE_Efficacité'!$A$6:$AO$268,17,0)</f>
        <v>0</v>
      </c>
      <c r="N56" s="64">
        <f>VLOOKUP($B56,'7. PGE_Efficacité'!$A$6:$AO$268,18,0)</f>
        <v>0</v>
      </c>
      <c r="O56" s="64">
        <f>VLOOKUP($B56,'7. PGE_Efficacité'!$A$6:$AO$268,19,0)</f>
        <v>0</v>
      </c>
      <c r="P56" s="64">
        <f>VLOOKUP($B56,'7. PGE_Efficacité'!$A$6:$AO$268,20,0)</f>
        <v>0</v>
      </c>
      <c r="Q56" s="64">
        <f>VLOOKUP($B56,'7. PGE_Efficacité'!$A$6:$AO$268,21,0)</f>
        <v>0</v>
      </c>
      <c r="R56" s="64">
        <f>VLOOKUP($B56,'7. PGE_Efficacité'!$A$6:$AO$268,22,0)</f>
        <v>0</v>
      </c>
      <c r="S56" s="64">
        <f>VLOOKUP($B56,'7. PGE_Efficacité'!$A$6:$AO$268,23,0)</f>
        <v>0</v>
      </c>
      <c r="T56" s="64">
        <f>VLOOKUP($B56,'7. PGE_Efficacité'!$A$6:$AO$268,24,0)</f>
        <v>0</v>
      </c>
      <c r="U56" s="64">
        <f>VLOOKUP($B56,'7. PGE_Efficacité'!$A$6:$AO$268,25,0)</f>
        <v>0</v>
      </c>
      <c r="V56" s="64">
        <f>VLOOKUP($B56,'7. PGE_Efficacité'!$A$6:$AO$268,26,0)</f>
        <v>0</v>
      </c>
      <c r="W56" s="61">
        <f>VLOOKUP($B56,'7. PGE_Efficacité'!$A$6:$AO$268,27,0)</f>
        <v>0</v>
      </c>
      <c r="X56" s="61">
        <f>VLOOKUP($B56,'7. PGE_Efficacité'!$A$6:$AO$268,28,0)</f>
        <v>0</v>
      </c>
      <c r="Y56" s="61">
        <f>VLOOKUP($B56,'7. PGE_Efficacité'!$A$6:$AO$268,29,0)</f>
        <v>0</v>
      </c>
      <c r="Z56" s="61">
        <f>VLOOKUP($B56,'7. PGE_Efficacité'!$A$6:$AO$268,30,0)</f>
        <v>0</v>
      </c>
      <c r="AA56" s="61">
        <f>VLOOKUP($B56,'7. PGE_Efficacité'!$A$6:$AO$268,31,0)</f>
        <v>0</v>
      </c>
      <c r="AB56" s="61">
        <f>VLOOKUP($B56,'7. PGE_Efficacité'!$A$6:$AO$268,32,0)</f>
        <v>0</v>
      </c>
      <c r="AC56" s="61">
        <f>VLOOKUP($B56,'7. PGE_Efficacité'!$A$6:$AO$268,33,0)</f>
        <v>0</v>
      </c>
      <c r="AD56" s="61">
        <f>VLOOKUP($B56,'7. PGE_Efficacité'!$A$6:$AO$268,34,0)</f>
        <v>0</v>
      </c>
      <c r="AE56" s="61">
        <f>VLOOKUP($B56,'7. PGE_Efficacité'!$A$6:$AO$268,35,0)</f>
        <v>0</v>
      </c>
      <c r="AF56" s="61">
        <f>VLOOKUP($B56,'7. PGE_Efficacité'!$A$6:$AO$268,36,0)</f>
        <v>0</v>
      </c>
      <c r="AG56" s="61">
        <f>VLOOKUP($B56,'7. PGE_Efficacité'!$A$6:$AO$268,37,0)</f>
        <v>0</v>
      </c>
      <c r="AH56" s="61">
        <f>VLOOKUP($B56,'7. PGE_Efficacité'!$A$6:$AO$268,38,0)</f>
        <v>0</v>
      </c>
      <c r="AI56" s="61">
        <f>VLOOKUP($B56,'7. PGE_Efficacité'!$A$6:$AO$268,39,0)</f>
        <v>0</v>
      </c>
      <c r="AJ56" s="61">
        <f>VLOOKUP($B56,'7. PGE_Efficacité'!$A$6:$AO$268,40,0)</f>
        <v>0</v>
      </c>
      <c r="AK56" s="61">
        <f>VLOOKUP($B56,'7. PGE_Efficacité'!$A$6:$AO$268,41,0)</f>
        <v>0</v>
      </c>
    </row>
    <row r="57" spans="1:37" hidden="1" outlineLevel="2" x14ac:dyDescent="0.25">
      <c r="A57" t="s">
        <v>4</v>
      </c>
      <c r="B57" s="65" t="s">
        <v>818</v>
      </c>
      <c r="C57" s="65" t="str">
        <f>VLOOKUP(B57,[1]ACTIONS!$A$49:$B$97,2,0)</f>
        <v>Caractériser la qualité d'effluents/rejets quand cela s’avère nécessaire pour déterminer la solution à privilégier pour le traiter</v>
      </c>
      <c r="D57" s="65"/>
      <c r="E57" s="65" t="str">
        <f>VLOOKUP(B57,[1]ACTIONS!$A$49:$D$97,4,0)</f>
        <v>SEN / WOL / CAN</v>
      </c>
      <c r="F57" s="73">
        <f>VLOOKUP(B57,[1]Budget!$A$9:$H$105,8,0)</f>
        <v>0</v>
      </c>
      <c r="G57" s="64">
        <f>VLOOKUP($B57,'7. PGE_Efficacité'!$A$6:$AO$268,11,0)</f>
        <v>0</v>
      </c>
      <c r="H57" s="64">
        <f>VLOOKUP($B57,'7. PGE_Efficacité'!$A$6:$AO$268,12,0)</f>
        <v>0</v>
      </c>
      <c r="I57" s="64">
        <f>VLOOKUP($B57,'7. PGE_Efficacité'!$A$6:$AO$268,13,0)</f>
        <v>0</v>
      </c>
      <c r="J57" s="64">
        <f>VLOOKUP($B57,'7. PGE_Efficacité'!$A$6:$AO$268,14,0)</f>
        <v>0</v>
      </c>
      <c r="K57" s="64">
        <f>VLOOKUP($B57,'7. PGE_Efficacité'!$A$6:$AO$268,15,0)</f>
        <v>0</v>
      </c>
      <c r="L57" s="64">
        <f>VLOOKUP($B57,'7. PGE_Efficacité'!$A$6:$AO$268,16,0)</f>
        <v>0</v>
      </c>
      <c r="M57" s="64">
        <f>VLOOKUP($B57,'7. PGE_Efficacité'!$A$6:$AO$268,17,0)</f>
        <v>0</v>
      </c>
      <c r="N57" s="64">
        <f>VLOOKUP($B57,'7. PGE_Efficacité'!$A$6:$AO$268,18,0)</f>
        <v>0</v>
      </c>
      <c r="O57" s="64">
        <f>VLOOKUP($B57,'7. PGE_Efficacité'!$A$6:$AO$268,19,0)</f>
        <v>0</v>
      </c>
      <c r="P57" s="64">
        <f>VLOOKUP($B57,'7. PGE_Efficacité'!$A$6:$AO$268,20,0)</f>
        <v>0</v>
      </c>
      <c r="Q57" s="64">
        <f>VLOOKUP($B57,'7. PGE_Efficacité'!$A$6:$AO$268,21,0)</f>
        <v>0</v>
      </c>
      <c r="R57" s="64">
        <f>VLOOKUP($B57,'7. PGE_Efficacité'!$A$6:$AO$268,22,0)</f>
        <v>0</v>
      </c>
      <c r="S57" s="64">
        <f>VLOOKUP($B57,'7. PGE_Efficacité'!$A$6:$AO$268,23,0)</f>
        <v>0</v>
      </c>
      <c r="T57" s="64">
        <f>VLOOKUP($B57,'7. PGE_Efficacité'!$A$6:$AO$268,24,0)</f>
        <v>0</v>
      </c>
      <c r="U57" s="64">
        <f>VLOOKUP($B57,'7. PGE_Efficacité'!$A$6:$AO$268,25,0)</f>
        <v>0</v>
      </c>
      <c r="V57" s="64">
        <f>VLOOKUP($B57,'7. PGE_Efficacité'!$A$6:$AO$268,26,0)</f>
        <v>0</v>
      </c>
      <c r="W57" s="61">
        <f>VLOOKUP($B57,'7. PGE_Efficacité'!$A$6:$AO$268,27,0)</f>
        <v>0</v>
      </c>
      <c r="X57" s="61">
        <f>VLOOKUP($B57,'7. PGE_Efficacité'!$A$6:$AO$268,28,0)</f>
        <v>0</v>
      </c>
      <c r="Y57" s="61">
        <f>VLOOKUP($B57,'7. PGE_Efficacité'!$A$6:$AO$268,29,0)</f>
        <v>0</v>
      </c>
      <c r="Z57" s="61">
        <f>VLOOKUP($B57,'7. PGE_Efficacité'!$A$6:$AO$268,30,0)</f>
        <v>0</v>
      </c>
      <c r="AA57" s="61">
        <f>VLOOKUP($B57,'7. PGE_Efficacité'!$A$6:$AO$268,31,0)</f>
        <v>0</v>
      </c>
      <c r="AB57" s="61">
        <f>VLOOKUP($B57,'7. PGE_Efficacité'!$A$6:$AO$268,32,0)</f>
        <v>0</v>
      </c>
      <c r="AC57" s="61">
        <f>VLOOKUP($B57,'7. PGE_Efficacité'!$A$6:$AO$268,33,0)</f>
        <v>0</v>
      </c>
      <c r="AD57" s="61">
        <f>VLOOKUP($B57,'7. PGE_Efficacité'!$A$6:$AO$268,34,0)</f>
        <v>0</v>
      </c>
      <c r="AE57" s="61">
        <f>VLOOKUP($B57,'7. PGE_Efficacité'!$A$6:$AO$268,35,0)</f>
        <v>0</v>
      </c>
      <c r="AF57" s="61">
        <f>VLOOKUP($B57,'7. PGE_Efficacité'!$A$6:$AO$268,36,0)</f>
        <v>0</v>
      </c>
      <c r="AG57" s="61">
        <f>VLOOKUP($B57,'7. PGE_Efficacité'!$A$6:$AO$268,37,0)</f>
        <v>0</v>
      </c>
      <c r="AH57" s="61">
        <f>VLOOKUP($B57,'7. PGE_Efficacité'!$A$6:$AO$268,38,0)</f>
        <v>0</v>
      </c>
      <c r="AI57" s="61">
        <f>VLOOKUP($B57,'7. PGE_Efficacité'!$A$6:$AO$268,39,0)</f>
        <v>0</v>
      </c>
      <c r="AJ57" s="61">
        <f>VLOOKUP($B57,'7. PGE_Efficacité'!$A$6:$AO$268,40,0)</f>
        <v>0</v>
      </c>
      <c r="AK57" s="61">
        <f>VLOOKUP($B57,'7. PGE_Efficacité'!$A$6:$AO$268,41,0)</f>
        <v>0</v>
      </c>
    </row>
    <row r="58" spans="1:37" hidden="1" outlineLevel="2" x14ac:dyDescent="0.25">
      <c r="A58" t="s">
        <v>4</v>
      </c>
      <c r="B58" s="65" t="s">
        <v>819</v>
      </c>
      <c r="C58" s="65" t="str">
        <f>VLOOKUP(B58,[1]ACTIONS!$A$49:$B$97,2,0)</f>
        <v>Implémenter les rejets ponctuels de la base de données géographique BE dans l’inventaire BE des émissions polluantes vers les eaux de surface (WEISS), y compris les rejets ponctuels des bateaux/navires (en particulier : eaux usées, de cale) et évaluer s’il est possible d’améliorer la modélisation dans WEISS des autres émissions polluantes des bateaux/navires dans le Canal (principalement diffuses, en particulier : antifouling, étanchéification, lubrification d’arbre à hélice, anodes) sur base de l’étude du Port relative aux émissions des bateaux/navires</v>
      </c>
      <c r="D58" s="65"/>
      <c r="E58" s="65" t="str">
        <f>VLOOKUP(B58,[1]ACTIONS!$A$49:$D$97,4,0)</f>
        <v>SEN / WOL / CAN</v>
      </c>
      <c r="F58" s="73">
        <f>VLOOKUP(B58,[1]Budget!$A$9:$H$105,8,0)</f>
        <v>0</v>
      </c>
      <c r="G58" s="64">
        <f>VLOOKUP($B58,'7. PGE_Efficacité'!$A$6:$AO$268,11,0)</f>
        <v>0</v>
      </c>
      <c r="H58" s="64">
        <f>VLOOKUP($B58,'7. PGE_Efficacité'!$A$6:$AO$268,12,0)</f>
        <v>0</v>
      </c>
      <c r="I58" s="64">
        <f>VLOOKUP($B58,'7. PGE_Efficacité'!$A$6:$AO$268,13,0)</f>
        <v>0</v>
      </c>
      <c r="J58" s="64">
        <f>VLOOKUP($B58,'7. PGE_Efficacité'!$A$6:$AO$268,14,0)</f>
        <v>0</v>
      </c>
      <c r="K58" s="64">
        <f>VLOOKUP($B58,'7. PGE_Efficacité'!$A$6:$AO$268,15,0)</f>
        <v>0</v>
      </c>
      <c r="L58" s="64">
        <f>VLOOKUP($B58,'7. PGE_Efficacité'!$A$6:$AO$268,16,0)</f>
        <v>0</v>
      </c>
      <c r="M58" s="64">
        <f>VLOOKUP($B58,'7. PGE_Efficacité'!$A$6:$AO$268,17,0)</f>
        <v>0</v>
      </c>
      <c r="N58" s="64">
        <f>VLOOKUP($B58,'7. PGE_Efficacité'!$A$6:$AO$268,18,0)</f>
        <v>0</v>
      </c>
      <c r="O58" s="64">
        <f>VLOOKUP($B58,'7. PGE_Efficacité'!$A$6:$AO$268,19,0)</f>
        <v>0</v>
      </c>
      <c r="P58" s="64">
        <f>VLOOKUP($B58,'7. PGE_Efficacité'!$A$6:$AO$268,20,0)</f>
        <v>0</v>
      </c>
      <c r="Q58" s="64">
        <f>VLOOKUP($B58,'7. PGE_Efficacité'!$A$6:$AO$268,21,0)</f>
        <v>0</v>
      </c>
      <c r="R58" s="64">
        <f>VLOOKUP($B58,'7. PGE_Efficacité'!$A$6:$AO$268,22,0)</f>
        <v>0</v>
      </c>
      <c r="S58" s="64">
        <f>VLOOKUP($B58,'7. PGE_Efficacité'!$A$6:$AO$268,23,0)</f>
        <v>0</v>
      </c>
      <c r="T58" s="64">
        <f>VLOOKUP($B58,'7. PGE_Efficacité'!$A$6:$AO$268,24,0)</f>
        <v>0</v>
      </c>
      <c r="U58" s="64">
        <f>VLOOKUP($B58,'7. PGE_Efficacité'!$A$6:$AO$268,25,0)</f>
        <v>0</v>
      </c>
      <c r="V58" s="64">
        <f>VLOOKUP($B58,'7. PGE_Efficacité'!$A$6:$AO$268,26,0)</f>
        <v>0</v>
      </c>
      <c r="W58" s="61">
        <f>VLOOKUP($B58,'7. PGE_Efficacité'!$A$6:$AO$268,27,0)</f>
        <v>0</v>
      </c>
      <c r="X58" s="61">
        <f>VLOOKUP($B58,'7. PGE_Efficacité'!$A$6:$AO$268,28,0)</f>
        <v>0</v>
      </c>
      <c r="Y58" s="61">
        <f>VLOOKUP($B58,'7. PGE_Efficacité'!$A$6:$AO$268,29,0)</f>
        <v>0</v>
      </c>
      <c r="Z58" s="61">
        <f>VLOOKUP($B58,'7. PGE_Efficacité'!$A$6:$AO$268,30,0)</f>
        <v>0</v>
      </c>
      <c r="AA58" s="61">
        <f>VLOOKUP($B58,'7. PGE_Efficacité'!$A$6:$AO$268,31,0)</f>
        <v>0</v>
      </c>
      <c r="AB58" s="61">
        <f>VLOOKUP($B58,'7. PGE_Efficacité'!$A$6:$AO$268,32,0)</f>
        <v>0</v>
      </c>
      <c r="AC58" s="61">
        <f>VLOOKUP($B58,'7. PGE_Efficacité'!$A$6:$AO$268,33,0)</f>
        <v>0</v>
      </c>
      <c r="AD58" s="61">
        <f>VLOOKUP($B58,'7. PGE_Efficacité'!$A$6:$AO$268,34,0)</f>
        <v>0</v>
      </c>
      <c r="AE58" s="61">
        <f>VLOOKUP($B58,'7. PGE_Efficacité'!$A$6:$AO$268,35,0)</f>
        <v>0</v>
      </c>
      <c r="AF58" s="61">
        <f>VLOOKUP($B58,'7. PGE_Efficacité'!$A$6:$AO$268,36,0)</f>
        <v>0</v>
      </c>
      <c r="AG58" s="61">
        <f>VLOOKUP($B58,'7. PGE_Efficacité'!$A$6:$AO$268,37,0)</f>
        <v>0</v>
      </c>
      <c r="AH58" s="61">
        <f>VLOOKUP($B58,'7. PGE_Efficacité'!$A$6:$AO$268,38,0)</f>
        <v>0</v>
      </c>
      <c r="AI58" s="61">
        <f>VLOOKUP($B58,'7. PGE_Efficacité'!$A$6:$AO$268,39,0)</f>
        <v>0</v>
      </c>
      <c r="AJ58" s="61">
        <f>VLOOKUP($B58,'7. PGE_Efficacité'!$A$6:$AO$268,40,0)</f>
        <v>0</v>
      </c>
      <c r="AK58" s="61">
        <f>VLOOKUP($B58,'7. PGE_Efficacité'!$A$6:$AO$268,41,0)</f>
        <v>0</v>
      </c>
    </row>
    <row r="59" spans="1:37" hidden="1" outlineLevel="2" x14ac:dyDescent="0.25">
      <c r="A59" t="s">
        <v>4</v>
      </c>
      <c r="B59" s="65" t="s">
        <v>820</v>
      </c>
      <c r="C59" s="65" t="str">
        <f>VLOOKUP(B59,[1]ACTIONS!$A$49:$B$97,2,0)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M1.5.19)</v>
      </c>
      <c r="D59" s="65"/>
      <c r="E59" s="65" t="str">
        <f>VLOOKUP(B59,[1]ACTIONS!$A$49:$D$97,4,0)</f>
        <v>SEN</v>
      </c>
      <c r="F59" s="73">
        <f>VLOOKUP(B59,[1]Budget!$A$9:$H$105,8,0)</f>
        <v>25000</v>
      </c>
      <c r="G59" s="64">
        <f>VLOOKUP($B59,'7. PGE_Efficacité'!$A$6:$AO$268,11,0)</f>
        <v>0</v>
      </c>
      <c r="H59" s="64">
        <f>VLOOKUP($B59,'7. PGE_Efficacité'!$A$6:$AO$268,12,0)</f>
        <v>0</v>
      </c>
      <c r="I59" s="64">
        <f>VLOOKUP($B59,'7. PGE_Efficacité'!$A$6:$AO$268,13,0)</f>
        <v>0</v>
      </c>
      <c r="J59" s="64">
        <f>VLOOKUP($B59,'7. PGE_Efficacité'!$A$6:$AO$268,14,0)</f>
        <v>0</v>
      </c>
      <c r="K59" s="64">
        <f>VLOOKUP($B59,'7. PGE_Efficacité'!$A$6:$AO$268,15,0)</f>
        <v>0</v>
      </c>
      <c r="L59" s="64">
        <f>VLOOKUP($B59,'7. PGE_Efficacité'!$A$6:$AO$268,16,0)</f>
        <v>0</v>
      </c>
      <c r="M59" s="64">
        <f>VLOOKUP($B59,'7. PGE_Efficacité'!$A$6:$AO$268,17,0)</f>
        <v>0</v>
      </c>
      <c r="N59" s="64">
        <f>VLOOKUP($B59,'7. PGE_Efficacité'!$A$6:$AO$268,18,0)</f>
        <v>0</v>
      </c>
      <c r="O59" s="64">
        <f>VLOOKUP($B59,'7. PGE_Efficacité'!$A$6:$AO$268,19,0)</f>
        <v>0</v>
      </c>
      <c r="P59" s="64">
        <f>VLOOKUP($B59,'7. PGE_Efficacité'!$A$6:$AO$268,20,0)</f>
        <v>0</v>
      </c>
      <c r="Q59" s="64">
        <f>VLOOKUP($B59,'7. PGE_Efficacité'!$A$6:$AO$268,21,0)</f>
        <v>0</v>
      </c>
      <c r="R59" s="64">
        <f>VLOOKUP($B59,'7. PGE_Efficacité'!$A$6:$AO$268,22,0)</f>
        <v>0</v>
      </c>
      <c r="S59" s="64">
        <f>VLOOKUP($B59,'7. PGE_Efficacité'!$A$6:$AO$268,23,0)</f>
        <v>0</v>
      </c>
      <c r="T59" s="64">
        <f>VLOOKUP($B59,'7. PGE_Efficacité'!$A$6:$AO$268,24,0)</f>
        <v>0</v>
      </c>
      <c r="U59" s="64">
        <f>VLOOKUP($B59,'7. PGE_Efficacité'!$A$6:$AO$268,25,0)</f>
        <v>0</v>
      </c>
      <c r="V59" s="64">
        <f>VLOOKUP($B59,'7. PGE_Efficacité'!$A$6:$AO$268,26,0)</f>
        <v>0</v>
      </c>
      <c r="W59" s="61">
        <f>VLOOKUP($B59,'7. PGE_Efficacité'!$A$6:$AO$268,27,0)</f>
        <v>0</v>
      </c>
      <c r="X59" s="61">
        <f>VLOOKUP($B59,'7. PGE_Efficacité'!$A$6:$AO$268,28,0)</f>
        <v>0</v>
      </c>
      <c r="Y59" s="61">
        <f>VLOOKUP($B59,'7. PGE_Efficacité'!$A$6:$AO$268,29,0)</f>
        <v>0</v>
      </c>
      <c r="Z59" s="61">
        <f>VLOOKUP($B59,'7. PGE_Efficacité'!$A$6:$AO$268,30,0)</f>
        <v>0</v>
      </c>
      <c r="AA59" s="61">
        <f>VLOOKUP($B59,'7. PGE_Efficacité'!$A$6:$AO$268,31,0)</f>
        <v>0</v>
      </c>
      <c r="AB59" s="61">
        <f>VLOOKUP($B59,'7. PGE_Efficacité'!$A$6:$AO$268,32,0)</f>
        <v>0</v>
      </c>
      <c r="AC59" s="61">
        <f>VLOOKUP($B59,'7. PGE_Efficacité'!$A$6:$AO$268,33,0)</f>
        <v>0</v>
      </c>
      <c r="AD59" s="61">
        <f>VLOOKUP($B59,'7. PGE_Efficacité'!$A$6:$AO$268,34,0)</f>
        <v>0</v>
      </c>
      <c r="AE59" s="61">
        <f>VLOOKUP($B59,'7. PGE_Efficacité'!$A$6:$AO$268,35,0)</f>
        <v>0</v>
      </c>
      <c r="AF59" s="61">
        <f>VLOOKUP($B59,'7. PGE_Efficacité'!$A$6:$AO$268,36,0)</f>
        <v>0</v>
      </c>
      <c r="AG59" s="61">
        <f>VLOOKUP($B59,'7. PGE_Efficacité'!$A$6:$AO$268,37,0)</f>
        <v>0</v>
      </c>
      <c r="AH59" s="61">
        <f>VLOOKUP($B59,'7. PGE_Efficacité'!$A$6:$AO$268,38,0)</f>
        <v>0</v>
      </c>
      <c r="AI59" s="61">
        <f>VLOOKUP($B59,'7. PGE_Efficacité'!$A$6:$AO$268,39,0)</f>
        <v>0</v>
      </c>
      <c r="AJ59" s="61">
        <f>VLOOKUP($B59,'7. PGE_Efficacité'!$A$6:$AO$268,40,0)</f>
        <v>0</v>
      </c>
      <c r="AK59" s="61">
        <f>VLOOKUP($B59,'7. PGE_Efficacité'!$A$6:$AO$268,41,0)</f>
        <v>0</v>
      </c>
    </row>
    <row r="60" spans="1:37" hidden="1" outlineLevel="2" x14ac:dyDescent="0.25">
      <c r="A60" t="s">
        <v>4</v>
      </c>
      <c r="B60" s="65" t="s">
        <v>799</v>
      </c>
      <c r="C60" s="65" t="str">
        <f>VLOOKUP(B60,[1]ACTIONS!$A$49:$B$97,2,0)</f>
        <v xml:space="preserve">Compiler les données relatives au réseau d’écoulement des parcelles privées du domaine portuaire et les fournir à BE afin qu’elles soient intégrées dans la base de données BE des rejets </v>
      </c>
      <c r="D60" s="65"/>
      <c r="E60" s="65" t="str">
        <f>VLOOKUP(B60,[1]ACTIONS!$A$49:$D$97,4,0)</f>
        <v>SEN</v>
      </c>
      <c r="F60" s="73">
        <f>VLOOKUP(B60,[1]Budget!$A$9:$H$105,8,0)</f>
        <v>0</v>
      </c>
      <c r="G60" s="64">
        <f>VLOOKUP($B60,'7. PGE_Efficacité'!$A$6:$AO$268,11,0)</f>
        <v>0</v>
      </c>
      <c r="H60" s="64">
        <f>VLOOKUP($B60,'7. PGE_Efficacité'!$A$6:$AO$268,12,0)</f>
        <v>0</v>
      </c>
      <c r="I60" s="64">
        <f>VLOOKUP($B60,'7. PGE_Efficacité'!$A$6:$AO$268,13,0)</f>
        <v>0</v>
      </c>
      <c r="J60" s="64">
        <f>VLOOKUP($B60,'7. PGE_Efficacité'!$A$6:$AO$268,14,0)</f>
        <v>0</v>
      </c>
      <c r="K60" s="64">
        <f>VLOOKUP($B60,'7. PGE_Efficacité'!$A$6:$AO$268,15,0)</f>
        <v>0</v>
      </c>
      <c r="L60" s="64">
        <f>VLOOKUP($B60,'7. PGE_Efficacité'!$A$6:$AO$268,16,0)</f>
        <v>0</v>
      </c>
      <c r="M60" s="64">
        <f>VLOOKUP($B60,'7. PGE_Efficacité'!$A$6:$AO$268,17,0)</f>
        <v>0</v>
      </c>
      <c r="N60" s="64">
        <f>VLOOKUP($B60,'7. PGE_Efficacité'!$A$6:$AO$268,18,0)</f>
        <v>0</v>
      </c>
      <c r="O60" s="64">
        <f>VLOOKUP($B60,'7. PGE_Efficacité'!$A$6:$AO$268,19,0)</f>
        <v>0</v>
      </c>
      <c r="P60" s="64">
        <f>VLOOKUP($B60,'7. PGE_Efficacité'!$A$6:$AO$268,20,0)</f>
        <v>0</v>
      </c>
      <c r="Q60" s="64">
        <f>VLOOKUP($B60,'7. PGE_Efficacité'!$A$6:$AO$268,21,0)</f>
        <v>0</v>
      </c>
      <c r="R60" s="64">
        <f>VLOOKUP($B60,'7. PGE_Efficacité'!$A$6:$AO$268,22,0)</f>
        <v>0</v>
      </c>
      <c r="S60" s="64">
        <f>VLOOKUP($B60,'7. PGE_Efficacité'!$A$6:$AO$268,23,0)</f>
        <v>0</v>
      </c>
      <c r="T60" s="64">
        <f>VLOOKUP($B60,'7. PGE_Efficacité'!$A$6:$AO$268,24,0)</f>
        <v>0</v>
      </c>
      <c r="U60" s="64">
        <f>VLOOKUP($B60,'7. PGE_Efficacité'!$A$6:$AO$268,25,0)</f>
        <v>0</v>
      </c>
      <c r="V60" s="64">
        <f>VLOOKUP($B60,'7. PGE_Efficacité'!$A$6:$AO$268,26,0)</f>
        <v>0</v>
      </c>
      <c r="W60" s="61">
        <f>VLOOKUP($B60,'7. PGE_Efficacité'!$A$6:$AO$268,27,0)</f>
        <v>0</v>
      </c>
      <c r="X60" s="61">
        <f>VLOOKUP($B60,'7. PGE_Efficacité'!$A$6:$AO$268,28,0)</f>
        <v>0</v>
      </c>
      <c r="Y60" s="61">
        <f>VLOOKUP($B60,'7. PGE_Efficacité'!$A$6:$AO$268,29,0)</f>
        <v>0</v>
      </c>
      <c r="Z60" s="61">
        <f>VLOOKUP($B60,'7. PGE_Efficacité'!$A$6:$AO$268,30,0)</f>
        <v>0</v>
      </c>
      <c r="AA60" s="61">
        <f>VLOOKUP($B60,'7. PGE_Efficacité'!$A$6:$AO$268,31,0)</f>
        <v>0</v>
      </c>
      <c r="AB60" s="61">
        <f>VLOOKUP($B60,'7. PGE_Efficacité'!$A$6:$AO$268,32,0)</f>
        <v>0</v>
      </c>
      <c r="AC60" s="61">
        <f>VLOOKUP($B60,'7. PGE_Efficacité'!$A$6:$AO$268,33,0)</f>
        <v>0</v>
      </c>
      <c r="AD60" s="61">
        <f>VLOOKUP($B60,'7. PGE_Efficacité'!$A$6:$AO$268,34,0)</f>
        <v>0</v>
      </c>
      <c r="AE60" s="61">
        <f>VLOOKUP($B60,'7. PGE_Efficacité'!$A$6:$AO$268,35,0)</f>
        <v>0</v>
      </c>
      <c r="AF60" s="61">
        <f>VLOOKUP($B60,'7. PGE_Efficacité'!$A$6:$AO$268,36,0)</f>
        <v>0</v>
      </c>
      <c r="AG60" s="61">
        <f>VLOOKUP($B60,'7. PGE_Efficacité'!$A$6:$AO$268,37,0)</f>
        <v>0</v>
      </c>
      <c r="AH60" s="61">
        <f>VLOOKUP($B60,'7. PGE_Efficacité'!$A$6:$AO$268,38,0)</f>
        <v>0</v>
      </c>
      <c r="AI60" s="61">
        <f>VLOOKUP($B60,'7. PGE_Efficacité'!$A$6:$AO$268,39,0)</f>
        <v>0</v>
      </c>
      <c r="AJ60" s="61">
        <f>VLOOKUP($B60,'7. PGE_Efficacité'!$A$6:$AO$268,40,0)</f>
        <v>0</v>
      </c>
      <c r="AK60" s="61">
        <f>VLOOKUP($B60,'7. PGE_Efficacité'!$A$6:$AO$268,41,0)</f>
        <v>0</v>
      </c>
    </row>
    <row r="61" spans="1:37" hidden="1" outlineLevel="2" x14ac:dyDescent="0.25">
      <c r="A61" t="s">
        <v>4</v>
      </c>
      <c r="B61" s="65" t="s">
        <v>800</v>
      </c>
      <c r="C61" s="65" t="str">
        <f>VLOOKUP(B61,[1]ACTIONS!$A$49:$B$97,2,0)</f>
        <v>Étudier la possibilité de caractériser un point noir (débit, charge EH, sources potentielles, photos…)</v>
      </c>
      <c r="D61" s="65"/>
      <c r="E61" s="65" t="str">
        <f>VLOOKUP(B61,[1]ACTIONS!$A$49:$D$97,4,0)</f>
        <v>SEN</v>
      </c>
      <c r="F61" s="73">
        <f>VLOOKUP(B61,[1]Budget!$A$9:$H$105,8,0)</f>
        <v>0</v>
      </c>
      <c r="G61" s="64">
        <f>VLOOKUP($B61,'7. PGE_Efficacité'!$A$6:$AO$268,11,0)</f>
        <v>0</v>
      </c>
      <c r="H61" s="64">
        <f>VLOOKUP($B61,'7. PGE_Efficacité'!$A$6:$AO$268,12,0)</f>
        <v>0</v>
      </c>
      <c r="I61" s="64">
        <f>VLOOKUP($B61,'7. PGE_Efficacité'!$A$6:$AO$268,13,0)</f>
        <v>0</v>
      </c>
      <c r="J61" s="64">
        <f>VLOOKUP($B61,'7. PGE_Efficacité'!$A$6:$AO$268,14,0)</f>
        <v>0</v>
      </c>
      <c r="K61" s="64">
        <f>VLOOKUP($B61,'7. PGE_Efficacité'!$A$6:$AO$268,15,0)</f>
        <v>0</v>
      </c>
      <c r="L61" s="64">
        <f>VLOOKUP($B61,'7. PGE_Efficacité'!$A$6:$AO$268,16,0)</f>
        <v>0</v>
      </c>
      <c r="M61" s="64">
        <f>VLOOKUP($B61,'7. PGE_Efficacité'!$A$6:$AO$268,17,0)</f>
        <v>0</v>
      </c>
      <c r="N61" s="64">
        <f>VLOOKUP($B61,'7. PGE_Efficacité'!$A$6:$AO$268,18,0)</f>
        <v>0</v>
      </c>
      <c r="O61" s="64">
        <f>VLOOKUP($B61,'7. PGE_Efficacité'!$A$6:$AO$268,19,0)</f>
        <v>0</v>
      </c>
      <c r="P61" s="64">
        <f>VLOOKUP($B61,'7. PGE_Efficacité'!$A$6:$AO$268,20,0)</f>
        <v>0</v>
      </c>
      <c r="Q61" s="64">
        <f>VLOOKUP($B61,'7. PGE_Efficacité'!$A$6:$AO$268,21,0)</f>
        <v>0</v>
      </c>
      <c r="R61" s="64">
        <f>VLOOKUP($B61,'7. PGE_Efficacité'!$A$6:$AO$268,22,0)</f>
        <v>0</v>
      </c>
      <c r="S61" s="64">
        <f>VLOOKUP($B61,'7. PGE_Efficacité'!$A$6:$AO$268,23,0)</f>
        <v>0</v>
      </c>
      <c r="T61" s="64">
        <f>VLOOKUP($B61,'7. PGE_Efficacité'!$A$6:$AO$268,24,0)</f>
        <v>0</v>
      </c>
      <c r="U61" s="64">
        <f>VLOOKUP($B61,'7. PGE_Efficacité'!$A$6:$AO$268,25,0)</f>
        <v>0</v>
      </c>
      <c r="V61" s="64">
        <f>VLOOKUP($B61,'7. PGE_Efficacité'!$A$6:$AO$268,26,0)</f>
        <v>0</v>
      </c>
      <c r="W61" s="61">
        <f>VLOOKUP($B61,'7. PGE_Efficacité'!$A$6:$AO$268,27,0)</f>
        <v>0</v>
      </c>
      <c r="X61" s="61">
        <f>VLOOKUP($B61,'7. PGE_Efficacité'!$A$6:$AO$268,28,0)</f>
        <v>0</v>
      </c>
      <c r="Y61" s="61">
        <f>VLOOKUP($B61,'7. PGE_Efficacité'!$A$6:$AO$268,29,0)</f>
        <v>0</v>
      </c>
      <c r="Z61" s="61">
        <f>VLOOKUP($B61,'7. PGE_Efficacité'!$A$6:$AO$268,30,0)</f>
        <v>0</v>
      </c>
      <c r="AA61" s="61">
        <f>VLOOKUP($B61,'7. PGE_Efficacité'!$A$6:$AO$268,31,0)</f>
        <v>0</v>
      </c>
      <c r="AB61" s="61">
        <f>VLOOKUP($B61,'7. PGE_Efficacité'!$A$6:$AO$268,32,0)</f>
        <v>0</v>
      </c>
      <c r="AC61" s="61">
        <f>VLOOKUP($B61,'7. PGE_Efficacité'!$A$6:$AO$268,33,0)</f>
        <v>0</v>
      </c>
      <c r="AD61" s="61">
        <f>VLOOKUP($B61,'7. PGE_Efficacité'!$A$6:$AO$268,34,0)</f>
        <v>0</v>
      </c>
      <c r="AE61" s="61">
        <f>VLOOKUP($B61,'7. PGE_Efficacité'!$A$6:$AO$268,35,0)</f>
        <v>0</v>
      </c>
      <c r="AF61" s="61">
        <f>VLOOKUP($B61,'7. PGE_Efficacité'!$A$6:$AO$268,36,0)</f>
        <v>0</v>
      </c>
      <c r="AG61" s="61">
        <f>VLOOKUP($B61,'7. PGE_Efficacité'!$A$6:$AO$268,37,0)</f>
        <v>0</v>
      </c>
      <c r="AH61" s="61">
        <f>VLOOKUP($B61,'7. PGE_Efficacité'!$A$6:$AO$268,38,0)</f>
        <v>0</v>
      </c>
      <c r="AI61" s="61">
        <f>VLOOKUP($B61,'7. PGE_Efficacité'!$A$6:$AO$268,39,0)</f>
        <v>0</v>
      </c>
      <c r="AJ61" s="61">
        <f>VLOOKUP($B61,'7. PGE_Efficacité'!$A$6:$AO$268,40,0)</f>
        <v>0</v>
      </c>
      <c r="AK61" s="61">
        <f>VLOOKUP($B61,'7. PGE_Efficacité'!$A$6:$AO$268,41,0)</f>
        <v>0</v>
      </c>
    </row>
    <row r="62" spans="1:37" hidden="1" outlineLevel="2" x14ac:dyDescent="0.25">
      <c r="A62" t="s">
        <v>4</v>
      </c>
      <c r="B62" s="65" t="s">
        <v>801</v>
      </c>
      <c r="C62" s="65" t="str">
        <f>VLOOKUP(B62,[1]ACTIONS!$A$49:$B$97,2,0)</f>
        <v>Mise à jour du relevé sur terrain des rejets vers la Senne, notamment en s’aidant des connaissances déjà disponibles, et les compiler dans la base de données BE des rejets</v>
      </c>
      <c r="D62" s="65"/>
      <c r="E62" s="65" t="str">
        <f>VLOOKUP(B62,[1]ACTIONS!$A$49:$D$97,4,0)</f>
        <v>SEN</v>
      </c>
      <c r="F62" s="73">
        <f>VLOOKUP(B62,[1]Budget!$A$9:$H$105,8,0)</f>
        <v>0</v>
      </c>
      <c r="G62" s="64">
        <f>VLOOKUP($B62,'7. PGE_Efficacité'!$A$6:$AO$268,11,0)</f>
        <v>0</v>
      </c>
      <c r="H62" s="64">
        <f>VLOOKUP($B62,'7. PGE_Efficacité'!$A$6:$AO$268,12,0)</f>
        <v>0</v>
      </c>
      <c r="I62" s="64">
        <f>VLOOKUP($B62,'7. PGE_Efficacité'!$A$6:$AO$268,13,0)</f>
        <v>0</v>
      </c>
      <c r="J62" s="64">
        <f>VLOOKUP($B62,'7. PGE_Efficacité'!$A$6:$AO$268,14,0)</f>
        <v>0</v>
      </c>
      <c r="K62" s="64">
        <f>VLOOKUP($B62,'7. PGE_Efficacité'!$A$6:$AO$268,15,0)</f>
        <v>0</v>
      </c>
      <c r="L62" s="64">
        <f>VLOOKUP($B62,'7. PGE_Efficacité'!$A$6:$AO$268,16,0)</f>
        <v>0</v>
      </c>
      <c r="M62" s="64">
        <f>VLOOKUP($B62,'7. PGE_Efficacité'!$A$6:$AO$268,17,0)</f>
        <v>0</v>
      </c>
      <c r="N62" s="64">
        <f>VLOOKUP($B62,'7. PGE_Efficacité'!$A$6:$AO$268,18,0)</f>
        <v>0</v>
      </c>
      <c r="O62" s="64">
        <f>VLOOKUP($B62,'7. PGE_Efficacité'!$A$6:$AO$268,19,0)</f>
        <v>0</v>
      </c>
      <c r="P62" s="64">
        <f>VLOOKUP($B62,'7. PGE_Efficacité'!$A$6:$AO$268,20,0)</f>
        <v>0</v>
      </c>
      <c r="Q62" s="64">
        <f>VLOOKUP($B62,'7. PGE_Efficacité'!$A$6:$AO$268,21,0)</f>
        <v>0</v>
      </c>
      <c r="R62" s="64">
        <f>VLOOKUP($B62,'7. PGE_Efficacité'!$A$6:$AO$268,22,0)</f>
        <v>0</v>
      </c>
      <c r="S62" s="64">
        <f>VLOOKUP($B62,'7. PGE_Efficacité'!$A$6:$AO$268,23,0)</f>
        <v>0</v>
      </c>
      <c r="T62" s="64">
        <f>VLOOKUP($B62,'7. PGE_Efficacité'!$A$6:$AO$268,24,0)</f>
        <v>0</v>
      </c>
      <c r="U62" s="64">
        <f>VLOOKUP($B62,'7. PGE_Efficacité'!$A$6:$AO$268,25,0)</f>
        <v>0</v>
      </c>
      <c r="V62" s="64">
        <f>VLOOKUP($B62,'7. PGE_Efficacité'!$A$6:$AO$268,26,0)</f>
        <v>0</v>
      </c>
      <c r="W62" s="61">
        <f>VLOOKUP($B62,'7. PGE_Efficacité'!$A$6:$AO$268,27,0)</f>
        <v>0</v>
      </c>
      <c r="X62" s="61">
        <f>VLOOKUP($B62,'7. PGE_Efficacité'!$A$6:$AO$268,28,0)</f>
        <v>0</v>
      </c>
      <c r="Y62" s="61">
        <f>VLOOKUP($B62,'7. PGE_Efficacité'!$A$6:$AO$268,29,0)</f>
        <v>0</v>
      </c>
      <c r="Z62" s="61">
        <f>VLOOKUP($B62,'7. PGE_Efficacité'!$A$6:$AO$268,30,0)</f>
        <v>0</v>
      </c>
      <c r="AA62" s="61">
        <f>VLOOKUP($B62,'7. PGE_Efficacité'!$A$6:$AO$268,31,0)</f>
        <v>0</v>
      </c>
      <c r="AB62" s="61">
        <f>VLOOKUP($B62,'7. PGE_Efficacité'!$A$6:$AO$268,32,0)</f>
        <v>0</v>
      </c>
      <c r="AC62" s="61">
        <f>VLOOKUP($B62,'7. PGE_Efficacité'!$A$6:$AO$268,33,0)</f>
        <v>0</v>
      </c>
      <c r="AD62" s="61">
        <f>VLOOKUP($B62,'7. PGE_Efficacité'!$A$6:$AO$268,34,0)</f>
        <v>0</v>
      </c>
      <c r="AE62" s="61">
        <f>VLOOKUP($B62,'7. PGE_Efficacité'!$A$6:$AO$268,35,0)</f>
        <v>0</v>
      </c>
      <c r="AF62" s="61">
        <f>VLOOKUP($B62,'7. PGE_Efficacité'!$A$6:$AO$268,36,0)</f>
        <v>0</v>
      </c>
      <c r="AG62" s="61">
        <f>VLOOKUP($B62,'7. PGE_Efficacité'!$A$6:$AO$268,37,0)</f>
        <v>0</v>
      </c>
      <c r="AH62" s="61">
        <f>VLOOKUP($B62,'7. PGE_Efficacité'!$A$6:$AO$268,38,0)</f>
        <v>0</v>
      </c>
      <c r="AI62" s="61">
        <f>VLOOKUP($B62,'7. PGE_Efficacité'!$A$6:$AO$268,39,0)</f>
        <v>0</v>
      </c>
      <c r="AJ62" s="61">
        <f>VLOOKUP($B62,'7. PGE_Efficacité'!$A$6:$AO$268,40,0)</f>
        <v>0</v>
      </c>
      <c r="AK62" s="61">
        <f>VLOOKUP($B62,'7. PGE_Efficacité'!$A$6:$AO$268,41,0)</f>
        <v>0</v>
      </c>
    </row>
    <row r="63" spans="1:37" hidden="1" outlineLevel="2" x14ac:dyDescent="0.25">
      <c r="A63" t="s">
        <v>4</v>
      </c>
      <c r="B63" s="65" t="s">
        <v>802</v>
      </c>
      <c r="C63" s="65" t="str">
        <f>VLOOKUP(B63,[1]ACTIONS!$A$49:$B$97,2,0)</f>
        <v>Faire un relevé sur terrain des rejets vers le Hollebeek, notamment en s’aidant des connaissances déjà disponibles, et les compiler dans la base de données BE des rejets</v>
      </c>
      <c r="D63" s="65"/>
      <c r="E63" s="65" t="str">
        <f>VLOOKUP(B63,[1]ACTIONS!$A$49:$D$97,4,0)</f>
        <v>SEN</v>
      </c>
      <c r="F63" s="73">
        <f>VLOOKUP(B63,[1]Budget!$A$9:$H$105,8,0)</f>
        <v>0</v>
      </c>
      <c r="G63" s="64">
        <f>VLOOKUP($B63,'7. PGE_Efficacité'!$A$6:$AO$268,11,0)</f>
        <v>0</v>
      </c>
      <c r="H63" s="64">
        <f>VLOOKUP($B63,'7. PGE_Efficacité'!$A$6:$AO$268,12,0)</f>
        <v>0</v>
      </c>
      <c r="I63" s="64">
        <f>VLOOKUP($B63,'7. PGE_Efficacité'!$A$6:$AO$268,13,0)</f>
        <v>0</v>
      </c>
      <c r="J63" s="64">
        <f>VLOOKUP($B63,'7. PGE_Efficacité'!$A$6:$AO$268,14,0)</f>
        <v>0</v>
      </c>
      <c r="K63" s="64">
        <f>VLOOKUP($B63,'7. PGE_Efficacité'!$A$6:$AO$268,15,0)</f>
        <v>0</v>
      </c>
      <c r="L63" s="64">
        <f>VLOOKUP($B63,'7. PGE_Efficacité'!$A$6:$AO$268,16,0)</f>
        <v>0</v>
      </c>
      <c r="M63" s="64">
        <f>VLOOKUP($B63,'7. PGE_Efficacité'!$A$6:$AO$268,17,0)</f>
        <v>0</v>
      </c>
      <c r="N63" s="64">
        <f>VLOOKUP($B63,'7. PGE_Efficacité'!$A$6:$AO$268,18,0)</f>
        <v>0</v>
      </c>
      <c r="O63" s="64">
        <f>VLOOKUP($B63,'7. PGE_Efficacité'!$A$6:$AO$268,19,0)</f>
        <v>0</v>
      </c>
      <c r="P63" s="64">
        <f>VLOOKUP($B63,'7. PGE_Efficacité'!$A$6:$AO$268,20,0)</f>
        <v>0</v>
      </c>
      <c r="Q63" s="64">
        <f>VLOOKUP($B63,'7. PGE_Efficacité'!$A$6:$AO$268,21,0)</f>
        <v>0</v>
      </c>
      <c r="R63" s="64">
        <f>VLOOKUP($B63,'7. PGE_Efficacité'!$A$6:$AO$268,22,0)</f>
        <v>0</v>
      </c>
      <c r="S63" s="64">
        <f>VLOOKUP($B63,'7. PGE_Efficacité'!$A$6:$AO$268,23,0)</f>
        <v>0</v>
      </c>
      <c r="T63" s="64">
        <f>VLOOKUP($B63,'7. PGE_Efficacité'!$A$6:$AO$268,24,0)</f>
        <v>0</v>
      </c>
      <c r="U63" s="64">
        <f>VLOOKUP($B63,'7. PGE_Efficacité'!$A$6:$AO$268,25,0)</f>
        <v>0</v>
      </c>
      <c r="V63" s="64">
        <f>VLOOKUP($B63,'7. PGE_Efficacité'!$A$6:$AO$268,26,0)</f>
        <v>0</v>
      </c>
      <c r="W63" s="61">
        <f>VLOOKUP($B63,'7. PGE_Efficacité'!$A$6:$AO$268,27,0)</f>
        <v>0</v>
      </c>
      <c r="X63" s="61">
        <f>VLOOKUP($B63,'7. PGE_Efficacité'!$A$6:$AO$268,28,0)</f>
        <v>0</v>
      </c>
      <c r="Y63" s="61">
        <f>VLOOKUP($B63,'7. PGE_Efficacité'!$A$6:$AO$268,29,0)</f>
        <v>0</v>
      </c>
      <c r="Z63" s="61">
        <f>VLOOKUP($B63,'7. PGE_Efficacité'!$A$6:$AO$268,30,0)</f>
        <v>0</v>
      </c>
      <c r="AA63" s="61">
        <f>VLOOKUP($B63,'7. PGE_Efficacité'!$A$6:$AO$268,31,0)</f>
        <v>0</v>
      </c>
      <c r="AB63" s="61">
        <f>VLOOKUP($B63,'7. PGE_Efficacité'!$A$6:$AO$268,32,0)</f>
        <v>0</v>
      </c>
      <c r="AC63" s="61">
        <f>VLOOKUP($B63,'7. PGE_Efficacité'!$A$6:$AO$268,33,0)</f>
        <v>0</v>
      </c>
      <c r="AD63" s="61">
        <f>VLOOKUP($B63,'7. PGE_Efficacité'!$A$6:$AO$268,34,0)</f>
        <v>0</v>
      </c>
      <c r="AE63" s="61">
        <f>VLOOKUP($B63,'7. PGE_Efficacité'!$A$6:$AO$268,35,0)</f>
        <v>0</v>
      </c>
      <c r="AF63" s="61">
        <f>VLOOKUP($B63,'7. PGE_Efficacité'!$A$6:$AO$268,36,0)</f>
        <v>0</v>
      </c>
      <c r="AG63" s="61">
        <f>VLOOKUP($B63,'7. PGE_Efficacité'!$A$6:$AO$268,37,0)</f>
        <v>0</v>
      </c>
      <c r="AH63" s="61">
        <f>VLOOKUP($B63,'7. PGE_Efficacité'!$A$6:$AO$268,38,0)</f>
        <v>0</v>
      </c>
      <c r="AI63" s="61">
        <f>VLOOKUP($B63,'7. PGE_Efficacité'!$A$6:$AO$268,39,0)</f>
        <v>0</v>
      </c>
      <c r="AJ63" s="61">
        <f>VLOOKUP($B63,'7. PGE_Efficacité'!$A$6:$AO$268,40,0)</f>
        <v>0</v>
      </c>
      <c r="AK63" s="61">
        <f>VLOOKUP($B63,'7. PGE_Efficacité'!$A$6:$AO$268,41,0)</f>
        <v>0</v>
      </c>
    </row>
    <row r="64" spans="1:37" hidden="1" outlineLevel="2" x14ac:dyDescent="0.25">
      <c r="A64" t="s">
        <v>4</v>
      </c>
      <c r="B64" s="65" t="s">
        <v>803</v>
      </c>
      <c r="C64" s="65" t="str">
        <f>VLOOKUP(B64,[1]ACTIONS!$A$49:$B$97,2,0)</f>
        <v>Faire un relevé sur terrain des rejets vers le Vogelzangbeek, notamment en s’aidant des connaissances déjà disponibles, et les compiler dans la base de données BE des rejets</v>
      </c>
      <c r="D64" s="65"/>
      <c r="E64" s="65" t="str">
        <f>VLOOKUP(B64,[1]ACTIONS!$A$49:$D$97,4,0)</f>
        <v>SEN</v>
      </c>
      <c r="F64" s="73">
        <f>VLOOKUP(B64,[1]Budget!$A$9:$H$105,8,0)</f>
        <v>0</v>
      </c>
      <c r="G64" s="64">
        <f>VLOOKUP($B64,'7. PGE_Efficacité'!$A$6:$AO$268,11,0)</f>
        <v>0</v>
      </c>
      <c r="H64" s="64">
        <f>VLOOKUP($B64,'7. PGE_Efficacité'!$A$6:$AO$268,12,0)</f>
        <v>0</v>
      </c>
      <c r="I64" s="64">
        <f>VLOOKUP($B64,'7. PGE_Efficacité'!$A$6:$AO$268,13,0)</f>
        <v>0</v>
      </c>
      <c r="J64" s="64">
        <f>VLOOKUP($B64,'7. PGE_Efficacité'!$A$6:$AO$268,14,0)</f>
        <v>0</v>
      </c>
      <c r="K64" s="64">
        <f>VLOOKUP($B64,'7. PGE_Efficacité'!$A$6:$AO$268,15,0)</f>
        <v>0</v>
      </c>
      <c r="L64" s="64">
        <f>VLOOKUP($B64,'7. PGE_Efficacité'!$A$6:$AO$268,16,0)</f>
        <v>0</v>
      </c>
      <c r="M64" s="64">
        <f>VLOOKUP($B64,'7. PGE_Efficacité'!$A$6:$AO$268,17,0)</f>
        <v>0</v>
      </c>
      <c r="N64" s="64">
        <f>VLOOKUP($B64,'7. PGE_Efficacité'!$A$6:$AO$268,18,0)</f>
        <v>0</v>
      </c>
      <c r="O64" s="64">
        <f>VLOOKUP($B64,'7. PGE_Efficacité'!$A$6:$AO$268,19,0)</f>
        <v>0</v>
      </c>
      <c r="P64" s="64">
        <f>VLOOKUP($B64,'7. PGE_Efficacité'!$A$6:$AO$268,20,0)</f>
        <v>0</v>
      </c>
      <c r="Q64" s="64">
        <f>VLOOKUP($B64,'7. PGE_Efficacité'!$A$6:$AO$268,21,0)</f>
        <v>0</v>
      </c>
      <c r="R64" s="64">
        <f>VLOOKUP($B64,'7. PGE_Efficacité'!$A$6:$AO$268,22,0)</f>
        <v>0</v>
      </c>
      <c r="S64" s="64">
        <f>VLOOKUP($B64,'7. PGE_Efficacité'!$A$6:$AO$268,23,0)</f>
        <v>0</v>
      </c>
      <c r="T64" s="64">
        <f>VLOOKUP($B64,'7. PGE_Efficacité'!$A$6:$AO$268,24,0)</f>
        <v>0</v>
      </c>
      <c r="U64" s="64">
        <f>VLOOKUP($B64,'7. PGE_Efficacité'!$A$6:$AO$268,25,0)</f>
        <v>0</v>
      </c>
      <c r="V64" s="64">
        <f>VLOOKUP($B64,'7. PGE_Efficacité'!$A$6:$AO$268,26,0)</f>
        <v>0</v>
      </c>
      <c r="W64" s="61">
        <f>VLOOKUP($B64,'7. PGE_Efficacité'!$A$6:$AO$268,27,0)</f>
        <v>0</v>
      </c>
      <c r="X64" s="61">
        <f>VLOOKUP($B64,'7. PGE_Efficacité'!$A$6:$AO$268,28,0)</f>
        <v>0</v>
      </c>
      <c r="Y64" s="61">
        <f>VLOOKUP($B64,'7. PGE_Efficacité'!$A$6:$AO$268,29,0)</f>
        <v>0</v>
      </c>
      <c r="Z64" s="61">
        <f>VLOOKUP($B64,'7. PGE_Efficacité'!$A$6:$AO$268,30,0)</f>
        <v>0</v>
      </c>
      <c r="AA64" s="61">
        <f>VLOOKUP($B64,'7. PGE_Efficacité'!$A$6:$AO$268,31,0)</f>
        <v>0</v>
      </c>
      <c r="AB64" s="61">
        <f>VLOOKUP($B64,'7. PGE_Efficacité'!$A$6:$AO$268,32,0)</f>
        <v>0</v>
      </c>
      <c r="AC64" s="61">
        <f>VLOOKUP($B64,'7. PGE_Efficacité'!$A$6:$AO$268,33,0)</f>
        <v>0</v>
      </c>
      <c r="AD64" s="61">
        <f>VLOOKUP($B64,'7. PGE_Efficacité'!$A$6:$AO$268,34,0)</f>
        <v>0</v>
      </c>
      <c r="AE64" s="61">
        <f>VLOOKUP($B64,'7. PGE_Efficacité'!$A$6:$AO$268,35,0)</f>
        <v>0</v>
      </c>
      <c r="AF64" s="61">
        <f>VLOOKUP($B64,'7. PGE_Efficacité'!$A$6:$AO$268,36,0)</f>
        <v>0</v>
      </c>
      <c r="AG64" s="61">
        <f>VLOOKUP($B64,'7. PGE_Efficacité'!$A$6:$AO$268,37,0)</f>
        <v>0</v>
      </c>
      <c r="AH64" s="61">
        <f>VLOOKUP($B64,'7. PGE_Efficacité'!$A$6:$AO$268,38,0)</f>
        <v>0</v>
      </c>
      <c r="AI64" s="61">
        <f>VLOOKUP($B64,'7. PGE_Efficacité'!$A$6:$AO$268,39,0)</f>
        <v>0</v>
      </c>
      <c r="AJ64" s="61">
        <f>VLOOKUP($B64,'7. PGE_Efficacité'!$A$6:$AO$268,40,0)</f>
        <v>0</v>
      </c>
      <c r="AK64" s="61">
        <f>VLOOKUP($B64,'7. PGE_Efficacité'!$A$6:$AO$268,41,0)</f>
        <v>0</v>
      </c>
    </row>
    <row r="65" spans="1:37" hidden="1" outlineLevel="2" x14ac:dyDescent="0.25">
      <c r="A65" t="s">
        <v>4</v>
      </c>
      <c r="B65" s="65" t="s">
        <v>804</v>
      </c>
      <c r="C65" s="65" t="str">
        <f>VLOOKUP(B65,[1]ACTIONS!$A$49:$B$97,2,0)</f>
        <v>Faire un relevé sur terrain des rejets vers le Verrewinkelbeek, notamment en s’aidant des connaissances déjà disponibles, et les compiler dans la base de données BE des rejets</v>
      </c>
      <c r="D65" s="65"/>
      <c r="E65" s="65" t="str">
        <f>VLOOKUP(B65,[1]ACTIONS!$A$49:$D$97,4,0)</f>
        <v>SEN</v>
      </c>
      <c r="F65" s="73">
        <f>VLOOKUP(B65,[1]Budget!$A$9:$H$105,8,0)</f>
        <v>0</v>
      </c>
      <c r="G65" s="64">
        <f>VLOOKUP($B65,'7. PGE_Efficacité'!$A$6:$AO$268,11,0)</f>
        <v>0</v>
      </c>
      <c r="H65" s="64">
        <f>VLOOKUP($B65,'7. PGE_Efficacité'!$A$6:$AO$268,12,0)</f>
        <v>0</v>
      </c>
      <c r="I65" s="64">
        <f>VLOOKUP($B65,'7. PGE_Efficacité'!$A$6:$AO$268,13,0)</f>
        <v>0</v>
      </c>
      <c r="J65" s="64">
        <f>VLOOKUP($B65,'7. PGE_Efficacité'!$A$6:$AO$268,14,0)</f>
        <v>0</v>
      </c>
      <c r="K65" s="64">
        <f>VLOOKUP($B65,'7. PGE_Efficacité'!$A$6:$AO$268,15,0)</f>
        <v>0</v>
      </c>
      <c r="L65" s="64">
        <f>VLOOKUP($B65,'7. PGE_Efficacité'!$A$6:$AO$268,16,0)</f>
        <v>0</v>
      </c>
      <c r="M65" s="64">
        <f>VLOOKUP($B65,'7. PGE_Efficacité'!$A$6:$AO$268,17,0)</f>
        <v>0</v>
      </c>
      <c r="N65" s="64">
        <f>VLOOKUP($B65,'7. PGE_Efficacité'!$A$6:$AO$268,18,0)</f>
        <v>0</v>
      </c>
      <c r="O65" s="64">
        <f>VLOOKUP($B65,'7. PGE_Efficacité'!$A$6:$AO$268,19,0)</f>
        <v>0</v>
      </c>
      <c r="P65" s="64">
        <f>VLOOKUP($B65,'7. PGE_Efficacité'!$A$6:$AO$268,20,0)</f>
        <v>0</v>
      </c>
      <c r="Q65" s="64">
        <f>VLOOKUP($B65,'7. PGE_Efficacité'!$A$6:$AO$268,21,0)</f>
        <v>0</v>
      </c>
      <c r="R65" s="64">
        <f>VLOOKUP($B65,'7. PGE_Efficacité'!$A$6:$AO$268,22,0)</f>
        <v>0</v>
      </c>
      <c r="S65" s="64">
        <f>VLOOKUP($B65,'7. PGE_Efficacité'!$A$6:$AO$268,23,0)</f>
        <v>0</v>
      </c>
      <c r="T65" s="64">
        <f>VLOOKUP($B65,'7. PGE_Efficacité'!$A$6:$AO$268,24,0)</f>
        <v>0</v>
      </c>
      <c r="U65" s="64">
        <f>VLOOKUP($B65,'7. PGE_Efficacité'!$A$6:$AO$268,25,0)</f>
        <v>0</v>
      </c>
      <c r="V65" s="64">
        <f>VLOOKUP($B65,'7. PGE_Efficacité'!$A$6:$AO$268,26,0)</f>
        <v>0</v>
      </c>
      <c r="W65" s="61">
        <f>VLOOKUP($B65,'7. PGE_Efficacité'!$A$6:$AO$268,27,0)</f>
        <v>0</v>
      </c>
      <c r="X65" s="61">
        <f>VLOOKUP($B65,'7. PGE_Efficacité'!$A$6:$AO$268,28,0)</f>
        <v>0</v>
      </c>
      <c r="Y65" s="61">
        <f>VLOOKUP($B65,'7. PGE_Efficacité'!$A$6:$AO$268,29,0)</f>
        <v>0</v>
      </c>
      <c r="Z65" s="61">
        <f>VLOOKUP($B65,'7. PGE_Efficacité'!$A$6:$AO$268,30,0)</f>
        <v>0</v>
      </c>
      <c r="AA65" s="61">
        <f>VLOOKUP($B65,'7. PGE_Efficacité'!$A$6:$AO$268,31,0)</f>
        <v>0</v>
      </c>
      <c r="AB65" s="61">
        <f>VLOOKUP($B65,'7. PGE_Efficacité'!$A$6:$AO$268,32,0)</f>
        <v>0</v>
      </c>
      <c r="AC65" s="61">
        <f>VLOOKUP($B65,'7. PGE_Efficacité'!$A$6:$AO$268,33,0)</f>
        <v>0</v>
      </c>
      <c r="AD65" s="61">
        <f>VLOOKUP($B65,'7. PGE_Efficacité'!$A$6:$AO$268,34,0)</f>
        <v>0</v>
      </c>
      <c r="AE65" s="61">
        <f>VLOOKUP($B65,'7. PGE_Efficacité'!$A$6:$AO$268,35,0)</f>
        <v>0</v>
      </c>
      <c r="AF65" s="61">
        <f>VLOOKUP($B65,'7. PGE_Efficacité'!$A$6:$AO$268,36,0)</f>
        <v>0</v>
      </c>
      <c r="AG65" s="61">
        <f>VLOOKUP($B65,'7. PGE_Efficacité'!$A$6:$AO$268,37,0)</f>
        <v>0</v>
      </c>
      <c r="AH65" s="61">
        <f>VLOOKUP($B65,'7. PGE_Efficacité'!$A$6:$AO$268,38,0)</f>
        <v>0</v>
      </c>
      <c r="AI65" s="61">
        <f>VLOOKUP($B65,'7. PGE_Efficacité'!$A$6:$AO$268,39,0)</f>
        <v>0</v>
      </c>
      <c r="AJ65" s="61">
        <f>VLOOKUP($B65,'7. PGE_Efficacité'!$A$6:$AO$268,40,0)</f>
        <v>0</v>
      </c>
      <c r="AK65" s="61">
        <f>VLOOKUP($B65,'7. PGE_Efficacité'!$A$6:$AO$268,41,0)</f>
        <v>0</v>
      </c>
    </row>
    <row r="66" spans="1:37" hidden="1" outlineLevel="2" x14ac:dyDescent="0.25">
      <c r="A66" t="s">
        <v>4</v>
      </c>
      <c r="B66" s="65" t="s">
        <v>805</v>
      </c>
      <c r="C66" s="65" t="str">
        <f>VLOOKUP(B66,[1]ACTIONS!$A$49:$B$97,2,0)</f>
        <v>Mise à jour du relevé sur terrain des rejets vers le Neerpedebeek, notamment en s’aidant des connaissances déjà disponibles, et les compiler dans la base de données BE des rejets</v>
      </c>
      <c r="D66" s="65"/>
      <c r="E66" s="65" t="str">
        <f>VLOOKUP(B66,[1]ACTIONS!$A$49:$D$97,4,0)</f>
        <v>SEN</v>
      </c>
      <c r="F66" s="73">
        <f>VLOOKUP(B66,[1]Budget!$A$9:$H$105,8,0)</f>
        <v>0</v>
      </c>
      <c r="G66" s="64">
        <f>VLOOKUP($B66,'7. PGE_Efficacité'!$A$6:$AO$268,11,0)</f>
        <v>0</v>
      </c>
      <c r="H66" s="64">
        <f>VLOOKUP($B66,'7. PGE_Efficacité'!$A$6:$AO$268,12,0)</f>
        <v>0</v>
      </c>
      <c r="I66" s="64">
        <f>VLOOKUP($B66,'7. PGE_Efficacité'!$A$6:$AO$268,13,0)</f>
        <v>0</v>
      </c>
      <c r="J66" s="64">
        <f>VLOOKUP($B66,'7. PGE_Efficacité'!$A$6:$AO$268,14,0)</f>
        <v>0</v>
      </c>
      <c r="K66" s="64">
        <f>VLOOKUP($B66,'7. PGE_Efficacité'!$A$6:$AO$268,15,0)</f>
        <v>0</v>
      </c>
      <c r="L66" s="64">
        <f>VLOOKUP($B66,'7. PGE_Efficacité'!$A$6:$AO$268,16,0)</f>
        <v>0</v>
      </c>
      <c r="M66" s="64">
        <f>VLOOKUP($B66,'7. PGE_Efficacité'!$A$6:$AO$268,17,0)</f>
        <v>0</v>
      </c>
      <c r="N66" s="64">
        <f>VLOOKUP($B66,'7. PGE_Efficacité'!$A$6:$AO$268,18,0)</f>
        <v>0</v>
      </c>
      <c r="O66" s="64">
        <f>VLOOKUP($B66,'7. PGE_Efficacité'!$A$6:$AO$268,19,0)</f>
        <v>0</v>
      </c>
      <c r="P66" s="64">
        <f>VLOOKUP($B66,'7. PGE_Efficacité'!$A$6:$AO$268,20,0)</f>
        <v>0</v>
      </c>
      <c r="Q66" s="64">
        <f>VLOOKUP($B66,'7. PGE_Efficacité'!$A$6:$AO$268,21,0)</f>
        <v>0</v>
      </c>
      <c r="R66" s="64">
        <f>VLOOKUP($B66,'7. PGE_Efficacité'!$A$6:$AO$268,22,0)</f>
        <v>0</v>
      </c>
      <c r="S66" s="64">
        <f>VLOOKUP($B66,'7. PGE_Efficacité'!$A$6:$AO$268,23,0)</f>
        <v>0</v>
      </c>
      <c r="T66" s="64">
        <f>VLOOKUP($B66,'7. PGE_Efficacité'!$A$6:$AO$268,24,0)</f>
        <v>0</v>
      </c>
      <c r="U66" s="64">
        <f>VLOOKUP($B66,'7. PGE_Efficacité'!$A$6:$AO$268,25,0)</f>
        <v>0</v>
      </c>
      <c r="V66" s="64">
        <f>VLOOKUP($B66,'7. PGE_Efficacité'!$A$6:$AO$268,26,0)</f>
        <v>0</v>
      </c>
      <c r="W66" s="61">
        <f>VLOOKUP($B66,'7. PGE_Efficacité'!$A$6:$AO$268,27,0)</f>
        <v>0</v>
      </c>
      <c r="X66" s="61">
        <f>VLOOKUP($B66,'7. PGE_Efficacité'!$A$6:$AO$268,28,0)</f>
        <v>0</v>
      </c>
      <c r="Y66" s="61">
        <f>VLOOKUP($B66,'7. PGE_Efficacité'!$A$6:$AO$268,29,0)</f>
        <v>0</v>
      </c>
      <c r="Z66" s="61">
        <f>VLOOKUP($B66,'7. PGE_Efficacité'!$A$6:$AO$268,30,0)</f>
        <v>0</v>
      </c>
      <c r="AA66" s="61">
        <f>VLOOKUP($B66,'7. PGE_Efficacité'!$A$6:$AO$268,31,0)</f>
        <v>0</v>
      </c>
      <c r="AB66" s="61">
        <f>VLOOKUP($B66,'7. PGE_Efficacité'!$A$6:$AO$268,32,0)</f>
        <v>0</v>
      </c>
      <c r="AC66" s="61">
        <f>VLOOKUP($B66,'7. PGE_Efficacité'!$A$6:$AO$268,33,0)</f>
        <v>0</v>
      </c>
      <c r="AD66" s="61">
        <f>VLOOKUP($B66,'7. PGE_Efficacité'!$A$6:$AO$268,34,0)</f>
        <v>0</v>
      </c>
      <c r="AE66" s="61">
        <f>VLOOKUP($B66,'7. PGE_Efficacité'!$A$6:$AO$268,35,0)</f>
        <v>0</v>
      </c>
      <c r="AF66" s="61">
        <f>VLOOKUP($B66,'7. PGE_Efficacité'!$A$6:$AO$268,36,0)</f>
        <v>0</v>
      </c>
      <c r="AG66" s="61">
        <f>VLOOKUP($B66,'7. PGE_Efficacité'!$A$6:$AO$268,37,0)</f>
        <v>0</v>
      </c>
      <c r="AH66" s="61">
        <f>VLOOKUP($B66,'7. PGE_Efficacité'!$A$6:$AO$268,38,0)</f>
        <v>0</v>
      </c>
      <c r="AI66" s="61">
        <f>VLOOKUP($B66,'7. PGE_Efficacité'!$A$6:$AO$268,39,0)</f>
        <v>0</v>
      </c>
      <c r="AJ66" s="61">
        <f>VLOOKUP($B66,'7. PGE_Efficacité'!$A$6:$AO$268,40,0)</f>
        <v>0</v>
      </c>
      <c r="AK66" s="61">
        <f>VLOOKUP($B66,'7. PGE_Efficacité'!$A$6:$AO$268,41,0)</f>
        <v>0</v>
      </c>
    </row>
    <row r="67" spans="1:37" hidden="1" outlineLevel="2" x14ac:dyDescent="0.25">
      <c r="A67" t="s">
        <v>4</v>
      </c>
      <c r="B67" s="65" t="s">
        <v>806</v>
      </c>
      <c r="C67" s="65" t="str">
        <f>VLOOKUP(B67,[1]ACTIONS!$A$49:$B$97,2,0)</f>
        <v>Réaliser une enquête, auprès des usagers de toutes les catégories de bateaux/navires empruntant le canal en RBC (l’ensemble des bateaux/navires permanents, et un échantillon représentatif pour les bateaux/navires de croisière et de fret de transit/au départ/à destination de la RBC et les plaisanciers), portant sur l’équipement technique des bateaux/navires (cuves, traitements, etc.), sur une estimation de la charge polluante des rejets (nbre d’EH pour les eaux grises/noires), sur les habitudes et besoins des usagers (lieux et conditions de rejets/vidanges des eaux usées domestiques grises/noires/de cale/de ballast, modalités d’entretien (peinture antifouling, étanchéification, anode sacrificielle, lubrification arbre à hélice)), et sur la localisation du rejet pour les bateaux/navires permanents, ainsi que sur un état de la situation concernant la législation d’application quant aux rejets et à l’entretien des bateaux/navires en RBC, sur un benchmarking des législations d’application dans les régions et pays proches (dont la Flandre et la Wallonie) et des infrastructures disponibles pour le traitement des rejets des bateaux/navires, et sur une estimation de l’ampleur des rejets sauvages dans le canal en RBC sur base des observations disponibles à la Capitainerie</v>
      </c>
      <c r="D67" s="65"/>
      <c r="E67" s="65" t="str">
        <f>VLOOKUP(B67,[1]ACTIONS!$A$49:$D$97,4,0)</f>
        <v>CAN</v>
      </c>
      <c r="F67" s="73"/>
      <c r="G67" s="64">
        <f>VLOOKUP($B67,'7. PGE_Efficacité'!$A$6:$AO$268,11,0)</f>
        <v>0</v>
      </c>
      <c r="H67" s="64">
        <f>VLOOKUP($B67,'7. PGE_Efficacité'!$A$6:$AO$268,12,0)</f>
        <v>0</v>
      </c>
      <c r="I67" s="64">
        <f>VLOOKUP($B67,'7. PGE_Efficacité'!$A$6:$AO$268,13,0)</f>
        <v>0</v>
      </c>
      <c r="J67" s="64">
        <f>VLOOKUP($B67,'7. PGE_Efficacité'!$A$6:$AO$268,14,0)</f>
        <v>0</v>
      </c>
      <c r="K67" s="64">
        <f>VLOOKUP($B67,'7. PGE_Efficacité'!$A$6:$AO$268,15,0)</f>
        <v>0</v>
      </c>
      <c r="L67" s="64">
        <f>VLOOKUP($B67,'7. PGE_Efficacité'!$A$6:$AO$268,16,0)</f>
        <v>0</v>
      </c>
      <c r="M67" s="64">
        <f>VLOOKUP($B67,'7. PGE_Efficacité'!$A$6:$AO$268,17,0)</f>
        <v>0</v>
      </c>
      <c r="N67" s="64">
        <f>VLOOKUP($B67,'7. PGE_Efficacité'!$A$6:$AO$268,18,0)</f>
        <v>0</v>
      </c>
      <c r="O67" s="64">
        <f>VLOOKUP($B67,'7. PGE_Efficacité'!$A$6:$AO$268,19,0)</f>
        <v>0</v>
      </c>
      <c r="P67" s="64">
        <f>VLOOKUP($B67,'7. PGE_Efficacité'!$A$6:$AO$268,20,0)</f>
        <v>0</v>
      </c>
      <c r="Q67" s="64">
        <f>VLOOKUP($B67,'7. PGE_Efficacité'!$A$6:$AO$268,21,0)</f>
        <v>0</v>
      </c>
      <c r="R67" s="64">
        <f>VLOOKUP($B67,'7. PGE_Efficacité'!$A$6:$AO$268,22,0)</f>
        <v>0</v>
      </c>
      <c r="S67" s="64">
        <f>VLOOKUP($B67,'7. PGE_Efficacité'!$A$6:$AO$268,23,0)</f>
        <v>0</v>
      </c>
      <c r="T67" s="64">
        <f>VLOOKUP($B67,'7. PGE_Efficacité'!$A$6:$AO$268,24,0)</f>
        <v>0</v>
      </c>
      <c r="U67" s="64">
        <f>VLOOKUP($B67,'7. PGE_Efficacité'!$A$6:$AO$268,25,0)</f>
        <v>0</v>
      </c>
      <c r="V67" s="64">
        <f>VLOOKUP($B67,'7. PGE_Efficacité'!$A$6:$AO$268,26,0)</f>
        <v>0</v>
      </c>
      <c r="W67" s="61">
        <f>VLOOKUP($B67,'7. PGE_Efficacité'!$A$6:$AO$268,27,0)</f>
        <v>0</v>
      </c>
      <c r="X67" s="61">
        <f>VLOOKUP($B67,'7. PGE_Efficacité'!$A$6:$AO$268,28,0)</f>
        <v>0</v>
      </c>
      <c r="Y67" s="61">
        <f>VLOOKUP($B67,'7. PGE_Efficacité'!$A$6:$AO$268,29,0)</f>
        <v>0</v>
      </c>
      <c r="Z67" s="61">
        <f>VLOOKUP($B67,'7. PGE_Efficacité'!$A$6:$AO$268,30,0)</f>
        <v>0</v>
      </c>
      <c r="AA67" s="61">
        <f>VLOOKUP($B67,'7. PGE_Efficacité'!$A$6:$AO$268,31,0)</f>
        <v>0</v>
      </c>
      <c r="AB67" s="61">
        <f>VLOOKUP($B67,'7. PGE_Efficacité'!$A$6:$AO$268,32,0)</f>
        <v>0</v>
      </c>
      <c r="AC67" s="61">
        <f>VLOOKUP($B67,'7. PGE_Efficacité'!$A$6:$AO$268,33,0)</f>
        <v>0</v>
      </c>
      <c r="AD67" s="61">
        <f>VLOOKUP($B67,'7. PGE_Efficacité'!$A$6:$AO$268,34,0)</f>
        <v>0</v>
      </c>
      <c r="AE67" s="61">
        <f>VLOOKUP($B67,'7. PGE_Efficacité'!$A$6:$AO$268,35,0)</f>
        <v>0</v>
      </c>
      <c r="AF67" s="61">
        <f>VLOOKUP($B67,'7. PGE_Efficacité'!$A$6:$AO$268,36,0)</f>
        <v>0</v>
      </c>
      <c r="AG67" s="61">
        <f>VLOOKUP($B67,'7. PGE_Efficacité'!$A$6:$AO$268,37,0)</f>
        <v>0</v>
      </c>
      <c r="AH67" s="61">
        <f>VLOOKUP($B67,'7. PGE_Efficacité'!$A$6:$AO$268,38,0)</f>
        <v>0</v>
      </c>
      <c r="AI67" s="61">
        <f>VLOOKUP($B67,'7. PGE_Efficacité'!$A$6:$AO$268,39,0)</f>
        <v>0</v>
      </c>
      <c r="AJ67" s="61">
        <f>VLOOKUP($B67,'7. PGE_Efficacité'!$A$6:$AO$268,40,0)</f>
        <v>0</v>
      </c>
      <c r="AK67" s="61">
        <f>VLOOKUP($B67,'7. PGE_Efficacité'!$A$6:$AO$268,41,0)</f>
        <v>0</v>
      </c>
    </row>
    <row r="68" spans="1:37" hidden="1" outlineLevel="2" x14ac:dyDescent="0.25">
      <c r="A68" t="s">
        <v>4</v>
      </c>
      <c r="B68" s="65" t="s">
        <v>807</v>
      </c>
      <c r="C68" s="65" t="str">
        <f>VLOOKUP(B68,[1]ACTIONS!$A$49:$B$97,2,0)</f>
        <v xml:space="preserve">Compiler les données des points de rejets des bateaux/navires permanents dans la base de données BE des rejets </v>
      </c>
      <c r="D68" s="65"/>
      <c r="E68" s="65" t="str">
        <f>VLOOKUP(B68,[1]ACTIONS!$A$49:$D$97,4,0)</f>
        <v>CAN</v>
      </c>
      <c r="F68" s="73">
        <f>VLOOKUP(B68,[1]Budget!$A$9:$H$105,8,0)</f>
        <v>0</v>
      </c>
      <c r="G68" s="64">
        <f>VLOOKUP($B68,'7. PGE_Efficacité'!$A$6:$AO$268,11,0)</f>
        <v>0</v>
      </c>
      <c r="H68" s="64">
        <f>VLOOKUP($B68,'7. PGE_Efficacité'!$A$6:$AO$268,12,0)</f>
        <v>0</v>
      </c>
      <c r="I68" s="64">
        <f>VLOOKUP($B68,'7. PGE_Efficacité'!$A$6:$AO$268,13,0)</f>
        <v>0</v>
      </c>
      <c r="J68" s="64">
        <f>VLOOKUP($B68,'7. PGE_Efficacité'!$A$6:$AO$268,14,0)</f>
        <v>0</v>
      </c>
      <c r="K68" s="64">
        <f>VLOOKUP($B68,'7. PGE_Efficacité'!$A$6:$AO$268,15,0)</f>
        <v>0</v>
      </c>
      <c r="L68" s="64">
        <f>VLOOKUP($B68,'7. PGE_Efficacité'!$A$6:$AO$268,16,0)</f>
        <v>0</v>
      </c>
      <c r="M68" s="64">
        <f>VLOOKUP($B68,'7. PGE_Efficacité'!$A$6:$AO$268,17,0)</f>
        <v>0</v>
      </c>
      <c r="N68" s="64">
        <f>VLOOKUP($B68,'7. PGE_Efficacité'!$A$6:$AO$268,18,0)</f>
        <v>0</v>
      </c>
      <c r="O68" s="64">
        <f>VLOOKUP($B68,'7. PGE_Efficacité'!$A$6:$AO$268,19,0)</f>
        <v>0</v>
      </c>
      <c r="P68" s="64">
        <f>VLOOKUP($B68,'7. PGE_Efficacité'!$A$6:$AO$268,20,0)</f>
        <v>0</v>
      </c>
      <c r="Q68" s="64">
        <f>VLOOKUP($B68,'7. PGE_Efficacité'!$A$6:$AO$268,21,0)</f>
        <v>0</v>
      </c>
      <c r="R68" s="64">
        <f>VLOOKUP($B68,'7. PGE_Efficacité'!$A$6:$AO$268,22,0)</f>
        <v>0</v>
      </c>
      <c r="S68" s="64">
        <f>VLOOKUP($B68,'7. PGE_Efficacité'!$A$6:$AO$268,23,0)</f>
        <v>0</v>
      </c>
      <c r="T68" s="64">
        <f>VLOOKUP($B68,'7. PGE_Efficacité'!$A$6:$AO$268,24,0)</f>
        <v>0</v>
      </c>
      <c r="U68" s="64">
        <f>VLOOKUP($B68,'7. PGE_Efficacité'!$A$6:$AO$268,25,0)</f>
        <v>0</v>
      </c>
      <c r="V68" s="64">
        <f>VLOOKUP($B68,'7. PGE_Efficacité'!$A$6:$AO$268,26,0)</f>
        <v>0</v>
      </c>
      <c r="W68" s="61">
        <f>VLOOKUP($B68,'7. PGE_Efficacité'!$A$6:$AO$268,27,0)</f>
        <v>0</v>
      </c>
      <c r="X68" s="61">
        <f>VLOOKUP($B68,'7. PGE_Efficacité'!$A$6:$AO$268,28,0)</f>
        <v>0</v>
      </c>
      <c r="Y68" s="61">
        <f>VLOOKUP($B68,'7. PGE_Efficacité'!$A$6:$AO$268,29,0)</f>
        <v>0</v>
      </c>
      <c r="Z68" s="61">
        <f>VLOOKUP($B68,'7. PGE_Efficacité'!$A$6:$AO$268,30,0)</f>
        <v>0</v>
      </c>
      <c r="AA68" s="61">
        <f>VLOOKUP($B68,'7. PGE_Efficacité'!$A$6:$AO$268,31,0)</f>
        <v>0</v>
      </c>
      <c r="AB68" s="61">
        <f>VLOOKUP($B68,'7. PGE_Efficacité'!$A$6:$AO$268,32,0)</f>
        <v>0</v>
      </c>
      <c r="AC68" s="61">
        <f>VLOOKUP($B68,'7. PGE_Efficacité'!$A$6:$AO$268,33,0)</f>
        <v>0</v>
      </c>
      <c r="AD68" s="61">
        <f>VLOOKUP($B68,'7. PGE_Efficacité'!$A$6:$AO$268,34,0)</f>
        <v>0</v>
      </c>
      <c r="AE68" s="61">
        <f>VLOOKUP($B68,'7. PGE_Efficacité'!$A$6:$AO$268,35,0)</f>
        <v>0</v>
      </c>
      <c r="AF68" s="61">
        <f>VLOOKUP($B68,'7. PGE_Efficacité'!$A$6:$AO$268,36,0)</f>
        <v>0</v>
      </c>
      <c r="AG68" s="61">
        <f>VLOOKUP($B68,'7. PGE_Efficacité'!$A$6:$AO$268,37,0)</f>
        <v>0</v>
      </c>
      <c r="AH68" s="61">
        <f>VLOOKUP($B68,'7. PGE_Efficacité'!$A$6:$AO$268,38,0)</f>
        <v>0</v>
      </c>
      <c r="AI68" s="61">
        <f>VLOOKUP($B68,'7. PGE_Efficacité'!$A$6:$AO$268,39,0)</f>
        <v>0</v>
      </c>
      <c r="AJ68" s="61">
        <f>VLOOKUP($B68,'7. PGE_Efficacité'!$A$6:$AO$268,40,0)</f>
        <v>0</v>
      </c>
      <c r="AK68" s="61">
        <f>VLOOKUP($B68,'7. PGE_Efficacité'!$A$6:$AO$268,41,0)</f>
        <v>0</v>
      </c>
    </row>
    <row r="69" spans="1:37" hidden="1" outlineLevel="2" x14ac:dyDescent="0.25">
      <c r="A69" t="s">
        <v>4</v>
      </c>
      <c r="B69" s="65" t="s">
        <v>808</v>
      </c>
      <c r="C69" s="65" t="str">
        <f>VLOOKUP(B69,[1]ACTIONS!$A$49:$B$97,2,0)</f>
        <v>Inventorier le réseau d'écoulement (égouts/réseau séparatif/rejets vers le Canal ou la Senne) sur les parcelles privées du domaine portuaire sur base des cartes existantes, d’études complémentaires lorsque c’est nécessaire, du réseau d’égouttage public fourni par VVQ, du réseau de collecteurs fourni par la SBGE et des données relatives aux permis d’environnement fournies par BE (Mesure conjointe à M1.5.9)</v>
      </c>
      <c r="D69" s="65"/>
      <c r="E69" s="65" t="str">
        <f>VLOOKUP(B69,[1]ACTIONS!$A$49:$D$97,4,0)</f>
        <v>CAN</v>
      </c>
      <c r="F69" s="73"/>
      <c r="G69" s="64">
        <f>VLOOKUP($B69,'7. PGE_Efficacité'!$A$6:$AO$268,11,0)</f>
        <v>0</v>
      </c>
      <c r="H69" s="64">
        <f>VLOOKUP($B69,'7. PGE_Efficacité'!$A$6:$AO$268,12,0)</f>
        <v>0</v>
      </c>
      <c r="I69" s="64">
        <f>VLOOKUP($B69,'7. PGE_Efficacité'!$A$6:$AO$268,13,0)</f>
        <v>0</v>
      </c>
      <c r="J69" s="64">
        <f>VLOOKUP($B69,'7. PGE_Efficacité'!$A$6:$AO$268,14,0)</f>
        <v>0</v>
      </c>
      <c r="K69" s="64">
        <f>VLOOKUP($B69,'7. PGE_Efficacité'!$A$6:$AO$268,15,0)</f>
        <v>0</v>
      </c>
      <c r="L69" s="64">
        <f>VLOOKUP($B69,'7. PGE_Efficacité'!$A$6:$AO$268,16,0)</f>
        <v>0</v>
      </c>
      <c r="M69" s="64">
        <f>VLOOKUP($B69,'7. PGE_Efficacité'!$A$6:$AO$268,17,0)</f>
        <v>0</v>
      </c>
      <c r="N69" s="64">
        <f>VLOOKUP($B69,'7. PGE_Efficacité'!$A$6:$AO$268,18,0)</f>
        <v>0</v>
      </c>
      <c r="O69" s="64">
        <f>VLOOKUP($B69,'7. PGE_Efficacité'!$A$6:$AO$268,19,0)</f>
        <v>0</v>
      </c>
      <c r="P69" s="64">
        <f>VLOOKUP($B69,'7. PGE_Efficacité'!$A$6:$AO$268,20,0)</f>
        <v>0</v>
      </c>
      <c r="Q69" s="64">
        <f>VLOOKUP($B69,'7. PGE_Efficacité'!$A$6:$AO$268,21,0)</f>
        <v>0</v>
      </c>
      <c r="R69" s="64">
        <f>VLOOKUP($B69,'7. PGE_Efficacité'!$A$6:$AO$268,22,0)</f>
        <v>0</v>
      </c>
      <c r="S69" s="64">
        <f>VLOOKUP($B69,'7. PGE_Efficacité'!$A$6:$AO$268,23,0)</f>
        <v>0</v>
      </c>
      <c r="T69" s="64">
        <f>VLOOKUP($B69,'7. PGE_Efficacité'!$A$6:$AO$268,24,0)</f>
        <v>0</v>
      </c>
      <c r="U69" s="64">
        <f>VLOOKUP($B69,'7. PGE_Efficacité'!$A$6:$AO$268,25,0)</f>
        <v>0</v>
      </c>
      <c r="V69" s="64">
        <f>VLOOKUP($B69,'7. PGE_Efficacité'!$A$6:$AO$268,26,0)</f>
        <v>0</v>
      </c>
      <c r="W69" s="61">
        <f>VLOOKUP($B69,'7. PGE_Efficacité'!$A$6:$AO$268,27,0)</f>
        <v>0</v>
      </c>
      <c r="X69" s="61">
        <f>VLOOKUP($B69,'7. PGE_Efficacité'!$A$6:$AO$268,28,0)</f>
        <v>0</v>
      </c>
      <c r="Y69" s="61">
        <f>VLOOKUP($B69,'7. PGE_Efficacité'!$A$6:$AO$268,29,0)</f>
        <v>0</v>
      </c>
      <c r="Z69" s="61">
        <f>VLOOKUP($B69,'7. PGE_Efficacité'!$A$6:$AO$268,30,0)</f>
        <v>0</v>
      </c>
      <c r="AA69" s="61">
        <f>VLOOKUP($B69,'7. PGE_Efficacité'!$A$6:$AO$268,31,0)</f>
        <v>0</v>
      </c>
      <c r="AB69" s="61">
        <f>VLOOKUP($B69,'7. PGE_Efficacité'!$A$6:$AO$268,32,0)</f>
        <v>0</v>
      </c>
      <c r="AC69" s="61">
        <f>VLOOKUP($B69,'7. PGE_Efficacité'!$A$6:$AO$268,33,0)</f>
        <v>0</v>
      </c>
      <c r="AD69" s="61">
        <f>VLOOKUP($B69,'7. PGE_Efficacité'!$A$6:$AO$268,34,0)</f>
        <v>0</v>
      </c>
      <c r="AE69" s="61">
        <f>VLOOKUP($B69,'7. PGE_Efficacité'!$A$6:$AO$268,35,0)</f>
        <v>0</v>
      </c>
      <c r="AF69" s="61">
        <f>VLOOKUP($B69,'7. PGE_Efficacité'!$A$6:$AO$268,36,0)</f>
        <v>0</v>
      </c>
      <c r="AG69" s="61">
        <f>VLOOKUP($B69,'7. PGE_Efficacité'!$A$6:$AO$268,37,0)</f>
        <v>0</v>
      </c>
      <c r="AH69" s="61">
        <f>VLOOKUP($B69,'7. PGE_Efficacité'!$A$6:$AO$268,38,0)</f>
        <v>0</v>
      </c>
      <c r="AI69" s="61">
        <f>VLOOKUP($B69,'7. PGE_Efficacité'!$A$6:$AO$268,39,0)</f>
        <v>0</v>
      </c>
      <c r="AJ69" s="61">
        <f>VLOOKUP($B69,'7. PGE_Efficacité'!$A$6:$AO$268,40,0)</f>
        <v>0</v>
      </c>
      <c r="AK69" s="61">
        <f>VLOOKUP($B69,'7. PGE_Efficacité'!$A$6:$AO$268,41,0)</f>
        <v>0</v>
      </c>
    </row>
    <row r="70" spans="1:37" hidden="1" outlineLevel="2" x14ac:dyDescent="0.25">
      <c r="A70" t="s">
        <v>4</v>
      </c>
      <c r="B70" s="65" t="s">
        <v>810</v>
      </c>
      <c r="C70" s="65" t="str">
        <f>VLOOKUP(B70,[1]ACTIONS!$A$49:$B$97,2,0)</f>
        <v xml:space="preserve">Compiler les données relatives au réseau d’écoulement des parcelles privées du domaine portuaire dans la base de données BE des rejets </v>
      </c>
      <c r="D70" s="65"/>
      <c r="E70" s="65" t="str">
        <f>VLOOKUP(B70,[1]ACTIONS!$A$49:$D$97,4,0)</f>
        <v>CAN</v>
      </c>
      <c r="F70" s="73">
        <f>VLOOKUP(B70,[1]Budget!$A$9:$H$105,8,0)</f>
        <v>0</v>
      </c>
      <c r="G70" s="64">
        <f>VLOOKUP($B70,'7. PGE_Efficacité'!$A$6:$AO$268,11,0)</f>
        <v>0</v>
      </c>
      <c r="H70" s="64">
        <f>VLOOKUP($B70,'7. PGE_Efficacité'!$A$6:$AO$268,12,0)</f>
        <v>0</v>
      </c>
      <c r="I70" s="64">
        <f>VLOOKUP($B70,'7. PGE_Efficacité'!$A$6:$AO$268,13,0)</f>
        <v>0</v>
      </c>
      <c r="J70" s="64">
        <f>VLOOKUP($B70,'7. PGE_Efficacité'!$A$6:$AO$268,14,0)</f>
        <v>0</v>
      </c>
      <c r="K70" s="64">
        <f>VLOOKUP($B70,'7. PGE_Efficacité'!$A$6:$AO$268,15,0)</f>
        <v>0</v>
      </c>
      <c r="L70" s="64">
        <f>VLOOKUP($B70,'7. PGE_Efficacité'!$A$6:$AO$268,16,0)</f>
        <v>0</v>
      </c>
      <c r="M70" s="64">
        <f>VLOOKUP($B70,'7. PGE_Efficacité'!$A$6:$AO$268,17,0)</f>
        <v>0</v>
      </c>
      <c r="N70" s="64">
        <f>VLOOKUP($B70,'7. PGE_Efficacité'!$A$6:$AO$268,18,0)</f>
        <v>0</v>
      </c>
      <c r="O70" s="64">
        <f>VLOOKUP($B70,'7. PGE_Efficacité'!$A$6:$AO$268,19,0)</f>
        <v>0</v>
      </c>
      <c r="P70" s="64">
        <f>VLOOKUP($B70,'7. PGE_Efficacité'!$A$6:$AO$268,20,0)</f>
        <v>0</v>
      </c>
      <c r="Q70" s="64">
        <f>VLOOKUP($B70,'7. PGE_Efficacité'!$A$6:$AO$268,21,0)</f>
        <v>0</v>
      </c>
      <c r="R70" s="64">
        <f>VLOOKUP($B70,'7. PGE_Efficacité'!$A$6:$AO$268,22,0)</f>
        <v>0</v>
      </c>
      <c r="S70" s="64">
        <f>VLOOKUP($B70,'7. PGE_Efficacité'!$A$6:$AO$268,23,0)</f>
        <v>0</v>
      </c>
      <c r="T70" s="64">
        <f>VLOOKUP($B70,'7. PGE_Efficacité'!$A$6:$AO$268,24,0)</f>
        <v>0</v>
      </c>
      <c r="U70" s="64">
        <f>VLOOKUP($B70,'7. PGE_Efficacité'!$A$6:$AO$268,25,0)</f>
        <v>0</v>
      </c>
      <c r="V70" s="64">
        <f>VLOOKUP($B70,'7. PGE_Efficacité'!$A$6:$AO$268,26,0)</f>
        <v>0</v>
      </c>
      <c r="W70" s="61">
        <f>VLOOKUP($B70,'7. PGE_Efficacité'!$A$6:$AO$268,27,0)</f>
        <v>0</v>
      </c>
      <c r="X70" s="61">
        <f>VLOOKUP($B70,'7. PGE_Efficacité'!$A$6:$AO$268,28,0)</f>
        <v>0</v>
      </c>
      <c r="Y70" s="61">
        <f>VLOOKUP($B70,'7. PGE_Efficacité'!$A$6:$AO$268,29,0)</f>
        <v>0</v>
      </c>
      <c r="Z70" s="61">
        <f>VLOOKUP($B70,'7. PGE_Efficacité'!$A$6:$AO$268,30,0)</f>
        <v>0</v>
      </c>
      <c r="AA70" s="61">
        <f>VLOOKUP($B70,'7. PGE_Efficacité'!$A$6:$AO$268,31,0)</f>
        <v>0</v>
      </c>
      <c r="AB70" s="61">
        <f>VLOOKUP($B70,'7. PGE_Efficacité'!$A$6:$AO$268,32,0)</f>
        <v>0</v>
      </c>
      <c r="AC70" s="61">
        <f>VLOOKUP($B70,'7. PGE_Efficacité'!$A$6:$AO$268,33,0)</f>
        <v>0</v>
      </c>
      <c r="AD70" s="61">
        <f>VLOOKUP($B70,'7. PGE_Efficacité'!$A$6:$AO$268,34,0)</f>
        <v>0</v>
      </c>
      <c r="AE70" s="61">
        <f>VLOOKUP($B70,'7. PGE_Efficacité'!$A$6:$AO$268,35,0)</f>
        <v>0</v>
      </c>
      <c r="AF70" s="61">
        <f>VLOOKUP($B70,'7. PGE_Efficacité'!$A$6:$AO$268,36,0)</f>
        <v>0</v>
      </c>
      <c r="AG70" s="61">
        <f>VLOOKUP($B70,'7. PGE_Efficacité'!$A$6:$AO$268,37,0)</f>
        <v>0</v>
      </c>
      <c r="AH70" s="61">
        <f>VLOOKUP($B70,'7. PGE_Efficacité'!$A$6:$AO$268,38,0)</f>
        <v>0</v>
      </c>
      <c r="AI70" s="61">
        <f>VLOOKUP($B70,'7. PGE_Efficacité'!$A$6:$AO$268,39,0)</f>
        <v>0</v>
      </c>
      <c r="AJ70" s="61">
        <f>VLOOKUP($B70,'7. PGE_Efficacité'!$A$6:$AO$268,40,0)</f>
        <v>0</v>
      </c>
      <c r="AK70" s="61">
        <f>VLOOKUP($B70,'7. PGE_Efficacité'!$A$6:$AO$268,41,0)</f>
        <v>0</v>
      </c>
    </row>
    <row r="71" spans="1:37" hidden="1" outlineLevel="2" x14ac:dyDescent="0.25">
      <c r="A71" t="s">
        <v>4</v>
      </c>
      <c r="B71" s="65" t="s">
        <v>811</v>
      </c>
      <c r="C71" s="65" t="str">
        <f>VLOOKUP(B71,[1]ACTIONS!$A$49:$B$97,2,0)</f>
        <v>Compiler les données du Port relatives aux autorisations de rejet dans le Canal dans la base de données BE des rejets</v>
      </c>
      <c r="D71" s="65"/>
      <c r="E71" s="65" t="str">
        <f>VLOOKUP(B71,[1]ACTIONS!$A$49:$D$97,4,0)</f>
        <v>CAN</v>
      </c>
      <c r="F71" s="73">
        <f>VLOOKUP(B71,[1]Budget!$A$9:$H$105,8,0)</f>
        <v>0</v>
      </c>
      <c r="G71" s="64">
        <f>VLOOKUP($B71,'7. PGE_Efficacité'!$A$6:$AO$268,11,0)</f>
        <v>0</v>
      </c>
      <c r="H71" s="64">
        <f>VLOOKUP($B71,'7. PGE_Efficacité'!$A$6:$AO$268,12,0)</f>
        <v>0</v>
      </c>
      <c r="I71" s="64">
        <f>VLOOKUP($B71,'7. PGE_Efficacité'!$A$6:$AO$268,13,0)</f>
        <v>0</v>
      </c>
      <c r="J71" s="64">
        <f>VLOOKUP($B71,'7. PGE_Efficacité'!$A$6:$AO$268,14,0)</f>
        <v>0</v>
      </c>
      <c r="K71" s="64">
        <f>VLOOKUP($B71,'7. PGE_Efficacité'!$A$6:$AO$268,15,0)</f>
        <v>0</v>
      </c>
      <c r="L71" s="64">
        <f>VLOOKUP($B71,'7. PGE_Efficacité'!$A$6:$AO$268,16,0)</f>
        <v>0</v>
      </c>
      <c r="M71" s="64">
        <f>VLOOKUP($B71,'7. PGE_Efficacité'!$A$6:$AO$268,17,0)</f>
        <v>0</v>
      </c>
      <c r="N71" s="64">
        <f>VLOOKUP($B71,'7. PGE_Efficacité'!$A$6:$AO$268,18,0)</f>
        <v>0</v>
      </c>
      <c r="O71" s="64">
        <f>VLOOKUP($B71,'7. PGE_Efficacité'!$A$6:$AO$268,19,0)</f>
        <v>0</v>
      </c>
      <c r="P71" s="64">
        <f>VLOOKUP($B71,'7. PGE_Efficacité'!$A$6:$AO$268,20,0)</f>
        <v>0</v>
      </c>
      <c r="Q71" s="64">
        <f>VLOOKUP($B71,'7. PGE_Efficacité'!$A$6:$AO$268,21,0)</f>
        <v>0</v>
      </c>
      <c r="R71" s="64">
        <f>VLOOKUP($B71,'7. PGE_Efficacité'!$A$6:$AO$268,22,0)</f>
        <v>0</v>
      </c>
      <c r="S71" s="64">
        <f>VLOOKUP($B71,'7. PGE_Efficacité'!$A$6:$AO$268,23,0)</f>
        <v>0</v>
      </c>
      <c r="T71" s="64">
        <f>VLOOKUP($B71,'7. PGE_Efficacité'!$A$6:$AO$268,24,0)</f>
        <v>0</v>
      </c>
      <c r="U71" s="64">
        <f>VLOOKUP($B71,'7. PGE_Efficacité'!$A$6:$AO$268,25,0)</f>
        <v>0</v>
      </c>
      <c r="V71" s="64">
        <f>VLOOKUP($B71,'7. PGE_Efficacité'!$A$6:$AO$268,26,0)</f>
        <v>0</v>
      </c>
      <c r="W71" s="61">
        <f>VLOOKUP($B71,'7. PGE_Efficacité'!$A$6:$AO$268,27,0)</f>
        <v>0</v>
      </c>
      <c r="X71" s="61">
        <f>VLOOKUP($B71,'7. PGE_Efficacité'!$A$6:$AO$268,28,0)</f>
        <v>0</v>
      </c>
      <c r="Y71" s="61">
        <f>VLOOKUP($B71,'7. PGE_Efficacité'!$A$6:$AO$268,29,0)</f>
        <v>0</v>
      </c>
      <c r="Z71" s="61">
        <f>VLOOKUP($B71,'7. PGE_Efficacité'!$A$6:$AO$268,30,0)</f>
        <v>0</v>
      </c>
      <c r="AA71" s="61">
        <f>VLOOKUP($B71,'7. PGE_Efficacité'!$A$6:$AO$268,31,0)</f>
        <v>0</v>
      </c>
      <c r="AB71" s="61">
        <f>VLOOKUP($B71,'7. PGE_Efficacité'!$A$6:$AO$268,32,0)</f>
        <v>0</v>
      </c>
      <c r="AC71" s="61">
        <f>VLOOKUP($B71,'7. PGE_Efficacité'!$A$6:$AO$268,33,0)</f>
        <v>0</v>
      </c>
      <c r="AD71" s="61">
        <f>VLOOKUP($B71,'7. PGE_Efficacité'!$A$6:$AO$268,34,0)</f>
        <v>0</v>
      </c>
      <c r="AE71" s="61">
        <f>VLOOKUP($B71,'7. PGE_Efficacité'!$A$6:$AO$268,35,0)</f>
        <v>0</v>
      </c>
      <c r="AF71" s="61">
        <f>VLOOKUP($B71,'7. PGE_Efficacité'!$A$6:$AO$268,36,0)</f>
        <v>0</v>
      </c>
      <c r="AG71" s="61">
        <f>VLOOKUP($B71,'7. PGE_Efficacité'!$A$6:$AO$268,37,0)</f>
        <v>0</v>
      </c>
      <c r="AH71" s="61">
        <f>VLOOKUP($B71,'7. PGE_Efficacité'!$A$6:$AO$268,38,0)</f>
        <v>0</v>
      </c>
      <c r="AI71" s="61">
        <f>VLOOKUP($B71,'7. PGE_Efficacité'!$A$6:$AO$268,39,0)</f>
        <v>0</v>
      </c>
      <c r="AJ71" s="61">
        <f>VLOOKUP($B71,'7. PGE_Efficacité'!$A$6:$AO$268,40,0)</f>
        <v>0</v>
      </c>
      <c r="AK71" s="61">
        <f>VLOOKUP($B71,'7. PGE_Efficacité'!$A$6:$AO$268,41,0)</f>
        <v>0</v>
      </c>
    </row>
    <row r="72" spans="1:37" hidden="1" outlineLevel="2" x14ac:dyDescent="0.25">
      <c r="A72" t="s">
        <v>4</v>
      </c>
      <c r="B72" s="65" t="s">
        <v>812</v>
      </c>
      <c r="C72" s="65" t="str">
        <f>VLOOKUP(B72,[1]ACTIONS!$A$49:$B$97,2,0)</f>
        <v>Faire un relevé sur terrain des rejets vers la Woluwe et les étangs de la Woluwe (y compris l’égout qui déborderait ponctuellement au Parc des Sources), notamment en s’aidant des connaissances déjà disponibles, et les compiler dans la base de données BE des rejets</v>
      </c>
      <c r="D72" s="65"/>
      <c r="E72" s="65" t="str">
        <f>VLOOKUP(B72,[1]ACTIONS!$A$49:$D$97,4,0)</f>
        <v>WOL</v>
      </c>
      <c r="F72" s="73">
        <f>VLOOKUP(B72,[1]Budget!$A$9:$H$105,8,0)</f>
        <v>0</v>
      </c>
      <c r="G72" s="64">
        <f>VLOOKUP($B72,'7. PGE_Efficacité'!$A$6:$AO$268,11,0)</f>
        <v>0</v>
      </c>
      <c r="H72" s="64">
        <f>VLOOKUP($B72,'7. PGE_Efficacité'!$A$6:$AO$268,12,0)</f>
        <v>0</v>
      </c>
      <c r="I72" s="64">
        <f>VLOOKUP($B72,'7. PGE_Efficacité'!$A$6:$AO$268,13,0)</f>
        <v>0</v>
      </c>
      <c r="J72" s="64">
        <f>VLOOKUP($B72,'7. PGE_Efficacité'!$A$6:$AO$268,14,0)</f>
        <v>0</v>
      </c>
      <c r="K72" s="64">
        <f>VLOOKUP($B72,'7. PGE_Efficacité'!$A$6:$AO$268,15,0)</f>
        <v>0</v>
      </c>
      <c r="L72" s="64">
        <f>VLOOKUP($B72,'7. PGE_Efficacité'!$A$6:$AO$268,16,0)</f>
        <v>0</v>
      </c>
      <c r="M72" s="64">
        <f>VLOOKUP($B72,'7. PGE_Efficacité'!$A$6:$AO$268,17,0)</f>
        <v>0</v>
      </c>
      <c r="N72" s="64">
        <f>VLOOKUP($B72,'7. PGE_Efficacité'!$A$6:$AO$268,18,0)</f>
        <v>0</v>
      </c>
      <c r="O72" s="64">
        <f>VLOOKUP($B72,'7. PGE_Efficacité'!$A$6:$AO$268,19,0)</f>
        <v>0</v>
      </c>
      <c r="P72" s="64">
        <f>VLOOKUP($B72,'7. PGE_Efficacité'!$A$6:$AO$268,20,0)</f>
        <v>0</v>
      </c>
      <c r="Q72" s="64">
        <f>VLOOKUP($B72,'7. PGE_Efficacité'!$A$6:$AO$268,21,0)</f>
        <v>0</v>
      </c>
      <c r="R72" s="64">
        <f>VLOOKUP($B72,'7. PGE_Efficacité'!$A$6:$AO$268,22,0)</f>
        <v>0</v>
      </c>
      <c r="S72" s="64">
        <f>VLOOKUP($B72,'7. PGE_Efficacité'!$A$6:$AO$268,23,0)</f>
        <v>0</v>
      </c>
      <c r="T72" s="64">
        <f>VLOOKUP($B72,'7. PGE_Efficacité'!$A$6:$AO$268,24,0)</f>
        <v>0</v>
      </c>
      <c r="U72" s="64">
        <f>VLOOKUP($B72,'7. PGE_Efficacité'!$A$6:$AO$268,25,0)</f>
        <v>0</v>
      </c>
      <c r="V72" s="64">
        <f>VLOOKUP($B72,'7. PGE_Efficacité'!$A$6:$AO$268,26,0)</f>
        <v>0</v>
      </c>
      <c r="W72" s="61">
        <f>VLOOKUP($B72,'7. PGE_Efficacité'!$A$6:$AO$268,27,0)</f>
        <v>0</v>
      </c>
      <c r="X72" s="61">
        <f>VLOOKUP($B72,'7. PGE_Efficacité'!$A$6:$AO$268,28,0)</f>
        <v>0</v>
      </c>
      <c r="Y72" s="61">
        <f>VLOOKUP($B72,'7. PGE_Efficacité'!$A$6:$AO$268,29,0)</f>
        <v>0</v>
      </c>
      <c r="Z72" s="61">
        <f>VLOOKUP($B72,'7. PGE_Efficacité'!$A$6:$AO$268,30,0)</f>
        <v>0</v>
      </c>
      <c r="AA72" s="61">
        <f>VLOOKUP($B72,'7. PGE_Efficacité'!$A$6:$AO$268,31,0)</f>
        <v>0</v>
      </c>
      <c r="AB72" s="61">
        <f>VLOOKUP($B72,'7. PGE_Efficacité'!$A$6:$AO$268,32,0)</f>
        <v>0</v>
      </c>
      <c r="AC72" s="61">
        <f>VLOOKUP($B72,'7. PGE_Efficacité'!$A$6:$AO$268,33,0)</f>
        <v>0</v>
      </c>
      <c r="AD72" s="61">
        <f>VLOOKUP($B72,'7. PGE_Efficacité'!$A$6:$AO$268,34,0)</f>
        <v>0</v>
      </c>
      <c r="AE72" s="61">
        <f>VLOOKUP($B72,'7. PGE_Efficacité'!$A$6:$AO$268,35,0)</f>
        <v>0</v>
      </c>
      <c r="AF72" s="61">
        <f>VLOOKUP($B72,'7. PGE_Efficacité'!$A$6:$AO$268,36,0)</f>
        <v>0</v>
      </c>
      <c r="AG72" s="61">
        <f>VLOOKUP($B72,'7. PGE_Efficacité'!$A$6:$AO$268,37,0)</f>
        <v>0</v>
      </c>
      <c r="AH72" s="61">
        <f>VLOOKUP($B72,'7. PGE_Efficacité'!$A$6:$AO$268,38,0)</f>
        <v>0</v>
      </c>
      <c r="AI72" s="61">
        <f>VLOOKUP($B72,'7. PGE_Efficacité'!$A$6:$AO$268,39,0)</f>
        <v>0</v>
      </c>
      <c r="AJ72" s="61">
        <f>VLOOKUP($B72,'7. PGE_Efficacité'!$A$6:$AO$268,40,0)</f>
        <v>0</v>
      </c>
      <c r="AK72" s="61">
        <f>VLOOKUP($B72,'7. PGE_Efficacité'!$A$6:$AO$268,41,0)</f>
        <v>0</v>
      </c>
    </row>
    <row r="73" spans="1:37" hidden="1" outlineLevel="2" x14ac:dyDescent="0.25">
      <c r="A73" t="s">
        <v>4</v>
      </c>
      <c r="B73" s="65" t="s">
        <v>813</v>
      </c>
      <c r="C73" s="65" t="str">
        <f>VLOOKUP(B73,[1]ACTIONS!$A$49:$B$97,2,0)</f>
        <v>Finir les investigations des sources des rejets vers le Zwanewijdebeek qui ont été relevés sur terrain et les compiler dans la base de données BE des rejets</v>
      </c>
      <c r="D73" s="65"/>
      <c r="E73" s="65" t="str">
        <f>VLOOKUP(B73,[1]ACTIONS!$A$49:$D$97,4,0)</f>
        <v>WOL</v>
      </c>
      <c r="F73" s="73">
        <f>VLOOKUP(B73,[1]Budget!$A$9:$H$105,8,0)</f>
        <v>0</v>
      </c>
      <c r="G73" s="64">
        <f>VLOOKUP($B73,'7. PGE_Efficacité'!$A$6:$AO$268,11,0)</f>
        <v>0</v>
      </c>
      <c r="H73" s="64">
        <f>VLOOKUP($B73,'7. PGE_Efficacité'!$A$6:$AO$268,12,0)</f>
        <v>0</v>
      </c>
      <c r="I73" s="64">
        <f>VLOOKUP($B73,'7. PGE_Efficacité'!$A$6:$AO$268,13,0)</f>
        <v>0</v>
      </c>
      <c r="J73" s="64">
        <f>VLOOKUP($B73,'7. PGE_Efficacité'!$A$6:$AO$268,14,0)</f>
        <v>0</v>
      </c>
      <c r="K73" s="64">
        <f>VLOOKUP($B73,'7. PGE_Efficacité'!$A$6:$AO$268,15,0)</f>
        <v>0</v>
      </c>
      <c r="L73" s="64">
        <f>VLOOKUP($B73,'7. PGE_Efficacité'!$A$6:$AO$268,16,0)</f>
        <v>0</v>
      </c>
      <c r="M73" s="64">
        <f>VLOOKUP($B73,'7. PGE_Efficacité'!$A$6:$AO$268,17,0)</f>
        <v>0</v>
      </c>
      <c r="N73" s="64">
        <f>VLOOKUP($B73,'7. PGE_Efficacité'!$A$6:$AO$268,18,0)</f>
        <v>0</v>
      </c>
      <c r="O73" s="64">
        <f>VLOOKUP($B73,'7. PGE_Efficacité'!$A$6:$AO$268,19,0)</f>
        <v>0</v>
      </c>
      <c r="P73" s="64">
        <f>VLOOKUP($B73,'7. PGE_Efficacité'!$A$6:$AO$268,20,0)</f>
        <v>0</v>
      </c>
      <c r="Q73" s="64">
        <f>VLOOKUP($B73,'7. PGE_Efficacité'!$A$6:$AO$268,21,0)</f>
        <v>0</v>
      </c>
      <c r="R73" s="64">
        <f>VLOOKUP($B73,'7. PGE_Efficacité'!$A$6:$AO$268,22,0)</f>
        <v>0</v>
      </c>
      <c r="S73" s="64">
        <f>VLOOKUP($B73,'7. PGE_Efficacité'!$A$6:$AO$268,23,0)</f>
        <v>0</v>
      </c>
      <c r="T73" s="64">
        <f>VLOOKUP($B73,'7. PGE_Efficacité'!$A$6:$AO$268,24,0)</f>
        <v>0</v>
      </c>
      <c r="U73" s="64">
        <f>VLOOKUP($B73,'7. PGE_Efficacité'!$A$6:$AO$268,25,0)</f>
        <v>0</v>
      </c>
      <c r="V73" s="64">
        <f>VLOOKUP($B73,'7. PGE_Efficacité'!$A$6:$AO$268,26,0)</f>
        <v>0</v>
      </c>
      <c r="W73" s="61">
        <f>VLOOKUP($B73,'7. PGE_Efficacité'!$A$6:$AO$268,27,0)</f>
        <v>0</v>
      </c>
      <c r="X73" s="61">
        <f>VLOOKUP($B73,'7. PGE_Efficacité'!$A$6:$AO$268,28,0)</f>
        <v>0</v>
      </c>
      <c r="Y73" s="61">
        <f>VLOOKUP($B73,'7. PGE_Efficacité'!$A$6:$AO$268,29,0)</f>
        <v>0</v>
      </c>
      <c r="Z73" s="61">
        <f>VLOOKUP($B73,'7. PGE_Efficacité'!$A$6:$AO$268,30,0)</f>
        <v>0</v>
      </c>
      <c r="AA73" s="61">
        <f>VLOOKUP($B73,'7. PGE_Efficacité'!$A$6:$AO$268,31,0)</f>
        <v>0</v>
      </c>
      <c r="AB73" s="61">
        <f>VLOOKUP($B73,'7. PGE_Efficacité'!$A$6:$AO$268,32,0)</f>
        <v>0</v>
      </c>
      <c r="AC73" s="61">
        <f>VLOOKUP($B73,'7. PGE_Efficacité'!$A$6:$AO$268,33,0)</f>
        <v>0</v>
      </c>
      <c r="AD73" s="61">
        <f>VLOOKUP($B73,'7. PGE_Efficacité'!$A$6:$AO$268,34,0)</f>
        <v>0</v>
      </c>
      <c r="AE73" s="61">
        <f>VLOOKUP($B73,'7. PGE_Efficacité'!$A$6:$AO$268,35,0)</f>
        <v>0</v>
      </c>
      <c r="AF73" s="61">
        <f>VLOOKUP($B73,'7. PGE_Efficacité'!$A$6:$AO$268,36,0)</f>
        <v>0</v>
      </c>
      <c r="AG73" s="61">
        <f>VLOOKUP($B73,'7. PGE_Efficacité'!$A$6:$AO$268,37,0)</f>
        <v>0</v>
      </c>
      <c r="AH73" s="61">
        <f>VLOOKUP($B73,'7. PGE_Efficacité'!$A$6:$AO$268,38,0)</f>
        <v>0</v>
      </c>
      <c r="AI73" s="61">
        <f>VLOOKUP($B73,'7. PGE_Efficacité'!$A$6:$AO$268,39,0)</f>
        <v>0</v>
      </c>
      <c r="AJ73" s="61">
        <f>VLOOKUP($B73,'7. PGE_Efficacité'!$A$6:$AO$268,40,0)</f>
        <v>0</v>
      </c>
      <c r="AK73" s="61">
        <f>VLOOKUP($B73,'7. PGE_Efficacité'!$A$6:$AO$268,41,0)</f>
        <v>0</v>
      </c>
    </row>
    <row r="74" spans="1:37" ht="39" collapsed="1" x14ac:dyDescent="0.25">
      <c r="A74" s="157" t="s">
        <v>7</v>
      </c>
      <c r="B74" s="63"/>
      <c r="C74" s="156" t="s">
        <v>231</v>
      </c>
      <c r="D74" s="63"/>
      <c r="E74" s="63"/>
      <c r="F74" s="72">
        <f>SUM(F75:F83)</f>
        <v>2240000</v>
      </c>
      <c r="G74" s="178" t="str">
        <f>VLOOKUP($A74,'7. PGE_Efficacité'!$A$6:$AO$268,11,0)</f>
        <v>++</v>
      </c>
      <c r="H74" s="178" t="str">
        <f>VLOOKUP($A74,'7. PGE_Efficacité'!$A$6:$AO$268,12,0)</f>
        <v>++</v>
      </c>
      <c r="I74" s="178" t="str">
        <f>VLOOKUP($A74,'7. PGE_Efficacité'!$A$6:$AO$268,13,0)</f>
        <v>++</v>
      </c>
      <c r="J74" s="178" t="str">
        <f>VLOOKUP($A74,'7. PGE_Efficacité'!$A$6:$AO$268,14,0)</f>
        <v>++</v>
      </c>
      <c r="K74" s="178" t="str">
        <f>VLOOKUP($A74,'7. PGE_Efficacité'!$A$6:$AO$268,15,0)</f>
        <v>++</v>
      </c>
      <c r="L74" s="178" t="str">
        <f>VLOOKUP($A74,'7. PGE_Efficacité'!$A$6:$AO$268,16,0)</f>
        <v>++</v>
      </c>
      <c r="M74" s="178" t="str">
        <f>VLOOKUP($A74,'7. PGE_Efficacité'!$A$6:$AO$268,17,0)</f>
        <v>+++</v>
      </c>
      <c r="N74" s="178" t="str">
        <f>VLOOKUP($A74,'7. PGE_Efficacité'!$A$6:$AO$268,18,0)</f>
        <v>++</v>
      </c>
      <c r="O74" s="178" t="str">
        <f>VLOOKUP($A74,'7. PGE_Efficacité'!$A$6:$AO$268,19,0)</f>
        <v>+</v>
      </c>
      <c r="P74" s="178" t="str">
        <f>VLOOKUP($A74,'7. PGE_Efficacité'!$A$6:$AO$268,20,0)</f>
        <v>+</v>
      </c>
      <c r="Q74" s="178" t="str">
        <f>VLOOKUP($A74,'7. PGE_Efficacité'!$A$6:$AO$268,21,0)</f>
        <v>+</v>
      </c>
      <c r="R74" s="178">
        <f>VLOOKUP($A74,'7. PGE_Efficacité'!$A$6:$AO$268,22,0)</f>
        <v>0</v>
      </c>
      <c r="S74" s="178" t="str">
        <f>VLOOKUP($A74,'7. PGE_Efficacité'!$A$6:$AO$268,23,0)</f>
        <v>+</v>
      </c>
      <c r="T74" s="178" t="str">
        <f>VLOOKUP($A74,'7. PGE_Efficacité'!$A$6:$AO$268,24,0)</f>
        <v>++</v>
      </c>
      <c r="U74" s="178" t="str">
        <f>VLOOKUP($A74,'7. PGE_Efficacité'!$A$6:$AO$268,25,0)</f>
        <v>+</v>
      </c>
      <c r="V74" s="178" t="str">
        <f>VLOOKUP($A74,'7. PGE_Efficacité'!$A$6:$AO$268,26,0)</f>
        <v>++</v>
      </c>
      <c r="W74" s="179" t="str">
        <f>VLOOKUP($A74,'7. PGE_Efficacité'!$A$6:$AO$268,27,0)</f>
        <v>+++</v>
      </c>
      <c r="X74" s="179" t="str">
        <f>VLOOKUP($A74,'7. PGE_Efficacité'!$A$6:$AO$268,28,0)</f>
        <v>+++</v>
      </c>
      <c r="Y74" s="179" t="str">
        <f>VLOOKUP($A74,'7. PGE_Efficacité'!$A$6:$AO$268,29,0)</f>
        <v>+++</v>
      </c>
      <c r="Z74" s="179" t="str">
        <f>VLOOKUP($A74,'7. PGE_Efficacité'!$A$6:$AO$268,30,0)</f>
        <v>+++</v>
      </c>
      <c r="AA74" s="179" t="str">
        <f>VLOOKUP($A74,'7. PGE_Efficacité'!$A$6:$AO$268,31,0)</f>
        <v>+++</v>
      </c>
      <c r="AB74" s="179" t="str">
        <f>VLOOKUP($A74,'7. PGE_Efficacité'!$A$6:$AO$268,32,0)</f>
        <v>+++</v>
      </c>
      <c r="AC74" s="179" t="str">
        <f>VLOOKUP($A74,'7. PGE_Efficacité'!$A$6:$AO$268,33,0)</f>
        <v>+++</v>
      </c>
      <c r="AD74" s="179">
        <f>VLOOKUP($A74,'7. PGE_Efficacité'!$A$6:$AO$268,34,0)</f>
        <v>0</v>
      </c>
      <c r="AE74" s="179">
        <f>VLOOKUP($A74,'7. PGE_Efficacité'!$A$6:$AO$268,35,0)</f>
        <v>0</v>
      </c>
      <c r="AF74" s="179">
        <f>VLOOKUP($A74,'7. PGE_Efficacité'!$A$6:$AO$268,36,0)</f>
        <v>0</v>
      </c>
      <c r="AG74" s="179">
        <f>VLOOKUP($A74,'7. PGE_Efficacité'!$A$6:$AO$268,37,0)</f>
        <v>0</v>
      </c>
      <c r="AH74" s="179" t="str">
        <f>VLOOKUP($A74,'7. PGE_Efficacité'!$A$6:$AO$268,38,0)</f>
        <v>++++</v>
      </c>
      <c r="AI74" s="179" t="str">
        <f>VLOOKUP($A74,'7. PGE_Efficacité'!$A$6:$AO$268,39,0)</f>
        <v>++++</v>
      </c>
      <c r="AJ74" s="179" t="str">
        <f>VLOOKUP($A74,'7. PGE_Efficacité'!$A$6:$AO$268,40,0)</f>
        <v>++++</v>
      </c>
      <c r="AK74" s="179" t="str">
        <f>VLOOKUP($A74,'7. PGE_Efficacité'!$A$6:$AO$268,41,0)</f>
        <v>++++</v>
      </c>
    </row>
    <row r="75" spans="1:37" hidden="1" outlineLevel="1" x14ac:dyDescent="0.25">
      <c r="A75" s="65" t="s">
        <v>7</v>
      </c>
      <c r="B75" s="65" t="s">
        <v>834</v>
      </c>
      <c r="C75" s="65" t="s">
        <v>1464</v>
      </c>
      <c r="D75" s="65" t="s">
        <v>1522</v>
      </c>
      <c r="E75" s="65" t="s">
        <v>1290</v>
      </c>
      <c r="F75" s="73">
        <f>15000/3</f>
        <v>5000</v>
      </c>
      <c r="G75" s="64">
        <f>VLOOKUP($B75,'7. PGE_Efficacité'!$A$6:$AO$268,11,0)</f>
        <v>0</v>
      </c>
      <c r="H75" s="64">
        <f>VLOOKUP($B75,'7. PGE_Efficacité'!$A$6:$AO$268,12,0)</f>
        <v>0</v>
      </c>
      <c r="I75" s="64">
        <f>VLOOKUP($B75,'7. PGE_Efficacité'!$A$6:$AO$268,13,0)</f>
        <v>0</v>
      </c>
      <c r="J75" s="64">
        <f>VLOOKUP($B75,'7. PGE_Efficacité'!$A$6:$AO$268,14,0)</f>
        <v>0</v>
      </c>
      <c r="K75" s="64">
        <f>VLOOKUP($B75,'7. PGE_Efficacité'!$A$6:$AO$268,15,0)</f>
        <v>0</v>
      </c>
      <c r="L75" s="64">
        <f>VLOOKUP($B75,'7. PGE_Efficacité'!$A$6:$AO$268,16,0)</f>
        <v>0</v>
      </c>
      <c r="M75" s="64">
        <f>VLOOKUP($B75,'7. PGE_Efficacité'!$A$6:$AO$268,17,0)</f>
        <v>0</v>
      </c>
      <c r="N75" s="64">
        <f>VLOOKUP($B75,'7. PGE_Efficacité'!$A$6:$AO$268,18,0)</f>
        <v>0</v>
      </c>
      <c r="O75" s="64">
        <f>VLOOKUP($B75,'7. PGE_Efficacité'!$A$6:$AO$268,19,0)</f>
        <v>0</v>
      </c>
      <c r="P75" s="64">
        <f>VLOOKUP($B75,'7. PGE_Efficacité'!$A$6:$AO$268,20,0)</f>
        <v>0</v>
      </c>
      <c r="Q75" s="64">
        <f>VLOOKUP($B75,'7. PGE_Efficacité'!$A$6:$AO$268,21,0)</f>
        <v>0</v>
      </c>
      <c r="R75" s="64">
        <f>VLOOKUP($B75,'7. PGE_Efficacité'!$A$6:$AO$268,22,0)</f>
        <v>0</v>
      </c>
      <c r="S75" s="64">
        <f>VLOOKUP($B75,'7. PGE_Efficacité'!$A$6:$AO$268,23,0)</f>
        <v>0</v>
      </c>
      <c r="T75" s="64">
        <f>VLOOKUP($B75,'7. PGE_Efficacité'!$A$6:$AO$268,24,0)</f>
        <v>0</v>
      </c>
      <c r="U75" s="64">
        <f>VLOOKUP($B75,'7. PGE_Efficacité'!$A$6:$AO$268,25,0)</f>
        <v>0</v>
      </c>
      <c r="V75" s="64">
        <f>VLOOKUP($B75,'7. PGE_Efficacité'!$A$6:$AO$268,26,0)</f>
        <v>0</v>
      </c>
      <c r="W75" s="61">
        <f>VLOOKUP($B75,'7. PGE_Efficacité'!$A$6:$AO$268,27,0)</f>
        <v>0</v>
      </c>
      <c r="X75" s="61">
        <f>VLOOKUP($B75,'7. PGE_Efficacité'!$A$6:$AO$268,28,0)</f>
        <v>0</v>
      </c>
      <c r="Y75" s="61">
        <f>VLOOKUP($B75,'7. PGE_Efficacité'!$A$6:$AO$268,29,0)</f>
        <v>0</v>
      </c>
      <c r="Z75" s="61">
        <f>VLOOKUP($B75,'7. PGE_Efficacité'!$A$6:$AO$268,30,0)</f>
        <v>0</v>
      </c>
      <c r="AA75" s="61">
        <f>VLOOKUP($B75,'7. PGE_Efficacité'!$A$6:$AO$268,31,0)</f>
        <v>0</v>
      </c>
      <c r="AB75" s="61">
        <f>VLOOKUP($B75,'7. PGE_Efficacité'!$A$6:$AO$268,32,0)</f>
        <v>0</v>
      </c>
      <c r="AC75" s="61">
        <f>VLOOKUP($B75,'7. PGE_Efficacité'!$A$6:$AO$268,33,0)</f>
        <v>0</v>
      </c>
      <c r="AD75" s="61">
        <f>VLOOKUP($B75,'7. PGE_Efficacité'!$A$6:$AO$268,34,0)</f>
        <v>0</v>
      </c>
      <c r="AE75" s="61">
        <f>VLOOKUP($B75,'7. PGE_Efficacité'!$A$6:$AO$268,35,0)</f>
        <v>0</v>
      </c>
      <c r="AF75" s="61">
        <f>VLOOKUP($B75,'7. PGE_Efficacité'!$A$6:$AO$268,36,0)</f>
        <v>0</v>
      </c>
      <c r="AG75" s="61">
        <f>VLOOKUP($B75,'7. PGE_Efficacité'!$A$6:$AO$268,37,0)</f>
        <v>0</v>
      </c>
      <c r="AH75" s="61">
        <f>VLOOKUP($B75,'7. PGE_Efficacité'!$A$6:$AO$268,38,0)</f>
        <v>0</v>
      </c>
      <c r="AI75" s="61">
        <f>VLOOKUP($B75,'7. PGE_Efficacité'!$A$6:$AO$268,39,0)</f>
        <v>0</v>
      </c>
      <c r="AJ75" s="61">
        <f>VLOOKUP($B75,'7. PGE_Efficacité'!$A$6:$AO$268,40,0)</f>
        <v>0</v>
      </c>
      <c r="AK75" s="61">
        <f>VLOOKUP($B75,'7. PGE_Efficacité'!$A$6:$AO$268,41,0)</f>
        <v>0</v>
      </c>
    </row>
    <row r="76" spans="1:37" hidden="1" outlineLevel="1" x14ac:dyDescent="0.25">
      <c r="A76" s="65" t="s">
        <v>7</v>
      </c>
      <c r="B76" s="65" t="s">
        <v>835</v>
      </c>
      <c r="C76" s="65" t="s">
        <v>1465</v>
      </c>
      <c r="D76" s="65" t="s">
        <v>1522</v>
      </c>
      <c r="E76" s="65" t="s">
        <v>1290</v>
      </c>
      <c r="F76" s="73">
        <f>15000/3</f>
        <v>5000</v>
      </c>
      <c r="G76" s="64">
        <f>VLOOKUP($B76,'7. PGE_Efficacité'!$A$6:$AO$268,11,0)</f>
        <v>0</v>
      </c>
      <c r="H76" s="64">
        <f>VLOOKUP($B76,'7. PGE_Efficacité'!$A$6:$AO$268,12,0)</f>
        <v>0</v>
      </c>
      <c r="I76" s="64">
        <f>VLOOKUP($B76,'7. PGE_Efficacité'!$A$6:$AO$268,13,0)</f>
        <v>0</v>
      </c>
      <c r="J76" s="64">
        <f>VLOOKUP($B76,'7. PGE_Efficacité'!$A$6:$AO$268,14,0)</f>
        <v>0</v>
      </c>
      <c r="K76" s="64">
        <f>VLOOKUP($B76,'7. PGE_Efficacité'!$A$6:$AO$268,15,0)</f>
        <v>0</v>
      </c>
      <c r="L76" s="64">
        <f>VLOOKUP($B76,'7. PGE_Efficacité'!$A$6:$AO$268,16,0)</f>
        <v>0</v>
      </c>
      <c r="M76" s="64">
        <f>VLOOKUP($B76,'7. PGE_Efficacité'!$A$6:$AO$268,17,0)</f>
        <v>0</v>
      </c>
      <c r="N76" s="64">
        <f>VLOOKUP($B76,'7. PGE_Efficacité'!$A$6:$AO$268,18,0)</f>
        <v>0</v>
      </c>
      <c r="O76" s="64">
        <f>VLOOKUP($B76,'7. PGE_Efficacité'!$A$6:$AO$268,19,0)</f>
        <v>0</v>
      </c>
      <c r="P76" s="64">
        <f>VLOOKUP($B76,'7. PGE_Efficacité'!$A$6:$AO$268,20,0)</f>
        <v>0</v>
      </c>
      <c r="Q76" s="64">
        <f>VLOOKUP($B76,'7. PGE_Efficacité'!$A$6:$AO$268,21,0)</f>
        <v>0</v>
      </c>
      <c r="R76" s="64">
        <f>VLOOKUP($B76,'7. PGE_Efficacité'!$A$6:$AO$268,22,0)</f>
        <v>0</v>
      </c>
      <c r="S76" s="64">
        <f>VLOOKUP($B76,'7. PGE_Efficacité'!$A$6:$AO$268,23,0)</f>
        <v>0</v>
      </c>
      <c r="T76" s="64">
        <f>VLOOKUP($B76,'7. PGE_Efficacité'!$A$6:$AO$268,24,0)</f>
        <v>0</v>
      </c>
      <c r="U76" s="64">
        <f>VLOOKUP($B76,'7. PGE_Efficacité'!$A$6:$AO$268,25,0)</f>
        <v>0</v>
      </c>
      <c r="V76" s="64">
        <f>VLOOKUP($B76,'7. PGE_Efficacité'!$A$6:$AO$268,26,0)</f>
        <v>0</v>
      </c>
      <c r="W76" s="61">
        <f>VLOOKUP($B76,'7. PGE_Efficacité'!$A$6:$AO$268,27,0)</f>
        <v>0</v>
      </c>
      <c r="X76" s="61">
        <f>VLOOKUP($B76,'7. PGE_Efficacité'!$A$6:$AO$268,28,0)</f>
        <v>0</v>
      </c>
      <c r="Y76" s="61">
        <f>VLOOKUP($B76,'7. PGE_Efficacité'!$A$6:$AO$268,29,0)</f>
        <v>0</v>
      </c>
      <c r="Z76" s="61">
        <f>VLOOKUP($B76,'7. PGE_Efficacité'!$A$6:$AO$268,30,0)</f>
        <v>0</v>
      </c>
      <c r="AA76" s="61">
        <f>VLOOKUP($B76,'7. PGE_Efficacité'!$A$6:$AO$268,31,0)</f>
        <v>0</v>
      </c>
      <c r="AB76" s="61">
        <f>VLOOKUP($B76,'7. PGE_Efficacité'!$A$6:$AO$268,32,0)</f>
        <v>0</v>
      </c>
      <c r="AC76" s="61">
        <f>VLOOKUP($B76,'7. PGE_Efficacité'!$A$6:$AO$268,33,0)</f>
        <v>0</v>
      </c>
      <c r="AD76" s="61">
        <f>VLOOKUP($B76,'7. PGE_Efficacité'!$A$6:$AO$268,34,0)</f>
        <v>0</v>
      </c>
      <c r="AE76" s="61">
        <f>VLOOKUP($B76,'7. PGE_Efficacité'!$A$6:$AO$268,35,0)</f>
        <v>0</v>
      </c>
      <c r="AF76" s="61">
        <f>VLOOKUP($B76,'7. PGE_Efficacité'!$A$6:$AO$268,36,0)</f>
        <v>0</v>
      </c>
      <c r="AG76" s="61">
        <f>VLOOKUP($B76,'7. PGE_Efficacité'!$A$6:$AO$268,37,0)</f>
        <v>0</v>
      </c>
      <c r="AH76" s="61">
        <f>VLOOKUP($B76,'7. PGE_Efficacité'!$A$6:$AO$268,38,0)</f>
        <v>0</v>
      </c>
      <c r="AI76" s="61">
        <f>VLOOKUP($B76,'7. PGE_Efficacité'!$A$6:$AO$268,39,0)</f>
        <v>0</v>
      </c>
      <c r="AJ76" s="61">
        <f>VLOOKUP($B76,'7. PGE_Efficacité'!$A$6:$AO$268,40,0)</f>
        <v>0</v>
      </c>
      <c r="AK76" s="61">
        <f>VLOOKUP($B76,'7. PGE_Efficacité'!$A$6:$AO$268,41,0)</f>
        <v>0</v>
      </c>
    </row>
    <row r="77" spans="1:37" hidden="1" outlineLevel="1" x14ac:dyDescent="0.25">
      <c r="A77" s="65" t="s">
        <v>7</v>
      </c>
      <c r="B77" s="65" t="s">
        <v>836</v>
      </c>
      <c r="C77" s="65" t="s">
        <v>1466</v>
      </c>
      <c r="D77" s="65" t="s">
        <v>1522</v>
      </c>
      <c r="E77" s="65" t="s">
        <v>1290</v>
      </c>
      <c r="F77" s="73">
        <v>0</v>
      </c>
      <c r="G77" s="64">
        <f>VLOOKUP($B77,'7. PGE_Efficacité'!$A$6:$AO$268,11,0)</f>
        <v>0</v>
      </c>
      <c r="H77" s="64">
        <f>VLOOKUP($B77,'7. PGE_Efficacité'!$A$6:$AO$268,12,0)</f>
        <v>0</v>
      </c>
      <c r="I77" s="64">
        <f>VLOOKUP($B77,'7. PGE_Efficacité'!$A$6:$AO$268,13,0)</f>
        <v>0</v>
      </c>
      <c r="J77" s="64">
        <f>VLOOKUP($B77,'7. PGE_Efficacité'!$A$6:$AO$268,14,0)</f>
        <v>0</v>
      </c>
      <c r="K77" s="64">
        <f>VLOOKUP($B77,'7. PGE_Efficacité'!$A$6:$AO$268,15,0)</f>
        <v>0</v>
      </c>
      <c r="L77" s="64">
        <f>VLOOKUP($B77,'7. PGE_Efficacité'!$A$6:$AO$268,16,0)</f>
        <v>0</v>
      </c>
      <c r="M77" s="64">
        <f>VLOOKUP($B77,'7. PGE_Efficacité'!$A$6:$AO$268,17,0)</f>
        <v>0</v>
      </c>
      <c r="N77" s="64">
        <f>VLOOKUP($B77,'7. PGE_Efficacité'!$A$6:$AO$268,18,0)</f>
        <v>0</v>
      </c>
      <c r="O77" s="64">
        <f>VLOOKUP($B77,'7. PGE_Efficacité'!$A$6:$AO$268,19,0)</f>
        <v>0</v>
      </c>
      <c r="P77" s="64">
        <f>VLOOKUP($B77,'7. PGE_Efficacité'!$A$6:$AO$268,20,0)</f>
        <v>0</v>
      </c>
      <c r="Q77" s="64">
        <f>VLOOKUP($B77,'7. PGE_Efficacité'!$A$6:$AO$268,21,0)</f>
        <v>0</v>
      </c>
      <c r="R77" s="64">
        <f>VLOOKUP($B77,'7. PGE_Efficacité'!$A$6:$AO$268,22,0)</f>
        <v>0</v>
      </c>
      <c r="S77" s="64">
        <f>VLOOKUP($B77,'7. PGE_Efficacité'!$A$6:$AO$268,23,0)</f>
        <v>0</v>
      </c>
      <c r="T77" s="64">
        <f>VLOOKUP($B77,'7. PGE_Efficacité'!$A$6:$AO$268,24,0)</f>
        <v>0</v>
      </c>
      <c r="U77" s="64">
        <f>VLOOKUP($B77,'7. PGE_Efficacité'!$A$6:$AO$268,25,0)</f>
        <v>0</v>
      </c>
      <c r="V77" s="64">
        <f>VLOOKUP($B77,'7. PGE_Efficacité'!$A$6:$AO$268,26,0)</f>
        <v>0</v>
      </c>
      <c r="W77" s="61">
        <f>VLOOKUP($B77,'7. PGE_Efficacité'!$A$6:$AO$268,27,0)</f>
        <v>0</v>
      </c>
      <c r="X77" s="61">
        <f>VLOOKUP($B77,'7. PGE_Efficacité'!$A$6:$AO$268,28,0)</f>
        <v>0</v>
      </c>
      <c r="Y77" s="61">
        <f>VLOOKUP($B77,'7. PGE_Efficacité'!$A$6:$AO$268,29,0)</f>
        <v>0</v>
      </c>
      <c r="Z77" s="61">
        <f>VLOOKUP($B77,'7. PGE_Efficacité'!$A$6:$AO$268,30,0)</f>
        <v>0</v>
      </c>
      <c r="AA77" s="61">
        <f>VLOOKUP($B77,'7. PGE_Efficacité'!$A$6:$AO$268,31,0)</f>
        <v>0</v>
      </c>
      <c r="AB77" s="61">
        <f>VLOOKUP($B77,'7. PGE_Efficacité'!$A$6:$AO$268,32,0)</f>
        <v>0</v>
      </c>
      <c r="AC77" s="61">
        <f>VLOOKUP($B77,'7. PGE_Efficacité'!$A$6:$AO$268,33,0)</f>
        <v>0</v>
      </c>
      <c r="AD77" s="61">
        <f>VLOOKUP($B77,'7. PGE_Efficacité'!$A$6:$AO$268,34,0)</f>
        <v>0</v>
      </c>
      <c r="AE77" s="61">
        <f>VLOOKUP($B77,'7. PGE_Efficacité'!$A$6:$AO$268,35,0)</f>
        <v>0</v>
      </c>
      <c r="AF77" s="61">
        <f>VLOOKUP($B77,'7. PGE_Efficacité'!$A$6:$AO$268,36,0)</f>
        <v>0</v>
      </c>
      <c r="AG77" s="61">
        <f>VLOOKUP($B77,'7. PGE_Efficacité'!$A$6:$AO$268,37,0)</f>
        <v>0</v>
      </c>
      <c r="AH77" s="61">
        <f>VLOOKUP($B77,'7. PGE_Efficacité'!$A$6:$AO$268,38,0)</f>
        <v>0</v>
      </c>
      <c r="AI77" s="61">
        <f>VLOOKUP($B77,'7. PGE_Efficacité'!$A$6:$AO$268,39,0)</f>
        <v>0</v>
      </c>
      <c r="AJ77" s="61">
        <f>VLOOKUP($B77,'7. PGE_Efficacité'!$A$6:$AO$268,40,0)</f>
        <v>0</v>
      </c>
      <c r="AK77" s="61">
        <f>VLOOKUP($B77,'7. PGE_Efficacité'!$A$6:$AO$268,41,0)</f>
        <v>0</v>
      </c>
    </row>
    <row r="78" spans="1:37" hidden="1" outlineLevel="1" x14ac:dyDescent="0.25">
      <c r="A78" s="65" t="s">
        <v>7</v>
      </c>
      <c r="B78" s="65" t="s">
        <v>837</v>
      </c>
      <c r="C78" s="65" t="s">
        <v>1467</v>
      </c>
      <c r="D78" s="65" t="s">
        <v>1522</v>
      </c>
      <c r="E78" s="65" t="s">
        <v>1290</v>
      </c>
      <c r="F78" s="73">
        <v>10000</v>
      </c>
      <c r="G78" s="64">
        <f>VLOOKUP($B78,'7. PGE_Efficacité'!$A$6:$AO$268,11,0)</f>
        <v>0</v>
      </c>
      <c r="H78" s="64">
        <f>VLOOKUP($B78,'7. PGE_Efficacité'!$A$6:$AO$268,12,0)</f>
        <v>0</v>
      </c>
      <c r="I78" s="64">
        <f>VLOOKUP($B78,'7. PGE_Efficacité'!$A$6:$AO$268,13,0)</f>
        <v>0</v>
      </c>
      <c r="J78" s="64">
        <f>VLOOKUP($B78,'7. PGE_Efficacité'!$A$6:$AO$268,14,0)</f>
        <v>0</v>
      </c>
      <c r="K78" s="64">
        <f>VLOOKUP($B78,'7. PGE_Efficacité'!$A$6:$AO$268,15,0)</f>
        <v>0</v>
      </c>
      <c r="L78" s="64">
        <f>VLOOKUP($B78,'7. PGE_Efficacité'!$A$6:$AO$268,16,0)</f>
        <v>0</v>
      </c>
      <c r="M78" s="64">
        <f>VLOOKUP($B78,'7. PGE_Efficacité'!$A$6:$AO$268,17,0)</f>
        <v>0</v>
      </c>
      <c r="N78" s="64">
        <f>VLOOKUP($B78,'7. PGE_Efficacité'!$A$6:$AO$268,18,0)</f>
        <v>0</v>
      </c>
      <c r="O78" s="64">
        <f>VLOOKUP($B78,'7. PGE_Efficacité'!$A$6:$AO$268,19,0)</f>
        <v>0</v>
      </c>
      <c r="P78" s="64">
        <f>VLOOKUP($B78,'7. PGE_Efficacité'!$A$6:$AO$268,20,0)</f>
        <v>0</v>
      </c>
      <c r="Q78" s="64">
        <f>VLOOKUP($B78,'7. PGE_Efficacité'!$A$6:$AO$268,21,0)</f>
        <v>0</v>
      </c>
      <c r="R78" s="64">
        <f>VLOOKUP($B78,'7. PGE_Efficacité'!$A$6:$AO$268,22,0)</f>
        <v>0</v>
      </c>
      <c r="S78" s="64">
        <f>VLOOKUP($B78,'7. PGE_Efficacité'!$A$6:$AO$268,23,0)</f>
        <v>0</v>
      </c>
      <c r="T78" s="64">
        <f>VLOOKUP($B78,'7. PGE_Efficacité'!$A$6:$AO$268,24,0)</f>
        <v>0</v>
      </c>
      <c r="U78" s="64">
        <f>VLOOKUP($B78,'7. PGE_Efficacité'!$A$6:$AO$268,25,0)</f>
        <v>0</v>
      </c>
      <c r="V78" s="64">
        <f>VLOOKUP($B78,'7. PGE_Efficacité'!$A$6:$AO$268,26,0)</f>
        <v>0</v>
      </c>
      <c r="W78" s="61">
        <f>VLOOKUP($B78,'7. PGE_Efficacité'!$A$6:$AO$268,27,0)</f>
        <v>0</v>
      </c>
      <c r="X78" s="61">
        <f>VLOOKUP($B78,'7. PGE_Efficacité'!$A$6:$AO$268,28,0)</f>
        <v>0</v>
      </c>
      <c r="Y78" s="61">
        <f>VLOOKUP($B78,'7. PGE_Efficacité'!$A$6:$AO$268,29,0)</f>
        <v>0</v>
      </c>
      <c r="Z78" s="61">
        <f>VLOOKUP($B78,'7. PGE_Efficacité'!$A$6:$AO$268,30,0)</f>
        <v>0</v>
      </c>
      <c r="AA78" s="61">
        <f>VLOOKUP($B78,'7. PGE_Efficacité'!$A$6:$AO$268,31,0)</f>
        <v>0</v>
      </c>
      <c r="AB78" s="61">
        <f>VLOOKUP($B78,'7. PGE_Efficacité'!$A$6:$AO$268,32,0)</f>
        <v>0</v>
      </c>
      <c r="AC78" s="61">
        <f>VLOOKUP($B78,'7. PGE_Efficacité'!$A$6:$AO$268,33,0)</f>
        <v>0</v>
      </c>
      <c r="AD78" s="61">
        <f>VLOOKUP($B78,'7. PGE_Efficacité'!$A$6:$AO$268,34,0)</f>
        <v>0</v>
      </c>
      <c r="AE78" s="61">
        <f>VLOOKUP($B78,'7. PGE_Efficacité'!$A$6:$AO$268,35,0)</f>
        <v>0</v>
      </c>
      <c r="AF78" s="61">
        <f>VLOOKUP($B78,'7. PGE_Efficacité'!$A$6:$AO$268,36,0)</f>
        <v>0</v>
      </c>
      <c r="AG78" s="61">
        <f>VLOOKUP($B78,'7. PGE_Efficacité'!$A$6:$AO$268,37,0)</f>
        <v>0</v>
      </c>
      <c r="AH78" s="61">
        <f>VLOOKUP($B78,'7. PGE_Efficacité'!$A$6:$AO$268,38,0)</f>
        <v>0</v>
      </c>
      <c r="AI78" s="61">
        <f>VLOOKUP($B78,'7. PGE_Efficacité'!$A$6:$AO$268,39,0)</f>
        <v>0</v>
      </c>
      <c r="AJ78" s="61">
        <f>VLOOKUP($B78,'7. PGE_Efficacité'!$A$6:$AO$268,40,0)</f>
        <v>0</v>
      </c>
      <c r="AK78" s="61">
        <f>VLOOKUP($B78,'7. PGE_Efficacité'!$A$6:$AO$268,41,0)</f>
        <v>0</v>
      </c>
    </row>
    <row r="79" spans="1:37" hidden="1" outlineLevel="1" x14ac:dyDescent="0.25">
      <c r="A79" s="65" t="s">
        <v>7</v>
      </c>
      <c r="B79" s="65" t="s">
        <v>838</v>
      </c>
      <c r="C79" s="65" t="s">
        <v>1468</v>
      </c>
      <c r="D79" s="65" t="s">
        <v>1522</v>
      </c>
      <c r="E79" s="65" t="s">
        <v>415</v>
      </c>
      <c r="F79" s="73">
        <v>1000000</v>
      </c>
      <c r="G79" s="64">
        <f>VLOOKUP($B79,'7. PGE_Efficacité'!$A$6:$AO$268,11,0)</f>
        <v>0</v>
      </c>
      <c r="H79" s="64">
        <f>VLOOKUP($B79,'7. PGE_Efficacité'!$A$6:$AO$268,12,0)</f>
        <v>0</v>
      </c>
      <c r="I79" s="64">
        <f>VLOOKUP($B79,'7. PGE_Efficacité'!$A$6:$AO$268,13,0)</f>
        <v>0</v>
      </c>
      <c r="J79" s="64">
        <f>VLOOKUP($B79,'7. PGE_Efficacité'!$A$6:$AO$268,14,0)</f>
        <v>0</v>
      </c>
      <c r="K79" s="64">
        <f>VLOOKUP($B79,'7. PGE_Efficacité'!$A$6:$AO$268,15,0)</f>
        <v>0</v>
      </c>
      <c r="L79" s="64">
        <f>VLOOKUP($B79,'7. PGE_Efficacité'!$A$6:$AO$268,16,0)</f>
        <v>0</v>
      </c>
      <c r="M79" s="64">
        <f>VLOOKUP($B79,'7. PGE_Efficacité'!$A$6:$AO$268,17,0)</f>
        <v>0</v>
      </c>
      <c r="N79" s="64">
        <f>VLOOKUP($B79,'7. PGE_Efficacité'!$A$6:$AO$268,18,0)</f>
        <v>0</v>
      </c>
      <c r="O79" s="64">
        <f>VLOOKUP($B79,'7. PGE_Efficacité'!$A$6:$AO$268,19,0)</f>
        <v>0</v>
      </c>
      <c r="P79" s="64">
        <f>VLOOKUP($B79,'7. PGE_Efficacité'!$A$6:$AO$268,20,0)</f>
        <v>0</v>
      </c>
      <c r="Q79" s="64">
        <f>VLOOKUP($B79,'7. PGE_Efficacité'!$A$6:$AO$268,21,0)</f>
        <v>0</v>
      </c>
      <c r="R79" s="64">
        <f>VLOOKUP($B79,'7. PGE_Efficacité'!$A$6:$AO$268,22,0)</f>
        <v>0</v>
      </c>
      <c r="S79" s="64">
        <f>VLOOKUP($B79,'7. PGE_Efficacité'!$A$6:$AO$268,23,0)</f>
        <v>0</v>
      </c>
      <c r="T79" s="64">
        <f>VLOOKUP($B79,'7. PGE_Efficacité'!$A$6:$AO$268,24,0)</f>
        <v>0</v>
      </c>
      <c r="U79" s="64">
        <f>VLOOKUP($B79,'7. PGE_Efficacité'!$A$6:$AO$268,25,0)</f>
        <v>0</v>
      </c>
      <c r="V79" s="64">
        <f>VLOOKUP($B79,'7. PGE_Efficacité'!$A$6:$AO$268,26,0)</f>
        <v>0</v>
      </c>
      <c r="W79" s="61" t="str">
        <f>VLOOKUP($B79,'7. PGE_Efficacité'!$A$6:$AO$268,27,0)</f>
        <v>++</v>
      </c>
      <c r="X79" s="61" t="str">
        <f>VLOOKUP($B79,'7. PGE_Efficacité'!$A$6:$AO$268,28,0)</f>
        <v>++</v>
      </c>
      <c r="Y79" s="61" t="str">
        <f>VLOOKUP($B79,'7. PGE_Efficacité'!$A$6:$AO$268,29,0)</f>
        <v>++</v>
      </c>
      <c r="Z79" s="61" t="str">
        <f>VLOOKUP($B79,'7. PGE_Efficacité'!$A$6:$AO$268,30,0)</f>
        <v>++</v>
      </c>
      <c r="AA79" s="61" t="str">
        <f>VLOOKUP($B79,'7. PGE_Efficacité'!$A$6:$AO$268,31,0)</f>
        <v>++</v>
      </c>
      <c r="AB79" s="61" t="str">
        <f>VLOOKUP($B79,'7. PGE_Efficacité'!$A$6:$AO$268,32,0)</f>
        <v>++</v>
      </c>
      <c r="AC79" s="61" t="str">
        <f>VLOOKUP($B79,'7. PGE_Efficacité'!$A$6:$AO$268,33,0)</f>
        <v>++</v>
      </c>
      <c r="AD79" s="61">
        <f>VLOOKUP($B79,'7. PGE_Efficacité'!$A$6:$AO$268,34,0)</f>
        <v>0</v>
      </c>
      <c r="AE79" s="61">
        <f>VLOOKUP($B79,'7. PGE_Efficacité'!$A$6:$AO$268,35,0)</f>
        <v>0</v>
      </c>
      <c r="AF79" s="61">
        <f>VLOOKUP($B79,'7. PGE_Efficacité'!$A$6:$AO$268,36,0)</f>
        <v>0</v>
      </c>
      <c r="AG79" s="61">
        <f>VLOOKUP($B79,'7. PGE_Efficacité'!$A$6:$AO$268,37,0)</f>
        <v>0</v>
      </c>
      <c r="AH79" s="61" t="str">
        <f>VLOOKUP($B79,'7. PGE_Efficacité'!$A$6:$AO$268,38,0)</f>
        <v>+++</v>
      </c>
      <c r="AI79" s="61" t="str">
        <f>VLOOKUP($B79,'7. PGE_Efficacité'!$A$6:$AO$268,39,0)</f>
        <v>+++</v>
      </c>
      <c r="AJ79" s="61" t="str">
        <f>VLOOKUP($B79,'7. PGE_Efficacité'!$A$6:$AO$268,40,0)</f>
        <v>+++</v>
      </c>
      <c r="AK79" s="61" t="str">
        <f>VLOOKUP($B79,'7. PGE_Efficacité'!$A$6:$AO$268,41,0)</f>
        <v>+++</v>
      </c>
    </row>
    <row r="80" spans="1:37" hidden="1" outlineLevel="1" x14ac:dyDescent="0.25">
      <c r="A80" s="65" t="s">
        <v>7</v>
      </c>
      <c r="B80" s="65" t="s">
        <v>839</v>
      </c>
      <c r="C80" s="65" t="s">
        <v>1469</v>
      </c>
      <c r="D80" s="65" t="s">
        <v>1522</v>
      </c>
      <c r="E80" s="65" t="s">
        <v>415</v>
      </c>
      <c r="F80" s="73">
        <v>800000</v>
      </c>
      <c r="G80" s="64">
        <f>VLOOKUP($B80,'7. PGE_Efficacité'!$A$6:$AO$268,11,0)</f>
        <v>0</v>
      </c>
      <c r="H80" s="64">
        <f>VLOOKUP($B80,'7. PGE_Efficacité'!$A$6:$AO$268,12,0)</f>
        <v>0</v>
      </c>
      <c r="I80" s="64">
        <f>VLOOKUP($B80,'7. PGE_Efficacité'!$A$6:$AO$268,13,0)</f>
        <v>0</v>
      </c>
      <c r="J80" s="64">
        <f>VLOOKUP($B80,'7. PGE_Efficacité'!$A$6:$AO$268,14,0)</f>
        <v>0</v>
      </c>
      <c r="K80" s="64">
        <f>VLOOKUP($B80,'7. PGE_Efficacité'!$A$6:$AO$268,15,0)</f>
        <v>0</v>
      </c>
      <c r="L80" s="64">
        <f>VLOOKUP($B80,'7. PGE_Efficacité'!$A$6:$AO$268,16,0)</f>
        <v>0</v>
      </c>
      <c r="M80" s="64">
        <f>VLOOKUP($B80,'7. PGE_Efficacité'!$A$6:$AO$268,17,0)</f>
        <v>0</v>
      </c>
      <c r="N80" s="64">
        <f>VLOOKUP($B80,'7. PGE_Efficacité'!$A$6:$AO$268,18,0)</f>
        <v>0</v>
      </c>
      <c r="O80" s="64">
        <f>VLOOKUP($B80,'7. PGE_Efficacité'!$A$6:$AO$268,19,0)</f>
        <v>0</v>
      </c>
      <c r="P80" s="64">
        <f>VLOOKUP($B80,'7. PGE_Efficacité'!$A$6:$AO$268,20,0)</f>
        <v>0</v>
      </c>
      <c r="Q80" s="64">
        <f>VLOOKUP($B80,'7. PGE_Efficacité'!$A$6:$AO$268,21,0)</f>
        <v>0</v>
      </c>
      <c r="R80" s="64">
        <f>VLOOKUP($B80,'7. PGE_Efficacité'!$A$6:$AO$268,22,0)</f>
        <v>0</v>
      </c>
      <c r="S80" s="64">
        <f>VLOOKUP($B80,'7. PGE_Efficacité'!$A$6:$AO$268,23,0)</f>
        <v>0</v>
      </c>
      <c r="T80" s="64">
        <f>VLOOKUP($B80,'7. PGE_Efficacité'!$A$6:$AO$268,24,0)</f>
        <v>0</v>
      </c>
      <c r="U80" s="64">
        <f>VLOOKUP($B80,'7. PGE_Efficacité'!$A$6:$AO$268,25,0)</f>
        <v>0</v>
      </c>
      <c r="V80" s="64">
        <f>VLOOKUP($B80,'7. PGE_Efficacité'!$A$6:$AO$268,26,0)</f>
        <v>0</v>
      </c>
      <c r="W80" s="61" t="str">
        <f>VLOOKUP($B80,'7. PGE_Efficacité'!$A$6:$AO$268,27,0)</f>
        <v>++</v>
      </c>
      <c r="X80" s="61" t="str">
        <f>VLOOKUP($B80,'7. PGE_Efficacité'!$A$6:$AO$268,28,0)</f>
        <v>++</v>
      </c>
      <c r="Y80" s="61" t="str">
        <f>VLOOKUP($B80,'7. PGE_Efficacité'!$A$6:$AO$268,29,0)</f>
        <v>++</v>
      </c>
      <c r="Z80" s="61" t="str">
        <f>VLOOKUP($B80,'7. PGE_Efficacité'!$A$6:$AO$268,30,0)</f>
        <v>++</v>
      </c>
      <c r="AA80" s="61" t="str">
        <f>VLOOKUP($B80,'7. PGE_Efficacité'!$A$6:$AO$268,31,0)</f>
        <v>++</v>
      </c>
      <c r="AB80" s="61" t="str">
        <f>VLOOKUP($B80,'7. PGE_Efficacité'!$A$6:$AO$268,32,0)</f>
        <v>++</v>
      </c>
      <c r="AC80" s="61" t="str">
        <f>VLOOKUP($B80,'7. PGE_Efficacité'!$A$6:$AO$268,33,0)</f>
        <v>++</v>
      </c>
      <c r="AD80" s="61">
        <f>VLOOKUP($B80,'7. PGE_Efficacité'!$A$6:$AO$268,34,0)</f>
        <v>0</v>
      </c>
      <c r="AE80" s="61">
        <f>VLOOKUP($B80,'7. PGE_Efficacité'!$A$6:$AO$268,35,0)</f>
        <v>0</v>
      </c>
      <c r="AF80" s="61">
        <f>VLOOKUP($B80,'7. PGE_Efficacité'!$A$6:$AO$268,36,0)</f>
        <v>0</v>
      </c>
      <c r="AG80" s="61">
        <f>VLOOKUP($B80,'7. PGE_Efficacité'!$A$6:$AO$268,37,0)</f>
        <v>0</v>
      </c>
      <c r="AH80" s="61" t="str">
        <f>VLOOKUP($B80,'7. PGE_Efficacité'!$A$6:$AO$268,38,0)</f>
        <v>+++</v>
      </c>
      <c r="AI80" s="61" t="str">
        <f>VLOOKUP($B80,'7. PGE_Efficacité'!$A$6:$AO$268,39,0)</f>
        <v>+++</v>
      </c>
      <c r="AJ80" s="61" t="str">
        <f>VLOOKUP($B80,'7. PGE_Efficacité'!$A$6:$AO$268,40,0)</f>
        <v>+++</v>
      </c>
      <c r="AK80" s="61" t="str">
        <f>VLOOKUP($B80,'7. PGE_Efficacité'!$A$6:$AO$268,41,0)</f>
        <v>+++</v>
      </c>
    </row>
    <row r="81" spans="1:37" hidden="1" outlineLevel="1" x14ac:dyDescent="0.25">
      <c r="A81" s="65" t="s">
        <v>7</v>
      </c>
      <c r="B81" s="65" t="s">
        <v>840</v>
      </c>
      <c r="C81" s="65" t="s">
        <v>1470</v>
      </c>
      <c r="D81" s="65" t="s">
        <v>1522</v>
      </c>
      <c r="E81" s="65" t="s">
        <v>415</v>
      </c>
      <c r="F81" s="73">
        <v>300000</v>
      </c>
      <c r="G81" s="64">
        <f>VLOOKUP($B81,'7. PGE_Efficacité'!$A$6:$AO$268,11,0)</f>
        <v>0</v>
      </c>
      <c r="H81" s="64">
        <f>VLOOKUP($B81,'7. PGE_Efficacité'!$A$6:$AO$268,12,0)</f>
        <v>0</v>
      </c>
      <c r="I81" s="64">
        <f>VLOOKUP($B81,'7. PGE_Efficacité'!$A$6:$AO$268,13,0)</f>
        <v>0</v>
      </c>
      <c r="J81" s="64">
        <f>VLOOKUP($B81,'7. PGE_Efficacité'!$A$6:$AO$268,14,0)</f>
        <v>0</v>
      </c>
      <c r="K81" s="64">
        <f>VLOOKUP($B81,'7. PGE_Efficacité'!$A$6:$AO$268,15,0)</f>
        <v>0</v>
      </c>
      <c r="L81" s="64">
        <f>VLOOKUP($B81,'7. PGE_Efficacité'!$A$6:$AO$268,16,0)</f>
        <v>0</v>
      </c>
      <c r="M81" s="64">
        <f>VLOOKUP($B81,'7. PGE_Efficacité'!$A$6:$AO$268,17,0)</f>
        <v>0</v>
      </c>
      <c r="N81" s="64">
        <f>VLOOKUP($B81,'7. PGE_Efficacité'!$A$6:$AO$268,18,0)</f>
        <v>0</v>
      </c>
      <c r="O81" s="64">
        <f>VLOOKUP($B81,'7. PGE_Efficacité'!$A$6:$AO$268,19,0)</f>
        <v>0</v>
      </c>
      <c r="P81" s="64">
        <f>VLOOKUP($B81,'7. PGE_Efficacité'!$A$6:$AO$268,20,0)</f>
        <v>0</v>
      </c>
      <c r="Q81" s="64">
        <f>VLOOKUP($B81,'7. PGE_Efficacité'!$A$6:$AO$268,21,0)</f>
        <v>0</v>
      </c>
      <c r="R81" s="64">
        <f>VLOOKUP($B81,'7. PGE_Efficacité'!$A$6:$AO$268,22,0)</f>
        <v>0</v>
      </c>
      <c r="S81" s="64">
        <f>VLOOKUP($B81,'7. PGE_Efficacité'!$A$6:$AO$268,23,0)</f>
        <v>0</v>
      </c>
      <c r="T81" s="64">
        <f>VLOOKUP($B81,'7. PGE_Efficacité'!$A$6:$AO$268,24,0)</f>
        <v>0</v>
      </c>
      <c r="U81" s="64">
        <f>VLOOKUP($B81,'7. PGE_Efficacité'!$A$6:$AO$268,25,0)</f>
        <v>0</v>
      </c>
      <c r="V81" s="64">
        <f>VLOOKUP($B81,'7. PGE_Efficacité'!$A$6:$AO$268,26,0)</f>
        <v>0</v>
      </c>
      <c r="W81" s="61" t="str">
        <f>VLOOKUP($B81,'7. PGE_Efficacité'!$A$6:$AO$268,27,0)</f>
        <v>++</v>
      </c>
      <c r="X81" s="61" t="str">
        <f>VLOOKUP($B81,'7. PGE_Efficacité'!$A$6:$AO$268,28,0)</f>
        <v>++</v>
      </c>
      <c r="Y81" s="61" t="str">
        <f>VLOOKUP($B81,'7. PGE_Efficacité'!$A$6:$AO$268,29,0)</f>
        <v>++</v>
      </c>
      <c r="Z81" s="61" t="str">
        <f>VLOOKUP($B81,'7. PGE_Efficacité'!$A$6:$AO$268,30,0)</f>
        <v>++</v>
      </c>
      <c r="AA81" s="61" t="str">
        <f>VLOOKUP($B81,'7. PGE_Efficacité'!$A$6:$AO$268,31,0)</f>
        <v>++</v>
      </c>
      <c r="AB81" s="61" t="str">
        <f>VLOOKUP($B81,'7. PGE_Efficacité'!$A$6:$AO$268,32,0)</f>
        <v>++</v>
      </c>
      <c r="AC81" s="61" t="str">
        <f>VLOOKUP($B81,'7. PGE_Efficacité'!$A$6:$AO$268,33,0)</f>
        <v>++</v>
      </c>
      <c r="AD81" s="61">
        <f>VLOOKUP($B81,'7. PGE_Efficacité'!$A$6:$AO$268,34,0)</f>
        <v>0</v>
      </c>
      <c r="AE81" s="61">
        <f>VLOOKUP($B81,'7. PGE_Efficacité'!$A$6:$AO$268,35,0)</f>
        <v>0</v>
      </c>
      <c r="AF81" s="61">
        <f>VLOOKUP($B81,'7. PGE_Efficacité'!$A$6:$AO$268,36,0)</f>
        <v>0</v>
      </c>
      <c r="AG81" s="61">
        <f>VLOOKUP($B81,'7. PGE_Efficacité'!$A$6:$AO$268,37,0)</f>
        <v>0</v>
      </c>
      <c r="AH81" s="61" t="str">
        <f>VLOOKUP($B81,'7. PGE_Efficacité'!$A$6:$AO$268,38,0)</f>
        <v>+++</v>
      </c>
      <c r="AI81" s="61" t="str">
        <f>VLOOKUP($B81,'7. PGE_Efficacité'!$A$6:$AO$268,39,0)</f>
        <v>+++</v>
      </c>
      <c r="AJ81" s="61" t="str">
        <f>VLOOKUP($B81,'7. PGE_Efficacité'!$A$6:$AO$268,40,0)</f>
        <v>+++</v>
      </c>
      <c r="AK81" s="61" t="str">
        <f>VLOOKUP($B81,'7. PGE_Efficacité'!$A$6:$AO$268,41,0)</f>
        <v>+++</v>
      </c>
    </row>
    <row r="82" spans="1:37" hidden="1" outlineLevel="1" x14ac:dyDescent="0.25">
      <c r="A82" s="65" t="s">
        <v>7</v>
      </c>
      <c r="B82" s="65" t="s">
        <v>841</v>
      </c>
      <c r="C82" s="65" t="s">
        <v>1471</v>
      </c>
      <c r="D82" s="65" t="s">
        <v>1522</v>
      </c>
      <c r="E82" s="65" t="s">
        <v>415</v>
      </c>
      <c r="F82" s="73">
        <v>120000</v>
      </c>
      <c r="G82" s="64">
        <f>VLOOKUP($B82,'7. PGE_Efficacité'!$A$6:$AO$268,11,0)</f>
        <v>0</v>
      </c>
      <c r="H82" s="64">
        <f>VLOOKUP($B82,'7. PGE_Efficacité'!$A$6:$AO$268,12,0)</f>
        <v>0</v>
      </c>
      <c r="I82" s="64">
        <f>VLOOKUP($B82,'7. PGE_Efficacité'!$A$6:$AO$268,13,0)</f>
        <v>0</v>
      </c>
      <c r="J82" s="64">
        <f>VLOOKUP($B82,'7. PGE_Efficacité'!$A$6:$AO$268,14,0)</f>
        <v>0</v>
      </c>
      <c r="K82" s="64">
        <f>VLOOKUP($B82,'7. PGE_Efficacité'!$A$6:$AO$268,15,0)</f>
        <v>0</v>
      </c>
      <c r="L82" s="64">
        <f>VLOOKUP($B82,'7. PGE_Efficacité'!$A$6:$AO$268,16,0)</f>
        <v>0</v>
      </c>
      <c r="M82" s="64">
        <f>VLOOKUP($B82,'7. PGE_Efficacité'!$A$6:$AO$268,17,0)</f>
        <v>0</v>
      </c>
      <c r="N82" s="64">
        <f>VLOOKUP($B82,'7. PGE_Efficacité'!$A$6:$AO$268,18,0)</f>
        <v>0</v>
      </c>
      <c r="O82" s="64">
        <f>VLOOKUP($B82,'7. PGE_Efficacité'!$A$6:$AO$268,19,0)</f>
        <v>0</v>
      </c>
      <c r="P82" s="64">
        <f>VLOOKUP($B82,'7. PGE_Efficacité'!$A$6:$AO$268,20,0)</f>
        <v>0</v>
      </c>
      <c r="Q82" s="64">
        <f>VLOOKUP($B82,'7. PGE_Efficacité'!$A$6:$AO$268,21,0)</f>
        <v>0</v>
      </c>
      <c r="R82" s="64">
        <f>VLOOKUP($B82,'7. PGE_Efficacité'!$A$6:$AO$268,22,0)</f>
        <v>0</v>
      </c>
      <c r="S82" s="64">
        <f>VLOOKUP($B82,'7. PGE_Efficacité'!$A$6:$AO$268,23,0)</f>
        <v>0</v>
      </c>
      <c r="T82" s="64">
        <f>VLOOKUP($B82,'7. PGE_Efficacité'!$A$6:$AO$268,24,0)</f>
        <v>0</v>
      </c>
      <c r="U82" s="64">
        <f>VLOOKUP($B82,'7. PGE_Efficacité'!$A$6:$AO$268,25,0)</f>
        <v>0</v>
      </c>
      <c r="V82" s="64">
        <f>VLOOKUP($B82,'7. PGE_Efficacité'!$A$6:$AO$268,26,0)</f>
        <v>0</v>
      </c>
      <c r="W82" s="61">
        <f>VLOOKUP($B82,'7. PGE_Efficacité'!$A$6:$AO$268,27,0)</f>
        <v>0</v>
      </c>
      <c r="X82" s="61">
        <f>VLOOKUP($B82,'7. PGE_Efficacité'!$A$6:$AO$268,28,0)</f>
        <v>0</v>
      </c>
      <c r="Y82" s="61">
        <f>VLOOKUP($B82,'7. PGE_Efficacité'!$A$6:$AO$268,29,0)</f>
        <v>0</v>
      </c>
      <c r="Z82" s="61">
        <f>VLOOKUP($B82,'7. PGE_Efficacité'!$A$6:$AO$268,30,0)</f>
        <v>0</v>
      </c>
      <c r="AA82" s="61">
        <f>VLOOKUP($B82,'7. PGE_Efficacité'!$A$6:$AO$268,31,0)</f>
        <v>0</v>
      </c>
      <c r="AB82" s="61">
        <f>VLOOKUP($B82,'7. PGE_Efficacité'!$A$6:$AO$268,32,0)</f>
        <v>0</v>
      </c>
      <c r="AC82" s="61">
        <f>VLOOKUP($B82,'7. PGE_Efficacité'!$A$6:$AO$268,33,0)</f>
        <v>0</v>
      </c>
      <c r="AD82" s="61">
        <f>VLOOKUP($B82,'7. PGE_Efficacité'!$A$6:$AO$268,34,0)</f>
        <v>0</v>
      </c>
      <c r="AE82" s="61">
        <f>VLOOKUP($B82,'7. PGE_Efficacité'!$A$6:$AO$268,35,0)</f>
        <v>0</v>
      </c>
      <c r="AF82" s="61">
        <f>VLOOKUP($B82,'7. PGE_Efficacité'!$A$6:$AO$268,36,0)</f>
        <v>0</v>
      </c>
      <c r="AG82" s="61">
        <f>VLOOKUP($B82,'7. PGE_Efficacité'!$A$6:$AO$268,37,0)</f>
        <v>0</v>
      </c>
      <c r="AH82" s="61">
        <f>VLOOKUP($B82,'7. PGE_Efficacité'!$A$6:$AO$268,38,0)</f>
        <v>0</v>
      </c>
      <c r="AI82" s="61">
        <f>VLOOKUP($B82,'7. PGE_Efficacité'!$A$6:$AO$268,39,0)</f>
        <v>0</v>
      </c>
      <c r="AJ82" s="61">
        <f>VLOOKUP($B82,'7. PGE_Efficacité'!$A$6:$AO$268,40,0)</f>
        <v>0</v>
      </c>
      <c r="AK82" s="61">
        <f>VLOOKUP($B82,'7. PGE_Efficacité'!$A$6:$AO$268,41,0)</f>
        <v>0</v>
      </c>
    </row>
    <row r="83" spans="1:37" hidden="1" outlineLevel="1" x14ac:dyDescent="0.25">
      <c r="A83" s="65" t="s">
        <v>7</v>
      </c>
      <c r="B83" s="65" t="s">
        <v>842</v>
      </c>
      <c r="C83" s="65" t="s">
        <v>1472</v>
      </c>
      <c r="D83" s="65" t="s">
        <v>1522</v>
      </c>
      <c r="E83" s="65" t="s">
        <v>1287</v>
      </c>
      <c r="F83" s="70"/>
      <c r="G83" s="66" t="str">
        <f>VLOOKUP($B83,'7. PGE_Efficacité'!$A$6:$AO$268,11,0)</f>
        <v>+</v>
      </c>
      <c r="H83" s="66" t="str">
        <f>VLOOKUP($B83,'7. PGE_Efficacité'!$A$6:$AO$268,12,0)</f>
        <v>+</v>
      </c>
      <c r="I83" s="66" t="str">
        <f>VLOOKUP($B83,'7. PGE_Efficacité'!$A$6:$AO$268,13,0)</f>
        <v>+</v>
      </c>
      <c r="J83" s="66" t="str">
        <f>VLOOKUP($B83,'7. PGE_Efficacité'!$A$6:$AO$268,14,0)</f>
        <v>+</v>
      </c>
      <c r="K83" s="66" t="str">
        <f>VLOOKUP($B83,'7. PGE_Efficacité'!$A$6:$AO$268,15,0)</f>
        <v>+</v>
      </c>
      <c r="L83" s="66" t="str">
        <f>VLOOKUP($B83,'7. PGE_Efficacité'!$A$6:$AO$268,16,0)</f>
        <v>+</v>
      </c>
      <c r="M83" s="66" t="str">
        <f>VLOOKUP($B83,'7. PGE_Efficacité'!$A$6:$AO$268,17,0)</f>
        <v>+</v>
      </c>
      <c r="N83" s="66" t="str">
        <f>VLOOKUP($B83,'7. PGE_Efficacité'!$A$6:$AO$268,18,0)</f>
        <v>+</v>
      </c>
      <c r="O83" s="66" t="str">
        <f>VLOOKUP($B83,'7. PGE_Efficacité'!$A$6:$AO$268,19,0)</f>
        <v>+</v>
      </c>
      <c r="P83" s="66" t="str">
        <f>VLOOKUP($B83,'7. PGE_Efficacité'!$A$6:$AO$268,20,0)</f>
        <v>+</v>
      </c>
      <c r="Q83" s="66" t="str">
        <f>VLOOKUP($B83,'7. PGE_Efficacité'!$A$6:$AO$268,21,0)</f>
        <v>+</v>
      </c>
      <c r="R83" s="66">
        <f>VLOOKUP($B83,'7. PGE_Efficacité'!$A$6:$AO$268,22,0)</f>
        <v>0</v>
      </c>
      <c r="S83" s="66" t="str">
        <f>VLOOKUP($B83,'7. PGE_Efficacité'!$A$6:$AO$268,23,0)</f>
        <v>+</v>
      </c>
      <c r="T83" s="66" t="str">
        <f>VLOOKUP($B83,'7. PGE_Efficacité'!$A$6:$AO$268,24,0)</f>
        <v>+</v>
      </c>
      <c r="U83" s="66" t="str">
        <f>VLOOKUP($B83,'7. PGE_Efficacité'!$A$6:$AO$268,25,0)</f>
        <v>+</v>
      </c>
      <c r="V83" s="66" t="str">
        <f>VLOOKUP($B83,'7. PGE_Efficacité'!$A$6:$AO$268,26,0)</f>
        <v>+</v>
      </c>
      <c r="W83" s="62" t="str">
        <f>VLOOKUP($B83,'7. PGE_Efficacité'!$A$6:$AO$268,27,0)</f>
        <v>++</v>
      </c>
      <c r="X83" s="62" t="str">
        <f>VLOOKUP($B83,'7. PGE_Efficacité'!$A$6:$AO$268,28,0)</f>
        <v>++</v>
      </c>
      <c r="Y83" s="62" t="str">
        <f>VLOOKUP($B83,'7. PGE_Efficacité'!$A$6:$AO$268,29,0)</f>
        <v>++</v>
      </c>
      <c r="Z83" s="62" t="str">
        <f>VLOOKUP($B83,'7. PGE_Efficacité'!$A$6:$AO$268,30,0)</f>
        <v>++</v>
      </c>
      <c r="AA83" s="62" t="str">
        <f>VLOOKUP($B83,'7. PGE_Efficacité'!$A$6:$AO$268,31,0)</f>
        <v>++</v>
      </c>
      <c r="AB83" s="62" t="str">
        <f>VLOOKUP($B83,'7. PGE_Efficacité'!$A$6:$AO$268,32,0)</f>
        <v>++</v>
      </c>
      <c r="AC83" s="62" t="str">
        <f>VLOOKUP($B83,'7. PGE_Efficacité'!$A$6:$AO$268,33,0)</f>
        <v>++</v>
      </c>
      <c r="AD83" s="62">
        <f>VLOOKUP($B83,'7. PGE_Efficacité'!$A$6:$AO$268,34,0)</f>
        <v>0</v>
      </c>
      <c r="AE83" s="62">
        <f>VLOOKUP($B83,'7. PGE_Efficacité'!$A$6:$AO$268,35,0)</f>
        <v>0</v>
      </c>
      <c r="AF83" s="62">
        <f>VLOOKUP($B83,'7. PGE_Efficacité'!$A$6:$AO$268,36,0)</f>
        <v>0</v>
      </c>
      <c r="AG83" s="62">
        <f>VLOOKUP($B83,'7. PGE_Efficacité'!$A$6:$AO$268,37,0)</f>
        <v>0</v>
      </c>
      <c r="AH83" s="62" t="str">
        <f>VLOOKUP($B83,'7. PGE_Efficacité'!$A$6:$AO$268,38,0)</f>
        <v>++</v>
      </c>
      <c r="AI83" s="62" t="str">
        <f>VLOOKUP($B83,'7. PGE_Efficacité'!$A$6:$AO$268,39,0)</f>
        <v>++</v>
      </c>
      <c r="AJ83" s="62" t="str">
        <f>VLOOKUP($B83,'7. PGE_Efficacité'!$A$6:$AO$268,40,0)</f>
        <v>++</v>
      </c>
      <c r="AK83" s="62" t="str">
        <f>VLOOKUP($B83,'7. PGE_Efficacité'!$A$6:$AO$268,41,0)</f>
        <v>++</v>
      </c>
    </row>
    <row r="84" spans="1:37" ht="39" collapsed="1" x14ac:dyDescent="0.25">
      <c r="A84" s="157" t="s">
        <v>8</v>
      </c>
      <c r="B84" s="63"/>
      <c r="C84" s="156" t="s">
        <v>230</v>
      </c>
      <c r="D84" s="63"/>
      <c r="E84" s="63"/>
      <c r="F84" s="72">
        <f>SUM(F85:F93)</f>
        <v>3395000</v>
      </c>
      <c r="G84" s="178" t="str">
        <f>VLOOKUP($A84,'7. PGE_Efficacité'!$A$6:$AO$268,11,0)</f>
        <v>++</v>
      </c>
      <c r="H84" s="178" t="str">
        <f>VLOOKUP($A84,'7. PGE_Efficacité'!$A$6:$AO$268,12,0)</f>
        <v>++</v>
      </c>
      <c r="I84" s="178" t="str">
        <f>VLOOKUP($A84,'7. PGE_Efficacité'!$A$6:$AO$268,13,0)</f>
        <v>++</v>
      </c>
      <c r="J84" s="178" t="str">
        <f>VLOOKUP($A84,'7. PGE_Efficacité'!$A$6:$AO$268,14,0)</f>
        <v>++</v>
      </c>
      <c r="K84" s="178" t="str">
        <f>VLOOKUP($A84,'7. PGE_Efficacité'!$A$6:$AO$268,15,0)</f>
        <v>++</v>
      </c>
      <c r="L84" s="178" t="str">
        <f>VLOOKUP($A84,'7. PGE_Efficacité'!$A$6:$AO$268,16,0)</f>
        <v>++</v>
      </c>
      <c r="M84" s="178" t="str">
        <f>VLOOKUP($A84,'7. PGE_Efficacité'!$A$6:$AO$268,17,0)</f>
        <v>+++</v>
      </c>
      <c r="N84" s="178" t="str">
        <f>VLOOKUP($A84,'7. PGE_Efficacité'!$A$6:$AO$268,18,0)</f>
        <v>++</v>
      </c>
      <c r="O84" s="178" t="str">
        <f>VLOOKUP($A84,'7. PGE_Efficacité'!$A$6:$AO$268,19,0)</f>
        <v>+</v>
      </c>
      <c r="P84" s="178" t="str">
        <f>VLOOKUP($A84,'7. PGE_Efficacité'!$A$6:$AO$268,20,0)</f>
        <v>+</v>
      </c>
      <c r="Q84" s="178" t="str">
        <f>VLOOKUP($A84,'7. PGE_Efficacité'!$A$6:$AO$268,21,0)</f>
        <v>+</v>
      </c>
      <c r="R84" s="178">
        <f>VLOOKUP($A84,'7. PGE_Efficacité'!$A$6:$AO$268,22,0)</f>
        <v>0</v>
      </c>
      <c r="S84" s="178" t="str">
        <f>VLOOKUP($A84,'7. PGE_Efficacité'!$A$6:$AO$268,23,0)</f>
        <v>+</v>
      </c>
      <c r="T84" s="178" t="str">
        <f>VLOOKUP($A84,'7. PGE_Efficacité'!$A$6:$AO$268,24,0)</f>
        <v>++</v>
      </c>
      <c r="U84" s="178" t="str">
        <f>VLOOKUP($A84,'7. PGE_Efficacité'!$A$6:$AO$268,25,0)</f>
        <v>+</v>
      </c>
      <c r="V84" s="178" t="str">
        <f>VLOOKUP($A84,'7. PGE_Efficacité'!$A$6:$AO$268,26,0)</f>
        <v>++</v>
      </c>
      <c r="W84" s="179" t="str">
        <f>VLOOKUP($A84,'7. PGE_Efficacité'!$A$6:$AO$268,27,0)</f>
        <v>+++</v>
      </c>
      <c r="X84" s="179" t="str">
        <f>VLOOKUP($A84,'7. PGE_Efficacité'!$A$6:$AO$268,28,0)</f>
        <v>+++</v>
      </c>
      <c r="Y84" s="179" t="str">
        <f>VLOOKUP($A84,'7. PGE_Efficacité'!$A$6:$AO$268,29,0)</f>
        <v>+++</v>
      </c>
      <c r="Z84" s="179" t="str">
        <f>VLOOKUP($A84,'7. PGE_Efficacité'!$A$6:$AO$268,30,0)</f>
        <v>+++</v>
      </c>
      <c r="AA84" s="179" t="str">
        <f>VLOOKUP($A84,'7. PGE_Efficacité'!$A$6:$AO$268,31,0)</f>
        <v>+++</v>
      </c>
      <c r="AB84" s="179" t="str">
        <f>VLOOKUP($A84,'7. PGE_Efficacité'!$A$6:$AO$268,32,0)</f>
        <v>+++</v>
      </c>
      <c r="AC84" s="179" t="str">
        <f>VLOOKUP($A84,'7. PGE_Efficacité'!$A$6:$AO$268,33,0)</f>
        <v>+++</v>
      </c>
      <c r="AD84" s="179">
        <f>VLOOKUP($A84,'7. PGE_Efficacité'!$A$6:$AO$268,34,0)</f>
        <v>0</v>
      </c>
      <c r="AE84" s="179">
        <f>VLOOKUP($A84,'7. PGE_Efficacité'!$A$6:$AO$268,35,0)</f>
        <v>0</v>
      </c>
      <c r="AF84" s="179">
        <f>VLOOKUP($A84,'7. PGE_Efficacité'!$A$6:$AO$268,36,0)</f>
        <v>0</v>
      </c>
      <c r="AG84" s="179">
        <f>VLOOKUP($A84,'7. PGE_Efficacité'!$A$6:$AO$268,37,0)</f>
        <v>0</v>
      </c>
      <c r="AH84" s="179" t="str">
        <f>VLOOKUP($A84,'7. PGE_Efficacité'!$A$6:$AO$268,38,0)</f>
        <v>++++</v>
      </c>
      <c r="AI84" s="179" t="str">
        <f>VLOOKUP($A84,'7. PGE_Efficacité'!$A$6:$AO$268,39,0)</f>
        <v>++++</v>
      </c>
      <c r="AJ84" s="179" t="str">
        <f>VLOOKUP($A84,'7. PGE_Efficacité'!$A$6:$AO$268,40,0)</f>
        <v>++++</v>
      </c>
      <c r="AK84" s="179" t="str">
        <f>VLOOKUP($A84,'7. PGE_Efficacité'!$A$6:$AO$268,41,0)</f>
        <v>++++</v>
      </c>
    </row>
    <row r="85" spans="1:37" hidden="1" outlineLevel="1" x14ac:dyDescent="0.25">
      <c r="A85" s="65" t="s">
        <v>8</v>
      </c>
      <c r="B85" s="65" t="s">
        <v>843</v>
      </c>
      <c r="C85" s="65" t="s">
        <v>1473</v>
      </c>
      <c r="D85" s="65" t="s">
        <v>1522</v>
      </c>
      <c r="E85" s="65" t="s">
        <v>1290</v>
      </c>
      <c r="F85" s="70">
        <v>0</v>
      </c>
      <c r="G85" s="64">
        <f>VLOOKUP($B85,'7. PGE_Efficacité'!$A$6:$AO$268,11,0)</f>
        <v>0</v>
      </c>
      <c r="H85" s="64">
        <f>VLOOKUP($B85,'7. PGE_Efficacité'!$A$6:$AO$268,12,0)</f>
        <v>0</v>
      </c>
      <c r="I85" s="64">
        <f>VLOOKUP($B85,'7. PGE_Efficacité'!$A$6:$AO$268,13,0)</f>
        <v>0</v>
      </c>
      <c r="J85" s="64">
        <f>VLOOKUP($B85,'7. PGE_Efficacité'!$A$6:$AO$268,14,0)</f>
        <v>0</v>
      </c>
      <c r="K85" s="64">
        <f>VLOOKUP($B85,'7. PGE_Efficacité'!$A$6:$AO$268,15,0)</f>
        <v>0</v>
      </c>
      <c r="L85" s="64">
        <f>VLOOKUP($B85,'7. PGE_Efficacité'!$A$6:$AO$268,16,0)</f>
        <v>0</v>
      </c>
      <c r="M85" s="64">
        <f>VLOOKUP($B85,'7. PGE_Efficacité'!$A$6:$AO$268,17,0)</f>
        <v>0</v>
      </c>
      <c r="N85" s="64">
        <f>VLOOKUP($B85,'7. PGE_Efficacité'!$A$6:$AO$268,18,0)</f>
        <v>0</v>
      </c>
      <c r="O85" s="64">
        <f>VLOOKUP($B85,'7. PGE_Efficacité'!$A$6:$AO$268,19,0)</f>
        <v>0</v>
      </c>
      <c r="P85" s="64">
        <f>VLOOKUP($B85,'7. PGE_Efficacité'!$A$6:$AO$268,20,0)</f>
        <v>0</v>
      </c>
      <c r="Q85" s="64">
        <f>VLOOKUP($B85,'7. PGE_Efficacité'!$A$6:$AO$268,21,0)</f>
        <v>0</v>
      </c>
      <c r="R85" s="64">
        <f>VLOOKUP($B85,'7. PGE_Efficacité'!$A$6:$AO$268,22,0)</f>
        <v>0</v>
      </c>
      <c r="S85" s="64">
        <f>VLOOKUP($B85,'7. PGE_Efficacité'!$A$6:$AO$268,23,0)</f>
        <v>0</v>
      </c>
      <c r="T85" s="64">
        <f>VLOOKUP($B85,'7. PGE_Efficacité'!$A$6:$AO$268,24,0)</f>
        <v>0</v>
      </c>
      <c r="U85" s="64">
        <f>VLOOKUP($B85,'7. PGE_Efficacité'!$A$6:$AO$268,25,0)</f>
        <v>0</v>
      </c>
      <c r="V85" s="64">
        <f>VLOOKUP($B85,'7. PGE_Efficacité'!$A$6:$AO$268,26,0)</f>
        <v>0</v>
      </c>
      <c r="W85" s="61">
        <f>VLOOKUP($B85,'7. PGE_Efficacité'!$A$6:$AO$268,27,0)</f>
        <v>0</v>
      </c>
      <c r="X85" s="61">
        <f>VLOOKUP($B85,'7. PGE_Efficacité'!$A$6:$AO$268,28,0)</f>
        <v>0</v>
      </c>
      <c r="Y85" s="61">
        <f>VLOOKUP($B85,'7. PGE_Efficacité'!$A$6:$AO$268,29,0)</f>
        <v>0</v>
      </c>
      <c r="Z85" s="61">
        <f>VLOOKUP($B85,'7. PGE_Efficacité'!$A$6:$AO$268,30,0)</f>
        <v>0</v>
      </c>
      <c r="AA85" s="61">
        <f>VLOOKUP($B85,'7. PGE_Efficacité'!$A$6:$AO$268,31,0)</f>
        <v>0</v>
      </c>
      <c r="AB85" s="61">
        <f>VLOOKUP($B85,'7. PGE_Efficacité'!$A$6:$AO$268,32,0)</f>
        <v>0</v>
      </c>
      <c r="AC85" s="61">
        <f>VLOOKUP($B85,'7. PGE_Efficacité'!$A$6:$AO$268,33,0)</f>
        <v>0</v>
      </c>
      <c r="AD85" s="61">
        <f>VLOOKUP($B85,'7. PGE_Efficacité'!$A$6:$AO$268,34,0)</f>
        <v>0</v>
      </c>
      <c r="AE85" s="61">
        <f>VLOOKUP($B85,'7. PGE_Efficacité'!$A$6:$AO$268,35,0)</f>
        <v>0</v>
      </c>
      <c r="AF85" s="61">
        <f>VLOOKUP($B85,'7. PGE_Efficacité'!$A$6:$AO$268,36,0)</f>
        <v>0</v>
      </c>
      <c r="AG85" s="61">
        <f>VLOOKUP($B85,'7. PGE_Efficacité'!$A$6:$AO$268,37,0)</f>
        <v>0</v>
      </c>
      <c r="AH85" s="61">
        <f>VLOOKUP($B85,'7. PGE_Efficacité'!$A$6:$AO$268,38,0)</f>
        <v>0</v>
      </c>
      <c r="AI85" s="61">
        <f>VLOOKUP($B85,'7. PGE_Efficacité'!$A$6:$AO$268,39,0)</f>
        <v>0</v>
      </c>
      <c r="AJ85" s="61">
        <f>VLOOKUP($B85,'7. PGE_Efficacité'!$A$6:$AO$268,40,0)</f>
        <v>0</v>
      </c>
      <c r="AK85" s="61">
        <f>VLOOKUP($B85,'7. PGE_Efficacité'!$A$6:$AO$268,41,0)</f>
        <v>0</v>
      </c>
    </row>
    <row r="86" spans="1:37" hidden="1" outlineLevel="1" x14ac:dyDescent="0.25">
      <c r="A86" s="65" t="s">
        <v>8</v>
      </c>
      <c r="B86" s="65" t="s">
        <v>844</v>
      </c>
      <c r="C86" s="65" t="s">
        <v>1474</v>
      </c>
      <c r="D86" s="65" t="s">
        <v>1522</v>
      </c>
      <c r="E86" s="65" t="s">
        <v>1289</v>
      </c>
      <c r="F86" s="70">
        <v>0</v>
      </c>
      <c r="G86" s="64">
        <f>VLOOKUP($B86,'7. PGE_Efficacité'!$A$6:$AO$268,11,0)</f>
        <v>0</v>
      </c>
      <c r="H86" s="64">
        <f>VLOOKUP($B86,'7. PGE_Efficacité'!$A$6:$AO$268,12,0)</f>
        <v>0</v>
      </c>
      <c r="I86" s="64">
        <f>VLOOKUP($B86,'7. PGE_Efficacité'!$A$6:$AO$268,13,0)</f>
        <v>0</v>
      </c>
      <c r="J86" s="64">
        <f>VLOOKUP($B86,'7. PGE_Efficacité'!$A$6:$AO$268,14,0)</f>
        <v>0</v>
      </c>
      <c r="K86" s="64">
        <f>VLOOKUP($B86,'7. PGE_Efficacité'!$A$6:$AO$268,15,0)</f>
        <v>0</v>
      </c>
      <c r="L86" s="64">
        <f>VLOOKUP($B86,'7. PGE_Efficacité'!$A$6:$AO$268,16,0)</f>
        <v>0</v>
      </c>
      <c r="M86" s="64">
        <f>VLOOKUP($B86,'7. PGE_Efficacité'!$A$6:$AO$268,17,0)</f>
        <v>0</v>
      </c>
      <c r="N86" s="64">
        <f>VLOOKUP($B86,'7. PGE_Efficacité'!$A$6:$AO$268,18,0)</f>
        <v>0</v>
      </c>
      <c r="O86" s="64">
        <f>VLOOKUP($B86,'7. PGE_Efficacité'!$A$6:$AO$268,19,0)</f>
        <v>0</v>
      </c>
      <c r="P86" s="64">
        <f>VLOOKUP($B86,'7. PGE_Efficacité'!$A$6:$AO$268,20,0)</f>
        <v>0</v>
      </c>
      <c r="Q86" s="64">
        <f>VLOOKUP($B86,'7. PGE_Efficacité'!$A$6:$AO$268,21,0)</f>
        <v>0</v>
      </c>
      <c r="R86" s="64">
        <f>VLOOKUP($B86,'7. PGE_Efficacité'!$A$6:$AO$268,22,0)</f>
        <v>0</v>
      </c>
      <c r="S86" s="64">
        <f>VLOOKUP($B86,'7. PGE_Efficacité'!$A$6:$AO$268,23,0)</f>
        <v>0</v>
      </c>
      <c r="T86" s="64">
        <f>VLOOKUP($B86,'7. PGE_Efficacité'!$A$6:$AO$268,24,0)</f>
        <v>0</v>
      </c>
      <c r="U86" s="64">
        <f>VLOOKUP($B86,'7. PGE_Efficacité'!$A$6:$AO$268,25,0)</f>
        <v>0</v>
      </c>
      <c r="V86" s="64">
        <f>VLOOKUP($B86,'7. PGE_Efficacité'!$A$6:$AO$268,26,0)</f>
        <v>0</v>
      </c>
      <c r="W86" s="61">
        <f>VLOOKUP($B86,'7. PGE_Efficacité'!$A$6:$AO$268,27,0)</f>
        <v>0</v>
      </c>
      <c r="X86" s="61">
        <f>VLOOKUP($B86,'7. PGE_Efficacité'!$A$6:$AO$268,28,0)</f>
        <v>0</v>
      </c>
      <c r="Y86" s="61">
        <f>VLOOKUP($B86,'7. PGE_Efficacité'!$A$6:$AO$268,29,0)</f>
        <v>0</v>
      </c>
      <c r="Z86" s="61">
        <f>VLOOKUP($B86,'7. PGE_Efficacité'!$A$6:$AO$268,30,0)</f>
        <v>0</v>
      </c>
      <c r="AA86" s="61">
        <f>VLOOKUP($B86,'7. PGE_Efficacité'!$A$6:$AO$268,31,0)</f>
        <v>0</v>
      </c>
      <c r="AB86" s="61">
        <f>VLOOKUP($B86,'7. PGE_Efficacité'!$A$6:$AO$268,32,0)</f>
        <v>0</v>
      </c>
      <c r="AC86" s="61">
        <f>VLOOKUP($B86,'7. PGE_Efficacité'!$A$6:$AO$268,33,0)</f>
        <v>0</v>
      </c>
      <c r="AD86" s="61">
        <f>VLOOKUP($B86,'7. PGE_Efficacité'!$A$6:$AO$268,34,0)</f>
        <v>0</v>
      </c>
      <c r="AE86" s="61">
        <f>VLOOKUP($B86,'7. PGE_Efficacité'!$A$6:$AO$268,35,0)</f>
        <v>0</v>
      </c>
      <c r="AF86" s="61">
        <f>VLOOKUP($B86,'7. PGE_Efficacité'!$A$6:$AO$268,36,0)</f>
        <v>0</v>
      </c>
      <c r="AG86" s="61">
        <f>VLOOKUP($B86,'7. PGE_Efficacité'!$A$6:$AO$268,37,0)</f>
        <v>0</v>
      </c>
      <c r="AH86" s="61">
        <f>VLOOKUP($B86,'7. PGE_Efficacité'!$A$6:$AO$268,38,0)</f>
        <v>0</v>
      </c>
      <c r="AI86" s="61">
        <f>VLOOKUP($B86,'7. PGE_Efficacité'!$A$6:$AO$268,39,0)</f>
        <v>0</v>
      </c>
      <c r="AJ86" s="61">
        <f>VLOOKUP($B86,'7. PGE_Efficacité'!$A$6:$AO$268,40,0)</f>
        <v>0</v>
      </c>
      <c r="AK86" s="61">
        <f>VLOOKUP($B86,'7. PGE_Efficacité'!$A$6:$AO$268,41,0)</f>
        <v>0</v>
      </c>
    </row>
    <row r="87" spans="1:37" hidden="1" outlineLevel="1" x14ac:dyDescent="0.25">
      <c r="A87" s="65" t="s">
        <v>8</v>
      </c>
      <c r="B87" s="65" t="s">
        <v>845</v>
      </c>
      <c r="C87" s="65" t="s">
        <v>1475</v>
      </c>
      <c r="D87" s="65" t="s">
        <v>1522</v>
      </c>
      <c r="E87" s="65" t="s">
        <v>415</v>
      </c>
      <c r="F87" s="70">
        <v>1400000</v>
      </c>
      <c r="G87" s="64">
        <f>VLOOKUP($B87,'7. PGE_Efficacité'!$A$6:$AO$268,11,0)</f>
        <v>0</v>
      </c>
      <c r="H87" s="64">
        <f>VLOOKUP($B87,'7. PGE_Efficacité'!$A$6:$AO$268,12,0)</f>
        <v>0</v>
      </c>
      <c r="I87" s="64">
        <f>VLOOKUP($B87,'7. PGE_Efficacité'!$A$6:$AO$268,13,0)</f>
        <v>0</v>
      </c>
      <c r="J87" s="64">
        <f>VLOOKUP($B87,'7. PGE_Efficacité'!$A$6:$AO$268,14,0)</f>
        <v>0</v>
      </c>
      <c r="K87" s="64">
        <f>VLOOKUP($B87,'7. PGE_Efficacité'!$A$6:$AO$268,15,0)</f>
        <v>0</v>
      </c>
      <c r="L87" s="64">
        <f>VLOOKUP($B87,'7. PGE_Efficacité'!$A$6:$AO$268,16,0)</f>
        <v>0</v>
      </c>
      <c r="M87" s="64">
        <f>VLOOKUP($B87,'7. PGE_Efficacité'!$A$6:$AO$268,17,0)</f>
        <v>0</v>
      </c>
      <c r="N87" s="64">
        <f>VLOOKUP($B87,'7. PGE_Efficacité'!$A$6:$AO$268,18,0)</f>
        <v>0</v>
      </c>
      <c r="O87" s="64">
        <f>VLOOKUP($B87,'7. PGE_Efficacité'!$A$6:$AO$268,19,0)</f>
        <v>0</v>
      </c>
      <c r="P87" s="64">
        <f>VLOOKUP($B87,'7. PGE_Efficacité'!$A$6:$AO$268,20,0)</f>
        <v>0</v>
      </c>
      <c r="Q87" s="64">
        <f>VLOOKUP($B87,'7. PGE_Efficacité'!$A$6:$AO$268,21,0)</f>
        <v>0</v>
      </c>
      <c r="R87" s="64">
        <f>VLOOKUP($B87,'7. PGE_Efficacité'!$A$6:$AO$268,22,0)</f>
        <v>0</v>
      </c>
      <c r="S87" s="64">
        <f>VLOOKUP($B87,'7. PGE_Efficacité'!$A$6:$AO$268,23,0)</f>
        <v>0</v>
      </c>
      <c r="T87" s="64">
        <f>VLOOKUP($B87,'7. PGE_Efficacité'!$A$6:$AO$268,24,0)</f>
        <v>0</v>
      </c>
      <c r="U87" s="64">
        <f>VLOOKUP($B87,'7. PGE_Efficacité'!$A$6:$AO$268,25,0)</f>
        <v>0</v>
      </c>
      <c r="V87" s="64">
        <f>VLOOKUP($B87,'7. PGE_Efficacité'!$A$6:$AO$268,26,0)</f>
        <v>0</v>
      </c>
      <c r="W87" s="61">
        <f>VLOOKUP($B87,'7. PGE_Efficacité'!$A$6:$AO$268,27,0)</f>
        <v>0</v>
      </c>
      <c r="X87" s="61">
        <f>VLOOKUP($B87,'7. PGE_Efficacité'!$A$6:$AO$268,28,0)</f>
        <v>0</v>
      </c>
      <c r="Y87" s="61">
        <f>VLOOKUP($B87,'7. PGE_Efficacité'!$A$6:$AO$268,29,0)</f>
        <v>0</v>
      </c>
      <c r="Z87" s="61">
        <f>VLOOKUP($B87,'7. PGE_Efficacité'!$A$6:$AO$268,30,0)</f>
        <v>0</v>
      </c>
      <c r="AA87" s="61">
        <f>VLOOKUP($B87,'7. PGE_Efficacité'!$A$6:$AO$268,31,0)</f>
        <v>0</v>
      </c>
      <c r="AB87" s="61">
        <f>VLOOKUP($B87,'7. PGE_Efficacité'!$A$6:$AO$268,32,0)</f>
        <v>0</v>
      </c>
      <c r="AC87" s="61">
        <f>VLOOKUP($B87,'7. PGE_Efficacité'!$A$6:$AO$268,33,0)</f>
        <v>0</v>
      </c>
      <c r="AD87" s="61">
        <f>VLOOKUP($B87,'7. PGE_Efficacité'!$A$6:$AO$268,34,0)</f>
        <v>0</v>
      </c>
      <c r="AE87" s="61">
        <f>VLOOKUP($B87,'7. PGE_Efficacité'!$A$6:$AO$268,35,0)</f>
        <v>0</v>
      </c>
      <c r="AF87" s="61">
        <f>VLOOKUP($B87,'7. PGE_Efficacité'!$A$6:$AO$268,36,0)</f>
        <v>0</v>
      </c>
      <c r="AG87" s="61">
        <f>VLOOKUP($B87,'7. PGE_Efficacité'!$A$6:$AO$268,37,0)</f>
        <v>0</v>
      </c>
      <c r="AH87" s="61">
        <f>VLOOKUP($B87,'7. PGE_Efficacité'!$A$6:$AO$268,38,0)</f>
        <v>0</v>
      </c>
      <c r="AI87" s="61">
        <f>VLOOKUP($B87,'7. PGE_Efficacité'!$A$6:$AO$268,39,0)</f>
        <v>0</v>
      </c>
      <c r="AJ87" s="61">
        <f>VLOOKUP($B87,'7. PGE_Efficacité'!$A$6:$AO$268,40,0)</f>
        <v>0</v>
      </c>
      <c r="AK87" s="61">
        <f>VLOOKUP($B87,'7. PGE_Efficacité'!$A$6:$AO$268,41,0)</f>
        <v>0</v>
      </c>
    </row>
    <row r="88" spans="1:37" hidden="1" outlineLevel="1" x14ac:dyDescent="0.25">
      <c r="A88" s="65" t="s">
        <v>8</v>
      </c>
      <c r="B88" s="65" t="s">
        <v>846</v>
      </c>
      <c r="C88" s="65" t="s">
        <v>1476</v>
      </c>
      <c r="D88" s="65" t="s">
        <v>1522</v>
      </c>
      <c r="E88" s="65" t="s">
        <v>415</v>
      </c>
      <c r="F88" s="70">
        <v>100000</v>
      </c>
      <c r="G88" s="64">
        <f>VLOOKUP($B88,'7. PGE_Efficacité'!$A$6:$AO$268,11,0)</f>
        <v>0</v>
      </c>
      <c r="H88" s="64">
        <f>VLOOKUP($B88,'7. PGE_Efficacité'!$A$6:$AO$268,12,0)</f>
        <v>0</v>
      </c>
      <c r="I88" s="64">
        <f>VLOOKUP($B88,'7. PGE_Efficacité'!$A$6:$AO$268,13,0)</f>
        <v>0</v>
      </c>
      <c r="J88" s="64">
        <f>VLOOKUP($B88,'7. PGE_Efficacité'!$A$6:$AO$268,14,0)</f>
        <v>0</v>
      </c>
      <c r="K88" s="64">
        <f>VLOOKUP($B88,'7. PGE_Efficacité'!$A$6:$AO$268,15,0)</f>
        <v>0</v>
      </c>
      <c r="L88" s="64">
        <f>VLOOKUP($B88,'7. PGE_Efficacité'!$A$6:$AO$268,16,0)</f>
        <v>0</v>
      </c>
      <c r="M88" s="64">
        <f>VLOOKUP($B88,'7. PGE_Efficacité'!$A$6:$AO$268,17,0)</f>
        <v>0</v>
      </c>
      <c r="N88" s="64">
        <f>VLOOKUP($B88,'7. PGE_Efficacité'!$A$6:$AO$268,18,0)</f>
        <v>0</v>
      </c>
      <c r="O88" s="64">
        <f>VLOOKUP($B88,'7. PGE_Efficacité'!$A$6:$AO$268,19,0)</f>
        <v>0</v>
      </c>
      <c r="P88" s="64">
        <f>VLOOKUP($B88,'7. PGE_Efficacité'!$A$6:$AO$268,20,0)</f>
        <v>0</v>
      </c>
      <c r="Q88" s="64">
        <f>VLOOKUP($B88,'7. PGE_Efficacité'!$A$6:$AO$268,21,0)</f>
        <v>0</v>
      </c>
      <c r="R88" s="64">
        <f>VLOOKUP($B88,'7. PGE_Efficacité'!$A$6:$AO$268,22,0)</f>
        <v>0</v>
      </c>
      <c r="S88" s="64">
        <f>VLOOKUP($B88,'7. PGE_Efficacité'!$A$6:$AO$268,23,0)</f>
        <v>0</v>
      </c>
      <c r="T88" s="64">
        <f>VLOOKUP($B88,'7. PGE_Efficacité'!$A$6:$AO$268,24,0)</f>
        <v>0</v>
      </c>
      <c r="U88" s="64">
        <f>VLOOKUP($B88,'7. PGE_Efficacité'!$A$6:$AO$268,25,0)</f>
        <v>0</v>
      </c>
      <c r="V88" s="64">
        <f>VLOOKUP($B88,'7. PGE_Efficacité'!$A$6:$AO$268,26,0)</f>
        <v>0</v>
      </c>
      <c r="W88" s="61">
        <f>VLOOKUP($B88,'7. PGE_Efficacité'!$A$6:$AO$268,27,0)</f>
        <v>0</v>
      </c>
      <c r="X88" s="61">
        <f>VLOOKUP($B88,'7. PGE_Efficacité'!$A$6:$AO$268,28,0)</f>
        <v>0</v>
      </c>
      <c r="Y88" s="61">
        <f>VLOOKUP($B88,'7. PGE_Efficacité'!$A$6:$AO$268,29,0)</f>
        <v>0</v>
      </c>
      <c r="Z88" s="61">
        <f>VLOOKUP($B88,'7. PGE_Efficacité'!$A$6:$AO$268,30,0)</f>
        <v>0</v>
      </c>
      <c r="AA88" s="61">
        <f>VLOOKUP($B88,'7. PGE_Efficacité'!$A$6:$AO$268,31,0)</f>
        <v>0</v>
      </c>
      <c r="AB88" s="61">
        <f>VLOOKUP($B88,'7. PGE_Efficacité'!$A$6:$AO$268,32,0)</f>
        <v>0</v>
      </c>
      <c r="AC88" s="61">
        <f>VLOOKUP($B88,'7. PGE_Efficacité'!$A$6:$AO$268,33,0)</f>
        <v>0</v>
      </c>
      <c r="AD88" s="61">
        <f>VLOOKUP($B88,'7. PGE_Efficacité'!$A$6:$AO$268,34,0)</f>
        <v>0</v>
      </c>
      <c r="AE88" s="61">
        <f>VLOOKUP($B88,'7. PGE_Efficacité'!$A$6:$AO$268,35,0)</f>
        <v>0</v>
      </c>
      <c r="AF88" s="61">
        <f>VLOOKUP($B88,'7. PGE_Efficacité'!$A$6:$AO$268,36,0)</f>
        <v>0</v>
      </c>
      <c r="AG88" s="61">
        <f>VLOOKUP($B88,'7. PGE_Efficacité'!$A$6:$AO$268,37,0)</f>
        <v>0</v>
      </c>
      <c r="AH88" s="61">
        <f>VLOOKUP($B88,'7. PGE_Efficacité'!$A$6:$AO$268,38,0)</f>
        <v>0</v>
      </c>
      <c r="AI88" s="61">
        <f>VLOOKUP($B88,'7. PGE_Efficacité'!$A$6:$AO$268,39,0)</f>
        <v>0</v>
      </c>
      <c r="AJ88" s="61">
        <f>VLOOKUP($B88,'7. PGE_Efficacité'!$A$6:$AO$268,40,0)</f>
        <v>0</v>
      </c>
      <c r="AK88" s="61">
        <f>VLOOKUP($B88,'7. PGE_Efficacité'!$A$6:$AO$268,41,0)</f>
        <v>0</v>
      </c>
    </row>
    <row r="89" spans="1:37" hidden="1" outlineLevel="1" x14ac:dyDescent="0.25">
      <c r="A89" s="65" t="s">
        <v>8</v>
      </c>
      <c r="B89" s="65" t="s">
        <v>847</v>
      </c>
      <c r="C89" s="65" t="s">
        <v>1477</v>
      </c>
      <c r="D89" s="65" t="s">
        <v>1522</v>
      </c>
      <c r="E89" s="65" t="s">
        <v>415</v>
      </c>
      <c r="F89" s="70">
        <v>100000</v>
      </c>
      <c r="G89" s="64">
        <f>VLOOKUP($B89,'7. PGE_Efficacité'!$A$6:$AO$268,11,0)</f>
        <v>0</v>
      </c>
      <c r="H89" s="64">
        <f>VLOOKUP($B89,'7. PGE_Efficacité'!$A$6:$AO$268,12,0)</f>
        <v>0</v>
      </c>
      <c r="I89" s="64">
        <f>VLOOKUP($B89,'7. PGE_Efficacité'!$A$6:$AO$268,13,0)</f>
        <v>0</v>
      </c>
      <c r="J89" s="64">
        <f>VLOOKUP($B89,'7. PGE_Efficacité'!$A$6:$AO$268,14,0)</f>
        <v>0</v>
      </c>
      <c r="K89" s="64">
        <f>VLOOKUP($B89,'7. PGE_Efficacité'!$A$6:$AO$268,15,0)</f>
        <v>0</v>
      </c>
      <c r="L89" s="64">
        <f>VLOOKUP($B89,'7. PGE_Efficacité'!$A$6:$AO$268,16,0)</f>
        <v>0</v>
      </c>
      <c r="M89" s="64">
        <f>VLOOKUP($B89,'7. PGE_Efficacité'!$A$6:$AO$268,17,0)</f>
        <v>0</v>
      </c>
      <c r="N89" s="64">
        <f>VLOOKUP($B89,'7. PGE_Efficacité'!$A$6:$AO$268,18,0)</f>
        <v>0</v>
      </c>
      <c r="O89" s="64">
        <f>VLOOKUP($B89,'7. PGE_Efficacité'!$A$6:$AO$268,19,0)</f>
        <v>0</v>
      </c>
      <c r="P89" s="64">
        <f>VLOOKUP($B89,'7. PGE_Efficacité'!$A$6:$AO$268,20,0)</f>
        <v>0</v>
      </c>
      <c r="Q89" s="64">
        <f>VLOOKUP($B89,'7. PGE_Efficacité'!$A$6:$AO$268,21,0)</f>
        <v>0</v>
      </c>
      <c r="R89" s="64">
        <f>VLOOKUP($B89,'7. PGE_Efficacité'!$A$6:$AO$268,22,0)</f>
        <v>0</v>
      </c>
      <c r="S89" s="64">
        <f>VLOOKUP($B89,'7. PGE_Efficacité'!$A$6:$AO$268,23,0)</f>
        <v>0</v>
      </c>
      <c r="T89" s="64">
        <f>VLOOKUP($B89,'7. PGE_Efficacité'!$A$6:$AO$268,24,0)</f>
        <v>0</v>
      </c>
      <c r="U89" s="64">
        <f>VLOOKUP($B89,'7. PGE_Efficacité'!$A$6:$AO$268,25,0)</f>
        <v>0</v>
      </c>
      <c r="V89" s="64">
        <f>VLOOKUP($B89,'7. PGE_Efficacité'!$A$6:$AO$268,26,0)</f>
        <v>0</v>
      </c>
      <c r="W89" s="61">
        <f>VLOOKUP($B89,'7. PGE_Efficacité'!$A$6:$AO$268,27,0)</f>
        <v>0</v>
      </c>
      <c r="X89" s="61">
        <f>VLOOKUP($B89,'7. PGE_Efficacité'!$A$6:$AO$268,28,0)</f>
        <v>0</v>
      </c>
      <c r="Y89" s="61">
        <f>VLOOKUP($B89,'7. PGE_Efficacité'!$A$6:$AO$268,29,0)</f>
        <v>0</v>
      </c>
      <c r="Z89" s="61">
        <f>VLOOKUP($B89,'7. PGE_Efficacité'!$A$6:$AO$268,30,0)</f>
        <v>0</v>
      </c>
      <c r="AA89" s="61">
        <f>VLOOKUP($B89,'7. PGE_Efficacité'!$A$6:$AO$268,31,0)</f>
        <v>0</v>
      </c>
      <c r="AB89" s="61">
        <f>VLOOKUP($B89,'7. PGE_Efficacité'!$A$6:$AO$268,32,0)</f>
        <v>0</v>
      </c>
      <c r="AC89" s="61">
        <f>VLOOKUP($B89,'7. PGE_Efficacité'!$A$6:$AO$268,33,0)</f>
        <v>0</v>
      </c>
      <c r="AD89" s="61">
        <f>VLOOKUP($B89,'7. PGE_Efficacité'!$A$6:$AO$268,34,0)</f>
        <v>0</v>
      </c>
      <c r="AE89" s="61">
        <f>VLOOKUP($B89,'7. PGE_Efficacité'!$A$6:$AO$268,35,0)</f>
        <v>0</v>
      </c>
      <c r="AF89" s="61">
        <f>VLOOKUP($B89,'7. PGE_Efficacité'!$A$6:$AO$268,36,0)</f>
        <v>0</v>
      </c>
      <c r="AG89" s="61">
        <f>VLOOKUP($B89,'7. PGE_Efficacité'!$A$6:$AO$268,37,0)</f>
        <v>0</v>
      </c>
      <c r="AH89" s="61">
        <f>VLOOKUP($B89,'7. PGE_Efficacité'!$A$6:$AO$268,38,0)</f>
        <v>0</v>
      </c>
      <c r="AI89" s="61">
        <f>VLOOKUP($B89,'7. PGE_Efficacité'!$A$6:$AO$268,39,0)</f>
        <v>0</v>
      </c>
      <c r="AJ89" s="61">
        <f>VLOOKUP($B89,'7. PGE_Efficacité'!$A$6:$AO$268,40,0)</f>
        <v>0</v>
      </c>
      <c r="AK89" s="61">
        <f>VLOOKUP($B89,'7. PGE_Efficacité'!$A$6:$AO$268,41,0)</f>
        <v>0</v>
      </c>
    </row>
    <row r="90" spans="1:37" hidden="1" outlineLevel="1" x14ac:dyDescent="0.25">
      <c r="A90" s="65" t="s">
        <v>8</v>
      </c>
      <c r="B90" s="65" t="s">
        <v>848</v>
      </c>
      <c r="C90" s="65" t="s">
        <v>1478</v>
      </c>
      <c r="D90" s="65" t="s">
        <v>1522</v>
      </c>
      <c r="E90" s="65" t="s">
        <v>415</v>
      </c>
      <c r="F90" s="70">
        <v>300000</v>
      </c>
      <c r="G90" s="64">
        <f>VLOOKUP($B90,'7. PGE_Efficacité'!$A$6:$AO$268,11,0)</f>
        <v>0</v>
      </c>
      <c r="H90" s="64">
        <f>VLOOKUP($B90,'7. PGE_Efficacité'!$A$6:$AO$268,12,0)</f>
        <v>0</v>
      </c>
      <c r="I90" s="64">
        <f>VLOOKUP($B90,'7. PGE_Efficacité'!$A$6:$AO$268,13,0)</f>
        <v>0</v>
      </c>
      <c r="J90" s="64">
        <f>VLOOKUP($B90,'7. PGE_Efficacité'!$A$6:$AO$268,14,0)</f>
        <v>0</v>
      </c>
      <c r="K90" s="64">
        <f>VLOOKUP($B90,'7. PGE_Efficacité'!$A$6:$AO$268,15,0)</f>
        <v>0</v>
      </c>
      <c r="L90" s="64">
        <f>VLOOKUP($B90,'7. PGE_Efficacité'!$A$6:$AO$268,16,0)</f>
        <v>0</v>
      </c>
      <c r="M90" s="64">
        <f>VLOOKUP($B90,'7. PGE_Efficacité'!$A$6:$AO$268,17,0)</f>
        <v>0</v>
      </c>
      <c r="N90" s="64">
        <f>VLOOKUP($B90,'7. PGE_Efficacité'!$A$6:$AO$268,18,0)</f>
        <v>0</v>
      </c>
      <c r="O90" s="64">
        <f>VLOOKUP($B90,'7. PGE_Efficacité'!$A$6:$AO$268,19,0)</f>
        <v>0</v>
      </c>
      <c r="P90" s="64">
        <f>VLOOKUP($B90,'7. PGE_Efficacité'!$A$6:$AO$268,20,0)</f>
        <v>0</v>
      </c>
      <c r="Q90" s="64">
        <f>VLOOKUP($B90,'7. PGE_Efficacité'!$A$6:$AO$268,21,0)</f>
        <v>0</v>
      </c>
      <c r="R90" s="64">
        <f>VLOOKUP($B90,'7. PGE_Efficacité'!$A$6:$AO$268,22,0)</f>
        <v>0</v>
      </c>
      <c r="S90" s="64">
        <f>VLOOKUP($B90,'7. PGE_Efficacité'!$A$6:$AO$268,23,0)</f>
        <v>0</v>
      </c>
      <c r="T90" s="64">
        <f>VLOOKUP($B90,'7. PGE_Efficacité'!$A$6:$AO$268,24,0)</f>
        <v>0</v>
      </c>
      <c r="U90" s="64">
        <f>VLOOKUP($B90,'7. PGE_Efficacité'!$A$6:$AO$268,25,0)</f>
        <v>0</v>
      </c>
      <c r="V90" s="64">
        <f>VLOOKUP($B90,'7. PGE_Efficacité'!$A$6:$AO$268,26,0)</f>
        <v>0</v>
      </c>
      <c r="W90" s="61">
        <f>VLOOKUP($B90,'7. PGE_Efficacité'!$A$6:$AO$268,27,0)</f>
        <v>0</v>
      </c>
      <c r="X90" s="61">
        <f>VLOOKUP($B90,'7. PGE_Efficacité'!$A$6:$AO$268,28,0)</f>
        <v>0</v>
      </c>
      <c r="Y90" s="61">
        <f>VLOOKUP($B90,'7. PGE_Efficacité'!$A$6:$AO$268,29,0)</f>
        <v>0</v>
      </c>
      <c r="Z90" s="61">
        <f>VLOOKUP($B90,'7. PGE_Efficacité'!$A$6:$AO$268,30,0)</f>
        <v>0</v>
      </c>
      <c r="AA90" s="61">
        <f>VLOOKUP($B90,'7. PGE_Efficacité'!$A$6:$AO$268,31,0)</f>
        <v>0</v>
      </c>
      <c r="AB90" s="61">
        <f>VLOOKUP($B90,'7. PGE_Efficacité'!$A$6:$AO$268,32,0)</f>
        <v>0</v>
      </c>
      <c r="AC90" s="61">
        <f>VLOOKUP($B90,'7. PGE_Efficacité'!$A$6:$AO$268,33,0)</f>
        <v>0</v>
      </c>
      <c r="AD90" s="61">
        <f>VLOOKUP($B90,'7. PGE_Efficacité'!$A$6:$AO$268,34,0)</f>
        <v>0</v>
      </c>
      <c r="AE90" s="61">
        <f>VLOOKUP($B90,'7. PGE_Efficacité'!$A$6:$AO$268,35,0)</f>
        <v>0</v>
      </c>
      <c r="AF90" s="61">
        <f>VLOOKUP($B90,'7. PGE_Efficacité'!$A$6:$AO$268,36,0)</f>
        <v>0</v>
      </c>
      <c r="AG90" s="61">
        <f>VLOOKUP($B90,'7. PGE_Efficacité'!$A$6:$AO$268,37,0)</f>
        <v>0</v>
      </c>
      <c r="AH90" s="61">
        <f>VLOOKUP($B90,'7. PGE_Efficacité'!$A$6:$AO$268,38,0)</f>
        <v>0</v>
      </c>
      <c r="AI90" s="61">
        <f>VLOOKUP($B90,'7. PGE_Efficacité'!$A$6:$AO$268,39,0)</f>
        <v>0</v>
      </c>
      <c r="AJ90" s="61">
        <f>VLOOKUP($B90,'7. PGE_Efficacité'!$A$6:$AO$268,40,0)</f>
        <v>0</v>
      </c>
      <c r="AK90" s="61">
        <f>VLOOKUP($B90,'7. PGE_Efficacité'!$A$6:$AO$268,41,0)</f>
        <v>0</v>
      </c>
    </row>
    <row r="91" spans="1:37" hidden="1" outlineLevel="1" x14ac:dyDescent="0.25">
      <c r="A91" s="65" t="s">
        <v>8</v>
      </c>
      <c r="B91" s="65" t="s">
        <v>849</v>
      </c>
      <c r="C91" s="65" t="s">
        <v>1479</v>
      </c>
      <c r="D91" s="65" t="s">
        <v>1522</v>
      </c>
      <c r="E91" s="65" t="s">
        <v>415</v>
      </c>
      <c r="F91" s="70">
        <v>20000</v>
      </c>
      <c r="G91" s="64">
        <f>VLOOKUP($B91,'7. PGE_Efficacité'!$A$6:$AO$268,11,0)</f>
        <v>0</v>
      </c>
      <c r="H91" s="64">
        <f>VLOOKUP($B91,'7. PGE_Efficacité'!$A$6:$AO$268,12,0)</f>
        <v>0</v>
      </c>
      <c r="I91" s="64">
        <f>VLOOKUP($B91,'7. PGE_Efficacité'!$A$6:$AO$268,13,0)</f>
        <v>0</v>
      </c>
      <c r="J91" s="64">
        <f>VLOOKUP($B91,'7. PGE_Efficacité'!$A$6:$AO$268,14,0)</f>
        <v>0</v>
      </c>
      <c r="K91" s="64">
        <f>VLOOKUP($B91,'7. PGE_Efficacité'!$A$6:$AO$268,15,0)</f>
        <v>0</v>
      </c>
      <c r="L91" s="64">
        <f>VLOOKUP($B91,'7. PGE_Efficacité'!$A$6:$AO$268,16,0)</f>
        <v>0</v>
      </c>
      <c r="M91" s="64">
        <f>VLOOKUP($B91,'7. PGE_Efficacité'!$A$6:$AO$268,17,0)</f>
        <v>0</v>
      </c>
      <c r="N91" s="64">
        <f>VLOOKUP($B91,'7. PGE_Efficacité'!$A$6:$AO$268,18,0)</f>
        <v>0</v>
      </c>
      <c r="O91" s="64">
        <f>VLOOKUP($B91,'7. PGE_Efficacité'!$A$6:$AO$268,19,0)</f>
        <v>0</v>
      </c>
      <c r="P91" s="64">
        <f>VLOOKUP($B91,'7. PGE_Efficacité'!$A$6:$AO$268,20,0)</f>
        <v>0</v>
      </c>
      <c r="Q91" s="64">
        <f>VLOOKUP($B91,'7. PGE_Efficacité'!$A$6:$AO$268,21,0)</f>
        <v>0</v>
      </c>
      <c r="R91" s="64">
        <f>VLOOKUP($B91,'7. PGE_Efficacité'!$A$6:$AO$268,22,0)</f>
        <v>0</v>
      </c>
      <c r="S91" s="64">
        <f>VLOOKUP($B91,'7. PGE_Efficacité'!$A$6:$AO$268,23,0)</f>
        <v>0</v>
      </c>
      <c r="T91" s="64">
        <f>VLOOKUP($B91,'7. PGE_Efficacité'!$A$6:$AO$268,24,0)</f>
        <v>0</v>
      </c>
      <c r="U91" s="64">
        <f>VLOOKUP($B91,'7. PGE_Efficacité'!$A$6:$AO$268,25,0)</f>
        <v>0</v>
      </c>
      <c r="V91" s="64">
        <f>VLOOKUP($B91,'7. PGE_Efficacité'!$A$6:$AO$268,26,0)</f>
        <v>0</v>
      </c>
      <c r="W91" s="61">
        <f>VLOOKUP($B91,'7. PGE_Efficacité'!$A$6:$AO$268,27,0)</f>
        <v>0</v>
      </c>
      <c r="X91" s="61">
        <f>VLOOKUP($B91,'7. PGE_Efficacité'!$A$6:$AO$268,28,0)</f>
        <v>0</v>
      </c>
      <c r="Y91" s="61">
        <f>VLOOKUP($B91,'7. PGE_Efficacité'!$A$6:$AO$268,29,0)</f>
        <v>0</v>
      </c>
      <c r="Z91" s="61">
        <f>VLOOKUP($B91,'7. PGE_Efficacité'!$A$6:$AO$268,30,0)</f>
        <v>0</v>
      </c>
      <c r="AA91" s="61">
        <f>VLOOKUP($B91,'7. PGE_Efficacité'!$A$6:$AO$268,31,0)</f>
        <v>0</v>
      </c>
      <c r="AB91" s="61">
        <f>VLOOKUP($B91,'7. PGE_Efficacité'!$A$6:$AO$268,32,0)</f>
        <v>0</v>
      </c>
      <c r="AC91" s="61">
        <f>VLOOKUP($B91,'7. PGE_Efficacité'!$A$6:$AO$268,33,0)</f>
        <v>0</v>
      </c>
      <c r="AD91" s="61">
        <f>VLOOKUP($B91,'7. PGE_Efficacité'!$A$6:$AO$268,34,0)</f>
        <v>0</v>
      </c>
      <c r="AE91" s="61">
        <f>VLOOKUP($B91,'7. PGE_Efficacité'!$A$6:$AO$268,35,0)</f>
        <v>0</v>
      </c>
      <c r="AF91" s="61">
        <f>VLOOKUP($B91,'7. PGE_Efficacité'!$A$6:$AO$268,36,0)</f>
        <v>0</v>
      </c>
      <c r="AG91" s="61">
        <f>VLOOKUP($B91,'7. PGE_Efficacité'!$A$6:$AO$268,37,0)</f>
        <v>0</v>
      </c>
      <c r="AH91" s="61">
        <f>VLOOKUP($B91,'7. PGE_Efficacité'!$A$6:$AO$268,38,0)</f>
        <v>0</v>
      </c>
      <c r="AI91" s="61">
        <f>VLOOKUP($B91,'7. PGE_Efficacité'!$A$6:$AO$268,39,0)</f>
        <v>0</v>
      </c>
      <c r="AJ91" s="61">
        <f>VLOOKUP($B91,'7. PGE_Efficacité'!$A$6:$AO$268,40,0)</f>
        <v>0</v>
      </c>
      <c r="AK91" s="61">
        <f>VLOOKUP($B91,'7. PGE_Efficacité'!$A$6:$AO$268,41,0)</f>
        <v>0</v>
      </c>
    </row>
    <row r="92" spans="1:37" hidden="1" outlineLevel="1" x14ac:dyDescent="0.25">
      <c r="A92" s="65" t="s">
        <v>8</v>
      </c>
      <c r="B92" s="65" t="s">
        <v>850</v>
      </c>
      <c r="C92" s="65" t="s">
        <v>1480</v>
      </c>
      <c r="D92" s="65" t="s">
        <v>1522</v>
      </c>
      <c r="E92" s="65" t="s">
        <v>1289</v>
      </c>
      <c r="F92" s="70">
        <f>2950000/2</f>
        <v>1475000</v>
      </c>
      <c r="G92" s="64">
        <f>VLOOKUP($B92,'7. PGE_Efficacité'!$A$6:$AO$268,11,0)</f>
        <v>0</v>
      </c>
      <c r="H92" s="64">
        <f>VLOOKUP($B92,'7. PGE_Efficacité'!$A$6:$AO$268,12,0)</f>
        <v>0</v>
      </c>
      <c r="I92" s="64">
        <f>VLOOKUP($B92,'7. PGE_Efficacité'!$A$6:$AO$268,13,0)</f>
        <v>0</v>
      </c>
      <c r="J92" s="64">
        <f>VLOOKUP($B92,'7. PGE_Efficacité'!$A$6:$AO$268,14,0)</f>
        <v>0</v>
      </c>
      <c r="K92" s="64">
        <f>VLOOKUP($B92,'7. PGE_Efficacité'!$A$6:$AO$268,15,0)</f>
        <v>0</v>
      </c>
      <c r="L92" s="64">
        <f>VLOOKUP($B92,'7. PGE_Efficacité'!$A$6:$AO$268,16,0)</f>
        <v>0</v>
      </c>
      <c r="M92" s="64">
        <f>VLOOKUP($B92,'7. PGE_Efficacité'!$A$6:$AO$268,17,0)</f>
        <v>0</v>
      </c>
      <c r="N92" s="64">
        <f>VLOOKUP($B92,'7. PGE_Efficacité'!$A$6:$AO$268,18,0)</f>
        <v>0</v>
      </c>
      <c r="O92" s="64">
        <f>VLOOKUP($B92,'7. PGE_Efficacité'!$A$6:$AO$268,19,0)</f>
        <v>0</v>
      </c>
      <c r="P92" s="64">
        <f>VLOOKUP($B92,'7. PGE_Efficacité'!$A$6:$AO$268,20,0)</f>
        <v>0</v>
      </c>
      <c r="Q92" s="64">
        <f>VLOOKUP($B92,'7. PGE_Efficacité'!$A$6:$AO$268,21,0)</f>
        <v>0</v>
      </c>
      <c r="R92" s="64">
        <f>VLOOKUP($B92,'7. PGE_Efficacité'!$A$6:$AO$268,22,0)</f>
        <v>0</v>
      </c>
      <c r="S92" s="64">
        <f>VLOOKUP($B92,'7. PGE_Efficacité'!$A$6:$AO$268,23,0)</f>
        <v>0</v>
      </c>
      <c r="T92" s="64">
        <f>VLOOKUP($B92,'7. PGE_Efficacité'!$A$6:$AO$268,24,0)</f>
        <v>0</v>
      </c>
      <c r="U92" s="64">
        <f>VLOOKUP($B92,'7. PGE_Efficacité'!$A$6:$AO$268,25,0)</f>
        <v>0</v>
      </c>
      <c r="V92" s="64">
        <f>VLOOKUP($B92,'7. PGE_Efficacité'!$A$6:$AO$268,26,0)</f>
        <v>0</v>
      </c>
      <c r="W92" s="61">
        <f>VLOOKUP($B92,'7. PGE_Efficacité'!$A$6:$AO$268,27,0)</f>
        <v>0</v>
      </c>
      <c r="X92" s="61">
        <f>VLOOKUP($B92,'7. PGE_Efficacité'!$A$6:$AO$268,28,0)</f>
        <v>0</v>
      </c>
      <c r="Y92" s="61">
        <f>VLOOKUP($B92,'7. PGE_Efficacité'!$A$6:$AO$268,29,0)</f>
        <v>0</v>
      </c>
      <c r="Z92" s="61">
        <f>VLOOKUP($B92,'7. PGE_Efficacité'!$A$6:$AO$268,30,0)</f>
        <v>0</v>
      </c>
      <c r="AA92" s="61">
        <f>VLOOKUP($B92,'7. PGE_Efficacité'!$A$6:$AO$268,31,0)</f>
        <v>0</v>
      </c>
      <c r="AB92" s="61">
        <f>VLOOKUP($B92,'7. PGE_Efficacité'!$A$6:$AO$268,32,0)</f>
        <v>0</v>
      </c>
      <c r="AC92" s="61">
        <f>VLOOKUP($B92,'7. PGE_Efficacité'!$A$6:$AO$268,33,0)</f>
        <v>0</v>
      </c>
      <c r="AD92" s="61">
        <f>VLOOKUP($B92,'7. PGE_Efficacité'!$A$6:$AO$268,34,0)</f>
        <v>0</v>
      </c>
      <c r="AE92" s="61">
        <f>VLOOKUP($B92,'7. PGE_Efficacité'!$A$6:$AO$268,35,0)</f>
        <v>0</v>
      </c>
      <c r="AF92" s="61">
        <f>VLOOKUP($B92,'7. PGE_Efficacité'!$A$6:$AO$268,36,0)</f>
        <v>0</v>
      </c>
      <c r="AG92" s="61">
        <f>VLOOKUP($B92,'7. PGE_Efficacité'!$A$6:$AO$268,37,0)</f>
        <v>0</v>
      </c>
      <c r="AH92" s="61">
        <f>VLOOKUP($B92,'7. PGE_Efficacité'!$A$6:$AO$268,38,0)</f>
        <v>0</v>
      </c>
      <c r="AI92" s="61">
        <f>VLOOKUP($B92,'7. PGE_Efficacité'!$A$6:$AO$268,39,0)</f>
        <v>0</v>
      </c>
      <c r="AJ92" s="61">
        <f>VLOOKUP($B92,'7. PGE_Efficacité'!$A$6:$AO$268,40,0)</f>
        <v>0</v>
      </c>
      <c r="AK92" s="61">
        <f>VLOOKUP($B92,'7. PGE_Efficacité'!$A$6:$AO$268,41,0)</f>
        <v>0</v>
      </c>
    </row>
    <row r="93" spans="1:37" hidden="1" outlineLevel="1" x14ac:dyDescent="0.25">
      <c r="A93" s="65" t="s">
        <v>8</v>
      </c>
      <c r="B93" s="65" t="s">
        <v>851</v>
      </c>
      <c r="C93" s="65" t="s">
        <v>1481</v>
      </c>
      <c r="D93" s="65" t="s">
        <v>1522</v>
      </c>
      <c r="E93" s="65" t="s">
        <v>1290</v>
      </c>
      <c r="F93" s="70">
        <v>0</v>
      </c>
      <c r="G93" s="64">
        <f>VLOOKUP($B93,'7. PGE_Efficacité'!$A$6:$AO$268,11,0)</f>
        <v>0</v>
      </c>
      <c r="H93" s="64">
        <f>VLOOKUP($B93,'7. PGE_Efficacité'!$A$6:$AO$268,12,0)</f>
        <v>0</v>
      </c>
      <c r="I93" s="64">
        <f>VLOOKUP($B93,'7. PGE_Efficacité'!$A$6:$AO$268,13,0)</f>
        <v>0</v>
      </c>
      <c r="J93" s="64">
        <f>VLOOKUP($B93,'7. PGE_Efficacité'!$A$6:$AO$268,14,0)</f>
        <v>0</v>
      </c>
      <c r="K93" s="64">
        <f>VLOOKUP($B93,'7. PGE_Efficacité'!$A$6:$AO$268,15,0)</f>
        <v>0</v>
      </c>
      <c r="L93" s="64">
        <f>VLOOKUP($B93,'7. PGE_Efficacité'!$A$6:$AO$268,16,0)</f>
        <v>0</v>
      </c>
      <c r="M93" s="64">
        <f>VLOOKUP($B93,'7. PGE_Efficacité'!$A$6:$AO$268,17,0)</f>
        <v>0</v>
      </c>
      <c r="N93" s="64">
        <f>VLOOKUP($B93,'7. PGE_Efficacité'!$A$6:$AO$268,18,0)</f>
        <v>0</v>
      </c>
      <c r="O93" s="64">
        <f>VLOOKUP($B93,'7. PGE_Efficacité'!$A$6:$AO$268,19,0)</f>
        <v>0</v>
      </c>
      <c r="P93" s="64">
        <f>VLOOKUP($B93,'7. PGE_Efficacité'!$A$6:$AO$268,20,0)</f>
        <v>0</v>
      </c>
      <c r="Q93" s="64">
        <f>VLOOKUP($B93,'7. PGE_Efficacité'!$A$6:$AO$268,21,0)</f>
        <v>0</v>
      </c>
      <c r="R93" s="64">
        <f>VLOOKUP($B93,'7. PGE_Efficacité'!$A$6:$AO$268,22,0)</f>
        <v>0</v>
      </c>
      <c r="S93" s="64">
        <f>VLOOKUP($B93,'7. PGE_Efficacité'!$A$6:$AO$268,23,0)</f>
        <v>0</v>
      </c>
      <c r="T93" s="64">
        <f>VLOOKUP($B93,'7. PGE_Efficacité'!$A$6:$AO$268,24,0)</f>
        <v>0</v>
      </c>
      <c r="U93" s="64">
        <f>VLOOKUP($B93,'7. PGE_Efficacité'!$A$6:$AO$268,25,0)</f>
        <v>0</v>
      </c>
      <c r="V93" s="64">
        <f>VLOOKUP($B93,'7. PGE_Efficacité'!$A$6:$AO$268,26,0)</f>
        <v>0</v>
      </c>
      <c r="W93" s="61">
        <f>VLOOKUP($B93,'7. PGE_Efficacité'!$A$6:$AO$268,27,0)</f>
        <v>0</v>
      </c>
      <c r="X93" s="61">
        <f>VLOOKUP($B93,'7. PGE_Efficacité'!$A$6:$AO$268,28,0)</f>
        <v>0</v>
      </c>
      <c r="Y93" s="61">
        <f>VLOOKUP($B93,'7. PGE_Efficacité'!$A$6:$AO$268,29,0)</f>
        <v>0</v>
      </c>
      <c r="Z93" s="61">
        <f>VLOOKUP($B93,'7. PGE_Efficacité'!$A$6:$AO$268,30,0)</f>
        <v>0</v>
      </c>
      <c r="AA93" s="61">
        <f>VLOOKUP($B93,'7. PGE_Efficacité'!$A$6:$AO$268,31,0)</f>
        <v>0</v>
      </c>
      <c r="AB93" s="61">
        <f>VLOOKUP($B93,'7. PGE_Efficacité'!$A$6:$AO$268,32,0)</f>
        <v>0</v>
      </c>
      <c r="AC93" s="61">
        <f>VLOOKUP($B93,'7. PGE_Efficacité'!$A$6:$AO$268,33,0)</f>
        <v>0</v>
      </c>
      <c r="AD93" s="61">
        <f>VLOOKUP($B93,'7. PGE_Efficacité'!$A$6:$AO$268,34,0)</f>
        <v>0</v>
      </c>
      <c r="AE93" s="61">
        <f>VLOOKUP($B93,'7. PGE_Efficacité'!$A$6:$AO$268,35,0)</f>
        <v>0</v>
      </c>
      <c r="AF93" s="61">
        <f>VLOOKUP($B93,'7. PGE_Efficacité'!$A$6:$AO$268,36,0)</f>
        <v>0</v>
      </c>
      <c r="AG93" s="61">
        <f>VLOOKUP($B93,'7. PGE_Efficacité'!$A$6:$AO$268,37,0)</f>
        <v>0</v>
      </c>
      <c r="AH93" s="61">
        <f>VLOOKUP($B93,'7. PGE_Efficacité'!$A$6:$AO$268,38,0)</f>
        <v>0</v>
      </c>
      <c r="AI93" s="61">
        <f>VLOOKUP($B93,'7. PGE_Efficacité'!$A$6:$AO$268,39,0)</f>
        <v>0</v>
      </c>
      <c r="AJ93" s="61">
        <f>VLOOKUP($B93,'7. PGE_Efficacité'!$A$6:$AO$268,40,0)</f>
        <v>0</v>
      </c>
      <c r="AK93" s="61">
        <f>VLOOKUP($B93,'7. PGE_Efficacité'!$A$6:$AO$268,41,0)</f>
        <v>0</v>
      </c>
    </row>
    <row r="94" spans="1:37" ht="26.25" collapsed="1" x14ac:dyDescent="0.25">
      <c r="A94" s="157" t="s">
        <v>9</v>
      </c>
      <c r="B94" s="63"/>
      <c r="C94" s="156" t="s">
        <v>229</v>
      </c>
      <c r="D94" s="63"/>
      <c r="E94" s="63"/>
      <c r="F94" s="72">
        <f>SUM(F95:F98)</f>
        <v>1850000</v>
      </c>
      <c r="G94" s="178" t="str">
        <f>VLOOKUP($A94,'7. PGE_Efficacité'!$A$6:$AO$268,11,0)</f>
        <v>++</v>
      </c>
      <c r="H94" s="178" t="str">
        <f>VLOOKUP($A94,'7. PGE_Efficacité'!$A$6:$AO$268,12,0)</f>
        <v>++</v>
      </c>
      <c r="I94" s="178" t="str">
        <f>VLOOKUP($A94,'7. PGE_Efficacité'!$A$6:$AO$268,13,0)</f>
        <v>++</v>
      </c>
      <c r="J94" s="178" t="str">
        <f>VLOOKUP($A94,'7. PGE_Efficacité'!$A$6:$AO$268,14,0)</f>
        <v>++</v>
      </c>
      <c r="K94" s="178" t="str">
        <f>VLOOKUP($A94,'7. PGE_Efficacité'!$A$6:$AO$268,15,0)</f>
        <v>++</v>
      </c>
      <c r="L94" s="178" t="str">
        <f>VLOOKUP($A94,'7. PGE_Efficacité'!$A$6:$AO$268,16,0)</f>
        <v>++</v>
      </c>
      <c r="M94" s="178" t="str">
        <f>VLOOKUP($A94,'7. PGE_Efficacité'!$A$6:$AO$268,17,0)</f>
        <v>++</v>
      </c>
      <c r="N94" s="178" t="str">
        <f>VLOOKUP($A94,'7. PGE_Efficacité'!$A$6:$AO$268,18,0)</f>
        <v>++</v>
      </c>
      <c r="O94" s="178" t="str">
        <f>VLOOKUP($A94,'7. PGE_Efficacité'!$A$6:$AO$268,19,0)</f>
        <v>+</v>
      </c>
      <c r="P94" s="178" t="str">
        <f>VLOOKUP($A94,'7. PGE_Efficacité'!$A$6:$AO$268,20,0)</f>
        <v>+</v>
      </c>
      <c r="Q94" s="178" t="str">
        <f>VLOOKUP($A94,'7. PGE_Efficacité'!$A$6:$AO$268,21,0)</f>
        <v>+</v>
      </c>
      <c r="R94" s="178">
        <f>VLOOKUP($A94,'7. PGE_Efficacité'!$A$6:$AO$268,22,0)</f>
        <v>0</v>
      </c>
      <c r="S94" s="178" t="str">
        <f>VLOOKUP($A94,'7. PGE_Efficacité'!$A$6:$AO$268,23,0)</f>
        <v>+</v>
      </c>
      <c r="T94" s="178" t="str">
        <f>VLOOKUP($A94,'7. PGE_Efficacité'!$A$6:$AO$268,24,0)</f>
        <v>++</v>
      </c>
      <c r="U94" s="178" t="str">
        <f>VLOOKUP($A94,'7. PGE_Efficacité'!$A$6:$AO$268,25,0)</f>
        <v>+</v>
      </c>
      <c r="V94" s="178" t="str">
        <f>VLOOKUP($A94,'7. PGE_Efficacité'!$A$6:$AO$268,26,0)</f>
        <v>++</v>
      </c>
      <c r="W94" s="179" t="str">
        <f>VLOOKUP($A94,'7. PGE_Efficacité'!$A$6:$AO$268,27,0)</f>
        <v>++</v>
      </c>
      <c r="X94" s="179" t="str">
        <f>VLOOKUP($A94,'7. PGE_Efficacité'!$A$6:$AO$268,28,0)</f>
        <v>++</v>
      </c>
      <c r="Y94" s="179" t="str">
        <f>VLOOKUP($A94,'7. PGE_Efficacité'!$A$6:$AO$268,29,0)</f>
        <v>++</v>
      </c>
      <c r="Z94" s="179" t="str">
        <f>VLOOKUP($A94,'7. PGE_Efficacité'!$A$6:$AO$268,30,0)</f>
        <v>++</v>
      </c>
      <c r="AA94" s="179" t="str">
        <f>VLOOKUP($A94,'7. PGE_Efficacité'!$A$6:$AO$268,31,0)</f>
        <v>++</v>
      </c>
      <c r="AB94" s="179" t="str">
        <f>VLOOKUP($A94,'7. PGE_Efficacité'!$A$6:$AO$268,32,0)</f>
        <v>++</v>
      </c>
      <c r="AC94" s="179" t="str">
        <f>VLOOKUP($A94,'7. PGE_Efficacité'!$A$6:$AO$268,33,0)</f>
        <v>++</v>
      </c>
      <c r="AD94" s="179">
        <f>VLOOKUP($A94,'7. PGE_Efficacité'!$A$6:$AO$268,34,0)</f>
        <v>0</v>
      </c>
      <c r="AE94" s="179">
        <f>VLOOKUP($A94,'7. PGE_Efficacité'!$A$6:$AO$268,35,0)</f>
        <v>0</v>
      </c>
      <c r="AF94" s="179">
        <f>VLOOKUP($A94,'7. PGE_Efficacité'!$A$6:$AO$268,36,0)</f>
        <v>0</v>
      </c>
      <c r="AG94" s="179">
        <f>VLOOKUP($A94,'7. PGE_Efficacité'!$A$6:$AO$268,37,0)</f>
        <v>0</v>
      </c>
      <c r="AH94" s="179" t="str">
        <f>VLOOKUP($A94,'7. PGE_Efficacité'!$A$6:$AO$268,38,0)</f>
        <v>++</v>
      </c>
      <c r="AI94" s="179" t="str">
        <f>VLOOKUP($A94,'7. PGE_Efficacité'!$A$6:$AO$268,39,0)</f>
        <v>++</v>
      </c>
      <c r="AJ94" s="179" t="str">
        <f>VLOOKUP($A94,'7. PGE_Efficacité'!$A$6:$AO$268,40,0)</f>
        <v>++</v>
      </c>
      <c r="AK94" s="179" t="str">
        <f>VLOOKUP($A94,'7. PGE_Efficacité'!$A$6:$AO$268,41,0)</f>
        <v>++</v>
      </c>
    </row>
    <row r="95" spans="1:37" hidden="1" outlineLevel="1" x14ac:dyDescent="0.25">
      <c r="A95" s="65" t="s">
        <v>9</v>
      </c>
      <c r="B95" s="65" t="s">
        <v>650</v>
      </c>
      <c r="C95" s="65" t="s">
        <v>1310</v>
      </c>
      <c r="D95" s="65" t="s">
        <v>1522</v>
      </c>
      <c r="E95" s="65" t="s">
        <v>415</v>
      </c>
      <c r="F95" s="70">
        <v>1400000</v>
      </c>
      <c r="G95" s="64">
        <f>VLOOKUP($B95,'7. PGE_Efficacité'!$A$6:$AO$268,11,0)</f>
        <v>0</v>
      </c>
      <c r="H95" s="64">
        <f>VLOOKUP($B95,'7. PGE_Efficacité'!$A$6:$AO$268,12,0)</f>
        <v>0</v>
      </c>
      <c r="I95" s="64">
        <f>VLOOKUP($B95,'7. PGE_Efficacité'!$A$6:$AO$268,13,0)</f>
        <v>0</v>
      </c>
      <c r="J95" s="64">
        <f>VLOOKUP($B95,'7. PGE_Efficacité'!$A$6:$AO$268,14,0)</f>
        <v>0</v>
      </c>
      <c r="K95" s="64">
        <f>VLOOKUP($B95,'7. PGE_Efficacité'!$A$6:$AO$268,15,0)</f>
        <v>0</v>
      </c>
      <c r="L95" s="64">
        <f>VLOOKUP($B95,'7. PGE_Efficacité'!$A$6:$AO$268,16,0)</f>
        <v>0</v>
      </c>
      <c r="M95" s="64">
        <f>VLOOKUP($B95,'7. PGE_Efficacité'!$A$6:$AO$268,17,0)</f>
        <v>0</v>
      </c>
      <c r="N95" s="64">
        <f>VLOOKUP($B95,'7. PGE_Efficacité'!$A$6:$AO$268,18,0)</f>
        <v>0</v>
      </c>
      <c r="O95" s="64">
        <f>VLOOKUP($B95,'7. PGE_Efficacité'!$A$6:$AO$268,19,0)</f>
        <v>0</v>
      </c>
      <c r="P95" s="64">
        <f>VLOOKUP($B95,'7. PGE_Efficacité'!$A$6:$AO$268,20,0)</f>
        <v>0</v>
      </c>
      <c r="Q95" s="64">
        <f>VLOOKUP($B95,'7. PGE_Efficacité'!$A$6:$AO$268,21,0)</f>
        <v>0</v>
      </c>
      <c r="R95" s="64">
        <f>VLOOKUP($B95,'7. PGE_Efficacité'!$A$6:$AO$268,22,0)</f>
        <v>0</v>
      </c>
      <c r="S95" s="64">
        <f>VLOOKUP($B95,'7. PGE_Efficacité'!$A$6:$AO$268,23,0)</f>
        <v>0</v>
      </c>
      <c r="T95" s="64">
        <f>VLOOKUP($B95,'7. PGE_Efficacité'!$A$6:$AO$268,24,0)</f>
        <v>0</v>
      </c>
      <c r="U95" s="64">
        <f>VLOOKUP($B95,'7. PGE_Efficacité'!$A$6:$AO$268,25,0)</f>
        <v>0</v>
      </c>
      <c r="V95" s="64">
        <f>VLOOKUP($B95,'7. PGE_Efficacité'!$A$6:$AO$268,26,0)</f>
        <v>0</v>
      </c>
      <c r="W95" s="61">
        <f>VLOOKUP($B95,'7. PGE_Efficacité'!$A$6:$AO$268,27,0)</f>
        <v>0</v>
      </c>
      <c r="X95" s="61">
        <f>VLOOKUP($B95,'7. PGE_Efficacité'!$A$6:$AO$268,28,0)</f>
        <v>0</v>
      </c>
      <c r="Y95" s="61">
        <f>VLOOKUP($B95,'7. PGE_Efficacité'!$A$6:$AO$268,29,0)</f>
        <v>0</v>
      </c>
      <c r="Z95" s="61">
        <f>VLOOKUP($B95,'7. PGE_Efficacité'!$A$6:$AO$268,30,0)</f>
        <v>0</v>
      </c>
      <c r="AA95" s="61">
        <f>VLOOKUP($B95,'7. PGE_Efficacité'!$A$6:$AO$268,31,0)</f>
        <v>0</v>
      </c>
      <c r="AB95" s="61">
        <f>VLOOKUP($B95,'7. PGE_Efficacité'!$A$6:$AO$268,32,0)</f>
        <v>0</v>
      </c>
      <c r="AC95" s="61">
        <f>VLOOKUP($B95,'7. PGE_Efficacité'!$A$6:$AO$268,33,0)</f>
        <v>0</v>
      </c>
      <c r="AD95" s="61">
        <f>VLOOKUP($B95,'7. PGE_Efficacité'!$A$6:$AO$268,34,0)</f>
        <v>0</v>
      </c>
      <c r="AE95" s="61">
        <f>VLOOKUP($B95,'7. PGE_Efficacité'!$A$6:$AO$268,35,0)</f>
        <v>0</v>
      </c>
      <c r="AF95" s="61">
        <f>VLOOKUP($B95,'7. PGE_Efficacité'!$A$6:$AO$268,36,0)</f>
        <v>0</v>
      </c>
      <c r="AG95" s="61">
        <f>VLOOKUP($B95,'7. PGE_Efficacité'!$A$6:$AO$268,37,0)</f>
        <v>0</v>
      </c>
      <c r="AH95" s="61">
        <f>VLOOKUP($B95,'7. PGE_Efficacité'!$A$6:$AO$268,38,0)</f>
        <v>0</v>
      </c>
      <c r="AI95" s="61">
        <f>VLOOKUP($B95,'7. PGE_Efficacité'!$A$6:$AO$268,39,0)</f>
        <v>0</v>
      </c>
      <c r="AJ95" s="61">
        <f>VLOOKUP($B95,'7. PGE_Efficacité'!$A$6:$AO$268,40,0)</f>
        <v>0</v>
      </c>
      <c r="AK95" s="61">
        <f>VLOOKUP($B95,'7. PGE_Efficacité'!$A$6:$AO$268,41,0)</f>
        <v>0</v>
      </c>
    </row>
    <row r="96" spans="1:37" hidden="1" outlineLevel="1" x14ac:dyDescent="0.25">
      <c r="A96" s="65" t="s">
        <v>9</v>
      </c>
      <c r="B96" s="65" t="s">
        <v>651</v>
      </c>
      <c r="C96" s="65" t="s">
        <v>1311</v>
      </c>
      <c r="D96" s="65" t="s">
        <v>1522</v>
      </c>
      <c r="E96" s="65" t="s">
        <v>1287</v>
      </c>
      <c r="F96" s="70">
        <v>0</v>
      </c>
      <c r="G96" s="64">
        <f>VLOOKUP($B96,'7. PGE_Efficacité'!$A$6:$AO$268,11,0)</f>
        <v>0</v>
      </c>
      <c r="H96" s="64">
        <f>VLOOKUP($B96,'7. PGE_Efficacité'!$A$6:$AO$268,12,0)</f>
        <v>0</v>
      </c>
      <c r="I96" s="64">
        <f>VLOOKUP($B96,'7. PGE_Efficacité'!$A$6:$AO$268,13,0)</f>
        <v>0</v>
      </c>
      <c r="J96" s="64">
        <f>VLOOKUP($B96,'7. PGE_Efficacité'!$A$6:$AO$268,14,0)</f>
        <v>0</v>
      </c>
      <c r="K96" s="64">
        <f>VLOOKUP($B96,'7. PGE_Efficacité'!$A$6:$AO$268,15,0)</f>
        <v>0</v>
      </c>
      <c r="L96" s="64">
        <f>VLOOKUP($B96,'7. PGE_Efficacité'!$A$6:$AO$268,16,0)</f>
        <v>0</v>
      </c>
      <c r="M96" s="64">
        <f>VLOOKUP($B96,'7. PGE_Efficacité'!$A$6:$AO$268,17,0)</f>
        <v>0</v>
      </c>
      <c r="N96" s="64">
        <f>VLOOKUP($B96,'7. PGE_Efficacité'!$A$6:$AO$268,18,0)</f>
        <v>0</v>
      </c>
      <c r="O96" s="64">
        <f>VLOOKUP($B96,'7. PGE_Efficacité'!$A$6:$AO$268,19,0)</f>
        <v>0</v>
      </c>
      <c r="P96" s="64">
        <f>VLOOKUP($B96,'7. PGE_Efficacité'!$A$6:$AO$268,20,0)</f>
        <v>0</v>
      </c>
      <c r="Q96" s="64">
        <f>VLOOKUP($B96,'7. PGE_Efficacité'!$A$6:$AO$268,21,0)</f>
        <v>0</v>
      </c>
      <c r="R96" s="64">
        <f>VLOOKUP($B96,'7. PGE_Efficacité'!$A$6:$AO$268,22,0)</f>
        <v>0</v>
      </c>
      <c r="S96" s="64">
        <f>VLOOKUP($B96,'7. PGE_Efficacité'!$A$6:$AO$268,23,0)</f>
        <v>0</v>
      </c>
      <c r="T96" s="64">
        <f>VLOOKUP($B96,'7. PGE_Efficacité'!$A$6:$AO$268,24,0)</f>
        <v>0</v>
      </c>
      <c r="U96" s="64">
        <f>VLOOKUP($B96,'7. PGE_Efficacité'!$A$6:$AO$268,25,0)</f>
        <v>0</v>
      </c>
      <c r="V96" s="64">
        <f>VLOOKUP($B96,'7. PGE_Efficacité'!$A$6:$AO$268,26,0)</f>
        <v>0</v>
      </c>
      <c r="W96" s="61">
        <f>VLOOKUP($B96,'7. PGE_Efficacité'!$A$6:$AO$268,27,0)</f>
        <v>0</v>
      </c>
      <c r="X96" s="61">
        <f>VLOOKUP($B96,'7. PGE_Efficacité'!$A$6:$AO$268,28,0)</f>
        <v>0</v>
      </c>
      <c r="Y96" s="61">
        <f>VLOOKUP($B96,'7. PGE_Efficacité'!$A$6:$AO$268,29,0)</f>
        <v>0</v>
      </c>
      <c r="Z96" s="61">
        <f>VLOOKUP($B96,'7. PGE_Efficacité'!$A$6:$AO$268,30,0)</f>
        <v>0</v>
      </c>
      <c r="AA96" s="61">
        <f>VLOOKUP($B96,'7. PGE_Efficacité'!$A$6:$AO$268,31,0)</f>
        <v>0</v>
      </c>
      <c r="AB96" s="61">
        <f>VLOOKUP($B96,'7. PGE_Efficacité'!$A$6:$AO$268,32,0)</f>
        <v>0</v>
      </c>
      <c r="AC96" s="61">
        <f>VLOOKUP($B96,'7. PGE_Efficacité'!$A$6:$AO$268,33,0)</f>
        <v>0</v>
      </c>
      <c r="AD96" s="61">
        <f>VLOOKUP($B96,'7. PGE_Efficacité'!$A$6:$AO$268,34,0)</f>
        <v>0</v>
      </c>
      <c r="AE96" s="61">
        <f>VLOOKUP($B96,'7. PGE_Efficacité'!$A$6:$AO$268,35,0)</f>
        <v>0</v>
      </c>
      <c r="AF96" s="61">
        <f>VLOOKUP($B96,'7. PGE_Efficacité'!$A$6:$AO$268,36,0)</f>
        <v>0</v>
      </c>
      <c r="AG96" s="61">
        <f>VLOOKUP($B96,'7. PGE_Efficacité'!$A$6:$AO$268,37,0)</f>
        <v>0</v>
      </c>
      <c r="AH96" s="61">
        <f>VLOOKUP($B96,'7. PGE_Efficacité'!$A$6:$AO$268,38,0)</f>
        <v>0</v>
      </c>
      <c r="AI96" s="61">
        <f>VLOOKUP($B96,'7. PGE_Efficacité'!$A$6:$AO$268,39,0)</f>
        <v>0</v>
      </c>
      <c r="AJ96" s="61">
        <f>VLOOKUP($B96,'7. PGE_Efficacité'!$A$6:$AO$268,40,0)</f>
        <v>0</v>
      </c>
      <c r="AK96" s="61">
        <f>VLOOKUP($B96,'7. PGE_Efficacité'!$A$6:$AO$268,41,0)</f>
        <v>0</v>
      </c>
    </row>
    <row r="97" spans="1:37" hidden="1" outlineLevel="1" x14ac:dyDescent="0.25">
      <c r="A97" s="65" t="s">
        <v>9</v>
      </c>
      <c r="B97" s="65" t="s">
        <v>652</v>
      </c>
      <c r="C97" s="65" t="s">
        <v>1312</v>
      </c>
      <c r="D97" s="65" t="s">
        <v>1522</v>
      </c>
      <c r="E97" s="65" t="s">
        <v>1287</v>
      </c>
      <c r="F97" s="70">
        <f>900000/2</f>
        <v>450000</v>
      </c>
      <c r="G97" s="64">
        <f>VLOOKUP($B97,'7. PGE_Efficacité'!$A$6:$AO$268,11,0)</f>
        <v>0</v>
      </c>
      <c r="H97" s="64">
        <f>VLOOKUP($B97,'7. PGE_Efficacité'!$A$6:$AO$268,12,0)</f>
        <v>0</v>
      </c>
      <c r="I97" s="64">
        <f>VLOOKUP($B97,'7. PGE_Efficacité'!$A$6:$AO$268,13,0)</f>
        <v>0</v>
      </c>
      <c r="J97" s="64">
        <f>VLOOKUP($B97,'7. PGE_Efficacité'!$A$6:$AO$268,14,0)</f>
        <v>0</v>
      </c>
      <c r="K97" s="64">
        <f>VLOOKUP($B97,'7. PGE_Efficacité'!$A$6:$AO$268,15,0)</f>
        <v>0</v>
      </c>
      <c r="L97" s="64">
        <f>VLOOKUP($B97,'7. PGE_Efficacité'!$A$6:$AO$268,16,0)</f>
        <v>0</v>
      </c>
      <c r="M97" s="64">
        <f>VLOOKUP($B97,'7. PGE_Efficacité'!$A$6:$AO$268,17,0)</f>
        <v>0</v>
      </c>
      <c r="N97" s="64">
        <f>VLOOKUP($B97,'7. PGE_Efficacité'!$A$6:$AO$268,18,0)</f>
        <v>0</v>
      </c>
      <c r="O97" s="64">
        <f>VLOOKUP($B97,'7. PGE_Efficacité'!$A$6:$AO$268,19,0)</f>
        <v>0</v>
      </c>
      <c r="P97" s="64">
        <f>VLOOKUP($B97,'7. PGE_Efficacité'!$A$6:$AO$268,20,0)</f>
        <v>0</v>
      </c>
      <c r="Q97" s="64">
        <f>VLOOKUP($B97,'7. PGE_Efficacité'!$A$6:$AO$268,21,0)</f>
        <v>0</v>
      </c>
      <c r="R97" s="64">
        <f>VLOOKUP($B97,'7. PGE_Efficacité'!$A$6:$AO$268,22,0)</f>
        <v>0</v>
      </c>
      <c r="S97" s="64">
        <f>VLOOKUP($B97,'7. PGE_Efficacité'!$A$6:$AO$268,23,0)</f>
        <v>0</v>
      </c>
      <c r="T97" s="64">
        <f>VLOOKUP($B97,'7. PGE_Efficacité'!$A$6:$AO$268,24,0)</f>
        <v>0</v>
      </c>
      <c r="U97" s="64">
        <f>VLOOKUP($B97,'7. PGE_Efficacité'!$A$6:$AO$268,25,0)</f>
        <v>0</v>
      </c>
      <c r="V97" s="64">
        <f>VLOOKUP($B97,'7. PGE_Efficacité'!$A$6:$AO$268,26,0)</f>
        <v>0</v>
      </c>
      <c r="W97" s="61">
        <f>VLOOKUP($B97,'7. PGE_Efficacité'!$A$6:$AO$268,27,0)</f>
        <v>0</v>
      </c>
      <c r="X97" s="61">
        <f>VLOOKUP($B97,'7. PGE_Efficacité'!$A$6:$AO$268,28,0)</f>
        <v>0</v>
      </c>
      <c r="Y97" s="61">
        <f>VLOOKUP($B97,'7. PGE_Efficacité'!$A$6:$AO$268,29,0)</f>
        <v>0</v>
      </c>
      <c r="Z97" s="61">
        <f>VLOOKUP($B97,'7. PGE_Efficacité'!$A$6:$AO$268,30,0)</f>
        <v>0</v>
      </c>
      <c r="AA97" s="61">
        <f>VLOOKUP($B97,'7. PGE_Efficacité'!$A$6:$AO$268,31,0)</f>
        <v>0</v>
      </c>
      <c r="AB97" s="61">
        <f>VLOOKUP($B97,'7. PGE_Efficacité'!$A$6:$AO$268,32,0)</f>
        <v>0</v>
      </c>
      <c r="AC97" s="61">
        <f>VLOOKUP($B97,'7. PGE_Efficacité'!$A$6:$AO$268,33,0)</f>
        <v>0</v>
      </c>
      <c r="AD97" s="61">
        <f>VLOOKUP($B97,'7. PGE_Efficacité'!$A$6:$AO$268,34,0)</f>
        <v>0</v>
      </c>
      <c r="AE97" s="61">
        <f>VLOOKUP($B97,'7. PGE_Efficacité'!$A$6:$AO$268,35,0)</f>
        <v>0</v>
      </c>
      <c r="AF97" s="61">
        <f>VLOOKUP($B97,'7. PGE_Efficacité'!$A$6:$AO$268,36,0)</f>
        <v>0</v>
      </c>
      <c r="AG97" s="61">
        <f>VLOOKUP($B97,'7. PGE_Efficacité'!$A$6:$AO$268,37,0)</f>
        <v>0</v>
      </c>
      <c r="AH97" s="61">
        <f>VLOOKUP($B97,'7. PGE_Efficacité'!$A$6:$AO$268,38,0)</f>
        <v>0</v>
      </c>
      <c r="AI97" s="61">
        <f>VLOOKUP($B97,'7. PGE_Efficacité'!$A$6:$AO$268,39,0)</f>
        <v>0</v>
      </c>
      <c r="AJ97" s="61">
        <f>VLOOKUP($B97,'7. PGE_Efficacité'!$A$6:$AO$268,40,0)</f>
        <v>0</v>
      </c>
      <c r="AK97" s="61">
        <f>VLOOKUP($B97,'7. PGE_Efficacité'!$A$6:$AO$268,41,0)</f>
        <v>0</v>
      </c>
    </row>
    <row r="98" spans="1:37" hidden="1" outlineLevel="1" x14ac:dyDescent="0.25">
      <c r="A98" s="65" t="s">
        <v>9</v>
      </c>
      <c r="B98" s="65" t="s">
        <v>653</v>
      </c>
      <c r="C98" s="65" t="s">
        <v>1313</v>
      </c>
      <c r="D98" s="65" t="s">
        <v>1522</v>
      </c>
      <c r="E98" s="65" t="s">
        <v>1290</v>
      </c>
      <c r="F98" s="70">
        <v>0</v>
      </c>
      <c r="G98" s="64">
        <f>VLOOKUP($B98,'7. PGE_Efficacité'!$A$6:$AO$268,11,0)</f>
        <v>0</v>
      </c>
      <c r="H98" s="64">
        <f>VLOOKUP($B98,'7. PGE_Efficacité'!$A$6:$AO$268,12,0)</f>
        <v>0</v>
      </c>
      <c r="I98" s="64">
        <f>VLOOKUP($B98,'7. PGE_Efficacité'!$A$6:$AO$268,13,0)</f>
        <v>0</v>
      </c>
      <c r="J98" s="64">
        <f>VLOOKUP($B98,'7. PGE_Efficacité'!$A$6:$AO$268,14,0)</f>
        <v>0</v>
      </c>
      <c r="K98" s="64">
        <f>VLOOKUP($B98,'7. PGE_Efficacité'!$A$6:$AO$268,15,0)</f>
        <v>0</v>
      </c>
      <c r="L98" s="64">
        <f>VLOOKUP($B98,'7. PGE_Efficacité'!$A$6:$AO$268,16,0)</f>
        <v>0</v>
      </c>
      <c r="M98" s="64">
        <f>VLOOKUP($B98,'7. PGE_Efficacité'!$A$6:$AO$268,17,0)</f>
        <v>0</v>
      </c>
      <c r="N98" s="64">
        <f>VLOOKUP($B98,'7. PGE_Efficacité'!$A$6:$AO$268,18,0)</f>
        <v>0</v>
      </c>
      <c r="O98" s="64">
        <f>VLOOKUP($B98,'7. PGE_Efficacité'!$A$6:$AO$268,19,0)</f>
        <v>0</v>
      </c>
      <c r="P98" s="64">
        <f>VLOOKUP($B98,'7. PGE_Efficacité'!$A$6:$AO$268,20,0)</f>
        <v>0</v>
      </c>
      <c r="Q98" s="64">
        <f>VLOOKUP($B98,'7. PGE_Efficacité'!$A$6:$AO$268,21,0)</f>
        <v>0</v>
      </c>
      <c r="R98" s="64">
        <f>VLOOKUP($B98,'7. PGE_Efficacité'!$A$6:$AO$268,22,0)</f>
        <v>0</v>
      </c>
      <c r="S98" s="64">
        <f>VLOOKUP($B98,'7. PGE_Efficacité'!$A$6:$AO$268,23,0)</f>
        <v>0</v>
      </c>
      <c r="T98" s="64">
        <f>VLOOKUP($B98,'7. PGE_Efficacité'!$A$6:$AO$268,24,0)</f>
        <v>0</v>
      </c>
      <c r="U98" s="64">
        <f>VLOOKUP($B98,'7. PGE_Efficacité'!$A$6:$AO$268,25,0)</f>
        <v>0</v>
      </c>
      <c r="V98" s="64">
        <f>VLOOKUP($B98,'7. PGE_Efficacité'!$A$6:$AO$268,26,0)</f>
        <v>0</v>
      </c>
      <c r="W98" s="61">
        <f>VLOOKUP($B98,'7. PGE_Efficacité'!$A$6:$AO$268,27,0)</f>
        <v>0</v>
      </c>
      <c r="X98" s="61">
        <f>VLOOKUP($B98,'7. PGE_Efficacité'!$A$6:$AO$268,28,0)</f>
        <v>0</v>
      </c>
      <c r="Y98" s="61">
        <f>VLOOKUP($B98,'7. PGE_Efficacité'!$A$6:$AO$268,29,0)</f>
        <v>0</v>
      </c>
      <c r="Z98" s="61">
        <f>VLOOKUP($B98,'7. PGE_Efficacité'!$A$6:$AO$268,30,0)</f>
        <v>0</v>
      </c>
      <c r="AA98" s="61">
        <f>VLOOKUP($B98,'7. PGE_Efficacité'!$A$6:$AO$268,31,0)</f>
        <v>0</v>
      </c>
      <c r="AB98" s="61">
        <f>VLOOKUP($B98,'7. PGE_Efficacité'!$A$6:$AO$268,32,0)</f>
        <v>0</v>
      </c>
      <c r="AC98" s="61">
        <f>VLOOKUP($B98,'7. PGE_Efficacité'!$A$6:$AO$268,33,0)</f>
        <v>0</v>
      </c>
      <c r="AD98" s="61">
        <f>VLOOKUP($B98,'7. PGE_Efficacité'!$A$6:$AO$268,34,0)</f>
        <v>0</v>
      </c>
      <c r="AE98" s="61">
        <f>VLOOKUP($B98,'7. PGE_Efficacité'!$A$6:$AO$268,35,0)</f>
        <v>0</v>
      </c>
      <c r="AF98" s="61">
        <f>VLOOKUP($B98,'7. PGE_Efficacité'!$A$6:$AO$268,36,0)</f>
        <v>0</v>
      </c>
      <c r="AG98" s="61">
        <f>VLOOKUP($B98,'7. PGE_Efficacité'!$A$6:$AO$268,37,0)</f>
        <v>0</v>
      </c>
      <c r="AH98" s="61">
        <f>VLOOKUP($B98,'7. PGE_Efficacité'!$A$6:$AO$268,38,0)</f>
        <v>0</v>
      </c>
      <c r="AI98" s="61">
        <f>VLOOKUP($B98,'7. PGE_Efficacité'!$A$6:$AO$268,39,0)</f>
        <v>0</v>
      </c>
      <c r="AJ98" s="61">
        <f>VLOOKUP($B98,'7. PGE_Efficacité'!$A$6:$AO$268,40,0)</f>
        <v>0</v>
      </c>
      <c r="AK98" s="61">
        <f>VLOOKUP($B98,'7. PGE_Efficacité'!$A$6:$AO$268,41,0)</f>
        <v>0</v>
      </c>
    </row>
    <row r="99" spans="1:37" ht="26.25" collapsed="1" x14ac:dyDescent="0.25">
      <c r="A99" s="157" t="s">
        <v>10</v>
      </c>
      <c r="B99" s="63"/>
      <c r="C99" s="156" t="s">
        <v>228</v>
      </c>
      <c r="D99" s="63"/>
      <c r="E99" s="63"/>
      <c r="F99" s="72">
        <f>SUM(F100:F106)</f>
        <v>235000</v>
      </c>
      <c r="G99" s="180">
        <f>VLOOKUP($A99,'7. PGE_Efficacité'!$A$6:$AO$268,11,0)</f>
        <v>0</v>
      </c>
      <c r="H99" s="180">
        <f>VLOOKUP($A99,'7. PGE_Efficacité'!$A$6:$AO$268,12,0)</f>
        <v>0</v>
      </c>
      <c r="I99" s="180">
        <f>VLOOKUP($A99,'7. PGE_Efficacité'!$A$6:$AO$268,13,0)</f>
        <v>0</v>
      </c>
      <c r="J99" s="180">
        <f>VLOOKUP($A99,'7. PGE_Efficacité'!$A$6:$AO$268,14,0)</f>
        <v>0</v>
      </c>
      <c r="K99" s="180">
        <f>VLOOKUP($A99,'7. PGE_Efficacité'!$A$6:$AO$268,15,0)</f>
        <v>0</v>
      </c>
      <c r="L99" s="180">
        <f>VLOOKUP($A99,'7. PGE_Efficacité'!$A$6:$AO$268,16,0)</f>
        <v>0</v>
      </c>
      <c r="M99" s="180" t="str">
        <f>VLOOKUP($A99,'7. PGE_Efficacité'!$A$6:$AO$268,17,0)</f>
        <v>+</v>
      </c>
      <c r="N99" s="180">
        <f>VLOOKUP($A99,'7. PGE_Efficacité'!$A$6:$AO$268,18,0)</f>
        <v>0</v>
      </c>
      <c r="O99" s="180">
        <f>VLOOKUP($A99,'7. PGE_Efficacité'!$A$6:$AO$268,19,0)</f>
        <v>0</v>
      </c>
      <c r="P99" s="180">
        <f>VLOOKUP($A99,'7. PGE_Efficacité'!$A$6:$AO$268,20,0)</f>
        <v>0</v>
      </c>
      <c r="Q99" s="180">
        <f>VLOOKUP($A99,'7. PGE_Efficacité'!$A$6:$AO$268,21,0)</f>
        <v>0</v>
      </c>
      <c r="R99" s="180">
        <f>VLOOKUP($A99,'7. PGE_Efficacité'!$A$6:$AO$268,22,0)</f>
        <v>0</v>
      </c>
      <c r="S99" s="180">
        <f>VLOOKUP($A99,'7. PGE_Efficacité'!$A$6:$AO$268,23,0)</f>
        <v>0</v>
      </c>
      <c r="T99" s="180">
        <f>VLOOKUP($A99,'7. PGE_Efficacité'!$A$6:$AO$268,24,0)</f>
        <v>0</v>
      </c>
      <c r="U99" s="180">
        <f>VLOOKUP($A99,'7. PGE_Efficacité'!$A$6:$AO$268,25,0)</f>
        <v>0</v>
      </c>
      <c r="V99" s="180" t="str">
        <f>VLOOKUP($A99,'7. PGE_Efficacité'!$A$6:$AO$268,26,0)</f>
        <v>+</v>
      </c>
      <c r="W99" s="181">
        <f>VLOOKUP($A99,'7. PGE_Efficacité'!$A$6:$AO$268,27,0)</f>
        <v>0</v>
      </c>
      <c r="X99" s="181">
        <f>VLOOKUP($A99,'7. PGE_Efficacité'!$A$6:$AO$268,28,0)</f>
        <v>0</v>
      </c>
      <c r="Y99" s="181">
        <f>VLOOKUP($A99,'7. PGE_Efficacité'!$A$6:$AO$268,29,0)</f>
        <v>0</v>
      </c>
      <c r="Z99" s="181">
        <f>VLOOKUP($A99,'7. PGE_Efficacité'!$A$6:$AO$268,30,0)</f>
        <v>0</v>
      </c>
      <c r="AA99" s="181">
        <f>VLOOKUP($A99,'7. PGE_Efficacité'!$A$6:$AO$268,31,0)</f>
        <v>0</v>
      </c>
      <c r="AB99" s="181">
        <f>VLOOKUP($A99,'7. PGE_Efficacité'!$A$6:$AO$268,32,0)</f>
        <v>0</v>
      </c>
      <c r="AC99" s="181">
        <f>VLOOKUP($A99,'7. PGE_Efficacité'!$A$6:$AO$268,33,0)</f>
        <v>0</v>
      </c>
      <c r="AD99" s="181">
        <f>VLOOKUP($A99,'7. PGE_Efficacité'!$A$6:$AO$268,34,0)</f>
        <v>0</v>
      </c>
      <c r="AE99" s="181">
        <f>VLOOKUP($A99,'7. PGE_Efficacité'!$A$6:$AO$268,35,0)</f>
        <v>0</v>
      </c>
      <c r="AF99" s="181">
        <f>VLOOKUP($A99,'7. PGE_Efficacité'!$A$6:$AO$268,36,0)</f>
        <v>0</v>
      </c>
      <c r="AG99" s="181">
        <f>VLOOKUP($A99,'7. PGE_Efficacité'!$A$6:$AO$268,37,0)</f>
        <v>0</v>
      </c>
      <c r="AH99" s="181">
        <f>VLOOKUP($A99,'7. PGE_Efficacité'!$A$6:$AO$268,38,0)</f>
        <v>0</v>
      </c>
      <c r="AI99" s="181">
        <f>VLOOKUP($A99,'7. PGE_Efficacité'!$A$6:$AO$268,39,0)</f>
        <v>0</v>
      </c>
      <c r="AJ99" s="181" t="str">
        <f>VLOOKUP($A99,'7. PGE_Efficacité'!$A$6:$AO$268,40,0)</f>
        <v>+</v>
      </c>
      <c r="AK99" s="181" t="str">
        <f>VLOOKUP($A99,'7. PGE_Efficacité'!$A$6:$AO$268,41,0)</f>
        <v>+</v>
      </c>
    </row>
    <row r="100" spans="1:37" hidden="1" outlineLevel="1" x14ac:dyDescent="0.25">
      <c r="A100" s="65" t="s">
        <v>10</v>
      </c>
      <c r="B100" s="65" t="s">
        <v>663</v>
      </c>
      <c r="C100" s="65" t="s">
        <v>1323</v>
      </c>
      <c r="D100" s="65" t="s">
        <v>1520</v>
      </c>
      <c r="E100" s="65" t="s">
        <v>1287</v>
      </c>
      <c r="F100" s="70">
        <v>0</v>
      </c>
      <c r="G100" s="64">
        <f>VLOOKUP($B100,'7. PGE_Efficacité'!$A$6:$AO$268,11,0)</f>
        <v>0</v>
      </c>
      <c r="H100" s="64">
        <f>VLOOKUP($B100,'7. PGE_Efficacité'!$A$6:$AO$268,12,0)</f>
        <v>0</v>
      </c>
      <c r="I100" s="64">
        <f>VLOOKUP($B100,'7. PGE_Efficacité'!$A$6:$AO$268,13,0)</f>
        <v>0</v>
      </c>
      <c r="J100" s="64">
        <f>VLOOKUP($B100,'7. PGE_Efficacité'!$A$6:$AO$268,14,0)</f>
        <v>0</v>
      </c>
      <c r="K100" s="64">
        <f>VLOOKUP($B100,'7. PGE_Efficacité'!$A$6:$AO$268,15,0)</f>
        <v>0</v>
      </c>
      <c r="L100" s="64">
        <f>VLOOKUP($B100,'7. PGE_Efficacité'!$A$6:$AO$268,16,0)</f>
        <v>0</v>
      </c>
      <c r="M100" s="64">
        <f>VLOOKUP($B100,'7. PGE_Efficacité'!$A$6:$AO$268,17,0)</f>
        <v>0</v>
      </c>
      <c r="N100" s="64">
        <f>VLOOKUP($B100,'7. PGE_Efficacité'!$A$6:$AO$268,18,0)</f>
        <v>0</v>
      </c>
      <c r="O100" s="64">
        <f>VLOOKUP($B100,'7. PGE_Efficacité'!$A$6:$AO$268,19,0)</f>
        <v>0</v>
      </c>
      <c r="P100" s="64">
        <f>VLOOKUP($B100,'7. PGE_Efficacité'!$A$6:$AO$268,20,0)</f>
        <v>0</v>
      </c>
      <c r="Q100" s="64">
        <f>VLOOKUP($B100,'7. PGE_Efficacité'!$A$6:$AO$268,21,0)</f>
        <v>0</v>
      </c>
      <c r="R100" s="64">
        <f>VLOOKUP($B100,'7. PGE_Efficacité'!$A$6:$AO$268,22,0)</f>
        <v>0</v>
      </c>
      <c r="S100" s="64">
        <f>VLOOKUP($B100,'7. PGE_Efficacité'!$A$6:$AO$268,23,0)</f>
        <v>0</v>
      </c>
      <c r="T100" s="64">
        <f>VLOOKUP($B100,'7. PGE_Efficacité'!$A$6:$AO$268,24,0)</f>
        <v>0</v>
      </c>
      <c r="U100" s="64">
        <f>VLOOKUP($B100,'7. PGE_Efficacité'!$A$6:$AO$268,25,0)</f>
        <v>0</v>
      </c>
      <c r="V100" s="64">
        <f>VLOOKUP($B100,'7. PGE_Efficacité'!$A$6:$AO$268,26,0)</f>
        <v>0</v>
      </c>
      <c r="W100" s="61">
        <f>VLOOKUP($B100,'7. PGE_Efficacité'!$A$6:$AO$268,27,0)</f>
        <v>0</v>
      </c>
      <c r="X100" s="61">
        <f>VLOOKUP($B100,'7. PGE_Efficacité'!$A$6:$AO$268,28,0)</f>
        <v>0</v>
      </c>
      <c r="Y100" s="61">
        <f>VLOOKUP($B100,'7. PGE_Efficacité'!$A$6:$AO$268,29,0)</f>
        <v>0</v>
      </c>
      <c r="Z100" s="61">
        <f>VLOOKUP($B100,'7. PGE_Efficacité'!$A$6:$AO$268,30,0)</f>
        <v>0</v>
      </c>
      <c r="AA100" s="61">
        <f>VLOOKUP($B100,'7. PGE_Efficacité'!$A$6:$AO$268,31,0)</f>
        <v>0</v>
      </c>
      <c r="AB100" s="61">
        <f>VLOOKUP($B100,'7. PGE_Efficacité'!$A$6:$AO$268,32,0)</f>
        <v>0</v>
      </c>
      <c r="AC100" s="61">
        <f>VLOOKUP($B100,'7. PGE_Efficacité'!$A$6:$AO$268,33,0)</f>
        <v>0</v>
      </c>
      <c r="AD100" s="61">
        <f>VLOOKUP($B100,'7. PGE_Efficacité'!$A$6:$AO$268,34,0)</f>
        <v>0</v>
      </c>
      <c r="AE100" s="61">
        <f>VLOOKUP($B100,'7. PGE_Efficacité'!$A$6:$AO$268,35,0)</f>
        <v>0</v>
      </c>
      <c r="AF100" s="61">
        <f>VLOOKUP($B100,'7. PGE_Efficacité'!$A$6:$AO$268,36,0)</f>
        <v>0</v>
      </c>
      <c r="AG100" s="61">
        <f>VLOOKUP($B100,'7. PGE_Efficacité'!$A$6:$AO$268,37,0)</f>
        <v>0</v>
      </c>
      <c r="AH100" s="61">
        <f>VLOOKUP($B100,'7. PGE_Efficacité'!$A$6:$AO$268,38,0)</f>
        <v>0</v>
      </c>
      <c r="AI100" s="61">
        <f>VLOOKUP($B100,'7. PGE_Efficacité'!$A$6:$AO$268,39,0)</f>
        <v>0</v>
      </c>
      <c r="AJ100" s="61">
        <f>VLOOKUP($B100,'7. PGE_Efficacité'!$A$6:$AO$268,40,0)</f>
        <v>0</v>
      </c>
      <c r="AK100" s="61">
        <f>VLOOKUP($B100,'7. PGE_Efficacité'!$A$6:$AO$268,41,0)</f>
        <v>0</v>
      </c>
    </row>
    <row r="101" spans="1:37" hidden="1" outlineLevel="1" x14ac:dyDescent="0.25">
      <c r="A101" s="65" t="s">
        <v>10</v>
      </c>
      <c r="B101" s="65" t="s">
        <v>664</v>
      </c>
      <c r="C101" s="65" t="s">
        <v>1324</v>
      </c>
      <c r="D101" s="65" t="s">
        <v>1520</v>
      </c>
      <c r="E101" s="65" t="s">
        <v>1287</v>
      </c>
      <c r="F101" s="70">
        <v>0</v>
      </c>
      <c r="G101" s="64">
        <f>VLOOKUP($B101,'7. PGE_Efficacité'!$A$6:$AO$268,11,0)</f>
        <v>0</v>
      </c>
      <c r="H101" s="64">
        <f>VLOOKUP($B101,'7. PGE_Efficacité'!$A$6:$AO$268,12,0)</f>
        <v>0</v>
      </c>
      <c r="I101" s="64">
        <f>VLOOKUP($B101,'7. PGE_Efficacité'!$A$6:$AO$268,13,0)</f>
        <v>0</v>
      </c>
      <c r="J101" s="64">
        <f>VLOOKUP($B101,'7. PGE_Efficacité'!$A$6:$AO$268,14,0)</f>
        <v>0</v>
      </c>
      <c r="K101" s="64">
        <f>VLOOKUP($B101,'7. PGE_Efficacité'!$A$6:$AO$268,15,0)</f>
        <v>0</v>
      </c>
      <c r="L101" s="64">
        <f>VLOOKUP($B101,'7. PGE_Efficacité'!$A$6:$AO$268,16,0)</f>
        <v>0</v>
      </c>
      <c r="M101" s="64">
        <f>VLOOKUP($B101,'7. PGE_Efficacité'!$A$6:$AO$268,17,0)</f>
        <v>0</v>
      </c>
      <c r="N101" s="64">
        <f>VLOOKUP($B101,'7. PGE_Efficacité'!$A$6:$AO$268,18,0)</f>
        <v>0</v>
      </c>
      <c r="O101" s="64">
        <f>VLOOKUP($B101,'7. PGE_Efficacité'!$A$6:$AO$268,19,0)</f>
        <v>0</v>
      </c>
      <c r="P101" s="64">
        <f>VLOOKUP($B101,'7. PGE_Efficacité'!$A$6:$AO$268,20,0)</f>
        <v>0</v>
      </c>
      <c r="Q101" s="64">
        <f>VLOOKUP($B101,'7. PGE_Efficacité'!$A$6:$AO$268,21,0)</f>
        <v>0</v>
      </c>
      <c r="R101" s="64">
        <f>VLOOKUP($B101,'7. PGE_Efficacité'!$A$6:$AO$268,22,0)</f>
        <v>0</v>
      </c>
      <c r="S101" s="64">
        <f>VLOOKUP($B101,'7. PGE_Efficacité'!$A$6:$AO$268,23,0)</f>
        <v>0</v>
      </c>
      <c r="T101" s="64">
        <f>VLOOKUP($B101,'7. PGE_Efficacité'!$A$6:$AO$268,24,0)</f>
        <v>0</v>
      </c>
      <c r="U101" s="64">
        <f>VLOOKUP($B101,'7. PGE_Efficacité'!$A$6:$AO$268,25,0)</f>
        <v>0</v>
      </c>
      <c r="V101" s="64">
        <f>VLOOKUP($B101,'7. PGE_Efficacité'!$A$6:$AO$268,26,0)</f>
        <v>0</v>
      </c>
      <c r="W101" s="61">
        <f>VLOOKUP($B101,'7. PGE_Efficacité'!$A$6:$AO$268,27,0)</f>
        <v>0</v>
      </c>
      <c r="X101" s="61">
        <f>VLOOKUP($B101,'7. PGE_Efficacité'!$A$6:$AO$268,28,0)</f>
        <v>0</v>
      </c>
      <c r="Y101" s="61">
        <f>VLOOKUP($B101,'7. PGE_Efficacité'!$A$6:$AO$268,29,0)</f>
        <v>0</v>
      </c>
      <c r="Z101" s="61">
        <f>VLOOKUP($B101,'7. PGE_Efficacité'!$A$6:$AO$268,30,0)</f>
        <v>0</v>
      </c>
      <c r="AA101" s="61">
        <f>VLOOKUP($B101,'7. PGE_Efficacité'!$A$6:$AO$268,31,0)</f>
        <v>0</v>
      </c>
      <c r="AB101" s="61">
        <f>VLOOKUP($B101,'7. PGE_Efficacité'!$A$6:$AO$268,32,0)</f>
        <v>0</v>
      </c>
      <c r="AC101" s="61">
        <f>VLOOKUP($B101,'7. PGE_Efficacité'!$A$6:$AO$268,33,0)</f>
        <v>0</v>
      </c>
      <c r="AD101" s="61">
        <f>VLOOKUP($B101,'7. PGE_Efficacité'!$A$6:$AO$268,34,0)</f>
        <v>0</v>
      </c>
      <c r="AE101" s="61">
        <f>VLOOKUP($B101,'7. PGE_Efficacité'!$A$6:$AO$268,35,0)</f>
        <v>0</v>
      </c>
      <c r="AF101" s="61">
        <f>VLOOKUP($B101,'7. PGE_Efficacité'!$A$6:$AO$268,36,0)</f>
        <v>0</v>
      </c>
      <c r="AG101" s="61">
        <f>VLOOKUP($B101,'7. PGE_Efficacité'!$A$6:$AO$268,37,0)</f>
        <v>0</v>
      </c>
      <c r="AH101" s="61">
        <f>VLOOKUP($B101,'7. PGE_Efficacité'!$A$6:$AO$268,38,0)</f>
        <v>0</v>
      </c>
      <c r="AI101" s="61">
        <f>VLOOKUP($B101,'7. PGE_Efficacité'!$A$6:$AO$268,39,0)</f>
        <v>0</v>
      </c>
      <c r="AJ101" s="61">
        <f>VLOOKUP($B101,'7. PGE_Efficacité'!$A$6:$AO$268,40,0)</f>
        <v>0</v>
      </c>
      <c r="AK101" s="61">
        <f>VLOOKUP($B101,'7. PGE_Efficacité'!$A$6:$AO$268,41,0)</f>
        <v>0</v>
      </c>
    </row>
    <row r="102" spans="1:37" hidden="1" outlineLevel="1" x14ac:dyDescent="0.25">
      <c r="A102" s="65" t="s">
        <v>10</v>
      </c>
      <c r="B102" s="65" t="s">
        <v>655</v>
      </c>
      <c r="C102" s="65" t="s">
        <v>1315</v>
      </c>
      <c r="D102" s="65" t="s">
        <v>1520</v>
      </c>
      <c r="E102" s="65" t="s">
        <v>415</v>
      </c>
      <c r="F102" s="70">
        <v>210000</v>
      </c>
      <c r="G102" s="64">
        <f>VLOOKUP($B102,'7. PGE_Efficacité'!$A$6:$AO$268,11,0)</f>
        <v>0</v>
      </c>
      <c r="H102" s="64">
        <f>VLOOKUP($B102,'7. PGE_Efficacité'!$A$6:$AO$268,12,0)</f>
        <v>0</v>
      </c>
      <c r="I102" s="64">
        <f>VLOOKUP($B102,'7. PGE_Efficacité'!$A$6:$AO$268,13,0)</f>
        <v>0</v>
      </c>
      <c r="J102" s="64">
        <f>VLOOKUP($B102,'7. PGE_Efficacité'!$A$6:$AO$268,14,0)</f>
        <v>0</v>
      </c>
      <c r="K102" s="64">
        <f>VLOOKUP($B102,'7. PGE_Efficacité'!$A$6:$AO$268,15,0)</f>
        <v>0</v>
      </c>
      <c r="L102" s="64">
        <f>VLOOKUP($B102,'7. PGE_Efficacité'!$A$6:$AO$268,16,0)</f>
        <v>0</v>
      </c>
      <c r="M102" s="64">
        <f>VLOOKUP($B102,'7. PGE_Efficacité'!$A$6:$AO$268,17,0)</f>
        <v>0</v>
      </c>
      <c r="N102" s="64">
        <f>VLOOKUP($B102,'7. PGE_Efficacité'!$A$6:$AO$268,18,0)</f>
        <v>0</v>
      </c>
      <c r="O102" s="64">
        <f>VLOOKUP($B102,'7. PGE_Efficacité'!$A$6:$AO$268,19,0)</f>
        <v>0</v>
      </c>
      <c r="P102" s="64">
        <f>VLOOKUP($B102,'7. PGE_Efficacité'!$A$6:$AO$268,20,0)</f>
        <v>0</v>
      </c>
      <c r="Q102" s="64">
        <f>VLOOKUP($B102,'7. PGE_Efficacité'!$A$6:$AO$268,21,0)</f>
        <v>0</v>
      </c>
      <c r="R102" s="64">
        <f>VLOOKUP($B102,'7. PGE_Efficacité'!$A$6:$AO$268,22,0)</f>
        <v>0</v>
      </c>
      <c r="S102" s="64">
        <f>VLOOKUP($B102,'7. PGE_Efficacité'!$A$6:$AO$268,23,0)</f>
        <v>0</v>
      </c>
      <c r="T102" s="64">
        <f>VLOOKUP($B102,'7. PGE_Efficacité'!$A$6:$AO$268,24,0)</f>
        <v>0</v>
      </c>
      <c r="U102" s="64">
        <f>VLOOKUP($B102,'7. PGE_Efficacité'!$A$6:$AO$268,25,0)</f>
        <v>0</v>
      </c>
      <c r="V102" s="64">
        <f>VLOOKUP($B102,'7. PGE_Efficacité'!$A$6:$AO$268,26,0)</f>
        <v>0</v>
      </c>
      <c r="W102" s="61">
        <f>VLOOKUP($B102,'7. PGE_Efficacité'!$A$6:$AO$268,27,0)</f>
        <v>0</v>
      </c>
      <c r="X102" s="61">
        <f>VLOOKUP($B102,'7. PGE_Efficacité'!$A$6:$AO$268,28,0)</f>
        <v>0</v>
      </c>
      <c r="Y102" s="61">
        <f>VLOOKUP($B102,'7. PGE_Efficacité'!$A$6:$AO$268,29,0)</f>
        <v>0</v>
      </c>
      <c r="Z102" s="61">
        <f>VLOOKUP($B102,'7. PGE_Efficacité'!$A$6:$AO$268,30,0)</f>
        <v>0</v>
      </c>
      <c r="AA102" s="61">
        <f>VLOOKUP($B102,'7. PGE_Efficacité'!$A$6:$AO$268,31,0)</f>
        <v>0</v>
      </c>
      <c r="AB102" s="61">
        <f>VLOOKUP($B102,'7. PGE_Efficacité'!$A$6:$AO$268,32,0)</f>
        <v>0</v>
      </c>
      <c r="AC102" s="61">
        <f>VLOOKUP($B102,'7. PGE_Efficacité'!$A$6:$AO$268,33,0)</f>
        <v>0</v>
      </c>
      <c r="AD102" s="61">
        <f>VLOOKUP($B102,'7. PGE_Efficacité'!$A$6:$AO$268,34,0)</f>
        <v>0</v>
      </c>
      <c r="AE102" s="61">
        <f>VLOOKUP($B102,'7. PGE_Efficacité'!$A$6:$AO$268,35,0)</f>
        <v>0</v>
      </c>
      <c r="AF102" s="61">
        <f>VLOOKUP($B102,'7. PGE_Efficacité'!$A$6:$AO$268,36,0)</f>
        <v>0</v>
      </c>
      <c r="AG102" s="61">
        <f>VLOOKUP($B102,'7. PGE_Efficacité'!$A$6:$AO$268,37,0)</f>
        <v>0</v>
      </c>
      <c r="AH102" s="61">
        <f>VLOOKUP($B102,'7. PGE_Efficacité'!$A$6:$AO$268,38,0)</f>
        <v>0</v>
      </c>
      <c r="AI102" s="61">
        <f>VLOOKUP($B102,'7. PGE_Efficacité'!$A$6:$AO$268,39,0)</f>
        <v>0</v>
      </c>
      <c r="AJ102" s="61">
        <f>VLOOKUP($B102,'7. PGE_Efficacité'!$A$6:$AO$268,40,0)</f>
        <v>0</v>
      </c>
      <c r="AK102" s="61">
        <f>VLOOKUP($B102,'7. PGE_Efficacité'!$A$6:$AO$268,41,0)</f>
        <v>0</v>
      </c>
    </row>
    <row r="103" spans="1:37" hidden="1" outlineLevel="1" x14ac:dyDescent="0.25">
      <c r="A103" s="65" t="s">
        <v>10</v>
      </c>
      <c r="B103" s="65" t="s">
        <v>656</v>
      </c>
      <c r="C103" s="65" t="s">
        <v>1316</v>
      </c>
      <c r="D103" s="65" t="s">
        <v>1520</v>
      </c>
      <c r="E103" s="65" t="s">
        <v>415</v>
      </c>
      <c r="F103" s="70">
        <v>25000</v>
      </c>
      <c r="G103" s="64">
        <f>VLOOKUP($B103,'7. PGE_Efficacité'!$A$6:$AO$268,11,0)</f>
        <v>0</v>
      </c>
      <c r="H103" s="64">
        <f>VLOOKUP($B103,'7. PGE_Efficacité'!$A$6:$AO$268,12,0)</f>
        <v>0</v>
      </c>
      <c r="I103" s="64">
        <f>VLOOKUP($B103,'7. PGE_Efficacité'!$A$6:$AO$268,13,0)</f>
        <v>0</v>
      </c>
      <c r="J103" s="64">
        <f>VLOOKUP($B103,'7. PGE_Efficacité'!$A$6:$AO$268,14,0)</f>
        <v>0</v>
      </c>
      <c r="K103" s="64">
        <f>VLOOKUP($B103,'7. PGE_Efficacité'!$A$6:$AO$268,15,0)</f>
        <v>0</v>
      </c>
      <c r="L103" s="64">
        <f>VLOOKUP($B103,'7. PGE_Efficacité'!$A$6:$AO$268,16,0)</f>
        <v>0</v>
      </c>
      <c r="M103" s="64">
        <f>VLOOKUP($B103,'7. PGE_Efficacité'!$A$6:$AO$268,17,0)</f>
        <v>0</v>
      </c>
      <c r="N103" s="64">
        <f>VLOOKUP($B103,'7. PGE_Efficacité'!$A$6:$AO$268,18,0)</f>
        <v>0</v>
      </c>
      <c r="O103" s="64">
        <f>VLOOKUP($B103,'7. PGE_Efficacité'!$A$6:$AO$268,19,0)</f>
        <v>0</v>
      </c>
      <c r="P103" s="64">
        <f>VLOOKUP($B103,'7. PGE_Efficacité'!$A$6:$AO$268,20,0)</f>
        <v>0</v>
      </c>
      <c r="Q103" s="64">
        <f>VLOOKUP($B103,'7. PGE_Efficacité'!$A$6:$AO$268,21,0)</f>
        <v>0</v>
      </c>
      <c r="R103" s="64">
        <f>VLOOKUP($B103,'7. PGE_Efficacité'!$A$6:$AO$268,22,0)</f>
        <v>0</v>
      </c>
      <c r="S103" s="64">
        <f>VLOOKUP($B103,'7. PGE_Efficacité'!$A$6:$AO$268,23,0)</f>
        <v>0</v>
      </c>
      <c r="T103" s="64">
        <f>VLOOKUP($B103,'7. PGE_Efficacité'!$A$6:$AO$268,24,0)</f>
        <v>0</v>
      </c>
      <c r="U103" s="64">
        <f>VLOOKUP($B103,'7. PGE_Efficacité'!$A$6:$AO$268,25,0)</f>
        <v>0</v>
      </c>
      <c r="V103" s="64">
        <f>VLOOKUP($B103,'7. PGE_Efficacité'!$A$6:$AO$268,26,0)</f>
        <v>0</v>
      </c>
      <c r="W103" s="61">
        <f>VLOOKUP($B103,'7. PGE_Efficacité'!$A$6:$AO$268,27,0)</f>
        <v>0</v>
      </c>
      <c r="X103" s="61">
        <f>VLOOKUP($B103,'7. PGE_Efficacité'!$A$6:$AO$268,28,0)</f>
        <v>0</v>
      </c>
      <c r="Y103" s="61">
        <f>VLOOKUP($B103,'7. PGE_Efficacité'!$A$6:$AO$268,29,0)</f>
        <v>0</v>
      </c>
      <c r="Z103" s="61">
        <f>VLOOKUP($B103,'7. PGE_Efficacité'!$A$6:$AO$268,30,0)</f>
        <v>0</v>
      </c>
      <c r="AA103" s="61">
        <f>VLOOKUP($B103,'7. PGE_Efficacité'!$A$6:$AO$268,31,0)</f>
        <v>0</v>
      </c>
      <c r="AB103" s="61">
        <f>VLOOKUP($B103,'7. PGE_Efficacité'!$A$6:$AO$268,32,0)</f>
        <v>0</v>
      </c>
      <c r="AC103" s="61">
        <f>VLOOKUP($B103,'7. PGE_Efficacité'!$A$6:$AO$268,33,0)</f>
        <v>0</v>
      </c>
      <c r="AD103" s="61">
        <f>VLOOKUP($B103,'7. PGE_Efficacité'!$A$6:$AO$268,34,0)</f>
        <v>0</v>
      </c>
      <c r="AE103" s="61">
        <f>VLOOKUP($B103,'7. PGE_Efficacité'!$A$6:$AO$268,35,0)</f>
        <v>0</v>
      </c>
      <c r="AF103" s="61">
        <f>VLOOKUP($B103,'7. PGE_Efficacité'!$A$6:$AO$268,36,0)</f>
        <v>0</v>
      </c>
      <c r="AG103" s="61">
        <f>VLOOKUP($B103,'7. PGE_Efficacité'!$A$6:$AO$268,37,0)</f>
        <v>0</v>
      </c>
      <c r="AH103" s="61">
        <f>VLOOKUP($B103,'7. PGE_Efficacité'!$A$6:$AO$268,38,0)</f>
        <v>0</v>
      </c>
      <c r="AI103" s="61">
        <f>VLOOKUP($B103,'7. PGE_Efficacité'!$A$6:$AO$268,39,0)</f>
        <v>0</v>
      </c>
      <c r="AJ103" s="61">
        <f>VLOOKUP($B103,'7. PGE_Efficacité'!$A$6:$AO$268,40,0)</f>
        <v>0</v>
      </c>
      <c r="AK103" s="61">
        <f>VLOOKUP($B103,'7. PGE_Efficacité'!$A$6:$AO$268,41,0)</f>
        <v>0</v>
      </c>
    </row>
    <row r="104" spans="1:37" hidden="1" outlineLevel="1" x14ac:dyDescent="0.25">
      <c r="A104" s="65" t="s">
        <v>10</v>
      </c>
      <c r="B104" s="65" t="s">
        <v>665</v>
      </c>
      <c r="C104" s="65" t="s">
        <v>1325</v>
      </c>
      <c r="D104" s="65" t="s">
        <v>1520</v>
      </c>
      <c r="E104" s="65" t="s">
        <v>415</v>
      </c>
      <c r="F104" s="70">
        <v>0</v>
      </c>
      <c r="G104" s="64">
        <f>VLOOKUP($B104,'7. PGE_Efficacité'!$A$6:$AO$268,11,0)</f>
        <v>0</v>
      </c>
      <c r="H104" s="64">
        <f>VLOOKUP($B104,'7. PGE_Efficacité'!$A$6:$AO$268,12,0)</f>
        <v>0</v>
      </c>
      <c r="I104" s="64">
        <f>VLOOKUP($B104,'7. PGE_Efficacité'!$A$6:$AO$268,13,0)</f>
        <v>0</v>
      </c>
      <c r="J104" s="64">
        <f>VLOOKUP($B104,'7. PGE_Efficacité'!$A$6:$AO$268,14,0)</f>
        <v>0</v>
      </c>
      <c r="K104" s="64">
        <f>VLOOKUP($B104,'7. PGE_Efficacité'!$A$6:$AO$268,15,0)</f>
        <v>0</v>
      </c>
      <c r="L104" s="64">
        <f>VLOOKUP($B104,'7. PGE_Efficacité'!$A$6:$AO$268,16,0)</f>
        <v>0</v>
      </c>
      <c r="M104" s="64">
        <f>VLOOKUP($B104,'7. PGE_Efficacité'!$A$6:$AO$268,17,0)</f>
        <v>0</v>
      </c>
      <c r="N104" s="64">
        <f>VLOOKUP($B104,'7. PGE_Efficacité'!$A$6:$AO$268,18,0)</f>
        <v>0</v>
      </c>
      <c r="O104" s="64">
        <f>VLOOKUP($B104,'7. PGE_Efficacité'!$A$6:$AO$268,19,0)</f>
        <v>0</v>
      </c>
      <c r="P104" s="64">
        <f>VLOOKUP($B104,'7. PGE_Efficacité'!$A$6:$AO$268,20,0)</f>
        <v>0</v>
      </c>
      <c r="Q104" s="64">
        <f>VLOOKUP($B104,'7. PGE_Efficacité'!$A$6:$AO$268,21,0)</f>
        <v>0</v>
      </c>
      <c r="R104" s="64">
        <f>VLOOKUP($B104,'7. PGE_Efficacité'!$A$6:$AO$268,22,0)</f>
        <v>0</v>
      </c>
      <c r="S104" s="64">
        <f>VLOOKUP($B104,'7. PGE_Efficacité'!$A$6:$AO$268,23,0)</f>
        <v>0</v>
      </c>
      <c r="T104" s="64">
        <f>VLOOKUP($B104,'7. PGE_Efficacité'!$A$6:$AO$268,24,0)</f>
        <v>0</v>
      </c>
      <c r="U104" s="64">
        <f>VLOOKUP($B104,'7. PGE_Efficacité'!$A$6:$AO$268,25,0)</f>
        <v>0</v>
      </c>
      <c r="V104" s="64">
        <f>VLOOKUP($B104,'7. PGE_Efficacité'!$A$6:$AO$268,26,0)</f>
        <v>0</v>
      </c>
      <c r="W104" s="61">
        <f>VLOOKUP($B104,'7. PGE_Efficacité'!$A$6:$AO$268,27,0)</f>
        <v>0</v>
      </c>
      <c r="X104" s="61">
        <f>VLOOKUP($B104,'7. PGE_Efficacité'!$A$6:$AO$268,28,0)</f>
        <v>0</v>
      </c>
      <c r="Y104" s="61">
        <f>VLOOKUP($B104,'7. PGE_Efficacité'!$A$6:$AO$268,29,0)</f>
        <v>0</v>
      </c>
      <c r="Z104" s="61">
        <f>VLOOKUP($B104,'7. PGE_Efficacité'!$A$6:$AO$268,30,0)</f>
        <v>0</v>
      </c>
      <c r="AA104" s="61">
        <f>VLOOKUP($B104,'7. PGE_Efficacité'!$A$6:$AO$268,31,0)</f>
        <v>0</v>
      </c>
      <c r="AB104" s="61">
        <f>VLOOKUP($B104,'7. PGE_Efficacité'!$A$6:$AO$268,32,0)</f>
        <v>0</v>
      </c>
      <c r="AC104" s="61">
        <f>VLOOKUP($B104,'7. PGE_Efficacité'!$A$6:$AO$268,33,0)</f>
        <v>0</v>
      </c>
      <c r="AD104" s="61">
        <f>VLOOKUP($B104,'7. PGE_Efficacité'!$A$6:$AO$268,34,0)</f>
        <v>0</v>
      </c>
      <c r="AE104" s="61">
        <f>VLOOKUP($B104,'7. PGE_Efficacité'!$A$6:$AO$268,35,0)</f>
        <v>0</v>
      </c>
      <c r="AF104" s="61">
        <f>VLOOKUP($B104,'7. PGE_Efficacité'!$A$6:$AO$268,36,0)</f>
        <v>0</v>
      </c>
      <c r="AG104" s="61">
        <f>VLOOKUP($B104,'7. PGE_Efficacité'!$A$6:$AO$268,37,0)</f>
        <v>0</v>
      </c>
      <c r="AH104" s="61">
        <f>VLOOKUP($B104,'7. PGE_Efficacité'!$A$6:$AO$268,38,0)</f>
        <v>0</v>
      </c>
      <c r="AI104" s="61">
        <f>VLOOKUP($B104,'7. PGE_Efficacité'!$A$6:$AO$268,39,0)</f>
        <v>0</v>
      </c>
      <c r="AJ104" s="61">
        <f>VLOOKUP($B104,'7. PGE_Efficacité'!$A$6:$AO$268,40,0)</f>
        <v>0</v>
      </c>
      <c r="AK104" s="61">
        <f>VLOOKUP($B104,'7. PGE_Efficacité'!$A$6:$AO$268,41,0)</f>
        <v>0</v>
      </c>
    </row>
    <row r="105" spans="1:37" hidden="1" outlineLevel="1" x14ac:dyDescent="0.25">
      <c r="A105" s="65" t="s">
        <v>10</v>
      </c>
      <c r="B105" s="65" t="s">
        <v>666</v>
      </c>
      <c r="C105" s="65" t="s">
        <v>1326</v>
      </c>
      <c r="D105" s="65" t="s">
        <v>1520</v>
      </c>
      <c r="E105" s="65" t="s">
        <v>415</v>
      </c>
      <c r="F105" s="70">
        <v>0</v>
      </c>
      <c r="G105" s="64">
        <f>VLOOKUP($B105,'7. PGE_Efficacité'!$A$6:$AO$268,11,0)</f>
        <v>0</v>
      </c>
      <c r="H105" s="64">
        <f>VLOOKUP($B105,'7. PGE_Efficacité'!$A$6:$AO$268,12,0)</f>
        <v>0</v>
      </c>
      <c r="I105" s="64">
        <f>VLOOKUP($B105,'7. PGE_Efficacité'!$A$6:$AO$268,13,0)</f>
        <v>0</v>
      </c>
      <c r="J105" s="64">
        <f>VLOOKUP($B105,'7. PGE_Efficacité'!$A$6:$AO$268,14,0)</f>
        <v>0</v>
      </c>
      <c r="K105" s="64">
        <f>VLOOKUP($B105,'7. PGE_Efficacité'!$A$6:$AO$268,15,0)</f>
        <v>0</v>
      </c>
      <c r="L105" s="64">
        <f>VLOOKUP($B105,'7. PGE_Efficacité'!$A$6:$AO$268,16,0)</f>
        <v>0</v>
      </c>
      <c r="M105" s="66" t="str">
        <f>VLOOKUP($B105,'7. PGE_Efficacité'!$A$6:$AO$268,17,0)</f>
        <v>+</v>
      </c>
      <c r="N105" s="64">
        <f>VLOOKUP($B105,'7. PGE_Efficacité'!$A$6:$AO$268,18,0)</f>
        <v>0</v>
      </c>
      <c r="O105" s="64">
        <f>VLOOKUP($B105,'7. PGE_Efficacité'!$A$6:$AO$268,19,0)</f>
        <v>0</v>
      </c>
      <c r="P105" s="64">
        <f>VLOOKUP($B105,'7. PGE_Efficacité'!$A$6:$AO$268,20,0)</f>
        <v>0</v>
      </c>
      <c r="Q105" s="64">
        <f>VLOOKUP($B105,'7. PGE_Efficacité'!$A$6:$AO$268,21,0)</f>
        <v>0</v>
      </c>
      <c r="R105" s="64">
        <f>VLOOKUP($B105,'7. PGE_Efficacité'!$A$6:$AO$268,22,0)</f>
        <v>0</v>
      </c>
      <c r="S105" s="64">
        <f>VLOOKUP($B105,'7. PGE_Efficacité'!$A$6:$AO$268,23,0)</f>
        <v>0</v>
      </c>
      <c r="T105" s="64">
        <f>VLOOKUP($B105,'7. PGE_Efficacité'!$A$6:$AO$268,24,0)</f>
        <v>0</v>
      </c>
      <c r="U105" s="64">
        <f>VLOOKUP($B105,'7. PGE_Efficacité'!$A$6:$AO$268,25,0)</f>
        <v>0</v>
      </c>
      <c r="V105" s="66" t="str">
        <f>VLOOKUP($B105,'7. PGE_Efficacité'!$A$6:$AO$268,26,0)</f>
        <v>+</v>
      </c>
      <c r="W105" s="61">
        <f>VLOOKUP($B105,'7. PGE_Efficacité'!$A$6:$AO$268,27,0)</f>
        <v>0</v>
      </c>
      <c r="X105" s="61">
        <f>VLOOKUP($B105,'7. PGE_Efficacité'!$A$6:$AO$268,28,0)</f>
        <v>0</v>
      </c>
      <c r="Y105" s="61">
        <f>VLOOKUP($B105,'7. PGE_Efficacité'!$A$6:$AO$268,29,0)</f>
        <v>0</v>
      </c>
      <c r="Z105" s="61">
        <f>VLOOKUP($B105,'7. PGE_Efficacité'!$A$6:$AO$268,30,0)</f>
        <v>0</v>
      </c>
      <c r="AA105" s="61">
        <f>VLOOKUP($B105,'7. PGE_Efficacité'!$A$6:$AO$268,31,0)</f>
        <v>0</v>
      </c>
      <c r="AB105" s="61">
        <f>VLOOKUP($B105,'7. PGE_Efficacité'!$A$6:$AO$268,32,0)</f>
        <v>0</v>
      </c>
      <c r="AC105" s="61">
        <f>VLOOKUP($B105,'7. PGE_Efficacité'!$A$6:$AO$268,33,0)</f>
        <v>0</v>
      </c>
      <c r="AD105" s="61">
        <f>VLOOKUP($B105,'7. PGE_Efficacité'!$A$6:$AO$268,34,0)</f>
        <v>0</v>
      </c>
      <c r="AE105" s="61">
        <f>VLOOKUP($B105,'7. PGE_Efficacité'!$A$6:$AO$268,35,0)</f>
        <v>0</v>
      </c>
      <c r="AF105" s="61">
        <f>VLOOKUP($B105,'7. PGE_Efficacité'!$A$6:$AO$268,36,0)</f>
        <v>0</v>
      </c>
      <c r="AG105" s="61">
        <f>VLOOKUP($B105,'7. PGE_Efficacité'!$A$6:$AO$268,37,0)</f>
        <v>0</v>
      </c>
      <c r="AH105" s="61">
        <f>VLOOKUP($B105,'7. PGE_Efficacité'!$A$6:$AO$268,38,0)</f>
        <v>0</v>
      </c>
      <c r="AI105" s="61">
        <f>VLOOKUP($B105,'7. PGE_Efficacité'!$A$6:$AO$268,39,0)</f>
        <v>0</v>
      </c>
      <c r="AJ105" s="62" t="str">
        <f>VLOOKUP($B105,'7. PGE_Efficacité'!$A$6:$AO$268,40,0)</f>
        <v>+</v>
      </c>
      <c r="AK105" s="62" t="str">
        <f>VLOOKUP($B105,'7. PGE_Efficacité'!$A$6:$AO$268,41,0)</f>
        <v>+</v>
      </c>
    </row>
    <row r="106" spans="1:37" hidden="1" outlineLevel="1" x14ac:dyDescent="0.25">
      <c r="A106" s="65" t="s">
        <v>10</v>
      </c>
      <c r="B106" s="65" t="s">
        <v>667</v>
      </c>
      <c r="C106" s="65" t="s">
        <v>1327</v>
      </c>
      <c r="D106" s="65" t="s">
        <v>1520</v>
      </c>
      <c r="E106" s="65" t="s">
        <v>1290</v>
      </c>
      <c r="F106" s="70">
        <v>0</v>
      </c>
      <c r="G106" s="64">
        <f>VLOOKUP($B106,'7. PGE_Efficacité'!$A$6:$AO$268,11,0)</f>
        <v>0</v>
      </c>
      <c r="H106" s="64">
        <f>VLOOKUP($B106,'7. PGE_Efficacité'!$A$6:$AO$268,12,0)</f>
        <v>0</v>
      </c>
      <c r="I106" s="64">
        <f>VLOOKUP($B106,'7. PGE_Efficacité'!$A$6:$AO$268,13,0)</f>
        <v>0</v>
      </c>
      <c r="J106" s="64">
        <f>VLOOKUP($B106,'7. PGE_Efficacité'!$A$6:$AO$268,14,0)</f>
        <v>0</v>
      </c>
      <c r="K106" s="64">
        <f>VLOOKUP($B106,'7. PGE_Efficacité'!$A$6:$AO$268,15,0)</f>
        <v>0</v>
      </c>
      <c r="L106" s="64">
        <f>VLOOKUP($B106,'7. PGE_Efficacité'!$A$6:$AO$268,16,0)</f>
        <v>0</v>
      </c>
      <c r="M106" s="64">
        <f>VLOOKUP($B106,'7. PGE_Efficacité'!$A$6:$AO$268,17,0)</f>
        <v>0</v>
      </c>
      <c r="N106" s="64">
        <f>VLOOKUP($B106,'7. PGE_Efficacité'!$A$6:$AO$268,18,0)</f>
        <v>0</v>
      </c>
      <c r="O106" s="64">
        <f>VLOOKUP($B106,'7. PGE_Efficacité'!$A$6:$AO$268,19,0)</f>
        <v>0</v>
      </c>
      <c r="P106" s="64">
        <f>VLOOKUP($B106,'7. PGE_Efficacité'!$A$6:$AO$268,20,0)</f>
        <v>0</v>
      </c>
      <c r="Q106" s="64">
        <f>VLOOKUP($B106,'7. PGE_Efficacité'!$A$6:$AO$268,21,0)</f>
        <v>0</v>
      </c>
      <c r="R106" s="64">
        <f>VLOOKUP($B106,'7. PGE_Efficacité'!$A$6:$AO$268,22,0)</f>
        <v>0</v>
      </c>
      <c r="S106" s="64">
        <f>VLOOKUP($B106,'7. PGE_Efficacité'!$A$6:$AO$268,23,0)</f>
        <v>0</v>
      </c>
      <c r="T106" s="64">
        <f>VLOOKUP($B106,'7. PGE_Efficacité'!$A$6:$AO$268,24,0)</f>
        <v>0</v>
      </c>
      <c r="U106" s="64">
        <f>VLOOKUP($B106,'7. PGE_Efficacité'!$A$6:$AO$268,25,0)</f>
        <v>0</v>
      </c>
      <c r="V106" s="64">
        <f>VLOOKUP($B106,'7. PGE_Efficacité'!$A$6:$AO$268,26,0)</f>
        <v>0</v>
      </c>
      <c r="W106" s="61">
        <f>VLOOKUP($B106,'7. PGE_Efficacité'!$A$6:$AO$268,27,0)</f>
        <v>0</v>
      </c>
      <c r="X106" s="61">
        <f>VLOOKUP($B106,'7. PGE_Efficacité'!$A$6:$AO$268,28,0)</f>
        <v>0</v>
      </c>
      <c r="Y106" s="61">
        <f>VLOOKUP($B106,'7. PGE_Efficacité'!$A$6:$AO$268,29,0)</f>
        <v>0</v>
      </c>
      <c r="Z106" s="61">
        <f>VLOOKUP($B106,'7. PGE_Efficacité'!$A$6:$AO$268,30,0)</f>
        <v>0</v>
      </c>
      <c r="AA106" s="61">
        <f>VLOOKUP($B106,'7. PGE_Efficacité'!$A$6:$AO$268,31,0)</f>
        <v>0</v>
      </c>
      <c r="AB106" s="61">
        <f>VLOOKUP($B106,'7. PGE_Efficacité'!$A$6:$AO$268,32,0)</f>
        <v>0</v>
      </c>
      <c r="AC106" s="61">
        <f>VLOOKUP($B106,'7. PGE_Efficacité'!$A$6:$AO$268,33,0)</f>
        <v>0</v>
      </c>
      <c r="AD106" s="61">
        <f>VLOOKUP($B106,'7. PGE_Efficacité'!$A$6:$AO$268,34,0)</f>
        <v>0</v>
      </c>
      <c r="AE106" s="61">
        <f>VLOOKUP($B106,'7. PGE_Efficacité'!$A$6:$AO$268,35,0)</f>
        <v>0</v>
      </c>
      <c r="AF106" s="61">
        <f>VLOOKUP($B106,'7. PGE_Efficacité'!$A$6:$AO$268,36,0)</f>
        <v>0</v>
      </c>
      <c r="AG106" s="61">
        <f>VLOOKUP($B106,'7. PGE_Efficacité'!$A$6:$AO$268,37,0)</f>
        <v>0</v>
      </c>
      <c r="AH106" s="61">
        <f>VLOOKUP($B106,'7. PGE_Efficacité'!$A$6:$AO$268,38,0)</f>
        <v>0</v>
      </c>
      <c r="AI106" s="61">
        <f>VLOOKUP($B106,'7. PGE_Efficacité'!$A$6:$AO$268,39,0)</f>
        <v>0</v>
      </c>
      <c r="AJ106" s="61">
        <f>VLOOKUP($B106,'7. PGE_Efficacité'!$A$6:$AO$268,40,0)</f>
        <v>0</v>
      </c>
      <c r="AK106" s="61">
        <f>VLOOKUP($B106,'7. PGE_Efficacité'!$A$6:$AO$268,41,0)</f>
        <v>0</v>
      </c>
    </row>
    <row r="107" spans="1:37" collapsed="1" x14ac:dyDescent="0.25">
      <c r="A107" s="184" t="s">
        <v>11</v>
      </c>
      <c r="B107" s="185"/>
      <c r="C107" s="186" t="s">
        <v>227</v>
      </c>
      <c r="D107" s="185"/>
      <c r="E107" s="185"/>
      <c r="F107" s="326">
        <v>0</v>
      </c>
      <c r="G107" s="327" t="str">
        <f>VLOOKUP($A107,'7. PGE_Efficacité'!$A$6:$AO$268,11,0)</f>
        <v>+++</v>
      </c>
      <c r="H107" s="327" t="str">
        <f>VLOOKUP($A107,'7. PGE_Efficacité'!$A$6:$AO$268,12,0)</f>
        <v>+++</v>
      </c>
      <c r="I107" s="327" t="str">
        <f>VLOOKUP($A107,'7. PGE_Efficacité'!$A$6:$AO$268,13,0)</f>
        <v>+++</v>
      </c>
      <c r="J107" s="327" t="str">
        <f>VLOOKUP($A107,'7. PGE_Efficacité'!$A$6:$AO$268,14,0)</f>
        <v>+++</v>
      </c>
      <c r="K107" s="327" t="str">
        <f>VLOOKUP($A107,'7. PGE_Efficacité'!$A$6:$AO$268,15,0)</f>
        <v>+++</v>
      </c>
      <c r="L107" s="327" t="str">
        <f>VLOOKUP($A107,'7. PGE_Efficacité'!$A$6:$AO$268,16,0)</f>
        <v>+++</v>
      </c>
      <c r="M107" s="327" t="str">
        <f>VLOOKUP($A107,'7. PGE_Efficacité'!$A$6:$AO$268,17,0)</f>
        <v>++</v>
      </c>
      <c r="N107" s="327" t="str">
        <f>VLOOKUP($A107,'7. PGE_Efficacité'!$A$6:$AO$268,18,0)</f>
        <v>+++</v>
      </c>
      <c r="O107" s="327" t="str">
        <f>VLOOKUP($A107,'7. PGE_Efficacité'!$A$6:$AO$268,19,0)</f>
        <v>++</v>
      </c>
      <c r="P107" s="327" t="str">
        <f>VLOOKUP($A107,'7. PGE_Efficacité'!$A$6:$AO$268,20,0)</f>
        <v>++</v>
      </c>
      <c r="Q107" s="327" t="str">
        <f>VLOOKUP($A107,'7. PGE_Efficacité'!$A$6:$AO$268,21,0)</f>
        <v>++</v>
      </c>
      <c r="R107" s="327">
        <f>VLOOKUP($A107,'7. PGE_Efficacité'!$A$6:$AO$268,22,0)</f>
        <v>0</v>
      </c>
      <c r="S107" s="327" t="str">
        <f>VLOOKUP($A107,'7. PGE_Efficacité'!$A$6:$AO$268,23,0)</f>
        <v>++</v>
      </c>
      <c r="T107" s="327" t="str">
        <f>VLOOKUP($A107,'7. PGE_Efficacité'!$A$6:$AO$268,24,0)</f>
        <v>+++</v>
      </c>
      <c r="U107" s="327" t="str">
        <f>VLOOKUP($A107,'7. PGE_Efficacité'!$A$6:$AO$268,25,0)</f>
        <v>+</v>
      </c>
      <c r="V107" s="327" t="str">
        <f>VLOOKUP($A107,'7. PGE_Efficacité'!$A$6:$AO$268,26,0)</f>
        <v>++</v>
      </c>
      <c r="W107" s="328" t="str">
        <f>VLOOKUP($A107,'7. PGE_Efficacité'!$A$6:$AO$268,27,0)</f>
        <v>+++</v>
      </c>
      <c r="X107" s="328" t="str">
        <f>VLOOKUP($A107,'7. PGE_Efficacité'!$A$6:$AO$268,28,0)</f>
        <v>++++</v>
      </c>
      <c r="Y107" s="328" t="str">
        <f>VLOOKUP($A107,'7. PGE_Efficacité'!$A$6:$AO$268,29,0)</f>
        <v>+++</v>
      </c>
      <c r="Z107" s="328" t="str">
        <f>VLOOKUP($A107,'7. PGE_Efficacité'!$A$6:$AO$268,30,0)</f>
        <v>++++</v>
      </c>
      <c r="AA107" s="328" t="str">
        <f>VLOOKUP($A107,'7. PGE_Efficacité'!$A$6:$AO$268,31,0)</f>
        <v>++++</v>
      </c>
      <c r="AB107" s="328" t="str">
        <f>VLOOKUP($A107,'7. PGE_Efficacité'!$A$6:$AO$268,32,0)</f>
        <v>++</v>
      </c>
      <c r="AC107" s="328" t="str">
        <f>VLOOKUP($A107,'7. PGE_Efficacité'!$A$6:$AO$268,33,0)</f>
        <v>+</v>
      </c>
      <c r="AD107" s="328">
        <f>VLOOKUP($A107,'7. PGE_Efficacité'!$A$6:$AO$268,34,0)</f>
        <v>0</v>
      </c>
      <c r="AE107" s="328">
        <f>VLOOKUP($A107,'7. PGE_Efficacité'!$A$6:$AO$268,35,0)</f>
        <v>0</v>
      </c>
      <c r="AF107" s="328">
        <f>VLOOKUP($A107,'7. PGE_Efficacité'!$A$6:$AO$268,36,0)</f>
        <v>0</v>
      </c>
      <c r="AG107" s="328">
        <f>VLOOKUP($A107,'7. PGE_Efficacité'!$A$6:$AO$268,37,0)</f>
        <v>0</v>
      </c>
      <c r="AH107" s="328" t="str">
        <f>VLOOKUP($A107,'7. PGE_Efficacité'!$A$6:$AO$268,38,0)</f>
        <v>+++</v>
      </c>
      <c r="AI107" s="328" t="str">
        <f>VLOOKUP($A107,'7. PGE_Efficacité'!$A$6:$AO$268,39,0)</f>
        <v>++</v>
      </c>
      <c r="AJ107" s="328" t="str">
        <f>VLOOKUP($A107,'7. PGE_Efficacité'!$A$6:$AO$268,40,0)</f>
        <v>++</v>
      </c>
      <c r="AK107" s="328" t="str">
        <f>VLOOKUP($A107,'7. PGE_Efficacité'!$A$6:$AO$268,41,0)</f>
        <v>++</v>
      </c>
    </row>
    <row r="108" spans="1:37" hidden="1" outlineLevel="1" x14ac:dyDescent="0.25">
      <c r="A108" s="65" t="s">
        <v>11</v>
      </c>
      <c r="B108" s="65" t="s">
        <v>668</v>
      </c>
      <c r="C108" s="65" t="s">
        <v>1328</v>
      </c>
      <c r="D108" s="65" t="s">
        <v>1522</v>
      </c>
      <c r="E108" s="65" t="s">
        <v>415</v>
      </c>
      <c r="F108" s="70">
        <v>0</v>
      </c>
      <c r="G108" s="64">
        <f>VLOOKUP($B108,'7. PGE_Efficacité'!$A$6:$AO$268,11,0)</f>
        <v>0</v>
      </c>
      <c r="H108" s="64">
        <f>VLOOKUP($B108,'7. PGE_Efficacité'!$A$6:$AO$268,12,0)</f>
        <v>0</v>
      </c>
      <c r="I108" s="64">
        <f>VLOOKUP($B108,'7. PGE_Efficacité'!$A$6:$AO$268,13,0)</f>
        <v>0</v>
      </c>
      <c r="J108" s="64">
        <f>VLOOKUP($B108,'7. PGE_Efficacité'!$A$6:$AO$268,14,0)</f>
        <v>0</v>
      </c>
      <c r="K108" s="64">
        <f>VLOOKUP($B108,'7. PGE_Efficacité'!$A$6:$AO$268,15,0)</f>
        <v>0</v>
      </c>
      <c r="L108" s="64">
        <f>VLOOKUP($B108,'7. PGE_Efficacité'!$A$6:$AO$268,16,0)</f>
        <v>0</v>
      </c>
      <c r="M108" s="64">
        <f>VLOOKUP($B108,'7. PGE_Efficacité'!$A$6:$AO$268,17,0)</f>
        <v>0</v>
      </c>
      <c r="N108" s="64">
        <f>VLOOKUP($B108,'7. PGE_Efficacité'!$A$6:$AO$268,18,0)</f>
        <v>0</v>
      </c>
      <c r="O108" s="64">
        <f>VLOOKUP($B108,'7. PGE_Efficacité'!$A$6:$AO$268,19,0)</f>
        <v>0</v>
      </c>
      <c r="P108" s="64">
        <f>VLOOKUP($B108,'7. PGE_Efficacité'!$A$6:$AO$268,20,0)</f>
        <v>0</v>
      </c>
      <c r="Q108" s="64">
        <f>VLOOKUP($B108,'7. PGE_Efficacité'!$A$6:$AO$268,21,0)</f>
        <v>0</v>
      </c>
      <c r="R108" s="64">
        <f>VLOOKUP($B108,'7. PGE_Efficacité'!$A$6:$AO$268,22,0)</f>
        <v>0</v>
      </c>
      <c r="S108" s="64">
        <f>VLOOKUP($B108,'7. PGE_Efficacité'!$A$6:$AO$268,23,0)</f>
        <v>0</v>
      </c>
      <c r="T108" s="64">
        <f>VLOOKUP($B108,'7. PGE_Efficacité'!$A$6:$AO$268,24,0)</f>
        <v>0</v>
      </c>
      <c r="U108" s="64">
        <f>VLOOKUP($B108,'7. PGE_Efficacité'!$A$6:$AO$268,25,0)</f>
        <v>0</v>
      </c>
      <c r="V108" s="64">
        <f>VLOOKUP($B108,'7. PGE_Efficacité'!$A$6:$AO$268,26,0)</f>
        <v>0</v>
      </c>
      <c r="W108" s="61">
        <f>VLOOKUP($B108,'7. PGE_Efficacité'!$A$6:$AO$268,27,0)</f>
        <v>0</v>
      </c>
      <c r="X108" s="61">
        <f>VLOOKUP($B108,'7. PGE_Efficacité'!$A$6:$AO$268,28,0)</f>
        <v>0</v>
      </c>
      <c r="Y108" s="61">
        <f>VLOOKUP($B108,'7. PGE_Efficacité'!$A$6:$AO$268,29,0)</f>
        <v>0</v>
      </c>
      <c r="Z108" s="61">
        <f>VLOOKUP($B108,'7. PGE_Efficacité'!$A$6:$AO$268,30,0)</f>
        <v>0</v>
      </c>
      <c r="AA108" s="61">
        <f>VLOOKUP($B108,'7. PGE_Efficacité'!$A$6:$AO$268,31,0)</f>
        <v>0</v>
      </c>
      <c r="AB108" s="61">
        <f>VLOOKUP($B108,'7. PGE_Efficacité'!$A$6:$AO$268,32,0)</f>
        <v>0</v>
      </c>
      <c r="AC108" s="61">
        <f>VLOOKUP($B108,'7. PGE_Efficacité'!$A$6:$AO$268,33,0)</f>
        <v>0</v>
      </c>
      <c r="AD108" s="61">
        <f>VLOOKUP($B108,'7. PGE_Efficacité'!$A$6:$AO$268,34,0)</f>
        <v>0</v>
      </c>
      <c r="AE108" s="61">
        <f>VLOOKUP($B108,'7. PGE_Efficacité'!$A$6:$AO$268,35,0)</f>
        <v>0</v>
      </c>
      <c r="AF108" s="61">
        <f>VLOOKUP($B108,'7. PGE_Efficacité'!$A$6:$AO$268,36,0)</f>
        <v>0</v>
      </c>
      <c r="AG108" s="61">
        <f>VLOOKUP($B108,'7. PGE_Efficacité'!$A$6:$AO$268,37,0)</f>
        <v>0</v>
      </c>
      <c r="AH108" s="61">
        <f>VLOOKUP($B108,'7. PGE_Efficacité'!$A$6:$AO$268,38,0)</f>
        <v>0</v>
      </c>
      <c r="AI108" s="61">
        <f>VLOOKUP($B108,'7. PGE_Efficacité'!$A$6:$AO$268,39,0)</f>
        <v>0</v>
      </c>
      <c r="AJ108" s="61">
        <f>VLOOKUP($B108,'7. PGE_Efficacité'!$A$6:$AO$268,40,0)</f>
        <v>0</v>
      </c>
      <c r="AK108" s="61">
        <f>VLOOKUP($B108,'7. PGE_Efficacité'!$A$6:$AO$268,41,0)</f>
        <v>0</v>
      </c>
    </row>
    <row r="109" spans="1:37" hidden="1" outlineLevel="1" x14ac:dyDescent="0.25">
      <c r="A109" s="65" t="s">
        <v>11</v>
      </c>
      <c r="B109" s="65" t="s">
        <v>669</v>
      </c>
      <c r="C109" s="65" t="s">
        <v>1329</v>
      </c>
      <c r="D109" s="65" t="s">
        <v>1522</v>
      </c>
      <c r="E109" s="65" t="s">
        <v>415</v>
      </c>
      <c r="F109" s="70">
        <v>0</v>
      </c>
      <c r="G109" s="64">
        <f>VLOOKUP($B109,'7. PGE_Efficacité'!$A$6:$AO$268,11,0)</f>
        <v>0</v>
      </c>
      <c r="H109" s="64">
        <f>VLOOKUP($B109,'7. PGE_Efficacité'!$A$6:$AO$268,12,0)</f>
        <v>0</v>
      </c>
      <c r="I109" s="64">
        <f>VLOOKUP($B109,'7. PGE_Efficacité'!$A$6:$AO$268,13,0)</f>
        <v>0</v>
      </c>
      <c r="J109" s="64">
        <f>VLOOKUP($B109,'7. PGE_Efficacité'!$A$6:$AO$268,14,0)</f>
        <v>0</v>
      </c>
      <c r="K109" s="64">
        <f>VLOOKUP($B109,'7. PGE_Efficacité'!$A$6:$AO$268,15,0)</f>
        <v>0</v>
      </c>
      <c r="L109" s="64">
        <f>VLOOKUP($B109,'7. PGE_Efficacité'!$A$6:$AO$268,16,0)</f>
        <v>0</v>
      </c>
      <c r="M109" s="64">
        <f>VLOOKUP($B109,'7. PGE_Efficacité'!$A$6:$AO$268,17,0)</f>
        <v>0</v>
      </c>
      <c r="N109" s="64">
        <f>VLOOKUP($B109,'7. PGE_Efficacité'!$A$6:$AO$268,18,0)</f>
        <v>0</v>
      </c>
      <c r="O109" s="64">
        <f>VLOOKUP($B109,'7. PGE_Efficacité'!$A$6:$AO$268,19,0)</f>
        <v>0</v>
      </c>
      <c r="P109" s="64">
        <f>VLOOKUP($B109,'7. PGE_Efficacité'!$A$6:$AO$268,20,0)</f>
        <v>0</v>
      </c>
      <c r="Q109" s="64">
        <f>VLOOKUP($B109,'7. PGE_Efficacité'!$A$6:$AO$268,21,0)</f>
        <v>0</v>
      </c>
      <c r="R109" s="64">
        <f>VLOOKUP($B109,'7. PGE_Efficacité'!$A$6:$AO$268,22,0)</f>
        <v>0</v>
      </c>
      <c r="S109" s="64">
        <f>VLOOKUP($B109,'7. PGE_Efficacité'!$A$6:$AO$268,23,0)</f>
        <v>0</v>
      </c>
      <c r="T109" s="64">
        <f>VLOOKUP($B109,'7. PGE_Efficacité'!$A$6:$AO$268,24,0)</f>
        <v>0</v>
      </c>
      <c r="U109" s="64">
        <f>VLOOKUP($B109,'7. PGE_Efficacité'!$A$6:$AO$268,25,0)</f>
        <v>0</v>
      </c>
      <c r="V109" s="64">
        <f>VLOOKUP($B109,'7. PGE_Efficacité'!$A$6:$AO$268,26,0)</f>
        <v>0</v>
      </c>
      <c r="W109" s="61">
        <f>VLOOKUP($B109,'7. PGE_Efficacité'!$A$6:$AO$268,27,0)</f>
        <v>0</v>
      </c>
      <c r="X109" s="61">
        <f>VLOOKUP($B109,'7. PGE_Efficacité'!$A$6:$AO$268,28,0)</f>
        <v>0</v>
      </c>
      <c r="Y109" s="61">
        <f>VLOOKUP($B109,'7. PGE_Efficacité'!$A$6:$AO$268,29,0)</f>
        <v>0</v>
      </c>
      <c r="Z109" s="61">
        <f>VLOOKUP($B109,'7. PGE_Efficacité'!$A$6:$AO$268,30,0)</f>
        <v>0</v>
      </c>
      <c r="AA109" s="61">
        <f>VLOOKUP($B109,'7. PGE_Efficacité'!$A$6:$AO$268,31,0)</f>
        <v>0</v>
      </c>
      <c r="AB109" s="61">
        <f>VLOOKUP($B109,'7. PGE_Efficacité'!$A$6:$AO$268,32,0)</f>
        <v>0</v>
      </c>
      <c r="AC109" s="61">
        <f>VLOOKUP($B109,'7. PGE_Efficacité'!$A$6:$AO$268,33,0)</f>
        <v>0</v>
      </c>
      <c r="AD109" s="61">
        <f>VLOOKUP($B109,'7. PGE_Efficacité'!$A$6:$AO$268,34,0)</f>
        <v>0</v>
      </c>
      <c r="AE109" s="61">
        <f>VLOOKUP($B109,'7. PGE_Efficacité'!$A$6:$AO$268,35,0)</f>
        <v>0</v>
      </c>
      <c r="AF109" s="61">
        <f>VLOOKUP($B109,'7. PGE_Efficacité'!$A$6:$AO$268,36,0)</f>
        <v>0</v>
      </c>
      <c r="AG109" s="61">
        <f>VLOOKUP($B109,'7. PGE_Efficacité'!$A$6:$AO$268,37,0)</f>
        <v>0</v>
      </c>
      <c r="AH109" s="61">
        <f>VLOOKUP($B109,'7. PGE_Efficacité'!$A$6:$AO$268,38,0)</f>
        <v>0</v>
      </c>
      <c r="AI109" s="61">
        <f>VLOOKUP($B109,'7. PGE_Efficacité'!$A$6:$AO$268,39,0)</f>
        <v>0</v>
      </c>
      <c r="AJ109" s="61">
        <f>VLOOKUP($B109,'7. PGE_Efficacité'!$A$6:$AO$268,40,0)</f>
        <v>0</v>
      </c>
      <c r="AK109" s="61">
        <f>VLOOKUP($B109,'7. PGE_Efficacité'!$A$6:$AO$268,41,0)</f>
        <v>0</v>
      </c>
    </row>
    <row r="110" spans="1:37" hidden="1" outlineLevel="1" x14ac:dyDescent="0.25">
      <c r="A110" s="65" t="s">
        <v>11</v>
      </c>
      <c r="B110" s="65" t="s">
        <v>670</v>
      </c>
      <c r="C110" s="65" t="s">
        <v>1330</v>
      </c>
      <c r="D110" s="65" t="s">
        <v>1522</v>
      </c>
      <c r="E110" s="65" t="s">
        <v>415</v>
      </c>
      <c r="F110" s="70">
        <v>0</v>
      </c>
      <c r="G110" s="64">
        <f>VLOOKUP($B110,'7. PGE_Efficacité'!$A$6:$AO$268,11,0)</f>
        <v>0</v>
      </c>
      <c r="H110" s="64">
        <f>VLOOKUP($B110,'7. PGE_Efficacité'!$A$6:$AO$268,12,0)</f>
        <v>0</v>
      </c>
      <c r="I110" s="64">
        <f>VLOOKUP($B110,'7. PGE_Efficacité'!$A$6:$AO$268,13,0)</f>
        <v>0</v>
      </c>
      <c r="J110" s="64">
        <f>VLOOKUP($B110,'7. PGE_Efficacité'!$A$6:$AO$268,14,0)</f>
        <v>0</v>
      </c>
      <c r="K110" s="64">
        <f>VLOOKUP($B110,'7. PGE_Efficacité'!$A$6:$AO$268,15,0)</f>
        <v>0</v>
      </c>
      <c r="L110" s="64">
        <f>VLOOKUP($B110,'7. PGE_Efficacité'!$A$6:$AO$268,16,0)</f>
        <v>0</v>
      </c>
      <c r="M110" s="64">
        <f>VLOOKUP($B110,'7. PGE_Efficacité'!$A$6:$AO$268,17,0)</f>
        <v>0</v>
      </c>
      <c r="N110" s="64">
        <f>VLOOKUP($B110,'7. PGE_Efficacité'!$A$6:$AO$268,18,0)</f>
        <v>0</v>
      </c>
      <c r="O110" s="64">
        <f>VLOOKUP($B110,'7. PGE_Efficacité'!$A$6:$AO$268,19,0)</f>
        <v>0</v>
      </c>
      <c r="P110" s="64">
        <f>VLOOKUP($B110,'7. PGE_Efficacité'!$A$6:$AO$268,20,0)</f>
        <v>0</v>
      </c>
      <c r="Q110" s="64">
        <f>VLOOKUP($B110,'7. PGE_Efficacité'!$A$6:$AO$268,21,0)</f>
        <v>0</v>
      </c>
      <c r="R110" s="64">
        <f>VLOOKUP($B110,'7. PGE_Efficacité'!$A$6:$AO$268,22,0)</f>
        <v>0</v>
      </c>
      <c r="S110" s="64">
        <f>VLOOKUP($B110,'7. PGE_Efficacité'!$A$6:$AO$268,23,0)</f>
        <v>0</v>
      </c>
      <c r="T110" s="64">
        <f>VLOOKUP($B110,'7. PGE_Efficacité'!$A$6:$AO$268,24,0)</f>
        <v>0</v>
      </c>
      <c r="U110" s="64">
        <f>VLOOKUP($B110,'7. PGE_Efficacité'!$A$6:$AO$268,25,0)</f>
        <v>0</v>
      </c>
      <c r="V110" s="64">
        <f>VLOOKUP($B110,'7. PGE_Efficacité'!$A$6:$AO$268,26,0)</f>
        <v>0</v>
      </c>
      <c r="W110" s="61">
        <f>VLOOKUP($B110,'7. PGE_Efficacité'!$A$6:$AO$268,27,0)</f>
        <v>0</v>
      </c>
      <c r="X110" s="61">
        <f>VLOOKUP($B110,'7. PGE_Efficacité'!$A$6:$AO$268,28,0)</f>
        <v>0</v>
      </c>
      <c r="Y110" s="61">
        <f>VLOOKUP($B110,'7. PGE_Efficacité'!$A$6:$AO$268,29,0)</f>
        <v>0</v>
      </c>
      <c r="Z110" s="61">
        <f>VLOOKUP($B110,'7. PGE_Efficacité'!$A$6:$AO$268,30,0)</f>
        <v>0</v>
      </c>
      <c r="AA110" s="61">
        <f>VLOOKUP($B110,'7. PGE_Efficacité'!$A$6:$AO$268,31,0)</f>
        <v>0</v>
      </c>
      <c r="AB110" s="61">
        <f>VLOOKUP($B110,'7. PGE_Efficacité'!$A$6:$AO$268,32,0)</f>
        <v>0</v>
      </c>
      <c r="AC110" s="61">
        <f>VLOOKUP($B110,'7. PGE_Efficacité'!$A$6:$AO$268,33,0)</f>
        <v>0</v>
      </c>
      <c r="AD110" s="61">
        <f>VLOOKUP($B110,'7. PGE_Efficacité'!$A$6:$AO$268,34,0)</f>
        <v>0</v>
      </c>
      <c r="AE110" s="61">
        <f>VLOOKUP($B110,'7. PGE_Efficacité'!$A$6:$AO$268,35,0)</f>
        <v>0</v>
      </c>
      <c r="AF110" s="61">
        <f>VLOOKUP($B110,'7. PGE_Efficacité'!$A$6:$AO$268,36,0)</f>
        <v>0</v>
      </c>
      <c r="AG110" s="61">
        <f>VLOOKUP($B110,'7. PGE_Efficacité'!$A$6:$AO$268,37,0)</f>
        <v>0</v>
      </c>
      <c r="AH110" s="61">
        <f>VLOOKUP($B110,'7. PGE_Efficacité'!$A$6:$AO$268,38,0)</f>
        <v>0</v>
      </c>
      <c r="AI110" s="61">
        <f>VLOOKUP($B110,'7. PGE_Efficacité'!$A$6:$AO$268,39,0)</f>
        <v>0</v>
      </c>
      <c r="AJ110" s="61">
        <f>VLOOKUP($B110,'7. PGE_Efficacité'!$A$6:$AO$268,40,0)</f>
        <v>0</v>
      </c>
      <c r="AK110" s="61">
        <f>VLOOKUP($B110,'7. PGE_Efficacité'!$A$6:$AO$268,41,0)</f>
        <v>0</v>
      </c>
    </row>
    <row r="111" spans="1:37" hidden="1" outlineLevel="1" x14ac:dyDescent="0.25">
      <c r="A111" s="65" t="s">
        <v>11</v>
      </c>
      <c r="B111" s="65" t="s">
        <v>671</v>
      </c>
      <c r="C111" s="65" t="s">
        <v>1331</v>
      </c>
      <c r="D111" s="65" t="s">
        <v>1522</v>
      </c>
      <c r="E111" s="65" t="s">
        <v>415</v>
      </c>
      <c r="F111" s="70">
        <v>0</v>
      </c>
      <c r="G111" s="64">
        <f>VLOOKUP($B111,'7. PGE_Efficacité'!$A$6:$AO$268,11,0)</f>
        <v>0</v>
      </c>
      <c r="H111" s="64">
        <f>VLOOKUP($B111,'7. PGE_Efficacité'!$A$6:$AO$268,12,0)</f>
        <v>0</v>
      </c>
      <c r="I111" s="64">
        <f>VLOOKUP($B111,'7. PGE_Efficacité'!$A$6:$AO$268,13,0)</f>
        <v>0</v>
      </c>
      <c r="J111" s="64">
        <f>VLOOKUP($B111,'7. PGE_Efficacité'!$A$6:$AO$268,14,0)</f>
        <v>0</v>
      </c>
      <c r="K111" s="64">
        <f>VLOOKUP($B111,'7. PGE_Efficacité'!$A$6:$AO$268,15,0)</f>
        <v>0</v>
      </c>
      <c r="L111" s="64">
        <f>VLOOKUP($B111,'7. PGE_Efficacité'!$A$6:$AO$268,16,0)</f>
        <v>0</v>
      </c>
      <c r="M111" s="64">
        <f>VLOOKUP($B111,'7. PGE_Efficacité'!$A$6:$AO$268,17,0)</f>
        <v>0</v>
      </c>
      <c r="N111" s="64">
        <f>VLOOKUP($B111,'7. PGE_Efficacité'!$A$6:$AO$268,18,0)</f>
        <v>0</v>
      </c>
      <c r="O111" s="64">
        <f>VLOOKUP($B111,'7. PGE_Efficacité'!$A$6:$AO$268,19,0)</f>
        <v>0</v>
      </c>
      <c r="P111" s="64">
        <f>VLOOKUP($B111,'7. PGE_Efficacité'!$A$6:$AO$268,20,0)</f>
        <v>0</v>
      </c>
      <c r="Q111" s="64">
        <f>VLOOKUP($B111,'7. PGE_Efficacité'!$A$6:$AO$268,21,0)</f>
        <v>0</v>
      </c>
      <c r="R111" s="64">
        <f>VLOOKUP($B111,'7. PGE_Efficacité'!$A$6:$AO$268,22,0)</f>
        <v>0</v>
      </c>
      <c r="S111" s="64">
        <f>VLOOKUP($B111,'7. PGE_Efficacité'!$A$6:$AO$268,23,0)</f>
        <v>0</v>
      </c>
      <c r="T111" s="64">
        <f>VLOOKUP($B111,'7. PGE_Efficacité'!$A$6:$AO$268,24,0)</f>
        <v>0</v>
      </c>
      <c r="U111" s="64">
        <f>VLOOKUP($B111,'7. PGE_Efficacité'!$A$6:$AO$268,25,0)</f>
        <v>0</v>
      </c>
      <c r="V111" s="64">
        <f>VLOOKUP($B111,'7. PGE_Efficacité'!$A$6:$AO$268,26,0)</f>
        <v>0</v>
      </c>
      <c r="W111" s="61">
        <f>VLOOKUP($B111,'7. PGE_Efficacité'!$A$6:$AO$268,27,0)</f>
        <v>0</v>
      </c>
      <c r="X111" s="61">
        <f>VLOOKUP($B111,'7. PGE_Efficacité'!$A$6:$AO$268,28,0)</f>
        <v>0</v>
      </c>
      <c r="Y111" s="61">
        <f>VLOOKUP($B111,'7. PGE_Efficacité'!$A$6:$AO$268,29,0)</f>
        <v>0</v>
      </c>
      <c r="Z111" s="61">
        <f>VLOOKUP($B111,'7. PGE_Efficacité'!$A$6:$AO$268,30,0)</f>
        <v>0</v>
      </c>
      <c r="AA111" s="61">
        <f>VLOOKUP($B111,'7. PGE_Efficacité'!$A$6:$AO$268,31,0)</f>
        <v>0</v>
      </c>
      <c r="AB111" s="61">
        <f>VLOOKUP($B111,'7. PGE_Efficacité'!$A$6:$AO$268,32,0)</f>
        <v>0</v>
      </c>
      <c r="AC111" s="61">
        <f>VLOOKUP($B111,'7. PGE_Efficacité'!$A$6:$AO$268,33,0)</f>
        <v>0</v>
      </c>
      <c r="AD111" s="61">
        <f>VLOOKUP($B111,'7. PGE_Efficacité'!$A$6:$AO$268,34,0)</f>
        <v>0</v>
      </c>
      <c r="AE111" s="61">
        <f>VLOOKUP($B111,'7. PGE_Efficacité'!$A$6:$AO$268,35,0)</f>
        <v>0</v>
      </c>
      <c r="AF111" s="61">
        <f>VLOOKUP($B111,'7. PGE_Efficacité'!$A$6:$AO$268,36,0)</f>
        <v>0</v>
      </c>
      <c r="AG111" s="61">
        <f>VLOOKUP($B111,'7. PGE_Efficacité'!$A$6:$AO$268,37,0)</f>
        <v>0</v>
      </c>
      <c r="AH111" s="61">
        <f>VLOOKUP($B111,'7. PGE_Efficacité'!$A$6:$AO$268,38,0)</f>
        <v>0</v>
      </c>
      <c r="AI111" s="61">
        <f>VLOOKUP($B111,'7. PGE_Efficacité'!$A$6:$AO$268,39,0)</f>
        <v>0</v>
      </c>
      <c r="AJ111" s="61">
        <f>VLOOKUP($B111,'7. PGE_Efficacité'!$A$6:$AO$268,40,0)</f>
        <v>0</v>
      </c>
      <c r="AK111" s="61">
        <f>VLOOKUP($B111,'7. PGE_Efficacité'!$A$6:$AO$268,41,0)</f>
        <v>0</v>
      </c>
    </row>
    <row r="112" spans="1:37" hidden="1" outlineLevel="1" x14ac:dyDescent="0.25">
      <c r="A112" s="65" t="s">
        <v>11</v>
      </c>
      <c r="B112" s="65" t="s">
        <v>672</v>
      </c>
      <c r="C112" s="65" t="s">
        <v>1332</v>
      </c>
      <c r="D112" s="65" t="s">
        <v>1522</v>
      </c>
      <c r="E112" s="65" t="s">
        <v>415</v>
      </c>
      <c r="F112" s="70">
        <v>0</v>
      </c>
      <c r="G112" s="64">
        <f>VLOOKUP($B112,'7. PGE_Efficacité'!$A$6:$AO$268,11,0)</f>
        <v>0</v>
      </c>
      <c r="H112" s="64">
        <f>VLOOKUP($B112,'7. PGE_Efficacité'!$A$6:$AO$268,12,0)</f>
        <v>0</v>
      </c>
      <c r="I112" s="64">
        <f>VLOOKUP($B112,'7. PGE_Efficacité'!$A$6:$AO$268,13,0)</f>
        <v>0</v>
      </c>
      <c r="J112" s="64">
        <f>VLOOKUP($B112,'7. PGE_Efficacité'!$A$6:$AO$268,14,0)</f>
        <v>0</v>
      </c>
      <c r="K112" s="64">
        <f>VLOOKUP($B112,'7. PGE_Efficacité'!$A$6:$AO$268,15,0)</f>
        <v>0</v>
      </c>
      <c r="L112" s="64">
        <f>VLOOKUP($B112,'7. PGE_Efficacité'!$A$6:$AO$268,16,0)</f>
        <v>0</v>
      </c>
      <c r="M112" s="64">
        <f>VLOOKUP($B112,'7. PGE_Efficacité'!$A$6:$AO$268,17,0)</f>
        <v>0</v>
      </c>
      <c r="N112" s="64">
        <f>VLOOKUP($B112,'7. PGE_Efficacité'!$A$6:$AO$268,18,0)</f>
        <v>0</v>
      </c>
      <c r="O112" s="64">
        <f>VLOOKUP($B112,'7. PGE_Efficacité'!$A$6:$AO$268,19,0)</f>
        <v>0</v>
      </c>
      <c r="P112" s="64">
        <f>VLOOKUP($B112,'7. PGE_Efficacité'!$A$6:$AO$268,20,0)</f>
        <v>0</v>
      </c>
      <c r="Q112" s="64">
        <f>VLOOKUP($B112,'7. PGE_Efficacité'!$A$6:$AO$268,21,0)</f>
        <v>0</v>
      </c>
      <c r="R112" s="64">
        <f>VLOOKUP($B112,'7. PGE_Efficacité'!$A$6:$AO$268,22,0)</f>
        <v>0</v>
      </c>
      <c r="S112" s="64">
        <f>VLOOKUP($B112,'7. PGE_Efficacité'!$A$6:$AO$268,23,0)</f>
        <v>0</v>
      </c>
      <c r="T112" s="64">
        <f>VLOOKUP($B112,'7. PGE_Efficacité'!$A$6:$AO$268,24,0)</f>
        <v>0</v>
      </c>
      <c r="U112" s="64">
        <f>VLOOKUP($B112,'7. PGE_Efficacité'!$A$6:$AO$268,25,0)</f>
        <v>0</v>
      </c>
      <c r="V112" s="64">
        <f>VLOOKUP($B112,'7. PGE_Efficacité'!$A$6:$AO$268,26,0)</f>
        <v>0</v>
      </c>
      <c r="W112" s="61">
        <f>VLOOKUP($B112,'7. PGE_Efficacité'!$A$6:$AO$268,27,0)</f>
        <v>0</v>
      </c>
      <c r="X112" s="61">
        <f>VLOOKUP($B112,'7. PGE_Efficacité'!$A$6:$AO$268,28,0)</f>
        <v>0</v>
      </c>
      <c r="Y112" s="61">
        <f>VLOOKUP($B112,'7. PGE_Efficacité'!$A$6:$AO$268,29,0)</f>
        <v>0</v>
      </c>
      <c r="Z112" s="61">
        <f>VLOOKUP($B112,'7. PGE_Efficacité'!$A$6:$AO$268,30,0)</f>
        <v>0</v>
      </c>
      <c r="AA112" s="61">
        <f>VLOOKUP($B112,'7. PGE_Efficacité'!$A$6:$AO$268,31,0)</f>
        <v>0</v>
      </c>
      <c r="AB112" s="61">
        <f>VLOOKUP($B112,'7. PGE_Efficacité'!$A$6:$AO$268,32,0)</f>
        <v>0</v>
      </c>
      <c r="AC112" s="61">
        <f>VLOOKUP($B112,'7. PGE_Efficacité'!$A$6:$AO$268,33,0)</f>
        <v>0</v>
      </c>
      <c r="AD112" s="61">
        <f>VLOOKUP($B112,'7. PGE_Efficacité'!$A$6:$AO$268,34,0)</f>
        <v>0</v>
      </c>
      <c r="AE112" s="61">
        <f>VLOOKUP($B112,'7. PGE_Efficacité'!$A$6:$AO$268,35,0)</f>
        <v>0</v>
      </c>
      <c r="AF112" s="61">
        <f>VLOOKUP($B112,'7. PGE_Efficacité'!$A$6:$AO$268,36,0)</f>
        <v>0</v>
      </c>
      <c r="AG112" s="61">
        <f>VLOOKUP($B112,'7. PGE_Efficacité'!$A$6:$AO$268,37,0)</f>
        <v>0</v>
      </c>
      <c r="AH112" s="61">
        <f>VLOOKUP($B112,'7. PGE_Efficacité'!$A$6:$AO$268,38,0)</f>
        <v>0</v>
      </c>
      <c r="AI112" s="61">
        <f>VLOOKUP($B112,'7. PGE_Efficacité'!$A$6:$AO$268,39,0)</f>
        <v>0</v>
      </c>
      <c r="AJ112" s="61">
        <f>VLOOKUP($B112,'7. PGE_Efficacité'!$A$6:$AO$268,40,0)</f>
        <v>0</v>
      </c>
      <c r="AK112" s="61">
        <f>VLOOKUP($B112,'7. PGE_Efficacité'!$A$6:$AO$268,41,0)</f>
        <v>0</v>
      </c>
    </row>
    <row r="113" spans="1:37" hidden="1" outlineLevel="1" x14ac:dyDescent="0.25">
      <c r="A113" s="65" t="s">
        <v>11</v>
      </c>
      <c r="B113" s="65" t="s">
        <v>673</v>
      </c>
      <c r="C113" s="65" t="s">
        <v>1333</v>
      </c>
      <c r="D113" s="65" t="s">
        <v>1522</v>
      </c>
      <c r="E113" s="65" t="s">
        <v>415</v>
      </c>
      <c r="F113" s="70">
        <v>0</v>
      </c>
      <c r="G113" s="64">
        <f>VLOOKUP($B113,'7. PGE_Efficacité'!$A$6:$AO$268,11,0)</f>
        <v>0</v>
      </c>
      <c r="H113" s="64">
        <f>VLOOKUP($B113,'7. PGE_Efficacité'!$A$6:$AO$268,12,0)</f>
        <v>0</v>
      </c>
      <c r="I113" s="64">
        <f>VLOOKUP($B113,'7. PGE_Efficacité'!$A$6:$AO$268,13,0)</f>
        <v>0</v>
      </c>
      <c r="J113" s="64">
        <f>VLOOKUP($B113,'7. PGE_Efficacité'!$A$6:$AO$268,14,0)</f>
        <v>0</v>
      </c>
      <c r="K113" s="64">
        <f>VLOOKUP($B113,'7. PGE_Efficacité'!$A$6:$AO$268,15,0)</f>
        <v>0</v>
      </c>
      <c r="L113" s="64">
        <f>VLOOKUP($B113,'7. PGE_Efficacité'!$A$6:$AO$268,16,0)</f>
        <v>0</v>
      </c>
      <c r="M113" s="64">
        <f>VLOOKUP($B113,'7. PGE_Efficacité'!$A$6:$AO$268,17,0)</f>
        <v>0</v>
      </c>
      <c r="N113" s="64">
        <f>VLOOKUP($B113,'7. PGE_Efficacité'!$A$6:$AO$268,18,0)</f>
        <v>0</v>
      </c>
      <c r="O113" s="64">
        <f>VLOOKUP($B113,'7. PGE_Efficacité'!$A$6:$AO$268,19,0)</f>
        <v>0</v>
      </c>
      <c r="P113" s="64">
        <f>VLOOKUP($B113,'7. PGE_Efficacité'!$A$6:$AO$268,20,0)</f>
        <v>0</v>
      </c>
      <c r="Q113" s="64">
        <f>VLOOKUP($B113,'7. PGE_Efficacité'!$A$6:$AO$268,21,0)</f>
        <v>0</v>
      </c>
      <c r="R113" s="64">
        <f>VLOOKUP($B113,'7. PGE_Efficacité'!$A$6:$AO$268,22,0)</f>
        <v>0</v>
      </c>
      <c r="S113" s="64">
        <f>VLOOKUP($B113,'7. PGE_Efficacité'!$A$6:$AO$268,23,0)</f>
        <v>0</v>
      </c>
      <c r="T113" s="64">
        <f>VLOOKUP($B113,'7. PGE_Efficacité'!$A$6:$AO$268,24,0)</f>
        <v>0</v>
      </c>
      <c r="U113" s="64">
        <f>VLOOKUP($B113,'7. PGE_Efficacité'!$A$6:$AO$268,25,0)</f>
        <v>0</v>
      </c>
      <c r="V113" s="64">
        <f>VLOOKUP($B113,'7. PGE_Efficacité'!$A$6:$AO$268,26,0)</f>
        <v>0</v>
      </c>
      <c r="W113" s="61">
        <f>VLOOKUP($B113,'7. PGE_Efficacité'!$A$6:$AO$268,27,0)</f>
        <v>0</v>
      </c>
      <c r="X113" s="61">
        <f>VLOOKUP($B113,'7. PGE_Efficacité'!$A$6:$AO$268,28,0)</f>
        <v>0</v>
      </c>
      <c r="Y113" s="61">
        <f>VLOOKUP($B113,'7. PGE_Efficacité'!$A$6:$AO$268,29,0)</f>
        <v>0</v>
      </c>
      <c r="Z113" s="61">
        <f>VLOOKUP($B113,'7. PGE_Efficacité'!$A$6:$AO$268,30,0)</f>
        <v>0</v>
      </c>
      <c r="AA113" s="61">
        <f>VLOOKUP($B113,'7. PGE_Efficacité'!$A$6:$AO$268,31,0)</f>
        <v>0</v>
      </c>
      <c r="AB113" s="61">
        <f>VLOOKUP($B113,'7. PGE_Efficacité'!$A$6:$AO$268,32,0)</f>
        <v>0</v>
      </c>
      <c r="AC113" s="61">
        <f>VLOOKUP($B113,'7. PGE_Efficacité'!$A$6:$AO$268,33,0)</f>
        <v>0</v>
      </c>
      <c r="AD113" s="61">
        <f>VLOOKUP($B113,'7. PGE_Efficacité'!$A$6:$AO$268,34,0)</f>
        <v>0</v>
      </c>
      <c r="AE113" s="61">
        <f>VLOOKUP($B113,'7. PGE_Efficacité'!$A$6:$AO$268,35,0)</f>
        <v>0</v>
      </c>
      <c r="AF113" s="61">
        <f>VLOOKUP($B113,'7. PGE_Efficacité'!$A$6:$AO$268,36,0)</f>
        <v>0</v>
      </c>
      <c r="AG113" s="61">
        <f>VLOOKUP($B113,'7. PGE_Efficacité'!$A$6:$AO$268,37,0)</f>
        <v>0</v>
      </c>
      <c r="AH113" s="61">
        <f>VLOOKUP($B113,'7. PGE_Efficacité'!$A$6:$AO$268,38,0)</f>
        <v>0</v>
      </c>
      <c r="AI113" s="61">
        <f>VLOOKUP($B113,'7. PGE_Efficacité'!$A$6:$AO$268,39,0)</f>
        <v>0</v>
      </c>
      <c r="AJ113" s="61">
        <f>VLOOKUP($B113,'7. PGE_Efficacité'!$A$6:$AO$268,40,0)</f>
        <v>0</v>
      </c>
      <c r="AK113" s="61">
        <f>VLOOKUP($B113,'7. PGE_Efficacité'!$A$6:$AO$268,41,0)</f>
        <v>0</v>
      </c>
    </row>
    <row r="114" spans="1:37" hidden="1" outlineLevel="1" x14ac:dyDescent="0.25">
      <c r="A114" s="65" t="s">
        <v>11</v>
      </c>
      <c r="B114" s="65" t="s">
        <v>674</v>
      </c>
      <c r="C114" s="65" t="s">
        <v>1334</v>
      </c>
      <c r="D114" s="65" t="s">
        <v>1522</v>
      </c>
      <c r="E114" s="65" t="s">
        <v>415</v>
      </c>
      <c r="F114" s="70">
        <v>0</v>
      </c>
      <c r="G114" s="64">
        <f>VLOOKUP($B114,'7. PGE_Efficacité'!$A$6:$AO$268,11,0)</f>
        <v>0</v>
      </c>
      <c r="H114" s="64">
        <f>VLOOKUP($B114,'7. PGE_Efficacité'!$A$6:$AO$268,12,0)</f>
        <v>0</v>
      </c>
      <c r="I114" s="64">
        <f>VLOOKUP($B114,'7. PGE_Efficacité'!$A$6:$AO$268,13,0)</f>
        <v>0</v>
      </c>
      <c r="J114" s="64">
        <f>VLOOKUP($B114,'7. PGE_Efficacité'!$A$6:$AO$268,14,0)</f>
        <v>0</v>
      </c>
      <c r="K114" s="64">
        <f>VLOOKUP($B114,'7. PGE_Efficacité'!$A$6:$AO$268,15,0)</f>
        <v>0</v>
      </c>
      <c r="L114" s="64">
        <f>VLOOKUP($B114,'7. PGE_Efficacité'!$A$6:$AO$268,16,0)</f>
        <v>0</v>
      </c>
      <c r="M114" s="64">
        <f>VLOOKUP($B114,'7. PGE_Efficacité'!$A$6:$AO$268,17,0)</f>
        <v>0</v>
      </c>
      <c r="N114" s="64">
        <f>VLOOKUP($B114,'7. PGE_Efficacité'!$A$6:$AO$268,18,0)</f>
        <v>0</v>
      </c>
      <c r="O114" s="64">
        <f>VLOOKUP($B114,'7. PGE_Efficacité'!$A$6:$AO$268,19,0)</f>
        <v>0</v>
      </c>
      <c r="P114" s="64">
        <f>VLOOKUP($B114,'7. PGE_Efficacité'!$A$6:$AO$268,20,0)</f>
        <v>0</v>
      </c>
      <c r="Q114" s="64">
        <f>VLOOKUP($B114,'7. PGE_Efficacité'!$A$6:$AO$268,21,0)</f>
        <v>0</v>
      </c>
      <c r="R114" s="64">
        <f>VLOOKUP($B114,'7. PGE_Efficacité'!$A$6:$AO$268,22,0)</f>
        <v>0</v>
      </c>
      <c r="S114" s="64">
        <f>VLOOKUP($B114,'7. PGE_Efficacité'!$A$6:$AO$268,23,0)</f>
        <v>0</v>
      </c>
      <c r="T114" s="64">
        <f>VLOOKUP($B114,'7. PGE_Efficacité'!$A$6:$AO$268,24,0)</f>
        <v>0</v>
      </c>
      <c r="U114" s="64">
        <f>VLOOKUP($B114,'7. PGE_Efficacité'!$A$6:$AO$268,25,0)</f>
        <v>0</v>
      </c>
      <c r="V114" s="64">
        <f>VLOOKUP($B114,'7. PGE_Efficacité'!$A$6:$AO$268,26,0)</f>
        <v>0</v>
      </c>
      <c r="W114" s="61">
        <f>VLOOKUP($B114,'7. PGE_Efficacité'!$A$6:$AO$268,27,0)</f>
        <v>0</v>
      </c>
      <c r="X114" s="61">
        <f>VLOOKUP($B114,'7. PGE_Efficacité'!$A$6:$AO$268,28,0)</f>
        <v>0</v>
      </c>
      <c r="Y114" s="61">
        <f>VLOOKUP($B114,'7. PGE_Efficacité'!$A$6:$AO$268,29,0)</f>
        <v>0</v>
      </c>
      <c r="Z114" s="61">
        <f>VLOOKUP($B114,'7. PGE_Efficacité'!$A$6:$AO$268,30,0)</f>
        <v>0</v>
      </c>
      <c r="AA114" s="61">
        <f>VLOOKUP($B114,'7. PGE_Efficacité'!$A$6:$AO$268,31,0)</f>
        <v>0</v>
      </c>
      <c r="AB114" s="61">
        <f>VLOOKUP($B114,'7. PGE_Efficacité'!$A$6:$AO$268,32,0)</f>
        <v>0</v>
      </c>
      <c r="AC114" s="61">
        <f>VLOOKUP($B114,'7. PGE_Efficacité'!$A$6:$AO$268,33,0)</f>
        <v>0</v>
      </c>
      <c r="AD114" s="61">
        <f>VLOOKUP($B114,'7. PGE_Efficacité'!$A$6:$AO$268,34,0)</f>
        <v>0</v>
      </c>
      <c r="AE114" s="61">
        <f>VLOOKUP($B114,'7. PGE_Efficacité'!$A$6:$AO$268,35,0)</f>
        <v>0</v>
      </c>
      <c r="AF114" s="61">
        <f>VLOOKUP($B114,'7. PGE_Efficacité'!$A$6:$AO$268,36,0)</f>
        <v>0</v>
      </c>
      <c r="AG114" s="61">
        <f>VLOOKUP($B114,'7. PGE_Efficacité'!$A$6:$AO$268,37,0)</f>
        <v>0</v>
      </c>
      <c r="AH114" s="61">
        <f>VLOOKUP($B114,'7. PGE_Efficacité'!$A$6:$AO$268,38,0)</f>
        <v>0</v>
      </c>
      <c r="AI114" s="61">
        <f>VLOOKUP($B114,'7. PGE_Efficacité'!$A$6:$AO$268,39,0)</f>
        <v>0</v>
      </c>
      <c r="AJ114" s="61">
        <f>VLOOKUP($B114,'7. PGE_Efficacité'!$A$6:$AO$268,40,0)</f>
        <v>0</v>
      </c>
      <c r="AK114" s="61">
        <f>VLOOKUP($B114,'7. PGE_Efficacité'!$A$6:$AO$268,41,0)</f>
        <v>0</v>
      </c>
    </row>
    <row r="115" spans="1:37" ht="26.25" collapsed="1" x14ac:dyDescent="0.25">
      <c r="A115" s="157" t="s">
        <v>13</v>
      </c>
      <c r="B115" s="63"/>
      <c r="C115" s="156" t="s">
        <v>226</v>
      </c>
      <c r="D115" s="63"/>
      <c r="E115" s="63"/>
      <c r="F115" s="72">
        <f>F118</f>
        <v>30000</v>
      </c>
      <c r="G115" s="180" t="str">
        <f>VLOOKUP($A115,'7. PGE_Efficacité'!$A$6:$AO$268,11,0)</f>
        <v>++</v>
      </c>
      <c r="H115" s="180" t="str">
        <f>VLOOKUP($A115,'7. PGE_Efficacité'!$A$6:$AO$268,12,0)</f>
        <v>++</v>
      </c>
      <c r="I115" s="180" t="str">
        <f>VLOOKUP($A115,'7. PGE_Efficacité'!$A$6:$AO$268,13,0)</f>
        <v>++</v>
      </c>
      <c r="J115" s="180" t="str">
        <f>VLOOKUP($A115,'7. PGE_Efficacité'!$A$6:$AO$268,14,0)</f>
        <v>++</v>
      </c>
      <c r="K115" s="180" t="str">
        <f>VLOOKUP($A115,'7. PGE_Efficacité'!$A$6:$AO$268,15,0)</f>
        <v>++</v>
      </c>
      <c r="L115" s="180" t="str">
        <f>VLOOKUP($A115,'7. PGE_Efficacité'!$A$6:$AO$268,16,0)</f>
        <v>+</v>
      </c>
      <c r="M115" s="180" t="str">
        <f>VLOOKUP($A115,'7. PGE_Efficacité'!$A$6:$AO$268,17,0)</f>
        <v>+</v>
      </c>
      <c r="N115" s="180" t="str">
        <f>VLOOKUP($A115,'7. PGE_Efficacité'!$A$6:$AO$268,18,0)</f>
        <v>++</v>
      </c>
      <c r="O115" s="180" t="str">
        <f>VLOOKUP($A115,'7. PGE_Efficacité'!$A$6:$AO$268,19,0)</f>
        <v>+</v>
      </c>
      <c r="P115" s="180" t="str">
        <f>VLOOKUP($A115,'7. PGE_Efficacité'!$A$6:$AO$268,20,0)</f>
        <v>+</v>
      </c>
      <c r="Q115" s="180" t="str">
        <f>VLOOKUP($A115,'7. PGE_Efficacité'!$A$6:$AO$268,21,0)</f>
        <v>+</v>
      </c>
      <c r="R115" s="180">
        <f>VLOOKUP($A115,'7. PGE_Efficacité'!$A$6:$AO$268,22,0)</f>
        <v>0</v>
      </c>
      <c r="S115" s="180" t="str">
        <f>VLOOKUP($A115,'7. PGE_Efficacité'!$A$6:$AO$268,23,0)</f>
        <v>++</v>
      </c>
      <c r="T115" s="180" t="str">
        <f>VLOOKUP($A115,'7. PGE_Efficacité'!$A$6:$AO$268,24,0)</f>
        <v>++</v>
      </c>
      <c r="U115" s="180" t="str">
        <f>VLOOKUP($A115,'7. PGE_Efficacité'!$A$6:$AO$268,25,0)</f>
        <v>+</v>
      </c>
      <c r="V115" s="180" t="str">
        <f>VLOOKUP($A115,'7. PGE_Efficacité'!$A$6:$AO$268,26,0)</f>
        <v>+</v>
      </c>
      <c r="W115" s="181" t="str">
        <f>VLOOKUP($A115,'7. PGE_Efficacité'!$A$6:$AO$268,27,0)</f>
        <v>++</v>
      </c>
      <c r="X115" s="181" t="str">
        <f>VLOOKUP($A115,'7. PGE_Efficacité'!$A$6:$AO$268,28,0)</f>
        <v>++</v>
      </c>
      <c r="Y115" s="181" t="str">
        <f>VLOOKUP($A115,'7. PGE_Efficacité'!$A$6:$AO$268,29,0)</f>
        <v>++</v>
      </c>
      <c r="Z115" s="181" t="str">
        <f>VLOOKUP($A115,'7. PGE_Efficacité'!$A$6:$AO$268,30,0)</f>
        <v>++</v>
      </c>
      <c r="AA115" s="181" t="str">
        <f>VLOOKUP($A115,'7. PGE_Efficacité'!$A$6:$AO$268,31,0)</f>
        <v>++</v>
      </c>
      <c r="AB115" s="181" t="str">
        <f>VLOOKUP($A115,'7. PGE_Efficacité'!$A$6:$AO$268,32,0)</f>
        <v>++</v>
      </c>
      <c r="AC115" s="181" t="str">
        <f>VLOOKUP($A115,'7. PGE_Efficacité'!$A$6:$AO$268,33,0)</f>
        <v>+</v>
      </c>
      <c r="AD115" s="181">
        <f>VLOOKUP($A115,'7. PGE_Efficacité'!$A$6:$AO$268,34,0)</f>
        <v>0</v>
      </c>
      <c r="AE115" s="181">
        <f>VLOOKUP($A115,'7. PGE_Efficacité'!$A$6:$AO$268,35,0)</f>
        <v>0</v>
      </c>
      <c r="AF115" s="181">
        <f>VLOOKUP($A115,'7. PGE_Efficacité'!$A$6:$AO$268,36,0)</f>
        <v>0</v>
      </c>
      <c r="AG115" s="181">
        <f>VLOOKUP($A115,'7. PGE_Efficacité'!$A$6:$AO$268,37,0)</f>
        <v>0</v>
      </c>
      <c r="AH115" s="181" t="str">
        <f>VLOOKUP($A115,'7. PGE_Efficacité'!$A$6:$AO$268,38,0)</f>
        <v>+</v>
      </c>
      <c r="AI115" s="181" t="str">
        <f>VLOOKUP($A115,'7. PGE_Efficacité'!$A$6:$AO$268,39,0)</f>
        <v>+</v>
      </c>
      <c r="AJ115" s="181" t="str">
        <f>VLOOKUP($A115,'7. PGE_Efficacité'!$A$6:$AO$268,40,0)</f>
        <v>+</v>
      </c>
      <c r="AK115" s="181" t="str">
        <f>VLOOKUP($A115,'7. PGE_Efficacité'!$A$6:$AO$268,41,0)</f>
        <v>+</v>
      </c>
    </row>
    <row r="116" spans="1:37" hidden="1" outlineLevel="1" x14ac:dyDescent="0.25">
      <c r="A116" s="65" t="s">
        <v>13</v>
      </c>
      <c r="B116" s="65" t="s">
        <v>675</v>
      </c>
      <c r="C116" s="65" t="s">
        <v>1335</v>
      </c>
      <c r="D116" s="65" t="s">
        <v>1521</v>
      </c>
      <c r="E116" s="65" t="s">
        <v>1290</v>
      </c>
      <c r="F116" s="70">
        <v>0</v>
      </c>
      <c r="G116" s="64">
        <f>VLOOKUP($B116,'7. PGE_Efficacité'!$A$6:$AO$268,11,0)</f>
        <v>0</v>
      </c>
      <c r="H116" s="64">
        <f>VLOOKUP($B116,'7. PGE_Efficacité'!$A$6:$AO$268,12,0)</f>
        <v>0</v>
      </c>
      <c r="I116" s="64">
        <f>VLOOKUP($B116,'7. PGE_Efficacité'!$A$6:$AO$268,13,0)</f>
        <v>0</v>
      </c>
      <c r="J116" s="64">
        <f>VLOOKUP($B116,'7. PGE_Efficacité'!$A$6:$AO$268,14,0)</f>
        <v>0</v>
      </c>
      <c r="K116" s="64">
        <f>VLOOKUP($B116,'7. PGE_Efficacité'!$A$6:$AO$268,15,0)</f>
        <v>0</v>
      </c>
      <c r="L116" s="64">
        <f>VLOOKUP($B116,'7. PGE_Efficacité'!$A$6:$AO$268,16,0)</f>
        <v>0</v>
      </c>
      <c r="M116" s="64">
        <f>VLOOKUP($B116,'7. PGE_Efficacité'!$A$6:$AO$268,17,0)</f>
        <v>0</v>
      </c>
      <c r="N116" s="64">
        <f>VLOOKUP($B116,'7. PGE_Efficacité'!$A$6:$AO$268,18,0)</f>
        <v>0</v>
      </c>
      <c r="O116" s="64">
        <f>VLOOKUP($B116,'7. PGE_Efficacité'!$A$6:$AO$268,19,0)</f>
        <v>0</v>
      </c>
      <c r="P116" s="64">
        <f>VLOOKUP($B116,'7. PGE_Efficacité'!$A$6:$AO$268,20,0)</f>
        <v>0</v>
      </c>
      <c r="Q116" s="64">
        <f>VLOOKUP($B116,'7. PGE_Efficacité'!$A$6:$AO$268,21,0)</f>
        <v>0</v>
      </c>
      <c r="R116" s="64">
        <f>VLOOKUP($B116,'7. PGE_Efficacité'!$A$6:$AO$268,22,0)</f>
        <v>0</v>
      </c>
      <c r="S116" s="64">
        <f>VLOOKUP($B116,'7. PGE_Efficacité'!$A$6:$AO$268,23,0)</f>
        <v>0</v>
      </c>
      <c r="T116" s="64">
        <f>VLOOKUP($B116,'7. PGE_Efficacité'!$A$6:$AO$268,24,0)</f>
        <v>0</v>
      </c>
      <c r="U116" s="64">
        <f>VLOOKUP($B116,'7. PGE_Efficacité'!$A$6:$AO$268,25,0)</f>
        <v>0</v>
      </c>
      <c r="V116" s="64">
        <f>VLOOKUP($B116,'7. PGE_Efficacité'!$A$6:$AO$268,26,0)</f>
        <v>0</v>
      </c>
      <c r="W116" s="61">
        <f>VLOOKUP($B116,'7. PGE_Efficacité'!$A$6:$AO$268,27,0)</f>
        <v>0</v>
      </c>
      <c r="X116" s="61">
        <f>VLOOKUP($B116,'7. PGE_Efficacité'!$A$6:$AO$268,28,0)</f>
        <v>0</v>
      </c>
      <c r="Y116" s="61">
        <f>VLOOKUP($B116,'7. PGE_Efficacité'!$A$6:$AO$268,29,0)</f>
        <v>0</v>
      </c>
      <c r="Z116" s="61">
        <f>VLOOKUP($B116,'7. PGE_Efficacité'!$A$6:$AO$268,30,0)</f>
        <v>0</v>
      </c>
      <c r="AA116" s="61">
        <f>VLOOKUP($B116,'7. PGE_Efficacité'!$A$6:$AO$268,31,0)</f>
        <v>0</v>
      </c>
      <c r="AB116" s="61">
        <f>VLOOKUP($B116,'7. PGE_Efficacité'!$A$6:$AO$268,32,0)</f>
        <v>0</v>
      </c>
      <c r="AC116" s="61">
        <f>VLOOKUP($B116,'7. PGE_Efficacité'!$A$6:$AO$268,33,0)</f>
        <v>0</v>
      </c>
      <c r="AD116" s="61">
        <f>VLOOKUP($B116,'7. PGE_Efficacité'!$A$6:$AO$268,34,0)</f>
        <v>0</v>
      </c>
      <c r="AE116" s="61">
        <f>VLOOKUP($B116,'7. PGE_Efficacité'!$A$6:$AO$268,35,0)</f>
        <v>0</v>
      </c>
      <c r="AF116" s="61">
        <f>VLOOKUP($B116,'7. PGE_Efficacité'!$A$6:$AO$268,36,0)</f>
        <v>0</v>
      </c>
      <c r="AG116" s="61">
        <f>VLOOKUP($B116,'7. PGE_Efficacité'!$A$6:$AO$268,37,0)</f>
        <v>0</v>
      </c>
      <c r="AH116" s="61">
        <f>VLOOKUP($B116,'7. PGE_Efficacité'!$A$6:$AO$268,38,0)</f>
        <v>0</v>
      </c>
      <c r="AI116" s="61">
        <f>VLOOKUP($B116,'7. PGE_Efficacité'!$A$6:$AO$268,39,0)</f>
        <v>0</v>
      </c>
      <c r="AJ116" s="61">
        <f>VLOOKUP($B116,'7. PGE_Efficacité'!$A$6:$AO$268,40,0)</f>
        <v>0</v>
      </c>
      <c r="AK116" s="61">
        <f>VLOOKUP($B116,'7. PGE_Efficacité'!$A$6:$AO$268,41,0)</f>
        <v>0</v>
      </c>
    </row>
    <row r="117" spans="1:37" hidden="1" outlineLevel="1" x14ac:dyDescent="0.25">
      <c r="A117" s="65" t="s">
        <v>13</v>
      </c>
      <c r="B117" s="65" t="s">
        <v>676</v>
      </c>
      <c r="C117" s="65" t="s">
        <v>1336</v>
      </c>
      <c r="D117" s="65" t="s">
        <v>1521</v>
      </c>
      <c r="E117" s="65" t="s">
        <v>1290</v>
      </c>
      <c r="F117" s="70">
        <v>0</v>
      </c>
      <c r="G117" s="64">
        <f>VLOOKUP($B117,'7. PGE_Efficacité'!$A$6:$AO$268,11,0)</f>
        <v>0</v>
      </c>
      <c r="H117" s="64">
        <f>VLOOKUP($B117,'7. PGE_Efficacité'!$A$6:$AO$268,12,0)</f>
        <v>0</v>
      </c>
      <c r="I117" s="64">
        <f>VLOOKUP($B117,'7. PGE_Efficacité'!$A$6:$AO$268,13,0)</f>
        <v>0</v>
      </c>
      <c r="J117" s="64">
        <f>VLOOKUP($B117,'7. PGE_Efficacité'!$A$6:$AO$268,14,0)</f>
        <v>0</v>
      </c>
      <c r="K117" s="64">
        <f>VLOOKUP($B117,'7. PGE_Efficacité'!$A$6:$AO$268,15,0)</f>
        <v>0</v>
      </c>
      <c r="L117" s="64">
        <f>VLOOKUP($B117,'7. PGE_Efficacité'!$A$6:$AO$268,16,0)</f>
        <v>0</v>
      </c>
      <c r="M117" s="64">
        <f>VLOOKUP($B117,'7. PGE_Efficacité'!$A$6:$AO$268,17,0)</f>
        <v>0</v>
      </c>
      <c r="N117" s="64">
        <f>VLOOKUP($B117,'7. PGE_Efficacité'!$A$6:$AO$268,18,0)</f>
        <v>0</v>
      </c>
      <c r="O117" s="64">
        <f>VLOOKUP($B117,'7. PGE_Efficacité'!$A$6:$AO$268,19,0)</f>
        <v>0</v>
      </c>
      <c r="P117" s="64">
        <f>VLOOKUP($B117,'7. PGE_Efficacité'!$A$6:$AO$268,20,0)</f>
        <v>0</v>
      </c>
      <c r="Q117" s="64">
        <f>VLOOKUP($B117,'7. PGE_Efficacité'!$A$6:$AO$268,21,0)</f>
        <v>0</v>
      </c>
      <c r="R117" s="64">
        <f>VLOOKUP($B117,'7. PGE_Efficacité'!$A$6:$AO$268,22,0)</f>
        <v>0</v>
      </c>
      <c r="S117" s="64">
        <f>VLOOKUP($B117,'7. PGE_Efficacité'!$A$6:$AO$268,23,0)</f>
        <v>0</v>
      </c>
      <c r="T117" s="64">
        <f>VLOOKUP($B117,'7. PGE_Efficacité'!$A$6:$AO$268,24,0)</f>
        <v>0</v>
      </c>
      <c r="U117" s="64">
        <f>VLOOKUP($B117,'7. PGE_Efficacité'!$A$6:$AO$268,25,0)</f>
        <v>0</v>
      </c>
      <c r="V117" s="64">
        <f>VLOOKUP($B117,'7. PGE_Efficacité'!$A$6:$AO$268,26,0)</f>
        <v>0</v>
      </c>
      <c r="W117" s="61">
        <f>VLOOKUP($B117,'7. PGE_Efficacité'!$A$6:$AO$268,27,0)</f>
        <v>0</v>
      </c>
      <c r="X117" s="61">
        <f>VLOOKUP($B117,'7. PGE_Efficacité'!$A$6:$AO$268,28,0)</f>
        <v>0</v>
      </c>
      <c r="Y117" s="61">
        <f>VLOOKUP($B117,'7. PGE_Efficacité'!$A$6:$AO$268,29,0)</f>
        <v>0</v>
      </c>
      <c r="Z117" s="61">
        <f>VLOOKUP($B117,'7. PGE_Efficacité'!$A$6:$AO$268,30,0)</f>
        <v>0</v>
      </c>
      <c r="AA117" s="61">
        <f>VLOOKUP($B117,'7. PGE_Efficacité'!$A$6:$AO$268,31,0)</f>
        <v>0</v>
      </c>
      <c r="AB117" s="61">
        <f>VLOOKUP($B117,'7. PGE_Efficacité'!$A$6:$AO$268,32,0)</f>
        <v>0</v>
      </c>
      <c r="AC117" s="61">
        <f>VLOOKUP($B117,'7. PGE_Efficacité'!$A$6:$AO$268,33,0)</f>
        <v>0</v>
      </c>
      <c r="AD117" s="61">
        <f>VLOOKUP($B117,'7. PGE_Efficacité'!$A$6:$AO$268,34,0)</f>
        <v>0</v>
      </c>
      <c r="AE117" s="61">
        <f>VLOOKUP($B117,'7. PGE_Efficacité'!$A$6:$AO$268,35,0)</f>
        <v>0</v>
      </c>
      <c r="AF117" s="61">
        <f>VLOOKUP($B117,'7. PGE_Efficacité'!$A$6:$AO$268,36,0)</f>
        <v>0</v>
      </c>
      <c r="AG117" s="61">
        <f>VLOOKUP($B117,'7. PGE_Efficacité'!$A$6:$AO$268,37,0)</f>
        <v>0</v>
      </c>
      <c r="AH117" s="61">
        <f>VLOOKUP($B117,'7. PGE_Efficacité'!$A$6:$AO$268,38,0)</f>
        <v>0</v>
      </c>
      <c r="AI117" s="61">
        <f>VLOOKUP($B117,'7. PGE_Efficacité'!$A$6:$AO$268,39,0)</f>
        <v>0</v>
      </c>
      <c r="AJ117" s="61">
        <f>VLOOKUP($B117,'7. PGE_Efficacité'!$A$6:$AO$268,40,0)</f>
        <v>0</v>
      </c>
      <c r="AK117" s="61">
        <f>VLOOKUP($B117,'7. PGE_Efficacité'!$A$6:$AO$268,41,0)</f>
        <v>0</v>
      </c>
    </row>
    <row r="118" spans="1:37" hidden="1" outlineLevel="1" x14ac:dyDescent="0.25">
      <c r="A118" s="65" t="s">
        <v>13</v>
      </c>
      <c r="B118" s="65" t="s">
        <v>677</v>
      </c>
      <c r="C118" s="65" t="s">
        <v>1337</v>
      </c>
      <c r="D118" s="65" t="s">
        <v>1521</v>
      </c>
      <c r="E118" s="65" t="s">
        <v>1290</v>
      </c>
      <c r="F118" s="70">
        <f>90000/3</f>
        <v>30000</v>
      </c>
      <c r="G118" s="64">
        <f>VLOOKUP($B118,'7. PGE_Efficacité'!$A$6:$AO$268,11,0)</f>
        <v>0</v>
      </c>
      <c r="H118" s="64">
        <f>VLOOKUP($B118,'7. PGE_Efficacité'!$A$6:$AO$268,12,0)</f>
        <v>0</v>
      </c>
      <c r="I118" s="64">
        <f>VLOOKUP($B118,'7. PGE_Efficacité'!$A$6:$AO$268,13,0)</f>
        <v>0</v>
      </c>
      <c r="J118" s="64">
        <f>VLOOKUP($B118,'7. PGE_Efficacité'!$A$6:$AO$268,14,0)</f>
        <v>0</v>
      </c>
      <c r="K118" s="64">
        <f>VLOOKUP($B118,'7. PGE_Efficacité'!$A$6:$AO$268,15,0)</f>
        <v>0</v>
      </c>
      <c r="L118" s="64">
        <f>VLOOKUP($B118,'7. PGE_Efficacité'!$A$6:$AO$268,16,0)</f>
        <v>0</v>
      </c>
      <c r="M118" s="64">
        <f>VLOOKUP($B118,'7. PGE_Efficacité'!$A$6:$AO$268,17,0)</f>
        <v>0</v>
      </c>
      <c r="N118" s="64">
        <f>VLOOKUP($B118,'7. PGE_Efficacité'!$A$6:$AO$268,18,0)</f>
        <v>0</v>
      </c>
      <c r="O118" s="64">
        <f>VLOOKUP($B118,'7. PGE_Efficacité'!$A$6:$AO$268,19,0)</f>
        <v>0</v>
      </c>
      <c r="P118" s="64">
        <f>VLOOKUP($B118,'7. PGE_Efficacité'!$A$6:$AO$268,20,0)</f>
        <v>0</v>
      </c>
      <c r="Q118" s="64">
        <f>VLOOKUP($B118,'7. PGE_Efficacité'!$A$6:$AO$268,21,0)</f>
        <v>0</v>
      </c>
      <c r="R118" s="64">
        <f>VLOOKUP($B118,'7. PGE_Efficacité'!$A$6:$AO$268,22,0)</f>
        <v>0</v>
      </c>
      <c r="S118" s="64">
        <f>VLOOKUP($B118,'7. PGE_Efficacité'!$A$6:$AO$268,23,0)</f>
        <v>0</v>
      </c>
      <c r="T118" s="64">
        <f>VLOOKUP($B118,'7. PGE_Efficacité'!$A$6:$AO$268,24,0)</f>
        <v>0</v>
      </c>
      <c r="U118" s="64">
        <f>VLOOKUP($B118,'7. PGE_Efficacité'!$A$6:$AO$268,25,0)</f>
        <v>0</v>
      </c>
      <c r="V118" s="64">
        <f>VLOOKUP($B118,'7. PGE_Efficacité'!$A$6:$AO$268,26,0)</f>
        <v>0</v>
      </c>
      <c r="W118" s="61">
        <f>VLOOKUP($B118,'7. PGE_Efficacité'!$A$6:$AO$268,27,0)</f>
        <v>0</v>
      </c>
      <c r="X118" s="61">
        <f>VLOOKUP($B118,'7. PGE_Efficacité'!$A$6:$AO$268,28,0)</f>
        <v>0</v>
      </c>
      <c r="Y118" s="61">
        <f>VLOOKUP($B118,'7. PGE_Efficacité'!$A$6:$AO$268,29,0)</f>
        <v>0</v>
      </c>
      <c r="Z118" s="61">
        <f>VLOOKUP($B118,'7. PGE_Efficacité'!$A$6:$AO$268,30,0)</f>
        <v>0</v>
      </c>
      <c r="AA118" s="61">
        <f>VLOOKUP($B118,'7. PGE_Efficacité'!$A$6:$AO$268,31,0)</f>
        <v>0</v>
      </c>
      <c r="AB118" s="61">
        <f>VLOOKUP($B118,'7. PGE_Efficacité'!$A$6:$AO$268,32,0)</f>
        <v>0</v>
      </c>
      <c r="AC118" s="61">
        <f>VLOOKUP($B118,'7. PGE_Efficacité'!$A$6:$AO$268,33,0)</f>
        <v>0</v>
      </c>
      <c r="AD118" s="61">
        <f>VLOOKUP($B118,'7. PGE_Efficacité'!$A$6:$AO$268,34,0)</f>
        <v>0</v>
      </c>
      <c r="AE118" s="61">
        <f>VLOOKUP($B118,'7. PGE_Efficacité'!$A$6:$AO$268,35,0)</f>
        <v>0</v>
      </c>
      <c r="AF118" s="61">
        <f>VLOOKUP($B118,'7. PGE_Efficacité'!$A$6:$AO$268,36,0)</f>
        <v>0</v>
      </c>
      <c r="AG118" s="61">
        <f>VLOOKUP($B118,'7. PGE_Efficacité'!$A$6:$AO$268,37,0)</f>
        <v>0</v>
      </c>
      <c r="AH118" s="61">
        <f>VLOOKUP($B118,'7. PGE_Efficacité'!$A$6:$AO$268,38,0)</f>
        <v>0</v>
      </c>
      <c r="AI118" s="61">
        <f>VLOOKUP($B118,'7. PGE_Efficacité'!$A$6:$AO$268,39,0)</f>
        <v>0</v>
      </c>
      <c r="AJ118" s="61">
        <f>VLOOKUP($B118,'7. PGE_Efficacité'!$A$6:$AO$268,40,0)</f>
        <v>0</v>
      </c>
      <c r="AK118" s="61">
        <f>VLOOKUP($B118,'7. PGE_Efficacité'!$A$6:$AO$268,41,0)</f>
        <v>0</v>
      </c>
    </row>
    <row r="119" spans="1:37" hidden="1" outlineLevel="1" x14ac:dyDescent="0.25">
      <c r="A119" s="65" t="s">
        <v>13</v>
      </c>
      <c r="B119" s="65" t="s">
        <v>678</v>
      </c>
      <c r="C119" s="65" t="s">
        <v>1338</v>
      </c>
      <c r="D119" s="65" t="s">
        <v>1521</v>
      </c>
      <c r="E119" s="65" t="s">
        <v>1290</v>
      </c>
      <c r="F119" s="70">
        <v>0</v>
      </c>
      <c r="G119" s="64">
        <f>VLOOKUP($B119,'7. PGE_Efficacité'!$A$6:$AO$268,11,0)</f>
        <v>0</v>
      </c>
      <c r="H119" s="64">
        <f>VLOOKUP($B119,'7. PGE_Efficacité'!$A$6:$AO$268,12,0)</f>
        <v>0</v>
      </c>
      <c r="I119" s="64">
        <f>VLOOKUP($B119,'7. PGE_Efficacité'!$A$6:$AO$268,13,0)</f>
        <v>0</v>
      </c>
      <c r="J119" s="64">
        <f>VLOOKUP($B119,'7. PGE_Efficacité'!$A$6:$AO$268,14,0)</f>
        <v>0</v>
      </c>
      <c r="K119" s="64">
        <f>VLOOKUP($B119,'7. PGE_Efficacité'!$A$6:$AO$268,15,0)</f>
        <v>0</v>
      </c>
      <c r="L119" s="64">
        <f>VLOOKUP($B119,'7. PGE_Efficacité'!$A$6:$AO$268,16,0)</f>
        <v>0</v>
      </c>
      <c r="M119" s="64">
        <f>VLOOKUP($B119,'7. PGE_Efficacité'!$A$6:$AO$268,17,0)</f>
        <v>0</v>
      </c>
      <c r="N119" s="64">
        <f>VLOOKUP($B119,'7. PGE_Efficacité'!$A$6:$AO$268,18,0)</f>
        <v>0</v>
      </c>
      <c r="O119" s="64">
        <f>VLOOKUP($B119,'7. PGE_Efficacité'!$A$6:$AO$268,19,0)</f>
        <v>0</v>
      </c>
      <c r="P119" s="64">
        <f>VLOOKUP($B119,'7. PGE_Efficacité'!$A$6:$AO$268,20,0)</f>
        <v>0</v>
      </c>
      <c r="Q119" s="64">
        <f>VLOOKUP($B119,'7. PGE_Efficacité'!$A$6:$AO$268,21,0)</f>
        <v>0</v>
      </c>
      <c r="R119" s="64">
        <f>VLOOKUP($B119,'7. PGE_Efficacité'!$A$6:$AO$268,22,0)</f>
        <v>0</v>
      </c>
      <c r="S119" s="64">
        <f>VLOOKUP($B119,'7. PGE_Efficacité'!$A$6:$AO$268,23,0)</f>
        <v>0</v>
      </c>
      <c r="T119" s="64">
        <f>VLOOKUP($B119,'7. PGE_Efficacité'!$A$6:$AO$268,24,0)</f>
        <v>0</v>
      </c>
      <c r="U119" s="64">
        <f>VLOOKUP($B119,'7. PGE_Efficacité'!$A$6:$AO$268,25,0)</f>
        <v>0</v>
      </c>
      <c r="V119" s="64">
        <f>VLOOKUP($B119,'7. PGE_Efficacité'!$A$6:$AO$268,26,0)</f>
        <v>0</v>
      </c>
      <c r="W119" s="61">
        <f>VLOOKUP($B119,'7. PGE_Efficacité'!$A$6:$AO$268,27,0)</f>
        <v>0</v>
      </c>
      <c r="X119" s="61">
        <f>VLOOKUP($B119,'7. PGE_Efficacité'!$A$6:$AO$268,28,0)</f>
        <v>0</v>
      </c>
      <c r="Y119" s="61">
        <f>VLOOKUP($B119,'7. PGE_Efficacité'!$A$6:$AO$268,29,0)</f>
        <v>0</v>
      </c>
      <c r="Z119" s="61">
        <f>VLOOKUP($B119,'7. PGE_Efficacité'!$A$6:$AO$268,30,0)</f>
        <v>0</v>
      </c>
      <c r="AA119" s="61">
        <f>VLOOKUP($B119,'7. PGE_Efficacité'!$A$6:$AO$268,31,0)</f>
        <v>0</v>
      </c>
      <c r="AB119" s="61">
        <f>VLOOKUP($B119,'7. PGE_Efficacité'!$A$6:$AO$268,32,0)</f>
        <v>0</v>
      </c>
      <c r="AC119" s="61">
        <f>VLOOKUP($B119,'7. PGE_Efficacité'!$A$6:$AO$268,33,0)</f>
        <v>0</v>
      </c>
      <c r="AD119" s="61">
        <f>VLOOKUP($B119,'7. PGE_Efficacité'!$A$6:$AO$268,34,0)</f>
        <v>0</v>
      </c>
      <c r="AE119" s="61">
        <f>VLOOKUP($B119,'7. PGE_Efficacité'!$A$6:$AO$268,35,0)</f>
        <v>0</v>
      </c>
      <c r="AF119" s="61">
        <f>VLOOKUP($B119,'7. PGE_Efficacité'!$A$6:$AO$268,36,0)</f>
        <v>0</v>
      </c>
      <c r="AG119" s="61">
        <f>VLOOKUP($B119,'7. PGE_Efficacité'!$A$6:$AO$268,37,0)</f>
        <v>0</v>
      </c>
      <c r="AH119" s="61">
        <f>VLOOKUP($B119,'7. PGE_Efficacité'!$A$6:$AO$268,38,0)</f>
        <v>0</v>
      </c>
      <c r="AI119" s="61">
        <f>VLOOKUP($B119,'7. PGE_Efficacité'!$A$6:$AO$268,39,0)</f>
        <v>0</v>
      </c>
      <c r="AJ119" s="61">
        <f>VLOOKUP($B119,'7. PGE_Efficacité'!$A$6:$AO$268,40,0)</f>
        <v>0</v>
      </c>
      <c r="AK119" s="61">
        <f>VLOOKUP($B119,'7. PGE_Efficacité'!$A$6:$AO$268,41,0)</f>
        <v>0</v>
      </c>
    </row>
    <row r="120" spans="1:37" ht="26.25" collapsed="1" x14ac:dyDescent="0.25">
      <c r="A120" s="157" t="s">
        <v>15</v>
      </c>
      <c r="B120" s="63"/>
      <c r="C120" s="156" t="s">
        <v>225</v>
      </c>
      <c r="D120" s="63"/>
      <c r="E120" s="63"/>
      <c r="F120" s="72">
        <f>SUM(F121:F124)</f>
        <v>1650000</v>
      </c>
      <c r="G120" s="178" t="str">
        <f>VLOOKUP($A120,'7. PGE_Efficacité'!$A$6:$AO$268,11,0)</f>
        <v>+</v>
      </c>
      <c r="H120" s="178" t="str">
        <f>VLOOKUP($A120,'7. PGE_Efficacité'!$A$6:$AO$268,12,0)</f>
        <v>+</v>
      </c>
      <c r="I120" s="178" t="str">
        <f>VLOOKUP($A120,'7. PGE_Efficacité'!$A$6:$AO$268,13,0)</f>
        <v>+</v>
      </c>
      <c r="J120" s="178" t="str">
        <f>VLOOKUP($A120,'7. PGE_Efficacité'!$A$6:$AO$268,14,0)</f>
        <v>+</v>
      </c>
      <c r="K120" s="178" t="str">
        <f>VLOOKUP($A120,'7. PGE_Efficacité'!$A$6:$AO$268,15,0)</f>
        <v>+</v>
      </c>
      <c r="L120" s="178" t="str">
        <f>VLOOKUP($A120,'7. PGE_Efficacité'!$A$6:$AO$268,16,0)</f>
        <v>+</v>
      </c>
      <c r="M120" s="178" t="str">
        <f>VLOOKUP($A120,'7. PGE_Efficacité'!$A$6:$AO$268,17,0)</f>
        <v>+</v>
      </c>
      <c r="N120" s="178" t="str">
        <f>VLOOKUP($A120,'7. PGE_Efficacité'!$A$6:$AO$268,18,0)</f>
        <v>+</v>
      </c>
      <c r="O120" s="178" t="str">
        <f>VLOOKUP($A120,'7. PGE_Efficacité'!$A$6:$AO$268,19,0)</f>
        <v>+</v>
      </c>
      <c r="P120" s="178" t="str">
        <f>VLOOKUP($A120,'7. PGE_Efficacité'!$A$6:$AO$268,20,0)</f>
        <v>+</v>
      </c>
      <c r="Q120" s="178" t="str">
        <f>VLOOKUP($A120,'7. PGE_Efficacité'!$A$6:$AO$268,21,0)</f>
        <v>+</v>
      </c>
      <c r="R120" s="178">
        <f>VLOOKUP($A120,'7. PGE_Efficacité'!$A$6:$AO$268,22,0)</f>
        <v>0</v>
      </c>
      <c r="S120" s="178" t="str">
        <f>VLOOKUP($A120,'7. PGE_Efficacité'!$A$6:$AO$268,23,0)</f>
        <v>+</v>
      </c>
      <c r="T120" s="178" t="str">
        <f>VLOOKUP($A120,'7. PGE_Efficacité'!$A$6:$AO$268,24,0)</f>
        <v>+</v>
      </c>
      <c r="U120" s="178" t="str">
        <f>VLOOKUP($A120,'7. PGE_Efficacité'!$A$6:$AO$268,25,0)</f>
        <v>+</v>
      </c>
      <c r="V120" s="178" t="str">
        <f>VLOOKUP($A120,'7. PGE_Efficacité'!$A$6:$AO$268,26,0)</f>
        <v>+</v>
      </c>
      <c r="W120" s="179" t="str">
        <f>VLOOKUP($A120,'7. PGE_Efficacité'!$A$6:$AO$268,27,0)</f>
        <v>+</v>
      </c>
      <c r="X120" s="179" t="str">
        <f>VLOOKUP($A120,'7. PGE_Efficacité'!$A$6:$AO$268,28,0)</f>
        <v>+</v>
      </c>
      <c r="Y120" s="179">
        <f>VLOOKUP($A120,'7. PGE_Efficacité'!$A$6:$AO$268,29,0)</f>
        <v>0</v>
      </c>
      <c r="Z120" s="179">
        <f>VLOOKUP($A120,'7. PGE_Efficacité'!$A$6:$AO$268,30,0)</f>
        <v>0</v>
      </c>
      <c r="AA120" s="179">
        <f>VLOOKUP($A120,'7. PGE_Efficacité'!$A$6:$AO$268,31,0)</f>
        <v>0</v>
      </c>
      <c r="AB120" s="179">
        <f>VLOOKUP($A120,'7. PGE_Efficacité'!$A$6:$AO$268,32,0)</f>
        <v>0</v>
      </c>
      <c r="AC120" s="179">
        <f>VLOOKUP($A120,'7. PGE_Efficacité'!$A$6:$AO$268,33,0)</f>
        <v>0</v>
      </c>
      <c r="AD120" s="179">
        <f>VLOOKUP($A120,'7. PGE_Efficacité'!$A$6:$AO$268,34,0)</f>
        <v>0</v>
      </c>
      <c r="AE120" s="179">
        <f>VLOOKUP($A120,'7. PGE_Efficacité'!$A$6:$AO$268,35,0)</f>
        <v>0</v>
      </c>
      <c r="AF120" s="179">
        <f>VLOOKUP($A120,'7. PGE_Efficacité'!$A$6:$AO$268,36,0)</f>
        <v>0</v>
      </c>
      <c r="AG120" s="179">
        <f>VLOOKUP($A120,'7. PGE_Efficacité'!$A$6:$AO$268,37,0)</f>
        <v>0</v>
      </c>
      <c r="AH120" s="179" t="str">
        <f>VLOOKUP($A120,'7. PGE_Efficacité'!$A$6:$AO$268,38,0)</f>
        <v>+</v>
      </c>
      <c r="AI120" s="179" t="str">
        <f>VLOOKUP($A120,'7. PGE_Efficacité'!$A$6:$AO$268,39,0)</f>
        <v>+</v>
      </c>
      <c r="AJ120" s="179" t="str">
        <f>VLOOKUP($A120,'7. PGE_Efficacité'!$A$6:$AO$268,40,0)</f>
        <v>+</v>
      </c>
      <c r="AK120" s="179" t="str">
        <f>VLOOKUP($A120,'7. PGE_Efficacité'!$A$6:$AO$268,41,0)</f>
        <v>+</v>
      </c>
    </row>
    <row r="121" spans="1:37" hidden="1" outlineLevel="1" x14ac:dyDescent="0.25">
      <c r="A121" s="65" t="s">
        <v>15</v>
      </c>
      <c r="B121" s="65" t="s">
        <v>679</v>
      </c>
      <c r="C121" s="65" t="s">
        <v>1339</v>
      </c>
      <c r="D121" s="65" t="s">
        <v>1520</v>
      </c>
      <c r="E121" s="65" t="s">
        <v>415</v>
      </c>
      <c r="F121" s="70">
        <v>50000</v>
      </c>
      <c r="G121" s="64">
        <f>VLOOKUP($B121,'7. PGE_Efficacité'!$A$6:$AO$268,11,0)</f>
        <v>0</v>
      </c>
      <c r="H121" s="64">
        <f>VLOOKUP($B121,'7. PGE_Efficacité'!$A$6:$AO$268,12,0)</f>
        <v>0</v>
      </c>
      <c r="I121" s="64">
        <f>VLOOKUP($B121,'7. PGE_Efficacité'!$A$6:$AO$268,13,0)</f>
        <v>0</v>
      </c>
      <c r="J121" s="64">
        <f>VLOOKUP($B121,'7. PGE_Efficacité'!$A$6:$AO$268,14,0)</f>
        <v>0</v>
      </c>
      <c r="K121" s="64">
        <f>VLOOKUP($B121,'7. PGE_Efficacité'!$A$6:$AO$268,15,0)</f>
        <v>0</v>
      </c>
      <c r="L121" s="64">
        <f>VLOOKUP($B121,'7. PGE_Efficacité'!$A$6:$AO$268,16,0)</f>
        <v>0</v>
      </c>
      <c r="M121" s="64">
        <f>VLOOKUP($B121,'7. PGE_Efficacité'!$A$6:$AO$268,17,0)</f>
        <v>0</v>
      </c>
      <c r="N121" s="64">
        <f>VLOOKUP($B121,'7. PGE_Efficacité'!$A$6:$AO$268,18,0)</f>
        <v>0</v>
      </c>
      <c r="O121" s="64">
        <f>VLOOKUP($B121,'7. PGE_Efficacité'!$A$6:$AO$268,19,0)</f>
        <v>0</v>
      </c>
      <c r="P121" s="64">
        <f>VLOOKUP($B121,'7. PGE_Efficacité'!$A$6:$AO$268,20,0)</f>
        <v>0</v>
      </c>
      <c r="Q121" s="64">
        <f>VLOOKUP($B121,'7. PGE_Efficacité'!$A$6:$AO$268,21,0)</f>
        <v>0</v>
      </c>
      <c r="R121" s="64">
        <f>VLOOKUP($B121,'7. PGE_Efficacité'!$A$6:$AO$268,22,0)</f>
        <v>0</v>
      </c>
      <c r="S121" s="64">
        <f>VLOOKUP($B121,'7. PGE_Efficacité'!$A$6:$AO$268,23,0)</f>
        <v>0</v>
      </c>
      <c r="T121" s="64">
        <f>VLOOKUP($B121,'7. PGE_Efficacité'!$A$6:$AO$268,24,0)</f>
        <v>0</v>
      </c>
      <c r="U121" s="64">
        <f>VLOOKUP($B121,'7. PGE_Efficacité'!$A$6:$AO$268,25,0)</f>
        <v>0</v>
      </c>
      <c r="V121" s="64">
        <f>VLOOKUP($B121,'7. PGE_Efficacité'!$A$6:$AO$268,26,0)</f>
        <v>0</v>
      </c>
      <c r="W121" s="61">
        <f>VLOOKUP($B121,'7. PGE_Efficacité'!$A$6:$AO$268,27,0)</f>
        <v>0</v>
      </c>
      <c r="X121" s="61">
        <f>VLOOKUP($B121,'7. PGE_Efficacité'!$A$6:$AO$268,28,0)</f>
        <v>0</v>
      </c>
      <c r="Y121" s="61">
        <f>VLOOKUP($B121,'7. PGE_Efficacité'!$A$6:$AO$268,29,0)</f>
        <v>0</v>
      </c>
      <c r="Z121" s="61">
        <f>VLOOKUP($B121,'7. PGE_Efficacité'!$A$6:$AO$268,30,0)</f>
        <v>0</v>
      </c>
      <c r="AA121" s="61">
        <f>VLOOKUP($B121,'7. PGE_Efficacité'!$A$6:$AO$268,31,0)</f>
        <v>0</v>
      </c>
      <c r="AB121" s="61">
        <f>VLOOKUP($B121,'7. PGE_Efficacité'!$A$6:$AO$268,32,0)</f>
        <v>0</v>
      </c>
      <c r="AC121" s="61">
        <f>VLOOKUP($B121,'7. PGE_Efficacité'!$A$6:$AO$268,33,0)</f>
        <v>0</v>
      </c>
      <c r="AD121" s="61">
        <f>VLOOKUP($B121,'7. PGE_Efficacité'!$A$6:$AO$268,34,0)</f>
        <v>0</v>
      </c>
      <c r="AE121" s="61">
        <f>VLOOKUP($B121,'7. PGE_Efficacité'!$A$6:$AO$268,35,0)</f>
        <v>0</v>
      </c>
      <c r="AF121" s="61">
        <f>VLOOKUP($B121,'7. PGE_Efficacité'!$A$6:$AO$268,36,0)</f>
        <v>0</v>
      </c>
      <c r="AG121" s="61">
        <f>VLOOKUP($B121,'7. PGE_Efficacité'!$A$6:$AO$268,37,0)</f>
        <v>0</v>
      </c>
      <c r="AH121" s="61">
        <f>VLOOKUP($B121,'7. PGE_Efficacité'!$A$6:$AO$268,38,0)</f>
        <v>0</v>
      </c>
      <c r="AI121" s="61">
        <f>VLOOKUP($B121,'7. PGE_Efficacité'!$A$6:$AO$268,39,0)</f>
        <v>0</v>
      </c>
      <c r="AJ121" s="61">
        <f>VLOOKUP($B121,'7. PGE_Efficacité'!$A$6:$AO$268,40,0)</f>
        <v>0</v>
      </c>
      <c r="AK121" s="61">
        <f>VLOOKUP($B121,'7. PGE_Efficacité'!$A$6:$AO$268,41,0)</f>
        <v>0</v>
      </c>
    </row>
    <row r="122" spans="1:37" hidden="1" outlineLevel="1" x14ac:dyDescent="0.25">
      <c r="A122" s="65" t="s">
        <v>15</v>
      </c>
      <c r="B122" s="65" t="s">
        <v>680</v>
      </c>
      <c r="C122" s="65" t="s">
        <v>1340</v>
      </c>
      <c r="D122" s="65" t="s">
        <v>1520</v>
      </c>
      <c r="E122" s="65" t="s">
        <v>415</v>
      </c>
      <c r="F122" s="70">
        <v>750000</v>
      </c>
      <c r="G122" s="64">
        <f>VLOOKUP($B122,'7. PGE_Efficacité'!$A$6:$AO$268,11,0)</f>
        <v>0</v>
      </c>
      <c r="H122" s="64">
        <f>VLOOKUP($B122,'7. PGE_Efficacité'!$A$6:$AO$268,12,0)</f>
        <v>0</v>
      </c>
      <c r="I122" s="64">
        <f>VLOOKUP($B122,'7. PGE_Efficacité'!$A$6:$AO$268,13,0)</f>
        <v>0</v>
      </c>
      <c r="J122" s="64">
        <f>VLOOKUP($B122,'7. PGE_Efficacité'!$A$6:$AO$268,14,0)</f>
        <v>0</v>
      </c>
      <c r="K122" s="64">
        <f>VLOOKUP($B122,'7. PGE_Efficacité'!$A$6:$AO$268,15,0)</f>
        <v>0</v>
      </c>
      <c r="L122" s="64">
        <f>VLOOKUP($B122,'7. PGE_Efficacité'!$A$6:$AO$268,16,0)</f>
        <v>0</v>
      </c>
      <c r="M122" s="64">
        <f>VLOOKUP($B122,'7. PGE_Efficacité'!$A$6:$AO$268,17,0)</f>
        <v>0</v>
      </c>
      <c r="N122" s="64">
        <f>VLOOKUP($B122,'7. PGE_Efficacité'!$A$6:$AO$268,18,0)</f>
        <v>0</v>
      </c>
      <c r="O122" s="64">
        <f>VLOOKUP($B122,'7. PGE_Efficacité'!$A$6:$AO$268,19,0)</f>
        <v>0</v>
      </c>
      <c r="P122" s="64">
        <f>VLOOKUP($B122,'7. PGE_Efficacité'!$A$6:$AO$268,20,0)</f>
        <v>0</v>
      </c>
      <c r="Q122" s="64">
        <f>VLOOKUP($B122,'7. PGE_Efficacité'!$A$6:$AO$268,21,0)</f>
        <v>0</v>
      </c>
      <c r="R122" s="64">
        <f>VLOOKUP($B122,'7. PGE_Efficacité'!$A$6:$AO$268,22,0)</f>
        <v>0</v>
      </c>
      <c r="S122" s="64">
        <f>VLOOKUP($B122,'7. PGE_Efficacité'!$A$6:$AO$268,23,0)</f>
        <v>0</v>
      </c>
      <c r="T122" s="64">
        <f>VLOOKUP($B122,'7. PGE_Efficacité'!$A$6:$AO$268,24,0)</f>
        <v>0</v>
      </c>
      <c r="U122" s="64">
        <f>VLOOKUP($B122,'7. PGE_Efficacité'!$A$6:$AO$268,25,0)</f>
        <v>0</v>
      </c>
      <c r="V122" s="64">
        <f>VLOOKUP($B122,'7. PGE_Efficacité'!$A$6:$AO$268,26,0)</f>
        <v>0</v>
      </c>
      <c r="W122" s="61">
        <f>VLOOKUP($B122,'7. PGE_Efficacité'!$A$6:$AO$268,27,0)</f>
        <v>0</v>
      </c>
      <c r="X122" s="61">
        <f>VLOOKUP($B122,'7. PGE_Efficacité'!$A$6:$AO$268,28,0)</f>
        <v>0</v>
      </c>
      <c r="Y122" s="61">
        <f>VLOOKUP($B122,'7. PGE_Efficacité'!$A$6:$AO$268,29,0)</f>
        <v>0</v>
      </c>
      <c r="Z122" s="61">
        <f>VLOOKUP($B122,'7. PGE_Efficacité'!$A$6:$AO$268,30,0)</f>
        <v>0</v>
      </c>
      <c r="AA122" s="61">
        <f>VLOOKUP($B122,'7. PGE_Efficacité'!$A$6:$AO$268,31,0)</f>
        <v>0</v>
      </c>
      <c r="AB122" s="61">
        <f>VLOOKUP($B122,'7. PGE_Efficacité'!$A$6:$AO$268,32,0)</f>
        <v>0</v>
      </c>
      <c r="AC122" s="61">
        <f>VLOOKUP($B122,'7. PGE_Efficacité'!$A$6:$AO$268,33,0)</f>
        <v>0</v>
      </c>
      <c r="AD122" s="61">
        <f>VLOOKUP($B122,'7. PGE_Efficacité'!$A$6:$AO$268,34,0)</f>
        <v>0</v>
      </c>
      <c r="AE122" s="61">
        <f>VLOOKUP($B122,'7. PGE_Efficacité'!$A$6:$AO$268,35,0)</f>
        <v>0</v>
      </c>
      <c r="AF122" s="61">
        <f>VLOOKUP($B122,'7. PGE_Efficacité'!$A$6:$AO$268,36,0)</f>
        <v>0</v>
      </c>
      <c r="AG122" s="61">
        <f>VLOOKUP($B122,'7. PGE_Efficacité'!$A$6:$AO$268,37,0)</f>
        <v>0</v>
      </c>
      <c r="AH122" s="61">
        <f>VLOOKUP($B122,'7. PGE_Efficacité'!$A$6:$AO$268,38,0)</f>
        <v>0</v>
      </c>
      <c r="AI122" s="61">
        <f>VLOOKUP($B122,'7. PGE_Efficacité'!$A$6:$AO$268,39,0)</f>
        <v>0</v>
      </c>
      <c r="AJ122" s="61">
        <f>VLOOKUP($B122,'7. PGE_Efficacité'!$A$6:$AO$268,40,0)</f>
        <v>0</v>
      </c>
      <c r="AK122" s="61">
        <f>VLOOKUP($B122,'7. PGE_Efficacité'!$A$6:$AO$268,41,0)</f>
        <v>0</v>
      </c>
    </row>
    <row r="123" spans="1:37" hidden="1" outlineLevel="1" x14ac:dyDescent="0.25">
      <c r="A123" s="65" t="s">
        <v>15</v>
      </c>
      <c r="B123" s="65" t="s">
        <v>681</v>
      </c>
      <c r="C123" s="65" t="s">
        <v>1341</v>
      </c>
      <c r="D123" s="65" t="s">
        <v>1520</v>
      </c>
      <c r="E123" s="65" t="s">
        <v>415</v>
      </c>
      <c r="F123" s="70">
        <v>850000</v>
      </c>
      <c r="G123" s="64">
        <f>VLOOKUP($B123,'7. PGE_Efficacité'!$A$6:$AO$268,11,0)</f>
        <v>0</v>
      </c>
      <c r="H123" s="64">
        <f>VLOOKUP($B123,'7. PGE_Efficacité'!$A$6:$AO$268,12,0)</f>
        <v>0</v>
      </c>
      <c r="I123" s="64">
        <f>VLOOKUP($B123,'7. PGE_Efficacité'!$A$6:$AO$268,13,0)</f>
        <v>0</v>
      </c>
      <c r="J123" s="64">
        <f>VLOOKUP($B123,'7. PGE_Efficacité'!$A$6:$AO$268,14,0)</f>
        <v>0</v>
      </c>
      <c r="K123" s="64">
        <f>VLOOKUP($B123,'7. PGE_Efficacité'!$A$6:$AO$268,15,0)</f>
        <v>0</v>
      </c>
      <c r="L123" s="64">
        <f>VLOOKUP($B123,'7. PGE_Efficacité'!$A$6:$AO$268,16,0)</f>
        <v>0</v>
      </c>
      <c r="M123" s="64">
        <f>VLOOKUP($B123,'7. PGE_Efficacité'!$A$6:$AO$268,17,0)</f>
        <v>0</v>
      </c>
      <c r="N123" s="64">
        <f>VLOOKUP($B123,'7. PGE_Efficacité'!$A$6:$AO$268,18,0)</f>
        <v>0</v>
      </c>
      <c r="O123" s="64">
        <f>VLOOKUP($B123,'7. PGE_Efficacité'!$A$6:$AO$268,19,0)</f>
        <v>0</v>
      </c>
      <c r="P123" s="64">
        <f>VLOOKUP($B123,'7. PGE_Efficacité'!$A$6:$AO$268,20,0)</f>
        <v>0</v>
      </c>
      <c r="Q123" s="64">
        <f>VLOOKUP($B123,'7. PGE_Efficacité'!$A$6:$AO$268,21,0)</f>
        <v>0</v>
      </c>
      <c r="R123" s="64">
        <f>VLOOKUP($B123,'7. PGE_Efficacité'!$A$6:$AO$268,22,0)</f>
        <v>0</v>
      </c>
      <c r="S123" s="64">
        <f>VLOOKUP($B123,'7. PGE_Efficacité'!$A$6:$AO$268,23,0)</f>
        <v>0</v>
      </c>
      <c r="T123" s="64">
        <f>VLOOKUP($B123,'7. PGE_Efficacité'!$A$6:$AO$268,24,0)</f>
        <v>0</v>
      </c>
      <c r="U123" s="64">
        <f>VLOOKUP($B123,'7. PGE_Efficacité'!$A$6:$AO$268,25,0)</f>
        <v>0</v>
      </c>
      <c r="V123" s="64">
        <f>VLOOKUP($B123,'7. PGE_Efficacité'!$A$6:$AO$268,26,0)</f>
        <v>0</v>
      </c>
      <c r="W123" s="61">
        <f>VLOOKUP($B123,'7. PGE_Efficacité'!$A$6:$AO$268,27,0)</f>
        <v>0</v>
      </c>
      <c r="X123" s="61">
        <f>VLOOKUP($B123,'7. PGE_Efficacité'!$A$6:$AO$268,28,0)</f>
        <v>0</v>
      </c>
      <c r="Y123" s="61">
        <f>VLOOKUP($B123,'7. PGE_Efficacité'!$A$6:$AO$268,29,0)</f>
        <v>0</v>
      </c>
      <c r="Z123" s="61">
        <f>VLOOKUP($B123,'7. PGE_Efficacité'!$A$6:$AO$268,30,0)</f>
        <v>0</v>
      </c>
      <c r="AA123" s="61">
        <f>VLOOKUP($B123,'7. PGE_Efficacité'!$A$6:$AO$268,31,0)</f>
        <v>0</v>
      </c>
      <c r="AB123" s="61">
        <f>VLOOKUP($B123,'7. PGE_Efficacité'!$A$6:$AO$268,32,0)</f>
        <v>0</v>
      </c>
      <c r="AC123" s="61">
        <f>VLOOKUP($B123,'7. PGE_Efficacité'!$A$6:$AO$268,33,0)</f>
        <v>0</v>
      </c>
      <c r="AD123" s="61">
        <f>VLOOKUP($B123,'7. PGE_Efficacité'!$A$6:$AO$268,34,0)</f>
        <v>0</v>
      </c>
      <c r="AE123" s="61">
        <f>VLOOKUP($B123,'7. PGE_Efficacité'!$A$6:$AO$268,35,0)</f>
        <v>0</v>
      </c>
      <c r="AF123" s="61">
        <f>VLOOKUP($B123,'7. PGE_Efficacité'!$A$6:$AO$268,36,0)</f>
        <v>0</v>
      </c>
      <c r="AG123" s="61">
        <f>VLOOKUP($B123,'7. PGE_Efficacité'!$A$6:$AO$268,37,0)</f>
        <v>0</v>
      </c>
      <c r="AH123" s="61">
        <f>VLOOKUP($B123,'7. PGE_Efficacité'!$A$6:$AO$268,38,0)</f>
        <v>0</v>
      </c>
      <c r="AI123" s="61">
        <f>VLOOKUP($B123,'7. PGE_Efficacité'!$A$6:$AO$268,39,0)</f>
        <v>0</v>
      </c>
      <c r="AJ123" s="61">
        <f>VLOOKUP($B123,'7. PGE_Efficacité'!$A$6:$AO$268,40,0)</f>
        <v>0</v>
      </c>
      <c r="AK123" s="61">
        <f>VLOOKUP($B123,'7. PGE_Efficacité'!$A$6:$AO$268,41,0)</f>
        <v>0</v>
      </c>
    </row>
    <row r="124" spans="1:37" hidden="1" outlineLevel="1" x14ac:dyDescent="0.25">
      <c r="A124" s="65" t="s">
        <v>15</v>
      </c>
      <c r="B124" s="65" t="s">
        <v>682</v>
      </c>
      <c r="C124" s="65" t="s">
        <v>1342</v>
      </c>
      <c r="D124" s="65" t="s">
        <v>1520</v>
      </c>
      <c r="E124" s="65" t="s">
        <v>1290</v>
      </c>
      <c r="F124" s="70">
        <v>0</v>
      </c>
      <c r="G124" s="64">
        <f>VLOOKUP($B124,'7. PGE_Efficacité'!$A$6:$AO$268,11,0)</f>
        <v>0</v>
      </c>
      <c r="H124" s="64">
        <f>VLOOKUP($B124,'7. PGE_Efficacité'!$A$6:$AO$268,12,0)</f>
        <v>0</v>
      </c>
      <c r="I124" s="64">
        <f>VLOOKUP($B124,'7. PGE_Efficacité'!$A$6:$AO$268,13,0)</f>
        <v>0</v>
      </c>
      <c r="J124" s="64">
        <f>VLOOKUP($B124,'7. PGE_Efficacité'!$A$6:$AO$268,14,0)</f>
        <v>0</v>
      </c>
      <c r="K124" s="64">
        <f>VLOOKUP($B124,'7. PGE_Efficacité'!$A$6:$AO$268,15,0)</f>
        <v>0</v>
      </c>
      <c r="L124" s="64">
        <f>VLOOKUP($B124,'7. PGE_Efficacité'!$A$6:$AO$268,16,0)</f>
        <v>0</v>
      </c>
      <c r="M124" s="64">
        <f>VLOOKUP($B124,'7. PGE_Efficacité'!$A$6:$AO$268,17,0)</f>
        <v>0</v>
      </c>
      <c r="N124" s="64">
        <f>VLOOKUP($B124,'7. PGE_Efficacité'!$A$6:$AO$268,18,0)</f>
        <v>0</v>
      </c>
      <c r="O124" s="64">
        <f>VLOOKUP($B124,'7. PGE_Efficacité'!$A$6:$AO$268,19,0)</f>
        <v>0</v>
      </c>
      <c r="P124" s="64">
        <f>VLOOKUP($B124,'7. PGE_Efficacité'!$A$6:$AO$268,20,0)</f>
        <v>0</v>
      </c>
      <c r="Q124" s="64">
        <f>VLOOKUP($B124,'7. PGE_Efficacité'!$A$6:$AO$268,21,0)</f>
        <v>0</v>
      </c>
      <c r="R124" s="64">
        <f>VLOOKUP($B124,'7. PGE_Efficacité'!$A$6:$AO$268,22,0)</f>
        <v>0</v>
      </c>
      <c r="S124" s="64">
        <f>VLOOKUP($B124,'7. PGE_Efficacité'!$A$6:$AO$268,23,0)</f>
        <v>0</v>
      </c>
      <c r="T124" s="64">
        <f>VLOOKUP($B124,'7. PGE_Efficacité'!$A$6:$AO$268,24,0)</f>
        <v>0</v>
      </c>
      <c r="U124" s="64">
        <f>VLOOKUP($B124,'7. PGE_Efficacité'!$A$6:$AO$268,25,0)</f>
        <v>0</v>
      </c>
      <c r="V124" s="64">
        <f>VLOOKUP($B124,'7. PGE_Efficacité'!$A$6:$AO$268,26,0)</f>
        <v>0</v>
      </c>
      <c r="W124" s="61">
        <f>VLOOKUP($B124,'7. PGE_Efficacité'!$A$6:$AO$268,27,0)</f>
        <v>0</v>
      </c>
      <c r="X124" s="61">
        <f>VLOOKUP($B124,'7. PGE_Efficacité'!$A$6:$AO$268,28,0)</f>
        <v>0</v>
      </c>
      <c r="Y124" s="61">
        <f>VLOOKUP($B124,'7. PGE_Efficacité'!$A$6:$AO$268,29,0)</f>
        <v>0</v>
      </c>
      <c r="Z124" s="61">
        <f>VLOOKUP($B124,'7. PGE_Efficacité'!$A$6:$AO$268,30,0)</f>
        <v>0</v>
      </c>
      <c r="AA124" s="61">
        <f>VLOOKUP($B124,'7. PGE_Efficacité'!$A$6:$AO$268,31,0)</f>
        <v>0</v>
      </c>
      <c r="AB124" s="61">
        <f>VLOOKUP($B124,'7. PGE_Efficacité'!$A$6:$AO$268,32,0)</f>
        <v>0</v>
      </c>
      <c r="AC124" s="61">
        <f>VLOOKUP($B124,'7. PGE_Efficacité'!$A$6:$AO$268,33,0)</f>
        <v>0</v>
      </c>
      <c r="AD124" s="61">
        <f>VLOOKUP($B124,'7. PGE_Efficacité'!$A$6:$AO$268,34,0)</f>
        <v>0</v>
      </c>
      <c r="AE124" s="61">
        <f>VLOOKUP($B124,'7. PGE_Efficacité'!$A$6:$AO$268,35,0)</f>
        <v>0</v>
      </c>
      <c r="AF124" s="61">
        <f>VLOOKUP($B124,'7. PGE_Efficacité'!$A$6:$AO$268,36,0)</f>
        <v>0</v>
      </c>
      <c r="AG124" s="61">
        <f>VLOOKUP($B124,'7. PGE_Efficacité'!$A$6:$AO$268,37,0)</f>
        <v>0</v>
      </c>
      <c r="AH124" s="61">
        <f>VLOOKUP($B124,'7. PGE_Efficacité'!$A$6:$AO$268,38,0)</f>
        <v>0</v>
      </c>
      <c r="AI124" s="61">
        <f>VLOOKUP($B124,'7. PGE_Efficacité'!$A$6:$AO$268,39,0)</f>
        <v>0</v>
      </c>
      <c r="AJ124" s="61">
        <f>VLOOKUP($B124,'7. PGE_Efficacité'!$A$6:$AO$268,40,0)</f>
        <v>0</v>
      </c>
      <c r="AK124" s="61">
        <f>VLOOKUP($B124,'7. PGE_Efficacité'!$A$6:$AO$268,41,0)</f>
        <v>0</v>
      </c>
    </row>
    <row r="125" spans="1:37" ht="26.25" collapsed="1" x14ac:dyDescent="0.25">
      <c r="A125" s="157" t="s">
        <v>16</v>
      </c>
      <c r="B125" s="63"/>
      <c r="C125" s="156" t="s">
        <v>224</v>
      </c>
      <c r="D125" s="63"/>
      <c r="E125" s="63"/>
      <c r="F125" s="72">
        <f>SUM(F126:F127)</f>
        <v>18000</v>
      </c>
      <c r="G125" s="180">
        <f>VLOOKUP($A125,'7. PGE_Efficacité'!$A$6:$AO$268,11,0)</f>
        <v>0</v>
      </c>
      <c r="H125" s="180">
        <f>VLOOKUP($A125,'7. PGE_Efficacité'!$A$6:$AO$268,12,0)</f>
        <v>0</v>
      </c>
      <c r="I125" s="180">
        <f>VLOOKUP($A125,'7. PGE_Efficacité'!$A$6:$AO$268,13,0)</f>
        <v>0</v>
      </c>
      <c r="J125" s="180">
        <f>VLOOKUP($A125,'7. PGE_Efficacité'!$A$6:$AO$268,14,0)</f>
        <v>0</v>
      </c>
      <c r="K125" s="180">
        <f>VLOOKUP($A125,'7. PGE_Efficacité'!$A$6:$AO$268,15,0)</f>
        <v>0</v>
      </c>
      <c r="L125" s="180">
        <f>VLOOKUP($A125,'7. PGE_Efficacité'!$A$6:$AO$268,16,0)</f>
        <v>0</v>
      </c>
      <c r="M125" s="180">
        <f>VLOOKUP($A125,'7. PGE_Efficacité'!$A$6:$AO$268,17,0)</f>
        <v>0</v>
      </c>
      <c r="N125" s="180">
        <f>VLOOKUP($A125,'7. PGE_Efficacité'!$A$6:$AO$268,18,0)</f>
        <v>0</v>
      </c>
      <c r="O125" s="180">
        <f>VLOOKUP($A125,'7. PGE_Efficacité'!$A$6:$AO$268,19,0)</f>
        <v>0</v>
      </c>
      <c r="P125" s="180">
        <f>VLOOKUP($A125,'7. PGE_Efficacité'!$A$6:$AO$268,20,0)</f>
        <v>0</v>
      </c>
      <c r="Q125" s="180">
        <f>VLOOKUP($A125,'7. PGE_Efficacité'!$A$6:$AO$268,21,0)</f>
        <v>0</v>
      </c>
      <c r="R125" s="180">
        <f>VLOOKUP($A125,'7. PGE_Efficacité'!$A$6:$AO$268,22,0)</f>
        <v>0</v>
      </c>
      <c r="S125" s="180">
        <f>VLOOKUP($A125,'7. PGE_Efficacité'!$A$6:$AO$268,23,0)</f>
        <v>0</v>
      </c>
      <c r="T125" s="180">
        <f>VLOOKUP($A125,'7. PGE_Efficacité'!$A$6:$AO$268,24,0)</f>
        <v>0</v>
      </c>
      <c r="U125" s="180">
        <f>VLOOKUP($A125,'7. PGE_Efficacité'!$A$6:$AO$268,25,0)</f>
        <v>0</v>
      </c>
      <c r="V125" s="180">
        <f>VLOOKUP($A125,'7. PGE_Efficacité'!$A$6:$AO$268,26,0)</f>
        <v>0</v>
      </c>
      <c r="W125" s="181">
        <f>VLOOKUP($A125,'7. PGE_Efficacité'!$A$6:$AO$268,27,0)</f>
        <v>0</v>
      </c>
      <c r="X125" s="181">
        <f>VLOOKUP($A125,'7. PGE_Efficacité'!$A$6:$AO$268,28,0)</f>
        <v>0</v>
      </c>
      <c r="Y125" s="181">
        <f>VLOOKUP($A125,'7. PGE_Efficacité'!$A$6:$AO$268,29,0)</f>
        <v>0</v>
      </c>
      <c r="Z125" s="181">
        <f>VLOOKUP($A125,'7. PGE_Efficacité'!$A$6:$AO$268,30,0)</f>
        <v>0</v>
      </c>
      <c r="AA125" s="181">
        <f>VLOOKUP($A125,'7. PGE_Efficacité'!$A$6:$AO$268,31,0)</f>
        <v>0</v>
      </c>
      <c r="AB125" s="181">
        <f>VLOOKUP($A125,'7. PGE_Efficacité'!$A$6:$AO$268,32,0)</f>
        <v>0</v>
      </c>
      <c r="AC125" s="181">
        <f>VLOOKUP($A125,'7. PGE_Efficacité'!$A$6:$AO$268,33,0)</f>
        <v>0</v>
      </c>
      <c r="AD125" s="181">
        <f>VLOOKUP($A125,'7. PGE_Efficacité'!$A$6:$AO$268,34,0)</f>
        <v>0</v>
      </c>
      <c r="AE125" s="181">
        <f>VLOOKUP($A125,'7. PGE_Efficacité'!$A$6:$AO$268,35,0)</f>
        <v>0</v>
      </c>
      <c r="AF125" s="181">
        <f>VLOOKUP($A125,'7. PGE_Efficacité'!$A$6:$AO$268,36,0)</f>
        <v>0</v>
      </c>
      <c r="AG125" s="181">
        <f>VLOOKUP($A125,'7. PGE_Efficacité'!$A$6:$AO$268,37,0)</f>
        <v>0</v>
      </c>
      <c r="AH125" s="181">
        <f>VLOOKUP($A125,'7. PGE_Efficacité'!$A$6:$AO$268,38,0)</f>
        <v>0</v>
      </c>
      <c r="AI125" s="181">
        <f>VLOOKUP($A125,'7. PGE_Efficacité'!$A$6:$AO$268,39,0)</f>
        <v>0</v>
      </c>
      <c r="AJ125" s="181">
        <f>VLOOKUP($A125,'7. PGE_Efficacité'!$A$6:$AO$268,40,0)</f>
        <v>0</v>
      </c>
      <c r="AK125" s="181">
        <f>VLOOKUP($A125,'7. PGE_Efficacité'!$A$6:$AO$268,41,0)</f>
        <v>0</v>
      </c>
    </row>
    <row r="126" spans="1:37" hidden="1" outlineLevel="1" x14ac:dyDescent="0.25">
      <c r="A126" s="65" t="s">
        <v>16</v>
      </c>
      <c r="B126" s="65" t="s">
        <v>687</v>
      </c>
      <c r="C126" s="65" t="s">
        <v>1347</v>
      </c>
      <c r="D126" s="65" t="s">
        <v>1521</v>
      </c>
      <c r="E126" s="65" t="s">
        <v>415</v>
      </c>
      <c r="F126" s="70">
        <v>18000</v>
      </c>
      <c r="G126" s="64">
        <f>VLOOKUP($B126,'7. PGE_Efficacité'!$A$6:$AO$268,11,0)</f>
        <v>0</v>
      </c>
      <c r="H126" s="64">
        <f>VLOOKUP($B126,'7. PGE_Efficacité'!$A$6:$AO$268,12,0)</f>
        <v>0</v>
      </c>
      <c r="I126" s="64">
        <f>VLOOKUP($B126,'7. PGE_Efficacité'!$A$6:$AO$268,13,0)</f>
        <v>0</v>
      </c>
      <c r="J126" s="64">
        <f>VLOOKUP($B126,'7. PGE_Efficacité'!$A$6:$AO$268,14,0)</f>
        <v>0</v>
      </c>
      <c r="K126" s="64">
        <f>VLOOKUP($B126,'7. PGE_Efficacité'!$A$6:$AO$268,15,0)</f>
        <v>0</v>
      </c>
      <c r="L126" s="64">
        <f>VLOOKUP($B126,'7. PGE_Efficacité'!$A$6:$AO$268,16,0)</f>
        <v>0</v>
      </c>
      <c r="M126" s="64">
        <f>VLOOKUP($B126,'7. PGE_Efficacité'!$A$6:$AO$268,17,0)</f>
        <v>0</v>
      </c>
      <c r="N126" s="64">
        <f>VLOOKUP($B126,'7. PGE_Efficacité'!$A$6:$AO$268,18,0)</f>
        <v>0</v>
      </c>
      <c r="O126" s="64">
        <f>VLOOKUP($B126,'7. PGE_Efficacité'!$A$6:$AO$268,19,0)</f>
        <v>0</v>
      </c>
      <c r="P126" s="64">
        <f>VLOOKUP($B126,'7. PGE_Efficacité'!$A$6:$AO$268,20,0)</f>
        <v>0</v>
      </c>
      <c r="Q126" s="64">
        <f>VLOOKUP($B126,'7. PGE_Efficacité'!$A$6:$AO$268,21,0)</f>
        <v>0</v>
      </c>
      <c r="R126" s="64">
        <f>VLOOKUP($B126,'7. PGE_Efficacité'!$A$6:$AO$268,22,0)</f>
        <v>0</v>
      </c>
      <c r="S126" s="64">
        <f>VLOOKUP($B126,'7. PGE_Efficacité'!$A$6:$AO$268,23,0)</f>
        <v>0</v>
      </c>
      <c r="T126" s="64">
        <f>VLOOKUP($B126,'7. PGE_Efficacité'!$A$6:$AO$268,24,0)</f>
        <v>0</v>
      </c>
      <c r="U126" s="64">
        <f>VLOOKUP($B126,'7. PGE_Efficacité'!$A$6:$AO$268,25,0)</f>
        <v>0</v>
      </c>
      <c r="V126" s="64">
        <f>VLOOKUP($B126,'7. PGE_Efficacité'!$A$6:$AO$268,26,0)</f>
        <v>0</v>
      </c>
      <c r="W126" s="61">
        <f>VLOOKUP($B126,'7. PGE_Efficacité'!$A$6:$AO$268,27,0)</f>
        <v>0</v>
      </c>
      <c r="X126" s="61">
        <f>VLOOKUP($B126,'7. PGE_Efficacité'!$A$6:$AO$268,28,0)</f>
        <v>0</v>
      </c>
      <c r="Y126" s="61">
        <f>VLOOKUP($B126,'7. PGE_Efficacité'!$A$6:$AO$268,29,0)</f>
        <v>0</v>
      </c>
      <c r="Z126" s="61">
        <f>VLOOKUP($B126,'7. PGE_Efficacité'!$A$6:$AO$268,30,0)</f>
        <v>0</v>
      </c>
      <c r="AA126" s="61">
        <f>VLOOKUP($B126,'7. PGE_Efficacité'!$A$6:$AO$268,31,0)</f>
        <v>0</v>
      </c>
      <c r="AB126" s="61">
        <f>VLOOKUP($B126,'7. PGE_Efficacité'!$A$6:$AO$268,32,0)</f>
        <v>0</v>
      </c>
      <c r="AC126" s="61">
        <f>VLOOKUP($B126,'7. PGE_Efficacité'!$A$6:$AO$268,33,0)</f>
        <v>0</v>
      </c>
      <c r="AD126" s="61">
        <f>VLOOKUP($B126,'7. PGE_Efficacité'!$A$6:$AO$268,34,0)</f>
        <v>0</v>
      </c>
      <c r="AE126" s="61">
        <f>VLOOKUP($B126,'7. PGE_Efficacité'!$A$6:$AO$268,35,0)</f>
        <v>0</v>
      </c>
      <c r="AF126" s="61">
        <f>VLOOKUP($B126,'7. PGE_Efficacité'!$A$6:$AO$268,36,0)</f>
        <v>0</v>
      </c>
      <c r="AG126" s="61">
        <f>VLOOKUP($B126,'7. PGE_Efficacité'!$A$6:$AO$268,37,0)</f>
        <v>0</v>
      </c>
      <c r="AH126" s="61">
        <f>VLOOKUP($B126,'7. PGE_Efficacité'!$A$6:$AO$268,38,0)</f>
        <v>0</v>
      </c>
      <c r="AI126" s="61">
        <f>VLOOKUP($B126,'7. PGE_Efficacité'!$A$6:$AO$268,39,0)</f>
        <v>0</v>
      </c>
      <c r="AJ126" s="61">
        <f>VLOOKUP($B126,'7. PGE_Efficacité'!$A$6:$AO$268,40,0)</f>
        <v>0</v>
      </c>
      <c r="AK126" s="61">
        <f>VLOOKUP($B126,'7. PGE_Efficacité'!$A$6:$AO$268,41,0)</f>
        <v>0</v>
      </c>
    </row>
    <row r="127" spans="1:37" hidden="1" outlineLevel="1" x14ac:dyDescent="0.25">
      <c r="A127" s="65" t="s">
        <v>16</v>
      </c>
      <c r="B127" s="65" t="s">
        <v>688</v>
      </c>
      <c r="C127" s="65" t="s">
        <v>1348</v>
      </c>
      <c r="D127" s="65" t="s">
        <v>1521</v>
      </c>
      <c r="E127" s="65" t="s">
        <v>1287</v>
      </c>
      <c r="F127" s="70">
        <v>0</v>
      </c>
      <c r="G127" s="64">
        <f>VLOOKUP($B127,'7. PGE_Efficacité'!$A$6:$AO$268,11,0)</f>
        <v>0</v>
      </c>
      <c r="H127" s="64">
        <f>VLOOKUP($B127,'7. PGE_Efficacité'!$A$6:$AO$268,12,0)</f>
        <v>0</v>
      </c>
      <c r="I127" s="64">
        <f>VLOOKUP($B127,'7. PGE_Efficacité'!$A$6:$AO$268,13,0)</f>
        <v>0</v>
      </c>
      <c r="J127" s="64">
        <f>VLOOKUP($B127,'7. PGE_Efficacité'!$A$6:$AO$268,14,0)</f>
        <v>0</v>
      </c>
      <c r="K127" s="64">
        <f>VLOOKUP($B127,'7. PGE_Efficacité'!$A$6:$AO$268,15,0)</f>
        <v>0</v>
      </c>
      <c r="L127" s="64">
        <f>VLOOKUP($B127,'7. PGE_Efficacité'!$A$6:$AO$268,16,0)</f>
        <v>0</v>
      </c>
      <c r="M127" s="64">
        <f>VLOOKUP($B127,'7. PGE_Efficacité'!$A$6:$AO$268,17,0)</f>
        <v>0</v>
      </c>
      <c r="N127" s="64">
        <f>VLOOKUP($B127,'7. PGE_Efficacité'!$A$6:$AO$268,18,0)</f>
        <v>0</v>
      </c>
      <c r="O127" s="64">
        <f>VLOOKUP($B127,'7. PGE_Efficacité'!$A$6:$AO$268,19,0)</f>
        <v>0</v>
      </c>
      <c r="P127" s="64">
        <f>VLOOKUP($B127,'7. PGE_Efficacité'!$A$6:$AO$268,20,0)</f>
        <v>0</v>
      </c>
      <c r="Q127" s="64">
        <f>VLOOKUP($B127,'7. PGE_Efficacité'!$A$6:$AO$268,21,0)</f>
        <v>0</v>
      </c>
      <c r="R127" s="64">
        <f>VLOOKUP($B127,'7. PGE_Efficacité'!$A$6:$AO$268,22,0)</f>
        <v>0</v>
      </c>
      <c r="S127" s="64">
        <f>VLOOKUP($B127,'7. PGE_Efficacité'!$A$6:$AO$268,23,0)</f>
        <v>0</v>
      </c>
      <c r="T127" s="64">
        <f>VLOOKUP($B127,'7. PGE_Efficacité'!$A$6:$AO$268,24,0)</f>
        <v>0</v>
      </c>
      <c r="U127" s="64">
        <f>VLOOKUP($B127,'7. PGE_Efficacité'!$A$6:$AO$268,25,0)</f>
        <v>0</v>
      </c>
      <c r="V127" s="64">
        <f>VLOOKUP($B127,'7. PGE_Efficacité'!$A$6:$AO$268,26,0)</f>
        <v>0</v>
      </c>
      <c r="W127" s="61">
        <f>VLOOKUP($B127,'7. PGE_Efficacité'!$A$6:$AO$268,27,0)</f>
        <v>0</v>
      </c>
      <c r="X127" s="61">
        <f>VLOOKUP($B127,'7. PGE_Efficacité'!$A$6:$AO$268,28,0)</f>
        <v>0</v>
      </c>
      <c r="Y127" s="61">
        <f>VLOOKUP($B127,'7. PGE_Efficacité'!$A$6:$AO$268,29,0)</f>
        <v>0</v>
      </c>
      <c r="Z127" s="61">
        <f>VLOOKUP($B127,'7. PGE_Efficacité'!$A$6:$AO$268,30,0)</f>
        <v>0</v>
      </c>
      <c r="AA127" s="61">
        <f>VLOOKUP($B127,'7. PGE_Efficacité'!$A$6:$AO$268,31,0)</f>
        <v>0</v>
      </c>
      <c r="AB127" s="61">
        <f>VLOOKUP($B127,'7. PGE_Efficacité'!$A$6:$AO$268,32,0)</f>
        <v>0</v>
      </c>
      <c r="AC127" s="61">
        <f>VLOOKUP($B127,'7. PGE_Efficacité'!$A$6:$AO$268,33,0)</f>
        <v>0</v>
      </c>
      <c r="AD127" s="61">
        <f>VLOOKUP($B127,'7. PGE_Efficacité'!$A$6:$AO$268,34,0)</f>
        <v>0</v>
      </c>
      <c r="AE127" s="61">
        <f>VLOOKUP($B127,'7. PGE_Efficacité'!$A$6:$AO$268,35,0)</f>
        <v>0</v>
      </c>
      <c r="AF127" s="61">
        <f>VLOOKUP($B127,'7. PGE_Efficacité'!$A$6:$AO$268,36,0)</f>
        <v>0</v>
      </c>
      <c r="AG127" s="61">
        <f>VLOOKUP($B127,'7. PGE_Efficacité'!$A$6:$AO$268,37,0)</f>
        <v>0</v>
      </c>
      <c r="AH127" s="61">
        <f>VLOOKUP($B127,'7. PGE_Efficacité'!$A$6:$AO$268,38,0)</f>
        <v>0</v>
      </c>
      <c r="AI127" s="61">
        <f>VLOOKUP($B127,'7. PGE_Efficacité'!$A$6:$AO$268,39,0)</f>
        <v>0</v>
      </c>
      <c r="AJ127" s="61">
        <f>VLOOKUP($B127,'7. PGE_Efficacité'!$A$6:$AO$268,40,0)</f>
        <v>0</v>
      </c>
      <c r="AK127" s="61">
        <f>VLOOKUP($B127,'7. PGE_Efficacité'!$A$6:$AO$268,41,0)</f>
        <v>0</v>
      </c>
    </row>
    <row r="128" spans="1:37" ht="26.25" x14ac:dyDescent="0.25">
      <c r="A128" s="157" t="s">
        <v>21</v>
      </c>
      <c r="B128" s="63"/>
      <c r="C128" s="156" t="s">
        <v>221</v>
      </c>
      <c r="D128" s="63"/>
      <c r="E128" s="63"/>
      <c r="F128" s="72">
        <f>SUM(F129:F138)</f>
        <v>589833.33333333326</v>
      </c>
      <c r="G128" s="180">
        <f>VLOOKUP($A128,'7. PGE_Efficacité'!$A$6:$AO$268,11,0)</f>
        <v>0</v>
      </c>
      <c r="H128" s="180">
        <f>VLOOKUP($A128,'7. PGE_Efficacité'!$A$6:$AO$268,12,0)</f>
        <v>0</v>
      </c>
      <c r="I128" s="180">
        <f>VLOOKUP($A128,'7. PGE_Efficacité'!$A$6:$AO$268,13,0)</f>
        <v>0</v>
      </c>
      <c r="J128" s="180">
        <f>VLOOKUP($A128,'7. PGE_Efficacité'!$A$6:$AO$268,14,0)</f>
        <v>0</v>
      </c>
      <c r="K128" s="180">
        <f>VLOOKUP($A128,'7. PGE_Efficacité'!$A$6:$AO$268,15,0)</f>
        <v>0</v>
      </c>
      <c r="L128" s="180">
        <f>VLOOKUP($A128,'7. PGE_Efficacité'!$A$6:$AO$268,16,0)</f>
        <v>0</v>
      </c>
      <c r="M128" s="180">
        <f>VLOOKUP($A128,'7. PGE_Efficacité'!$A$6:$AO$268,17,0)</f>
        <v>0</v>
      </c>
      <c r="N128" s="180">
        <f>VLOOKUP($A128,'7. PGE_Efficacité'!$A$6:$AO$268,18,0)</f>
        <v>0</v>
      </c>
      <c r="O128" s="180">
        <f>VLOOKUP($A128,'7. PGE_Efficacité'!$A$6:$AO$268,19,0)</f>
        <v>0</v>
      </c>
      <c r="P128" s="180">
        <f>VLOOKUP($A128,'7. PGE_Efficacité'!$A$6:$AO$268,20,0)</f>
        <v>0</v>
      </c>
      <c r="Q128" s="180">
        <f>VLOOKUP($A128,'7. PGE_Efficacité'!$A$6:$AO$268,21,0)</f>
        <v>0</v>
      </c>
      <c r="R128" s="180">
        <f>VLOOKUP($A128,'7. PGE_Efficacité'!$A$6:$AO$268,22,0)</f>
        <v>0</v>
      </c>
      <c r="S128" s="180">
        <f>VLOOKUP($A128,'7. PGE_Efficacité'!$A$6:$AO$268,23,0)</f>
        <v>0</v>
      </c>
      <c r="T128" s="180">
        <f>VLOOKUP($A128,'7. PGE_Efficacité'!$A$6:$AO$268,24,0)</f>
        <v>0</v>
      </c>
      <c r="U128" s="180">
        <f>VLOOKUP($A128,'7. PGE_Efficacité'!$A$6:$AO$268,25,0)</f>
        <v>0</v>
      </c>
      <c r="V128" s="180">
        <f>VLOOKUP($A128,'7. PGE_Efficacité'!$A$6:$AO$268,26,0)</f>
        <v>0</v>
      </c>
      <c r="W128" s="181">
        <f>VLOOKUP($A128,'7. PGE_Efficacité'!$A$6:$AO$268,27,0)</f>
        <v>0</v>
      </c>
      <c r="X128" s="181">
        <f>VLOOKUP($A128,'7. PGE_Efficacité'!$A$6:$AO$268,28,0)</f>
        <v>0</v>
      </c>
      <c r="Y128" s="181">
        <f>VLOOKUP($A128,'7. PGE_Efficacité'!$A$6:$AO$268,29,0)</f>
        <v>0</v>
      </c>
      <c r="Z128" s="181">
        <f>VLOOKUP($A128,'7. PGE_Efficacité'!$A$6:$AO$268,30,0)</f>
        <v>0</v>
      </c>
      <c r="AA128" s="181">
        <f>VLOOKUP($A128,'7. PGE_Efficacité'!$A$6:$AO$268,31,0)</f>
        <v>0</v>
      </c>
      <c r="AB128" s="181">
        <f>VLOOKUP($A128,'7. PGE_Efficacité'!$A$6:$AO$268,32,0)</f>
        <v>0</v>
      </c>
      <c r="AC128" s="181">
        <f>VLOOKUP($A128,'7. PGE_Efficacité'!$A$6:$AO$268,33,0)</f>
        <v>0</v>
      </c>
      <c r="AD128" s="181">
        <f>VLOOKUP($A128,'7. PGE_Efficacité'!$A$6:$AO$268,34,0)</f>
        <v>0</v>
      </c>
      <c r="AE128" s="181">
        <f>VLOOKUP($A128,'7. PGE_Efficacité'!$A$6:$AO$268,35,0)</f>
        <v>0</v>
      </c>
      <c r="AF128" s="181">
        <f>VLOOKUP($A128,'7. PGE_Efficacité'!$A$6:$AO$268,36,0)</f>
        <v>0</v>
      </c>
      <c r="AG128" s="181">
        <f>VLOOKUP($A128,'7. PGE_Efficacité'!$A$6:$AO$268,37,0)</f>
        <v>0</v>
      </c>
      <c r="AH128" s="181">
        <f>VLOOKUP($A128,'7. PGE_Efficacité'!$A$6:$AO$268,38,0)</f>
        <v>0</v>
      </c>
      <c r="AI128" s="181">
        <f>VLOOKUP($A128,'7. PGE_Efficacité'!$A$6:$AO$268,39,0)</f>
        <v>0</v>
      </c>
      <c r="AJ128" s="181">
        <f>VLOOKUP($A128,'7. PGE_Efficacité'!$A$6:$AO$268,40,0)</f>
        <v>0</v>
      </c>
      <c r="AK128" s="181">
        <f>VLOOKUP($A128,'7. PGE_Efficacité'!$A$6:$AO$268,41,0)</f>
        <v>0</v>
      </c>
    </row>
    <row r="129" spans="1:37" outlineLevel="1" x14ac:dyDescent="0.25">
      <c r="A129" s="65" t="s">
        <v>21</v>
      </c>
      <c r="B129" s="65" t="s">
        <v>728</v>
      </c>
      <c r="C129" s="65" t="s">
        <v>1386</v>
      </c>
      <c r="D129" s="65" t="s">
        <v>1521</v>
      </c>
      <c r="E129" s="65" t="s">
        <v>1290</v>
      </c>
      <c r="F129" s="77">
        <f>332500/3</f>
        <v>110833.33333333333</v>
      </c>
      <c r="G129" s="64">
        <f>VLOOKUP($B129,'7. PGE_Efficacité'!$A$6:$AO$268,11,0)</f>
        <v>0</v>
      </c>
      <c r="H129" s="64">
        <f>VLOOKUP($B129,'7. PGE_Efficacité'!$A$6:$AO$268,12,0)</f>
        <v>0</v>
      </c>
      <c r="I129" s="64">
        <f>VLOOKUP($B129,'7. PGE_Efficacité'!$A$6:$AO$268,13,0)</f>
        <v>0</v>
      </c>
      <c r="J129" s="64">
        <f>VLOOKUP($B129,'7. PGE_Efficacité'!$A$6:$AO$268,14,0)</f>
        <v>0</v>
      </c>
      <c r="K129" s="64">
        <f>VLOOKUP($B129,'7. PGE_Efficacité'!$A$6:$AO$268,15,0)</f>
        <v>0</v>
      </c>
      <c r="L129" s="64">
        <f>VLOOKUP($B129,'7. PGE_Efficacité'!$A$6:$AO$268,16,0)</f>
        <v>0</v>
      </c>
      <c r="M129" s="64">
        <f>VLOOKUP($B129,'7. PGE_Efficacité'!$A$6:$AO$268,17,0)</f>
        <v>0</v>
      </c>
      <c r="N129" s="64">
        <f>VLOOKUP($B129,'7. PGE_Efficacité'!$A$6:$AO$268,18,0)</f>
        <v>0</v>
      </c>
      <c r="O129" s="64">
        <f>VLOOKUP($B129,'7. PGE_Efficacité'!$A$6:$AO$268,19,0)</f>
        <v>0</v>
      </c>
      <c r="P129" s="64">
        <f>VLOOKUP($B129,'7. PGE_Efficacité'!$A$6:$AO$268,20,0)</f>
        <v>0</v>
      </c>
      <c r="Q129" s="64">
        <f>VLOOKUP($B129,'7. PGE_Efficacité'!$A$6:$AO$268,21,0)</f>
        <v>0</v>
      </c>
      <c r="R129" s="64">
        <f>VLOOKUP($B129,'7. PGE_Efficacité'!$A$6:$AO$268,22,0)</f>
        <v>0</v>
      </c>
      <c r="S129" s="64">
        <f>VLOOKUP($B129,'7. PGE_Efficacité'!$A$6:$AO$268,23,0)</f>
        <v>0</v>
      </c>
      <c r="T129" s="64">
        <f>VLOOKUP($B129,'7. PGE_Efficacité'!$A$6:$AO$268,24,0)</f>
        <v>0</v>
      </c>
      <c r="U129" s="64">
        <f>VLOOKUP($B129,'7. PGE_Efficacité'!$A$6:$AO$268,25,0)</f>
        <v>0</v>
      </c>
      <c r="V129" s="64">
        <f>VLOOKUP($B129,'7. PGE_Efficacité'!$A$6:$AO$268,26,0)</f>
        <v>0</v>
      </c>
      <c r="W129" s="61">
        <f>VLOOKUP($B129,'7. PGE_Efficacité'!$A$6:$AO$268,27,0)</f>
        <v>0</v>
      </c>
      <c r="X129" s="61">
        <f>VLOOKUP($B129,'7. PGE_Efficacité'!$A$6:$AO$268,28,0)</f>
        <v>0</v>
      </c>
      <c r="Y129" s="61">
        <f>VLOOKUP($B129,'7. PGE_Efficacité'!$A$6:$AO$268,29,0)</f>
        <v>0</v>
      </c>
      <c r="Z129" s="61">
        <f>VLOOKUP($B129,'7. PGE_Efficacité'!$A$6:$AO$268,30,0)</f>
        <v>0</v>
      </c>
      <c r="AA129" s="61">
        <f>VLOOKUP($B129,'7. PGE_Efficacité'!$A$6:$AO$268,31,0)</f>
        <v>0</v>
      </c>
      <c r="AB129" s="61">
        <f>VLOOKUP($B129,'7. PGE_Efficacité'!$A$6:$AO$268,32,0)</f>
        <v>0</v>
      </c>
      <c r="AC129" s="61">
        <f>VLOOKUP($B129,'7. PGE_Efficacité'!$A$6:$AO$268,33,0)</f>
        <v>0</v>
      </c>
      <c r="AD129" s="61">
        <f>VLOOKUP($B129,'7. PGE_Efficacité'!$A$6:$AO$268,34,0)</f>
        <v>0</v>
      </c>
      <c r="AE129" s="61">
        <f>VLOOKUP($B129,'7. PGE_Efficacité'!$A$6:$AO$268,35,0)</f>
        <v>0</v>
      </c>
      <c r="AF129" s="61">
        <f>VLOOKUP($B129,'7. PGE_Efficacité'!$A$6:$AO$268,36,0)</f>
        <v>0</v>
      </c>
      <c r="AG129" s="61">
        <f>VLOOKUP($B129,'7. PGE_Efficacité'!$A$6:$AO$268,37,0)</f>
        <v>0</v>
      </c>
      <c r="AH129" s="61">
        <f>VLOOKUP($B129,'7. PGE_Efficacité'!$A$6:$AO$268,38,0)</f>
        <v>0</v>
      </c>
      <c r="AI129" s="61">
        <f>VLOOKUP($B129,'7. PGE_Efficacité'!$A$6:$AO$268,39,0)</f>
        <v>0</v>
      </c>
      <c r="AJ129" s="61">
        <f>VLOOKUP($B129,'7. PGE_Efficacité'!$A$6:$AO$268,40,0)</f>
        <v>0</v>
      </c>
      <c r="AK129" s="61">
        <f>VLOOKUP($B129,'7. PGE_Efficacité'!$A$6:$AO$268,41,0)</f>
        <v>0</v>
      </c>
    </row>
    <row r="130" spans="1:37" outlineLevel="1" x14ac:dyDescent="0.25">
      <c r="A130" s="65" t="s">
        <v>21</v>
      </c>
      <c r="B130" s="65" t="s">
        <v>730</v>
      </c>
      <c r="C130" s="65" t="s">
        <v>1388</v>
      </c>
      <c r="D130" s="65" t="s">
        <v>1521</v>
      </c>
      <c r="E130" s="65" t="s">
        <v>1290</v>
      </c>
      <c r="F130" s="77">
        <f>1292000/3</f>
        <v>430666.66666666669</v>
      </c>
      <c r="G130" s="64">
        <f>VLOOKUP($B130,'7. PGE_Efficacité'!$A$6:$AO$268,11,0)</f>
        <v>0</v>
      </c>
      <c r="H130" s="64">
        <f>VLOOKUP($B130,'7. PGE_Efficacité'!$A$6:$AO$268,12,0)</f>
        <v>0</v>
      </c>
      <c r="I130" s="64">
        <f>VLOOKUP($B130,'7. PGE_Efficacité'!$A$6:$AO$268,13,0)</f>
        <v>0</v>
      </c>
      <c r="J130" s="64">
        <f>VLOOKUP($B130,'7. PGE_Efficacité'!$A$6:$AO$268,14,0)</f>
        <v>0</v>
      </c>
      <c r="K130" s="64">
        <f>VLOOKUP($B130,'7. PGE_Efficacité'!$A$6:$AO$268,15,0)</f>
        <v>0</v>
      </c>
      <c r="L130" s="64">
        <f>VLOOKUP($B130,'7. PGE_Efficacité'!$A$6:$AO$268,16,0)</f>
        <v>0</v>
      </c>
      <c r="M130" s="64">
        <f>VLOOKUP($B130,'7. PGE_Efficacité'!$A$6:$AO$268,17,0)</f>
        <v>0</v>
      </c>
      <c r="N130" s="64">
        <f>VLOOKUP($B130,'7. PGE_Efficacité'!$A$6:$AO$268,18,0)</f>
        <v>0</v>
      </c>
      <c r="O130" s="64">
        <f>VLOOKUP($B130,'7. PGE_Efficacité'!$A$6:$AO$268,19,0)</f>
        <v>0</v>
      </c>
      <c r="P130" s="64">
        <f>VLOOKUP($B130,'7. PGE_Efficacité'!$A$6:$AO$268,20,0)</f>
        <v>0</v>
      </c>
      <c r="Q130" s="64">
        <f>VLOOKUP($B130,'7. PGE_Efficacité'!$A$6:$AO$268,21,0)</f>
        <v>0</v>
      </c>
      <c r="R130" s="64">
        <f>VLOOKUP($B130,'7. PGE_Efficacité'!$A$6:$AO$268,22,0)</f>
        <v>0</v>
      </c>
      <c r="S130" s="64">
        <f>VLOOKUP($B130,'7. PGE_Efficacité'!$A$6:$AO$268,23,0)</f>
        <v>0</v>
      </c>
      <c r="T130" s="64">
        <f>VLOOKUP($B130,'7. PGE_Efficacité'!$A$6:$AO$268,24,0)</f>
        <v>0</v>
      </c>
      <c r="U130" s="64">
        <f>VLOOKUP($B130,'7. PGE_Efficacité'!$A$6:$AO$268,25,0)</f>
        <v>0</v>
      </c>
      <c r="V130" s="64">
        <f>VLOOKUP($B130,'7. PGE_Efficacité'!$A$6:$AO$268,26,0)</f>
        <v>0</v>
      </c>
      <c r="W130" s="61">
        <f>VLOOKUP($B130,'7. PGE_Efficacité'!$A$6:$AO$268,27,0)</f>
        <v>0</v>
      </c>
      <c r="X130" s="61">
        <f>VLOOKUP($B130,'7. PGE_Efficacité'!$A$6:$AO$268,28,0)</f>
        <v>0</v>
      </c>
      <c r="Y130" s="61">
        <f>VLOOKUP($B130,'7. PGE_Efficacité'!$A$6:$AO$268,29,0)</f>
        <v>0</v>
      </c>
      <c r="Z130" s="61">
        <f>VLOOKUP($B130,'7. PGE_Efficacité'!$A$6:$AO$268,30,0)</f>
        <v>0</v>
      </c>
      <c r="AA130" s="61">
        <f>VLOOKUP($B130,'7. PGE_Efficacité'!$A$6:$AO$268,31,0)</f>
        <v>0</v>
      </c>
      <c r="AB130" s="61">
        <f>VLOOKUP($B130,'7. PGE_Efficacité'!$A$6:$AO$268,32,0)</f>
        <v>0</v>
      </c>
      <c r="AC130" s="61">
        <f>VLOOKUP($B130,'7. PGE_Efficacité'!$A$6:$AO$268,33,0)</f>
        <v>0</v>
      </c>
      <c r="AD130" s="61">
        <f>VLOOKUP($B130,'7. PGE_Efficacité'!$A$6:$AO$268,34,0)</f>
        <v>0</v>
      </c>
      <c r="AE130" s="61">
        <f>VLOOKUP($B130,'7. PGE_Efficacité'!$A$6:$AO$268,35,0)</f>
        <v>0</v>
      </c>
      <c r="AF130" s="61">
        <f>VLOOKUP($B130,'7. PGE_Efficacité'!$A$6:$AO$268,36,0)</f>
        <v>0</v>
      </c>
      <c r="AG130" s="61">
        <f>VLOOKUP($B130,'7. PGE_Efficacité'!$A$6:$AO$268,37,0)</f>
        <v>0</v>
      </c>
      <c r="AH130" s="61">
        <f>VLOOKUP($B130,'7. PGE_Efficacité'!$A$6:$AO$268,38,0)</f>
        <v>0</v>
      </c>
      <c r="AI130" s="61">
        <f>VLOOKUP($B130,'7. PGE_Efficacité'!$A$6:$AO$268,39,0)</f>
        <v>0</v>
      </c>
      <c r="AJ130" s="61">
        <f>VLOOKUP($B130,'7. PGE_Efficacité'!$A$6:$AO$268,40,0)</f>
        <v>0</v>
      </c>
      <c r="AK130" s="61">
        <f>VLOOKUP($B130,'7. PGE_Efficacité'!$A$6:$AO$268,41,0)</f>
        <v>0</v>
      </c>
    </row>
    <row r="131" spans="1:37" outlineLevel="1" x14ac:dyDescent="0.25">
      <c r="A131" s="65" t="s">
        <v>21</v>
      </c>
      <c r="B131" s="65" t="s">
        <v>731</v>
      </c>
      <c r="C131" s="65" t="s">
        <v>1389</v>
      </c>
      <c r="D131" s="65" t="s">
        <v>1521</v>
      </c>
      <c r="E131" s="65" t="s">
        <v>1290</v>
      </c>
      <c r="F131" s="77">
        <f>95000/3</f>
        <v>31666.666666666668</v>
      </c>
      <c r="G131" s="64">
        <f>VLOOKUP($B131,'7. PGE_Efficacité'!$A$6:$AO$268,11,0)</f>
        <v>0</v>
      </c>
      <c r="H131" s="64">
        <f>VLOOKUP($B131,'7. PGE_Efficacité'!$A$6:$AO$268,12,0)</f>
        <v>0</v>
      </c>
      <c r="I131" s="64">
        <f>VLOOKUP($B131,'7. PGE_Efficacité'!$A$6:$AO$268,13,0)</f>
        <v>0</v>
      </c>
      <c r="J131" s="64">
        <f>VLOOKUP($B131,'7. PGE_Efficacité'!$A$6:$AO$268,14,0)</f>
        <v>0</v>
      </c>
      <c r="K131" s="64">
        <f>VLOOKUP($B131,'7. PGE_Efficacité'!$A$6:$AO$268,15,0)</f>
        <v>0</v>
      </c>
      <c r="L131" s="64">
        <f>VLOOKUP($B131,'7. PGE_Efficacité'!$A$6:$AO$268,16,0)</f>
        <v>0</v>
      </c>
      <c r="M131" s="64">
        <f>VLOOKUP($B131,'7. PGE_Efficacité'!$A$6:$AO$268,17,0)</f>
        <v>0</v>
      </c>
      <c r="N131" s="64">
        <f>VLOOKUP($B131,'7. PGE_Efficacité'!$A$6:$AO$268,18,0)</f>
        <v>0</v>
      </c>
      <c r="O131" s="64">
        <f>VLOOKUP($B131,'7. PGE_Efficacité'!$A$6:$AO$268,19,0)</f>
        <v>0</v>
      </c>
      <c r="P131" s="64">
        <f>VLOOKUP($B131,'7. PGE_Efficacité'!$A$6:$AO$268,20,0)</f>
        <v>0</v>
      </c>
      <c r="Q131" s="64">
        <f>VLOOKUP($B131,'7. PGE_Efficacité'!$A$6:$AO$268,21,0)</f>
        <v>0</v>
      </c>
      <c r="R131" s="64">
        <f>VLOOKUP($B131,'7. PGE_Efficacité'!$A$6:$AO$268,22,0)</f>
        <v>0</v>
      </c>
      <c r="S131" s="64">
        <f>VLOOKUP($B131,'7. PGE_Efficacité'!$A$6:$AO$268,23,0)</f>
        <v>0</v>
      </c>
      <c r="T131" s="64">
        <f>VLOOKUP($B131,'7. PGE_Efficacité'!$A$6:$AO$268,24,0)</f>
        <v>0</v>
      </c>
      <c r="U131" s="64">
        <f>VLOOKUP($B131,'7. PGE_Efficacité'!$A$6:$AO$268,25,0)</f>
        <v>0</v>
      </c>
      <c r="V131" s="64">
        <f>VLOOKUP($B131,'7. PGE_Efficacité'!$A$6:$AO$268,26,0)</f>
        <v>0</v>
      </c>
      <c r="W131" s="61">
        <f>VLOOKUP($B131,'7. PGE_Efficacité'!$A$6:$AO$268,27,0)</f>
        <v>0</v>
      </c>
      <c r="X131" s="61">
        <f>VLOOKUP($B131,'7. PGE_Efficacité'!$A$6:$AO$268,28,0)</f>
        <v>0</v>
      </c>
      <c r="Y131" s="61">
        <f>VLOOKUP($B131,'7. PGE_Efficacité'!$A$6:$AO$268,29,0)</f>
        <v>0</v>
      </c>
      <c r="Z131" s="61">
        <f>VLOOKUP($B131,'7. PGE_Efficacité'!$A$6:$AO$268,30,0)</f>
        <v>0</v>
      </c>
      <c r="AA131" s="61">
        <f>VLOOKUP($B131,'7. PGE_Efficacité'!$A$6:$AO$268,31,0)</f>
        <v>0</v>
      </c>
      <c r="AB131" s="61">
        <f>VLOOKUP($B131,'7. PGE_Efficacité'!$A$6:$AO$268,32,0)</f>
        <v>0</v>
      </c>
      <c r="AC131" s="61">
        <f>VLOOKUP($B131,'7. PGE_Efficacité'!$A$6:$AO$268,33,0)</f>
        <v>0</v>
      </c>
      <c r="AD131" s="61">
        <f>VLOOKUP($B131,'7. PGE_Efficacité'!$A$6:$AO$268,34,0)</f>
        <v>0</v>
      </c>
      <c r="AE131" s="61">
        <f>VLOOKUP($B131,'7. PGE_Efficacité'!$A$6:$AO$268,35,0)</f>
        <v>0</v>
      </c>
      <c r="AF131" s="61">
        <f>VLOOKUP($B131,'7. PGE_Efficacité'!$A$6:$AO$268,36,0)</f>
        <v>0</v>
      </c>
      <c r="AG131" s="61">
        <f>VLOOKUP($B131,'7. PGE_Efficacité'!$A$6:$AO$268,37,0)</f>
        <v>0</v>
      </c>
      <c r="AH131" s="61">
        <f>VLOOKUP($B131,'7. PGE_Efficacité'!$A$6:$AO$268,38,0)</f>
        <v>0</v>
      </c>
      <c r="AI131" s="61">
        <f>VLOOKUP($B131,'7. PGE_Efficacité'!$A$6:$AO$268,39,0)</f>
        <v>0</v>
      </c>
      <c r="AJ131" s="61">
        <f>VLOOKUP($B131,'7. PGE_Efficacité'!$A$6:$AO$268,40,0)</f>
        <v>0</v>
      </c>
      <c r="AK131" s="61">
        <f>VLOOKUP($B131,'7. PGE_Efficacité'!$A$6:$AO$268,41,0)</f>
        <v>0</v>
      </c>
    </row>
    <row r="132" spans="1:37" outlineLevel="1" x14ac:dyDescent="0.25">
      <c r="A132" s="65" t="s">
        <v>21</v>
      </c>
      <c r="B132" s="65" t="s">
        <v>732</v>
      </c>
      <c r="C132" s="65" t="s">
        <v>1390</v>
      </c>
      <c r="D132" s="65" t="s">
        <v>1521</v>
      </c>
      <c r="E132" s="65" t="s">
        <v>1290</v>
      </c>
      <c r="F132" s="77">
        <f>50000/3</f>
        <v>16666.666666666668</v>
      </c>
      <c r="G132" s="64">
        <f>VLOOKUP($B132,'7. PGE_Efficacité'!$A$6:$AO$268,11,0)</f>
        <v>0</v>
      </c>
      <c r="H132" s="64">
        <f>VLOOKUP($B132,'7. PGE_Efficacité'!$A$6:$AO$268,12,0)</f>
        <v>0</v>
      </c>
      <c r="I132" s="64">
        <f>VLOOKUP($B132,'7. PGE_Efficacité'!$A$6:$AO$268,13,0)</f>
        <v>0</v>
      </c>
      <c r="J132" s="64">
        <f>VLOOKUP($B132,'7. PGE_Efficacité'!$A$6:$AO$268,14,0)</f>
        <v>0</v>
      </c>
      <c r="K132" s="64">
        <f>VLOOKUP($B132,'7. PGE_Efficacité'!$A$6:$AO$268,15,0)</f>
        <v>0</v>
      </c>
      <c r="L132" s="64">
        <f>VLOOKUP($B132,'7. PGE_Efficacité'!$A$6:$AO$268,16,0)</f>
        <v>0</v>
      </c>
      <c r="M132" s="64">
        <f>VLOOKUP($B132,'7. PGE_Efficacité'!$A$6:$AO$268,17,0)</f>
        <v>0</v>
      </c>
      <c r="N132" s="64">
        <f>VLOOKUP($B132,'7. PGE_Efficacité'!$A$6:$AO$268,18,0)</f>
        <v>0</v>
      </c>
      <c r="O132" s="64">
        <f>VLOOKUP($B132,'7. PGE_Efficacité'!$A$6:$AO$268,19,0)</f>
        <v>0</v>
      </c>
      <c r="P132" s="64">
        <f>VLOOKUP($B132,'7. PGE_Efficacité'!$A$6:$AO$268,20,0)</f>
        <v>0</v>
      </c>
      <c r="Q132" s="64">
        <f>VLOOKUP($B132,'7. PGE_Efficacité'!$A$6:$AO$268,21,0)</f>
        <v>0</v>
      </c>
      <c r="R132" s="64">
        <f>VLOOKUP($B132,'7. PGE_Efficacité'!$A$6:$AO$268,22,0)</f>
        <v>0</v>
      </c>
      <c r="S132" s="64">
        <f>VLOOKUP($B132,'7. PGE_Efficacité'!$A$6:$AO$268,23,0)</f>
        <v>0</v>
      </c>
      <c r="T132" s="64">
        <f>VLOOKUP($B132,'7. PGE_Efficacité'!$A$6:$AO$268,24,0)</f>
        <v>0</v>
      </c>
      <c r="U132" s="64">
        <f>VLOOKUP($B132,'7. PGE_Efficacité'!$A$6:$AO$268,25,0)</f>
        <v>0</v>
      </c>
      <c r="V132" s="64">
        <f>VLOOKUP($B132,'7. PGE_Efficacité'!$A$6:$AO$268,26,0)</f>
        <v>0</v>
      </c>
      <c r="W132" s="61">
        <f>VLOOKUP($B132,'7. PGE_Efficacité'!$A$6:$AO$268,27,0)</f>
        <v>0</v>
      </c>
      <c r="X132" s="61">
        <f>VLOOKUP($B132,'7. PGE_Efficacité'!$A$6:$AO$268,28,0)</f>
        <v>0</v>
      </c>
      <c r="Y132" s="61">
        <f>VLOOKUP($B132,'7. PGE_Efficacité'!$A$6:$AO$268,29,0)</f>
        <v>0</v>
      </c>
      <c r="Z132" s="61">
        <f>VLOOKUP($B132,'7. PGE_Efficacité'!$A$6:$AO$268,30,0)</f>
        <v>0</v>
      </c>
      <c r="AA132" s="61">
        <f>VLOOKUP($B132,'7. PGE_Efficacité'!$A$6:$AO$268,31,0)</f>
        <v>0</v>
      </c>
      <c r="AB132" s="61">
        <f>VLOOKUP($B132,'7. PGE_Efficacité'!$A$6:$AO$268,32,0)</f>
        <v>0</v>
      </c>
      <c r="AC132" s="61">
        <f>VLOOKUP($B132,'7. PGE_Efficacité'!$A$6:$AO$268,33,0)</f>
        <v>0</v>
      </c>
      <c r="AD132" s="61">
        <f>VLOOKUP($B132,'7. PGE_Efficacité'!$A$6:$AO$268,34,0)</f>
        <v>0</v>
      </c>
      <c r="AE132" s="61">
        <f>VLOOKUP($B132,'7. PGE_Efficacité'!$A$6:$AO$268,35,0)</f>
        <v>0</v>
      </c>
      <c r="AF132" s="61">
        <f>VLOOKUP($B132,'7. PGE_Efficacité'!$A$6:$AO$268,36,0)</f>
        <v>0</v>
      </c>
      <c r="AG132" s="61">
        <f>VLOOKUP($B132,'7. PGE_Efficacité'!$A$6:$AO$268,37,0)</f>
        <v>0</v>
      </c>
      <c r="AH132" s="61">
        <f>VLOOKUP($B132,'7. PGE_Efficacité'!$A$6:$AO$268,38,0)</f>
        <v>0</v>
      </c>
      <c r="AI132" s="61">
        <f>VLOOKUP($B132,'7. PGE_Efficacité'!$A$6:$AO$268,39,0)</f>
        <v>0</v>
      </c>
      <c r="AJ132" s="61">
        <f>VLOOKUP($B132,'7. PGE_Efficacité'!$A$6:$AO$268,40,0)</f>
        <v>0</v>
      </c>
      <c r="AK132" s="61">
        <f>VLOOKUP($B132,'7. PGE_Efficacité'!$A$6:$AO$268,41,0)</f>
        <v>0</v>
      </c>
    </row>
    <row r="133" spans="1:37" outlineLevel="1" x14ac:dyDescent="0.25">
      <c r="A133" s="65" t="s">
        <v>21</v>
      </c>
      <c r="B133" s="65" t="s">
        <v>733</v>
      </c>
      <c r="C133" s="65" t="s">
        <v>1391</v>
      </c>
      <c r="D133" s="65" t="s">
        <v>1521</v>
      </c>
      <c r="E133" s="65" t="s">
        <v>1290</v>
      </c>
      <c r="F133" s="70">
        <v>0</v>
      </c>
      <c r="G133" s="64">
        <f>VLOOKUP($B133,'7. PGE_Efficacité'!$A$6:$AO$268,11,0)</f>
        <v>0</v>
      </c>
      <c r="H133" s="64">
        <f>VLOOKUP($B133,'7. PGE_Efficacité'!$A$6:$AO$268,12,0)</f>
        <v>0</v>
      </c>
      <c r="I133" s="64">
        <f>VLOOKUP($B133,'7. PGE_Efficacité'!$A$6:$AO$268,13,0)</f>
        <v>0</v>
      </c>
      <c r="J133" s="64">
        <f>VLOOKUP($B133,'7. PGE_Efficacité'!$A$6:$AO$268,14,0)</f>
        <v>0</v>
      </c>
      <c r="K133" s="64">
        <f>VLOOKUP($B133,'7. PGE_Efficacité'!$A$6:$AO$268,15,0)</f>
        <v>0</v>
      </c>
      <c r="L133" s="64">
        <f>VLOOKUP($B133,'7. PGE_Efficacité'!$A$6:$AO$268,16,0)</f>
        <v>0</v>
      </c>
      <c r="M133" s="64">
        <f>VLOOKUP($B133,'7. PGE_Efficacité'!$A$6:$AO$268,17,0)</f>
        <v>0</v>
      </c>
      <c r="N133" s="64">
        <f>VLOOKUP($B133,'7. PGE_Efficacité'!$A$6:$AO$268,18,0)</f>
        <v>0</v>
      </c>
      <c r="O133" s="64">
        <f>VLOOKUP($B133,'7. PGE_Efficacité'!$A$6:$AO$268,19,0)</f>
        <v>0</v>
      </c>
      <c r="P133" s="64">
        <f>VLOOKUP($B133,'7. PGE_Efficacité'!$A$6:$AO$268,20,0)</f>
        <v>0</v>
      </c>
      <c r="Q133" s="64">
        <f>VLOOKUP($B133,'7. PGE_Efficacité'!$A$6:$AO$268,21,0)</f>
        <v>0</v>
      </c>
      <c r="R133" s="64">
        <f>VLOOKUP($B133,'7. PGE_Efficacité'!$A$6:$AO$268,22,0)</f>
        <v>0</v>
      </c>
      <c r="S133" s="64">
        <f>VLOOKUP($B133,'7. PGE_Efficacité'!$A$6:$AO$268,23,0)</f>
        <v>0</v>
      </c>
      <c r="T133" s="64">
        <f>VLOOKUP($B133,'7. PGE_Efficacité'!$A$6:$AO$268,24,0)</f>
        <v>0</v>
      </c>
      <c r="U133" s="64">
        <f>VLOOKUP($B133,'7. PGE_Efficacité'!$A$6:$AO$268,25,0)</f>
        <v>0</v>
      </c>
      <c r="V133" s="64">
        <f>VLOOKUP($B133,'7. PGE_Efficacité'!$A$6:$AO$268,26,0)</f>
        <v>0</v>
      </c>
      <c r="W133" s="61">
        <f>VLOOKUP($B133,'7. PGE_Efficacité'!$A$6:$AO$268,27,0)</f>
        <v>0</v>
      </c>
      <c r="X133" s="61">
        <f>VLOOKUP($B133,'7. PGE_Efficacité'!$A$6:$AO$268,28,0)</f>
        <v>0</v>
      </c>
      <c r="Y133" s="61">
        <f>VLOOKUP($B133,'7. PGE_Efficacité'!$A$6:$AO$268,29,0)</f>
        <v>0</v>
      </c>
      <c r="Z133" s="61">
        <f>VLOOKUP($B133,'7. PGE_Efficacité'!$A$6:$AO$268,30,0)</f>
        <v>0</v>
      </c>
      <c r="AA133" s="61">
        <f>VLOOKUP($B133,'7. PGE_Efficacité'!$A$6:$AO$268,31,0)</f>
        <v>0</v>
      </c>
      <c r="AB133" s="61">
        <f>VLOOKUP($B133,'7. PGE_Efficacité'!$A$6:$AO$268,32,0)</f>
        <v>0</v>
      </c>
      <c r="AC133" s="61">
        <f>VLOOKUP($B133,'7. PGE_Efficacité'!$A$6:$AO$268,33,0)</f>
        <v>0</v>
      </c>
      <c r="AD133" s="61">
        <f>VLOOKUP($B133,'7. PGE_Efficacité'!$A$6:$AO$268,34,0)</f>
        <v>0</v>
      </c>
      <c r="AE133" s="61">
        <f>VLOOKUP($B133,'7. PGE_Efficacité'!$A$6:$AO$268,35,0)</f>
        <v>0</v>
      </c>
      <c r="AF133" s="61">
        <f>VLOOKUP($B133,'7. PGE_Efficacité'!$A$6:$AO$268,36,0)</f>
        <v>0</v>
      </c>
      <c r="AG133" s="61">
        <f>VLOOKUP($B133,'7. PGE_Efficacité'!$A$6:$AO$268,37,0)</f>
        <v>0</v>
      </c>
      <c r="AH133" s="61">
        <f>VLOOKUP($B133,'7. PGE_Efficacité'!$A$6:$AO$268,38,0)</f>
        <v>0</v>
      </c>
      <c r="AI133" s="61">
        <f>VLOOKUP($B133,'7. PGE_Efficacité'!$A$6:$AO$268,39,0)</f>
        <v>0</v>
      </c>
      <c r="AJ133" s="61">
        <f>VLOOKUP($B133,'7. PGE_Efficacité'!$A$6:$AO$268,40,0)</f>
        <v>0</v>
      </c>
      <c r="AK133" s="61">
        <f>VLOOKUP($B133,'7. PGE_Efficacité'!$A$6:$AO$268,41,0)</f>
        <v>0</v>
      </c>
    </row>
    <row r="134" spans="1:37" outlineLevel="1" x14ac:dyDescent="0.25">
      <c r="A134" s="65" t="s">
        <v>21</v>
      </c>
      <c r="B134" s="65" t="s">
        <v>734</v>
      </c>
      <c r="C134" s="65" t="s">
        <v>1392</v>
      </c>
      <c r="D134" s="65" t="s">
        <v>1521</v>
      </c>
      <c r="E134" s="65" t="s">
        <v>1290</v>
      </c>
      <c r="F134" s="70">
        <v>0</v>
      </c>
      <c r="G134" s="64">
        <f>VLOOKUP($B134,'7. PGE_Efficacité'!$A$6:$AO$268,11,0)</f>
        <v>0</v>
      </c>
      <c r="H134" s="64">
        <f>VLOOKUP($B134,'7. PGE_Efficacité'!$A$6:$AO$268,12,0)</f>
        <v>0</v>
      </c>
      <c r="I134" s="64">
        <f>VLOOKUP($B134,'7. PGE_Efficacité'!$A$6:$AO$268,13,0)</f>
        <v>0</v>
      </c>
      <c r="J134" s="64">
        <f>VLOOKUP($B134,'7. PGE_Efficacité'!$A$6:$AO$268,14,0)</f>
        <v>0</v>
      </c>
      <c r="K134" s="64">
        <f>VLOOKUP($B134,'7. PGE_Efficacité'!$A$6:$AO$268,15,0)</f>
        <v>0</v>
      </c>
      <c r="L134" s="64">
        <f>VLOOKUP($B134,'7. PGE_Efficacité'!$A$6:$AO$268,16,0)</f>
        <v>0</v>
      </c>
      <c r="M134" s="64">
        <f>VLOOKUP($B134,'7. PGE_Efficacité'!$A$6:$AO$268,17,0)</f>
        <v>0</v>
      </c>
      <c r="N134" s="64">
        <f>VLOOKUP($B134,'7. PGE_Efficacité'!$A$6:$AO$268,18,0)</f>
        <v>0</v>
      </c>
      <c r="O134" s="64">
        <f>VLOOKUP($B134,'7. PGE_Efficacité'!$A$6:$AO$268,19,0)</f>
        <v>0</v>
      </c>
      <c r="P134" s="64">
        <f>VLOOKUP($B134,'7. PGE_Efficacité'!$A$6:$AO$268,20,0)</f>
        <v>0</v>
      </c>
      <c r="Q134" s="64">
        <f>VLOOKUP($B134,'7. PGE_Efficacité'!$A$6:$AO$268,21,0)</f>
        <v>0</v>
      </c>
      <c r="R134" s="64">
        <f>VLOOKUP($B134,'7. PGE_Efficacité'!$A$6:$AO$268,22,0)</f>
        <v>0</v>
      </c>
      <c r="S134" s="64">
        <f>VLOOKUP($B134,'7. PGE_Efficacité'!$A$6:$AO$268,23,0)</f>
        <v>0</v>
      </c>
      <c r="T134" s="64">
        <f>VLOOKUP($B134,'7. PGE_Efficacité'!$A$6:$AO$268,24,0)</f>
        <v>0</v>
      </c>
      <c r="U134" s="64">
        <f>VLOOKUP($B134,'7. PGE_Efficacité'!$A$6:$AO$268,25,0)</f>
        <v>0</v>
      </c>
      <c r="V134" s="64">
        <f>VLOOKUP($B134,'7. PGE_Efficacité'!$A$6:$AO$268,26,0)</f>
        <v>0</v>
      </c>
      <c r="W134" s="61">
        <f>VLOOKUP($B134,'7. PGE_Efficacité'!$A$6:$AO$268,27,0)</f>
        <v>0</v>
      </c>
      <c r="X134" s="61">
        <f>VLOOKUP($B134,'7. PGE_Efficacité'!$A$6:$AO$268,28,0)</f>
        <v>0</v>
      </c>
      <c r="Y134" s="61">
        <f>VLOOKUP($B134,'7. PGE_Efficacité'!$A$6:$AO$268,29,0)</f>
        <v>0</v>
      </c>
      <c r="Z134" s="61">
        <f>VLOOKUP($B134,'7. PGE_Efficacité'!$A$6:$AO$268,30,0)</f>
        <v>0</v>
      </c>
      <c r="AA134" s="61">
        <f>VLOOKUP($B134,'7. PGE_Efficacité'!$A$6:$AO$268,31,0)</f>
        <v>0</v>
      </c>
      <c r="AB134" s="61">
        <f>VLOOKUP($B134,'7. PGE_Efficacité'!$A$6:$AO$268,32,0)</f>
        <v>0</v>
      </c>
      <c r="AC134" s="61">
        <f>VLOOKUP($B134,'7. PGE_Efficacité'!$A$6:$AO$268,33,0)</f>
        <v>0</v>
      </c>
      <c r="AD134" s="61">
        <f>VLOOKUP($B134,'7. PGE_Efficacité'!$A$6:$AO$268,34,0)</f>
        <v>0</v>
      </c>
      <c r="AE134" s="61">
        <f>VLOOKUP($B134,'7. PGE_Efficacité'!$A$6:$AO$268,35,0)</f>
        <v>0</v>
      </c>
      <c r="AF134" s="61">
        <f>VLOOKUP($B134,'7. PGE_Efficacité'!$A$6:$AO$268,36,0)</f>
        <v>0</v>
      </c>
      <c r="AG134" s="61">
        <f>VLOOKUP($B134,'7. PGE_Efficacité'!$A$6:$AO$268,37,0)</f>
        <v>0</v>
      </c>
      <c r="AH134" s="61">
        <f>VLOOKUP($B134,'7. PGE_Efficacité'!$A$6:$AO$268,38,0)</f>
        <v>0</v>
      </c>
      <c r="AI134" s="61">
        <f>VLOOKUP($B134,'7. PGE_Efficacité'!$A$6:$AO$268,39,0)</f>
        <v>0</v>
      </c>
      <c r="AJ134" s="61">
        <f>VLOOKUP($B134,'7. PGE_Efficacité'!$A$6:$AO$268,40,0)</f>
        <v>0</v>
      </c>
      <c r="AK134" s="61">
        <f>VLOOKUP($B134,'7. PGE_Efficacité'!$A$6:$AO$268,41,0)</f>
        <v>0</v>
      </c>
    </row>
    <row r="135" spans="1:37" outlineLevel="1" x14ac:dyDescent="0.25">
      <c r="A135" s="65" t="s">
        <v>21</v>
      </c>
      <c r="B135" s="65" t="s">
        <v>735</v>
      </c>
      <c r="C135" s="65" t="s">
        <v>1393</v>
      </c>
      <c r="D135" s="65" t="s">
        <v>1521</v>
      </c>
      <c r="E135" s="65" t="s">
        <v>1290</v>
      </c>
      <c r="F135" s="70">
        <v>0</v>
      </c>
      <c r="G135" s="64">
        <f>VLOOKUP($B135,'7. PGE_Efficacité'!$A$6:$AO$268,11,0)</f>
        <v>0</v>
      </c>
      <c r="H135" s="64">
        <f>VLOOKUP($B135,'7. PGE_Efficacité'!$A$6:$AO$268,12,0)</f>
        <v>0</v>
      </c>
      <c r="I135" s="64">
        <f>VLOOKUP($B135,'7. PGE_Efficacité'!$A$6:$AO$268,13,0)</f>
        <v>0</v>
      </c>
      <c r="J135" s="64">
        <f>VLOOKUP($B135,'7. PGE_Efficacité'!$A$6:$AO$268,14,0)</f>
        <v>0</v>
      </c>
      <c r="K135" s="64">
        <f>VLOOKUP($B135,'7. PGE_Efficacité'!$A$6:$AO$268,15,0)</f>
        <v>0</v>
      </c>
      <c r="L135" s="64">
        <f>VLOOKUP($B135,'7. PGE_Efficacité'!$A$6:$AO$268,16,0)</f>
        <v>0</v>
      </c>
      <c r="M135" s="64">
        <f>VLOOKUP($B135,'7. PGE_Efficacité'!$A$6:$AO$268,17,0)</f>
        <v>0</v>
      </c>
      <c r="N135" s="64">
        <f>VLOOKUP($B135,'7. PGE_Efficacité'!$A$6:$AO$268,18,0)</f>
        <v>0</v>
      </c>
      <c r="O135" s="64">
        <f>VLOOKUP($B135,'7. PGE_Efficacité'!$A$6:$AO$268,19,0)</f>
        <v>0</v>
      </c>
      <c r="P135" s="64">
        <f>VLOOKUP($B135,'7. PGE_Efficacité'!$A$6:$AO$268,20,0)</f>
        <v>0</v>
      </c>
      <c r="Q135" s="64">
        <f>VLOOKUP($B135,'7. PGE_Efficacité'!$A$6:$AO$268,21,0)</f>
        <v>0</v>
      </c>
      <c r="R135" s="64">
        <f>VLOOKUP($B135,'7. PGE_Efficacité'!$A$6:$AO$268,22,0)</f>
        <v>0</v>
      </c>
      <c r="S135" s="64">
        <f>VLOOKUP($B135,'7. PGE_Efficacité'!$A$6:$AO$268,23,0)</f>
        <v>0</v>
      </c>
      <c r="T135" s="64">
        <f>VLOOKUP($B135,'7. PGE_Efficacité'!$A$6:$AO$268,24,0)</f>
        <v>0</v>
      </c>
      <c r="U135" s="64">
        <f>VLOOKUP($B135,'7. PGE_Efficacité'!$A$6:$AO$268,25,0)</f>
        <v>0</v>
      </c>
      <c r="V135" s="64">
        <f>VLOOKUP($B135,'7. PGE_Efficacité'!$A$6:$AO$268,26,0)</f>
        <v>0</v>
      </c>
      <c r="W135" s="61">
        <f>VLOOKUP($B135,'7. PGE_Efficacité'!$A$6:$AO$268,27,0)</f>
        <v>0</v>
      </c>
      <c r="X135" s="61">
        <f>VLOOKUP($B135,'7. PGE_Efficacité'!$A$6:$AO$268,28,0)</f>
        <v>0</v>
      </c>
      <c r="Y135" s="61">
        <f>VLOOKUP($B135,'7. PGE_Efficacité'!$A$6:$AO$268,29,0)</f>
        <v>0</v>
      </c>
      <c r="Z135" s="61">
        <f>VLOOKUP($B135,'7. PGE_Efficacité'!$A$6:$AO$268,30,0)</f>
        <v>0</v>
      </c>
      <c r="AA135" s="61">
        <f>VLOOKUP($B135,'7. PGE_Efficacité'!$A$6:$AO$268,31,0)</f>
        <v>0</v>
      </c>
      <c r="AB135" s="61">
        <f>VLOOKUP($B135,'7. PGE_Efficacité'!$A$6:$AO$268,32,0)</f>
        <v>0</v>
      </c>
      <c r="AC135" s="61">
        <f>VLOOKUP($B135,'7. PGE_Efficacité'!$A$6:$AO$268,33,0)</f>
        <v>0</v>
      </c>
      <c r="AD135" s="61">
        <f>VLOOKUP($B135,'7. PGE_Efficacité'!$A$6:$AO$268,34,0)</f>
        <v>0</v>
      </c>
      <c r="AE135" s="61">
        <f>VLOOKUP($B135,'7. PGE_Efficacité'!$A$6:$AO$268,35,0)</f>
        <v>0</v>
      </c>
      <c r="AF135" s="61">
        <f>VLOOKUP($B135,'7. PGE_Efficacité'!$A$6:$AO$268,36,0)</f>
        <v>0</v>
      </c>
      <c r="AG135" s="61">
        <f>VLOOKUP($B135,'7. PGE_Efficacité'!$A$6:$AO$268,37,0)</f>
        <v>0</v>
      </c>
      <c r="AH135" s="61">
        <f>VLOOKUP($B135,'7. PGE_Efficacité'!$A$6:$AO$268,38,0)</f>
        <v>0</v>
      </c>
      <c r="AI135" s="61">
        <f>VLOOKUP($B135,'7. PGE_Efficacité'!$A$6:$AO$268,39,0)</f>
        <v>0</v>
      </c>
      <c r="AJ135" s="61">
        <f>VLOOKUP($B135,'7. PGE_Efficacité'!$A$6:$AO$268,40,0)</f>
        <v>0</v>
      </c>
      <c r="AK135" s="61">
        <f>VLOOKUP($B135,'7. PGE_Efficacité'!$A$6:$AO$268,41,0)</f>
        <v>0</v>
      </c>
    </row>
    <row r="136" spans="1:37" outlineLevel="1" x14ac:dyDescent="0.25">
      <c r="A136" s="65" t="s">
        <v>21</v>
      </c>
      <c r="B136" s="65" t="s">
        <v>736</v>
      </c>
      <c r="C136" s="65" t="s">
        <v>1394</v>
      </c>
      <c r="D136" s="65" t="s">
        <v>1521</v>
      </c>
      <c r="E136" s="65" t="s">
        <v>1290</v>
      </c>
      <c r="F136" s="70">
        <v>0</v>
      </c>
      <c r="G136" s="64">
        <f>VLOOKUP($B136,'7. PGE_Efficacité'!$A$6:$AO$268,11,0)</f>
        <v>0</v>
      </c>
      <c r="H136" s="64">
        <f>VLOOKUP($B136,'7. PGE_Efficacité'!$A$6:$AO$268,12,0)</f>
        <v>0</v>
      </c>
      <c r="I136" s="64">
        <f>VLOOKUP($B136,'7. PGE_Efficacité'!$A$6:$AO$268,13,0)</f>
        <v>0</v>
      </c>
      <c r="J136" s="64">
        <f>VLOOKUP($B136,'7. PGE_Efficacité'!$A$6:$AO$268,14,0)</f>
        <v>0</v>
      </c>
      <c r="K136" s="64">
        <f>VLOOKUP($B136,'7. PGE_Efficacité'!$A$6:$AO$268,15,0)</f>
        <v>0</v>
      </c>
      <c r="L136" s="64">
        <f>VLOOKUP($B136,'7. PGE_Efficacité'!$A$6:$AO$268,16,0)</f>
        <v>0</v>
      </c>
      <c r="M136" s="64">
        <f>VLOOKUP($B136,'7. PGE_Efficacité'!$A$6:$AO$268,17,0)</f>
        <v>0</v>
      </c>
      <c r="N136" s="64">
        <f>VLOOKUP($B136,'7. PGE_Efficacité'!$A$6:$AO$268,18,0)</f>
        <v>0</v>
      </c>
      <c r="O136" s="64">
        <f>VLOOKUP($B136,'7. PGE_Efficacité'!$A$6:$AO$268,19,0)</f>
        <v>0</v>
      </c>
      <c r="P136" s="64">
        <f>VLOOKUP($B136,'7. PGE_Efficacité'!$A$6:$AO$268,20,0)</f>
        <v>0</v>
      </c>
      <c r="Q136" s="64">
        <f>VLOOKUP($B136,'7. PGE_Efficacité'!$A$6:$AO$268,21,0)</f>
        <v>0</v>
      </c>
      <c r="R136" s="64">
        <f>VLOOKUP($B136,'7. PGE_Efficacité'!$A$6:$AO$268,22,0)</f>
        <v>0</v>
      </c>
      <c r="S136" s="64">
        <f>VLOOKUP($B136,'7. PGE_Efficacité'!$A$6:$AO$268,23,0)</f>
        <v>0</v>
      </c>
      <c r="T136" s="64">
        <f>VLOOKUP($B136,'7. PGE_Efficacité'!$A$6:$AO$268,24,0)</f>
        <v>0</v>
      </c>
      <c r="U136" s="64">
        <f>VLOOKUP($B136,'7. PGE_Efficacité'!$A$6:$AO$268,25,0)</f>
        <v>0</v>
      </c>
      <c r="V136" s="64">
        <f>VLOOKUP($B136,'7. PGE_Efficacité'!$A$6:$AO$268,26,0)</f>
        <v>0</v>
      </c>
      <c r="W136" s="61">
        <f>VLOOKUP($B136,'7. PGE_Efficacité'!$A$6:$AO$268,27,0)</f>
        <v>0</v>
      </c>
      <c r="X136" s="61">
        <f>VLOOKUP($B136,'7. PGE_Efficacité'!$A$6:$AO$268,28,0)</f>
        <v>0</v>
      </c>
      <c r="Y136" s="61">
        <f>VLOOKUP($B136,'7. PGE_Efficacité'!$A$6:$AO$268,29,0)</f>
        <v>0</v>
      </c>
      <c r="Z136" s="61">
        <f>VLOOKUP($B136,'7. PGE_Efficacité'!$A$6:$AO$268,30,0)</f>
        <v>0</v>
      </c>
      <c r="AA136" s="61">
        <f>VLOOKUP($B136,'7. PGE_Efficacité'!$A$6:$AO$268,31,0)</f>
        <v>0</v>
      </c>
      <c r="AB136" s="61">
        <f>VLOOKUP($B136,'7. PGE_Efficacité'!$A$6:$AO$268,32,0)</f>
        <v>0</v>
      </c>
      <c r="AC136" s="61">
        <f>VLOOKUP($B136,'7. PGE_Efficacité'!$A$6:$AO$268,33,0)</f>
        <v>0</v>
      </c>
      <c r="AD136" s="61">
        <f>VLOOKUP($B136,'7. PGE_Efficacité'!$A$6:$AO$268,34,0)</f>
        <v>0</v>
      </c>
      <c r="AE136" s="61">
        <f>VLOOKUP($B136,'7. PGE_Efficacité'!$A$6:$AO$268,35,0)</f>
        <v>0</v>
      </c>
      <c r="AF136" s="61">
        <f>VLOOKUP($B136,'7. PGE_Efficacité'!$A$6:$AO$268,36,0)</f>
        <v>0</v>
      </c>
      <c r="AG136" s="61">
        <f>VLOOKUP($B136,'7. PGE_Efficacité'!$A$6:$AO$268,37,0)</f>
        <v>0</v>
      </c>
      <c r="AH136" s="61">
        <f>VLOOKUP($B136,'7. PGE_Efficacité'!$A$6:$AO$268,38,0)</f>
        <v>0</v>
      </c>
      <c r="AI136" s="61">
        <f>VLOOKUP($B136,'7. PGE_Efficacité'!$A$6:$AO$268,39,0)</f>
        <v>0</v>
      </c>
      <c r="AJ136" s="61">
        <f>VLOOKUP($B136,'7. PGE_Efficacité'!$A$6:$AO$268,40,0)</f>
        <v>0</v>
      </c>
      <c r="AK136" s="61">
        <f>VLOOKUP($B136,'7. PGE_Efficacité'!$A$6:$AO$268,41,0)</f>
        <v>0</v>
      </c>
    </row>
    <row r="137" spans="1:37" outlineLevel="1" x14ac:dyDescent="0.25">
      <c r="A137" s="65" t="s">
        <v>21</v>
      </c>
      <c r="B137" s="65" t="s">
        <v>737</v>
      </c>
      <c r="C137" s="65" t="s">
        <v>1395</v>
      </c>
      <c r="D137" s="65" t="s">
        <v>1521</v>
      </c>
      <c r="E137" s="65" t="s">
        <v>1290</v>
      </c>
      <c r="F137" s="70">
        <v>0</v>
      </c>
      <c r="G137" s="64">
        <f>VLOOKUP($B137,'7. PGE_Efficacité'!$A$6:$AO$268,11,0)</f>
        <v>0</v>
      </c>
      <c r="H137" s="64">
        <f>VLOOKUP($B137,'7. PGE_Efficacité'!$A$6:$AO$268,12,0)</f>
        <v>0</v>
      </c>
      <c r="I137" s="64">
        <f>VLOOKUP($B137,'7. PGE_Efficacité'!$A$6:$AO$268,13,0)</f>
        <v>0</v>
      </c>
      <c r="J137" s="64">
        <f>VLOOKUP($B137,'7. PGE_Efficacité'!$A$6:$AO$268,14,0)</f>
        <v>0</v>
      </c>
      <c r="K137" s="64">
        <f>VLOOKUP($B137,'7. PGE_Efficacité'!$A$6:$AO$268,15,0)</f>
        <v>0</v>
      </c>
      <c r="L137" s="64">
        <f>VLOOKUP($B137,'7. PGE_Efficacité'!$A$6:$AO$268,16,0)</f>
        <v>0</v>
      </c>
      <c r="M137" s="64">
        <f>VLOOKUP($B137,'7. PGE_Efficacité'!$A$6:$AO$268,17,0)</f>
        <v>0</v>
      </c>
      <c r="N137" s="64">
        <f>VLOOKUP($B137,'7. PGE_Efficacité'!$A$6:$AO$268,18,0)</f>
        <v>0</v>
      </c>
      <c r="O137" s="64">
        <f>VLOOKUP($B137,'7. PGE_Efficacité'!$A$6:$AO$268,19,0)</f>
        <v>0</v>
      </c>
      <c r="P137" s="64">
        <f>VLOOKUP($B137,'7. PGE_Efficacité'!$A$6:$AO$268,20,0)</f>
        <v>0</v>
      </c>
      <c r="Q137" s="64">
        <f>VLOOKUP($B137,'7. PGE_Efficacité'!$A$6:$AO$268,21,0)</f>
        <v>0</v>
      </c>
      <c r="R137" s="64">
        <f>VLOOKUP($B137,'7. PGE_Efficacité'!$A$6:$AO$268,22,0)</f>
        <v>0</v>
      </c>
      <c r="S137" s="64">
        <f>VLOOKUP($B137,'7. PGE_Efficacité'!$A$6:$AO$268,23,0)</f>
        <v>0</v>
      </c>
      <c r="T137" s="64">
        <f>VLOOKUP($B137,'7. PGE_Efficacité'!$A$6:$AO$268,24,0)</f>
        <v>0</v>
      </c>
      <c r="U137" s="64">
        <f>VLOOKUP($B137,'7. PGE_Efficacité'!$A$6:$AO$268,25,0)</f>
        <v>0</v>
      </c>
      <c r="V137" s="64">
        <f>VLOOKUP($B137,'7. PGE_Efficacité'!$A$6:$AO$268,26,0)</f>
        <v>0</v>
      </c>
      <c r="W137" s="61">
        <f>VLOOKUP($B137,'7. PGE_Efficacité'!$A$6:$AO$268,27,0)</f>
        <v>0</v>
      </c>
      <c r="X137" s="61">
        <f>VLOOKUP($B137,'7. PGE_Efficacité'!$A$6:$AO$268,28,0)</f>
        <v>0</v>
      </c>
      <c r="Y137" s="61">
        <f>VLOOKUP($B137,'7. PGE_Efficacité'!$A$6:$AO$268,29,0)</f>
        <v>0</v>
      </c>
      <c r="Z137" s="61">
        <f>VLOOKUP($B137,'7. PGE_Efficacité'!$A$6:$AO$268,30,0)</f>
        <v>0</v>
      </c>
      <c r="AA137" s="61">
        <f>VLOOKUP($B137,'7. PGE_Efficacité'!$A$6:$AO$268,31,0)</f>
        <v>0</v>
      </c>
      <c r="AB137" s="61">
        <f>VLOOKUP($B137,'7. PGE_Efficacité'!$A$6:$AO$268,32,0)</f>
        <v>0</v>
      </c>
      <c r="AC137" s="61">
        <f>VLOOKUP($B137,'7. PGE_Efficacité'!$A$6:$AO$268,33,0)</f>
        <v>0</v>
      </c>
      <c r="AD137" s="61">
        <f>VLOOKUP($B137,'7. PGE_Efficacité'!$A$6:$AO$268,34,0)</f>
        <v>0</v>
      </c>
      <c r="AE137" s="61">
        <f>VLOOKUP($B137,'7. PGE_Efficacité'!$A$6:$AO$268,35,0)</f>
        <v>0</v>
      </c>
      <c r="AF137" s="61">
        <f>VLOOKUP($B137,'7. PGE_Efficacité'!$A$6:$AO$268,36,0)</f>
        <v>0</v>
      </c>
      <c r="AG137" s="61">
        <f>VLOOKUP($B137,'7. PGE_Efficacité'!$A$6:$AO$268,37,0)</f>
        <v>0</v>
      </c>
      <c r="AH137" s="61">
        <f>VLOOKUP($B137,'7. PGE_Efficacité'!$A$6:$AO$268,38,0)</f>
        <v>0</v>
      </c>
      <c r="AI137" s="61">
        <f>VLOOKUP($B137,'7. PGE_Efficacité'!$A$6:$AO$268,39,0)</f>
        <v>0</v>
      </c>
      <c r="AJ137" s="61">
        <f>VLOOKUP($B137,'7. PGE_Efficacité'!$A$6:$AO$268,40,0)</f>
        <v>0</v>
      </c>
      <c r="AK137" s="61">
        <f>VLOOKUP($B137,'7. PGE_Efficacité'!$A$6:$AO$268,41,0)</f>
        <v>0</v>
      </c>
    </row>
    <row r="138" spans="1:37" outlineLevel="1" x14ac:dyDescent="0.25">
      <c r="A138" s="65" t="s">
        <v>21</v>
      </c>
      <c r="B138" s="65" t="s">
        <v>729</v>
      </c>
      <c r="C138" s="65" t="s">
        <v>1387</v>
      </c>
      <c r="D138" s="65" t="s">
        <v>1521</v>
      </c>
      <c r="E138" s="65" t="s">
        <v>1290</v>
      </c>
      <c r="F138" s="70">
        <v>0</v>
      </c>
      <c r="G138" s="64">
        <f>VLOOKUP($B138,'7. PGE_Efficacité'!$A$6:$AO$268,11,0)</f>
        <v>0</v>
      </c>
      <c r="H138" s="64">
        <f>VLOOKUP($B138,'7. PGE_Efficacité'!$A$6:$AO$268,12,0)</f>
        <v>0</v>
      </c>
      <c r="I138" s="64">
        <f>VLOOKUP($B138,'7. PGE_Efficacité'!$A$6:$AO$268,13,0)</f>
        <v>0</v>
      </c>
      <c r="J138" s="64">
        <f>VLOOKUP($B138,'7. PGE_Efficacité'!$A$6:$AO$268,14,0)</f>
        <v>0</v>
      </c>
      <c r="K138" s="64">
        <f>VLOOKUP($B138,'7. PGE_Efficacité'!$A$6:$AO$268,15,0)</f>
        <v>0</v>
      </c>
      <c r="L138" s="64">
        <f>VLOOKUP($B138,'7. PGE_Efficacité'!$A$6:$AO$268,16,0)</f>
        <v>0</v>
      </c>
      <c r="M138" s="64">
        <f>VLOOKUP($B138,'7. PGE_Efficacité'!$A$6:$AO$268,17,0)</f>
        <v>0</v>
      </c>
      <c r="N138" s="64">
        <f>VLOOKUP($B138,'7. PGE_Efficacité'!$A$6:$AO$268,18,0)</f>
        <v>0</v>
      </c>
      <c r="O138" s="64">
        <f>VLOOKUP($B138,'7. PGE_Efficacité'!$A$6:$AO$268,19,0)</f>
        <v>0</v>
      </c>
      <c r="P138" s="64">
        <f>VLOOKUP($B138,'7. PGE_Efficacité'!$A$6:$AO$268,20,0)</f>
        <v>0</v>
      </c>
      <c r="Q138" s="64">
        <f>VLOOKUP($B138,'7. PGE_Efficacité'!$A$6:$AO$268,21,0)</f>
        <v>0</v>
      </c>
      <c r="R138" s="64">
        <f>VLOOKUP($B138,'7. PGE_Efficacité'!$A$6:$AO$268,22,0)</f>
        <v>0</v>
      </c>
      <c r="S138" s="64">
        <f>VLOOKUP($B138,'7. PGE_Efficacité'!$A$6:$AO$268,23,0)</f>
        <v>0</v>
      </c>
      <c r="T138" s="64">
        <f>VLOOKUP($B138,'7. PGE_Efficacité'!$A$6:$AO$268,24,0)</f>
        <v>0</v>
      </c>
      <c r="U138" s="64">
        <f>VLOOKUP($B138,'7. PGE_Efficacité'!$A$6:$AO$268,25,0)</f>
        <v>0</v>
      </c>
      <c r="V138" s="64">
        <f>VLOOKUP($B138,'7. PGE_Efficacité'!$A$6:$AO$268,26,0)</f>
        <v>0</v>
      </c>
      <c r="W138" s="61">
        <f>VLOOKUP($B138,'7. PGE_Efficacité'!$A$6:$AO$268,27,0)</f>
        <v>0</v>
      </c>
      <c r="X138" s="61">
        <f>VLOOKUP($B138,'7. PGE_Efficacité'!$A$6:$AO$268,28,0)</f>
        <v>0</v>
      </c>
      <c r="Y138" s="61">
        <f>VLOOKUP($B138,'7. PGE_Efficacité'!$A$6:$AO$268,29,0)</f>
        <v>0</v>
      </c>
      <c r="Z138" s="61">
        <f>VLOOKUP($B138,'7. PGE_Efficacité'!$A$6:$AO$268,30,0)</f>
        <v>0</v>
      </c>
      <c r="AA138" s="61">
        <f>VLOOKUP($B138,'7. PGE_Efficacité'!$A$6:$AO$268,31,0)</f>
        <v>0</v>
      </c>
      <c r="AB138" s="61">
        <f>VLOOKUP($B138,'7. PGE_Efficacité'!$A$6:$AO$268,32,0)</f>
        <v>0</v>
      </c>
      <c r="AC138" s="61">
        <f>VLOOKUP($B138,'7. PGE_Efficacité'!$A$6:$AO$268,33,0)</f>
        <v>0</v>
      </c>
      <c r="AD138" s="61">
        <f>VLOOKUP($B138,'7. PGE_Efficacité'!$A$6:$AO$268,34,0)</f>
        <v>0</v>
      </c>
      <c r="AE138" s="61">
        <f>VLOOKUP($B138,'7. PGE_Efficacité'!$A$6:$AO$268,35,0)</f>
        <v>0</v>
      </c>
      <c r="AF138" s="61">
        <f>VLOOKUP($B138,'7. PGE_Efficacité'!$A$6:$AO$268,36,0)</f>
        <v>0</v>
      </c>
      <c r="AG138" s="61">
        <f>VLOOKUP($B138,'7. PGE_Efficacité'!$A$6:$AO$268,37,0)</f>
        <v>0</v>
      </c>
      <c r="AH138" s="61">
        <f>VLOOKUP($B138,'7. PGE_Efficacité'!$A$6:$AO$268,38,0)</f>
        <v>0</v>
      </c>
      <c r="AI138" s="61">
        <f>VLOOKUP($B138,'7. PGE_Efficacité'!$A$6:$AO$268,39,0)</f>
        <v>0</v>
      </c>
      <c r="AJ138" s="61">
        <f>VLOOKUP($B138,'7. PGE_Efficacité'!$A$6:$AO$268,40,0)</f>
        <v>0</v>
      </c>
      <c r="AK138" s="61">
        <f>VLOOKUP($B138,'7. PGE_Efficacité'!$A$6:$AO$268,41,0)</f>
        <v>0</v>
      </c>
    </row>
    <row r="139" spans="1:37" ht="26.25" x14ac:dyDescent="0.25">
      <c r="A139" s="157" t="s">
        <v>22</v>
      </c>
      <c r="B139" s="63"/>
      <c r="C139" s="156" t="s">
        <v>220</v>
      </c>
      <c r="D139" s="63"/>
      <c r="E139" s="63"/>
      <c r="F139" s="72">
        <f>SUM(F140:F149)</f>
        <v>1070000</v>
      </c>
      <c r="G139" s="178">
        <f>VLOOKUP($A139,'7. PGE_Efficacité'!$A$6:$AO$268,11,0)</f>
        <v>0</v>
      </c>
      <c r="H139" s="178">
        <f>VLOOKUP($A139,'7. PGE_Efficacité'!$A$6:$AO$268,12,0)</f>
        <v>0</v>
      </c>
      <c r="I139" s="178">
        <f>VLOOKUP($A139,'7. PGE_Efficacité'!$A$6:$AO$268,13,0)</f>
        <v>0</v>
      </c>
      <c r="J139" s="178">
        <f>VLOOKUP($A139,'7. PGE_Efficacité'!$A$6:$AO$268,14,0)</f>
        <v>0</v>
      </c>
      <c r="K139" s="178">
        <f>VLOOKUP($A139,'7. PGE_Efficacité'!$A$6:$AO$268,15,0)</f>
        <v>0</v>
      </c>
      <c r="L139" s="178">
        <f>VLOOKUP($A139,'7. PGE_Efficacité'!$A$6:$AO$268,16,0)</f>
        <v>0</v>
      </c>
      <c r="M139" s="178">
        <f>VLOOKUP($A139,'7. PGE_Efficacité'!$A$6:$AO$268,17,0)</f>
        <v>0</v>
      </c>
      <c r="N139" s="178">
        <f>VLOOKUP($A139,'7. PGE_Efficacité'!$A$6:$AO$268,18,0)</f>
        <v>0</v>
      </c>
      <c r="O139" s="178">
        <f>VLOOKUP($A139,'7. PGE_Efficacité'!$A$6:$AO$268,19,0)</f>
        <v>0</v>
      </c>
      <c r="P139" s="178">
        <f>VLOOKUP($A139,'7. PGE_Efficacité'!$A$6:$AO$268,20,0)</f>
        <v>0</v>
      </c>
      <c r="Q139" s="178">
        <f>VLOOKUP($A139,'7. PGE_Efficacité'!$A$6:$AO$268,21,0)</f>
        <v>0</v>
      </c>
      <c r="R139" s="178">
        <f>VLOOKUP($A139,'7. PGE_Efficacité'!$A$6:$AO$268,22,0)</f>
        <v>0</v>
      </c>
      <c r="S139" s="178">
        <f>VLOOKUP($A139,'7. PGE_Efficacité'!$A$6:$AO$268,23,0)</f>
        <v>0</v>
      </c>
      <c r="T139" s="178">
        <f>VLOOKUP($A139,'7. PGE_Efficacité'!$A$6:$AO$268,24,0)</f>
        <v>0</v>
      </c>
      <c r="U139" s="178">
        <f>VLOOKUP($A139,'7. PGE_Efficacité'!$A$6:$AO$268,25,0)</f>
        <v>0</v>
      </c>
      <c r="V139" s="178">
        <f>VLOOKUP($A139,'7. PGE_Efficacité'!$A$6:$AO$268,26,0)</f>
        <v>0</v>
      </c>
      <c r="W139" s="179">
        <f>VLOOKUP($A139,'7. PGE_Efficacité'!$A$6:$AO$268,27,0)</f>
        <v>0</v>
      </c>
      <c r="X139" s="179">
        <f>VLOOKUP($A139,'7. PGE_Efficacité'!$A$6:$AO$268,28,0)</f>
        <v>0</v>
      </c>
      <c r="Y139" s="179">
        <f>VLOOKUP($A139,'7. PGE_Efficacité'!$A$6:$AO$268,29,0)</f>
        <v>0</v>
      </c>
      <c r="Z139" s="179">
        <f>VLOOKUP($A139,'7. PGE_Efficacité'!$A$6:$AO$268,30,0)</f>
        <v>0</v>
      </c>
      <c r="AA139" s="179">
        <f>VLOOKUP($A139,'7. PGE_Efficacité'!$A$6:$AO$268,31,0)</f>
        <v>0</v>
      </c>
      <c r="AB139" s="179">
        <f>VLOOKUP($A139,'7. PGE_Efficacité'!$A$6:$AO$268,32,0)</f>
        <v>0</v>
      </c>
      <c r="AC139" s="179">
        <f>VLOOKUP($A139,'7. PGE_Efficacité'!$A$6:$AO$268,33,0)</f>
        <v>0</v>
      </c>
      <c r="AD139" s="179">
        <f>VLOOKUP($A139,'7. PGE_Efficacité'!$A$6:$AO$268,34,0)</f>
        <v>0</v>
      </c>
      <c r="AE139" s="179">
        <f>VLOOKUP($A139,'7. PGE_Efficacité'!$A$6:$AO$268,35,0)</f>
        <v>0</v>
      </c>
      <c r="AF139" s="179">
        <f>VLOOKUP($A139,'7. PGE_Efficacité'!$A$6:$AO$268,36,0)</f>
        <v>0</v>
      </c>
      <c r="AG139" s="179">
        <f>VLOOKUP($A139,'7. PGE_Efficacité'!$A$6:$AO$268,37,0)</f>
        <v>0</v>
      </c>
      <c r="AH139" s="179">
        <f>VLOOKUP($A139,'7. PGE_Efficacité'!$A$6:$AO$268,38,0)</f>
        <v>0</v>
      </c>
      <c r="AI139" s="179">
        <f>VLOOKUP($A139,'7. PGE_Efficacité'!$A$6:$AO$268,39,0)</f>
        <v>0</v>
      </c>
      <c r="AJ139" s="179">
        <f>VLOOKUP($A139,'7. PGE_Efficacité'!$A$6:$AO$268,40,0)</f>
        <v>0</v>
      </c>
      <c r="AK139" s="179">
        <f>VLOOKUP($A139,'7. PGE_Efficacité'!$A$6:$AO$268,41,0)</f>
        <v>0</v>
      </c>
    </row>
    <row r="140" spans="1:37" outlineLevel="1" x14ac:dyDescent="0.25">
      <c r="A140" s="65" t="s">
        <v>22</v>
      </c>
      <c r="B140" s="65" t="s">
        <v>738</v>
      </c>
      <c r="C140" s="65" t="s">
        <v>1396</v>
      </c>
      <c r="D140" s="65" t="s">
        <v>1521</v>
      </c>
      <c r="E140" s="65" t="s">
        <v>1290</v>
      </c>
      <c r="F140" s="77">
        <f>2000000/3</f>
        <v>666666.66666666663</v>
      </c>
      <c r="G140" s="64">
        <f>VLOOKUP($B140,'7. PGE_Efficacité'!$A$6:$AO$268,11,0)</f>
        <v>0</v>
      </c>
      <c r="H140" s="64">
        <f>VLOOKUP($B140,'7. PGE_Efficacité'!$A$6:$AO$268,12,0)</f>
        <v>0</v>
      </c>
      <c r="I140" s="64">
        <f>VLOOKUP($B140,'7. PGE_Efficacité'!$A$6:$AO$268,13,0)</f>
        <v>0</v>
      </c>
      <c r="J140" s="64">
        <f>VLOOKUP($B140,'7. PGE_Efficacité'!$A$6:$AO$268,14,0)</f>
        <v>0</v>
      </c>
      <c r="K140" s="64">
        <f>VLOOKUP($B140,'7. PGE_Efficacité'!$A$6:$AO$268,15,0)</f>
        <v>0</v>
      </c>
      <c r="L140" s="64">
        <f>VLOOKUP($B140,'7. PGE_Efficacité'!$A$6:$AO$268,16,0)</f>
        <v>0</v>
      </c>
      <c r="M140" s="64">
        <f>VLOOKUP($B140,'7. PGE_Efficacité'!$A$6:$AO$268,17,0)</f>
        <v>0</v>
      </c>
      <c r="N140" s="64">
        <f>VLOOKUP($B140,'7. PGE_Efficacité'!$A$6:$AO$268,18,0)</f>
        <v>0</v>
      </c>
      <c r="O140" s="64">
        <f>VLOOKUP($B140,'7. PGE_Efficacité'!$A$6:$AO$268,19,0)</f>
        <v>0</v>
      </c>
      <c r="P140" s="64">
        <f>VLOOKUP($B140,'7. PGE_Efficacité'!$A$6:$AO$268,20,0)</f>
        <v>0</v>
      </c>
      <c r="Q140" s="64">
        <f>VLOOKUP($B140,'7. PGE_Efficacité'!$A$6:$AO$268,21,0)</f>
        <v>0</v>
      </c>
      <c r="R140" s="64">
        <f>VLOOKUP($B140,'7. PGE_Efficacité'!$A$6:$AO$268,22,0)</f>
        <v>0</v>
      </c>
      <c r="S140" s="64">
        <f>VLOOKUP($B140,'7. PGE_Efficacité'!$A$6:$AO$268,23,0)</f>
        <v>0</v>
      </c>
      <c r="T140" s="64">
        <f>VLOOKUP($B140,'7. PGE_Efficacité'!$A$6:$AO$268,24,0)</f>
        <v>0</v>
      </c>
      <c r="U140" s="64">
        <f>VLOOKUP($B140,'7. PGE_Efficacité'!$A$6:$AO$268,25,0)</f>
        <v>0</v>
      </c>
      <c r="V140" s="64">
        <f>VLOOKUP($B140,'7. PGE_Efficacité'!$A$6:$AO$268,26,0)</f>
        <v>0</v>
      </c>
      <c r="W140" s="61">
        <f>VLOOKUP($B140,'7. PGE_Efficacité'!$A$6:$AO$268,27,0)</f>
        <v>0</v>
      </c>
      <c r="X140" s="61">
        <f>VLOOKUP($B140,'7. PGE_Efficacité'!$A$6:$AO$268,28,0)</f>
        <v>0</v>
      </c>
      <c r="Y140" s="61">
        <f>VLOOKUP($B140,'7. PGE_Efficacité'!$A$6:$AO$268,29,0)</f>
        <v>0</v>
      </c>
      <c r="Z140" s="61">
        <f>VLOOKUP($B140,'7. PGE_Efficacité'!$A$6:$AO$268,30,0)</f>
        <v>0</v>
      </c>
      <c r="AA140" s="61">
        <f>VLOOKUP($B140,'7. PGE_Efficacité'!$A$6:$AO$268,31,0)</f>
        <v>0</v>
      </c>
      <c r="AB140" s="61">
        <f>VLOOKUP($B140,'7. PGE_Efficacité'!$A$6:$AO$268,32,0)</f>
        <v>0</v>
      </c>
      <c r="AC140" s="61">
        <f>VLOOKUP($B140,'7. PGE_Efficacité'!$A$6:$AO$268,33,0)</f>
        <v>0</v>
      </c>
      <c r="AD140" s="61">
        <f>VLOOKUP($B140,'7. PGE_Efficacité'!$A$6:$AO$268,34,0)</f>
        <v>0</v>
      </c>
      <c r="AE140" s="61">
        <f>VLOOKUP($B140,'7. PGE_Efficacité'!$A$6:$AO$268,35,0)</f>
        <v>0</v>
      </c>
      <c r="AF140" s="61">
        <f>VLOOKUP($B140,'7. PGE_Efficacité'!$A$6:$AO$268,36,0)</f>
        <v>0</v>
      </c>
      <c r="AG140" s="61">
        <f>VLOOKUP($B140,'7. PGE_Efficacité'!$A$6:$AO$268,37,0)</f>
        <v>0</v>
      </c>
      <c r="AH140" s="61">
        <f>VLOOKUP($B140,'7. PGE_Efficacité'!$A$6:$AO$268,38,0)</f>
        <v>0</v>
      </c>
      <c r="AI140" s="61">
        <f>VLOOKUP($B140,'7. PGE_Efficacité'!$A$6:$AO$268,39,0)</f>
        <v>0</v>
      </c>
      <c r="AJ140" s="61">
        <f>VLOOKUP($B140,'7. PGE_Efficacité'!$A$6:$AO$268,40,0)</f>
        <v>0</v>
      </c>
      <c r="AK140" s="61">
        <f>VLOOKUP($B140,'7. PGE_Efficacité'!$A$6:$AO$268,41,0)</f>
        <v>0</v>
      </c>
    </row>
    <row r="141" spans="1:37" outlineLevel="1" x14ac:dyDescent="0.25">
      <c r="A141" s="65" t="s">
        <v>22</v>
      </c>
      <c r="B141" s="65" t="s">
        <v>742</v>
      </c>
      <c r="C141" s="65" t="s">
        <v>1399</v>
      </c>
      <c r="D141" s="65" t="s">
        <v>1521</v>
      </c>
      <c r="E141" s="65" t="s">
        <v>1290</v>
      </c>
      <c r="F141" s="77">
        <f>335000/3</f>
        <v>111666.66666666667</v>
      </c>
      <c r="G141" s="64">
        <f>VLOOKUP($B141,'7. PGE_Efficacité'!$A$6:$AO$268,11,0)</f>
        <v>0</v>
      </c>
      <c r="H141" s="64">
        <f>VLOOKUP($B141,'7. PGE_Efficacité'!$A$6:$AO$268,12,0)</f>
        <v>0</v>
      </c>
      <c r="I141" s="64">
        <f>VLOOKUP($B141,'7. PGE_Efficacité'!$A$6:$AO$268,13,0)</f>
        <v>0</v>
      </c>
      <c r="J141" s="64">
        <f>VLOOKUP($B141,'7. PGE_Efficacité'!$A$6:$AO$268,14,0)</f>
        <v>0</v>
      </c>
      <c r="K141" s="64">
        <f>VLOOKUP($B141,'7. PGE_Efficacité'!$A$6:$AO$268,15,0)</f>
        <v>0</v>
      </c>
      <c r="L141" s="64">
        <f>VLOOKUP($B141,'7. PGE_Efficacité'!$A$6:$AO$268,16,0)</f>
        <v>0</v>
      </c>
      <c r="M141" s="64">
        <f>VLOOKUP($B141,'7. PGE_Efficacité'!$A$6:$AO$268,17,0)</f>
        <v>0</v>
      </c>
      <c r="N141" s="64">
        <f>VLOOKUP($B141,'7. PGE_Efficacité'!$A$6:$AO$268,18,0)</f>
        <v>0</v>
      </c>
      <c r="O141" s="64">
        <f>VLOOKUP($B141,'7. PGE_Efficacité'!$A$6:$AO$268,19,0)</f>
        <v>0</v>
      </c>
      <c r="P141" s="64">
        <f>VLOOKUP($B141,'7. PGE_Efficacité'!$A$6:$AO$268,20,0)</f>
        <v>0</v>
      </c>
      <c r="Q141" s="64">
        <f>VLOOKUP($B141,'7. PGE_Efficacité'!$A$6:$AO$268,21,0)</f>
        <v>0</v>
      </c>
      <c r="R141" s="64">
        <f>VLOOKUP($B141,'7. PGE_Efficacité'!$A$6:$AO$268,22,0)</f>
        <v>0</v>
      </c>
      <c r="S141" s="64">
        <f>VLOOKUP($B141,'7. PGE_Efficacité'!$A$6:$AO$268,23,0)</f>
        <v>0</v>
      </c>
      <c r="T141" s="64">
        <f>VLOOKUP($B141,'7. PGE_Efficacité'!$A$6:$AO$268,24,0)</f>
        <v>0</v>
      </c>
      <c r="U141" s="64">
        <f>VLOOKUP($B141,'7. PGE_Efficacité'!$A$6:$AO$268,25,0)</f>
        <v>0</v>
      </c>
      <c r="V141" s="64">
        <f>VLOOKUP($B141,'7. PGE_Efficacité'!$A$6:$AO$268,26,0)</f>
        <v>0</v>
      </c>
      <c r="W141" s="61">
        <f>VLOOKUP($B141,'7. PGE_Efficacité'!$A$6:$AO$268,27,0)</f>
        <v>0</v>
      </c>
      <c r="X141" s="61">
        <f>VLOOKUP($B141,'7. PGE_Efficacité'!$A$6:$AO$268,28,0)</f>
        <v>0</v>
      </c>
      <c r="Y141" s="61">
        <f>VLOOKUP($B141,'7. PGE_Efficacité'!$A$6:$AO$268,29,0)</f>
        <v>0</v>
      </c>
      <c r="Z141" s="61">
        <f>VLOOKUP($B141,'7. PGE_Efficacité'!$A$6:$AO$268,30,0)</f>
        <v>0</v>
      </c>
      <c r="AA141" s="61">
        <f>VLOOKUP($B141,'7. PGE_Efficacité'!$A$6:$AO$268,31,0)</f>
        <v>0</v>
      </c>
      <c r="AB141" s="61">
        <f>VLOOKUP($B141,'7. PGE_Efficacité'!$A$6:$AO$268,32,0)</f>
        <v>0</v>
      </c>
      <c r="AC141" s="61">
        <f>VLOOKUP($B141,'7. PGE_Efficacité'!$A$6:$AO$268,33,0)</f>
        <v>0</v>
      </c>
      <c r="AD141" s="61">
        <f>VLOOKUP($B141,'7. PGE_Efficacité'!$A$6:$AO$268,34,0)</f>
        <v>0</v>
      </c>
      <c r="AE141" s="61">
        <f>VLOOKUP($B141,'7. PGE_Efficacité'!$A$6:$AO$268,35,0)</f>
        <v>0</v>
      </c>
      <c r="AF141" s="61">
        <f>VLOOKUP($B141,'7. PGE_Efficacité'!$A$6:$AO$268,36,0)</f>
        <v>0</v>
      </c>
      <c r="AG141" s="61">
        <f>VLOOKUP($B141,'7. PGE_Efficacité'!$A$6:$AO$268,37,0)</f>
        <v>0</v>
      </c>
      <c r="AH141" s="61">
        <f>VLOOKUP($B141,'7. PGE_Efficacité'!$A$6:$AO$268,38,0)</f>
        <v>0</v>
      </c>
      <c r="AI141" s="61">
        <f>VLOOKUP($B141,'7. PGE_Efficacité'!$A$6:$AO$268,39,0)</f>
        <v>0</v>
      </c>
      <c r="AJ141" s="61">
        <f>VLOOKUP($B141,'7. PGE_Efficacité'!$A$6:$AO$268,40,0)</f>
        <v>0</v>
      </c>
      <c r="AK141" s="61">
        <f>VLOOKUP($B141,'7. PGE_Efficacité'!$A$6:$AO$268,41,0)</f>
        <v>0</v>
      </c>
    </row>
    <row r="142" spans="1:37" outlineLevel="1" x14ac:dyDescent="0.25">
      <c r="A142" s="65" t="s">
        <v>22</v>
      </c>
      <c r="B142" s="65" t="s">
        <v>743</v>
      </c>
      <c r="C142" s="65" t="s">
        <v>1400</v>
      </c>
      <c r="D142" s="65" t="s">
        <v>1521</v>
      </c>
      <c r="E142" s="65" t="s">
        <v>1287</v>
      </c>
      <c r="F142" s="77">
        <f>280000/2</f>
        <v>140000</v>
      </c>
      <c r="G142" s="64">
        <f>VLOOKUP($B142,'7. PGE_Efficacité'!$A$6:$AO$268,11,0)</f>
        <v>0</v>
      </c>
      <c r="H142" s="64">
        <f>VLOOKUP($B142,'7. PGE_Efficacité'!$A$6:$AO$268,12,0)</f>
        <v>0</v>
      </c>
      <c r="I142" s="64">
        <f>VLOOKUP($B142,'7. PGE_Efficacité'!$A$6:$AO$268,13,0)</f>
        <v>0</v>
      </c>
      <c r="J142" s="64">
        <f>VLOOKUP($B142,'7. PGE_Efficacité'!$A$6:$AO$268,14,0)</f>
        <v>0</v>
      </c>
      <c r="K142" s="64">
        <f>VLOOKUP($B142,'7. PGE_Efficacité'!$A$6:$AO$268,15,0)</f>
        <v>0</v>
      </c>
      <c r="L142" s="64">
        <f>VLOOKUP($B142,'7. PGE_Efficacité'!$A$6:$AO$268,16,0)</f>
        <v>0</v>
      </c>
      <c r="M142" s="64">
        <f>VLOOKUP($B142,'7. PGE_Efficacité'!$A$6:$AO$268,17,0)</f>
        <v>0</v>
      </c>
      <c r="N142" s="64">
        <f>VLOOKUP($B142,'7. PGE_Efficacité'!$A$6:$AO$268,18,0)</f>
        <v>0</v>
      </c>
      <c r="O142" s="64">
        <f>VLOOKUP($B142,'7. PGE_Efficacité'!$A$6:$AO$268,19,0)</f>
        <v>0</v>
      </c>
      <c r="P142" s="64">
        <f>VLOOKUP($B142,'7. PGE_Efficacité'!$A$6:$AO$268,20,0)</f>
        <v>0</v>
      </c>
      <c r="Q142" s="64">
        <f>VLOOKUP($B142,'7. PGE_Efficacité'!$A$6:$AO$268,21,0)</f>
        <v>0</v>
      </c>
      <c r="R142" s="64">
        <f>VLOOKUP($B142,'7. PGE_Efficacité'!$A$6:$AO$268,22,0)</f>
        <v>0</v>
      </c>
      <c r="S142" s="64">
        <f>VLOOKUP($B142,'7. PGE_Efficacité'!$A$6:$AO$268,23,0)</f>
        <v>0</v>
      </c>
      <c r="T142" s="64">
        <f>VLOOKUP($B142,'7. PGE_Efficacité'!$A$6:$AO$268,24,0)</f>
        <v>0</v>
      </c>
      <c r="U142" s="64">
        <f>VLOOKUP($B142,'7. PGE_Efficacité'!$A$6:$AO$268,25,0)</f>
        <v>0</v>
      </c>
      <c r="V142" s="64">
        <f>VLOOKUP($B142,'7. PGE_Efficacité'!$A$6:$AO$268,26,0)</f>
        <v>0</v>
      </c>
      <c r="W142" s="61">
        <f>VLOOKUP($B142,'7. PGE_Efficacité'!$A$6:$AO$268,27,0)</f>
        <v>0</v>
      </c>
      <c r="X142" s="61">
        <f>VLOOKUP($B142,'7. PGE_Efficacité'!$A$6:$AO$268,28,0)</f>
        <v>0</v>
      </c>
      <c r="Y142" s="61">
        <f>VLOOKUP($B142,'7. PGE_Efficacité'!$A$6:$AO$268,29,0)</f>
        <v>0</v>
      </c>
      <c r="Z142" s="61">
        <f>VLOOKUP($B142,'7. PGE_Efficacité'!$A$6:$AO$268,30,0)</f>
        <v>0</v>
      </c>
      <c r="AA142" s="61">
        <f>VLOOKUP($B142,'7. PGE_Efficacité'!$A$6:$AO$268,31,0)</f>
        <v>0</v>
      </c>
      <c r="AB142" s="61">
        <f>VLOOKUP($B142,'7. PGE_Efficacité'!$A$6:$AO$268,32,0)</f>
        <v>0</v>
      </c>
      <c r="AC142" s="61">
        <f>VLOOKUP($B142,'7. PGE_Efficacité'!$A$6:$AO$268,33,0)</f>
        <v>0</v>
      </c>
      <c r="AD142" s="61">
        <f>VLOOKUP($B142,'7. PGE_Efficacité'!$A$6:$AO$268,34,0)</f>
        <v>0</v>
      </c>
      <c r="AE142" s="61">
        <f>VLOOKUP($B142,'7. PGE_Efficacité'!$A$6:$AO$268,35,0)</f>
        <v>0</v>
      </c>
      <c r="AF142" s="61">
        <f>VLOOKUP($B142,'7. PGE_Efficacité'!$A$6:$AO$268,36,0)</f>
        <v>0</v>
      </c>
      <c r="AG142" s="61">
        <f>VLOOKUP($B142,'7. PGE_Efficacité'!$A$6:$AO$268,37,0)</f>
        <v>0</v>
      </c>
      <c r="AH142" s="61">
        <f>VLOOKUP($B142,'7. PGE_Efficacité'!$A$6:$AO$268,38,0)</f>
        <v>0</v>
      </c>
      <c r="AI142" s="61">
        <f>VLOOKUP($B142,'7. PGE_Efficacité'!$A$6:$AO$268,39,0)</f>
        <v>0</v>
      </c>
      <c r="AJ142" s="61">
        <f>VLOOKUP($B142,'7. PGE_Efficacité'!$A$6:$AO$268,40,0)</f>
        <v>0</v>
      </c>
      <c r="AK142" s="61">
        <f>VLOOKUP($B142,'7. PGE_Efficacité'!$A$6:$AO$268,41,0)</f>
        <v>0</v>
      </c>
    </row>
    <row r="143" spans="1:37" outlineLevel="1" x14ac:dyDescent="0.25">
      <c r="A143" s="65" t="s">
        <v>22</v>
      </c>
      <c r="B143" s="65" t="s">
        <v>744</v>
      </c>
      <c r="C143" s="65" t="s">
        <v>1401</v>
      </c>
      <c r="D143" s="65" t="s">
        <v>1521</v>
      </c>
      <c r="E143" s="65" t="s">
        <v>1290</v>
      </c>
      <c r="F143" s="77">
        <f>30000/3</f>
        <v>10000</v>
      </c>
      <c r="G143" s="64">
        <f>VLOOKUP($B143,'7. PGE_Efficacité'!$A$6:$AO$268,11,0)</f>
        <v>0</v>
      </c>
      <c r="H143" s="64">
        <f>VLOOKUP($B143,'7. PGE_Efficacité'!$A$6:$AO$268,12,0)</f>
        <v>0</v>
      </c>
      <c r="I143" s="64">
        <f>VLOOKUP($B143,'7. PGE_Efficacité'!$A$6:$AO$268,13,0)</f>
        <v>0</v>
      </c>
      <c r="J143" s="64">
        <f>VLOOKUP($B143,'7. PGE_Efficacité'!$A$6:$AO$268,14,0)</f>
        <v>0</v>
      </c>
      <c r="K143" s="64">
        <f>VLOOKUP($B143,'7. PGE_Efficacité'!$A$6:$AO$268,15,0)</f>
        <v>0</v>
      </c>
      <c r="L143" s="64">
        <f>VLOOKUP($B143,'7. PGE_Efficacité'!$A$6:$AO$268,16,0)</f>
        <v>0</v>
      </c>
      <c r="M143" s="64">
        <f>VLOOKUP($B143,'7. PGE_Efficacité'!$A$6:$AO$268,17,0)</f>
        <v>0</v>
      </c>
      <c r="N143" s="64">
        <f>VLOOKUP($B143,'7. PGE_Efficacité'!$A$6:$AO$268,18,0)</f>
        <v>0</v>
      </c>
      <c r="O143" s="64">
        <f>VLOOKUP($B143,'7. PGE_Efficacité'!$A$6:$AO$268,19,0)</f>
        <v>0</v>
      </c>
      <c r="P143" s="64">
        <f>VLOOKUP($B143,'7. PGE_Efficacité'!$A$6:$AO$268,20,0)</f>
        <v>0</v>
      </c>
      <c r="Q143" s="64">
        <f>VLOOKUP($B143,'7. PGE_Efficacité'!$A$6:$AO$268,21,0)</f>
        <v>0</v>
      </c>
      <c r="R143" s="64">
        <f>VLOOKUP($B143,'7. PGE_Efficacité'!$A$6:$AO$268,22,0)</f>
        <v>0</v>
      </c>
      <c r="S143" s="64">
        <f>VLOOKUP($B143,'7. PGE_Efficacité'!$A$6:$AO$268,23,0)</f>
        <v>0</v>
      </c>
      <c r="T143" s="64">
        <f>VLOOKUP($B143,'7. PGE_Efficacité'!$A$6:$AO$268,24,0)</f>
        <v>0</v>
      </c>
      <c r="U143" s="64">
        <f>VLOOKUP($B143,'7. PGE_Efficacité'!$A$6:$AO$268,25,0)</f>
        <v>0</v>
      </c>
      <c r="V143" s="64">
        <f>VLOOKUP($B143,'7. PGE_Efficacité'!$A$6:$AO$268,26,0)</f>
        <v>0</v>
      </c>
      <c r="W143" s="61">
        <f>VLOOKUP($B143,'7. PGE_Efficacité'!$A$6:$AO$268,27,0)</f>
        <v>0</v>
      </c>
      <c r="X143" s="61">
        <f>VLOOKUP($B143,'7. PGE_Efficacité'!$A$6:$AO$268,28,0)</f>
        <v>0</v>
      </c>
      <c r="Y143" s="61">
        <f>VLOOKUP($B143,'7. PGE_Efficacité'!$A$6:$AO$268,29,0)</f>
        <v>0</v>
      </c>
      <c r="Z143" s="61">
        <f>VLOOKUP($B143,'7. PGE_Efficacité'!$A$6:$AO$268,30,0)</f>
        <v>0</v>
      </c>
      <c r="AA143" s="61">
        <f>VLOOKUP($B143,'7. PGE_Efficacité'!$A$6:$AO$268,31,0)</f>
        <v>0</v>
      </c>
      <c r="AB143" s="61">
        <f>VLOOKUP($B143,'7. PGE_Efficacité'!$A$6:$AO$268,32,0)</f>
        <v>0</v>
      </c>
      <c r="AC143" s="61">
        <f>VLOOKUP($B143,'7. PGE_Efficacité'!$A$6:$AO$268,33,0)</f>
        <v>0</v>
      </c>
      <c r="AD143" s="61">
        <f>VLOOKUP($B143,'7. PGE_Efficacité'!$A$6:$AO$268,34,0)</f>
        <v>0</v>
      </c>
      <c r="AE143" s="61">
        <f>VLOOKUP($B143,'7. PGE_Efficacité'!$A$6:$AO$268,35,0)</f>
        <v>0</v>
      </c>
      <c r="AF143" s="61">
        <f>VLOOKUP($B143,'7. PGE_Efficacité'!$A$6:$AO$268,36,0)</f>
        <v>0</v>
      </c>
      <c r="AG143" s="61">
        <f>VLOOKUP($B143,'7. PGE_Efficacité'!$A$6:$AO$268,37,0)</f>
        <v>0</v>
      </c>
      <c r="AH143" s="61">
        <f>VLOOKUP($B143,'7. PGE_Efficacité'!$A$6:$AO$268,38,0)</f>
        <v>0</v>
      </c>
      <c r="AI143" s="61">
        <f>VLOOKUP($B143,'7. PGE_Efficacité'!$A$6:$AO$268,39,0)</f>
        <v>0</v>
      </c>
      <c r="AJ143" s="61">
        <f>VLOOKUP($B143,'7. PGE_Efficacité'!$A$6:$AO$268,40,0)</f>
        <v>0</v>
      </c>
      <c r="AK143" s="61">
        <f>VLOOKUP($B143,'7. PGE_Efficacité'!$A$6:$AO$268,41,0)</f>
        <v>0</v>
      </c>
    </row>
    <row r="144" spans="1:37" outlineLevel="1" x14ac:dyDescent="0.25">
      <c r="A144" s="65" t="s">
        <v>22</v>
      </c>
      <c r="B144" s="65" t="s">
        <v>745</v>
      </c>
      <c r="C144" s="65" t="s">
        <v>1402</v>
      </c>
      <c r="D144" s="65" t="s">
        <v>1521</v>
      </c>
      <c r="E144" s="65" t="s">
        <v>1290</v>
      </c>
      <c r="F144" s="77">
        <f>30000/3</f>
        <v>10000</v>
      </c>
      <c r="G144" s="64">
        <f>VLOOKUP($B144,'7. PGE_Efficacité'!$A$6:$AO$268,11,0)</f>
        <v>0</v>
      </c>
      <c r="H144" s="64">
        <f>VLOOKUP($B144,'7. PGE_Efficacité'!$A$6:$AO$268,12,0)</f>
        <v>0</v>
      </c>
      <c r="I144" s="64">
        <f>VLOOKUP($B144,'7. PGE_Efficacité'!$A$6:$AO$268,13,0)</f>
        <v>0</v>
      </c>
      <c r="J144" s="64">
        <f>VLOOKUP($B144,'7. PGE_Efficacité'!$A$6:$AO$268,14,0)</f>
        <v>0</v>
      </c>
      <c r="K144" s="64">
        <f>VLOOKUP($B144,'7. PGE_Efficacité'!$A$6:$AO$268,15,0)</f>
        <v>0</v>
      </c>
      <c r="L144" s="64">
        <f>VLOOKUP($B144,'7. PGE_Efficacité'!$A$6:$AO$268,16,0)</f>
        <v>0</v>
      </c>
      <c r="M144" s="64">
        <f>VLOOKUP($B144,'7. PGE_Efficacité'!$A$6:$AO$268,17,0)</f>
        <v>0</v>
      </c>
      <c r="N144" s="64">
        <f>VLOOKUP($B144,'7. PGE_Efficacité'!$A$6:$AO$268,18,0)</f>
        <v>0</v>
      </c>
      <c r="O144" s="64">
        <f>VLOOKUP($B144,'7. PGE_Efficacité'!$A$6:$AO$268,19,0)</f>
        <v>0</v>
      </c>
      <c r="P144" s="64">
        <f>VLOOKUP($B144,'7. PGE_Efficacité'!$A$6:$AO$268,20,0)</f>
        <v>0</v>
      </c>
      <c r="Q144" s="64">
        <f>VLOOKUP($B144,'7. PGE_Efficacité'!$A$6:$AO$268,21,0)</f>
        <v>0</v>
      </c>
      <c r="R144" s="64">
        <f>VLOOKUP($B144,'7. PGE_Efficacité'!$A$6:$AO$268,22,0)</f>
        <v>0</v>
      </c>
      <c r="S144" s="64">
        <f>VLOOKUP($B144,'7. PGE_Efficacité'!$A$6:$AO$268,23,0)</f>
        <v>0</v>
      </c>
      <c r="T144" s="64">
        <f>VLOOKUP($B144,'7. PGE_Efficacité'!$A$6:$AO$268,24,0)</f>
        <v>0</v>
      </c>
      <c r="U144" s="64">
        <f>VLOOKUP($B144,'7. PGE_Efficacité'!$A$6:$AO$268,25,0)</f>
        <v>0</v>
      </c>
      <c r="V144" s="64">
        <f>VLOOKUP($B144,'7. PGE_Efficacité'!$A$6:$AO$268,26,0)</f>
        <v>0</v>
      </c>
      <c r="W144" s="61">
        <f>VLOOKUP($B144,'7. PGE_Efficacité'!$A$6:$AO$268,27,0)</f>
        <v>0</v>
      </c>
      <c r="X144" s="61">
        <f>VLOOKUP($B144,'7. PGE_Efficacité'!$A$6:$AO$268,28,0)</f>
        <v>0</v>
      </c>
      <c r="Y144" s="61">
        <f>VLOOKUP($B144,'7. PGE_Efficacité'!$A$6:$AO$268,29,0)</f>
        <v>0</v>
      </c>
      <c r="Z144" s="61">
        <f>VLOOKUP($B144,'7. PGE_Efficacité'!$A$6:$AO$268,30,0)</f>
        <v>0</v>
      </c>
      <c r="AA144" s="61">
        <f>VLOOKUP($B144,'7. PGE_Efficacité'!$A$6:$AO$268,31,0)</f>
        <v>0</v>
      </c>
      <c r="AB144" s="61">
        <f>VLOOKUP($B144,'7. PGE_Efficacité'!$A$6:$AO$268,32,0)</f>
        <v>0</v>
      </c>
      <c r="AC144" s="61">
        <f>VLOOKUP($B144,'7. PGE_Efficacité'!$A$6:$AO$268,33,0)</f>
        <v>0</v>
      </c>
      <c r="AD144" s="61">
        <f>VLOOKUP($B144,'7. PGE_Efficacité'!$A$6:$AO$268,34,0)</f>
        <v>0</v>
      </c>
      <c r="AE144" s="61">
        <f>VLOOKUP($B144,'7. PGE_Efficacité'!$A$6:$AO$268,35,0)</f>
        <v>0</v>
      </c>
      <c r="AF144" s="61">
        <f>VLOOKUP($B144,'7. PGE_Efficacité'!$A$6:$AO$268,36,0)</f>
        <v>0</v>
      </c>
      <c r="AG144" s="61">
        <f>VLOOKUP($B144,'7. PGE_Efficacité'!$A$6:$AO$268,37,0)</f>
        <v>0</v>
      </c>
      <c r="AH144" s="61">
        <f>VLOOKUP($B144,'7. PGE_Efficacité'!$A$6:$AO$268,38,0)</f>
        <v>0</v>
      </c>
      <c r="AI144" s="61">
        <f>VLOOKUP($B144,'7. PGE_Efficacité'!$A$6:$AO$268,39,0)</f>
        <v>0</v>
      </c>
      <c r="AJ144" s="61">
        <f>VLOOKUP($B144,'7. PGE_Efficacité'!$A$6:$AO$268,40,0)</f>
        <v>0</v>
      </c>
      <c r="AK144" s="61">
        <f>VLOOKUP($B144,'7. PGE_Efficacité'!$A$6:$AO$268,41,0)</f>
        <v>0</v>
      </c>
    </row>
    <row r="145" spans="1:37" outlineLevel="1" x14ac:dyDescent="0.25">
      <c r="A145" s="65" t="s">
        <v>22</v>
      </c>
      <c r="B145" s="65" t="s">
        <v>746</v>
      </c>
      <c r="C145" s="65" t="s">
        <v>1403</v>
      </c>
      <c r="D145" s="65" t="s">
        <v>1521</v>
      </c>
      <c r="E145" s="65" t="s">
        <v>1287</v>
      </c>
      <c r="F145" s="77"/>
      <c r="G145" s="64">
        <f>VLOOKUP($B145,'7. PGE_Efficacité'!$A$6:$AO$268,11,0)</f>
        <v>0</v>
      </c>
      <c r="H145" s="64">
        <f>VLOOKUP($B145,'7. PGE_Efficacité'!$A$6:$AO$268,12,0)</f>
        <v>0</v>
      </c>
      <c r="I145" s="64">
        <f>VLOOKUP($B145,'7. PGE_Efficacité'!$A$6:$AO$268,13,0)</f>
        <v>0</v>
      </c>
      <c r="J145" s="64">
        <f>VLOOKUP($B145,'7. PGE_Efficacité'!$A$6:$AO$268,14,0)</f>
        <v>0</v>
      </c>
      <c r="K145" s="64">
        <f>VLOOKUP($B145,'7. PGE_Efficacité'!$A$6:$AO$268,15,0)</f>
        <v>0</v>
      </c>
      <c r="L145" s="64">
        <f>VLOOKUP($B145,'7. PGE_Efficacité'!$A$6:$AO$268,16,0)</f>
        <v>0</v>
      </c>
      <c r="M145" s="64">
        <f>VLOOKUP($B145,'7. PGE_Efficacité'!$A$6:$AO$268,17,0)</f>
        <v>0</v>
      </c>
      <c r="N145" s="64">
        <f>VLOOKUP($B145,'7. PGE_Efficacité'!$A$6:$AO$268,18,0)</f>
        <v>0</v>
      </c>
      <c r="O145" s="64">
        <f>VLOOKUP($B145,'7. PGE_Efficacité'!$A$6:$AO$268,19,0)</f>
        <v>0</v>
      </c>
      <c r="P145" s="64">
        <f>VLOOKUP($B145,'7. PGE_Efficacité'!$A$6:$AO$268,20,0)</f>
        <v>0</v>
      </c>
      <c r="Q145" s="64">
        <f>VLOOKUP($B145,'7. PGE_Efficacité'!$A$6:$AO$268,21,0)</f>
        <v>0</v>
      </c>
      <c r="R145" s="64">
        <f>VLOOKUP($B145,'7. PGE_Efficacité'!$A$6:$AO$268,22,0)</f>
        <v>0</v>
      </c>
      <c r="S145" s="64">
        <f>VLOOKUP($B145,'7. PGE_Efficacité'!$A$6:$AO$268,23,0)</f>
        <v>0</v>
      </c>
      <c r="T145" s="64">
        <f>VLOOKUP($B145,'7. PGE_Efficacité'!$A$6:$AO$268,24,0)</f>
        <v>0</v>
      </c>
      <c r="U145" s="64">
        <f>VLOOKUP($B145,'7. PGE_Efficacité'!$A$6:$AO$268,25,0)</f>
        <v>0</v>
      </c>
      <c r="V145" s="64">
        <f>VLOOKUP($B145,'7. PGE_Efficacité'!$A$6:$AO$268,26,0)</f>
        <v>0</v>
      </c>
      <c r="W145" s="61">
        <f>VLOOKUP($B145,'7. PGE_Efficacité'!$A$6:$AO$268,27,0)</f>
        <v>0</v>
      </c>
      <c r="X145" s="61">
        <f>VLOOKUP($B145,'7. PGE_Efficacité'!$A$6:$AO$268,28,0)</f>
        <v>0</v>
      </c>
      <c r="Y145" s="61">
        <f>VLOOKUP($B145,'7. PGE_Efficacité'!$A$6:$AO$268,29,0)</f>
        <v>0</v>
      </c>
      <c r="Z145" s="61">
        <f>VLOOKUP($B145,'7. PGE_Efficacité'!$A$6:$AO$268,30,0)</f>
        <v>0</v>
      </c>
      <c r="AA145" s="61">
        <f>VLOOKUP($B145,'7. PGE_Efficacité'!$A$6:$AO$268,31,0)</f>
        <v>0</v>
      </c>
      <c r="AB145" s="61">
        <f>VLOOKUP($B145,'7. PGE_Efficacité'!$A$6:$AO$268,32,0)</f>
        <v>0</v>
      </c>
      <c r="AC145" s="61">
        <f>VLOOKUP($B145,'7. PGE_Efficacité'!$A$6:$AO$268,33,0)</f>
        <v>0</v>
      </c>
      <c r="AD145" s="61">
        <f>VLOOKUP($B145,'7. PGE_Efficacité'!$A$6:$AO$268,34,0)</f>
        <v>0</v>
      </c>
      <c r="AE145" s="61">
        <f>VLOOKUP($B145,'7. PGE_Efficacité'!$A$6:$AO$268,35,0)</f>
        <v>0</v>
      </c>
      <c r="AF145" s="61">
        <f>VLOOKUP($B145,'7. PGE_Efficacité'!$A$6:$AO$268,36,0)</f>
        <v>0</v>
      </c>
      <c r="AG145" s="61">
        <f>VLOOKUP($B145,'7. PGE_Efficacité'!$A$6:$AO$268,37,0)</f>
        <v>0</v>
      </c>
      <c r="AH145" s="61">
        <f>VLOOKUP($B145,'7. PGE_Efficacité'!$A$6:$AO$268,38,0)</f>
        <v>0</v>
      </c>
      <c r="AI145" s="61">
        <f>VLOOKUP($B145,'7. PGE_Efficacité'!$A$6:$AO$268,39,0)</f>
        <v>0</v>
      </c>
      <c r="AJ145" s="61">
        <f>VLOOKUP($B145,'7. PGE_Efficacité'!$A$6:$AO$268,40,0)</f>
        <v>0</v>
      </c>
      <c r="AK145" s="61">
        <f>VLOOKUP($B145,'7. PGE_Efficacité'!$A$6:$AO$268,41,0)</f>
        <v>0</v>
      </c>
    </row>
    <row r="146" spans="1:37" outlineLevel="1" x14ac:dyDescent="0.25">
      <c r="A146" s="65" t="s">
        <v>22</v>
      </c>
      <c r="B146" s="65" t="s">
        <v>747</v>
      </c>
      <c r="C146" s="65" t="s">
        <v>1404</v>
      </c>
      <c r="D146" s="65" t="s">
        <v>1521</v>
      </c>
      <c r="E146" s="65" t="s">
        <v>1290</v>
      </c>
      <c r="F146" s="77">
        <f>315000/3</f>
        <v>105000</v>
      </c>
      <c r="G146" s="64">
        <f>VLOOKUP($B146,'7. PGE_Efficacité'!$A$6:$AO$268,11,0)</f>
        <v>0</v>
      </c>
      <c r="H146" s="64">
        <f>VLOOKUP($B146,'7. PGE_Efficacité'!$A$6:$AO$268,12,0)</f>
        <v>0</v>
      </c>
      <c r="I146" s="64">
        <f>VLOOKUP($B146,'7. PGE_Efficacité'!$A$6:$AO$268,13,0)</f>
        <v>0</v>
      </c>
      <c r="J146" s="64">
        <f>VLOOKUP($B146,'7. PGE_Efficacité'!$A$6:$AO$268,14,0)</f>
        <v>0</v>
      </c>
      <c r="K146" s="64">
        <f>VLOOKUP($B146,'7. PGE_Efficacité'!$A$6:$AO$268,15,0)</f>
        <v>0</v>
      </c>
      <c r="L146" s="64">
        <f>VLOOKUP($B146,'7. PGE_Efficacité'!$A$6:$AO$268,16,0)</f>
        <v>0</v>
      </c>
      <c r="M146" s="64">
        <f>VLOOKUP($B146,'7. PGE_Efficacité'!$A$6:$AO$268,17,0)</f>
        <v>0</v>
      </c>
      <c r="N146" s="64">
        <f>VLOOKUP($B146,'7. PGE_Efficacité'!$A$6:$AO$268,18,0)</f>
        <v>0</v>
      </c>
      <c r="O146" s="64">
        <f>VLOOKUP($B146,'7. PGE_Efficacité'!$A$6:$AO$268,19,0)</f>
        <v>0</v>
      </c>
      <c r="P146" s="64">
        <f>VLOOKUP($B146,'7. PGE_Efficacité'!$A$6:$AO$268,20,0)</f>
        <v>0</v>
      </c>
      <c r="Q146" s="64">
        <f>VLOOKUP($B146,'7. PGE_Efficacité'!$A$6:$AO$268,21,0)</f>
        <v>0</v>
      </c>
      <c r="R146" s="64">
        <f>VLOOKUP($B146,'7. PGE_Efficacité'!$A$6:$AO$268,22,0)</f>
        <v>0</v>
      </c>
      <c r="S146" s="64">
        <f>VLOOKUP($B146,'7. PGE_Efficacité'!$A$6:$AO$268,23,0)</f>
        <v>0</v>
      </c>
      <c r="T146" s="64">
        <f>VLOOKUP($B146,'7. PGE_Efficacité'!$A$6:$AO$268,24,0)</f>
        <v>0</v>
      </c>
      <c r="U146" s="64">
        <f>VLOOKUP($B146,'7. PGE_Efficacité'!$A$6:$AO$268,25,0)</f>
        <v>0</v>
      </c>
      <c r="V146" s="64">
        <f>VLOOKUP($B146,'7. PGE_Efficacité'!$A$6:$AO$268,26,0)</f>
        <v>0</v>
      </c>
      <c r="W146" s="61">
        <f>VLOOKUP($B146,'7. PGE_Efficacité'!$A$6:$AO$268,27,0)</f>
        <v>0</v>
      </c>
      <c r="X146" s="61">
        <f>VLOOKUP($B146,'7. PGE_Efficacité'!$A$6:$AO$268,28,0)</f>
        <v>0</v>
      </c>
      <c r="Y146" s="61">
        <f>VLOOKUP($B146,'7. PGE_Efficacité'!$A$6:$AO$268,29,0)</f>
        <v>0</v>
      </c>
      <c r="Z146" s="61">
        <f>VLOOKUP($B146,'7. PGE_Efficacité'!$A$6:$AO$268,30,0)</f>
        <v>0</v>
      </c>
      <c r="AA146" s="61">
        <f>VLOOKUP($B146,'7. PGE_Efficacité'!$A$6:$AO$268,31,0)</f>
        <v>0</v>
      </c>
      <c r="AB146" s="61">
        <f>VLOOKUP($B146,'7. PGE_Efficacité'!$A$6:$AO$268,32,0)</f>
        <v>0</v>
      </c>
      <c r="AC146" s="61">
        <f>VLOOKUP($B146,'7. PGE_Efficacité'!$A$6:$AO$268,33,0)</f>
        <v>0</v>
      </c>
      <c r="AD146" s="61">
        <f>VLOOKUP($B146,'7. PGE_Efficacité'!$A$6:$AO$268,34,0)</f>
        <v>0</v>
      </c>
      <c r="AE146" s="61">
        <f>VLOOKUP($B146,'7. PGE_Efficacité'!$A$6:$AO$268,35,0)</f>
        <v>0</v>
      </c>
      <c r="AF146" s="61">
        <f>VLOOKUP($B146,'7. PGE_Efficacité'!$A$6:$AO$268,36,0)</f>
        <v>0</v>
      </c>
      <c r="AG146" s="61">
        <f>VLOOKUP($B146,'7. PGE_Efficacité'!$A$6:$AO$268,37,0)</f>
        <v>0</v>
      </c>
      <c r="AH146" s="61">
        <f>VLOOKUP($B146,'7. PGE_Efficacité'!$A$6:$AO$268,38,0)</f>
        <v>0</v>
      </c>
      <c r="AI146" s="61">
        <f>VLOOKUP($B146,'7. PGE_Efficacité'!$A$6:$AO$268,39,0)</f>
        <v>0</v>
      </c>
      <c r="AJ146" s="61">
        <f>VLOOKUP($B146,'7. PGE_Efficacité'!$A$6:$AO$268,40,0)</f>
        <v>0</v>
      </c>
      <c r="AK146" s="61">
        <f>VLOOKUP($B146,'7. PGE_Efficacité'!$A$6:$AO$268,41,0)</f>
        <v>0</v>
      </c>
    </row>
    <row r="147" spans="1:37" outlineLevel="1" x14ac:dyDescent="0.25">
      <c r="A147" s="65" t="s">
        <v>22</v>
      </c>
      <c r="B147" s="65" t="s">
        <v>748</v>
      </c>
      <c r="C147" s="65" t="s">
        <v>1405</v>
      </c>
      <c r="D147" s="65" t="s">
        <v>1521</v>
      </c>
      <c r="E147" s="65" t="s">
        <v>1290</v>
      </c>
      <c r="F147" s="77">
        <f>60000/3</f>
        <v>20000</v>
      </c>
      <c r="G147" s="64">
        <f>VLOOKUP($B147,'7. PGE_Efficacité'!$A$6:$AO$268,11,0)</f>
        <v>0</v>
      </c>
      <c r="H147" s="64">
        <f>VLOOKUP($B147,'7. PGE_Efficacité'!$A$6:$AO$268,12,0)</f>
        <v>0</v>
      </c>
      <c r="I147" s="64">
        <f>VLOOKUP($B147,'7. PGE_Efficacité'!$A$6:$AO$268,13,0)</f>
        <v>0</v>
      </c>
      <c r="J147" s="64">
        <f>VLOOKUP($B147,'7. PGE_Efficacité'!$A$6:$AO$268,14,0)</f>
        <v>0</v>
      </c>
      <c r="K147" s="64">
        <f>VLOOKUP($B147,'7. PGE_Efficacité'!$A$6:$AO$268,15,0)</f>
        <v>0</v>
      </c>
      <c r="L147" s="64">
        <f>VLOOKUP($B147,'7. PGE_Efficacité'!$A$6:$AO$268,16,0)</f>
        <v>0</v>
      </c>
      <c r="M147" s="64">
        <f>VLOOKUP($B147,'7. PGE_Efficacité'!$A$6:$AO$268,17,0)</f>
        <v>0</v>
      </c>
      <c r="N147" s="64">
        <f>VLOOKUP($B147,'7. PGE_Efficacité'!$A$6:$AO$268,18,0)</f>
        <v>0</v>
      </c>
      <c r="O147" s="64">
        <f>VLOOKUP($B147,'7. PGE_Efficacité'!$A$6:$AO$268,19,0)</f>
        <v>0</v>
      </c>
      <c r="P147" s="64">
        <f>VLOOKUP($B147,'7. PGE_Efficacité'!$A$6:$AO$268,20,0)</f>
        <v>0</v>
      </c>
      <c r="Q147" s="64">
        <f>VLOOKUP($B147,'7. PGE_Efficacité'!$A$6:$AO$268,21,0)</f>
        <v>0</v>
      </c>
      <c r="R147" s="64">
        <f>VLOOKUP($B147,'7. PGE_Efficacité'!$A$6:$AO$268,22,0)</f>
        <v>0</v>
      </c>
      <c r="S147" s="64">
        <f>VLOOKUP($B147,'7. PGE_Efficacité'!$A$6:$AO$268,23,0)</f>
        <v>0</v>
      </c>
      <c r="T147" s="64">
        <f>VLOOKUP($B147,'7. PGE_Efficacité'!$A$6:$AO$268,24,0)</f>
        <v>0</v>
      </c>
      <c r="U147" s="64">
        <f>VLOOKUP($B147,'7. PGE_Efficacité'!$A$6:$AO$268,25,0)</f>
        <v>0</v>
      </c>
      <c r="V147" s="64">
        <f>VLOOKUP($B147,'7. PGE_Efficacité'!$A$6:$AO$268,26,0)</f>
        <v>0</v>
      </c>
      <c r="W147" s="61">
        <f>VLOOKUP($B147,'7. PGE_Efficacité'!$A$6:$AO$268,27,0)</f>
        <v>0</v>
      </c>
      <c r="X147" s="61">
        <f>VLOOKUP($B147,'7. PGE_Efficacité'!$A$6:$AO$268,28,0)</f>
        <v>0</v>
      </c>
      <c r="Y147" s="61">
        <f>VLOOKUP($B147,'7. PGE_Efficacité'!$A$6:$AO$268,29,0)</f>
        <v>0</v>
      </c>
      <c r="Z147" s="61">
        <f>VLOOKUP($B147,'7. PGE_Efficacité'!$A$6:$AO$268,30,0)</f>
        <v>0</v>
      </c>
      <c r="AA147" s="61">
        <f>VLOOKUP($B147,'7. PGE_Efficacité'!$A$6:$AO$268,31,0)</f>
        <v>0</v>
      </c>
      <c r="AB147" s="61">
        <f>VLOOKUP($B147,'7. PGE_Efficacité'!$A$6:$AO$268,32,0)</f>
        <v>0</v>
      </c>
      <c r="AC147" s="61">
        <f>VLOOKUP($B147,'7. PGE_Efficacité'!$A$6:$AO$268,33,0)</f>
        <v>0</v>
      </c>
      <c r="AD147" s="61">
        <f>VLOOKUP($B147,'7. PGE_Efficacité'!$A$6:$AO$268,34,0)</f>
        <v>0</v>
      </c>
      <c r="AE147" s="61">
        <f>VLOOKUP($B147,'7. PGE_Efficacité'!$A$6:$AO$268,35,0)</f>
        <v>0</v>
      </c>
      <c r="AF147" s="61">
        <f>VLOOKUP($B147,'7. PGE_Efficacité'!$A$6:$AO$268,36,0)</f>
        <v>0</v>
      </c>
      <c r="AG147" s="61">
        <f>VLOOKUP($B147,'7. PGE_Efficacité'!$A$6:$AO$268,37,0)</f>
        <v>0</v>
      </c>
      <c r="AH147" s="61">
        <f>VLOOKUP($B147,'7. PGE_Efficacité'!$A$6:$AO$268,38,0)</f>
        <v>0</v>
      </c>
      <c r="AI147" s="61">
        <f>VLOOKUP($B147,'7. PGE_Efficacité'!$A$6:$AO$268,39,0)</f>
        <v>0</v>
      </c>
      <c r="AJ147" s="61">
        <f>VLOOKUP($B147,'7. PGE_Efficacité'!$A$6:$AO$268,40,0)</f>
        <v>0</v>
      </c>
      <c r="AK147" s="61">
        <f>VLOOKUP($B147,'7. PGE_Efficacité'!$A$6:$AO$268,41,0)</f>
        <v>0</v>
      </c>
    </row>
    <row r="148" spans="1:37" outlineLevel="1" x14ac:dyDescent="0.25">
      <c r="A148" s="65" t="s">
        <v>22</v>
      </c>
      <c r="B148" s="65" t="s">
        <v>749</v>
      </c>
      <c r="C148" s="65" t="s">
        <v>1406</v>
      </c>
      <c r="D148" s="65" t="s">
        <v>1521</v>
      </c>
      <c r="E148" s="65" t="s">
        <v>1290</v>
      </c>
      <c r="F148" s="77">
        <f>20000/3</f>
        <v>6666.666666666667</v>
      </c>
      <c r="G148" s="64">
        <f>VLOOKUP($B148,'7. PGE_Efficacité'!$A$6:$AO$268,11,0)</f>
        <v>0</v>
      </c>
      <c r="H148" s="64">
        <f>VLOOKUP($B148,'7. PGE_Efficacité'!$A$6:$AO$268,12,0)</f>
        <v>0</v>
      </c>
      <c r="I148" s="64">
        <f>VLOOKUP($B148,'7. PGE_Efficacité'!$A$6:$AO$268,13,0)</f>
        <v>0</v>
      </c>
      <c r="J148" s="64">
        <f>VLOOKUP($B148,'7. PGE_Efficacité'!$A$6:$AO$268,14,0)</f>
        <v>0</v>
      </c>
      <c r="K148" s="64">
        <f>VLOOKUP($B148,'7. PGE_Efficacité'!$A$6:$AO$268,15,0)</f>
        <v>0</v>
      </c>
      <c r="L148" s="64">
        <f>VLOOKUP($B148,'7. PGE_Efficacité'!$A$6:$AO$268,16,0)</f>
        <v>0</v>
      </c>
      <c r="M148" s="64">
        <f>VLOOKUP($B148,'7. PGE_Efficacité'!$A$6:$AO$268,17,0)</f>
        <v>0</v>
      </c>
      <c r="N148" s="64">
        <f>VLOOKUP($B148,'7. PGE_Efficacité'!$A$6:$AO$268,18,0)</f>
        <v>0</v>
      </c>
      <c r="O148" s="64">
        <f>VLOOKUP($B148,'7. PGE_Efficacité'!$A$6:$AO$268,19,0)</f>
        <v>0</v>
      </c>
      <c r="P148" s="64">
        <f>VLOOKUP($B148,'7. PGE_Efficacité'!$A$6:$AO$268,20,0)</f>
        <v>0</v>
      </c>
      <c r="Q148" s="64">
        <f>VLOOKUP($B148,'7. PGE_Efficacité'!$A$6:$AO$268,21,0)</f>
        <v>0</v>
      </c>
      <c r="R148" s="64">
        <f>VLOOKUP($B148,'7. PGE_Efficacité'!$A$6:$AO$268,22,0)</f>
        <v>0</v>
      </c>
      <c r="S148" s="64">
        <f>VLOOKUP($B148,'7. PGE_Efficacité'!$A$6:$AO$268,23,0)</f>
        <v>0</v>
      </c>
      <c r="T148" s="64">
        <f>VLOOKUP($B148,'7. PGE_Efficacité'!$A$6:$AO$268,24,0)</f>
        <v>0</v>
      </c>
      <c r="U148" s="64">
        <f>VLOOKUP($B148,'7. PGE_Efficacité'!$A$6:$AO$268,25,0)</f>
        <v>0</v>
      </c>
      <c r="V148" s="64">
        <f>VLOOKUP($B148,'7. PGE_Efficacité'!$A$6:$AO$268,26,0)</f>
        <v>0</v>
      </c>
      <c r="W148" s="61">
        <f>VLOOKUP($B148,'7. PGE_Efficacité'!$A$6:$AO$268,27,0)</f>
        <v>0</v>
      </c>
      <c r="X148" s="61">
        <f>VLOOKUP($B148,'7. PGE_Efficacité'!$A$6:$AO$268,28,0)</f>
        <v>0</v>
      </c>
      <c r="Y148" s="61">
        <f>VLOOKUP($B148,'7. PGE_Efficacité'!$A$6:$AO$268,29,0)</f>
        <v>0</v>
      </c>
      <c r="Z148" s="61">
        <f>VLOOKUP($B148,'7. PGE_Efficacité'!$A$6:$AO$268,30,0)</f>
        <v>0</v>
      </c>
      <c r="AA148" s="61">
        <f>VLOOKUP($B148,'7. PGE_Efficacité'!$A$6:$AO$268,31,0)</f>
        <v>0</v>
      </c>
      <c r="AB148" s="61">
        <f>VLOOKUP($B148,'7. PGE_Efficacité'!$A$6:$AO$268,32,0)</f>
        <v>0</v>
      </c>
      <c r="AC148" s="61">
        <f>VLOOKUP($B148,'7. PGE_Efficacité'!$A$6:$AO$268,33,0)</f>
        <v>0</v>
      </c>
      <c r="AD148" s="61">
        <f>VLOOKUP($B148,'7. PGE_Efficacité'!$A$6:$AO$268,34,0)</f>
        <v>0</v>
      </c>
      <c r="AE148" s="61">
        <f>VLOOKUP($B148,'7. PGE_Efficacité'!$A$6:$AO$268,35,0)</f>
        <v>0</v>
      </c>
      <c r="AF148" s="61">
        <f>VLOOKUP($B148,'7. PGE_Efficacité'!$A$6:$AO$268,36,0)</f>
        <v>0</v>
      </c>
      <c r="AG148" s="61">
        <f>VLOOKUP($B148,'7. PGE_Efficacité'!$A$6:$AO$268,37,0)</f>
        <v>0</v>
      </c>
      <c r="AH148" s="61">
        <f>VLOOKUP($B148,'7. PGE_Efficacité'!$A$6:$AO$268,38,0)</f>
        <v>0</v>
      </c>
      <c r="AI148" s="61">
        <f>VLOOKUP($B148,'7. PGE_Efficacité'!$A$6:$AO$268,39,0)</f>
        <v>0</v>
      </c>
      <c r="AJ148" s="61">
        <f>VLOOKUP($B148,'7. PGE_Efficacité'!$A$6:$AO$268,40,0)</f>
        <v>0</v>
      </c>
      <c r="AK148" s="61">
        <f>VLOOKUP($B148,'7. PGE_Efficacité'!$A$6:$AO$268,41,0)</f>
        <v>0</v>
      </c>
    </row>
    <row r="149" spans="1:37" outlineLevel="1" x14ac:dyDescent="0.25">
      <c r="A149" s="65" t="s">
        <v>22</v>
      </c>
      <c r="B149" s="65" t="s">
        <v>739</v>
      </c>
      <c r="C149" s="65" t="s">
        <v>1397</v>
      </c>
      <c r="D149" s="65" t="s">
        <v>1521</v>
      </c>
      <c r="E149" s="65" t="s">
        <v>1287</v>
      </c>
      <c r="F149" s="77">
        <v>0</v>
      </c>
      <c r="G149" s="64"/>
      <c r="H149" s="64"/>
      <c r="I149" s="64"/>
      <c r="J149" s="64"/>
      <c r="K149" s="64"/>
      <c r="L149" s="64"/>
      <c r="M149" s="64"/>
      <c r="N149" s="64"/>
      <c r="O149" s="64"/>
      <c r="P149" s="64"/>
      <c r="Q149" s="64"/>
      <c r="R149" s="64"/>
      <c r="S149" s="64"/>
      <c r="T149" s="64"/>
      <c r="U149" s="64"/>
      <c r="V149" s="64"/>
      <c r="W149" s="61"/>
      <c r="X149" s="61"/>
      <c r="Y149" s="61"/>
      <c r="Z149" s="61"/>
      <c r="AA149" s="61"/>
      <c r="AB149" s="61"/>
      <c r="AC149" s="61"/>
      <c r="AD149" s="61"/>
      <c r="AE149" s="61"/>
      <c r="AF149" s="61"/>
      <c r="AG149" s="61"/>
      <c r="AH149" s="61"/>
      <c r="AI149" s="61"/>
      <c r="AJ149" s="61"/>
      <c r="AK149" s="61"/>
    </row>
    <row r="150" spans="1:37" x14ac:dyDescent="0.25">
      <c r="A150" s="157" t="s">
        <v>25</v>
      </c>
      <c r="B150" s="63"/>
      <c r="C150" s="156" t="s">
        <v>219</v>
      </c>
      <c r="D150" s="63"/>
      <c r="E150" s="63"/>
      <c r="F150" s="72">
        <f>SUM(F151:F157)</f>
        <v>26800</v>
      </c>
      <c r="G150" s="180">
        <f>VLOOKUP($A150,'7. PGE_Efficacité'!$A$6:$AO$268,11,0)</f>
        <v>0</v>
      </c>
      <c r="H150" s="180">
        <f>VLOOKUP($A150,'7. PGE_Efficacité'!$A$6:$AO$268,12,0)</f>
        <v>0</v>
      </c>
      <c r="I150" s="180">
        <f>VLOOKUP($A150,'7. PGE_Efficacité'!$A$6:$AO$268,13,0)</f>
        <v>0</v>
      </c>
      <c r="J150" s="180">
        <f>VLOOKUP($A150,'7. PGE_Efficacité'!$A$6:$AO$268,14,0)</f>
        <v>0</v>
      </c>
      <c r="K150" s="180">
        <f>VLOOKUP($A150,'7. PGE_Efficacité'!$A$6:$AO$268,15,0)</f>
        <v>0</v>
      </c>
      <c r="L150" s="180">
        <f>VLOOKUP($A150,'7. PGE_Efficacité'!$A$6:$AO$268,16,0)</f>
        <v>0</v>
      </c>
      <c r="M150" s="180">
        <f>VLOOKUP($A150,'7. PGE_Efficacité'!$A$6:$AO$268,17,0)</f>
        <v>0</v>
      </c>
      <c r="N150" s="180">
        <f>VLOOKUP($A150,'7. PGE_Efficacité'!$A$6:$AO$268,18,0)</f>
        <v>0</v>
      </c>
      <c r="O150" s="180">
        <f>VLOOKUP($A150,'7. PGE_Efficacité'!$A$6:$AO$268,19,0)</f>
        <v>0</v>
      </c>
      <c r="P150" s="180">
        <f>VLOOKUP($A150,'7. PGE_Efficacité'!$A$6:$AO$268,20,0)</f>
        <v>0</v>
      </c>
      <c r="Q150" s="180">
        <f>VLOOKUP($A150,'7. PGE_Efficacité'!$A$6:$AO$268,21,0)</f>
        <v>0</v>
      </c>
      <c r="R150" s="180">
        <f>VLOOKUP($A150,'7. PGE_Efficacité'!$A$6:$AO$268,22,0)</f>
        <v>0</v>
      </c>
      <c r="S150" s="180">
        <f>VLOOKUP($A150,'7. PGE_Efficacité'!$A$6:$AO$268,23,0)</f>
        <v>0</v>
      </c>
      <c r="T150" s="180">
        <f>VLOOKUP($A150,'7. PGE_Efficacité'!$A$6:$AO$268,24,0)</f>
        <v>0</v>
      </c>
      <c r="U150" s="180">
        <f>VLOOKUP($A150,'7. PGE_Efficacité'!$A$6:$AO$268,25,0)</f>
        <v>0</v>
      </c>
      <c r="V150" s="180">
        <f>VLOOKUP($A150,'7. PGE_Efficacité'!$A$6:$AO$268,26,0)</f>
        <v>0</v>
      </c>
      <c r="W150" s="181">
        <f>VLOOKUP($A150,'7. PGE_Efficacité'!$A$6:$AO$268,27,0)</f>
        <v>0</v>
      </c>
      <c r="X150" s="181">
        <f>VLOOKUP($A150,'7. PGE_Efficacité'!$A$6:$AO$268,28,0)</f>
        <v>0</v>
      </c>
      <c r="Y150" s="181">
        <f>VLOOKUP($A150,'7. PGE_Efficacité'!$A$6:$AO$268,29,0)</f>
        <v>0</v>
      </c>
      <c r="Z150" s="181">
        <f>VLOOKUP($A150,'7. PGE_Efficacité'!$A$6:$AO$268,30,0)</f>
        <v>0</v>
      </c>
      <c r="AA150" s="181">
        <f>VLOOKUP($A150,'7. PGE_Efficacité'!$A$6:$AO$268,31,0)</f>
        <v>0</v>
      </c>
      <c r="AB150" s="181">
        <f>VLOOKUP($A150,'7. PGE_Efficacité'!$A$6:$AO$268,32,0)</f>
        <v>0</v>
      </c>
      <c r="AC150" s="181">
        <f>VLOOKUP($A150,'7. PGE_Efficacité'!$A$6:$AO$268,33,0)</f>
        <v>0</v>
      </c>
      <c r="AD150" s="181">
        <f>VLOOKUP($A150,'7. PGE_Efficacité'!$A$6:$AO$268,34,0)</f>
        <v>0</v>
      </c>
      <c r="AE150" s="181">
        <f>VLOOKUP($A150,'7. PGE_Efficacité'!$A$6:$AO$268,35,0)</f>
        <v>0</v>
      </c>
      <c r="AF150" s="181">
        <f>VLOOKUP($A150,'7. PGE_Efficacité'!$A$6:$AO$268,36,0)</f>
        <v>0</v>
      </c>
      <c r="AG150" s="181">
        <f>VLOOKUP($A150,'7. PGE_Efficacité'!$A$6:$AO$268,37,0)</f>
        <v>0</v>
      </c>
      <c r="AH150" s="181">
        <f>VLOOKUP($A150,'7. PGE_Efficacité'!$A$6:$AO$268,38,0)</f>
        <v>0</v>
      </c>
      <c r="AI150" s="181">
        <f>VLOOKUP($A150,'7. PGE_Efficacité'!$A$6:$AO$268,39,0)</f>
        <v>0</v>
      </c>
      <c r="AJ150" s="181">
        <f>VLOOKUP($A150,'7. PGE_Efficacité'!$A$6:$AO$268,40,0)</f>
        <v>0</v>
      </c>
      <c r="AK150" s="181">
        <f>VLOOKUP($A150,'7. PGE_Efficacité'!$A$6:$AO$268,41,0)</f>
        <v>0</v>
      </c>
    </row>
    <row r="151" spans="1:37" outlineLevel="1" x14ac:dyDescent="0.25">
      <c r="A151" s="249" t="str">
        <f t="shared" ref="A151:A157" si="0">"M"&amp;" "&amp;LEFT(B151,4)</f>
        <v>M 1.24</v>
      </c>
      <c r="B151" s="250" t="s">
        <v>750</v>
      </c>
      <c r="C151" s="65" t="s">
        <v>1986</v>
      </c>
      <c r="D151" s="65" t="s">
        <v>1521</v>
      </c>
      <c r="E151" s="65" t="s">
        <v>415</v>
      </c>
      <c r="F151" s="70">
        <v>0</v>
      </c>
      <c r="G151" s="64">
        <f>VLOOKUP($B151,'7. PGE_Efficacité'!$A$6:$AO$268,11,0)</f>
        <v>0</v>
      </c>
      <c r="H151" s="64">
        <f>VLOOKUP($B151,'7. PGE_Efficacité'!$A$6:$AO$268,12,0)</f>
        <v>0</v>
      </c>
      <c r="I151" s="64">
        <f>VLOOKUP($B151,'7. PGE_Efficacité'!$A$6:$AO$268,13,0)</f>
        <v>0</v>
      </c>
      <c r="J151" s="64">
        <f>VLOOKUP($B151,'7. PGE_Efficacité'!$A$6:$AO$268,14,0)</f>
        <v>0</v>
      </c>
      <c r="K151" s="64">
        <f>VLOOKUP($B151,'7. PGE_Efficacité'!$A$6:$AO$268,15,0)</f>
        <v>0</v>
      </c>
      <c r="L151" s="64">
        <f>VLOOKUP($B151,'7. PGE_Efficacité'!$A$6:$AO$268,16,0)</f>
        <v>0</v>
      </c>
      <c r="M151" s="64">
        <f>VLOOKUP($B151,'7. PGE_Efficacité'!$A$6:$AO$268,17,0)</f>
        <v>0</v>
      </c>
      <c r="N151" s="64">
        <f>VLOOKUP($B151,'7. PGE_Efficacité'!$A$6:$AO$268,18,0)</f>
        <v>0</v>
      </c>
      <c r="O151" s="64">
        <f>VLOOKUP($B151,'7. PGE_Efficacité'!$A$6:$AO$268,19,0)</f>
        <v>0</v>
      </c>
      <c r="P151" s="64">
        <f>VLOOKUP($B151,'7. PGE_Efficacité'!$A$6:$AO$268,20,0)</f>
        <v>0</v>
      </c>
      <c r="Q151" s="64">
        <f>VLOOKUP($B151,'7. PGE_Efficacité'!$A$6:$AO$268,21,0)</f>
        <v>0</v>
      </c>
      <c r="R151" s="64">
        <f>VLOOKUP($B151,'7. PGE_Efficacité'!$A$6:$AO$268,22,0)</f>
        <v>0</v>
      </c>
      <c r="S151" s="64">
        <f>VLOOKUP($B151,'7. PGE_Efficacité'!$A$6:$AO$268,23,0)</f>
        <v>0</v>
      </c>
      <c r="T151" s="64">
        <f>VLOOKUP($B151,'7. PGE_Efficacité'!$A$6:$AO$268,24,0)</f>
        <v>0</v>
      </c>
      <c r="U151" s="64">
        <f>VLOOKUP($B151,'7. PGE_Efficacité'!$A$6:$AO$268,25,0)</f>
        <v>0</v>
      </c>
      <c r="V151" s="64">
        <f>VLOOKUP($B151,'7. PGE_Efficacité'!$A$6:$AO$268,26,0)</f>
        <v>0</v>
      </c>
      <c r="W151" s="61">
        <f>VLOOKUP($B151,'7. PGE_Efficacité'!$A$6:$AO$268,27,0)</f>
        <v>0</v>
      </c>
      <c r="X151" s="61">
        <f>VLOOKUP($B151,'7. PGE_Efficacité'!$A$6:$AO$268,28,0)</f>
        <v>0</v>
      </c>
      <c r="Y151" s="61">
        <f>VLOOKUP($B151,'7. PGE_Efficacité'!$A$6:$AO$268,29,0)</f>
        <v>0</v>
      </c>
      <c r="Z151" s="61">
        <f>VLOOKUP($B151,'7. PGE_Efficacité'!$A$6:$AO$268,30,0)</f>
        <v>0</v>
      </c>
      <c r="AA151" s="61">
        <f>VLOOKUP($B151,'7. PGE_Efficacité'!$A$6:$AO$268,31,0)</f>
        <v>0</v>
      </c>
      <c r="AB151" s="61">
        <f>VLOOKUP($B151,'7. PGE_Efficacité'!$A$6:$AO$268,32,0)</f>
        <v>0</v>
      </c>
      <c r="AC151" s="61">
        <f>VLOOKUP($B151,'7. PGE_Efficacité'!$A$6:$AO$268,33,0)</f>
        <v>0</v>
      </c>
      <c r="AD151" s="61">
        <f>VLOOKUP($B151,'7. PGE_Efficacité'!$A$6:$AO$268,34,0)</f>
        <v>0</v>
      </c>
      <c r="AE151" s="61">
        <f>VLOOKUP($B151,'7. PGE_Efficacité'!$A$6:$AO$268,35,0)</f>
        <v>0</v>
      </c>
      <c r="AF151" s="61">
        <f>VLOOKUP($B151,'7. PGE_Efficacité'!$A$6:$AO$268,36,0)</f>
        <v>0</v>
      </c>
      <c r="AG151" s="61">
        <f>VLOOKUP($B151,'7. PGE_Efficacité'!$A$6:$AO$268,37,0)</f>
        <v>0</v>
      </c>
      <c r="AH151" s="61">
        <f>VLOOKUP($B151,'7. PGE_Efficacité'!$A$6:$AO$268,38,0)</f>
        <v>0</v>
      </c>
      <c r="AI151" s="61">
        <f>VLOOKUP($B151,'7. PGE_Efficacité'!$A$6:$AO$268,39,0)</f>
        <v>0</v>
      </c>
      <c r="AJ151" s="61">
        <f>VLOOKUP($B151,'7. PGE_Efficacité'!$A$6:$AO$268,40,0)</f>
        <v>0</v>
      </c>
      <c r="AK151" s="61">
        <f>VLOOKUP($B151,'7. PGE_Efficacité'!$A$6:$AO$268,41,0)</f>
        <v>0</v>
      </c>
    </row>
    <row r="152" spans="1:37" outlineLevel="1" x14ac:dyDescent="0.25">
      <c r="A152" s="249" t="str">
        <f t="shared" si="0"/>
        <v>M 1.24</v>
      </c>
      <c r="B152" s="250" t="s">
        <v>751</v>
      </c>
      <c r="C152" s="65" t="s">
        <v>1988</v>
      </c>
      <c r="D152" s="65" t="s">
        <v>1521</v>
      </c>
      <c r="E152" s="65" t="s">
        <v>415</v>
      </c>
      <c r="F152" s="70">
        <v>0</v>
      </c>
      <c r="G152" s="64">
        <f>VLOOKUP($B152,'7. PGE_Efficacité'!$A$6:$AO$268,11,0)</f>
        <v>0</v>
      </c>
      <c r="H152" s="64">
        <f>VLOOKUP($B152,'7. PGE_Efficacité'!$A$6:$AO$268,12,0)</f>
        <v>0</v>
      </c>
      <c r="I152" s="64">
        <f>VLOOKUP($B152,'7. PGE_Efficacité'!$A$6:$AO$268,13,0)</f>
        <v>0</v>
      </c>
      <c r="J152" s="64">
        <f>VLOOKUP($B152,'7. PGE_Efficacité'!$A$6:$AO$268,14,0)</f>
        <v>0</v>
      </c>
      <c r="K152" s="64">
        <f>VLOOKUP($B152,'7. PGE_Efficacité'!$A$6:$AO$268,15,0)</f>
        <v>0</v>
      </c>
      <c r="L152" s="64">
        <f>VLOOKUP($B152,'7. PGE_Efficacité'!$A$6:$AO$268,16,0)</f>
        <v>0</v>
      </c>
      <c r="M152" s="64">
        <f>VLOOKUP($B152,'7. PGE_Efficacité'!$A$6:$AO$268,17,0)</f>
        <v>0</v>
      </c>
      <c r="N152" s="64">
        <f>VLOOKUP($B152,'7. PGE_Efficacité'!$A$6:$AO$268,18,0)</f>
        <v>0</v>
      </c>
      <c r="O152" s="64">
        <f>VLOOKUP($B152,'7. PGE_Efficacité'!$A$6:$AO$268,19,0)</f>
        <v>0</v>
      </c>
      <c r="P152" s="64">
        <f>VLOOKUP($B152,'7. PGE_Efficacité'!$A$6:$AO$268,20,0)</f>
        <v>0</v>
      </c>
      <c r="Q152" s="64">
        <f>VLOOKUP($B152,'7. PGE_Efficacité'!$A$6:$AO$268,21,0)</f>
        <v>0</v>
      </c>
      <c r="R152" s="64">
        <f>VLOOKUP($B152,'7. PGE_Efficacité'!$A$6:$AO$268,22,0)</f>
        <v>0</v>
      </c>
      <c r="S152" s="64">
        <f>VLOOKUP($B152,'7. PGE_Efficacité'!$A$6:$AO$268,23,0)</f>
        <v>0</v>
      </c>
      <c r="T152" s="64">
        <f>VLOOKUP($B152,'7. PGE_Efficacité'!$A$6:$AO$268,24,0)</f>
        <v>0</v>
      </c>
      <c r="U152" s="64">
        <f>VLOOKUP($B152,'7. PGE_Efficacité'!$A$6:$AO$268,25,0)</f>
        <v>0</v>
      </c>
      <c r="V152" s="64">
        <f>VLOOKUP($B152,'7. PGE_Efficacité'!$A$6:$AO$268,26,0)</f>
        <v>0</v>
      </c>
      <c r="W152" s="61">
        <f>VLOOKUP($B152,'7. PGE_Efficacité'!$A$6:$AO$268,27,0)</f>
        <v>0</v>
      </c>
      <c r="X152" s="61">
        <f>VLOOKUP($B152,'7. PGE_Efficacité'!$A$6:$AO$268,28,0)</f>
        <v>0</v>
      </c>
      <c r="Y152" s="61">
        <f>VLOOKUP($B152,'7. PGE_Efficacité'!$A$6:$AO$268,29,0)</f>
        <v>0</v>
      </c>
      <c r="Z152" s="61">
        <f>VLOOKUP($B152,'7. PGE_Efficacité'!$A$6:$AO$268,30,0)</f>
        <v>0</v>
      </c>
      <c r="AA152" s="61">
        <f>VLOOKUP($B152,'7. PGE_Efficacité'!$A$6:$AO$268,31,0)</f>
        <v>0</v>
      </c>
      <c r="AB152" s="61">
        <f>VLOOKUP($B152,'7. PGE_Efficacité'!$A$6:$AO$268,32,0)</f>
        <v>0</v>
      </c>
      <c r="AC152" s="61">
        <f>VLOOKUP($B152,'7. PGE_Efficacité'!$A$6:$AO$268,33,0)</f>
        <v>0</v>
      </c>
      <c r="AD152" s="61">
        <f>VLOOKUP($B152,'7. PGE_Efficacité'!$A$6:$AO$268,34,0)</f>
        <v>0</v>
      </c>
      <c r="AE152" s="61">
        <f>VLOOKUP($B152,'7. PGE_Efficacité'!$A$6:$AO$268,35,0)</f>
        <v>0</v>
      </c>
      <c r="AF152" s="61">
        <f>VLOOKUP($B152,'7. PGE_Efficacité'!$A$6:$AO$268,36,0)</f>
        <v>0</v>
      </c>
      <c r="AG152" s="61">
        <f>VLOOKUP($B152,'7. PGE_Efficacité'!$A$6:$AO$268,37,0)</f>
        <v>0</v>
      </c>
      <c r="AH152" s="61">
        <f>VLOOKUP($B152,'7. PGE_Efficacité'!$A$6:$AO$268,38,0)</f>
        <v>0</v>
      </c>
      <c r="AI152" s="61">
        <f>VLOOKUP($B152,'7. PGE_Efficacité'!$A$6:$AO$268,39,0)</f>
        <v>0</v>
      </c>
      <c r="AJ152" s="61">
        <f>VLOOKUP($B152,'7. PGE_Efficacité'!$A$6:$AO$268,40,0)</f>
        <v>0</v>
      </c>
      <c r="AK152" s="61">
        <f>VLOOKUP($B152,'7. PGE_Efficacité'!$A$6:$AO$268,41,0)</f>
        <v>0</v>
      </c>
    </row>
    <row r="153" spans="1:37" outlineLevel="1" x14ac:dyDescent="0.25">
      <c r="A153" s="249" t="str">
        <f t="shared" si="0"/>
        <v>M 1.24</v>
      </c>
      <c r="B153" s="250" t="s">
        <v>752</v>
      </c>
      <c r="C153" s="65" t="s">
        <v>1990</v>
      </c>
      <c r="D153" s="65" t="s">
        <v>1521</v>
      </c>
      <c r="E153" s="65" t="s">
        <v>415</v>
      </c>
      <c r="F153" s="70">
        <v>0</v>
      </c>
      <c r="G153" s="64">
        <f>VLOOKUP($B153,'7. PGE_Efficacité'!$A$6:$AO$268,11,0)</f>
        <v>0</v>
      </c>
      <c r="H153" s="64">
        <f>VLOOKUP($B153,'7. PGE_Efficacité'!$A$6:$AO$268,12,0)</f>
        <v>0</v>
      </c>
      <c r="I153" s="64">
        <f>VLOOKUP($B153,'7. PGE_Efficacité'!$A$6:$AO$268,13,0)</f>
        <v>0</v>
      </c>
      <c r="J153" s="64">
        <f>VLOOKUP($B153,'7. PGE_Efficacité'!$A$6:$AO$268,14,0)</f>
        <v>0</v>
      </c>
      <c r="K153" s="64">
        <f>VLOOKUP($B153,'7. PGE_Efficacité'!$A$6:$AO$268,15,0)</f>
        <v>0</v>
      </c>
      <c r="L153" s="64">
        <f>VLOOKUP($B153,'7. PGE_Efficacité'!$A$6:$AO$268,16,0)</f>
        <v>0</v>
      </c>
      <c r="M153" s="64">
        <f>VLOOKUP($B153,'7. PGE_Efficacité'!$A$6:$AO$268,17,0)</f>
        <v>0</v>
      </c>
      <c r="N153" s="64">
        <f>VLOOKUP($B153,'7. PGE_Efficacité'!$A$6:$AO$268,18,0)</f>
        <v>0</v>
      </c>
      <c r="O153" s="64">
        <f>VLOOKUP($B153,'7. PGE_Efficacité'!$A$6:$AO$268,19,0)</f>
        <v>0</v>
      </c>
      <c r="P153" s="64">
        <f>VLOOKUP($B153,'7. PGE_Efficacité'!$A$6:$AO$268,20,0)</f>
        <v>0</v>
      </c>
      <c r="Q153" s="64">
        <f>VLOOKUP($B153,'7. PGE_Efficacité'!$A$6:$AO$268,21,0)</f>
        <v>0</v>
      </c>
      <c r="R153" s="64">
        <f>VLOOKUP($B153,'7. PGE_Efficacité'!$A$6:$AO$268,22,0)</f>
        <v>0</v>
      </c>
      <c r="S153" s="64">
        <f>VLOOKUP($B153,'7. PGE_Efficacité'!$A$6:$AO$268,23,0)</f>
        <v>0</v>
      </c>
      <c r="T153" s="64">
        <f>VLOOKUP($B153,'7. PGE_Efficacité'!$A$6:$AO$268,24,0)</f>
        <v>0</v>
      </c>
      <c r="U153" s="64">
        <f>VLOOKUP($B153,'7. PGE_Efficacité'!$A$6:$AO$268,25,0)</f>
        <v>0</v>
      </c>
      <c r="V153" s="64">
        <f>VLOOKUP($B153,'7. PGE_Efficacité'!$A$6:$AO$268,26,0)</f>
        <v>0</v>
      </c>
      <c r="W153" s="61">
        <f>VLOOKUP($B153,'7. PGE_Efficacité'!$A$6:$AO$268,27,0)</f>
        <v>0</v>
      </c>
      <c r="X153" s="61">
        <f>VLOOKUP($B153,'7. PGE_Efficacité'!$A$6:$AO$268,28,0)</f>
        <v>0</v>
      </c>
      <c r="Y153" s="61">
        <f>VLOOKUP($B153,'7. PGE_Efficacité'!$A$6:$AO$268,29,0)</f>
        <v>0</v>
      </c>
      <c r="Z153" s="61">
        <f>VLOOKUP($B153,'7. PGE_Efficacité'!$A$6:$AO$268,30,0)</f>
        <v>0</v>
      </c>
      <c r="AA153" s="61">
        <f>VLOOKUP($B153,'7. PGE_Efficacité'!$A$6:$AO$268,31,0)</f>
        <v>0</v>
      </c>
      <c r="AB153" s="61">
        <f>VLOOKUP($B153,'7. PGE_Efficacité'!$A$6:$AO$268,32,0)</f>
        <v>0</v>
      </c>
      <c r="AC153" s="61">
        <f>VLOOKUP($B153,'7. PGE_Efficacité'!$A$6:$AO$268,33,0)</f>
        <v>0</v>
      </c>
      <c r="AD153" s="61">
        <f>VLOOKUP($B153,'7. PGE_Efficacité'!$A$6:$AO$268,34,0)</f>
        <v>0</v>
      </c>
      <c r="AE153" s="61">
        <f>VLOOKUP($B153,'7. PGE_Efficacité'!$A$6:$AO$268,35,0)</f>
        <v>0</v>
      </c>
      <c r="AF153" s="61">
        <f>VLOOKUP($B153,'7. PGE_Efficacité'!$A$6:$AO$268,36,0)</f>
        <v>0</v>
      </c>
      <c r="AG153" s="61">
        <f>VLOOKUP($B153,'7. PGE_Efficacité'!$A$6:$AO$268,37,0)</f>
        <v>0</v>
      </c>
      <c r="AH153" s="61">
        <f>VLOOKUP($B153,'7. PGE_Efficacité'!$A$6:$AO$268,38,0)</f>
        <v>0</v>
      </c>
      <c r="AI153" s="61">
        <f>VLOOKUP($B153,'7. PGE_Efficacité'!$A$6:$AO$268,39,0)</f>
        <v>0</v>
      </c>
      <c r="AJ153" s="61">
        <f>VLOOKUP($B153,'7. PGE_Efficacité'!$A$6:$AO$268,40,0)</f>
        <v>0</v>
      </c>
      <c r="AK153" s="61">
        <f>VLOOKUP($B153,'7. PGE_Efficacité'!$A$6:$AO$268,41,0)</f>
        <v>0</v>
      </c>
    </row>
    <row r="154" spans="1:37" outlineLevel="1" x14ac:dyDescent="0.25">
      <c r="A154" s="249" t="str">
        <f t="shared" si="0"/>
        <v>M 1.24</v>
      </c>
      <c r="B154" s="250" t="s">
        <v>753</v>
      </c>
      <c r="C154" s="65" t="s">
        <v>1992</v>
      </c>
      <c r="D154" s="65" t="s">
        <v>1521</v>
      </c>
      <c r="E154" s="65" t="s">
        <v>416</v>
      </c>
      <c r="F154" s="70">
        <v>0</v>
      </c>
      <c r="G154" s="64">
        <f>VLOOKUP($B154,'7. PGE_Efficacité'!$A$6:$AO$268,11,0)</f>
        <v>0</v>
      </c>
      <c r="H154" s="64">
        <f>VLOOKUP($B154,'7. PGE_Efficacité'!$A$6:$AO$268,12,0)</f>
        <v>0</v>
      </c>
      <c r="I154" s="64">
        <f>VLOOKUP($B154,'7. PGE_Efficacité'!$A$6:$AO$268,13,0)</f>
        <v>0</v>
      </c>
      <c r="J154" s="64">
        <f>VLOOKUP($B154,'7. PGE_Efficacité'!$A$6:$AO$268,14,0)</f>
        <v>0</v>
      </c>
      <c r="K154" s="64">
        <f>VLOOKUP($B154,'7. PGE_Efficacité'!$A$6:$AO$268,15,0)</f>
        <v>0</v>
      </c>
      <c r="L154" s="64">
        <f>VLOOKUP($B154,'7. PGE_Efficacité'!$A$6:$AO$268,16,0)</f>
        <v>0</v>
      </c>
      <c r="M154" s="64">
        <f>VLOOKUP($B154,'7. PGE_Efficacité'!$A$6:$AO$268,17,0)</f>
        <v>0</v>
      </c>
      <c r="N154" s="64">
        <f>VLOOKUP($B154,'7. PGE_Efficacité'!$A$6:$AO$268,18,0)</f>
        <v>0</v>
      </c>
      <c r="O154" s="64">
        <f>VLOOKUP($B154,'7. PGE_Efficacité'!$A$6:$AO$268,19,0)</f>
        <v>0</v>
      </c>
      <c r="P154" s="64">
        <f>VLOOKUP($B154,'7. PGE_Efficacité'!$A$6:$AO$268,20,0)</f>
        <v>0</v>
      </c>
      <c r="Q154" s="64">
        <f>VLOOKUP($B154,'7. PGE_Efficacité'!$A$6:$AO$268,21,0)</f>
        <v>0</v>
      </c>
      <c r="R154" s="64">
        <f>VLOOKUP($B154,'7. PGE_Efficacité'!$A$6:$AO$268,22,0)</f>
        <v>0</v>
      </c>
      <c r="S154" s="64">
        <f>VLOOKUP($B154,'7. PGE_Efficacité'!$A$6:$AO$268,23,0)</f>
        <v>0</v>
      </c>
      <c r="T154" s="64">
        <f>VLOOKUP($B154,'7. PGE_Efficacité'!$A$6:$AO$268,24,0)</f>
        <v>0</v>
      </c>
      <c r="U154" s="64">
        <f>VLOOKUP($B154,'7. PGE_Efficacité'!$A$6:$AO$268,25,0)</f>
        <v>0</v>
      </c>
      <c r="V154" s="64">
        <f>VLOOKUP($B154,'7. PGE_Efficacité'!$A$6:$AO$268,26,0)</f>
        <v>0</v>
      </c>
      <c r="W154" s="61">
        <f>VLOOKUP($B154,'7. PGE_Efficacité'!$A$6:$AO$268,27,0)</f>
        <v>0</v>
      </c>
      <c r="X154" s="61">
        <f>VLOOKUP($B154,'7. PGE_Efficacité'!$A$6:$AO$268,28,0)</f>
        <v>0</v>
      </c>
      <c r="Y154" s="61">
        <f>VLOOKUP($B154,'7. PGE_Efficacité'!$A$6:$AO$268,29,0)</f>
        <v>0</v>
      </c>
      <c r="Z154" s="61">
        <f>VLOOKUP($B154,'7. PGE_Efficacité'!$A$6:$AO$268,30,0)</f>
        <v>0</v>
      </c>
      <c r="AA154" s="61">
        <f>VLOOKUP($B154,'7. PGE_Efficacité'!$A$6:$AO$268,31,0)</f>
        <v>0</v>
      </c>
      <c r="AB154" s="61">
        <f>VLOOKUP($B154,'7. PGE_Efficacité'!$A$6:$AO$268,32,0)</f>
        <v>0</v>
      </c>
      <c r="AC154" s="61">
        <f>VLOOKUP($B154,'7. PGE_Efficacité'!$A$6:$AO$268,33,0)</f>
        <v>0</v>
      </c>
      <c r="AD154" s="61">
        <f>VLOOKUP($B154,'7. PGE_Efficacité'!$A$6:$AO$268,34,0)</f>
        <v>0</v>
      </c>
      <c r="AE154" s="61">
        <f>VLOOKUP($B154,'7. PGE_Efficacité'!$A$6:$AO$268,35,0)</f>
        <v>0</v>
      </c>
      <c r="AF154" s="61">
        <f>VLOOKUP($B154,'7. PGE_Efficacité'!$A$6:$AO$268,36,0)</f>
        <v>0</v>
      </c>
      <c r="AG154" s="61">
        <f>VLOOKUP($B154,'7. PGE_Efficacité'!$A$6:$AO$268,37,0)</f>
        <v>0</v>
      </c>
      <c r="AH154" s="61">
        <f>VLOOKUP($B154,'7. PGE_Efficacité'!$A$6:$AO$268,38,0)</f>
        <v>0</v>
      </c>
      <c r="AI154" s="61">
        <f>VLOOKUP($B154,'7. PGE_Efficacité'!$A$6:$AO$268,39,0)</f>
        <v>0</v>
      </c>
      <c r="AJ154" s="61">
        <f>VLOOKUP($B154,'7. PGE_Efficacité'!$A$6:$AO$268,40,0)</f>
        <v>0</v>
      </c>
      <c r="AK154" s="61">
        <f>VLOOKUP($B154,'7. PGE_Efficacité'!$A$6:$AO$268,41,0)</f>
        <v>0</v>
      </c>
    </row>
    <row r="155" spans="1:37" outlineLevel="1" x14ac:dyDescent="0.25">
      <c r="A155" s="249" t="str">
        <f t="shared" si="0"/>
        <v>M 1.24</v>
      </c>
      <c r="B155" s="250" t="s">
        <v>754</v>
      </c>
      <c r="C155" s="65" t="s">
        <v>1994</v>
      </c>
      <c r="D155" s="65" t="s">
        <v>1521</v>
      </c>
      <c r="E155" s="65" t="s">
        <v>416</v>
      </c>
      <c r="F155" s="70">
        <v>0</v>
      </c>
      <c r="G155" s="64">
        <f>VLOOKUP($B155,'7. PGE_Efficacité'!$A$6:$AO$268,11,0)</f>
        <v>0</v>
      </c>
      <c r="H155" s="64">
        <f>VLOOKUP($B155,'7. PGE_Efficacité'!$A$6:$AO$268,12,0)</f>
        <v>0</v>
      </c>
      <c r="I155" s="64">
        <f>VLOOKUP($B155,'7. PGE_Efficacité'!$A$6:$AO$268,13,0)</f>
        <v>0</v>
      </c>
      <c r="J155" s="64">
        <f>VLOOKUP($B155,'7. PGE_Efficacité'!$A$6:$AO$268,14,0)</f>
        <v>0</v>
      </c>
      <c r="K155" s="64">
        <f>VLOOKUP($B155,'7. PGE_Efficacité'!$A$6:$AO$268,15,0)</f>
        <v>0</v>
      </c>
      <c r="L155" s="64">
        <f>VLOOKUP($B155,'7. PGE_Efficacité'!$A$6:$AO$268,16,0)</f>
        <v>0</v>
      </c>
      <c r="M155" s="64">
        <f>VLOOKUP($B155,'7. PGE_Efficacité'!$A$6:$AO$268,17,0)</f>
        <v>0</v>
      </c>
      <c r="N155" s="64">
        <f>VLOOKUP($B155,'7. PGE_Efficacité'!$A$6:$AO$268,18,0)</f>
        <v>0</v>
      </c>
      <c r="O155" s="64">
        <f>VLOOKUP($B155,'7. PGE_Efficacité'!$A$6:$AO$268,19,0)</f>
        <v>0</v>
      </c>
      <c r="P155" s="64">
        <f>VLOOKUP($B155,'7. PGE_Efficacité'!$A$6:$AO$268,20,0)</f>
        <v>0</v>
      </c>
      <c r="Q155" s="64">
        <f>VLOOKUP($B155,'7. PGE_Efficacité'!$A$6:$AO$268,21,0)</f>
        <v>0</v>
      </c>
      <c r="R155" s="64">
        <f>VLOOKUP($B155,'7. PGE_Efficacité'!$A$6:$AO$268,22,0)</f>
        <v>0</v>
      </c>
      <c r="S155" s="64">
        <f>VLOOKUP($B155,'7. PGE_Efficacité'!$A$6:$AO$268,23,0)</f>
        <v>0</v>
      </c>
      <c r="T155" s="64">
        <f>VLOOKUP($B155,'7. PGE_Efficacité'!$A$6:$AO$268,24,0)</f>
        <v>0</v>
      </c>
      <c r="U155" s="64">
        <f>VLOOKUP($B155,'7. PGE_Efficacité'!$A$6:$AO$268,25,0)</f>
        <v>0</v>
      </c>
      <c r="V155" s="64">
        <f>VLOOKUP($B155,'7. PGE_Efficacité'!$A$6:$AO$268,26,0)</f>
        <v>0</v>
      </c>
      <c r="W155" s="61">
        <f>VLOOKUP($B155,'7. PGE_Efficacité'!$A$6:$AO$268,27,0)</f>
        <v>0</v>
      </c>
      <c r="X155" s="61">
        <f>VLOOKUP($B155,'7. PGE_Efficacité'!$A$6:$AO$268,28,0)</f>
        <v>0</v>
      </c>
      <c r="Y155" s="61">
        <f>VLOOKUP($B155,'7. PGE_Efficacité'!$A$6:$AO$268,29,0)</f>
        <v>0</v>
      </c>
      <c r="Z155" s="61">
        <f>VLOOKUP($B155,'7. PGE_Efficacité'!$A$6:$AO$268,30,0)</f>
        <v>0</v>
      </c>
      <c r="AA155" s="61">
        <f>VLOOKUP($B155,'7. PGE_Efficacité'!$A$6:$AO$268,31,0)</f>
        <v>0</v>
      </c>
      <c r="AB155" s="61">
        <f>VLOOKUP($B155,'7. PGE_Efficacité'!$A$6:$AO$268,32,0)</f>
        <v>0</v>
      </c>
      <c r="AC155" s="61">
        <f>VLOOKUP($B155,'7. PGE_Efficacité'!$A$6:$AO$268,33,0)</f>
        <v>0</v>
      </c>
      <c r="AD155" s="61">
        <f>VLOOKUP($B155,'7. PGE_Efficacité'!$A$6:$AO$268,34,0)</f>
        <v>0</v>
      </c>
      <c r="AE155" s="61">
        <f>VLOOKUP($B155,'7. PGE_Efficacité'!$A$6:$AO$268,35,0)</f>
        <v>0</v>
      </c>
      <c r="AF155" s="61">
        <f>VLOOKUP($B155,'7. PGE_Efficacité'!$A$6:$AO$268,36,0)</f>
        <v>0</v>
      </c>
      <c r="AG155" s="61">
        <f>VLOOKUP($B155,'7. PGE_Efficacité'!$A$6:$AO$268,37,0)</f>
        <v>0</v>
      </c>
      <c r="AH155" s="61">
        <f>VLOOKUP($B155,'7. PGE_Efficacité'!$A$6:$AO$268,38,0)</f>
        <v>0</v>
      </c>
      <c r="AI155" s="61">
        <f>VLOOKUP($B155,'7. PGE_Efficacité'!$A$6:$AO$268,39,0)</f>
        <v>0</v>
      </c>
      <c r="AJ155" s="61">
        <f>VLOOKUP($B155,'7. PGE_Efficacité'!$A$6:$AO$268,40,0)</f>
        <v>0</v>
      </c>
      <c r="AK155" s="61">
        <f>VLOOKUP($B155,'7. PGE_Efficacité'!$A$6:$AO$268,41,0)</f>
        <v>0</v>
      </c>
    </row>
    <row r="156" spans="1:37" outlineLevel="1" x14ac:dyDescent="0.25">
      <c r="A156" s="249" t="str">
        <f t="shared" si="0"/>
        <v>M 1.24</v>
      </c>
      <c r="B156" s="250" t="s">
        <v>2602</v>
      </c>
      <c r="C156" s="65" t="s">
        <v>1996</v>
      </c>
      <c r="D156" s="65" t="s">
        <v>1521</v>
      </c>
      <c r="E156" s="65" t="s">
        <v>1290</v>
      </c>
      <c r="F156" s="70">
        <v>0</v>
      </c>
      <c r="G156" s="64">
        <f>VLOOKUP($B156,'7. PGE_Efficacité'!$A$6:$AO$268,11,0)</f>
        <v>0</v>
      </c>
      <c r="H156" s="64">
        <f>VLOOKUP($B156,'7. PGE_Efficacité'!$A$6:$AO$268,12,0)</f>
        <v>0</v>
      </c>
      <c r="I156" s="64">
        <f>VLOOKUP($B156,'7. PGE_Efficacité'!$A$6:$AO$268,13,0)</f>
        <v>0</v>
      </c>
      <c r="J156" s="64">
        <f>VLOOKUP($B156,'7. PGE_Efficacité'!$A$6:$AO$268,14,0)</f>
        <v>0</v>
      </c>
      <c r="K156" s="64">
        <f>VLOOKUP($B156,'7. PGE_Efficacité'!$A$6:$AO$268,15,0)</f>
        <v>0</v>
      </c>
      <c r="L156" s="64">
        <f>VLOOKUP($B156,'7. PGE_Efficacité'!$A$6:$AO$268,16,0)</f>
        <v>0</v>
      </c>
      <c r="M156" s="64">
        <f>VLOOKUP($B156,'7. PGE_Efficacité'!$A$6:$AO$268,17,0)</f>
        <v>0</v>
      </c>
      <c r="N156" s="64">
        <f>VLOOKUP($B156,'7. PGE_Efficacité'!$A$6:$AO$268,18,0)</f>
        <v>0</v>
      </c>
      <c r="O156" s="64">
        <f>VLOOKUP($B156,'7. PGE_Efficacité'!$A$6:$AO$268,19,0)</f>
        <v>0</v>
      </c>
      <c r="P156" s="64">
        <f>VLOOKUP($B156,'7. PGE_Efficacité'!$A$6:$AO$268,20,0)</f>
        <v>0</v>
      </c>
      <c r="Q156" s="64">
        <f>VLOOKUP($B156,'7. PGE_Efficacité'!$A$6:$AO$268,21,0)</f>
        <v>0</v>
      </c>
      <c r="R156" s="64">
        <f>VLOOKUP($B156,'7. PGE_Efficacité'!$A$6:$AO$268,22,0)</f>
        <v>0</v>
      </c>
      <c r="S156" s="64">
        <f>VLOOKUP($B156,'7. PGE_Efficacité'!$A$6:$AO$268,23,0)</f>
        <v>0</v>
      </c>
      <c r="T156" s="64">
        <f>VLOOKUP($B156,'7. PGE_Efficacité'!$A$6:$AO$268,24,0)</f>
        <v>0</v>
      </c>
      <c r="U156" s="64">
        <f>VLOOKUP($B156,'7. PGE_Efficacité'!$A$6:$AO$268,25,0)</f>
        <v>0</v>
      </c>
      <c r="V156" s="64">
        <f>VLOOKUP($B156,'7. PGE_Efficacité'!$A$6:$AO$268,26,0)</f>
        <v>0</v>
      </c>
      <c r="W156" s="61">
        <f>VLOOKUP($B156,'7. PGE_Efficacité'!$A$6:$AO$268,27,0)</f>
        <v>0</v>
      </c>
      <c r="X156" s="61">
        <f>VLOOKUP($B156,'7. PGE_Efficacité'!$A$6:$AO$268,28,0)</f>
        <v>0</v>
      </c>
      <c r="Y156" s="61">
        <f>VLOOKUP($B156,'7. PGE_Efficacité'!$A$6:$AO$268,29,0)</f>
        <v>0</v>
      </c>
      <c r="Z156" s="61">
        <f>VLOOKUP($B156,'7. PGE_Efficacité'!$A$6:$AO$268,30,0)</f>
        <v>0</v>
      </c>
      <c r="AA156" s="61">
        <f>VLOOKUP($B156,'7. PGE_Efficacité'!$A$6:$AO$268,31,0)</f>
        <v>0</v>
      </c>
      <c r="AB156" s="61">
        <f>VLOOKUP($B156,'7. PGE_Efficacité'!$A$6:$AO$268,32,0)</f>
        <v>0</v>
      </c>
      <c r="AC156" s="61">
        <f>VLOOKUP($B156,'7. PGE_Efficacité'!$A$6:$AO$268,33,0)</f>
        <v>0</v>
      </c>
      <c r="AD156" s="61">
        <f>VLOOKUP($B156,'7. PGE_Efficacité'!$A$6:$AO$268,34,0)</f>
        <v>0</v>
      </c>
      <c r="AE156" s="61">
        <f>VLOOKUP($B156,'7. PGE_Efficacité'!$A$6:$AO$268,35,0)</f>
        <v>0</v>
      </c>
      <c r="AF156" s="61">
        <f>VLOOKUP($B156,'7. PGE_Efficacité'!$A$6:$AO$268,36,0)</f>
        <v>0</v>
      </c>
      <c r="AG156" s="61">
        <f>VLOOKUP($B156,'7. PGE_Efficacité'!$A$6:$AO$268,37,0)</f>
        <v>0</v>
      </c>
      <c r="AH156" s="61">
        <f>VLOOKUP($B156,'7. PGE_Efficacité'!$A$6:$AO$268,38,0)</f>
        <v>0</v>
      </c>
      <c r="AI156" s="61">
        <f>VLOOKUP($B156,'7. PGE_Efficacité'!$A$6:$AO$268,39,0)</f>
        <v>0</v>
      </c>
      <c r="AJ156" s="61">
        <f>VLOOKUP($B156,'7. PGE_Efficacité'!$A$6:$AO$268,40,0)</f>
        <v>0</v>
      </c>
      <c r="AK156" s="61">
        <f>VLOOKUP($B156,'7. PGE_Efficacité'!$A$6:$AO$268,41,0)</f>
        <v>0</v>
      </c>
    </row>
    <row r="157" spans="1:37" outlineLevel="1" x14ac:dyDescent="0.25">
      <c r="A157" s="249" t="str">
        <f t="shared" si="0"/>
        <v>M 1.24</v>
      </c>
      <c r="B157" s="250" t="s">
        <v>2603</v>
      </c>
      <c r="C157" s="65" t="s">
        <v>1998</v>
      </c>
      <c r="D157" s="65" t="s">
        <v>1521</v>
      </c>
      <c r="E157" s="65" t="s">
        <v>1290</v>
      </c>
      <c r="F157" s="70">
        <f>40000*0.67</f>
        <v>26800</v>
      </c>
      <c r="G157" s="64">
        <f>VLOOKUP($B157,'7. PGE_Efficacité'!$A$6:$AO$268,11,0)</f>
        <v>0</v>
      </c>
      <c r="H157" s="64">
        <f>VLOOKUP($B157,'7. PGE_Efficacité'!$A$6:$AO$268,12,0)</f>
        <v>0</v>
      </c>
      <c r="I157" s="64">
        <f>VLOOKUP($B157,'7. PGE_Efficacité'!$A$6:$AO$268,13,0)</f>
        <v>0</v>
      </c>
      <c r="J157" s="64">
        <f>VLOOKUP($B157,'7. PGE_Efficacité'!$A$6:$AO$268,14,0)</f>
        <v>0</v>
      </c>
      <c r="K157" s="64">
        <f>VLOOKUP($B157,'7. PGE_Efficacité'!$A$6:$AO$268,15,0)</f>
        <v>0</v>
      </c>
      <c r="L157" s="64">
        <f>VLOOKUP($B157,'7. PGE_Efficacité'!$A$6:$AO$268,16,0)</f>
        <v>0</v>
      </c>
      <c r="M157" s="64">
        <f>VLOOKUP($B157,'7. PGE_Efficacité'!$A$6:$AO$268,17,0)</f>
        <v>0</v>
      </c>
      <c r="N157" s="64">
        <f>VLOOKUP($B157,'7. PGE_Efficacité'!$A$6:$AO$268,18,0)</f>
        <v>0</v>
      </c>
      <c r="O157" s="64">
        <f>VLOOKUP($B157,'7. PGE_Efficacité'!$A$6:$AO$268,19,0)</f>
        <v>0</v>
      </c>
      <c r="P157" s="64">
        <f>VLOOKUP($B157,'7. PGE_Efficacité'!$A$6:$AO$268,20,0)</f>
        <v>0</v>
      </c>
      <c r="Q157" s="64">
        <f>VLOOKUP($B157,'7. PGE_Efficacité'!$A$6:$AO$268,21,0)</f>
        <v>0</v>
      </c>
      <c r="R157" s="64">
        <f>VLOOKUP($B157,'7. PGE_Efficacité'!$A$6:$AO$268,22,0)</f>
        <v>0</v>
      </c>
      <c r="S157" s="64">
        <f>VLOOKUP($B157,'7. PGE_Efficacité'!$A$6:$AO$268,23,0)</f>
        <v>0</v>
      </c>
      <c r="T157" s="64">
        <f>VLOOKUP($B157,'7. PGE_Efficacité'!$A$6:$AO$268,24,0)</f>
        <v>0</v>
      </c>
      <c r="U157" s="64">
        <f>VLOOKUP($B157,'7. PGE_Efficacité'!$A$6:$AO$268,25,0)</f>
        <v>0</v>
      </c>
      <c r="V157" s="64">
        <f>VLOOKUP($B157,'7. PGE_Efficacité'!$A$6:$AO$268,26,0)</f>
        <v>0</v>
      </c>
      <c r="W157" s="61">
        <f>VLOOKUP($B157,'7. PGE_Efficacité'!$A$6:$AO$268,27,0)</f>
        <v>0</v>
      </c>
      <c r="X157" s="61">
        <f>VLOOKUP($B157,'7. PGE_Efficacité'!$A$6:$AO$268,28,0)</f>
        <v>0</v>
      </c>
      <c r="Y157" s="61">
        <f>VLOOKUP($B157,'7. PGE_Efficacité'!$A$6:$AO$268,29,0)</f>
        <v>0</v>
      </c>
      <c r="Z157" s="61">
        <f>VLOOKUP($B157,'7. PGE_Efficacité'!$A$6:$AO$268,30,0)</f>
        <v>0</v>
      </c>
      <c r="AA157" s="61">
        <f>VLOOKUP($B157,'7. PGE_Efficacité'!$A$6:$AO$268,31,0)</f>
        <v>0</v>
      </c>
      <c r="AB157" s="61">
        <f>VLOOKUP($B157,'7. PGE_Efficacité'!$A$6:$AO$268,32,0)</f>
        <v>0</v>
      </c>
      <c r="AC157" s="61">
        <f>VLOOKUP($B157,'7. PGE_Efficacité'!$A$6:$AO$268,33,0)</f>
        <v>0</v>
      </c>
      <c r="AD157" s="61">
        <f>VLOOKUP($B157,'7. PGE_Efficacité'!$A$6:$AO$268,34,0)</f>
        <v>0</v>
      </c>
      <c r="AE157" s="61">
        <f>VLOOKUP($B157,'7. PGE_Efficacité'!$A$6:$AO$268,35,0)</f>
        <v>0</v>
      </c>
      <c r="AF157" s="61">
        <f>VLOOKUP($B157,'7. PGE_Efficacité'!$A$6:$AO$268,36,0)</f>
        <v>0</v>
      </c>
      <c r="AG157" s="61">
        <f>VLOOKUP($B157,'7. PGE_Efficacité'!$A$6:$AO$268,37,0)</f>
        <v>0</v>
      </c>
      <c r="AH157" s="61">
        <f>VLOOKUP($B157,'7. PGE_Efficacité'!$A$6:$AO$268,38,0)</f>
        <v>0</v>
      </c>
      <c r="AI157" s="61">
        <f>VLOOKUP($B157,'7. PGE_Efficacité'!$A$6:$AO$268,39,0)</f>
        <v>0</v>
      </c>
      <c r="AJ157" s="61">
        <f>VLOOKUP($B157,'7. PGE_Efficacité'!$A$6:$AO$268,40,0)</f>
        <v>0</v>
      </c>
      <c r="AK157" s="61">
        <f>VLOOKUP($B157,'7. PGE_Efficacité'!$A$6:$AO$268,41,0)</f>
        <v>0</v>
      </c>
    </row>
    <row r="158" spans="1:37" x14ac:dyDescent="0.25">
      <c r="A158" s="157" t="s">
        <v>26</v>
      </c>
      <c r="B158" s="63"/>
      <c r="C158" s="156" t="s">
        <v>218</v>
      </c>
      <c r="D158" s="63"/>
      <c r="E158" s="63"/>
      <c r="F158" s="72">
        <f>SUM(F159:F171)</f>
        <v>15276.000000000002</v>
      </c>
      <c r="G158" s="180" t="str">
        <f>VLOOKUP($A158,'7. PGE_Efficacité'!$A$6:$AO$268,11,0)</f>
        <v>+</v>
      </c>
      <c r="H158" s="180" t="str">
        <f>VLOOKUP($A158,'7. PGE_Efficacité'!$A$6:$AO$268,12,0)</f>
        <v>+</v>
      </c>
      <c r="I158" s="180" t="str">
        <f>VLOOKUP($A158,'7. PGE_Efficacité'!$A$6:$AO$268,13,0)</f>
        <v>+</v>
      </c>
      <c r="J158" s="180" t="str">
        <f>VLOOKUP($A158,'7. PGE_Efficacité'!$A$6:$AO$268,14,0)</f>
        <v>+</v>
      </c>
      <c r="K158" s="180" t="str">
        <f>VLOOKUP($A158,'7. PGE_Efficacité'!$A$6:$AO$268,15,0)</f>
        <v>+</v>
      </c>
      <c r="L158" s="180" t="str">
        <f>VLOOKUP($A158,'7. PGE_Efficacité'!$A$6:$AO$268,16,0)</f>
        <v>+</v>
      </c>
      <c r="M158" s="180" t="str">
        <f>VLOOKUP($A158,'7. PGE_Efficacité'!$A$6:$AO$268,17,0)</f>
        <v>+</v>
      </c>
      <c r="N158" s="180" t="str">
        <f>VLOOKUP($A158,'7. PGE_Efficacité'!$A$6:$AO$268,18,0)</f>
        <v>+</v>
      </c>
      <c r="O158" s="180" t="str">
        <f>VLOOKUP($A158,'7. PGE_Efficacité'!$A$6:$AO$268,19,0)</f>
        <v>+</v>
      </c>
      <c r="P158" s="180" t="str">
        <f>VLOOKUP($A158,'7. PGE_Efficacité'!$A$6:$AO$268,20,0)</f>
        <v>+</v>
      </c>
      <c r="Q158" s="180" t="str">
        <f>VLOOKUP($A158,'7. PGE_Efficacité'!$A$6:$AO$268,21,0)</f>
        <v>+</v>
      </c>
      <c r="R158" s="180">
        <f>VLOOKUP($A158,'7. PGE_Efficacité'!$A$6:$AO$268,22,0)</f>
        <v>0</v>
      </c>
      <c r="S158" s="180" t="str">
        <f>VLOOKUP($A158,'7. PGE_Efficacité'!$A$6:$AO$268,23,0)</f>
        <v>+</v>
      </c>
      <c r="T158" s="180" t="str">
        <f>VLOOKUP($A158,'7. PGE_Efficacité'!$A$6:$AO$268,24,0)</f>
        <v>+</v>
      </c>
      <c r="U158" s="180" t="str">
        <f>VLOOKUP($A158,'7. PGE_Efficacité'!$A$6:$AO$268,25,0)</f>
        <v>+</v>
      </c>
      <c r="V158" s="180" t="str">
        <f>VLOOKUP($A158,'7. PGE_Efficacité'!$A$6:$AO$268,26,0)</f>
        <v>+</v>
      </c>
      <c r="W158" s="181" t="str">
        <f>VLOOKUP($A158,'7. PGE_Efficacité'!$A$6:$AO$268,27,0)</f>
        <v>+</v>
      </c>
      <c r="X158" s="181" t="str">
        <f>VLOOKUP($A158,'7. PGE_Efficacité'!$A$6:$AO$268,28,0)</f>
        <v>+</v>
      </c>
      <c r="Y158" s="181" t="str">
        <f>VLOOKUP($A158,'7. PGE_Efficacité'!$A$6:$AO$268,29,0)</f>
        <v>+</v>
      </c>
      <c r="Z158" s="181" t="str">
        <f>VLOOKUP($A158,'7. PGE_Efficacité'!$A$6:$AO$268,30,0)</f>
        <v>+</v>
      </c>
      <c r="AA158" s="181" t="str">
        <f>VLOOKUP($A158,'7. PGE_Efficacité'!$A$6:$AO$268,31,0)</f>
        <v>+</v>
      </c>
      <c r="AB158" s="181" t="str">
        <f>VLOOKUP($A158,'7. PGE_Efficacité'!$A$6:$AO$268,32,0)</f>
        <v>+</v>
      </c>
      <c r="AC158" s="181" t="str">
        <f>VLOOKUP($A158,'7. PGE_Efficacité'!$A$6:$AO$268,33,0)</f>
        <v>+</v>
      </c>
      <c r="AD158" s="181">
        <f>VLOOKUP($A158,'7. PGE_Efficacité'!$A$6:$AO$268,34,0)</f>
        <v>0</v>
      </c>
      <c r="AE158" s="181">
        <f>VLOOKUP($A158,'7. PGE_Efficacité'!$A$6:$AO$268,35,0)</f>
        <v>0</v>
      </c>
      <c r="AF158" s="181">
        <f>VLOOKUP($A158,'7. PGE_Efficacité'!$A$6:$AO$268,36,0)</f>
        <v>0</v>
      </c>
      <c r="AG158" s="181">
        <f>VLOOKUP($A158,'7. PGE_Efficacité'!$A$6:$AO$268,37,0)</f>
        <v>0</v>
      </c>
      <c r="AH158" s="181" t="str">
        <f>VLOOKUP($A158,'7. PGE_Efficacité'!$A$6:$AO$268,38,0)</f>
        <v>+</v>
      </c>
      <c r="AI158" s="181" t="str">
        <f>VLOOKUP($A158,'7. PGE_Efficacité'!$A$6:$AO$268,39,0)</f>
        <v>+</v>
      </c>
      <c r="AJ158" s="181" t="str">
        <f>VLOOKUP($A158,'7. PGE_Efficacité'!$A$6:$AO$268,40,0)</f>
        <v>+</v>
      </c>
      <c r="AK158" s="181" t="str">
        <f>VLOOKUP($A158,'7. PGE_Efficacité'!$A$6:$AO$268,41,0)</f>
        <v>+</v>
      </c>
    </row>
    <row r="159" spans="1:37" outlineLevel="1" x14ac:dyDescent="0.25">
      <c r="A159" s="65" t="s">
        <v>26</v>
      </c>
      <c r="B159" s="65" t="s">
        <v>755</v>
      </c>
      <c r="C159" s="65" t="s">
        <v>1641</v>
      </c>
      <c r="D159" s="65" t="s">
        <v>1521</v>
      </c>
      <c r="E159" s="251" t="s">
        <v>1290</v>
      </c>
      <c r="F159" s="70">
        <v>0</v>
      </c>
      <c r="G159" s="64">
        <f>VLOOKUP($B159,'7. PGE_Efficacité'!$A$6:$AO$268,11,0)</f>
        <v>0</v>
      </c>
      <c r="H159" s="64">
        <f>VLOOKUP($B159,'7. PGE_Efficacité'!$A$6:$AO$268,12,0)</f>
        <v>0</v>
      </c>
      <c r="I159" s="64">
        <f>VLOOKUP($B159,'7. PGE_Efficacité'!$A$6:$AO$268,13,0)</f>
        <v>0</v>
      </c>
      <c r="J159" s="64">
        <f>VLOOKUP($B159,'7. PGE_Efficacité'!$A$6:$AO$268,14,0)</f>
        <v>0</v>
      </c>
      <c r="K159" s="64">
        <f>VLOOKUP($B159,'7. PGE_Efficacité'!$A$6:$AO$268,15,0)</f>
        <v>0</v>
      </c>
      <c r="L159" s="64">
        <f>VLOOKUP($B159,'7. PGE_Efficacité'!$A$6:$AO$268,16,0)</f>
        <v>0</v>
      </c>
      <c r="M159" s="64">
        <f>VLOOKUP($B159,'7. PGE_Efficacité'!$A$6:$AO$268,17,0)</f>
        <v>0</v>
      </c>
      <c r="N159" s="64">
        <f>VLOOKUP($B159,'7. PGE_Efficacité'!$A$6:$AO$268,18,0)</f>
        <v>0</v>
      </c>
      <c r="O159" s="64">
        <f>VLOOKUP($B159,'7. PGE_Efficacité'!$A$6:$AO$268,19,0)</f>
        <v>0</v>
      </c>
      <c r="P159" s="64">
        <f>VLOOKUP($B159,'7. PGE_Efficacité'!$A$6:$AO$268,20,0)</f>
        <v>0</v>
      </c>
      <c r="Q159" s="64">
        <f>VLOOKUP($B159,'7. PGE_Efficacité'!$A$6:$AO$268,21,0)</f>
        <v>0</v>
      </c>
      <c r="R159" s="64">
        <f>VLOOKUP($B159,'7. PGE_Efficacité'!$A$6:$AO$268,22,0)</f>
        <v>0</v>
      </c>
      <c r="S159" s="64">
        <f>VLOOKUP($B159,'7. PGE_Efficacité'!$A$6:$AO$268,23,0)</f>
        <v>0</v>
      </c>
      <c r="T159" s="64">
        <f>VLOOKUP($B159,'7. PGE_Efficacité'!$A$6:$AO$268,24,0)</f>
        <v>0</v>
      </c>
      <c r="U159" s="64">
        <f>VLOOKUP($B159,'7. PGE_Efficacité'!$A$6:$AO$268,25,0)</f>
        <v>0</v>
      </c>
      <c r="V159" s="64">
        <f>VLOOKUP($B159,'7. PGE_Efficacité'!$A$6:$AO$268,26,0)</f>
        <v>0</v>
      </c>
      <c r="W159" s="61">
        <f>VLOOKUP($B159,'7. PGE_Efficacité'!$A$6:$AO$268,27,0)</f>
        <v>0</v>
      </c>
      <c r="X159" s="61">
        <f>VLOOKUP($B159,'7. PGE_Efficacité'!$A$6:$AO$268,28,0)</f>
        <v>0</v>
      </c>
      <c r="Y159" s="61">
        <f>VLOOKUP($B159,'7. PGE_Efficacité'!$A$6:$AO$268,29,0)</f>
        <v>0</v>
      </c>
      <c r="Z159" s="61">
        <f>VLOOKUP($B159,'7. PGE_Efficacité'!$A$6:$AO$268,30,0)</f>
        <v>0</v>
      </c>
      <c r="AA159" s="61">
        <f>VLOOKUP($B159,'7. PGE_Efficacité'!$A$6:$AO$268,31,0)</f>
        <v>0</v>
      </c>
      <c r="AB159" s="61">
        <f>VLOOKUP($B159,'7. PGE_Efficacité'!$A$6:$AO$268,32,0)</f>
        <v>0</v>
      </c>
      <c r="AC159" s="61">
        <f>VLOOKUP($B159,'7. PGE_Efficacité'!$A$6:$AO$268,33,0)</f>
        <v>0</v>
      </c>
      <c r="AD159" s="61">
        <f>VLOOKUP($B159,'7. PGE_Efficacité'!$A$6:$AO$268,34,0)</f>
        <v>0</v>
      </c>
      <c r="AE159" s="61">
        <f>VLOOKUP($B159,'7. PGE_Efficacité'!$A$6:$AO$268,35,0)</f>
        <v>0</v>
      </c>
      <c r="AF159" s="61">
        <f>VLOOKUP($B159,'7. PGE_Efficacité'!$A$6:$AO$268,36,0)</f>
        <v>0</v>
      </c>
      <c r="AG159" s="61">
        <f>VLOOKUP($B159,'7. PGE_Efficacité'!$A$6:$AO$268,37,0)</f>
        <v>0</v>
      </c>
      <c r="AH159" s="61">
        <f>VLOOKUP($B159,'7. PGE_Efficacité'!$A$6:$AO$268,38,0)</f>
        <v>0</v>
      </c>
      <c r="AI159" s="61">
        <f>VLOOKUP($B159,'7. PGE_Efficacité'!$A$6:$AO$268,39,0)</f>
        <v>0</v>
      </c>
      <c r="AJ159" s="61">
        <f>VLOOKUP($B159,'7. PGE_Efficacité'!$A$6:$AO$268,40,0)</f>
        <v>0</v>
      </c>
      <c r="AK159" s="61">
        <f>VLOOKUP($B159,'7. PGE_Efficacité'!$A$6:$AO$268,41,0)</f>
        <v>0</v>
      </c>
    </row>
    <row r="160" spans="1:37" outlineLevel="1" x14ac:dyDescent="0.25">
      <c r="A160" s="65" t="s">
        <v>26</v>
      </c>
      <c r="B160" s="65" t="s">
        <v>756</v>
      </c>
      <c r="C160" s="65" t="s">
        <v>1644</v>
      </c>
      <c r="D160" s="65" t="s">
        <v>1521</v>
      </c>
      <c r="E160" s="251" t="s">
        <v>1290</v>
      </c>
      <c r="F160" s="70">
        <v>0</v>
      </c>
      <c r="G160" s="64">
        <f>VLOOKUP($B160,'7. PGE_Efficacité'!$A$6:$AO$268,11,0)</f>
        <v>0</v>
      </c>
      <c r="H160" s="64">
        <f>VLOOKUP($B160,'7. PGE_Efficacité'!$A$6:$AO$268,12,0)</f>
        <v>0</v>
      </c>
      <c r="I160" s="64">
        <f>VLOOKUP($B160,'7. PGE_Efficacité'!$A$6:$AO$268,13,0)</f>
        <v>0</v>
      </c>
      <c r="J160" s="64">
        <f>VLOOKUP($B160,'7. PGE_Efficacité'!$A$6:$AO$268,14,0)</f>
        <v>0</v>
      </c>
      <c r="K160" s="64">
        <f>VLOOKUP($B160,'7. PGE_Efficacité'!$A$6:$AO$268,15,0)</f>
        <v>0</v>
      </c>
      <c r="L160" s="64">
        <f>VLOOKUP($B160,'7. PGE_Efficacité'!$A$6:$AO$268,16,0)</f>
        <v>0</v>
      </c>
      <c r="M160" s="64">
        <f>VLOOKUP($B160,'7. PGE_Efficacité'!$A$6:$AO$268,17,0)</f>
        <v>0</v>
      </c>
      <c r="N160" s="64">
        <f>VLOOKUP($B160,'7. PGE_Efficacité'!$A$6:$AO$268,18,0)</f>
        <v>0</v>
      </c>
      <c r="O160" s="64">
        <f>VLOOKUP($B160,'7. PGE_Efficacité'!$A$6:$AO$268,19,0)</f>
        <v>0</v>
      </c>
      <c r="P160" s="64">
        <f>VLOOKUP($B160,'7. PGE_Efficacité'!$A$6:$AO$268,20,0)</f>
        <v>0</v>
      </c>
      <c r="Q160" s="64">
        <f>VLOOKUP($B160,'7. PGE_Efficacité'!$A$6:$AO$268,21,0)</f>
        <v>0</v>
      </c>
      <c r="R160" s="64">
        <f>VLOOKUP($B160,'7. PGE_Efficacité'!$A$6:$AO$268,22,0)</f>
        <v>0</v>
      </c>
      <c r="S160" s="64">
        <f>VLOOKUP($B160,'7. PGE_Efficacité'!$A$6:$AO$268,23,0)</f>
        <v>0</v>
      </c>
      <c r="T160" s="64">
        <f>VLOOKUP($B160,'7. PGE_Efficacité'!$A$6:$AO$268,24,0)</f>
        <v>0</v>
      </c>
      <c r="U160" s="64">
        <f>VLOOKUP($B160,'7. PGE_Efficacité'!$A$6:$AO$268,25,0)</f>
        <v>0</v>
      </c>
      <c r="V160" s="64">
        <f>VLOOKUP($B160,'7. PGE_Efficacité'!$A$6:$AO$268,26,0)</f>
        <v>0</v>
      </c>
      <c r="W160" s="61">
        <f>VLOOKUP($B160,'7. PGE_Efficacité'!$A$6:$AO$268,27,0)</f>
        <v>0</v>
      </c>
      <c r="X160" s="61">
        <f>VLOOKUP($B160,'7. PGE_Efficacité'!$A$6:$AO$268,28,0)</f>
        <v>0</v>
      </c>
      <c r="Y160" s="61">
        <f>VLOOKUP($B160,'7. PGE_Efficacité'!$A$6:$AO$268,29,0)</f>
        <v>0</v>
      </c>
      <c r="Z160" s="61">
        <f>VLOOKUP($B160,'7. PGE_Efficacité'!$A$6:$AO$268,30,0)</f>
        <v>0</v>
      </c>
      <c r="AA160" s="61">
        <f>VLOOKUP($B160,'7. PGE_Efficacité'!$A$6:$AO$268,31,0)</f>
        <v>0</v>
      </c>
      <c r="AB160" s="61">
        <f>VLOOKUP($B160,'7. PGE_Efficacité'!$A$6:$AO$268,32,0)</f>
        <v>0</v>
      </c>
      <c r="AC160" s="61">
        <f>VLOOKUP($B160,'7. PGE_Efficacité'!$A$6:$AO$268,33,0)</f>
        <v>0</v>
      </c>
      <c r="AD160" s="61">
        <f>VLOOKUP($B160,'7. PGE_Efficacité'!$A$6:$AO$268,34,0)</f>
        <v>0</v>
      </c>
      <c r="AE160" s="61">
        <f>VLOOKUP($B160,'7. PGE_Efficacité'!$A$6:$AO$268,35,0)</f>
        <v>0</v>
      </c>
      <c r="AF160" s="61">
        <f>VLOOKUP($B160,'7. PGE_Efficacité'!$A$6:$AO$268,36,0)</f>
        <v>0</v>
      </c>
      <c r="AG160" s="61">
        <f>VLOOKUP($B160,'7. PGE_Efficacité'!$A$6:$AO$268,37,0)</f>
        <v>0</v>
      </c>
      <c r="AH160" s="61">
        <f>VLOOKUP($B160,'7. PGE_Efficacité'!$A$6:$AO$268,38,0)</f>
        <v>0</v>
      </c>
      <c r="AI160" s="61">
        <f>VLOOKUP($B160,'7. PGE_Efficacité'!$A$6:$AO$268,39,0)</f>
        <v>0</v>
      </c>
      <c r="AJ160" s="61">
        <f>VLOOKUP($B160,'7. PGE_Efficacité'!$A$6:$AO$268,40,0)</f>
        <v>0</v>
      </c>
      <c r="AK160" s="61">
        <f>VLOOKUP($B160,'7. PGE_Efficacité'!$A$6:$AO$268,41,0)</f>
        <v>0</v>
      </c>
    </row>
    <row r="161" spans="1:37" outlineLevel="1" x14ac:dyDescent="0.25">
      <c r="A161" s="65" t="s">
        <v>26</v>
      </c>
      <c r="B161" s="65" t="s">
        <v>757</v>
      </c>
      <c r="C161" s="65" t="s">
        <v>1645</v>
      </c>
      <c r="D161" s="65" t="s">
        <v>1521</v>
      </c>
      <c r="E161" s="251" t="s">
        <v>1290</v>
      </c>
      <c r="F161" s="70">
        <f>22800*0.67</f>
        <v>15276.000000000002</v>
      </c>
      <c r="G161" s="64">
        <f>VLOOKUP($B161,'7. PGE_Efficacité'!$A$6:$AO$268,11,0)</f>
        <v>0</v>
      </c>
      <c r="H161" s="64">
        <f>VLOOKUP($B161,'7. PGE_Efficacité'!$A$6:$AO$268,12,0)</f>
        <v>0</v>
      </c>
      <c r="I161" s="64">
        <f>VLOOKUP($B161,'7. PGE_Efficacité'!$A$6:$AO$268,13,0)</f>
        <v>0</v>
      </c>
      <c r="J161" s="64">
        <f>VLOOKUP($B161,'7. PGE_Efficacité'!$A$6:$AO$268,14,0)</f>
        <v>0</v>
      </c>
      <c r="K161" s="64">
        <f>VLOOKUP($B161,'7. PGE_Efficacité'!$A$6:$AO$268,15,0)</f>
        <v>0</v>
      </c>
      <c r="L161" s="64">
        <f>VLOOKUP($B161,'7. PGE_Efficacité'!$A$6:$AO$268,16,0)</f>
        <v>0</v>
      </c>
      <c r="M161" s="64">
        <f>VLOOKUP($B161,'7. PGE_Efficacité'!$A$6:$AO$268,17,0)</f>
        <v>0</v>
      </c>
      <c r="N161" s="64">
        <f>VLOOKUP($B161,'7. PGE_Efficacité'!$A$6:$AO$268,18,0)</f>
        <v>0</v>
      </c>
      <c r="O161" s="64">
        <f>VLOOKUP($B161,'7. PGE_Efficacité'!$A$6:$AO$268,19,0)</f>
        <v>0</v>
      </c>
      <c r="P161" s="64">
        <f>VLOOKUP($B161,'7. PGE_Efficacité'!$A$6:$AO$268,20,0)</f>
        <v>0</v>
      </c>
      <c r="Q161" s="64">
        <f>VLOOKUP($B161,'7. PGE_Efficacité'!$A$6:$AO$268,21,0)</f>
        <v>0</v>
      </c>
      <c r="R161" s="64">
        <f>VLOOKUP($B161,'7. PGE_Efficacité'!$A$6:$AO$268,22,0)</f>
        <v>0</v>
      </c>
      <c r="S161" s="64">
        <f>VLOOKUP($B161,'7. PGE_Efficacité'!$A$6:$AO$268,23,0)</f>
        <v>0</v>
      </c>
      <c r="T161" s="64">
        <f>VLOOKUP($B161,'7. PGE_Efficacité'!$A$6:$AO$268,24,0)</f>
        <v>0</v>
      </c>
      <c r="U161" s="64">
        <f>VLOOKUP($B161,'7. PGE_Efficacité'!$A$6:$AO$268,25,0)</f>
        <v>0</v>
      </c>
      <c r="V161" s="64">
        <f>VLOOKUP($B161,'7. PGE_Efficacité'!$A$6:$AO$268,26,0)</f>
        <v>0</v>
      </c>
      <c r="W161" s="61">
        <f>VLOOKUP($B161,'7. PGE_Efficacité'!$A$6:$AO$268,27,0)</f>
        <v>0</v>
      </c>
      <c r="X161" s="61">
        <f>VLOOKUP($B161,'7. PGE_Efficacité'!$A$6:$AO$268,28,0)</f>
        <v>0</v>
      </c>
      <c r="Y161" s="61">
        <f>VLOOKUP($B161,'7. PGE_Efficacité'!$A$6:$AO$268,29,0)</f>
        <v>0</v>
      </c>
      <c r="Z161" s="61">
        <f>VLOOKUP($B161,'7. PGE_Efficacité'!$A$6:$AO$268,30,0)</f>
        <v>0</v>
      </c>
      <c r="AA161" s="61">
        <f>VLOOKUP($B161,'7. PGE_Efficacité'!$A$6:$AO$268,31,0)</f>
        <v>0</v>
      </c>
      <c r="AB161" s="61">
        <f>VLOOKUP($B161,'7. PGE_Efficacité'!$A$6:$AO$268,32,0)</f>
        <v>0</v>
      </c>
      <c r="AC161" s="61">
        <f>VLOOKUP($B161,'7. PGE_Efficacité'!$A$6:$AO$268,33,0)</f>
        <v>0</v>
      </c>
      <c r="AD161" s="61">
        <f>VLOOKUP($B161,'7. PGE_Efficacité'!$A$6:$AO$268,34,0)</f>
        <v>0</v>
      </c>
      <c r="AE161" s="61">
        <f>VLOOKUP($B161,'7. PGE_Efficacité'!$A$6:$AO$268,35,0)</f>
        <v>0</v>
      </c>
      <c r="AF161" s="61">
        <f>VLOOKUP($B161,'7. PGE_Efficacité'!$A$6:$AO$268,36,0)</f>
        <v>0</v>
      </c>
      <c r="AG161" s="61">
        <f>VLOOKUP($B161,'7. PGE_Efficacité'!$A$6:$AO$268,37,0)</f>
        <v>0</v>
      </c>
      <c r="AH161" s="61">
        <f>VLOOKUP($B161,'7. PGE_Efficacité'!$A$6:$AO$268,38,0)</f>
        <v>0</v>
      </c>
      <c r="AI161" s="61">
        <f>VLOOKUP($B161,'7. PGE_Efficacité'!$A$6:$AO$268,39,0)</f>
        <v>0</v>
      </c>
      <c r="AJ161" s="61">
        <f>VLOOKUP($B161,'7. PGE_Efficacité'!$A$6:$AO$268,40,0)</f>
        <v>0</v>
      </c>
      <c r="AK161" s="61">
        <f>VLOOKUP($B161,'7. PGE_Efficacité'!$A$6:$AO$268,41,0)</f>
        <v>0</v>
      </c>
    </row>
    <row r="162" spans="1:37" outlineLevel="1" x14ac:dyDescent="0.25">
      <c r="A162" s="65" t="s">
        <v>26</v>
      </c>
      <c r="B162" s="65" t="s">
        <v>758</v>
      </c>
      <c r="C162" s="65" t="s">
        <v>1646</v>
      </c>
      <c r="D162" s="65" t="s">
        <v>1521</v>
      </c>
      <c r="E162" s="251" t="s">
        <v>1290</v>
      </c>
      <c r="F162" s="70">
        <v>0</v>
      </c>
      <c r="G162" s="64">
        <f>VLOOKUP($B162,'7. PGE_Efficacité'!$A$6:$AO$268,11,0)</f>
        <v>0</v>
      </c>
      <c r="H162" s="64">
        <f>VLOOKUP($B162,'7. PGE_Efficacité'!$A$6:$AO$268,12,0)</f>
        <v>0</v>
      </c>
      <c r="I162" s="64">
        <f>VLOOKUP($B162,'7. PGE_Efficacité'!$A$6:$AO$268,13,0)</f>
        <v>0</v>
      </c>
      <c r="J162" s="64">
        <f>VLOOKUP($B162,'7. PGE_Efficacité'!$A$6:$AO$268,14,0)</f>
        <v>0</v>
      </c>
      <c r="K162" s="64">
        <f>VLOOKUP($B162,'7. PGE_Efficacité'!$A$6:$AO$268,15,0)</f>
        <v>0</v>
      </c>
      <c r="L162" s="64">
        <f>VLOOKUP($B162,'7. PGE_Efficacité'!$A$6:$AO$268,16,0)</f>
        <v>0</v>
      </c>
      <c r="M162" s="64">
        <f>VLOOKUP($B162,'7. PGE_Efficacité'!$A$6:$AO$268,17,0)</f>
        <v>0</v>
      </c>
      <c r="N162" s="64">
        <f>VLOOKUP($B162,'7. PGE_Efficacité'!$A$6:$AO$268,18,0)</f>
        <v>0</v>
      </c>
      <c r="O162" s="64">
        <f>VLOOKUP($B162,'7. PGE_Efficacité'!$A$6:$AO$268,19,0)</f>
        <v>0</v>
      </c>
      <c r="P162" s="64">
        <f>VLOOKUP($B162,'7. PGE_Efficacité'!$A$6:$AO$268,20,0)</f>
        <v>0</v>
      </c>
      <c r="Q162" s="64">
        <f>VLOOKUP($B162,'7. PGE_Efficacité'!$A$6:$AO$268,21,0)</f>
        <v>0</v>
      </c>
      <c r="R162" s="64">
        <f>VLOOKUP($B162,'7. PGE_Efficacité'!$A$6:$AO$268,22,0)</f>
        <v>0</v>
      </c>
      <c r="S162" s="64">
        <f>VLOOKUP($B162,'7. PGE_Efficacité'!$A$6:$AO$268,23,0)</f>
        <v>0</v>
      </c>
      <c r="T162" s="64">
        <f>VLOOKUP($B162,'7. PGE_Efficacité'!$A$6:$AO$268,24,0)</f>
        <v>0</v>
      </c>
      <c r="U162" s="64">
        <f>VLOOKUP($B162,'7. PGE_Efficacité'!$A$6:$AO$268,25,0)</f>
        <v>0</v>
      </c>
      <c r="V162" s="64">
        <f>VLOOKUP($B162,'7. PGE_Efficacité'!$A$6:$AO$268,26,0)</f>
        <v>0</v>
      </c>
      <c r="W162" s="61">
        <f>VLOOKUP($B162,'7. PGE_Efficacité'!$A$6:$AO$268,27,0)</f>
        <v>0</v>
      </c>
      <c r="X162" s="61">
        <f>VLOOKUP($B162,'7. PGE_Efficacité'!$A$6:$AO$268,28,0)</f>
        <v>0</v>
      </c>
      <c r="Y162" s="61">
        <f>VLOOKUP($B162,'7. PGE_Efficacité'!$A$6:$AO$268,29,0)</f>
        <v>0</v>
      </c>
      <c r="Z162" s="61">
        <f>VLOOKUP($B162,'7. PGE_Efficacité'!$A$6:$AO$268,30,0)</f>
        <v>0</v>
      </c>
      <c r="AA162" s="61">
        <f>VLOOKUP($B162,'7. PGE_Efficacité'!$A$6:$AO$268,31,0)</f>
        <v>0</v>
      </c>
      <c r="AB162" s="61">
        <f>VLOOKUP($B162,'7. PGE_Efficacité'!$A$6:$AO$268,32,0)</f>
        <v>0</v>
      </c>
      <c r="AC162" s="61">
        <f>VLOOKUP($B162,'7. PGE_Efficacité'!$A$6:$AO$268,33,0)</f>
        <v>0</v>
      </c>
      <c r="AD162" s="61">
        <f>VLOOKUP($B162,'7. PGE_Efficacité'!$A$6:$AO$268,34,0)</f>
        <v>0</v>
      </c>
      <c r="AE162" s="61">
        <f>VLOOKUP($B162,'7. PGE_Efficacité'!$A$6:$AO$268,35,0)</f>
        <v>0</v>
      </c>
      <c r="AF162" s="61">
        <f>VLOOKUP($B162,'7. PGE_Efficacité'!$A$6:$AO$268,36,0)</f>
        <v>0</v>
      </c>
      <c r="AG162" s="61">
        <f>VLOOKUP($B162,'7. PGE_Efficacité'!$A$6:$AO$268,37,0)</f>
        <v>0</v>
      </c>
      <c r="AH162" s="61">
        <f>VLOOKUP($B162,'7. PGE_Efficacité'!$A$6:$AO$268,38,0)</f>
        <v>0</v>
      </c>
      <c r="AI162" s="61">
        <f>VLOOKUP($B162,'7. PGE_Efficacité'!$A$6:$AO$268,39,0)</f>
        <v>0</v>
      </c>
      <c r="AJ162" s="61">
        <f>VLOOKUP($B162,'7. PGE_Efficacité'!$A$6:$AO$268,40,0)</f>
        <v>0</v>
      </c>
      <c r="AK162" s="61">
        <f>VLOOKUP($B162,'7. PGE_Efficacité'!$A$6:$AO$268,41,0)</f>
        <v>0</v>
      </c>
    </row>
    <row r="163" spans="1:37" outlineLevel="1" x14ac:dyDescent="0.25">
      <c r="A163" s="65" t="s">
        <v>26</v>
      </c>
      <c r="B163" s="65" t="s">
        <v>759</v>
      </c>
      <c r="C163" s="65" t="s">
        <v>1647</v>
      </c>
      <c r="D163" s="65" t="s">
        <v>1521</v>
      </c>
      <c r="E163" s="251" t="s">
        <v>1290</v>
      </c>
      <c r="F163" s="70">
        <v>0</v>
      </c>
      <c r="G163" s="64">
        <f>VLOOKUP($B163,'7. PGE_Efficacité'!$A$6:$AO$268,11,0)</f>
        <v>0</v>
      </c>
      <c r="H163" s="64">
        <f>VLOOKUP($B163,'7. PGE_Efficacité'!$A$6:$AO$268,12,0)</f>
        <v>0</v>
      </c>
      <c r="I163" s="64">
        <f>VLOOKUP($B163,'7. PGE_Efficacité'!$A$6:$AO$268,13,0)</f>
        <v>0</v>
      </c>
      <c r="J163" s="64">
        <f>VLOOKUP($B163,'7. PGE_Efficacité'!$A$6:$AO$268,14,0)</f>
        <v>0</v>
      </c>
      <c r="K163" s="64">
        <f>VLOOKUP($B163,'7. PGE_Efficacité'!$A$6:$AO$268,15,0)</f>
        <v>0</v>
      </c>
      <c r="L163" s="64">
        <f>VLOOKUP($B163,'7. PGE_Efficacité'!$A$6:$AO$268,16,0)</f>
        <v>0</v>
      </c>
      <c r="M163" s="64">
        <f>VLOOKUP($B163,'7. PGE_Efficacité'!$A$6:$AO$268,17,0)</f>
        <v>0</v>
      </c>
      <c r="N163" s="64">
        <f>VLOOKUP($B163,'7. PGE_Efficacité'!$A$6:$AO$268,18,0)</f>
        <v>0</v>
      </c>
      <c r="O163" s="64">
        <f>VLOOKUP($B163,'7. PGE_Efficacité'!$A$6:$AO$268,19,0)</f>
        <v>0</v>
      </c>
      <c r="P163" s="64">
        <f>VLOOKUP($B163,'7. PGE_Efficacité'!$A$6:$AO$268,20,0)</f>
        <v>0</v>
      </c>
      <c r="Q163" s="64">
        <f>VLOOKUP($B163,'7. PGE_Efficacité'!$A$6:$AO$268,21,0)</f>
        <v>0</v>
      </c>
      <c r="R163" s="64">
        <f>VLOOKUP($B163,'7. PGE_Efficacité'!$A$6:$AO$268,22,0)</f>
        <v>0</v>
      </c>
      <c r="S163" s="64">
        <f>VLOOKUP($B163,'7. PGE_Efficacité'!$A$6:$AO$268,23,0)</f>
        <v>0</v>
      </c>
      <c r="T163" s="64">
        <f>VLOOKUP($B163,'7. PGE_Efficacité'!$A$6:$AO$268,24,0)</f>
        <v>0</v>
      </c>
      <c r="U163" s="64">
        <f>VLOOKUP($B163,'7. PGE_Efficacité'!$A$6:$AO$268,25,0)</f>
        <v>0</v>
      </c>
      <c r="V163" s="64">
        <f>VLOOKUP($B163,'7. PGE_Efficacité'!$A$6:$AO$268,26,0)</f>
        <v>0</v>
      </c>
      <c r="W163" s="61">
        <f>VLOOKUP($B163,'7. PGE_Efficacité'!$A$6:$AO$268,27,0)</f>
        <v>0</v>
      </c>
      <c r="X163" s="61">
        <f>VLOOKUP($B163,'7. PGE_Efficacité'!$A$6:$AO$268,28,0)</f>
        <v>0</v>
      </c>
      <c r="Y163" s="61">
        <f>VLOOKUP($B163,'7. PGE_Efficacité'!$A$6:$AO$268,29,0)</f>
        <v>0</v>
      </c>
      <c r="Z163" s="61">
        <f>VLOOKUP($B163,'7. PGE_Efficacité'!$A$6:$AO$268,30,0)</f>
        <v>0</v>
      </c>
      <c r="AA163" s="61">
        <f>VLOOKUP($B163,'7. PGE_Efficacité'!$A$6:$AO$268,31,0)</f>
        <v>0</v>
      </c>
      <c r="AB163" s="61">
        <f>VLOOKUP($B163,'7. PGE_Efficacité'!$A$6:$AO$268,32,0)</f>
        <v>0</v>
      </c>
      <c r="AC163" s="61">
        <f>VLOOKUP($B163,'7. PGE_Efficacité'!$A$6:$AO$268,33,0)</f>
        <v>0</v>
      </c>
      <c r="AD163" s="61">
        <f>VLOOKUP($B163,'7. PGE_Efficacité'!$A$6:$AO$268,34,0)</f>
        <v>0</v>
      </c>
      <c r="AE163" s="61">
        <f>VLOOKUP($B163,'7. PGE_Efficacité'!$A$6:$AO$268,35,0)</f>
        <v>0</v>
      </c>
      <c r="AF163" s="61">
        <f>VLOOKUP($B163,'7. PGE_Efficacité'!$A$6:$AO$268,36,0)</f>
        <v>0</v>
      </c>
      <c r="AG163" s="61">
        <f>VLOOKUP($B163,'7. PGE_Efficacité'!$A$6:$AO$268,37,0)</f>
        <v>0</v>
      </c>
      <c r="AH163" s="61">
        <f>VLOOKUP($B163,'7. PGE_Efficacité'!$A$6:$AO$268,38,0)</f>
        <v>0</v>
      </c>
      <c r="AI163" s="61">
        <f>VLOOKUP($B163,'7. PGE_Efficacité'!$A$6:$AO$268,39,0)</f>
        <v>0</v>
      </c>
      <c r="AJ163" s="61">
        <f>VLOOKUP($B163,'7. PGE_Efficacité'!$A$6:$AO$268,40,0)</f>
        <v>0</v>
      </c>
      <c r="AK163" s="61">
        <f>VLOOKUP($B163,'7. PGE_Efficacité'!$A$6:$AO$268,41,0)</f>
        <v>0</v>
      </c>
    </row>
    <row r="164" spans="1:37" outlineLevel="1" x14ac:dyDescent="0.25">
      <c r="A164" s="65" t="s">
        <v>26</v>
      </c>
      <c r="B164" s="65" t="s">
        <v>760</v>
      </c>
      <c r="C164" s="65" t="s">
        <v>1648</v>
      </c>
      <c r="D164" s="65" t="s">
        <v>1521</v>
      </c>
      <c r="E164" s="251" t="s">
        <v>1290</v>
      </c>
      <c r="F164" s="70">
        <v>0</v>
      </c>
      <c r="G164" s="64">
        <f>VLOOKUP($B164,'7. PGE_Efficacité'!$A$6:$AO$268,11,0)</f>
        <v>0</v>
      </c>
      <c r="H164" s="64">
        <f>VLOOKUP($B164,'7. PGE_Efficacité'!$A$6:$AO$268,12,0)</f>
        <v>0</v>
      </c>
      <c r="I164" s="64">
        <f>VLOOKUP($B164,'7. PGE_Efficacité'!$A$6:$AO$268,13,0)</f>
        <v>0</v>
      </c>
      <c r="J164" s="64">
        <f>VLOOKUP($B164,'7. PGE_Efficacité'!$A$6:$AO$268,14,0)</f>
        <v>0</v>
      </c>
      <c r="K164" s="64">
        <f>VLOOKUP($B164,'7. PGE_Efficacité'!$A$6:$AO$268,15,0)</f>
        <v>0</v>
      </c>
      <c r="L164" s="64">
        <f>VLOOKUP($B164,'7. PGE_Efficacité'!$A$6:$AO$268,16,0)</f>
        <v>0</v>
      </c>
      <c r="M164" s="64">
        <f>VLOOKUP($B164,'7. PGE_Efficacité'!$A$6:$AO$268,17,0)</f>
        <v>0</v>
      </c>
      <c r="N164" s="64">
        <f>VLOOKUP($B164,'7. PGE_Efficacité'!$A$6:$AO$268,18,0)</f>
        <v>0</v>
      </c>
      <c r="O164" s="64">
        <f>VLOOKUP($B164,'7. PGE_Efficacité'!$A$6:$AO$268,19,0)</f>
        <v>0</v>
      </c>
      <c r="P164" s="64">
        <f>VLOOKUP($B164,'7. PGE_Efficacité'!$A$6:$AO$268,20,0)</f>
        <v>0</v>
      </c>
      <c r="Q164" s="64">
        <f>VLOOKUP($B164,'7. PGE_Efficacité'!$A$6:$AO$268,21,0)</f>
        <v>0</v>
      </c>
      <c r="R164" s="64">
        <f>VLOOKUP($B164,'7. PGE_Efficacité'!$A$6:$AO$268,22,0)</f>
        <v>0</v>
      </c>
      <c r="S164" s="64">
        <f>VLOOKUP($B164,'7. PGE_Efficacité'!$A$6:$AO$268,23,0)</f>
        <v>0</v>
      </c>
      <c r="T164" s="64">
        <f>VLOOKUP($B164,'7. PGE_Efficacité'!$A$6:$AO$268,24,0)</f>
        <v>0</v>
      </c>
      <c r="U164" s="64">
        <f>VLOOKUP($B164,'7. PGE_Efficacité'!$A$6:$AO$268,25,0)</f>
        <v>0</v>
      </c>
      <c r="V164" s="64">
        <f>VLOOKUP($B164,'7. PGE_Efficacité'!$A$6:$AO$268,26,0)</f>
        <v>0</v>
      </c>
      <c r="W164" s="61">
        <f>VLOOKUP($B164,'7. PGE_Efficacité'!$A$6:$AO$268,27,0)</f>
        <v>0</v>
      </c>
      <c r="X164" s="61">
        <f>VLOOKUP($B164,'7. PGE_Efficacité'!$A$6:$AO$268,28,0)</f>
        <v>0</v>
      </c>
      <c r="Y164" s="61">
        <f>VLOOKUP($B164,'7. PGE_Efficacité'!$A$6:$AO$268,29,0)</f>
        <v>0</v>
      </c>
      <c r="Z164" s="61">
        <f>VLOOKUP($B164,'7. PGE_Efficacité'!$A$6:$AO$268,30,0)</f>
        <v>0</v>
      </c>
      <c r="AA164" s="61">
        <f>VLOOKUP($B164,'7. PGE_Efficacité'!$A$6:$AO$268,31,0)</f>
        <v>0</v>
      </c>
      <c r="AB164" s="61">
        <f>VLOOKUP($B164,'7. PGE_Efficacité'!$A$6:$AO$268,32,0)</f>
        <v>0</v>
      </c>
      <c r="AC164" s="61">
        <f>VLOOKUP($B164,'7. PGE_Efficacité'!$A$6:$AO$268,33,0)</f>
        <v>0</v>
      </c>
      <c r="AD164" s="61">
        <f>VLOOKUP($B164,'7. PGE_Efficacité'!$A$6:$AO$268,34,0)</f>
        <v>0</v>
      </c>
      <c r="AE164" s="61">
        <f>VLOOKUP($B164,'7. PGE_Efficacité'!$A$6:$AO$268,35,0)</f>
        <v>0</v>
      </c>
      <c r="AF164" s="61">
        <f>VLOOKUP($B164,'7. PGE_Efficacité'!$A$6:$AO$268,36,0)</f>
        <v>0</v>
      </c>
      <c r="AG164" s="61">
        <f>VLOOKUP($B164,'7. PGE_Efficacité'!$A$6:$AO$268,37,0)</f>
        <v>0</v>
      </c>
      <c r="AH164" s="61">
        <f>VLOOKUP($B164,'7. PGE_Efficacité'!$A$6:$AO$268,38,0)</f>
        <v>0</v>
      </c>
      <c r="AI164" s="61">
        <f>VLOOKUP($B164,'7. PGE_Efficacité'!$A$6:$AO$268,39,0)</f>
        <v>0</v>
      </c>
      <c r="AJ164" s="61">
        <f>VLOOKUP($B164,'7. PGE_Efficacité'!$A$6:$AO$268,40,0)</f>
        <v>0</v>
      </c>
      <c r="AK164" s="61">
        <f>VLOOKUP($B164,'7. PGE_Efficacité'!$A$6:$AO$268,41,0)</f>
        <v>0</v>
      </c>
    </row>
    <row r="165" spans="1:37" outlineLevel="1" x14ac:dyDescent="0.25">
      <c r="A165" s="65" t="s">
        <v>26</v>
      </c>
      <c r="B165" s="65" t="s">
        <v>761</v>
      </c>
      <c r="C165" s="65" t="s">
        <v>1649</v>
      </c>
      <c r="D165" s="65" t="s">
        <v>1521</v>
      </c>
      <c r="E165" s="251" t="s">
        <v>1290</v>
      </c>
      <c r="F165" s="70">
        <v>0</v>
      </c>
      <c r="G165" s="64">
        <f>VLOOKUP($B165,'7. PGE_Efficacité'!$A$6:$AO$268,11,0)</f>
        <v>0</v>
      </c>
      <c r="H165" s="64">
        <f>VLOOKUP($B165,'7. PGE_Efficacité'!$A$6:$AO$268,12,0)</f>
        <v>0</v>
      </c>
      <c r="I165" s="64">
        <f>VLOOKUP($B165,'7. PGE_Efficacité'!$A$6:$AO$268,13,0)</f>
        <v>0</v>
      </c>
      <c r="J165" s="64">
        <f>VLOOKUP($B165,'7. PGE_Efficacité'!$A$6:$AO$268,14,0)</f>
        <v>0</v>
      </c>
      <c r="K165" s="64">
        <f>VLOOKUP($B165,'7. PGE_Efficacité'!$A$6:$AO$268,15,0)</f>
        <v>0</v>
      </c>
      <c r="L165" s="64">
        <f>VLOOKUP($B165,'7. PGE_Efficacité'!$A$6:$AO$268,16,0)</f>
        <v>0</v>
      </c>
      <c r="M165" s="64">
        <f>VLOOKUP($B165,'7. PGE_Efficacité'!$A$6:$AO$268,17,0)</f>
        <v>0</v>
      </c>
      <c r="N165" s="64">
        <f>VLOOKUP($B165,'7. PGE_Efficacité'!$A$6:$AO$268,18,0)</f>
        <v>0</v>
      </c>
      <c r="O165" s="64">
        <f>VLOOKUP($B165,'7. PGE_Efficacité'!$A$6:$AO$268,19,0)</f>
        <v>0</v>
      </c>
      <c r="P165" s="64">
        <f>VLOOKUP($B165,'7. PGE_Efficacité'!$A$6:$AO$268,20,0)</f>
        <v>0</v>
      </c>
      <c r="Q165" s="64">
        <f>VLOOKUP($B165,'7. PGE_Efficacité'!$A$6:$AO$268,21,0)</f>
        <v>0</v>
      </c>
      <c r="R165" s="64">
        <f>VLOOKUP($B165,'7. PGE_Efficacité'!$A$6:$AO$268,22,0)</f>
        <v>0</v>
      </c>
      <c r="S165" s="64">
        <f>VLOOKUP($B165,'7. PGE_Efficacité'!$A$6:$AO$268,23,0)</f>
        <v>0</v>
      </c>
      <c r="T165" s="64">
        <f>VLOOKUP($B165,'7. PGE_Efficacité'!$A$6:$AO$268,24,0)</f>
        <v>0</v>
      </c>
      <c r="U165" s="64">
        <f>VLOOKUP($B165,'7. PGE_Efficacité'!$A$6:$AO$268,25,0)</f>
        <v>0</v>
      </c>
      <c r="V165" s="64">
        <f>VLOOKUP($B165,'7. PGE_Efficacité'!$A$6:$AO$268,26,0)</f>
        <v>0</v>
      </c>
      <c r="W165" s="61">
        <f>VLOOKUP($B165,'7. PGE_Efficacité'!$A$6:$AO$268,27,0)</f>
        <v>0</v>
      </c>
      <c r="X165" s="61">
        <f>VLOOKUP($B165,'7. PGE_Efficacité'!$A$6:$AO$268,28,0)</f>
        <v>0</v>
      </c>
      <c r="Y165" s="61">
        <f>VLOOKUP($B165,'7. PGE_Efficacité'!$A$6:$AO$268,29,0)</f>
        <v>0</v>
      </c>
      <c r="Z165" s="61">
        <f>VLOOKUP($B165,'7. PGE_Efficacité'!$A$6:$AO$268,30,0)</f>
        <v>0</v>
      </c>
      <c r="AA165" s="61">
        <f>VLOOKUP($B165,'7. PGE_Efficacité'!$A$6:$AO$268,31,0)</f>
        <v>0</v>
      </c>
      <c r="AB165" s="61">
        <f>VLOOKUP($B165,'7. PGE_Efficacité'!$A$6:$AO$268,32,0)</f>
        <v>0</v>
      </c>
      <c r="AC165" s="61">
        <f>VLOOKUP($B165,'7. PGE_Efficacité'!$A$6:$AO$268,33,0)</f>
        <v>0</v>
      </c>
      <c r="AD165" s="61">
        <f>VLOOKUP($B165,'7. PGE_Efficacité'!$A$6:$AO$268,34,0)</f>
        <v>0</v>
      </c>
      <c r="AE165" s="61">
        <f>VLOOKUP($B165,'7. PGE_Efficacité'!$A$6:$AO$268,35,0)</f>
        <v>0</v>
      </c>
      <c r="AF165" s="61">
        <f>VLOOKUP($B165,'7. PGE_Efficacité'!$A$6:$AO$268,36,0)</f>
        <v>0</v>
      </c>
      <c r="AG165" s="61">
        <f>VLOOKUP($B165,'7. PGE_Efficacité'!$A$6:$AO$268,37,0)</f>
        <v>0</v>
      </c>
      <c r="AH165" s="61">
        <f>VLOOKUP($B165,'7. PGE_Efficacité'!$A$6:$AO$268,38,0)</f>
        <v>0</v>
      </c>
      <c r="AI165" s="61">
        <f>VLOOKUP($B165,'7. PGE_Efficacité'!$A$6:$AO$268,39,0)</f>
        <v>0</v>
      </c>
      <c r="AJ165" s="61">
        <f>VLOOKUP($B165,'7. PGE_Efficacité'!$A$6:$AO$268,40,0)</f>
        <v>0</v>
      </c>
      <c r="AK165" s="61">
        <f>VLOOKUP($B165,'7. PGE_Efficacité'!$A$6:$AO$268,41,0)</f>
        <v>0</v>
      </c>
    </row>
    <row r="166" spans="1:37" outlineLevel="1" x14ac:dyDescent="0.25">
      <c r="A166" s="65" t="s">
        <v>26</v>
      </c>
      <c r="B166" s="65" t="s">
        <v>762</v>
      </c>
      <c r="C166" s="65" t="s">
        <v>1650</v>
      </c>
      <c r="D166" s="65" t="s">
        <v>1521</v>
      </c>
      <c r="E166" s="251" t="s">
        <v>1290</v>
      </c>
      <c r="F166" s="70">
        <v>0</v>
      </c>
      <c r="G166" s="64">
        <f>VLOOKUP($B166,'7. PGE_Efficacité'!$A$6:$AO$268,11,0)</f>
        <v>0</v>
      </c>
      <c r="H166" s="64">
        <f>VLOOKUP($B166,'7. PGE_Efficacité'!$A$6:$AO$268,12,0)</f>
        <v>0</v>
      </c>
      <c r="I166" s="64">
        <f>VLOOKUP($B166,'7. PGE_Efficacité'!$A$6:$AO$268,13,0)</f>
        <v>0</v>
      </c>
      <c r="J166" s="64">
        <f>VLOOKUP($B166,'7. PGE_Efficacité'!$A$6:$AO$268,14,0)</f>
        <v>0</v>
      </c>
      <c r="K166" s="64">
        <f>VLOOKUP($B166,'7. PGE_Efficacité'!$A$6:$AO$268,15,0)</f>
        <v>0</v>
      </c>
      <c r="L166" s="64">
        <f>VLOOKUP($B166,'7. PGE_Efficacité'!$A$6:$AO$268,16,0)</f>
        <v>0</v>
      </c>
      <c r="M166" s="64">
        <f>VLOOKUP($B166,'7. PGE_Efficacité'!$A$6:$AO$268,17,0)</f>
        <v>0</v>
      </c>
      <c r="N166" s="64">
        <f>VLOOKUP($B166,'7. PGE_Efficacité'!$A$6:$AO$268,18,0)</f>
        <v>0</v>
      </c>
      <c r="O166" s="64">
        <f>VLOOKUP($B166,'7. PGE_Efficacité'!$A$6:$AO$268,19,0)</f>
        <v>0</v>
      </c>
      <c r="P166" s="64">
        <f>VLOOKUP($B166,'7. PGE_Efficacité'!$A$6:$AO$268,20,0)</f>
        <v>0</v>
      </c>
      <c r="Q166" s="64">
        <f>VLOOKUP($B166,'7. PGE_Efficacité'!$A$6:$AO$268,21,0)</f>
        <v>0</v>
      </c>
      <c r="R166" s="64">
        <f>VLOOKUP($B166,'7. PGE_Efficacité'!$A$6:$AO$268,22,0)</f>
        <v>0</v>
      </c>
      <c r="S166" s="64">
        <f>VLOOKUP($B166,'7. PGE_Efficacité'!$A$6:$AO$268,23,0)</f>
        <v>0</v>
      </c>
      <c r="T166" s="64">
        <f>VLOOKUP($B166,'7. PGE_Efficacité'!$A$6:$AO$268,24,0)</f>
        <v>0</v>
      </c>
      <c r="U166" s="64">
        <f>VLOOKUP($B166,'7. PGE_Efficacité'!$A$6:$AO$268,25,0)</f>
        <v>0</v>
      </c>
      <c r="V166" s="64">
        <f>VLOOKUP($B166,'7. PGE_Efficacité'!$A$6:$AO$268,26,0)</f>
        <v>0</v>
      </c>
      <c r="W166" s="61">
        <f>VLOOKUP($B166,'7. PGE_Efficacité'!$A$6:$AO$268,27,0)</f>
        <v>0</v>
      </c>
      <c r="X166" s="61">
        <f>VLOOKUP($B166,'7. PGE_Efficacité'!$A$6:$AO$268,28,0)</f>
        <v>0</v>
      </c>
      <c r="Y166" s="61">
        <f>VLOOKUP($B166,'7. PGE_Efficacité'!$A$6:$AO$268,29,0)</f>
        <v>0</v>
      </c>
      <c r="Z166" s="61">
        <f>VLOOKUP($B166,'7. PGE_Efficacité'!$A$6:$AO$268,30,0)</f>
        <v>0</v>
      </c>
      <c r="AA166" s="61">
        <f>VLOOKUP($B166,'7. PGE_Efficacité'!$A$6:$AO$268,31,0)</f>
        <v>0</v>
      </c>
      <c r="AB166" s="61">
        <f>VLOOKUP($B166,'7. PGE_Efficacité'!$A$6:$AO$268,32,0)</f>
        <v>0</v>
      </c>
      <c r="AC166" s="61">
        <f>VLOOKUP($B166,'7. PGE_Efficacité'!$A$6:$AO$268,33,0)</f>
        <v>0</v>
      </c>
      <c r="AD166" s="61">
        <f>VLOOKUP($B166,'7. PGE_Efficacité'!$A$6:$AO$268,34,0)</f>
        <v>0</v>
      </c>
      <c r="AE166" s="61">
        <f>VLOOKUP($B166,'7. PGE_Efficacité'!$A$6:$AO$268,35,0)</f>
        <v>0</v>
      </c>
      <c r="AF166" s="61">
        <f>VLOOKUP($B166,'7. PGE_Efficacité'!$A$6:$AO$268,36,0)</f>
        <v>0</v>
      </c>
      <c r="AG166" s="61">
        <f>VLOOKUP($B166,'7. PGE_Efficacité'!$A$6:$AO$268,37,0)</f>
        <v>0</v>
      </c>
      <c r="AH166" s="61">
        <f>VLOOKUP($B166,'7. PGE_Efficacité'!$A$6:$AO$268,38,0)</f>
        <v>0</v>
      </c>
      <c r="AI166" s="61">
        <f>VLOOKUP($B166,'7. PGE_Efficacité'!$A$6:$AO$268,39,0)</f>
        <v>0</v>
      </c>
      <c r="AJ166" s="61">
        <f>VLOOKUP($B166,'7. PGE_Efficacité'!$A$6:$AO$268,40,0)</f>
        <v>0</v>
      </c>
      <c r="AK166" s="61">
        <f>VLOOKUP($B166,'7. PGE_Efficacité'!$A$6:$AO$268,41,0)</f>
        <v>0</v>
      </c>
    </row>
    <row r="167" spans="1:37" outlineLevel="1" x14ac:dyDescent="0.25">
      <c r="A167" s="65" t="s">
        <v>26</v>
      </c>
      <c r="B167" s="65" t="s">
        <v>2605</v>
      </c>
      <c r="C167" s="65" t="s">
        <v>1651</v>
      </c>
      <c r="D167" s="65" t="s">
        <v>1521</v>
      </c>
      <c r="E167" s="251" t="s">
        <v>1287</v>
      </c>
      <c r="F167" s="70">
        <v>0</v>
      </c>
      <c r="G167" s="64">
        <f>VLOOKUP($B167,'7. PGE_Efficacité'!$A$6:$AO$268,11,0)</f>
        <v>0</v>
      </c>
      <c r="H167" s="64">
        <f>VLOOKUP($B167,'7. PGE_Efficacité'!$A$6:$AO$268,12,0)</f>
        <v>0</v>
      </c>
      <c r="I167" s="64">
        <f>VLOOKUP($B167,'7. PGE_Efficacité'!$A$6:$AO$268,13,0)</f>
        <v>0</v>
      </c>
      <c r="J167" s="64">
        <f>VLOOKUP($B167,'7. PGE_Efficacité'!$A$6:$AO$268,14,0)</f>
        <v>0</v>
      </c>
      <c r="K167" s="64">
        <f>VLOOKUP($B167,'7. PGE_Efficacité'!$A$6:$AO$268,15,0)</f>
        <v>0</v>
      </c>
      <c r="L167" s="64">
        <f>VLOOKUP($B167,'7. PGE_Efficacité'!$A$6:$AO$268,16,0)</f>
        <v>0</v>
      </c>
      <c r="M167" s="64">
        <f>VLOOKUP($B167,'7. PGE_Efficacité'!$A$6:$AO$268,17,0)</f>
        <v>0</v>
      </c>
      <c r="N167" s="64">
        <f>VLOOKUP($B167,'7. PGE_Efficacité'!$A$6:$AO$268,18,0)</f>
        <v>0</v>
      </c>
      <c r="O167" s="64">
        <f>VLOOKUP($B167,'7. PGE_Efficacité'!$A$6:$AO$268,19,0)</f>
        <v>0</v>
      </c>
      <c r="P167" s="64">
        <f>VLOOKUP($B167,'7. PGE_Efficacité'!$A$6:$AO$268,20,0)</f>
        <v>0</v>
      </c>
      <c r="Q167" s="64">
        <f>VLOOKUP($B167,'7. PGE_Efficacité'!$A$6:$AO$268,21,0)</f>
        <v>0</v>
      </c>
      <c r="R167" s="64">
        <f>VLOOKUP($B167,'7. PGE_Efficacité'!$A$6:$AO$268,22,0)</f>
        <v>0</v>
      </c>
      <c r="S167" s="64">
        <f>VLOOKUP($B167,'7. PGE_Efficacité'!$A$6:$AO$268,23,0)</f>
        <v>0</v>
      </c>
      <c r="T167" s="64">
        <f>VLOOKUP($B167,'7. PGE_Efficacité'!$A$6:$AO$268,24,0)</f>
        <v>0</v>
      </c>
      <c r="U167" s="64">
        <f>VLOOKUP($B167,'7. PGE_Efficacité'!$A$6:$AO$268,25,0)</f>
        <v>0</v>
      </c>
      <c r="V167" s="64">
        <f>VLOOKUP($B167,'7. PGE_Efficacité'!$A$6:$AO$268,26,0)</f>
        <v>0</v>
      </c>
      <c r="W167" s="61">
        <f>VLOOKUP($B167,'7. PGE_Efficacité'!$A$6:$AO$268,27,0)</f>
        <v>0</v>
      </c>
      <c r="X167" s="61">
        <f>VLOOKUP($B167,'7. PGE_Efficacité'!$A$6:$AO$268,28,0)</f>
        <v>0</v>
      </c>
      <c r="Y167" s="61">
        <f>VLOOKUP($B167,'7. PGE_Efficacité'!$A$6:$AO$268,29,0)</f>
        <v>0</v>
      </c>
      <c r="Z167" s="61">
        <f>VLOOKUP($B167,'7. PGE_Efficacité'!$A$6:$AO$268,30,0)</f>
        <v>0</v>
      </c>
      <c r="AA167" s="61">
        <f>VLOOKUP($B167,'7. PGE_Efficacité'!$A$6:$AO$268,31,0)</f>
        <v>0</v>
      </c>
      <c r="AB167" s="61">
        <f>VLOOKUP($B167,'7. PGE_Efficacité'!$A$6:$AO$268,32,0)</f>
        <v>0</v>
      </c>
      <c r="AC167" s="61">
        <f>VLOOKUP($B167,'7. PGE_Efficacité'!$A$6:$AO$268,33,0)</f>
        <v>0</v>
      </c>
      <c r="AD167" s="61">
        <f>VLOOKUP($B167,'7. PGE_Efficacité'!$A$6:$AO$268,34,0)</f>
        <v>0</v>
      </c>
      <c r="AE167" s="61">
        <f>VLOOKUP($B167,'7. PGE_Efficacité'!$A$6:$AO$268,35,0)</f>
        <v>0</v>
      </c>
      <c r="AF167" s="61">
        <f>VLOOKUP($B167,'7. PGE_Efficacité'!$A$6:$AO$268,36,0)</f>
        <v>0</v>
      </c>
      <c r="AG167" s="61">
        <f>VLOOKUP($B167,'7. PGE_Efficacité'!$A$6:$AO$268,37,0)</f>
        <v>0</v>
      </c>
      <c r="AH167" s="61">
        <f>VLOOKUP($B167,'7. PGE_Efficacité'!$A$6:$AO$268,38,0)</f>
        <v>0</v>
      </c>
      <c r="AI167" s="61">
        <f>VLOOKUP($B167,'7. PGE_Efficacité'!$A$6:$AO$268,39,0)</f>
        <v>0</v>
      </c>
      <c r="AJ167" s="61">
        <f>VLOOKUP($B167,'7. PGE_Efficacité'!$A$6:$AO$268,40,0)</f>
        <v>0</v>
      </c>
      <c r="AK167" s="61">
        <f>VLOOKUP($B167,'7. PGE_Efficacité'!$A$6:$AO$268,41,0)</f>
        <v>0</v>
      </c>
    </row>
    <row r="168" spans="1:37" outlineLevel="1" x14ac:dyDescent="0.25">
      <c r="A168" s="65" t="s">
        <v>26</v>
      </c>
      <c r="B168" s="65" t="s">
        <v>2861</v>
      </c>
      <c r="C168" s="65" t="s">
        <v>1642</v>
      </c>
      <c r="D168" s="65" t="s">
        <v>1521</v>
      </c>
      <c r="E168" s="251" t="s">
        <v>1290</v>
      </c>
      <c r="F168" s="70">
        <v>0</v>
      </c>
      <c r="G168" s="64">
        <f>VLOOKUP($B168,'7. PGE_Efficacité'!$A$6:$AO$268,11,0)</f>
        <v>0</v>
      </c>
      <c r="H168" s="64">
        <f>VLOOKUP($B168,'7. PGE_Efficacité'!$A$6:$AO$268,12,0)</f>
        <v>0</v>
      </c>
      <c r="I168" s="64">
        <f>VLOOKUP($B168,'7. PGE_Efficacité'!$A$6:$AO$268,13,0)</f>
        <v>0</v>
      </c>
      <c r="J168" s="64">
        <f>VLOOKUP($B168,'7. PGE_Efficacité'!$A$6:$AO$268,14,0)</f>
        <v>0</v>
      </c>
      <c r="K168" s="64">
        <f>VLOOKUP($B168,'7. PGE_Efficacité'!$A$6:$AO$268,15,0)</f>
        <v>0</v>
      </c>
      <c r="L168" s="64">
        <f>VLOOKUP($B168,'7. PGE_Efficacité'!$A$6:$AO$268,16,0)</f>
        <v>0</v>
      </c>
      <c r="M168" s="64">
        <f>VLOOKUP($B168,'7. PGE_Efficacité'!$A$6:$AO$268,17,0)</f>
        <v>0</v>
      </c>
      <c r="N168" s="64">
        <f>VLOOKUP($B168,'7. PGE_Efficacité'!$A$6:$AO$268,18,0)</f>
        <v>0</v>
      </c>
      <c r="O168" s="64">
        <f>VLOOKUP($B168,'7. PGE_Efficacité'!$A$6:$AO$268,19,0)</f>
        <v>0</v>
      </c>
      <c r="P168" s="64">
        <f>VLOOKUP($B168,'7. PGE_Efficacité'!$A$6:$AO$268,20,0)</f>
        <v>0</v>
      </c>
      <c r="Q168" s="64">
        <f>VLOOKUP($B168,'7. PGE_Efficacité'!$A$6:$AO$268,21,0)</f>
        <v>0</v>
      </c>
      <c r="R168" s="64">
        <f>VLOOKUP($B168,'7. PGE_Efficacité'!$A$6:$AO$268,22,0)</f>
        <v>0</v>
      </c>
      <c r="S168" s="64">
        <f>VLOOKUP($B168,'7. PGE_Efficacité'!$A$6:$AO$268,23,0)</f>
        <v>0</v>
      </c>
      <c r="T168" s="64">
        <f>VLOOKUP($B168,'7. PGE_Efficacité'!$A$6:$AO$268,24,0)</f>
        <v>0</v>
      </c>
      <c r="U168" s="64">
        <f>VLOOKUP($B168,'7. PGE_Efficacité'!$A$6:$AO$268,25,0)</f>
        <v>0</v>
      </c>
      <c r="V168" s="64">
        <f>VLOOKUP($B168,'7. PGE_Efficacité'!$A$6:$AO$268,26,0)</f>
        <v>0</v>
      </c>
      <c r="W168" s="61">
        <f>VLOOKUP($B168,'7. PGE_Efficacité'!$A$6:$AO$268,27,0)</f>
        <v>0</v>
      </c>
      <c r="X168" s="61">
        <f>VLOOKUP($B168,'7. PGE_Efficacité'!$A$6:$AO$268,28,0)</f>
        <v>0</v>
      </c>
      <c r="Y168" s="61">
        <f>VLOOKUP($B168,'7. PGE_Efficacité'!$A$6:$AO$268,29,0)</f>
        <v>0</v>
      </c>
      <c r="Z168" s="61">
        <f>VLOOKUP($B168,'7. PGE_Efficacité'!$A$6:$AO$268,30,0)</f>
        <v>0</v>
      </c>
      <c r="AA168" s="61">
        <f>VLOOKUP($B168,'7. PGE_Efficacité'!$A$6:$AO$268,31,0)</f>
        <v>0</v>
      </c>
      <c r="AB168" s="61">
        <f>VLOOKUP($B168,'7. PGE_Efficacité'!$A$6:$AO$268,32,0)</f>
        <v>0</v>
      </c>
      <c r="AC168" s="61">
        <f>VLOOKUP($B168,'7. PGE_Efficacité'!$A$6:$AO$268,33,0)</f>
        <v>0</v>
      </c>
      <c r="AD168" s="61">
        <f>VLOOKUP($B168,'7. PGE_Efficacité'!$A$6:$AO$268,34,0)</f>
        <v>0</v>
      </c>
      <c r="AE168" s="61">
        <f>VLOOKUP($B168,'7. PGE_Efficacité'!$A$6:$AO$268,35,0)</f>
        <v>0</v>
      </c>
      <c r="AF168" s="61">
        <f>VLOOKUP($B168,'7. PGE_Efficacité'!$A$6:$AO$268,36,0)</f>
        <v>0</v>
      </c>
      <c r="AG168" s="61">
        <f>VLOOKUP($B168,'7. PGE_Efficacité'!$A$6:$AO$268,37,0)</f>
        <v>0</v>
      </c>
      <c r="AH168" s="61">
        <f>VLOOKUP($B168,'7. PGE_Efficacité'!$A$6:$AO$268,38,0)</f>
        <v>0</v>
      </c>
      <c r="AI168" s="61">
        <f>VLOOKUP($B168,'7. PGE_Efficacité'!$A$6:$AO$268,39,0)</f>
        <v>0</v>
      </c>
      <c r="AJ168" s="61">
        <f>VLOOKUP($B168,'7. PGE_Efficacité'!$A$6:$AO$268,40,0)</f>
        <v>0</v>
      </c>
      <c r="AK168" s="61">
        <f>VLOOKUP($B168,'7. PGE_Efficacité'!$A$6:$AO$268,41,0)</f>
        <v>0</v>
      </c>
    </row>
    <row r="169" spans="1:37" outlineLevel="1" x14ac:dyDescent="0.25">
      <c r="A169" s="65" t="s">
        <v>26</v>
      </c>
      <c r="B169" s="65" t="s">
        <v>2607</v>
      </c>
      <c r="C169" s="65" t="s">
        <v>1643</v>
      </c>
      <c r="D169" s="65" t="s">
        <v>1521</v>
      </c>
      <c r="E169" s="249" t="s">
        <v>1290</v>
      </c>
      <c r="F169" s="70">
        <v>0</v>
      </c>
      <c r="G169" s="64">
        <f>VLOOKUP($B169,'7. PGE_Efficacité'!$A$6:$AO$268,11,0)</f>
        <v>0</v>
      </c>
      <c r="H169" s="64">
        <f>VLOOKUP($B169,'7. PGE_Efficacité'!$A$6:$AO$268,12,0)</f>
        <v>0</v>
      </c>
      <c r="I169" s="64">
        <f>VLOOKUP($B169,'7. PGE_Efficacité'!$A$6:$AO$268,13,0)</f>
        <v>0</v>
      </c>
      <c r="J169" s="64">
        <f>VLOOKUP($B169,'7. PGE_Efficacité'!$A$6:$AO$268,14,0)</f>
        <v>0</v>
      </c>
      <c r="K169" s="64">
        <f>VLOOKUP($B169,'7. PGE_Efficacité'!$A$6:$AO$268,15,0)</f>
        <v>0</v>
      </c>
      <c r="L169" s="64">
        <f>VLOOKUP($B169,'7. PGE_Efficacité'!$A$6:$AO$268,16,0)</f>
        <v>0</v>
      </c>
      <c r="M169" s="64">
        <f>VLOOKUP($B169,'7. PGE_Efficacité'!$A$6:$AO$268,17,0)</f>
        <v>0</v>
      </c>
      <c r="N169" s="64">
        <f>VLOOKUP($B169,'7. PGE_Efficacité'!$A$6:$AO$268,18,0)</f>
        <v>0</v>
      </c>
      <c r="O169" s="64">
        <f>VLOOKUP($B169,'7. PGE_Efficacité'!$A$6:$AO$268,19,0)</f>
        <v>0</v>
      </c>
      <c r="P169" s="64">
        <f>VLOOKUP($B169,'7. PGE_Efficacité'!$A$6:$AO$268,20,0)</f>
        <v>0</v>
      </c>
      <c r="Q169" s="64">
        <f>VLOOKUP($B169,'7. PGE_Efficacité'!$A$6:$AO$268,21,0)</f>
        <v>0</v>
      </c>
      <c r="R169" s="64">
        <f>VLOOKUP($B169,'7. PGE_Efficacité'!$A$6:$AO$268,22,0)</f>
        <v>0</v>
      </c>
      <c r="S169" s="64">
        <f>VLOOKUP($B169,'7. PGE_Efficacité'!$A$6:$AO$268,23,0)</f>
        <v>0</v>
      </c>
      <c r="T169" s="64">
        <f>VLOOKUP($B169,'7. PGE_Efficacité'!$A$6:$AO$268,24,0)</f>
        <v>0</v>
      </c>
      <c r="U169" s="64">
        <f>VLOOKUP($B169,'7. PGE_Efficacité'!$A$6:$AO$268,25,0)</f>
        <v>0</v>
      </c>
      <c r="V169" s="64">
        <f>VLOOKUP($B169,'7. PGE_Efficacité'!$A$6:$AO$268,26,0)</f>
        <v>0</v>
      </c>
      <c r="W169" s="61">
        <f>VLOOKUP($B169,'7. PGE_Efficacité'!$A$6:$AO$268,27,0)</f>
        <v>0</v>
      </c>
      <c r="X169" s="61">
        <f>VLOOKUP($B169,'7. PGE_Efficacité'!$A$6:$AO$268,28,0)</f>
        <v>0</v>
      </c>
      <c r="Y169" s="61">
        <f>VLOOKUP($B169,'7. PGE_Efficacité'!$A$6:$AO$268,29,0)</f>
        <v>0</v>
      </c>
      <c r="Z169" s="61">
        <f>VLOOKUP($B169,'7. PGE_Efficacité'!$A$6:$AO$268,30,0)</f>
        <v>0</v>
      </c>
      <c r="AA169" s="61">
        <f>VLOOKUP($B169,'7. PGE_Efficacité'!$A$6:$AO$268,31,0)</f>
        <v>0</v>
      </c>
      <c r="AB169" s="61">
        <f>VLOOKUP($B169,'7. PGE_Efficacité'!$A$6:$AO$268,32,0)</f>
        <v>0</v>
      </c>
      <c r="AC169" s="61">
        <f>VLOOKUP($B169,'7. PGE_Efficacité'!$A$6:$AO$268,33,0)</f>
        <v>0</v>
      </c>
      <c r="AD169" s="61">
        <f>VLOOKUP($B169,'7. PGE_Efficacité'!$A$6:$AO$268,34,0)</f>
        <v>0</v>
      </c>
      <c r="AE169" s="61">
        <f>VLOOKUP($B169,'7. PGE_Efficacité'!$A$6:$AO$268,35,0)</f>
        <v>0</v>
      </c>
      <c r="AF169" s="61">
        <f>VLOOKUP($B169,'7. PGE_Efficacité'!$A$6:$AO$268,36,0)</f>
        <v>0</v>
      </c>
      <c r="AG169" s="61">
        <f>VLOOKUP($B169,'7. PGE_Efficacité'!$A$6:$AO$268,37,0)</f>
        <v>0</v>
      </c>
      <c r="AH169" s="61">
        <f>VLOOKUP($B169,'7. PGE_Efficacité'!$A$6:$AO$268,38,0)</f>
        <v>0</v>
      </c>
      <c r="AI169" s="61">
        <f>VLOOKUP($B169,'7. PGE_Efficacité'!$A$6:$AO$268,39,0)</f>
        <v>0</v>
      </c>
      <c r="AJ169" s="61">
        <f>VLOOKUP($B169,'7. PGE_Efficacité'!$A$6:$AO$268,40,0)</f>
        <v>0</v>
      </c>
      <c r="AK169" s="61">
        <f>VLOOKUP($B169,'7. PGE_Efficacité'!$A$6:$AO$268,41,0)</f>
        <v>0</v>
      </c>
    </row>
    <row r="170" spans="1:37" outlineLevel="1" x14ac:dyDescent="0.25">
      <c r="A170" s="65" t="s">
        <v>26</v>
      </c>
      <c r="B170" s="65" t="s">
        <v>2608</v>
      </c>
      <c r="C170" s="65" t="s">
        <v>3007</v>
      </c>
      <c r="D170" s="65" t="s">
        <v>1521</v>
      </c>
      <c r="E170" s="65" t="s">
        <v>1290</v>
      </c>
      <c r="F170" s="70">
        <v>0</v>
      </c>
      <c r="G170" s="64">
        <f>VLOOKUP($B170,'7. PGE_Efficacité'!$A$6:$AO$268,11,0)</f>
        <v>0</v>
      </c>
      <c r="H170" s="64">
        <f>VLOOKUP($B170,'7. PGE_Efficacité'!$A$6:$AO$268,12,0)</f>
        <v>0</v>
      </c>
      <c r="I170" s="64">
        <f>VLOOKUP($B170,'7. PGE_Efficacité'!$A$6:$AO$268,13,0)</f>
        <v>0</v>
      </c>
      <c r="J170" s="64">
        <f>VLOOKUP($B170,'7. PGE_Efficacité'!$A$6:$AO$268,14,0)</f>
        <v>0</v>
      </c>
      <c r="K170" s="64">
        <f>VLOOKUP($B170,'7. PGE_Efficacité'!$A$6:$AO$268,15,0)</f>
        <v>0</v>
      </c>
      <c r="L170" s="64">
        <f>VLOOKUP($B170,'7. PGE_Efficacité'!$A$6:$AO$268,16,0)</f>
        <v>0</v>
      </c>
      <c r="M170" s="64">
        <f>VLOOKUP($B170,'7. PGE_Efficacité'!$A$6:$AO$268,17,0)</f>
        <v>0</v>
      </c>
      <c r="N170" s="64">
        <f>VLOOKUP($B170,'7. PGE_Efficacité'!$A$6:$AO$268,18,0)</f>
        <v>0</v>
      </c>
      <c r="O170" s="64">
        <f>VLOOKUP($B170,'7. PGE_Efficacité'!$A$6:$AO$268,19,0)</f>
        <v>0</v>
      </c>
      <c r="P170" s="64">
        <f>VLOOKUP($B170,'7. PGE_Efficacité'!$A$6:$AO$268,20,0)</f>
        <v>0</v>
      </c>
      <c r="Q170" s="64">
        <f>VLOOKUP($B170,'7. PGE_Efficacité'!$A$6:$AO$268,21,0)</f>
        <v>0</v>
      </c>
      <c r="R170" s="64">
        <f>VLOOKUP($B170,'7. PGE_Efficacité'!$A$6:$AO$268,22,0)</f>
        <v>0</v>
      </c>
      <c r="S170" s="64">
        <f>VLOOKUP($B170,'7. PGE_Efficacité'!$A$6:$AO$268,23,0)</f>
        <v>0</v>
      </c>
      <c r="T170" s="64">
        <f>VLOOKUP($B170,'7. PGE_Efficacité'!$A$6:$AO$268,24,0)</f>
        <v>0</v>
      </c>
      <c r="U170" s="64">
        <f>VLOOKUP($B170,'7. PGE_Efficacité'!$A$6:$AO$268,25,0)</f>
        <v>0</v>
      </c>
      <c r="V170" s="64">
        <f>VLOOKUP($B170,'7. PGE_Efficacité'!$A$6:$AO$268,26,0)</f>
        <v>0</v>
      </c>
      <c r="W170" s="61">
        <f>VLOOKUP($B170,'7. PGE_Efficacité'!$A$6:$AO$268,27,0)</f>
        <v>0</v>
      </c>
      <c r="X170" s="61">
        <f>VLOOKUP($B170,'7. PGE_Efficacité'!$A$6:$AO$268,28,0)</f>
        <v>0</v>
      </c>
      <c r="Y170" s="61">
        <f>VLOOKUP($B170,'7. PGE_Efficacité'!$A$6:$AO$268,29,0)</f>
        <v>0</v>
      </c>
      <c r="Z170" s="61">
        <f>VLOOKUP($B170,'7. PGE_Efficacité'!$A$6:$AO$268,30,0)</f>
        <v>0</v>
      </c>
      <c r="AA170" s="61">
        <f>VLOOKUP($B170,'7. PGE_Efficacité'!$A$6:$AO$268,31,0)</f>
        <v>0</v>
      </c>
      <c r="AB170" s="61">
        <f>VLOOKUP($B170,'7. PGE_Efficacité'!$A$6:$AO$268,32,0)</f>
        <v>0</v>
      </c>
      <c r="AC170" s="61">
        <f>VLOOKUP($B170,'7. PGE_Efficacité'!$A$6:$AO$268,33,0)</f>
        <v>0</v>
      </c>
      <c r="AD170" s="61">
        <f>VLOOKUP($B170,'7. PGE_Efficacité'!$A$6:$AO$268,34,0)</f>
        <v>0</v>
      </c>
      <c r="AE170" s="61">
        <f>VLOOKUP($B170,'7. PGE_Efficacité'!$A$6:$AO$268,35,0)</f>
        <v>0</v>
      </c>
      <c r="AF170" s="61">
        <f>VLOOKUP($B170,'7. PGE_Efficacité'!$A$6:$AO$268,36,0)</f>
        <v>0</v>
      </c>
      <c r="AG170" s="61">
        <f>VLOOKUP($B170,'7. PGE_Efficacité'!$A$6:$AO$268,37,0)</f>
        <v>0</v>
      </c>
      <c r="AH170" s="61">
        <f>VLOOKUP($B170,'7. PGE_Efficacité'!$A$6:$AO$268,38,0)</f>
        <v>0</v>
      </c>
      <c r="AI170" s="61">
        <f>VLOOKUP($B170,'7. PGE_Efficacité'!$A$6:$AO$268,39,0)</f>
        <v>0</v>
      </c>
      <c r="AJ170" s="61">
        <f>VLOOKUP($B170,'7. PGE_Efficacité'!$A$6:$AO$268,40,0)</f>
        <v>0</v>
      </c>
      <c r="AK170" s="61">
        <f>VLOOKUP($B170,'7. PGE_Efficacité'!$A$6:$AO$268,41,0)</f>
        <v>0</v>
      </c>
    </row>
    <row r="171" spans="1:37" outlineLevel="1" x14ac:dyDescent="0.25">
      <c r="A171" s="65" t="s">
        <v>26</v>
      </c>
      <c r="B171" s="65" t="s">
        <v>2606</v>
      </c>
      <c r="C171" s="65" t="s">
        <v>1652</v>
      </c>
      <c r="D171" s="65" t="s">
        <v>1521</v>
      </c>
      <c r="E171" s="65" t="s">
        <v>1287</v>
      </c>
      <c r="F171" s="70">
        <v>0</v>
      </c>
      <c r="G171" s="64"/>
      <c r="H171" s="64"/>
      <c r="I171" s="64"/>
      <c r="J171" s="64"/>
      <c r="K171" s="64"/>
      <c r="L171" s="64"/>
      <c r="M171" s="64"/>
      <c r="N171" s="64"/>
      <c r="O171" s="64"/>
      <c r="P171" s="64"/>
      <c r="Q171" s="64"/>
      <c r="R171" s="64"/>
      <c r="S171" s="64"/>
      <c r="T171" s="64"/>
      <c r="U171" s="64"/>
      <c r="V171" s="64"/>
      <c r="W171" s="61"/>
      <c r="X171" s="61"/>
      <c r="Y171" s="61"/>
      <c r="Z171" s="61"/>
      <c r="AA171" s="61"/>
      <c r="AB171" s="61"/>
      <c r="AC171" s="61"/>
      <c r="AD171" s="61"/>
      <c r="AE171" s="61"/>
      <c r="AF171" s="61"/>
      <c r="AG171" s="61"/>
      <c r="AH171" s="61"/>
      <c r="AI171" s="61"/>
      <c r="AJ171" s="61"/>
      <c r="AK171" s="61"/>
    </row>
    <row r="172" spans="1:37" ht="51.75" x14ac:dyDescent="0.25">
      <c r="A172" s="157" t="s">
        <v>27</v>
      </c>
      <c r="B172" s="63"/>
      <c r="C172" s="156" t="s">
        <v>217</v>
      </c>
      <c r="D172" s="63"/>
      <c r="E172" s="63"/>
      <c r="F172" s="72">
        <f>SUM(F173:F185)</f>
        <v>2557000</v>
      </c>
      <c r="G172" s="178" t="str">
        <f>VLOOKUP($A172,'7. PGE_Efficacité'!$A$6:$AO$268,11,0)</f>
        <v>+</v>
      </c>
      <c r="H172" s="178" t="str">
        <f>VLOOKUP($A172,'7. PGE_Efficacité'!$A$6:$AO$268,12,0)</f>
        <v>+</v>
      </c>
      <c r="I172" s="178" t="str">
        <f>VLOOKUP($A172,'7. PGE_Efficacité'!$A$6:$AO$268,13,0)</f>
        <v>+</v>
      </c>
      <c r="J172" s="178" t="str">
        <f>VLOOKUP($A172,'7. PGE_Efficacité'!$A$6:$AO$268,14,0)</f>
        <v>+</v>
      </c>
      <c r="K172" s="178" t="str">
        <f>VLOOKUP($A172,'7. PGE_Efficacité'!$A$6:$AO$268,15,0)</f>
        <v>+</v>
      </c>
      <c r="L172" s="178" t="str">
        <f>VLOOKUP($A172,'7. PGE_Efficacité'!$A$6:$AO$268,16,0)</f>
        <v>+</v>
      </c>
      <c r="M172" s="178" t="str">
        <f>VLOOKUP($A172,'7. PGE_Efficacité'!$A$6:$AO$268,17,0)</f>
        <v>+</v>
      </c>
      <c r="N172" s="178" t="str">
        <f>VLOOKUP($A172,'7. PGE_Efficacité'!$A$6:$AO$268,18,0)</f>
        <v>+</v>
      </c>
      <c r="O172" s="178" t="str">
        <f>VLOOKUP($A172,'7. PGE_Efficacité'!$A$6:$AO$268,19,0)</f>
        <v>+</v>
      </c>
      <c r="P172" s="178" t="str">
        <f>VLOOKUP($A172,'7. PGE_Efficacité'!$A$6:$AO$268,20,0)</f>
        <v>+</v>
      </c>
      <c r="Q172" s="178" t="str">
        <f>VLOOKUP($A172,'7. PGE_Efficacité'!$A$6:$AO$268,21,0)</f>
        <v>+</v>
      </c>
      <c r="R172" s="178">
        <f>VLOOKUP($A172,'7. PGE_Efficacité'!$A$6:$AO$268,22,0)</f>
        <v>0</v>
      </c>
      <c r="S172" s="178" t="str">
        <f>VLOOKUP($A172,'7. PGE_Efficacité'!$A$6:$AO$268,23,0)</f>
        <v>+</v>
      </c>
      <c r="T172" s="178" t="str">
        <f>VLOOKUP($A172,'7. PGE_Efficacité'!$A$6:$AO$268,24,0)</f>
        <v>+</v>
      </c>
      <c r="U172" s="178" t="str">
        <f>VLOOKUP($A172,'7. PGE_Efficacité'!$A$6:$AO$268,25,0)</f>
        <v>+</v>
      </c>
      <c r="V172" s="178" t="str">
        <f>VLOOKUP($A172,'7. PGE_Efficacité'!$A$6:$AO$268,26,0)</f>
        <v>+</v>
      </c>
      <c r="W172" s="179" t="str">
        <f>VLOOKUP($A172,'7. PGE_Efficacité'!$A$6:$AO$268,27,0)</f>
        <v>+</v>
      </c>
      <c r="X172" s="179" t="str">
        <f>VLOOKUP($A172,'7. PGE_Efficacité'!$A$6:$AO$268,28,0)</f>
        <v>+</v>
      </c>
      <c r="Y172" s="179" t="str">
        <f>VLOOKUP($A172,'7. PGE_Efficacité'!$A$6:$AO$268,29,0)</f>
        <v>+</v>
      </c>
      <c r="Z172" s="179" t="str">
        <f>VLOOKUP($A172,'7. PGE_Efficacité'!$A$6:$AO$268,30,0)</f>
        <v>+</v>
      </c>
      <c r="AA172" s="179" t="str">
        <f>VLOOKUP($A172,'7. PGE_Efficacité'!$A$6:$AO$268,31,0)</f>
        <v>+</v>
      </c>
      <c r="AB172" s="179" t="str">
        <f>VLOOKUP($A172,'7. PGE_Efficacité'!$A$6:$AO$268,32,0)</f>
        <v>+</v>
      </c>
      <c r="AC172" s="179" t="str">
        <f>VLOOKUP($A172,'7. PGE_Efficacité'!$A$6:$AO$268,33,0)</f>
        <v>+</v>
      </c>
      <c r="AD172" s="179">
        <f>VLOOKUP($A172,'7. PGE_Efficacité'!$A$6:$AO$268,34,0)</f>
        <v>0</v>
      </c>
      <c r="AE172" s="179">
        <f>VLOOKUP($A172,'7. PGE_Efficacité'!$A$6:$AO$268,35,0)</f>
        <v>0</v>
      </c>
      <c r="AF172" s="179">
        <f>VLOOKUP($A172,'7. PGE_Efficacité'!$A$6:$AO$268,36,0)</f>
        <v>0</v>
      </c>
      <c r="AG172" s="179">
        <f>VLOOKUP($A172,'7. PGE_Efficacité'!$A$6:$AO$268,37,0)</f>
        <v>0</v>
      </c>
      <c r="AH172" s="179" t="str">
        <f>VLOOKUP($A172,'7. PGE_Efficacité'!$A$6:$AO$268,38,0)</f>
        <v>+</v>
      </c>
      <c r="AI172" s="179" t="str">
        <f>VLOOKUP($A172,'7. PGE_Efficacité'!$A$6:$AO$268,39,0)</f>
        <v>+</v>
      </c>
      <c r="AJ172" s="179" t="str">
        <f>VLOOKUP($A172,'7. PGE_Efficacité'!$A$6:$AO$268,40,0)</f>
        <v>+</v>
      </c>
      <c r="AK172" s="179" t="str">
        <f>VLOOKUP($A172,'7. PGE_Efficacité'!$A$6:$AO$268,41,0)</f>
        <v>+</v>
      </c>
    </row>
    <row r="173" spans="1:37" outlineLevel="1" x14ac:dyDescent="0.25">
      <c r="A173" s="65" t="s">
        <v>27</v>
      </c>
      <c r="B173" s="250" t="s">
        <v>763</v>
      </c>
      <c r="C173" s="65" t="s">
        <v>2008</v>
      </c>
      <c r="D173" s="201" t="s">
        <v>1521</v>
      </c>
      <c r="E173" s="65" t="s">
        <v>1290</v>
      </c>
      <c r="F173" s="70">
        <v>0</v>
      </c>
      <c r="G173" s="64">
        <f>VLOOKUP($B173,'7. PGE_Efficacité'!$A$6:$AO$268,11,0)</f>
        <v>0</v>
      </c>
      <c r="H173" s="64">
        <f>VLOOKUP($B173,'7. PGE_Efficacité'!$A$6:$AO$268,12,0)</f>
        <v>0</v>
      </c>
      <c r="I173" s="64">
        <f>VLOOKUP($B173,'7. PGE_Efficacité'!$A$6:$AO$268,13,0)</f>
        <v>0</v>
      </c>
      <c r="J173" s="64">
        <f>VLOOKUP($B173,'7. PGE_Efficacité'!$A$6:$AO$268,14,0)</f>
        <v>0</v>
      </c>
      <c r="K173" s="64">
        <f>VLOOKUP($B173,'7. PGE_Efficacité'!$A$6:$AO$268,15,0)</f>
        <v>0</v>
      </c>
      <c r="L173" s="64">
        <f>VLOOKUP($B173,'7. PGE_Efficacité'!$A$6:$AO$268,16,0)</f>
        <v>0</v>
      </c>
      <c r="M173" s="64">
        <f>VLOOKUP($B173,'7. PGE_Efficacité'!$A$6:$AO$268,17,0)</f>
        <v>0</v>
      </c>
      <c r="N173" s="64">
        <f>VLOOKUP($B173,'7. PGE_Efficacité'!$A$6:$AO$268,18,0)</f>
        <v>0</v>
      </c>
      <c r="O173" s="64">
        <f>VLOOKUP($B173,'7. PGE_Efficacité'!$A$6:$AO$268,19,0)</f>
        <v>0</v>
      </c>
      <c r="P173" s="64">
        <f>VLOOKUP($B173,'7. PGE_Efficacité'!$A$6:$AO$268,20,0)</f>
        <v>0</v>
      </c>
      <c r="Q173" s="64">
        <f>VLOOKUP($B173,'7. PGE_Efficacité'!$A$6:$AO$268,21,0)</f>
        <v>0</v>
      </c>
      <c r="R173" s="64">
        <f>VLOOKUP($B173,'7. PGE_Efficacité'!$A$6:$AO$268,22,0)</f>
        <v>0</v>
      </c>
      <c r="S173" s="64">
        <f>VLOOKUP($B173,'7. PGE_Efficacité'!$A$6:$AO$268,23,0)</f>
        <v>0</v>
      </c>
      <c r="T173" s="64">
        <f>VLOOKUP($B173,'7. PGE_Efficacité'!$A$6:$AO$268,24,0)</f>
        <v>0</v>
      </c>
      <c r="U173" s="64">
        <f>VLOOKUP($B173,'7. PGE_Efficacité'!$A$6:$AO$268,25,0)</f>
        <v>0</v>
      </c>
      <c r="V173" s="64">
        <f>VLOOKUP($B173,'7. PGE_Efficacité'!$A$6:$AO$268,26,0)</f>
        <v>0</v>
      </c>
      <c r="W173" s="61">
        <f>VLOOKUP($B173,'7. PGE_Efficacité'!$A$6:$AO$268,27,0)</f>
        <v>0</v>
      </c>
      <c r="X173" s="61">
        <f>VLOOKUP($B173,'7. PGE_Efficacité'!$A$6:$AO$268,28,0)</f>
        <v>0</v>
      </c>
      <c r="Y173" s="61">
        <f>VLOOKUP($B173,'7. PGE_Efficacité'!$A$6:$AO$268,29,0)</f>
        <v>0</v>
      </c>
      <c r="Z173" s="61">
        <f>VLOOKUP($B173,'7. PGE_Efficacité'!$A$6:$AO$268,30,0)</f>
        <v>0</v>
      </c>
      <c r="AA173" s="61">
        <f>VLOOKUP($B173,'7. PGE_Efficacité'!$A$6:$AO$268,31,0)</f>
        <v>0</v>
      </c>
      <c r="AB173" s="61">
        <f>VLOOKUP($B173,'7. PGE_Efficacité'!$A$6:$AO$268,32,0)</f>
        <v>0</v>
      </c>
      <c r="AC173" s="61">
        <f>VLOOKUP($B173,'7. PGE_Efficacité'!$A$6:$AO$268,33,0)</f>
        <v>0</v>
      </c>
      <c r="AD173" s="61">
        <f>VLOOKUP($B173,'7. PGE_Efficacité'!$A$6:$AO$268,34,0)</f>
        <v>0</v>
      </c>
      <c r="AE173" s="61">
        <f>VLOOKUP($B173,'7. PGE_Efficacité'!$A$6:$AO$268,35,0)</f>
        <v>0</v>
      </c>
      <c r="AF173" s="61">
        <f>VLOOKUP($B173,'7. PGE_Efficacité'!$A$6:$AO$268,36,0)</f>
        <v>0</v>
      </c>
      <c r="AG173" s="61">
        <f>VLOOKUP($B173,'7. PGE_Efficacité'!$A$6:$AO$268,37,0)</f>
        <v>0</v>
      </c>
      <c r="AH173" s="61">
        <f>VLOOKUP($B173,'7. PGE_Efficacité'!$A$6:$AO$268,38,0)</f>
        <v>0</v>
      </c>
      <c r="AI173" s="61">
        <f>VLOOKUP($B173,'7. PGE_Efficacité'!$A$6:$AO$268,39,0)</f>
        <v>0</v>
      </c>
      <c r="AJ173" s="61">
        <f>VLOOKUP($B173,'7. PGE_Efficacité'!$A$6:$AO$268,40,0)</f>
        <v>0</v>
      </c>
      <c r="AK173" s="61">
        <f>VLOOKUP($B173,'7. PGE_Efficacité'!$A$6:$AO$268,41,0)</f>
        <v>0</v>
      </c>
    </row>
    <row r="174" spans="1:37" outlineLevel="1" x14ac:dyDescent="0.25">
      <c r="A174" s="65" t="s">
        <v>27</v>
      </c>
      <c r="B174" s="250" t="s">
        <v>767</v>
      </c>
      <c r="C174" s="65" t="s">
        <v>2009</v>
      </c>
      <c r="D174" s="201" t="s">
        <v>1521</v>
      </c>
      <c r="E174" s="65" t="s">
        <v>415</v>
      </c>
      <c r="F174" s="70">
        <v>77000</v>
      </c>
      <c r="G174" s="64">
        <f>VLOOKUP($B174,'7. PGE_Efficacité'!$A$6:$AO$268,11,0)</f>
        <v>0</v>
      </c>
      <c r="H174" s="64">
        <f>VLOOKUP($B174,'7. PGE_Efficacité'!$A$6:$AO$268,12,0)</f>
        <v>0</v>
      </c>
      <c r="I174" s="64">
        <f>VLOOKUP($B174,'7. PGE_Efficacité'!$A$6:$AO$268,13,0)</f>
        <v>0</v>
      </c>
      <c r="J174" s="64">
        <f>VLOOKUP($B174,'7. PGE_Efficacité'!$A$6:$AO$268,14,0)</f>
        <v>0</v>
      </c>
      <c r="K174" s="64">
        <f>VLOOKUP($B174,'7. PGE_Efficacité'!$A$6:$AO$268,15,0)</f>
        <v>0</v>
      </c>
      <c r="L174" s="64">
        <f>VLOOKUP($B174,'7. PGE_Efficacité'!$A$6:$AO$268,16,0)</f>
        <v>0</v>
      </c>
      <c r="M174" s="64">
        <f>VLOOKUP($B174,'7. PGE_Efficacité'!$A$6:$AO$268,17,0)</f>
        <v>0</v>
      </c>
      <c r="N174" s="64">
        <f>VLOOKUP($B174,'7. PGE_Efficacité'!$A$6:$AO$268,18,0)</f>
        <v>0</v>
      </c>
      <c r="O174" s="64">
        <f>VLOOKUP($B174,'7. PGE_Efficacité'!$A$6:$AO$268,19,0)</f>
        <v>0</v>
      </c>
      <c r="P174" s="64">
        <f>VLOOKUP($B174,'7. PGE_Efficacité'!$A$6:$AO$268,20,0)</f>
        <v>0</v>
      </c>
      <c r="Q174" s="64">
        <f>VLOOKUP($B174,'7. PGE_Efficacité'!$A$6:$AO$268,21,0)</f>
        <v>0</v>
      </c>
      <c r="R174" s="64">
        <f>VLOOKUP($B174,'7. PGE_Efficacité'!$A$6:$AO$268,22,0)</f>
        <v>0</v>
      </c>
      <c r="S174" s="64">
        <f>VLOOKUP($B174,'7. PGE_Efficacité'!$A$6:$AO$268,23,0)</f>
        <v>0</v>
      </c>
      <c r="T174" s="64">
        <f>VLOOKUP($B174,'7. PGE_Efficacité'!$A$6:$AO$268,24,0)</f>
        <v>0</v>
      </c>
      <c r="U174" s="64">
        <f>VLOOKUP($B174,'7. PGE_Efficacité'!$A$6:$AO$268,25,0)</f>
        <v>0</v>
      </c>
      <c r="V174" s="64">
        <f>VLOOKUP($B174,'7. PGE_Efficacité'!$A$6:$AO$268,26,0)</f>
        <v>0</v>
      </c>
      <c r="W174" s="61">
        <f>VLOOKUP($B174,'7. PGE_Efficacité'!$A$6:$AO$268,27,0)</f>
        <v>0</v>
      </c>
      <c r="X174" s="61">
        <f>VLOOKUP($B174,'7. PGE_Efficacité'!$A$6:$AO$268,28,0)</f>
        <v>0</v>
      </c>
      <c r="Y174" s="61">
        <f>VLOOKUP($B174,'7. PGE_Efficacité'!$A$6:$AO$268,29,0)</f>
        <v>0</v>
      </c>
      <c r="Z174" s="61">
        <f>VLOOKUP($B174,'7. PGE_Efficacité'!$A$6:$AO$268,30,0)</f>
        <v>0</v>
      </c>
      <c r="AA174" s="61">
        <f>VLOOKUP($B174,'7. PGE_Efficacité'!$A$6:$AO$268,31,0)</f>
        <v>0</v>
      </c>
      <c r="AB174" s="61">
        <f>VLOOKUP($B174,'7. PGE_Efficacité'!$A$6:$AO$268,32,0)</f>
        <v>0</v>
      </c>
      <c r="AC174" s="61">
        <f>VLOOKUP($B174,'7. PGE_Efficacité'!$A$6:$AO$268,33,0)</f>
        <v>0</v>
      </c>
      <c r="AD174" s="61">
        <f>VLOOKUP($B174,'7. PGE_Efficacité'!$A$6:$AO$268,34,0)</f>
        <v>0</v>
      </c>
      <c r="AE174" s="61">
        <f>VLOOKUP($B174,'7. PGE_Efficacité'!$A$6:$AO$268,35,0)</f>
        <v>0</v>
      </c>
      <c r="AF174" s="61">
        <f>VLOOKUP($B174,'7. PGE_Efficacité'!$A$6:$AO$268,36,0)</f>
        <v>0</v>
      </c>
      <c r="AG174" s="61">
        <f>VLOOKUP($B174,'7. PGE_Efficacité'!$A$6:$AO$268,37,0)</f>
        <v>0</v>
      </c>
      <c r="AH174" s="61">
        <f>VLOOKUP($B174,'7. PGE_Efficacité'!$A$6:$AO$268,38,0)</f>
        <v>0</v>
      </c>
      <c r="AI174" s="61">
        <f>VLOOKUP($B174,'7. PGE_Efficacité'!$A$6:$AO$268,39,0)</f>
        <v>0</v>
      </c>
      <c r="AJ174" s="61">
        <f>VLOOKUP($B174,'7. PGE_Efficacité'!$A$6:$AO$268,40,0)</f>
        <v>0</v>
      </c>
      <c r="AK174" s="61">
        <f>VLOOKUP($B174,'7. PGE_Efficacité'!$A$6:$AO$268,41,0)</f>
        <v>0</v>
      </c>
    </row>
    <row r="175" spans="1:37" outlineLevel="1" x14ac:dyDescent="0.25">
      <c r="A175" s="65" t="s">
        <v>27</v>
      </c>
      <c r="B175" s="250" t="s">
        <v>768</v>
      </c>
      <c r="C175" s="65" t="s">
        <v>2010</v>
      </c>
      <c r="D175" s="201" t="s">
        <v>1521</v>
      </c>
      <c r="E175" s="65" t="s">
        <v>415</v>
      </c>
      <c r="F175" s="70">
        <v>50000</v>
      </c>
      <c r="G175" s="64">
        <f>VLOOKUP($B175,'7. PGE_Efficacité'!$A$6:$AO$268,11,0)</f>
        <v>0</v>
      </c>
      <c r="H175" s="64">
        <f>VLOOKUP($B175,'7. PGE_Efficacité'!$A$6:$AO$268,12,0)</f>
        <v>0</v>
      </c>
      <c r="I175" s="64">
        <f>VLOOKUP($B175,'7. PGE_Efficacité'!$A$6:$AO$268,13,0)</f>
        <v>0</v>
      </c>
      <c r="J175" s="64">
        <f>VLOOKUP($B175,'7. PGE_Efficacité'!$A$6:$AO$268,14,0)</f>
        <v>0</v>
      </c>
      <c r="K175" s="64">
        <f>VLOOKUP($B175,'7. PGE_Efficacité'!$A$6:$AO$268,15,0)</f>
        <v>0</v>
      </c>
      <c r="L175" s="64">
        <f>VLOOKUP($B175,'7. PGE_Efficacité'!$A$6:$AO$268,16,0)</f>
        <v>0</v>
      </c>
      <c r="M175" s="64">
        <f>VLOOKUP($B175,'7. PGE_Efficacité'!$A$6:$AO$268,17,0)</f>
        <v>0</v>
      </c>
      <c r="N175" s="64">
        <f>VLOOKUP($B175,'7. PGE_Efficacité'!$A$6:$AO$268,18,0)</f>
        <v>0</v>
      </c>
      <c r="O175" s="64">
        <f>VLOOKUP($B175,'7. PGE_Efficacité'!$A$6:$AO$268,19,0)</f>
        <v>0</v>
      </c>
      <c r="P175" s="64">
        <f>VLOOKUP($B175,'7. PGE_Efficacité'!$A$6:$AO$268,20,0)</f>
        <v>0</v>
      </c>
      <c r="Q175" s="64">
        <f>VLOOKUP($B175,'7. PGE_Efficacité'!$A$6:$AO$268,21,0)</f>
        <v>0</v>
      </c>
      <c r="R175" s="64">
        <f>VLOOKUP($B175,'7. PGE_Efficacité'!$A$6:$AO$268,22,0)</f>
        <v>0</v>
      </c>
      <c r="S175" s="64">
        <f>VLOOKUP($B175,'7. PGE_Efficacité'!$A$6:$AO$268,23,0)</f>
        <v>0</v>
      </c>
      <c r="T175" s="64">
        <f>VLOOKUP($B175,'7. PGE_Efficacité'!$A$6:$AO$268,24,0)</f>
        <v>0</v>
      </c>
      <c r="U175" s="64">
        <f>VLOOKUP($B175,'7. PGE_Efficacité'!$A$6:$AO$268,25,0)</f>
        <v>0</v>
      </c>
      <c r="V175" s="64">
        <f>VLOOKUP($B175,'7. PGE_Efficacité'!$A$6:$AO$268,26,0)</f>
        <v>0</v>
      </c>
      <c r="W175" s="61">
        <f>VLOOKUP($B175,'7. PGE_Efficacité'!$A$6:$AO$268,27,0)</f>
        <v>0</v>
      </c>
      <c r="X175" s="61">
        <f>VLOOKUP($B175,'7. PGE_Efficacité'!$A$6:$AO$268,28,0)</f>
        <v>0</v>
      </c>
      <c r="Y175" s="61">
        <f>VLOOKUP($B175,'7. PGE_Efficacité'!$A$6:$AO$268,29,0)</f>
        <v>0</v>
      </c>
      <c r="Z175" s="61">
        <f>VLOOKUP($B175,'7. PGE_Efficacité'!$A$6:$AO$268,30,0)</f>
        <v>0</v>
      </c>
      <c r="AA175" s="61">
        <f>VLOOKUP($B175,'7. PGE_Efficacité'!$A$6:$AO$268,31,0)</f>
        <v>0</v>
      </c>
      <c r="AB175" s="61">
        <f>VLOOKUP($B175,'7. PGE_Efficacité'!$A$6:$AO$268,32,0)</f>
        <v>0</v>
      </c>
      <c r="AC175" s="61">
        <f>VLOOKUP($B175,'7. PGE_Efficacité'!$A$6:$AO$268,33,0)</f>
        <v>0</v>
      </c>
      <c r="AD175" s="61">
        <f>VLOOKUP($B175,'7. PGE_Efficacité'!$A$6:$AO$268,34,0)</f>
        <v>0</v>
      </c>
      <c r="AE175" s="61">
        <f>VLOOKUP($B175,'7. PGE_Efficacité'!$A$6:$AO$268,35,0)</f>
        <v>0</v>
      </c>
      <c r="AF175" s="61">
        <f>VLOOKUP($B175,'7. PGE_Efficacité'!$A$6:$AO$268,36,0)</f>
        <v>0</v>
      </c>
      <c r="AG175" s="61">
        <f>VLOOKUP($B175,'7. PGE_Efficacité'!$A$6:$AO$268,37,0)</f>
        <v>0</v>
      </c>
      <c r="AH175" s="61">
        <f>VLOOKUP($B175,'7. PGE_Efficacité'!$A$6:$AO$268,38,0)</f>
        <v>0</v>
      </c>
      <c r="AI175" s="61">
        <f>VLOOKUP($B175,'7. PGE_Efficacité'!$A$6:$AO$268,39,0)</f>
        <v>0</v>
      </c>
      <c r="AJ175" s="61">
        <f>VLOOKUP($B175,'7. PGE_Efficacité'!$A$6:$AO$268,40,0)</f>
        <v>0</v>
      </c>
      <c r="AK175" s="61">
        <f>VLOOKUP($B175,'7. PGE_Efficacité'!$A$6:$AO$268,41,0)</f>
        <v>0</v>
      </c>
    </row>
    <row r="176" spans="1:37" outlineLevel="1" x14ac:dyDescent="0.25">
      <c r="A176" s="65" t="s">
        <v>27</v>
      </c>
      <c r="B176" s="250" t="s">
        <v>769</v>
      </c>
      <c r="C176" s="65" t="s">
        <v>2011</v>
      </c>
      <c r="D176" s="201" t="s">
        <v>1521</v>
      </c>
      <c r="E176" s="65" t="s">
        <v>416</v>
      </c>
      <c r="F176" s="70"/>
      <c r="G176" s="64">
        <f>VLOOKUP($B176,'7. PGE_Efficacité'!$A$6:$AO$268,11,0)</f>
        <v>0</v>
      </c>
      <c r="H176" s="64">
        <f>VLOOKUP($B176,'7. PGE_Efficacité'!$A$6:$AO$268,12,0)</f>
        <v>0</v>
      </c>
      <c r="I176" s="64">
        <f>VLOOKUP($B176,'7. PGE_Efficacité'!$A$6:$AO$268,13,0)</f>
        <v>0</v>
      </c>
      <c r="J176" s="64">
        <f>VLOOKUP($B176,'7. PGE_Efficacité'!$A$6:$AO$268,14,0)</f>
        <v>0</v>
      </c>
      <c r="K176" s="64">
        <f>VLOOKUP($B176,'7. PGE_Efficacité'!$A$6:$AO$268,15,0)</f>
        <v>0</v>
      </c>
      <c r="L176" s="64">
        <f>VLOOKUP($B176,'7. PGE_Efficacité'!$A$6:$AO$268,16,0)</f>
        <v>0</v>
      </c>
      <c r="M176" s="64">
        <f>VLOOKUP($B176,'7. PGE_Efficacité'!$A$6:$AO$268,17,0)</f>
        <v>0</v>
      </c>
      <c r="N176" s="64">
        <f>VLOOKUP($B176,'7. PGE_Efficacité'!$A$6:$AO$268,18,0)</f>
        <v>0</v>
      </c>
      <c r="O176" s="64">
        <f>VLOOKUP($B176,'7. PGE_Efficacité'!$A$6:$AO$268,19,0)</f>
        <v>0</v>
      </c>
      <c r="P176" s="64">
        <f>VLOOKUP($B176,'7. PGE_Efficacité'!$A$6:$AO$268,20,0)</f>
        <v>0</v>
      </c>
      <c r="Q176" s="64">
        <f>VLOOKUP($B176,'7. PGE_Efficacité'!$A$6:$AO$268,21,0)</f>
        <v>0</v>
      </c>
      <c r="R176" s="64">
        <f>VLOOKUP($B176,'7. PGE_Efficacité'!$A$6:$AO$268,22,0)</f>
        <v>0</v>
      </c>
      <c r="S176" s="64">
        <f>VLOOKUP($B176,'7. PGE_Efficacité'!$A$6:$AO$268,23,0)</f>
        <v>0</v>
      </c>
      <c r="T176" s="64">
        <f>VLOOKUP($B176,'7. PGE_Efficacité'!$A$6:$AO$268,24,0)</f>
        <v>0</v>
      </c>
      <c r="U176" s="64">
        <f>VLOOKUP($B176,'7. PGE_Efficacité'!$A$6:$AO$268,25,0)</f>
        <v>0</v>
      </c>
      <c r="V176" s="64">
        <f>VLOOKUP($B176,'7. PGE_Efficacité'!$A$6:$AO$268,26,0)</f>
        <v>0</v>
      </c>
      <c r="W176" s="61">
        <f>VLOOKUP($B176,'7. PGE_Efficacité'!$A$6:$AO$268,27,0)</f>
        <v>0</v>
      </c>
      <c r="X176" s="61">
        <f>VLOOKUP($B176,'7. PGE_Efficacité'!$A$6:$AO$268,28,0)</f>
        <v>0</v>
      </c>
      <c r="Y176" s="61">
        <f>VLOOKUP($B176,'7. PGE_Efficacité'!$A$6:$AO$268,29,0)</f>
        <v>0</v>
      </c>
      <c r="Z176" s="61">
        <f>VLOOKUP($B176,'7. PGE_Efficacité'!$A$6:$AO$268,30,0)</f>
        <v>0</v>
      </c>
      <c r="AA176" s="61">
        <f>VLOOKUP($B176,'7. PGE_Efficacité'!$A$6:$AO$268,31,0)</f>
        <v>0</v>
      </c>
      <c r="AB176" s="61">
        <f>VLOOKUP($B176,'7. PGE_Efficacité'!$A$6:$AO$268,32,0)</f>
        <v>0</v>
      </c>
      <c r="AC176" s="61">
        <f>VLOOKUP($B176,'7. PGE_Efficacité'!$A$6:$AO$268,33,0)</f>
        <v>0</v>
      </c>
      <c r="AD176" s="61">
        <f>VLOOKUP($B176,'7. PGE_Efficacité'!$A$6:$AO$268,34,0)</f>
        <v>0</v>
      </c>
      <c r="AE176" s="61">
        <f>VLOOKUP($B176,'7. PGE_Efficacité'!$A$6:$AO$268,35,0)</f>
        <v>0</v>
      </c>
      <c r="AF176" s="61">
        <f>VLOOKUP($B176,'7. PGE_Efficacité'!$A$6:$AO$268,36,0)</f>
        <v>0</v>
      </c>
      <c r="AG176" s="61">
        <f>VLOOKUP($B176,'7. PGE_Efficacité'!$A$6:$AO$268,37,0)</f>
        <v>0</v>
      </c>
      <c r="AH176" s="61">
        <f>VLOOKUP($B176,'7. PGE_Efficacité'!$A$6:$AO$268,38,0)</f>
        <v>0</v>
      </c>
      <c r="AI176" s="61">
        <f>VLOOKUP($B176,'7. PGE_Efficacité'!$A$6:$AO$268,39,0)</f>
        <v>0</v>
      </c>
      <c r="AJ176" s="61">
        <f>VLOOKUP($B176,'7. PGE_Efficacité'!$A$6:$AO$268,40,0)</f>
        <v>0</v>
      </c>
      <c r="AK176" s="61">
        <f>VLOOKUP($B176,'7. PGE_Efficacité'!$A$6:$AO$268,41,0)</f>
        <v>0</v>
      </c>
    </row>
    <row r="177" spans="1:37" outlineLevel="1" x14ac:dyDescent="0.25">
      <c r="A177" s="65" t="s">
        <v>27</v>
      </c>
      <c r="B177" s="250" t="s">
        <v>770</v>
      </c>
      <c r="C177" s="65" t="s">
        <v>2012</v>
      </c>
      <c r="D177" s="201" t="s">
        <v>1521</v>
      </c>
      <c r="E177" s="65" t="s">
        <v>415</v>
      </c>
      <c r="F177" s="70">
        <v>50000</v>
      </c>
      <c r="G177" s="64">
        <f>VLOOKUP($B177,'7. PGE_Efficacité'!$A$6:$AO$268,11,0)</f>
        <v>0</v>
      </c>
      <c r="H177" s="64">
        <f>VLOOKUP($B177,'7. PGE_Efficacité'!$A$6:$AO$268,12,0)</f>
        <v>0</v>
      </c>
      <c r="I177" s="64">
        <f>VLOOKUP($B177,'7. PGE_Efficacité'!$A$6:$AO$268,13,0)</f>
        <v>0</v>
      </c>
      <c r="J177" s="64">
        <f>VLOOKUP($B177,'7. PGE_Efficacité'!$A$6:$AO$268,14,0)</f>
        <v>0</v>
      </c>
      <c r="K177" s="64">
        <f>VLOOKUP($B177,'7. PGE_Efficacité'!$A$6:$AO$268,15,0)</f>
        <v>0</v>
      </c>
      <c r="L177" s="64">
        <f>VLOOKUP($B177,'7. PGE_Efficacité'!$A$6:$AO$268,16,0)</f>
        <v>0</v>
      </c>
      <c r="M177" s="64">
        <f>VLOOKUP($B177,'7. PGE_Efficacité'!$A$6:$AO$268,17,0)</f>
        <v>0</v>
      </c>
      <c r="N177" s="64">
        <f>VLOOKUP($B177,'7. PGE_Efficacité'!$A$6:$AO$268,18,0)</f>
        <v>0</v>
      </c>
      <c r="O177" s="64">
        <f>VLOOKUP($B177,'7. PGE_Efficacité'!$A$6:$AO$268,19,0)</f>
        <v>0</v>
      </c>
      <c r="P177" s="64">
        <f>VLOOKUP($B177,'7. PGE_Efficacité'!$A$6:$AO$268,20,0)</f>
        <v>0</v>
      </c>
      <c r="Q177" s="64">
        <f>VLOOKUP($B177,'7. PGE_Efficacité'!$A$6:$AO$268,21,0)</f>
        <v>0</v>
      </c>
      <c r="R177" s="64">
        <f>VLOOKUP($B177,'7. PGE_Efficacité'!$A$6:$AO$268,22,0)</f>
        <v>0</v>
      </c>
      <c r="S177" s="64">
        <f>VLOOKUP($B177,'7. PGE_Efficacité'!$A$6:$AO$268,23,0)</f>
        <v>0</v>
      </c>
      <c r="T177" s="64">
        <f>VLOOKUP($B177,'7. PGE_Efficacité'!$A$6:$AO$268,24,0)</f>
        <v>0</v>
      </c>
      <c r="U177" s="64">
        <f>VLOOKUP($B177,'7. PGE_Efficacité'!$A$6:$AO$268,25,0)</f>
        <v>0</v>
      </c>
      <c r="V177" s="64">
        <f>VLOOKUP($B177,'7. PGE_Efficacité'!$A$6:$AO$268,26,0)</f>
        <v>0</v>
      </c>
      <c r="W177" s="61">
        <f>VLOOKUP($B177,'7. PGE_Efficacité'!$A$6:$AO$268,27,0)</f>
        <v>0</v>
      </c>
      <c r="X177" s="61">
        <f>VLOOKUP($B177,'7. PGE_Efficacité'!$A$6:$AO$268,28,0)</f>
        <v>0</v>
      </c>
      <c r="Y177" s="61">
        <f>VLOOKUP($B177,'7. PGE_Efficacité'!$A$6:$AO$268,29,0)</f>
        <v>0</v>
      </c>
      <c r="Z177" s="61">
        <f>VLOOKUP($B177,'7. PGE_Efficacité'!$A$6:$AO$268,30,0)</f>
        <v>0</v>
      </c>
      <c r="AA177" s="61">
        <f>VLOOKUP($B177,'7. PGE_Efficacité'!$A$6:$AO$268,31,0)</f>
        <v>0</v>
      </c>
      <c r="AB177" s="61">
        <f>VLOOKUP($B177,'7. PGE_Efficacité'!$A$6:$AO$268,32,0)</f>
        <v>0</v>
      </c>
      <c r="AC177" s="61">
        <f>VLOOKUP($B177,'7. PGE_Efficacité'!$A$6:$AO$268,33,0)</f>
        <v>0</v>
      </c>
      <c r="AD177" s="61">
        <f>VLOOKUP($B177,'7. PGE_Efficacité'!$A$6:$AO$268,34,0)</f>
        <v>0</v>
      </c>
      <c r="AE177" s="61">
        <f>VLOOKUP($B177,'7. PGE_Efficacité'!$A$6:$AO$268,35,0)</f>
        <v>0</v>
      </c>
      <c r="AF177" s="61">
        <f>VLOOKUP($B177,'7. PGE_Efficacité'!$A$6:$AO$268,36,0)</f>
        <v>0</v>
      </c>
      <c r="AG177" s="61">
        <f>VLOOKUP($B177,'7. PGE_Efficacité'!$A$6:$AO$268,37,0)</f>
        <v>0</v>
      </c>
      <c r="AH177" s="61">
        <f>VLOOKUP($B177,'7. PGE_Efficacité'!$A$6:$AO$268,38,0)</f>
        <v>0</v>
      </c>
      <c r="AI177" s="61">
        <f>VLOOKUP($B177,'7. PGE_Efficacité'!$A$6:$AO$268,39,0)</f>
        <v>0</v>
      </c>
      <c r="AJ177" s="61">
        <f>VLOOKUP($B177,'7. PGE_Efficacité'!$A$6:$AO$268,40,0)</f>
        <v>0</v>
      </c>
      <c r="AK177" s="61">
        <f>VLOOKUP($B177,'7. PGE_Efficacité'!$A$6:$AO$268,41,0)</f>
        <v>0</v>
      </c>
    </row>
    <row r="178" spans="1:37" outlineLevel="1" x14ac:dyDescent="0.25">
      <c r="A178" s="65" t="s">
        <v>27</v>
      </c>
      <c r="B178" s="250" t="s">
        <v>771</v>
      </c>
      <c r="C178" s="65" t="s">
        <v>2013</v>
      </c>
      <c r="D178" s="201" t="s">
        <v>1521</v>
      </c>
      <c r="E178" s="65" t="s">
        <v>415</v>
      </c>
      <c r="F178" s="70">
        <v>80000</v>
      </c>
      <c r="G178" s="64">
        <f>VLOOKUP($B178,'7. PGE_Efficacité'!$A$6:$AO$268,11,0)</f>
        <v>0</v>
      </c>
      <c r="H178" s="64">
        <f>VLOOKUP($B178,'7. PGE_Efficacité'!$A$6:$AO$268,12,0)</f>
        <v>0</v>
      </c>
      <c r="I178" s="64">
        <f>VLOOKUP($B178,'7. PGE_Efficacité'!$A$6:$AO$268,13,0)</f>
        <v>0</v>
      </c>
      <c r="J178" s="64">
        <f>VLOOKUP($B178,'7. PGE_Efficacité'!$A$6:$AO$268,14,0)</f>
        <v>0</v>
      </c>
      <c r="K178" s="64">
        <f>VLOOKUP($B178,'7. PGE_Efficacité'!$A$6:$AO$268,15,0)</f>
        <v>0</v>
      </c>
      <c r="L178" s="64">
        <f>VLOOKUP($B178,'7. PGE_Efficacité'!$A$6:$AO$268,16,0)</f>
        <v>0</v>
      </c>
      <c r="M178" s="64">
        <f>VLOOKUP($B178,'7. PGE_Efficacité'!$A$6:$AO$268,17,0)</f>
        <v>0</v>
      </c>
      <c r="N178" s="64">
        <f>VLOOKUP($B178,'7. PGE_Efficacité'!$A$6:$AO$268,18,0)</f>
        <v>0</v>
      </c>
      <c r="O178" s="64">
        <f>VLOOKUP($B178,'7. PGE_Efficacité'!$A$6:$AO$268,19,0)</f>
        <v>0</v>
      </c>
      <c r="P178" s="64">
        <f>VLOOKUP($B178,'7. PGE_Efficacité'!$A$6:$AO$268,20,0)</f>
        <v>0</v>
      </c>
      <c r="Q178" s="64">
        <f>VLOOKUP($B178,'7. PGE_Efficacité'!$A$6:$AO$268,21,0)</f>
        <v>0</v>
      </c>
      <c r="R178" s="64">
        <f>VLOOKUP($B178,'7. PGE_Efficacité'!$A$6:$AO$268,22,0)</f>
        <v>0</v>
      </c>
      <c r="S178" s="64">
        <f>VLOOKUP($B178,'7. PGE_Efficacité'!$A$6:$AO$268,23,0)</f>
        <v>0</v>
      </c>
      <c r="T178" s="64">
        <f>VLOOKUP($B178,'7. PGE_Efficacité'!$A$6:$AO$268,24,0)</f>
        <v>0</v>
      </c>
      <c r="U178" s="64">
        <f>VLOOKUP($B178,'7. PGE_Efficacité'!$A$6:$AO$268,25,0)</f>
        <v>0</v>
      </c>
      <c r="V178" s="64">
        <f>VLOOKUP($B178,'7. PGE_Efficacité'!$A$6:$AO$268,26,0)</f>
        <v>0</v>
      </c>
      <c r="W178" s="61">
        <f>VLOOKUP($B178,'7. PGE_Efficacité'!$A$6:$AO$268,27,0)</f>
        <v>0</v>
      </c>
      <c r="X178" s="61">
        <f>VLOOKUP($B178,'7. PGE_Efficacité'!$A$6:$AO$268,28,0)</f>
        <v>0</v>
      </c>
      <c r="Y178" s="61">
        <f>VLOOKUP($B178,'7. PGE_Efficacité'!$A$6:$AO$268,29,0)</f>
        <v>0</v>
      </c>
      <c r="Z178" s="61">
        <f>VLOOKUP($B178,'7. PGE_Efficacité'!$A$6:$AO$268,30,0)</f>
        <v>0</v>
      </c>
      <c r="AA178" s="61">
        <f>VLOOKUP($B178,'7. PGE_Efficacité'!$A$6:$AO$268,31,0)</f>
        <v>0</v>
      </c>
      <c r="AB178" s="61">
        <f>VLOOKUP($B178,'7. PGE_Efficacité'!$A$6:$AO$268,32,0)</f>
        <v>0</v>
      </c>
      <c r="AC178" s="61">
        <f>VLOOKUP($B178,'7. PGE_Efficacité'!$A$6:$AO$268,33,0)</f>
        <v>0</v>
      </c>
      <c r="AD178" s="61">
        <f>VLOOKUP($B178,'7. PGE_Efficacité'!$A$6:$AO$268,34,0)</f>
        <v>0</v>
      </c>
      <c r="AE178" s="61">
        <f>VLOOKUP($B178,'7. PGE_Efficacité'!$A$6:$AO$268,35,0)</f>
        <v>0</v>
      </c>
      <c r="AF178" s="61">
        <f>VLOOKUP($B178,'7. PGE_Efficacité'!$A$6:$AO$268,36,0)</f>
        <v>0</v>
      </c>
      <c r="AG178" s="61">
        <f>VLOOKUP($B178,'7. PGE_Efficacité'!$A$6:$AO$268,37,0)</f>
        <v>0</v>
      </c>
      <c r="AH178" s="61">
        <f>VLOOKUP($B178,'7. PGE_Efficacité'!$A$6:$AO$268,38,0)</f>
        <v>0</v>
      </c>
      <c r="AI178" s="61">
        <f>VLOOKUP($B178,'7. PGE_Efficacité'!$A$6:$AO$268,39,0)</f>
        <v>0</v>
      </c>
      <c r="AJ178" s="61">
        <f>VLOOKUP($B178,'7. PGE_Efficacité'!$A$6:$AO$268,40,0)</f>
        <v>0</v>
      </c>
      <c r="AK178" s="61">
        <f>VLOOKUP($B178,'7. PGE_Efficacité'!$A$6:$AO$268,41,0)</f>
        <v>0</v>
      </c>
    </row>
    <row r="179" spans="1:37" outlineLevel="1" x14ac:dyDescent="0.25">
      <c r="A179" s="65" t="s">
        <v>27</v>
      </c>
      <c r="B179" s="250" t="s">
        <v>772</v>
      </c>
      <c r="C179" s="65" t="s">
        <v>2014</v>
      </c>
      <c r="D179" s="201" t="s">
        <v>1521</v>
      </c>
      <c r="E179" s="65" t="s">
        <v>415</v>
      </c>
      <c r="F179" s="70">
        <v>0</v>
      </c>
      <c r="G179" s="66">
        <f>VLOOKUP($B179,'7. PGE_Efficacité'!$A$6:$AO$268,11,0)</f>
        <v>0</v>
      </c>
      <c r="H179" s="66">
        <f>VLOOKUP($B179,'7. PGE_Efficacité'!$A$6:$AO$268,12,0)</f>
        <v>0</v>
      </c>
      <c r="I179" s="66">
        <f>VLOOKUP($B179,'7. PGE_Efficacité'!$A$6:$AO$268,13,0)</f>
        <v>0</v>
      </c>
      <c r="J179" s="66">
        <f>VLOOKUP($B179,'7. PGE_Efficacité'!$A$6:$AO$268,14,0)</f>
        <v>0</v>
      </c>
      <c r="K179" s="66">
        <f>VLOOKUP($B179,'7. PGE_Efficacité'!$A$6:$AO$268,15,0)</f>
        <v>0</v>
      </c>
      <c r="L179" s="66">
        <f>VLOOKUP($B179,'7. PGE_Efficacité'!$A$6:$AO$268,16,0)</f>
        <v>0</v>
      </c>
      <c r="M179" s="66">
        <f>VLOOKUP($B179,'7. PGE_Efficacité'!$A$6:$AO$268,17,0)</f>
        <v>0</v>
      </c>
      <c r="N179" s="66">
        <f>VLOOKUP($B179,'7. PGE_Efficacité'!$A$6:$AO$268,18,0)</f>
        <v>0</v>
      </c>
      <c r="O179" s="66">
        <f>VLOOKUP($B179,'7. PGE_Efficacité'!$A$6:$AO$268,19,0)</f>
        <v>0</v>
      </c>
      <c r="P179" s="66">
        <f>VLOOKUP($B179,'7. PGE_Efficacité'!$A$6:$AO$268,20,0)</f>
        <v>0</v>
      </c>
      <c r="Q179" s="66">
        <f>VLOOKUP($B179,'7. PGE_Efficacité'!$A$6:$AO$268,21,0)</f>
        <v>0</v>
      </c>
      <c r="R179" s="66">
        <f>VLOOKUP($B179,'7. PGE_Efficacité'!$A$6:$AO$268,22,0)</f>
        <v>0</v>
      </c>
      <c r="S179" s="66">
        <f>VLOOKUP($B179,'7. PGE_Efficacité'!$A$6:$AO$268,23,0)</f>
        <v>0</v>
      </c>
      <c r="T179" s="66">
        <f>VLOOKUP($B179,'7. PGE_Efficacité'!$A$6:$AO$268,24,0)</f>
        <v>0</v>
      </c>
      <c r="U179" s="66">
        <f>VLOOKUP($B179,'7. PGE_Efficacité'!$A$6:$AO$268,25,0)</f>
        <v>0</v>
      </c>
      <c r="V179" s="66">
        <f>VLOOKUP($B179,'7. PGE_Efficacité'!$A$6:$AO$268,26,0)</f>
        <v>0</v>
      </c>
      <c r="W179" s="62">
        <f>VLOOKUP($B179,'7. PGE_Efficacité'!$A$6:$AO$268,27,0)</f>
        <v>0</v>
      </c>
      <c r="X179" s="62">
        <f>VLOOKUP($B179,'7. PGE_Efficacité'!$A$6:$AO$268,28,0)</f>
        <v>0</v>
      </c>
      <c r="Y179" s="62">
        <f>VLOOKUP($B179,'7. PGE_Efficacité'!$A$6:$AO$268,29,0)</f>
        <v>0</v>
      </c>
      <c r="Z179" s="62">
        <f>VLOOKUP($B179,'7. PGE_Efficacité'!$A$6:$AO$268,30,0)</f>
        <v>0</v>
      </c>
      <c r="AA179" s="62">
        <f>VLOOKUP($B179,'7. PGE_Efficacité'!$A$6:$AO$268,31,0)</f>
        <v>0</v>
      </c>
      <c r="AB179" s="62">
        <f>VLOOKUP($B179,'7. PGE_Efficacité'!$A$6:$AO$268,32,0)</f>
        <v>0</v>
      </c>
      <c r="AC179" s="62">
        <f>VLOOKUP($B179,'7. PGE_Efficacité'!$A$6:$AO$268,33,0)</f>
        <v>0</v>
      </c>
      <c r="AD179" s="62">
        <f>VLOOKUP($B179,'7. PGE_Efficacité'!$A$6:$AO$268,34,0)</f>
        <v>0</v>
      </c>
      <c r="AE179" s="62">
        <f>VLOOKUP($B179,'7. PGE_Efficacité'!$A$6:$AO$268,35,0)</f>
        <v>0</v>
      </c>
      <c r="AF179" s="62">
        <f>VLOOKUP($B179,'7. PGE_Efficacité'!$A$6:$AO$268,36,0)</f>
        <v>0</v>
      </c>
      <c r="AG179" s="62">
        <f>VLOOKUP($B179,'7. PGE_Efficacité'!$A$6:$AO$268,37,0)</f>
        <v>0</v>
      </c>
      <c r="AH179" s="62">
        <f>VLOOKUP($B179,'7. PGE_Efficacité'!$A$6:$AO$268,38,0)</f>
        <v>0</v>
      </c>
      <c r="AI179" s="62">
        <f>VLOOKUP($B179,'7. PGE_Efficacité'!$A$6:$AO$268,39,0)</f>
        <v>0</v>
      </c>
      <c r="AJ179" s="62">
        <f>VLOOKUP($B179,'7. PGE_Efficacité'!$A$6:$AO$268,40,0)</f>
        <v>0</v>
      </c>
      <c r="AK179" s="62">
        <f>VLOOKUP($B179,'7. PGE_Efficacité'!$A$6:$AO$268,41,0)</f>
        <v>0</v>
      </c>
    </row>
    <row r="180" spans="1:37" outlineLevel="1" x14ac:dyDescent="0.25">
      <c r="A180" s="65" t="s">
        <v>27</v>
      </c>
      <c r="B180" s="250" t="s">
        <v>773</v>
      </c>
      <c r="C180" s="65" t="s">
        <v>3004</v>
      </c>
      <c r="D180" s="201" t="s">
        <v>1521</v>
      </c>
      <c r="E180" s="65" t="s">
        <v>415</v>
      </c>
      <c r="F180" s="70">
        <v>2000000</v>
      </c>
      <c r="G180" s="66">
        <f>VLOOKUP($B180,'7. PGE_Efficacité'!$A$6:$AO$268,11,0)</f>
        <v>0</v>
      </c>
      <c r="H180" s="66">
        <f>VLOOKUP($B180,'7. PGE_Efficacité'!$A$6:$AO$268,12,0)</f>
        <v>0</v>
      </c>
      <c r="I180" s="66">
        <f>VLOOKUP($B180,'7. PGE_Efficacité'!$A$6:$AO$268,13,0)</f>
        <v>0</v>
      </c>
      <c r="J180" s="66">
        <f>VLOOKUP($B180,'7. PGE_Efficacité'!$A$6:$AO$268,14,0)</f>
        <v>0</v>
      </c>
      <c r="K180" s="66">
        <f>VLOOKUP($B180,'7. PGE_Efficacité'!$A$6:$AO$268,15,0)</f>
        <v>0</v>
      </c>
      <c r="L180" s="66">
        <f>VLOOKUP($B180,'7. PGE_Efficacité'!$A$6:$AO$268,16,0)</f>
        <v>0</v>
      </c>
      <c r="M180" s="66">
        <f>VLOOKUP($B180,'7. PGE_Efficacité'!$A$6:$AO$268,17,0)</f>
        <v>0</v>
      </c>
      <c r="N180" s="66">
        <f>VLOOKUP($B180,'7. PGE_Efficacité'!$A$6:$AO$268,18,0)</f>
        <v>0</v>
      </c>
      <c r="O180" s="66">
        <f>VLOOKUP($B180,'7. PGE_Efficacité'!$A$6:$AO$268,19,0)</f>
        <v>0</v>
      </c>
      <c r="P180" s="66">
        <f>VLOOKUP($B180,'7. PGE_Efficacité'!$A$6:$AO$268,20,0)</f>
        <v>0</v>
      </c>
      <c r="Q180" s="66">
        <f>VLOOKUP($B180,'7. PGE_Efficacité'!$A$6:$AO$268,21,0)</f>
        <v>0</v>
      </c>
      <c r="R180" s="66">
        <f>VLOOKUP($B180,'7. PGE_Efficacité'!$A$6:$AO$268,22,0)</f>
        <v>0</v>
      </c>
      <c r="S180" s="66">
        <f>VLOOKUP($B180,'7. PGE_Efficacité'!$A$6:$AO$268,23,0)</f>
        <v>0</v>
      </c>
      <c r="T180" s="66">
        <f>VLOOKUP($B180,'7. PGE_Efficacité'!$A$6:$AO$268,24,0)</f>
        <v>0</v>
      </c>
      <c r="U180" s="66">
        <f>VLOOKUP($B180,'7. PGE_Efficacité'!$A$6:$AO$268,25,0)</f>
        <v>0</v>
      </c>
      <c r="V180" s="66">
        <f>VLOOKUP($B180,'7. PGE_Efficacité'!$A$6:$AO$268,26,0)</f>
        <v>0</v>
      </c>
      <c r="W180" s="62">
        <f>VLOOKUP($B180,'7. PGE_Efficacité'!$A$6:$AO$268,27,0)</f>
        <v>0</v>
      </c>
      <c r="X180" s="62">
        <f>VLOOKUP($B180,'7. PGE_Efficacité'!$A$6:$AO$268,28,0)</f>
        <v>0</v>
      </c>
      <c r="Y180" s="62">
        <f>VLOOKUP($B180,'7. PGE_Efficacité'!$A$6:$AO$268,29,0)</f>
        <v>0</v>
      </c>
      <c r="Z180" s="62">
        <f>VLOOKUP($B180,'7. PGE_Efficacité'!$A$6:$AO$268,30,0)</f>
        <v>0</v>
      </c>
      <c r="AA180" s="62">
        <f>VLOOKUP($B180,'7. PGE_Efficacité'!$A$6:$AO$268,31,0)</f>
        <v>0</v>
      </c>
      <c r="AB180" s="62">
        <f>VLOOKUP($B180,'7. PGE_Efficacité'!$A$6:$AO$268,32,0)</f>
        <v>0</v>
      </c>
      <c r="AC180" s="62">
        <f>VLOOKUP($B180,'7. PGE_Efficacité'!$A$6:$AO$268,33,0)</f>
        <v>0</v>
      </c>
      <c r="AD180" s="62">
        <f>VLOOKUP($B180,'7. PGE_Efficacité'!$A$6:$AO$268,34,0)</f>
        <v>0</v>
      </c>
      <c r="AE180" s="62">
        <f>VLOOKUP($B180,'7. PGE_Efficacité'!$A$6:$AO$268,35,0)</f>
        <v>0</v>
      </c>
      <c r="AF180" s="62">
        <f>VLOOKUP($B180,'7. PGE_Efficacité'!$A$6:$AO$268,36,0)</f>
        <v>0</v>
      </c>
      <c r="AG180" s="62">
        <f>VLOOKUP($B180,'7. PGE_Efficacité'!$A$6:$AO$268,37,0)</f>
        <v>0</v>
      </c>
      <c r="AH180" s="62">
        <f>VLOOKUP($B180,'7. PGE_Efficacité'!$A$6:$AO$268,38,0)</f>
        <v>0</v>
      </c>
      <c r="AI180" s="62">
        <f>VLOOKUP($B180,'7. PGE_Efficacité'!$A$6:$AO$268,39,0)</f>
        <v>0</v>
      </c>
      <c r="AJ180" s="62">
        <f>VLOOKUP($B180,'7. PGE_Efficacité'!$A$6:$AO$268,40,0)</f>
        <v>0</v>
      </c>
      <c r="AK180" s="62">
        <f>VLOOKUP($B180,'7. PGE_Efficacité'!$A$6:$AO$268,41,0)</f>
        <v>0</v>
      </c>
    </row>
    <row r="181" spans="1:37" outlineLevel="1" x14ac:dyDescent="0.25">
      <c r="A181" s="65" t="s">
        <v>27</v>
      </c>
      <c r="B181" s="250" t="s">
        <v>774</v>
      </c>
      <c r="C181" s="65" t="s">
        <v>3005</v>
      </c>
      <c r="D181" s="201" t="s">
        <v>1521</v>
      </c>
      <c r="E181" s="65" t="s">
        <v>415</v>
      </c>
      <c r="F181" s="70">
        <v>300000</v>
      </c>
      <c r="G181" s="64">
        <f>VLOOKUP($B181,'7. PGE_Efficacité'!$A$6:$AO$268,11,0)</f>
        <v>0</v>
      </c>
      <c r="H181" s="64">
        <f>VLOOKUP($B181,'7. PGE_Efficacité'!$A$6:$AO$268,12,0)</f>
        <v>0</v>
      </c>
      <c r="I181" s="64">
        <f>VLOOKUP($B181,'7. PGE_Efficacité'!$A$6:$AO$268,13,0)</f>
        <v>0</v>
      </c>
      <c r="J181" s="64">
        <f>VLOOKUP($B181,'7. PGE_Efficacité'!$A$6:$AO$268,14,0)</f>
        <v>0</v>
      </c>
      <c r="K181" s="64">
        <f>VLOOKUP($B181,'7. PGE_Efficacité'!$A$6:$AO$268,15,0)</f>
        <v>0</v>
      </c>
      <c r="L181" s="64">
        <f>VLOOKUP($B181,'7. PGE_Efficacité'!$A$6:$AO$268,16,0)</f>
        <v>0</v>
      </c>
      <c r="M181" s="64">
        <f>VLOOKUP($B181,'7. PGE_Efficacité'!$A$6:$AO$268,17,0)</f>
        <v>0</v>
      </c>
      <c r="N181" s="64">
        <f>VLOOKUP($B181,'7. PGE_Efficacité'!$A$6:$AO$268,18,0)</f>
        <v>0</v>
      </c>
      <c r="O181" s="64">
        <f>VLOOKUP($B181,'7. PGE_Efficacité'!$A$6:$AO$268,19,0)</f>
        <v>0</v>
      </c>
      <c r="P181" s="64">
        <f>VLOOKUP($B181,'7. PGE_Efficacité'!$A$6:$AO$268,20,0)</f>
        <v>0</v>
      </c>
      <c r="Q181" s="64">
        <f>VLOOKUP($B181,'7. PGE_Efficacité'!$A$6:$AO$268,21,0)</f>
        <v>0</v>
      </c>
      <c r="R181" s="64">
        <f>VLOOKUP($B181,'7. PGE_Efficacité'!$A$6:$AO$268,22,0)</f>
        <v>0</v>
      </c>
      <c r="S181" s="64">
        <f>VLOOKUP($B181,'7. PGE_Efficacité'!$A$6:$AO$268,23,0)</f>
        <v>0</v>
      </c>
      <c r="T181" s="64">
        <f>VLOOKUP($B181,'7. PGE_Efficacité'!$A$6:$AO$268,24,0)</f>
        <v>0</v>
      </c>
      <c r="U181" s="64">
        <f>VLOOKUP($B181,'7. PGE_Efficacité'!$A$6:$AO$268,25,0)</f>
        <v>0</v>
      </c>
      <c r="V181" s="64">
        <f>VLOOKUP($B181,'7. PGE_Efficacité'!$A$6:$AO$268,26,0)</f>
        <v>0</v>
      </c>
      <c r="W181" s="61">
        <f>VLOOKUP($B181,'7. PGE_Efficacité'!$A$6:$AO$268,27,0)</f>
        <v>0</v>
      </c>
      <c r="X181" s="61">
        <f>VLOOKUP($B181,'7. PGE_Efficacité'!$A$6:$AO$268,28,0)</f>
        <v>0</v>
      </c>
      <c r="Y181" s="61">
        <f>VLOOKUP($B181,'7. PGE_Efficacité'!$A$6:$AO$268,29,0)</f>
        <v>0</v>
      </c>
      <c r="Z181" s="61">
        <f>VLOOKUP($B181,'7. PGE_Efficacité'!$A$6:$AO$268,30,0)</f>
        <v>0</v>
      </c>
      <c r="AA181" s="61">
        <f>VLOOKUP($B181,'7. PGE_Efficacité'!$A$6:$AO$268,31,0)</f>
        <v>0</v>
      </c>
      <c r="AB181" s="61">
        <f>VLOOKUP($B181,'7. PGE_Efficacité'!$A$6:$AO$268,32,0)</f>
        <v>0</v>
      </c>
      <c r="AC181" s="61">
        <f>VLOOKUP($B181,'7. PGE_Efficacité'!$A$6:$AO$268,33,0)</f>
        <v>0</v>
      </c>
      <c r="AD181" s="61">
        <f>VLOOKUP($B181,'7. PGE_Efficacité'!$A$6:$AO$268,34,0)</f>
        <v>0</v>
      </c>
      <c r="AE181" s="61">
        <f>VLOOKUP($B181,'7. PGE_Efficacité'!$A$6:$AO$268,35,0)</f>
        <v>0</v>
      </c>
      <c r="AF181" s="61">
        <f>VLOOKUP($B181,'7. PGE_Efficacité'!$A$6:$AO$268,36,0)</f>
        <v>0</v>
      </c>
      <c r="AG181" s="61">
        <f>VLOOKUP($B181,'7. PGE_Efficacité'!$A$6:$AO$268,37,0)</f>
        <v>0</v>
      </c>
      <c r="AH181" s="61">
        <f>VLOOKUP($B181,'7. PGE_Efficacité'!$A$6:$AO$268,38,0)</f>
        <v>0</v>
      </c>
      <c r="AI181" s="61">
        <f>VLOOKUP($B181,'7. PGE_Efficacité'!$A$6:$AO$268,39,0)</f>
        <v>0</v>
      </c>
      <c r="AJ181" s="61">
        <f>VLOOKUP($B181,'7. PGE_Efficacité'!$A$6:$AO$268,40,0)</f>
        <v>0</v>
      </c>
      <c r="AK181" s="61">
        <f>VLOOKUP($B181,'7. PGE_Efficacité'!$A$6:$AO$268,41,0)</f>
        <v>0</v>
      </c>
    </row>
    <row r="182" spans="1:37" outlineLevel="1" x14ac:dyDescent="0.25">
      <c r="A182" s="65" t="s">
        <v>27</v>
      </c>
      <c r="B182" s="250" t="s">
        <v>764</v>
      </c>
      <c r="C182" s="65" t="s">
        <v>3006</v>
      </c>
      <c r="D182" s="201" t="s">
        <v>1521</v>
      </c>
      <c r="E182" s="65" t="s">
        <v>415</v>
      </c>
      <c r="F182" s="70">
        <v>0</v>
      </c>
      <c r="G182" s="66">
        <f>VLOOKUP($B182,'7. PGE_Efficacité'!$A$6:$AO$268,11,0)</f>
        <v>0</v>
      </c>
      <c r="H182" s="66">
        <f>VLOOKUP($B182,'7. PGE_Efficacité'!$A$6:$AO$268,12,0)</f>
        <v>0</v>
      </c>
      <c r="I182" s="66">
        <f>VLOOKUP($B182,'7. PGE_Efficacité'!$A$6:$AO$268,13,0)</f>
        <v>0</v>
      </c>
      <c r="J182" s="66">
        <f>VLOOKUP($B182,'7. PGE_Efficacité'!$A$6:$AO$268,14,0)</f>
        <v>0</v>
      </c>
      <c r="K182" s="66">
        <f>VLOOKUP($B182,'7. PGE_Efficacité'!$A$6:$AO$268,15,0)</f>
        <v>0</v>
      </c>
      <c r="L182" s="66">
        <f>VLOOKUP($B182,'7. PGE_Efficacité'!$A$6:$AO$268,16,0)</f>
        <v>0</v>
      </c>
      <c r="M182" s="66">
        <f>VLOOKUP($B182,'7. PGE_Efficacité'!$A$6:$AO$268,17,0)</f>
        <v>0</v>
      </c>
      <c r="N182" s="66">
        <f>VLOOKUP($B182,'7. PGE_Efficacité'!$A$6:$AO$268,18,0)</f>
        <v>0</v>
      </c>
      <c r="O182" s="66">
        <f>VLOOKUP($B182,'7. PGE_Efficacité'!$A$6:$AO$268,19,0)</f>
        <v>0</v>
      </c>
      <c r="P182" s="66">
        <f>VLOOKUP($B182,'7. PGE_Efficacité'!$A$6:$AO$268,20,0)</f>
        <v>0</v>
      </c>
      <c r="Q182" s="66">
        <f>VLOOKUP($B182,'7. PGE_Efficacité'!$A$6:$AO$268,21,0)</f>
        <v>0</v>
      </c>
      <c r="R182" s="66">
        <f>VLOOKUP($B182,'7. PGE_Efficacité'!$A$6:$AO$268,22,0)</f>
        <v>0</v>
      </c>
      <c r="S182" s="66">
        <f>VLOOKUP($B182,'7. PGE_Efficacité'!$A$6:$AO$268,23,0)</f>
        <v>0</v>
      </c>
      <c r="T182" s="66">
        <f>VLOOKUP($B182,'7. PGE_Efficacité'!$A$6:$AO$268,24,0)</f>
        <v>0</v>
      </c>
      <c r="U182" s="66">
        <f>VLOOKUP($B182,'7. PGE_Efficacité'!$A$6:$AO$268,25,0)</f>
        <v>0</v>
      </c>
      <c r="V182" s="66">
        <f>VLOOKUP($B182,'7. PGE_Efficacité'!$A$6:$AO$268,26,0)</f>
        <v>0</v>
      </c>
      <c r="W182" s="62">
        <f>VLOOKUP($B182,'7. PGE_Efficacité'!$A$6:$AO$268,27,0)</f>
        <v>0</v>
      </c>
      <c r="X182" s="62">
        <f>VLOOKUP($B182,'7. PGE_Efficacité'!$A$6:$AO$268,28,0)</f>
        <v>0</v>
      </c>
      <c r="Y182" s="62">
        <f>VLOOKUP($B182,'7. PGE_Efficacité'!$A$6:$AO$268,29,0)</f>
        <v>0</v>
      </c>
      <c r="Z182" s="62">
        <f>VLOOKUP($B182,'7. PGE_Efficacité'!$A$6:$AO$268,30,0)</f>
        <v>0</v>
      </c>
      <c r="AA182" s="62">
        <f>VLOOKUP($B182,'7. PGE_Efficacité'!$A$6:$AO$268,31,0)</f>
        <v>0</v>
      </c>
      <c r="AB182" s="62">
        <f>VLOOKUP($B182,'7. PGE_Efficacité'!$A$6:$AO$268,32,0)</f>
        <v>0</v>
      </c>
      <c r="AC182" s="62">
        <f>VLOOKUP($B182,'7. PGE_Efficacité'!$A$6:$AO$268,33,0)</f>
        <v>0</v>
      </c>
      <c r="AD182" s="62">
        <f>VLOOKUP($B182,'7. PGE_Efficacité'!$A$6:$AO$268,34,0)</f>
        <v>0</v>
      </c>
      <c r="AE182" s="62">
        <f>VLOOKUP($B182,'7. PGE_Efficacité'!$A$6:$AO$268,35,0)</f>
        <v>0</v>
      </c>
      <c r="AF182" s="62">
        <f>VLOOKUP($B182,'7. PGE_Efficacité'!$A$6:$AO$268,36,0)</f>
        <v>0</v>
      </c>
      <c r="AG182" s="62">
        <f>VLOOKUP($B182,'7. PGE_Efficacité'!$A$6:$AO$268,37,0)</f>
        <v>0</v>
      </c>
      <c r="AH182" s="62">
        <f>VLOOKUP($B182,'7. PGE_Efficacité'!$A$6:$AO$268,38,0)</f>
        <v>0</v>
      </c>
      <c r="AI182" s="62">
        <f>VLOOKUP($B182,'7. PGE_Efficacité'!$A$6:$AO$268,39,0)</f>
        <v>0</v>
      </c>
      <c r="AJ182" s="62">
        <f>VLOOKUP($B182,'7. PGE_Efficacité'!$A$6:$AO$268,40,0)</f>
        <v>0</v>
      </c>
      <c r="AK182" s="62">
        <f>VLOOKUP($B182,'7. PGE_Efficacité'!$A$6:$AO$268,41,0)</f>
        <v>0</v>
      </c>
    </row>
    <row r="183" spans="1:37" outlineLevel="1" x14ac:dyDescent="0.25">
      <c r="A183" s="65" t="s">
        <v>27</v>
      </c>
      <c r="B183" s="250" t="s">
        <v>765</v>
      </c>
      <c r="C183" s="65" t="s">
        <v>2016</v>
      </c>
      <c r="D183" s="201" t="s">
        <v>1521</v>
      </c>
      <c r="E183" s="65" t="s">
        <v>415</v>
      </c>
      <c r="F183" s="70">
        <v>0</v>
      </c>
      <c r="G183" s="64">
        <f>VLOOKUP($B183,'7. PGE_Efficacité'!$A$6:$AO$268,11,0)</f>
        <v>0</v>
      </c>
      <c r="H183" s="64">
        <f>VLOOKUP($B183,'7. PGE_Efficacité'!$A$6:$AO$268,12,0)</f>
        <v>0</v>
      </c>
      <c r="I183" s="64">
        <f>VLOOKUP($B183,'7. PGE_Efficacité'!$A$6:$AO$268,13,0)</f>
        <v>0</v>
      </c>
      <c r="J183" s="64">
        <f>VLOOKUP($B183,'7. PGE_Efficacité'!$A$6:$AO$268,14,0)</f>
        <v>0</v>
      </c>
      <c r="K183" s="64">
        <f>VLOOKUP($B183,'7. PGE_Efficacité'!$A$6:$AO$268,15,0)</f>
        <v>0</v>
      </c>
      <c r="L183" s="64">
        <f>VLOOKUP($B183,'7. PGE_Efficacité'!$A$6:$AO$268,16,0)</f>
        <v>0</v>
      </c>
      <c r="M183" s="64">
        <f>VLOOKUP($B183,'7. PGE_Efficacité'!$A$6:$AO$268,17,0)</f>
        <v>0</v>
      </c>
      <c r="N183" s="64">
        <f>VLOOKUP($B183,'7. PGE_Efficacité'!$A$6:$AO$268,18,0)</f>
        <v>0</v>
      </c>
      <c r="O183" s="64">
        <f>VLOOKUP($B183,'7. PGE_Efficacité'!$A$6:$AO$268,19,0)</f>
        <v>0</v>
      </c>
      <c r="P183" s="64">
        <f>VLOOKUP($B183,'7. PGE_Efficacité'!$A$6:$AO$268,20,0)</f>
        <v>0</v>
      </c>
      <c r="Q183" s="64">
        <f>VLOOKUP($B183,'7. PGE_Efficacité'!$A$6:$AO$268,21,0)</f>
        <v>0</v>
      </c>
      <c r="R183" s="64">
        <f>VLOOKUP($B183,'7. PGE_Efficacité'!$A$6:$AO$268,22,0)</f>
        <v>0</v>
      </c>
      <c r="S183" s="64">
        <f>VLOOKUP($B183,'7. PGE_Efficacité'!$A$6:$AO$268,23,0)</f>
        <v>0</v>
      </c>
      <c r="T183" s="64">
        <f>VLOOKUP($B183,'7. PGE_Efficacité'!$A$6:$AO$268,24,0)</f>
        <v>0</v>
      </c>
      <c r="U183" s="64">
        <f>VLOOKUP($B183,'7. PGE_Efficacité'!$A$6:$AO$268,25,0)</f>
        <v>0</v>
      </c>
      <c r="V183" s="64">
        <f>VLOOKUP($B183,'7. PGE_Efficacité'!$A$6:$AO$268,26,0)</f>
        <v>0</v>
      </c>
      <c r="W183" s="61">
        <f>VLOOKUP($B183,'7. PGE_Efficacité'!$A$6:$AO$268,27,0)</f>
        <v>0</v>
      </c>
      <c r="X183" s="61">
        <f>VLOOKUP($B183,'7. PGE_Efficacité'!$A$6:$AO$268,28,0)</f>
        <v>0</v>
      </c>
      <c r="Y183" s="61">
        <f>VLOOKUP($B183,'7. PGE_Efficacité'!$A$6:$AO$268,29,0)</f>
        <v>0</v>
      </c>
      <c r="Z183" s="61">
        <f>VLOOKUP($B183,'7. PGE_Efficacité'!$A$6:$AO$268,30,0)</f>
        <v>0</v>
      </c>
      <c r="AA183" s="61">
        <f>VLOOKUP($B183,'7. PGE_Efficacité'!$A$6:$AO$268,31,0)</f>
        <v>0</v>
      </c>
      <c r="AB183" s="61">
        <f>VLOOKUP($B183,'7. PGE_Efficacité'!$A$6:$AO$268,32,0)</f>
        <v>0</v>
      </c>
      <c r="AC183" s="61">
        <f>VLOOKUP($B183,'7. PGE_Efficacité'!$A$6:$AO$268,33,0)</f>
        <v>0</v>
      </c>
      <c r="AD183" s="61">
        <f>VLOOKUP($B183,'7. PGE_Efficacité'!$A$6:$AO$268,34,0)</f>
        <v>0</v>
      </c>
      <c r="AE183" s="61">
        <f>VLOOKUP($B183,'7. PGE_Efficacité'!$A$6:$AO$268,35,0)</f>
        <v>0</v>
      </c>
      <c r="AF183" s="61">
        <f>VLOOKUP($B183,'7. PGE_Efficacité'!$A$6:$AO$268,36,0)</f>
        <v>0</v>
      </c>
      <c r="AG183" s="61">
        <f>VLOOKUP($B183,'7. PGE_Efficacité'!$A$6:$AO$268,37,0)</f>
        <v>0</v>
      </c>
      <c r="AH183" s="61">
        <f>VLOOKUP($B183,'7. PGE_Efficacité'!$A$6:$AO$268,38,0)</f>
        <v>0</v>
      </c>
      <c r="AI183" s="61">
        <f>VLOOKUP($B183,'7. PGE_Efficacité'!$A$6:$AO$268,39,0)</f>
        <v>0</v>
      </c>
      <c r="AJ183" s="61">
        <f>VLOOKUP($B183,'7. PGE_Efficacité'!$A$6:$AO$268,40,0)</f>
        <v>0</v>
      </c>
      <c r="AK183" s="61">
        <f>VLOOKUP($B183,'7. PGE_Efficacité'!$A$6:$AO$268,41,0)</f>
        <v>0</v>
      </c>
    </row>
    <row r="184" spans="1:37" outlineLevel="1" x14ac:dyDescent="0.25">
      <c r="A184" s="65" t="s">
        <v>27</v>
      </c>
      <c r="B184" s="250" t="s">
        <v>766</v>
      </c>
      <c r="C184" s="65" t="s">
        <v>2019</v>
      </c>
      <c r="D184" s="201" t="s">
        <v>1521</v>
      </c>
      <c r="E184" s="65" t="s">
        <v>416</v>
      </c>
      <c r="F184" s="70"/>
      <c r="G184" s="64">
        <f>VLOOKUP($B184,'7. PGE_Efficacité'!$A$6:$AO$268,11,0)</f>
        <v>0</v>
      </c>
      <c r="H184" s="64">
        <f>VLOOKUP($B184,'7. PGE_Efficacité'!$A$6:$AO$268,12,0)</f>
        <v>0</v>
      </c>
      <c r="I184" s="64">
        <f>VLOOKUP($B184,'7. PGE_Efficacité'!$A$6:$AO$268,13,0)</f>
        <v>0</v>
      </c>
      <c r="J184" s="64">
        <f>VLOOKUP($B184,'7. PGE_Efficacité'!$A$6:$AO$268,14,0)</f>
        <v>0</v>
      </c>
      <c r="K184" s="64">
        <f>VLOOKUP($B184,'7. PGE_Efficacité'!$A$6:$AO$268,15,0)</f>
        <v>0</v>
      </c>
      <c r="L184" s="64">
        <f>VLOOKUP($B184,'7. PGE_Efficacité'!$A$6:$AO$268,16,0)</f>
        <v>0</v>
      </c>
      <c r="M184" s="64">
        <f>VLOOKUP($B184,'7. PGE_Efficacité'!$A$6:$AO$268,17,0)</f>
        <v>0</v>
      </c>
      <c r="N184" s="64">
        <f>VLOOKUP($B184,'7. PGE_Efficacité'!$A$6:$AO$268,18,0)</f>
        <v>0</v>
      </c>
      <c r="O184" s="64">
        <f>VLOOKUP($B184,'7. PGE_Efficacité'!$A$6:$AO$268,19,0)</f>
        <v>0</v>
      </c>
      <c r="P184" s="64">
        <f>VLOOKUP($B184,'7. PGE_Efficacité'!$A$6:$AO$268,20,0)</f>
        <v>0</v>
      </c>
      <c r="Q184" s="64">
        <f>VLOOKUP($B184,'7. PGE_Efficacité'!$A$6:$AO$268,21,0)</f>
        <v>0</v>
      </c>
      <c r="R184" s="64">
        <f>VLOOKUP($B184,'7. PGE_Efficacité'!$A$6:$AO$268,22,0)</f>
        <v>0</v>
      </c>
      <c r="S184" s="64">
        <f>VLOOKUP($B184,'7. PGE_Efficacité'!$A$6:$AO$268,23,0)</f>
        <v>0</v>
      </c>
      <c r="T184" s="64">
        <f>VLOOKUP($B184,'7. PGE_Efficacité'!$A$6:$AO$268,24,0)</f>
        <v>0</v>
      </c>
      <c r="U184" s="64">
        <f>VLOOKUP($B184,'7. PGE_Efficacité'!$A$6:$AO$268,25,0)</f>
        <v>0</v>
      </c>
      <c r="V184" s="64">
        <f>VLOOKUP($B184,'7. PGE_Efficacité'!$A$6:$AO$268,26,0)</f>
        <v>0</v>
      </c>
      <c r="W184" s="61">
        <f>VLOOKUP($B184,'7. PGE_Efficacité'!$A$6:$AO$268,27,0)</f>
        <v>0</v>
      </c>
      <c r="X184" s="61">
        <f>VLOOKUP($B184,'7. PGE_Efficacité'!$A$6:$AO$268,28,0)</f>
        <v>0</v>
      </c>
      <c r="Y184" s="61">
        <f>VLOOKUP($B184,'7. PGE_Efficacité'!$A$6:$AO$268,29,0)</f>
        <v>0</v>
      </c>
      <c r="Z184" s="61">
        <f>VLOOKUP($B184,'7. PGE_Efficacité'!$A$6:$AO$268,30,0)</f>
        <v>0</v>
      </c>
      <c r="AA184" s="61">
        <f>VLOOKUP($B184,'7. PGE_Efficacité'!$A$6:$AO$268,31,0)</f>
        <v>0</v>
      </c>
      <c r="AB184" s="61">
        <f>VLOOKUP($B184,'7. PGE_Efficacité'!$A$6:$AO$268,32,0)</f>
        <v>0</v>
      </c>
      <c r="AC184" s="61">
        <f>VLOOKUP($B184,'7. PGE_Efficacité'!$A$6:$AO$268,33,0)</f>
        <v>0</v>
      </c>
      <c r="AD184" s="61">
        <f>VLOOKUP($B184,'7. PGE_Efficacité'!$A$6:$AO$268,34,0)</f>
        <v>0</v>
      </c>
      <c r="AE184" s="61">
        <f>VLOOKUP($B184,'7. PGE_Efficacité'!$A$6:$AO$268,35,0)</f>
        <v>0</v>
      </c>
      <c r="AF184" s="61">
        <f>VLOOKUP($B184,'7. PGE_Efficacité'!$A$6:$AO$268,36,0)</f>
        <v>0</v>
      </c>
      <c r="AG184" s="61">
        <f>VLOOKUP($B184,'7. PGE_Efficacité'!$A$6:$AO$268,37,0)</f>
        <v>0</v>
      </c>
      <c r="AH184" s="61">
        <f>VLOOKUP($B184,'7. PGE_Efficacité'!$A$6:$AO$268,38,0)</f>
        <v>0</v>
      </c>
      <c r="AI184" s="61">
        <f>VLOOKUP($B184,'7. PGE_Efficacité'!$A$6:$AO$268,39,0)</f>
        <v>0</v>
      </c>
      <c r="AJ184" s="61">
        <f>VLOOKUP($B184,'7. PGE_Efficacité'!$A$6:$AO$268,40,0)</f>
        <v>0</v>
      </c>
      <c r="AK184" s="61">
        <f>VLOOKUP($B184,'7. PGE_Efficacité'!$A$6:$AO$268,41,0)</f>
        <v>0</v>
      </c>
    </row>
    <row r="185" spans="1:37" outlineLevel="1" x14ac:dyDescent="0.25">
      <c r="A185" s="65" t="s">
        <v>27</v>
      </c>
      <c r="B185" s="250" t="s">
        <v>1599</v>
      </c>
      <c r="C185" s="65" t="s">
        <v>2020</v>
      </c>
      <c r="D185" s="201" t="s">
        <v>1521</v>
      </c>
      <c r="E185" s="65" t="s">
        <v>1288</v>
      </c>
      <c r="F185" s="70">
        <v>0</v>
      </c>
      <c r="G185" s="64">
        <f>VLOOKUP($B185,'7. PGE_Efficacité'!$A$6:$AO$268,11,0)</f>
        <v>0</v>
      </c>
      <c r="H185" s="64">
        <f>VLOOKUP($B185,'7. PGE_Efficacité'!$A$6:$AO$268,12,0)</f>
        <v>0</v>
      </c>
      <c r="I185" s="64">
        <f>VLOOKUP($B185,'7. PGE_Efficacité'!$A$6:$AO$268,13,0)</f>
        <v>0</v>
      </c>
      <c r="J185" s="64">
        <f>VLOOKUP($B185,'7. PGE_Efficacité'!$A$6:$AO$268,14,0)</f>
        <v>0</v>
      </c>
      <c r="K185" s="64">
        <f>VLOOKUP($B185,'7. PGE_Efficacité'!$A$6:$AO$268,15,0)</f>
        <v>0</v>
      </c>
      <c r="L185" s="64">
        <f>VLOOKUP($B185,'7. PGE_Efficacité'!$A$6:$AO$268,16,0)</f>
        <v>0</v>
      </c>
      <c r="M185" s="64">
        <f>VLOOKUP($B185,'7. PGE_Efficacité'!$A$6:$AO$268,17,0)</f>
        <v>0</v>
      </c>
      <c r="N185" s="64">
        <f>VLOOKUP($B185,'7. PGE_Efficacité'!$A$6:$AO$268,18,0)</f>
        <v>0</v>
      </c>
      <c r="O185" s="64">
        <f>VLOOKUP($B185,'7. PGE_Efficacité'!$A$6:$AO$268,19,0)</f>
        <v>0</v>
      </c>
      <c r="P185" s="64">
        <f>VLOOKUP($B185,'7. PGE_Efficacité'!$A$6:$AO$268,20,0)</f>
        <v>0</v>
      </c>
      <c r="Q185" s="64">
        <f>VLOOKUP($B185,'7. PGE_Efficacité'!$A$6:$AO$268,21,0)</f>
        <v>0</v>
      </c>
      <c r="R185" s="64">
        <f>VLOOKUP($B185,'7. PGE_Efficacité'!$A$6:$AO$268,22,0)</f>
        <v>0</v>
      </c>
      <c r="S185" s="64">
        <f>VLOOKUP($B185,'7. PGE_Efficacité'!$A$6:$AO$268,23,0)</f>
        <v>0</v>
      </c>
      <c r="T185" s="64">
        <f>VLOOKUP($B185,'7. PGE_Efficacité'!$A$6:$AO$268,24,0)</f>
        <v>0</v>
      </c>
      <c r="U185" s="64">
        <f>VLOOKUP($B185,'7. PGE_Efficacité'!$A$6:$AO$268,25,0)</f>
        <v>0</v>
      </c>
      <c r="V185" s="64">
        <f>VLOOKUP($B185,'7. PGE_Efficacité'!$A$6:$AO$268,26,0)</f>
        <v>0</v>
      </c>
      <c r="W185" s="61">
        <f>VLOOKUP($B185,'7. PGE_Efficacité'!$A$6:$AO$268,27,0)</f>
        <v>0</v>
      </c>
      <c r="X185" s="61">
        <f>VLOOKUP($B185,'7. PGE_Efficacité'!$A$6:$AO$268,28,0)</f>
        <v>0</v>
      </c>
      <c r="Y185" s="61">
        <f>VLOOKUP($B185,'7. PGE_Efficacité'!$A$6:$AO$268,29,0)</f>
        <v>0</v>
      </c>
      <c r="Z185" s="61">
        <f>VLOOKUP($B185,'7. PGE_Efficacité'!$A$6:$AO$268,30,0)</f>
        <v>0</v>
      </c>
      <c r="AA185" s="61">
        <f>VLOOKUP($B185,'7. PGE_Efficacité'!$A$6:$AO$268,31,0)</f>
        <v>0</v>
      </c>
      <c r="AB185" s="61">
        <f>VLOOKUP($B185,'7. PGE_Efficacité'!$A$6:$AO$268,32,0)</f>
        <v>0</v>
      </c>
      <c r="AC185" s="61">
        <f>VLOOKUP($B185,'7. PGE_Efficacité'!$A$6:$AO$268,33,0)</f>
        <v>0</v>
      </c>
      <c r="AD185" s="61">
        <f>VLOOKUP($B185,'7. PGE_Efficacité'!$A$6:$AO$268,34,0)</f>
        <v>0</v>
      </c>
      <c r="AE185" s="61">
        <f>VLOOKUP($B185,'7. PGE_Efficacité'!$A$6:$AO$268,35,0)</f>
        <v>0</v>
      </c>
      <c r="AF185" s="61">
        <f>VLOOKUP($B185,'7. PGE_Efficacité'!$A$6:$AO$268,36,0)</f>
        <v>0</v>
      </c>
      <c r="AG185" s="61">
        <f>VLOOKUP($B185,'7. PGE_Efficacité'!$A$6:$AO$268,37,0)</f>
        <v>0</v>
      </c>
      <c r="AH185" s="61">
        <f>VLOOKUP($B185,'7. PGE_Efficacité'!$A$6:$AO$268,38,0)</f>
        <v>0</v>
      </c>
      <c r="AI185" s="61">
        <f>VLOOKUP($B185,'7. PGE_Efficacité'!$A$6:$AO$268,39,0)</f>
        <v>0</v>
      </c>
      <c r="AJ185" s="61">
        <f>VLOOKUP($B185,'7. PGE_Efficacité'!$A$6:$AO$268,40,0)</f>
        <v>0</v>
      </c>
      <c r="AK185" s="61">
        <f>VLOOKUP($B185,'7. PGE_Efficacité'!$A$6:$AO$268,41,0)</f>
        <v>0</v>
      </c>
    </row>
    <row r="186" spans="1:37" ht="26.25" x14ac:dyDescent="0.25">
      <c r="A186" s="157" t="s">
        <v>38</v>
      </c>
      <c r="B186" s="63"/>
      <c r="C186" s="156" t="s">
        <v>215</v>
      </c>
      <c r="D186" s="63"/>
      <c r="E186" s="63"/>
      <c r="F186" s="78">
        <f>SUM(F187:F192)</f>
        <v>12791280</v>
      </c>
      <c r="G186" s="182" t="str">
        <f>VLOOKUP($A186,'7. PGE_Efficacité'!$A$6:$AO$268,11,0)</f>
        <v>+</v>
      </c>
      <c r="H186" s="182" t="str">
        <f>VLOOKUP($A186,'7. PGE_Efficacité'!$A$6:$AO$268,12,0)</f>
        <v>+</v>
      </c>
      <c r="I186" s="182" t="str">
        <f>VLOOKUP($A186,'7. PGE_Efficacité'!$A$6:$AO$268,13,0)</f>
        <v>+</v>
      </c>
      <c r="J186" s="182" t="str">
        <f>VLOOKUP($A186,'7. PGE_Efficacité'!$A$6:$AO$268,14,0)</f>
        <v>+</v>
      </c>
      <c r="K186" s="182" t="str">
        <f>VLOOKUP($A186,'7. PGE_Efficacité'!$A$6:$AO$268,15,0)</f>
        <v>+</v>
      </c>
      <c r="L186" s="182" t="str">
        <f>VLOOKUP($A186,'7. PGE_Efficacité'!$A$6:$AO$268,16,0)</f>
        <v>+</v>
      </c>
      <c r="M186" s="182" t="str">
        <f>VLOOKUP($A186,'7. PGE_Efficacité'!$A$6:$AO$268,17,0)</f>
        <v>+</v>
      </c>
      <c r="N186" s="182" t="str">
        <f>VLOOKUP($A186,'7. PGE_Efficacité'!$A$6:$AO$268,18,0)</f>
        <v>+</v>
      </c>
      <c r="O186" s="182" t="str">
        <f>VLOOKUP($A186,'7. PGE_Efficacité'!$A$6:$AO$268,19,0)</f>
        <v>+</v>
      </c>
      <c r="P186" s="182" t="str">
        <f>VLOOKUP($A186,'7. PGE_Efficacité'!$A$6:$AO$268,20,0)</f>
        <v>+</v>
      </c>
      <c r="Q186" s="182" t="str">
        <f>VLOOKUP($A186,'7. PGE_Efficacité'!$A$6:$AO$268,21,0)</f>
        <v>+</v>
      </c>
      <c r="R186" s="182">
        <f>VLOOKUP($A186,'7. PGE_Efficacité'!$A$6:$AO$268,22,0)</f>
        <v>0</v>
      </c>
      <c r="S186" s="182" t="str">
        <f>VLOOKUP($A186,'7. PGE_Efficacité'!$A$6:$AO$268,23,0)</f>
        <v>+</v>
      </c>
      <c r="T186" s="182" t="str">
        <f>VLOOKUP($A186,'7. PGE_Efficacité'!$A$6:$AO$268,24,0)</f>
        <v>+</v>
      </c>
      <c r="U186" s="182" t="str">
        <f>VLOOKUP($A186,'7. PGE_Efficacité'!$A$6:$AO$268,25,0)</f>
        <v>+</v>
      </c>
      <c r="V186" s="182" t="str">
        <f>VLOOKUP($A186,'7. PGE_Efficacité'!$A$6:$AO$268,26,0)</f>
        <v>+</v>
      </c>
      <c r="W186" s="183" t="str">
        <f>VLOOKUP($A186,'7. PGE_Efficacité'!$A$6:$AO$268,27,0)</f>
        <v>+</v>
      </c>
      <c r="X186" s="183" t="str">
        <f>VLOOKUP($A186,'7. PGE_Efficacité'!$A$6:$AO$268,28,0)</f>
        <v>+</v>
      </c>
      <c r="Y186" s="183" t="str">
        <f>VLOOKUP($A186,'7. PGE_Efficacité'!$A$6:$AO$268,29,0)</f>
        <v>+</v>
      </c>
      <c r="Z186" s="183" t="str">
        <f>VLOOKUP($A186,'7. PGE_Efficacité'!$A$6:$AO$268,30,0)</f>
        <v>+</v>
      </c>
      <c r="AA186" s="183" t="str">
        <f>VLOOKUP($A186,'7. PGE_Efficacité'!$A$6:$AO$268,31,0)</f>
        <v>+</v>
      </c>
      <c r="AB186" s="183" t="str">
        <f>VLOOKUP($A186,'7. PGE_Efficacité'!$A$6:$AO$268,32,0)</f>
        <v>+</v>
      </c>
      <c r="AC186" s="183" t="str">
        <f>VLOOKUP($A186,'7. PGE_Efficacité'!$A$6:$AO$268,33,0)</f>
        <v>+</v>
      </c>
      <c r="AD186" s="183">
        <f>VLOOKUP($A186,'7. PGE_Efficacité'!$A$6:$AO$268,34,0)</f>
        <v>0</v>
      </c>
      <c r="AE186" s="183">
        <f>VLOOKUP($A186,'7. PGE_Efficacité'!$A$6:$AO$268,35,0)</f>
        <v>0</v>
      </c>
      <c r="AF186" s="183">
        <f>VLOOKUP($A186,'7. PGE_Efficacité'!$A$6:$AO$268,36,0)</f>
        <v>0</v>
      </c>
      <c r="AG186" s="183">
        <f>VLOOKUP($A186,'7. PGE_Efficacité'!$A$6:$AO$268,37,0)</f>
        <v>0</v>
      </c>
      <c r="AH186" s="183" t="str">
        <f>VLOOKUP($A186,'7. PGE_Efficacité'!$A$6:$AO$268,38,0)</f>
        <v>+</v>
      </c>
      <c r="AI186" s="183" t="str">
        <f>VLOOKUP($A186,'7. PGE_Efficacité'!$A$6:$AO$268,39,0)</f>
        <v>+</v>
      </c>
      <c r="AJ186" s="183" t="str">
        <f>VLOOKUP($A186,'7. PGE_Efficacité'!$A$6:$AO$268,40,0)</f>
        <v>+</v>
      </c>
      <c r="AK186" s="183" t="str">
        <f>VLOOKUP($A186,'7. PGE_Efficacité'!$A$6:$AO$268,41,0)</f>
        <v>+</v>
      </c>
    </row>
    <row r="187" spans="1:37" outlineLevel="1" x14ac:dyDescent="0.25">
      <c r="A187" s="65" t="s">
        <v>38</v>
      </c>
      <c r="B187" s="65" t="s">
        <v>892</v>
      </c>
      <c r="C187" s="65" t="s">
        <v>1482</v>
      </c>
      <c r="D187" s="65" t="s">
        <v>1522</v>
      </c>
      <c r="E187" s="65" t="s">
        <v>1290</v>
      </c>
      <c r="F187" s="70">
        <v>0</v>
      </c>
      <c r="G187" s="64">
        <f>VLOOKUP($B187,'7. PGE_Efficacité'!$A$6:$AO$268,11,0)</f>
        <v>0</v>
      </c>
      <c r="H187" s="64">
        <f>VLOOKUP($B187,'7. PGE_Efficacité'!$A$6:$AO$268,12,0)</f>
        <v>0</v>
      </c>
      <c r="I187" s="64">
        <f>VLOOKUP($B187,'7. PGE_Efficacité'!$A$6:$AO$268,13,0)</f>
        <v>0</v>
      </c>
      <c r="J187" s="64">
        <f>VLOOKUP($B187,'7. PGE_Efficacité'!$A$6:$AO$268,14,0)</f>
        <v>0</v>
      </c>
      <c r="K187" s="64">
        <f>VLOOKUP($B187,'7. PGE_Efficacité'!$A$6:$AO$268,15,0)</f>
        <v>0</v>
      </c>
      <c r="L187" s="64">
        <f>VLOOKUP($B187,'7. PGE_Efficacité'!$A$6:$AO$268,16,0)</f>
        <v>0</v>
      </c>
      <c r="M187" s="64">
        <f>VLOOKUP($B187,'7. PGE_Efficacité'!$A$6:$AO$268,17,0)</f>
        <v>0</v>
      </c>
      <c r="N187" s="64">
        <f>VLOOKUP($B187,'7. PGE_Efficacité'!$A$6:$AO$268,18,0)</f>
        <v>0</v>
      </c>
      <c r="O187" s="64">
        <f>VLOOKUP($B187,'7. PGE_Efficacité'!$A$6:$AO$268,19,0)</f>
        <v>0</v>
      </c>
      <c r="P187" s="64">
        <f>VLOOKUP($B187,'7. PGE_Efficacité'!$A$6:$AO$268,20,0)</f>
        <v>0</v>
      </c>
      <c r="Q187" s="64">
        <f>VLOOKUP($B187,'7. PGE_Efficacité'!$A$6:$AO$268,21,0)</f>
        <v>0</v>
      </c>
      <c r="R187" s="64">
        <f>VLOOKUP($B187,'7. PGE_Efficacité'!$A$6:$AO$268,22,0)</f>
        <v>0</v>
      </c>
      <c r="S187" s="64">
        <f>VLOOKUP($B187,'7. PGE_Efficacité'!$A$6:$AO$268,23,0)</f>
        <v>0</v>
      </c>
      <c r="T187" s="64">
        <f>VLOOKUP($B187,'7. PGE_Efficacité'!$A$6:$AO$268,24,0)</f>
        <v>0</v>
      </c>
      <c r="U187" s="64">
        <f>VLOOKUP($B187,'7. PGE_Efficacité'!$A$6:$AO$268,25,0)</f>
        <v>0</v>
      </c>
      <c r="V187" s="64">
        <f>VLOOKUP($B187,'7. PGE_Efficacité'!$A$6:$AO$268,26,0)</f>
        <v>0</v>
      </c>
      <c r="W187" s="61">
        <f>VLOOKUP($B187,'7. PGE_Efficacité'!$A$6:$AO$268,27,0)</f>
        <v>0</v>
      </c>
      <c r="X187" s="61">
        <f>VLOOKUP($B187,'7. PGE_Efficacité'!$A$6:$AO$268,28,0)</f>
        <v>0</v>
      </c>
      <c r="Y187" s="61">
        <f>VLOOKUP($B187,'7. PGE_Efficacité'!$A$6:$AO$268,29,0)</f>
        <v>0</v>
      </c>
      <c r="Z187" s="61">
        <f>VLOOKUP($B187,'7. PGE_Efficacité'!$A$6:$AO$268,30,0)</f>
        <v>0</v>
      </c>
      <c r="AA187" s="61">
        <f>VLOOKUP($B187,'7. PGE_Efficacité'!$A$6:$AO$268,31,0)</f>
        <v>0</v>
      </c>
      <c r="AB187" s="61">
        <f>VLOOKUP($B187,'7. PGE_Efficacité'!$A$6:$AO$268,32,0)</f>
        <v>0</v>
      </c>
      <c r="AC187" s="61">
        <f>VLOOKUP($B187,'7. PGE_Efficacité'!$A$6:$AO$268,33,0)</f>
        <v>0</v>
      </c>
      <c r="AD187" s="61">
        <f>VLOOKUP($B187,'7. PGE_Efficacité'!$A$6:$AO$268,34,0)</f>
        <v>0</v>
      </c>
      <c r="AE187" s="61">
        <f>VLOOKUP($B187,'7. PGE_Efficacité'!$A$6:$AO$268,35,0)</f>
        <v>0</v>
      </c>
      <c r="AF187" s="61">
        <f>VLOOKUP($B187,'7. PGE_Efficacité'!$A$6:$AO$268,36,0)</f>
        <v>0</v>
      </c>
      <c r="AG187" s="61">
        <f>VLOOKUP($B187,'7. PGE_Efficacité'!$A$6:$AO$268,37,0)</f>
        <v>0</v>
      </c>
      <c r="AH187" s="61">
        <f>VLOOKUP($B187,'7. PGE_Efficacité'!$A$6:$AO$268,38,0)</f>
        <v>0</v>
      </c>
      <c r="AI187" s="61">
        <f>VLOOKUP($B187,'7. PGE_Efficacité'!$A$6:$AO$268,39,0)</f>
        <v>0</v>
      </c>
      <c r="AJ187" s="61">
        <f>VLOOKUP($B187,'7. PGE_Efficacité'!$A$6:$AO$268,40,0)</f>
        <v>0</v>
      </c>
      <c r="AK187" s="61">
        <f>VLOOKUP($B187,'7. PGE_Efficacité'!$A$6:$AO$268,41,0)</f>
        <v>0</v>
      </c>
    </row>
    <row r="188" spans="1:37" outlineLevel="1" x14ac:dyDescent="0.25">
      <c r="A188" s="65" t="s">
        <v>38</v>
      </c>
      <c r="B188" s="65" t="s">
        <v>893</v>
      </c>
      <c r="C188" s="65" t="s">
        <v>1483</v>
      </c>
      <c r="D188" s="65" t="s">
        <v>1522</v>
      </c>
      <c r="E188" s="65" t="s">
        <v>1290</v>
      </c>
      <c r="F188" s="70">
        <f>11916800*0.05/3</f>
        <v>198613.33333333334</v>
      </c>
      <c r="G188" s="64">
        <f>VLOOKUP($B188,'7. PGE_Efficacité'!$A$6:$AO$268,11,0)</f>
        <v>0</v>
      </c>
      <c r="H188" s="64">
        <f>VLOOKUP($B188,'7. PGE_Efficacité'!$A$6:$AO$268,12,0)</f>
        <v>0</v>
      </c>
      <c r="I188" s="64">
        <f>VLOOKUP($B188,'7. PGE_Efficacité'!$A$6:$AO$268,13,0)</f>
        <v>0</v>
      </c>
      <c r="J188" s="64">
        <f>VLOOKUP($B188,'7. PGE_Efficacité'!$A$6:$AO$268,14,0)</f>
        <v>0</v>
      </c>
      <c r="K188" s="64">
        <f>VLOOKUP($B188,'7. PGE_Efficacité'!$A$6:$AO$268,15,0)</f>
        <v>0</v>
      </c>
      <c r="L188" s="64">
        <f>VLOOKUP($B188,'7. PGE_Efficacité'!$A$6:$AO$268,16,0)</f>
        <v>0</v>
      </c>
      <c r="M188" s="64">
        <f>VLOOKUP($B188,'7. PGE_Efficacité'!$A$6:$AO$268,17,0)</f>
        <v>0</v>
      </c>
      <c r="N188" s="64">
        <f>VLOOKUP($B188,'7. PGE_Efficacité'!$A$6:$AO$268,18,0)</f>
        <v>0</v>
      </c>
      <c r="O188" s="64">
        <f>VLOOKUP($B188,'7. PGE_Efficacité'!$A$6:$AO$268,19,0)</f>
        <v>0</v>
      </c>
      <c r="P188" s="64">
        <f>VLOOKUP($B188,'7. PGE_Efficacité'!$A$6:$AO$268,20,0)</f>
        <v>0</v>
      </c>
      <c r="Q188" s="64">
        <f>VLOOKUP($B188,'7. PGE_Efficacité'!$A$6:$AO$268,21,0)</f>
        <v>0</v>
      </c>
      <c r="R188" s="64">
        <f>VLOOKUP($B188,'7. PGE_Efficacité'!$A$6:$AO$268,22,0)</f>
        <v>0</v>
      </c>
      <c r="S188" s="64">
        <f>VLOOKUP($B188,'7. PGE_Efficacité'!$A$6:$AO$268,23,0)</f>
        <v>0</v>
      </c>
      <c r="T188" s="64">
        <f>VLOOKUP($B188,'7. PGE_Efficacité'!$A$6:$AO$268,24,0)</f>
        <v>0</v>
      </c>
      <c r="U188" s="64">
        <f>VLOOKUP($B188,'7. PGE_Efficacité'!$A$6:$AO$268,25,0)</f>
        <v>0</v>
      </c>
      <c r="V188" s="64">
        <f>VLOOKUP($B188,'7. PGE_Efficacité'!$A$6:$AO$268,26,0)</f>
        <v>0</v>
      </c>
      <c r="W188" s="61">
        <f>VLOOKUP($B188,'7. PGE_Efficacité'!$A$6:$AO$268,27,0)</f>
        <v>0</v>
      </c>
      <c r="X188" s="61">
        <f>VLOOKUP($B188,'7. PGE_Efficacité'!$A$6:$AO$268,28,0)</f>
        <v>0</v>
      </c>
      <c r="Y188" s="61">
        <f>VLOOKUP($B188,'7. PGE_Efficacité'!$A$6:$AO$268,29,0)</f>
        <v>0</v>
      </c>
      <c r="Z188" s="61">
        <f>VLOOKUP($B188,'7. PGE_Efficacité'!$A$6:$AO$268,30,0)</f>
        <v>0</v>
      </c>
      <c r="AA188" s="61">
        <f>VLOOKUP($B188,'7. PGE_Efficacité'!$A$6:$AO$268,31,0)</f>
        <v>0</v>
      </c>
      <c r="AB188" s="61">
        <f>VLOOKUP($B188,'7. PGE_Efficacité'!$A$6:$AO$268,32,0)</f>
        <v>0</v>
      </c>
      <c r="AC188" s="61">
        <f>VLOOKUP($B188,'7. PGE_Efficacité'!$A$6:$AO$268,33,0)</f>
        <v>0</v>
      </c>
      <c r="AD188" s="61">
        <f>VLOOKUP($B188,'7. PGE_Efficacité'!$A$6:$AO$268,34,0)</f>
        <v>0</v>
      </c>
      <c r="AE188" s="61">
        <f>VLOOKUP($B188,'7. PGE_Efficacité'!$A$6:$AO$268,35,0)</f>
        <v>0</v>
      </c>
      <c r="AF188" s="61">
        <f>VLOOKUP($B188,'7. PGE_Efficacité'!$A$6:$AO$268,36,0)</f>
        <v>0</v>
      </c>
      <c r="AG188" s="61">
        <f>VLOOKUP($B188,'7. PGE_Efficacité'!$A$6:$AO$268,37,0)</f>
        <v>0</v>
      </c>
      <c r="AH188" s="61">
        <f>VLOOKUP($B188,'7. PGE_Efficacité'!$A$6:$AO$268,38,0)</f>
        <v>0</v>
      </c>
      <c r="AI188" s="61">
        <f>VLOOKUP($B188,'7. PGE_Efficacité'!$A$6:$AO$268,39,0)</f>
        <v>0</v>
      </c>
      <c r="AJ188" s="61">
        <f>VLOOKUP($B188,'7. PGE_Efficacité'!$A$6:$AO$268,40,0)</f>
        <v>0</v>
      </c>
      <c r="AK188" s="61">
        <f>VLOOKUP($B188,'7. PGE_Efficacité'!$A$6:$AO$268,41,0)</f>
        <v>0</v>
      </c>
    </row>
    <row r="189" spans="1:37" outlineLevel="1" x14ac:dyDescent="0.25">
      <c r="A189" s="65" t="s">
        <v>38</v>
      </c>
      <c r="B189" s="65" t="s">
        <v>894</v>
      </c>
      <c r="C189" s="65" t="s">
        <v>1484</v>
      </c>
      <c r="D189" s="65" t="s">
        <v>1522</v>
      </c>
      <c r="E189" s="65" t="s">
        <v>1290</v>
      </c>
      <c r="F189" s="70">
        <v>0</v>
      </c>
      <c r="G189" s="64">
        <f>VLOOKUP($B189,'7. PGE_Efficacité'!$A$6:$AO$268,11,0)</f>
        <v>0</v>
      </c>
      <c r="H189" s="64">
        <f>VLOOKUP($B189,'7. PGE_Efficacité'!$A$6:$AO$268,12,0)</f>
        <v>0</v>
      </c>
      <c r="I189" s="64">
        <f>VLOOKUP($B189,'7. PGE_Efficacité'!$A$6:$AO$268,13,0)</f>
        <v>0</v>
      </c>
      <c r="J189" s="64">
        <f>VLOOKUP($B189,'7. PGE_Efficacité'!$A$6:$AO$268,14,0)</f>
        <v>0</v>
      </c>
      <c r="K189" s="64">
        <f>VLOOKUP($B189,'7. PGE_Efficacité'!$A$6:$AO$268,15,0)</f>
        <v>0</v>
      </c>
      <c r="L189" s="64">
        <f>VLOOKUP($B189,'7. PGE_Efficacité'!$A$6:$AO$268,16,0)</f>
        <v>0</v>
      </c>
      <c r="M189" s="64">
        <f>VLOOKUP($B189,'7. PGE_Efficacité'!$A$6:$AO$268,17,0)</f>
        <v>0</v>
      </c>
      <c r="N189" s="64">
        <f>VLOOKUP($B189,'7. PGE_Efficacité'!$A$6:$AO$268,18,0)</f>
        <v>0</v>
      </c>
      <c r="O189" s="64">
        <f>VLOOKUP($B189,'7. PGE_Efficacité'!$A$6:$AO$268,19,0)</f>
        <v>0</v>
      </c>
      <c r="P189" s="64">
        <f>VLOOKUP($B189,'7. PGE_Efficacité'!$A$6:$AO$268,20,0)</f>
        <v>0</v>
      </c>
      <c r="Q189" s="64">
        <f>VLOOKUP($B189,'7. PGE_Efficacité'!$A$6:$AO$268,21,0)</f>
        <v>0</v>
      </c>
      <c r="R189" s="64">
        <f>VLOOKUP($B189,'7. PGE_Efficacité'!$A$6:$AO$268,22,0)</f>
        <v>0</v>
      </c>
      <c r="S189" s="64">
        <f>VLOOKUP($B189,'7. PGE_Efficacité'!$A$6:$AO$268,23,0)</f>
        <v>0</v>
      </c>
      <c r="T189" s="64">
        <f>VLOOKUP($B189,'7. PGE_Efficacité'!$A$6:$AO$268,24,0)</f>
        <v>0</v>
      </c>
      <c r="U189" s="64">
        <f>VLOOKUP($B189,'7. PGE_Efficacité'!$A$6:$AO$268,25,0)</f>
        <v>0</v>
      </c>
      <c r="V189" s="64">
        <f>VLOOKUP($B189,'7. PGE_Efficacité'!$A$6:$AO$268,26,0)</f>
        <v>0</v>
      </c>
      <c r="W189" s="61">
        <f>VLOOKUP($B189,'7. PGE_Efficacité'!$A$6:$AO$268,27,0)</f>
        <v>0</v>
      </c>
      <c r="X189" s="61">
        <f>VLOOKUP($B189,'7. PGE_Efficacité'!$A$6:$AO$268,28,0)</f>
        <v>0</v>
      </c>
      <c r="Y189" s="61">
        <f>VLOOKUP($B189,'7. PGE_Efficacité'!$A$6:$AO$268,29,0)</f>
        <v>0</v>
      </c>
      <c r="Z189" s="61">
        <f>VLOOKUP($B189,'7. PGE_Efficacité'!$A$6:$AO$268,30,0)</f>
        <v>0</v>
      </c>
      <c r="AA189" s="61">
        <f>VLOOKUP($B189,'7. PGE_Efficacité'!$A$6:$AO$268,31,0)</f>
        <v>0</v>
      </c>
      <c r="AB189" s="61">
        <f>VLOOKUP($B189,'7. PGE_Efficacité'!$A$6:$AO$268,32,0)</f>
        <v>0</v>
      </c>
      <c r="AC189" s="61">
        <f>VLOOKUP($B189,'7. PGE_Efficacité'!$A$6:$AO$268,33,0)</f>
        <v>0</v>
      </c>
      <c r="AD189" s="61">
        <f>VLOOKUP($B189,'7. PGE_Efficacité'!$A$6:$AO$268,34,0)</f>
        <v>0</v>
      </c>
      <c r="AE189" s="61">
        <f>VLOOKUP($B189,'7. PGE_Efficacité'!$A$6:$AO$268,35,0)</f>
        <v>0</v>
      </c>
      <c r="AF189" s="61">
        <f>VLOOKUP($B189,'7. PGE_Efficacité'!$A$6:$AO$268,36,0)</f>
        <v>0</v>
      </c>
      <c r="AG189" s="61">
        <f>VLOOKUP($B189,'7. PGE_Efficacité'!$A$6:$AO$268,37,0)</f>
        <v>0</v>
      </c>
      <c r="AH189" s="61">
        <f>VLOOKUP($B189,'7. PGE_Efficacité'!$A$6:$AO$268,38,0)</f>
        <v>0</v>
      </c>
      <c r="AI189" s="61">
        <f>VLOOKUP($B189,'7. PGE_Efficacité'!$A$6:$AO$268,39,0)</f>
        <v>0</v>
      </c>
      <c r="AJ189" s="61">
        <f>VLOOKUP($B189,'7. PGE_Efficacité'!$A$6:$AO$268,40,0)</f>
        <v>0</v>
      </c>
      <c r="AK189" s="61">
        <f>VLOOKUP($B189,'7. PGE_Efficacité'!$A$6:$AO$268,41,0)</f>
        <v>0</v>
      </c>
    </row>
    <row r="190" spans="1:37" outlineLevel="1" x14ac:dyDescent="0.25">
      <c r="A190" s="65" t="s">
        <v>38</v>
      </c>
      <c r="B190" s="65" t="s">
        <v>895</v>
      </c>
      <c r="C190" s="65" t="s">
        <v>1485</v>
      </c>
      <c r="D190" s="65" t="s">
        <v>1522</v>
      </c>
      <c r="E190" s="65" t="s">
        <v>1290</v>
      </c>
      <c r="F190" s="70">
        <f>340480000*0.05/3</f>
        <v>5674666.666666667</v>
      </c>
      <c r="G190" s="64" t="str">
        <f>VLOOKUP($B190,'7. PGE_Efficacité'!$A$6:$AO$268,11,0)</f>
        <v>+</v>
      </c>
      <c r="H190" s="64" t="str">
        <f>VLOOKUP($B190,'7. PGE_Efficacité'!$A$6:$AO$268,12,0)</f>
        <v>+</v>
      </c>
      <c r="I190" s="64" t="str">
        <f>VLOOKUP($B190,'7. PGE_Efficacité'!$A$6:$AO$268,13,0)</f>
        <v>+</v>
      </c>
      <c r="J190" s="64" t="str">
        <f>VLOOKUP($B190,'7. PGE_Efficacité'!$A$6:$AO$268,14,0)</f>
        <v>+</v>
      </c>
      <c r="K190" s="64" t="str">
        <f>VLOOKUP($B190,'7. PGE_Efficacité'!$A$6:$AO$268,15,0)</f>
        <v>+</v>
      </c>
      <c r="L190" s="64" t="str">
        <f>VLOOKUP($B190,'7. PGE_Efficacité'!$A$6:$AO$268,16,0)</f>
        <v>+</v>
      </c>
      <c r="M190" s="64" t="str">
        <f>VLOOKUP($B190,'7. PGE_Efficacité'!$A$6:$AO$268,17,0)</f>
        <v>+</v>
      </c>
      <c r="N190" s="64" t="str">
        <f>VLOOKUP($B190,'7. PGE_Efficacité'!$A$6:$AO$268,18,0)</f>
        <v>+</v>
      </c>
      <c r="O190" s="64" t="str">
        <f>VLOOKUP($B190,'7. PGE_Efficacité'!$A$6:$AO$268,19,0)</f>
        <v>+</v>
      </c>
      <c r="P190" s="64" t="str">
        <f>VLOOKUP($B190,'7. PGE_Efficacité'!$A$6:$AO$268,20,0)</f>
        <v>+</v>
      </c>
      <c r="Q190" s="64" t="str">
        <f>VLOOKUP($B190,'7. PGE_Efficacité'!$A$6:$AO$268,21,0)</f>
        <v>+</v>
      </c>
      <c r="R190" s="64">
        <f>VLOOKUP($B190,'7. PGE_Efficacité'!$A$6:$AO$268,22,0)</f>
        <v>0</v>
      </c>
      <c r="S190" s="64" t="str">
        <f>VLOOKUP($B190,'7. PGE_Efficacité'!$A$6:$AO$268,23,0)</f>
        <v>+</v>
      </c>
      <c r="T190" s="64" t="str">
        <f>VLOOKUP($B190,'7. PGE_Efficacité'!$A$6:$AO$268,24,0)</f>
        <v>+</v>
      </c>
      <c r="U190" s="64" t="str">
        <f>VLOOKUP($B190,'7. PGE_Efficacité'!$A$6:$AO$268,25,0)</f>
        <v>+</v>
      </c>
      <c r="V190" s="64" t="str">
        <f>VLOOKUP($B190,'7. PGE_Efficacité'!$A$6:$AO$268,26,0)</f>
        <v>+</v>
      </c>
      <c r="W190" s="61" t="str">
        <f>VLOOKUP($B190,'7. PGE_Efficacité'!$A$6:$AO$268,27,0)</f>
        <v>+</v>
      </c>
      <c r="X190" s="61" t="str">
        <f>VLOOKUP($B190,'7. PGE_Efficacité'!$A$6:$AO$268,28,0)</f>
        <v>+</v>
      </c>
      <c r="Y190" s="61" t="str">
        <f>VLOOKUP($B190,'7. PGE_Efficacité'!$A$6:$AO$268,29,0)</f>
        <v>+</v>
      </c>
      <c r="Z190" s="61" t="str">
        <f>VLOOKUP($B190,'7. PGE_Efficacité'!$A$6:$AO$268,30,0)</f>
        <v>+</v>
      </c>
      <c r="AA190" s="61" t="str">
        <f>VLOOKUP($B190,'7. PGE_Efficacité'!$A$6:$AO$268,31,0)</f>
        <v>+</v>
      </c>
      <c r="AB190" s="61" t="str">
        <f>VLOOKUP($B190,'7. PGE_Efficacité'!$A$6:$AO$268,32,0)</f>
        <v>+</v>
      </c>
      <c r="AC190" s="61" t="str">
        <f>VLOOKUP($B190,'7. PGE_Efficacité'!$A$6:$AO$268,33,0)</f>
        <v>+</v>
      </c>
      <c r="AD190" s="61">
        <f>VLOOKUP($B190,'7. PGE_Efficacité'!$A$6:$AO$268,34,0)</f>
        <v>0</v>
      </c>
      <c r="AE190" s="61">
        <f>VLOOKUP($B190,'7. PGE_Efficacité'!$A$6:$AO$268,35,0)</f>
        <v>0</v>
      </c>
      <c r="AF190" s="61">
        <f>VLOOKUP($B190,'7. PGE_Efficacité'!$A$6:$AO$268,36,0)</f>
        <v>0</v>
      </c>
      <c r="AG190" s="61">
        <f>VLOOKUP($B190,'7. PGE_Efficacité'!$A$6:$AO$268,37,0)</f>
        <v>0</v>
      </c>
      <c r="AH190" s="61" t="str">
        <f>VLOOKUP($B190,'7. PGE_Efficacité'!$A$6:$AO$268,38,0)</f>
        <v>+</v>
      </c>
      <c r="AI190" s="61" t="str">
        <f>VLOOKUP($B190,'7. PGE_Efficacité'!$A$6:$AO$268,39,0)</f>
        <v>+</v>
      </c>
      <c r="AJ190" s="61" t="str">
        <f>VLOOKUP($B190,'7. PGE_Efficacité'!$A$6:$AO$268,40,0)</f>
        <v>+</v>
      </c>
      <c r="AK190" s="61" t="str">
        <f>VLOOKUP($B190,'7. PGE_Efficacité'!$A$6:$AO$268,41,0)</f>
        <v>+</v>
      </c>
    </row>
    <row r="191" spans="1:37" outlineLevel="1" x14ac:dyDescent="0.25">
      <c r="A191" s="65" t="s">
        <v>38</v>
      </c>
      <c r="B191" s="65" t="s">
        <v>896</v>
      </c>
      <c r="C191" s="65" t="s">
        <v>1486</v>
      </c>
      <c r="D191" s="65" t="s">
        <v>1522</v>
      </c>
      <c r="E191" s="65" t="s">
        <v>1290</v>
      </c>
      <c r="F191" s="70">
        <f>15300000*0.45</f>
        <v>6885000</v>
      </c>
      <c r="G191" s="64">
        <f>VLOOKUP($B191,'7. PGE_Efficacité'!$A$6:$AO$268,11,0)</f>
        <v>0</v>
      </c>
      <c r="H191" s="64">
        <f>VLOOKUP($B191,'7. PGE_Efficacité'!$A$6:$AO$268,12,0)</f>
        <v>0</v>
      </c>
      <c r="I191" s="64">
        <f>VLOOKUP($B191,'7. PGE_Efficacité'!$A$6:$AO$268,13,0)</f>
        <v>0</v>
      </c>
      <c r="J191" s="64">
        <f>VLOOKUP($B191,'7. PGE_Efficacité'!$A$6:$AO$268,14,0)</f>
        <v>0</v>
      </c>
      <c r="K191" s="64">
        <f>VLOOKUP($B191,'7. PGE_Efficacité'!$A$6:$AO$268,15,0)</f>
        <v>0</v>
      </c>
      <c r="L191" s="64">
        <f>VLOOKUP($B191,'7. PGE_Efficacité'!$A$6:$AO$268,16,0)</f>
        <v>0</v>
      </c>
      <c r="M191" s="64">
        <f>VLOOKUP($B191,'7. PGE_Efficacité'!$A$6:$AO$268,17,0)</f>
        <v>0</v>
      </c>
      <c r="N191" s="64">
        <f>VLOOKUP($B191,'7. PGE_Efficacité'!$A$6:$AO$268,18,0)</f>
        <v>0</v>
      </c>
      <c r="O191" s="64">
        <f>VLOOKUP($B191,'7. PGE_Efficacité'!$A$6:$AO$268,19,0)</f>
        <v>0</v>
      </c>
      <c r="P191" s="64">
        <f>VLOOKUP($B191,'7. PGE_Efficacité'!$A$6:$AO$268,20,0)</f>
        <v>0</v>
      </c>
      <c r="Q191" s="64">
        <f>VLOOKUP($B191,'7. PGE_Efficacité'!$A$6:$AO$268,21,0)</f>
        <v>0</v>
      </c>
      <c r="R191" s="64">
        <f>VLOOKUP($B191,'7. PGE_Efficacité'!$A$6:$AO$268,22,0)</f>
        <v>0</v>
      </c>
      <c r="S191" s="64">
        <f>VLOOKUP($B191,'7. PGE_Efficacité'!$A$6:$AO$268,23,0)</f>
        <v>0</v>
      </c>
      <c r="T191" s="64">
        <f>VLOOKUP($B191,'7. PGE_Efficacité'!$A$6:$AO$268,24,0)</f>
        <v>0</v>
      </c>
      <c r="U191" s="64">
        <f>VLOOKUP($B191,'7. PGE_Efficacité'!$A$6:$AO$268,25,0)</f>
        <v>0</v>
      </c>
      <c r="V191" s="64">
        <f>VLOOKUP($B191,'7. PGE_Efficacité'!$A$6:$AO$268,26,0)</f>
        <v>0</v>
      </c>
      <c r="W191" s="61">
        <f>VLOOKUP($B191,'7. PGE_Efficacité'!$A$6:$AO$268,27,0)</f>
        <v>0</v>
      </c>
      <c r="X191" s="61">
        <f>VLOOKUP($B191,'7. PGE_Efficacité'!$A$6:$AO$268,28,0)</f>
        <v>0</v>
      </c>
      <c r="Y191" s="61">
        <f>VLOOKUP($B191,'7. PGE_Efficacité'!$A$6:$AO$268,29,0)</f>
        <v>0</v>
      </c>
      <c r="Z191" s="61">
        <f>VLOOKUP($B191,'7. PGE_Efficacité'!$A$6:$AO$268,30,0)</f>
        <v>0</v>
      </c>
      <c r="AA191" s="61">
        <f>VLOOKUP($B191,'7. PGE_Efficacité'!$A$6:$AO$268,31,0)</f>
        <v>0</v>
      </c>
      <c r="AB191" s="61">
        <f>VLOOKUP($B191,'7. PGE_Efficacité'!$A$6:$AO$268,32,0)</f>
        <v>0</v>
      </c>
      <c r="AC191" s="61">
        <f>VLOOKUP($B191,'7. PGE_Efficacité'!$A$6:$AO$268,33,0)</f>
        <v>0</v>
      </c>
      <c r="AD191" s="61">
        <f>VLOOKUP($B191,'7. PGE_Efficacité'!$A$6:$AO$268,34,0)</f>
        <v>0</v>
      </c>
      <c r="AE191" s="61">
        <f>VLOOKUP($B191,'7. PGE_Efficacité'!$A$6:$AO$268,35,0)</f>
        <v>0</v>
      </c>
      <c r="AF191" s="61">
        <f>VLOOKUP($B191,'7. PGE_Efficacité'!$A$6:$AO$268,36,0)</f>
        <v>0</v>
      </c>
      <c r="AG191" s="61">
        <f>VLOOKUP($B191,'7. PGE_Efficacité'!$A$6:$AO$268,37,0)</f>
        <v>0</v>
      </c>
      <c r="AH191" s="61">
        <f>VLOOKUP($B191,'7. PGE_Efficacité'!$A$6:$AO$268,38,0)</f>
        <v>0</v>
      </c>
      <c r="AI191" s="61">
        <f>VLOOKUP($B191,'7. PGE_Efficacité'!$A$6:$AO$268,39,0)</f>
        <v>0</v>
      </c>
      <c r="AJ191" s="61">
        <f>VLOOKUP($B191,'7. PGE_Efficacité'!$A$6:$AO$268,40,0)</f>
        <v>0</v>
      </c>
      <c r="AK191" s="61">
        <f>VLOOKUP($B191,'7. PGE_Efficacité'!$A$6:$AO$268,41,0)</f>
        <v>0</v>
      </c>
    </row>
    <row r="192" spans="1:37" outlineLevel="1" x14ac:dyDescent="0.25">
      <c r="A192" s="65" t="s">
        <v>38</v>
      </c>
      <c r="B192" s="65" t="s">
        <v>897</v>
      </c>
      <c r="C192" s="65" t="s">
        <v>1487</v>
      </c>
      <c r="D192" s="65" t="s">
        <v>1522</v>
      </c>
      <c r="E192" s="65" t="s">
        <v>1290</v>
      </c>
      <c r="F192" s="70">
        <f>1980000*0.05/3</f>
        <v>33000</v>
      </c>
      <c r="G192" s="64">
        <f>VLOOKUP($B192,'7. PGE_Efficacité'!$A$6:$AO$268,11,0)</f>
        <v>0</v>
      </c>
      <c r="H192" s="64">
        <f>VLOOKUP($B192,'7. PGE_Efficacité'!$A$6:$AO$268,12,0)</f>
        <v>0</v>
      </c>
      <c r="I192" s="64">
        <f>VLOOKUP($B192,'7. PGE_Efficacité'!$A$6:$AO$268,13,0)</f>
        <v>0</v>
      </c>
      <c r="J192" s="64">
        <f>VLOOKUP($B192,'7. PGE_Efficacité'!$A$6:$AO$268,14,0)</f>
        <v>0</v>
      </c>
      <c r="K192" s="64">
        <f>VLOOKUP($B192,'7. PGE_Efficacité'!$A$6:$AO$268,15,0)</f>
        <v>0</v>
      </c>
      <c r="L192" s="64">
        <f>VLOOKUP($B192,'7. PGE_Efficacité'!$A$6:$AO$268,16,0)</f>
        <v>0</v>
      </c>
      <c r="M192" s="64">
        <f>VLOOKUP($B192,'7. PGE_Efficacité'!$A$6:$AO$268,17,0)</f>
        <v>0</v>
      </c>
      <c r="N192" s="64">
        <f>VLOOKUP($B192,'7. PGE_Efficacité'!$A$6:$AO$268,18,0)</f>
        <v>0</v>
      </c>
      <c r="O192" s="64">
        <f>VLOOKUP($B192,'7. PGE_Efficacité'!$A$6:$AO$268,19,0)</f>
        <v>0</v>
      </c>
      <c r="P192" s="64">
        <f>VLOOKUP($B192,'7. PGE_Efficacité'!$A$6:$AO$268,20,0)</f>
        <v>0</v>
      </c>
      <c r="Q192" s="64">
        <f>VLOOKUP($B192,'7. PGE_Efficacité'!$A$6:$AO$268,21,0)</f>
        <v>0</v>
      </c>
      <c r="R192" s="64">
        <f>VLOOKUP($B192,'7. PGE_Efficacité'!$A$6:$AO$268,22,0)</f>
        <v>0</v>
      </c>
      <c r="S192" s="64">
        <f>VLOOKUP($B192,'7. PGE_Efficacité'!$A$6:$AO$268,23,0)</f>
        <v>0</v>
      </c>
      <c r="T192" s="64">
        <f>VLOOKUP($B192,'7. PGE_Efficacité'!$A$6:$AO$268,24,0)</f>
        <v>0</v>
      </c>
      <c r="U192" s="64">
        <f>VLOOKUP($B192,'7. PGE_Efficacité'!$A$6:$AO$268,25,0)</f>
        <v>0</v>
      </c>
      <c r="V192" s="64">
        <f>VLOOKUP($B192,'7. PGE_Efficacité'!$A$6:$AO$268,26,0)</f>
        <v>0</v>
      </c>
      <c r="W192" s="61">
        <f>VLOOKUP($B192,'7. PGE_Efficacité'!$A$6:$AO$268,27,0)</f>
        <v>0</v>
      </c>
      <c r="X192" s="61">
        <f>VLOOKUP($B192,'7. PGE_Efficacité'!$A$6:$AO$268,28,0)</f>
        <v>0</v>
      </c>
      <c r="Y192" s="61">
        <f>VLOOKUP($B192,'7. PGE_Efficacité'!$A$6:$AO$268,29,0)</f>
        <v>0</v>
      </c>
      <c r="Z192" s="61">
        <f>VLOOKUP($B192,'7. PGE_Efficacité'!$A$6:$AO$268,30,0)</f>
        <v>0</v>
      </c>
      <c r="AA192" s="61">
        <f>VLOOKUP($B192,'7. PGE_Efficacité'!$A$6:$AO$268,31,0)</f>
        <v>0</v>
      </c>
      <c r="AB192" s="61">
        <f>VLOOKUP($B192,'7. PGE_Efficacité'!$A$6:$AO$268,32,0)</f>
        <v>0</v>
      </c>
      <c r="AC192" s="61">
        <f>VLOOKUP($B192,'7. PGE_Efficacité'!$A$6:$AO$268,33,0)</f>
        <v>0</v>
      </c>
      <c r="AD192" s="61">
        <f>VLOOKUP($B192,'7. PGE_Efficacité'!$A$6:$AO$268,34,0)</f>
        <v>0</v>
      </c>
      <c r="AE192" s="61">
        <f>VLOOKUP($B192,'7. PGE_Efficacité'!$A$6:$AO$268,35,0)</f>
        <v>0</v>
      </c>
      <c r="AF192" s="61">
        <f>VLOOKUP($B192,'7. PGE_Efficacité'!$A$6:$AO$268,36,0)</f>
        <v>0</v>
      </c>
      <c r="AG192" s="61">
        <f>VLOOKUP($B192,'7. PGE_Efficacité'!$A$6:$AO$268,37,0)</f>
        <v>0</v>
      </c>
      <c r="AH192" s="61">
        <f>VLOOKUP($B192,'7. PGE_Efficacité'!$A$6:$AO$268,38,0)</f>
        <v>0</v>
      </c>
      <c r="AI192" s="61">
        <f>VLOOKUP($B192,'7. PGE_Efficacité'!$A$6:$AO$268,39,0)</f>
        <v>0</v>
      </c>
      <c r="AJ192" s="61">
        <f>VLOOKUP($B192,'7. PGE_Efficacité'!$A$6:$AO$268,40,0)</f>
        <v>0</v>
      </c>
      <c r="AK192" s="61">
        <f>VLOOKUP($B192,'7. PGE_Efficacité'!$A$6:$AO$268,41,0)</f>
        <v>0</v>
      </c>
    </row>
    <row r="193" spans="1:37" ht="26.25" x14ac:dyDescent="0.25">
      <c r="A193" s="184" t="s">
        <v>65</v>
      </c>
      <c r="B193" s="185"/>
      <c r="C193" s="186" t="s">
        <v>241</v>
      </c>
      <c r="D193" s="185"/>
      <c r="E193" s="185"/>
      <c r="F193" s="78">
        <f>SUM(F194:F198)</f>
        <v>310800000</v>
      </c>
      <c r="G193" s="508"/>
      <c r="H193" s="508"/>
      <c r="I193" s="508"/>
      <c r="J193" s="508"/>
      <c r="K193" s="508"/>
      <c r="L193" s="508"/>
      <c r="M193" s="508"/>
      <c r="N193" s="508"/>
      <c r="O193" s="508"/>
      <c r="P193" s="508"/>
      <c r="Q193" s="508"/>
      <c r="R193" s="508"/>
      <c r="S193" s="508"/>
      <c r="T193" s="508"/>
      <c r="U193" s="508"/>
      <c r="V193" s="508"/>
      <c r="W193" s="509"/>
      <c r="X193" s="509"/>
      <c r="Y193" s="509"/>
      <c r="Z193" s="509"/>
      <c r="AA193" s="509"/>
      <c r="AB193" s="509"/>
      <c r="AC193" s="509"/>
      <c r="AD193" s="509"/>
      <c r="AE193" s="509"/>
      <c r="AF193" s="509"/>
      <c r="AG193" s="509"/>
      <c r="AH193" s="509"/>
      <c r="AI193" s="509"/>
      <c r="AJ193" s="509"/>
      <c r="AK193" s="509"/>
    </row>
    <row r="194" spans="1:37" outlineLevel="1" x14ac:dyDescent="0.25">
      <c r="A194" s="65" t="s">
        <v>65</v>
      </c>
      <c r="B194" s="65" t="s">
        <v>952</v>
      </c>
      <c r="C194" s="65" t="s">
        <v>1488</v>
      </c>
      <c r="D194" s="65" t="s">
        <v>1522</v>
      </c>
      <c r="E194" s="65" t="s">
        <v>415</v>
      </c>
      <c r="F194" s="73">
        <f>310800000</f>
        <v>310800000</v>
      </c>
      <c r="G194" s="510"/>
      <c r="H194" s="510"/>
      <c r="I194" s="510"/>
      <c r="J194" s="510"/>
      <c r="K194" s="510"/>
      <c r="L194" s="510"/>
      <c r="M194" s="510"/>
      <c r="N194" s="510"/>
      <c r="O194" s="510"/>
      <c r="P194" s="510"/>
      <c r="Q194" s="510"/>
      <c r="R194" s="510"/>
      <c r="S194" s="510"/>
      <c r="T194" s="510"/>
      <c r="U194" s="510"/>
      <c r="V194" s="510"/>
      <c r="W194" s="511"/>
      <c r="X194" s="511"/>
      <c r="Y194" s="511"/>
      <c r="Z194" s="511"/>
      <c r="AA194" s="511"/>
      <c r="AB194" s="511"/>
      <c r="AC194" s="511"/>
      <c r="AD194" s="511"/>
      <c r="AE194" s="511"/>
      <c r="AF194" s="511"/>
      <c r="AG194" s="511"/>
      <c r="AH194" s="511"/>
      <c r="AI194" s="511"/>
      <c r="AJ194" s="511"/>
      <c r="AK194" s="511"/>
    </row>
    <row r="195" spans="1:37" outlineLevel="1" x14ac:dyDescent="0.25">
      <c r="A195" s="65" t="s">
        <v>65</v>
      </c>
      <c r="B195" s="65" t="s">
        <v>953</v>
      </c>
      <c r="C195" s="65" t="s">
        <v>1489</v>
      </c>
      <c r="D195" s="65" t="s">
        <v>1522</v>
      </c>
      <c r="E195" s="65" t="s">
        <v>415</v>
      </c>
      <c r="F195" s="70">
        <v>0</v>
      </c>
      <c r="G195" s="510"/>
      <c r="H195" s="510"/>
      <c r="I195" s="510"/>
      <c r="J195" s="510"/>
      <c r="K195" s="510"/>
      <c r="L195" s="510"/>
      <c r="M195" s="510"/>
      <c r="N195" s="510"/>
      <c r="O195" s="510"/>
      <c r="P195" s="510"/>
      <c r="Q195" s="510"/>
      <c r="R195" s="510"/>
      <c r="S195" s="510"/>
      <c r="T195" s="510"/>
      <c r="U195" s="510"/>
      <c r="V195" s="510"/>
      <c r="W195" s="511"/>
      <c r="X195" s="511"/>
      <c r="Y195" s="511"/>
      <c r="Z195" s="511"/>
      <c r="AA195" s="511"/>
      <c r="AB195" s="511"/>
      <c r="AC195" s="511"/>
      <c r="AD195" s="511"/>
      <c r="AE195" s="511"/>
      <c r="AF195" s="511"/>
      <c r="AG195" s="511"/>
      <c r="AH195" s="511"/>
      <c r="AI195" s="511"/>
      <c r="AJ195" s="511"/>
      <c r="AK195" s="511"/>
    </row>
    <row r="196" spans="1:37" outlineLevel="1" x14ac:dyDescent="0.25">
      <c r="A196" s="65" t="s">
        <v>65</v>
      </c>
      <c r="B196" s="65" t="s">
        <v>954</v>
      </c>
      <c r="C196" s="65" t="s">
        <v>1490</v>
      </c>
      <c r="D196" s="65" t="s">
        <v>1522</v>
      </c>
      <c r="E196" s="65" t="s">
        <v>415</v>
      </c>
      <c r="F196" s="70">
        <v>0</v>
      </c>
      <c r="G196" s="510"/>
      <c r="H196" s="510"/>
      <c r="I196" s="510"/>
      <c r="J196" s="510"/>
      <c r="K196" s="510"/>
      <c r="L196" s="510"/>
      <c r="M196" s="510"/>
      <c r="N196" s="510"/>
      <c r="O196" s="510"/>
      <c r="P196" s="510"/>
      <c r="Q196" s="510"/>
      <c r="R196" s="510"/>
      <c r="S196" s="510"/>
      <c r="T196" s="510"/>
      <c r="U196" s="510"/>
      <c r="V196" s="510"/>
      <c r="W196" s="511"/>
      <c r="X196" s="511"/>
      <c r="Y196" s="511"/>
      <c r="Z196" s="511"/>
      <c r="AA196" s="511"/>
      <c r="AB196" s="511"/>
      <c r="AC196" s="511"/>
      <c r="AD196" s="511"/>
      <c r="AE196" s="511"/>
      <c r="AF196" s="511"/>
      <c r="AG196" s="511"/>
      <c r="AH196" s="511"/>
      <c r="AI196" s="511"/>
      <c r="AJ196" s="511"/>
      <c r="AK196" s="511"/>
    </row>
    <row r="197" spans="1:37" outlineLevel="1" x14ac:dyDescent="0.25">
      <c r="A197" s="65" t="s">
        <v>65</v>
      </c>
      <c r="B197" s="65" t="s">
        <v>955</v>
      </c>
      <c r="C197" s="65" t="s">
        <v>1491</v>
      </c>
      <c r="D197" s="65" t="s">
        <v>1522</v>
      </c>
      <c r="E197" s="65" t="s">
        <v>415</v>
      </c>
      <c r="F197" s="70">
        <v>0</v>
      </c>
      <c r="G197" s="510"/>
      <c r="H197" s="510"/>
      <c r="I197" s="510"/>
      <c r="J197" s="510"/>
      <c r="K197" s="510"/>
      <c r="L197" s="510"/>
      <c r="M197" s="510"/>
      <c r="N197" s="510"/>
      <c r="O197" s="510"/>
      <c r="P197" s="510"/>
      <c r="Q197" s="510"/>
      <c r="R197" s="510"/>
      <c r="S197" s="510"/>
      <c r="T197" s="510"/>
      <c r="U197" s="510"/>
      <c r="V197" s="510"/>
      <c r="W197" s="511"/>
      <c r="X197" s="511"/>
      <c r="Y197" s="511"/>
      <c r="Z197" s="511"/>
      <c r="AA197" s="511"/>
      <c r="AB197" s="511"/>
      <c r="AC197" s="511"/>
      <c r="AD197" s="511"/>
      <c r="AE197" s="511"/>
      <c r="AF197" s="511"/>
      <c r="AG197" s="511"/>
      <c r="AH197" s="511"/>
      <c r="AI197" s="511"/>
      <c r="AJ197" s="511"/>
      <c r="AK197" s="511"/>
    </row>
    <row r="198" spans="1:37" outlineLevel="1" x14ac:dyDescent="0.25">
      <c r="A198" s="65" t="s">
        <v>65</v>
      </c>
      <c r="B198" s="65" t="s">
        <v>956</v>
      </c>
      <c r="C198" s="65" t="s">
        <v>1492</v>
      </c>
      <c r="D198" s="65" t="s">
        <v>1522</v>
      </c>
      <c r="E198" s="65" t="s">
        <v>415</v>
      </c>
      <c r="F198" s="70">
        <v>0</v>
      </c>
      <c r="G198" s="510"/>
      <c r="H198" s="510"/>
      <c r="I198" s="510"/>
      <c r="J198" s="510"/>
      <c r="K198" s="510"/>
      <c r="L198" s="510"/>
      <c r="M198" s="510"/>
      <c r="N198" s="510"/>
      <c r="O198" s="510"/>
      <c r="P198" s="510"/>
      <c r="Q198" s="510"/>
      <c r="R198" s="510"/>
      <c r="S198" s="510"/>
      <c r="T198" s="510"/>
      <c r="U198" s="510"/>
      <c r="V198" s="510"/>
      <c r="W198" s="511"/>
      <c r="X198" s="511"/>
      <c r="Y198" s="511"/>
      <c r="Z198" s="511"/>
      <c r="AA198" s="511"/>
      <c r="AB198" s="511"/>
      <c r="AC198" s="511"/>
      <c r="AD198" s="511"/>
      <c r="AE198" s="511"/>
      <c r="AF198" s="511"/>
      <c r="AG198" s="511"/>
      <c r="AH198" s="511"/>
      <c r="AI198" s="511"/>
      <c r="AJ198" s="511"/>
      <c r="AK198" s="511"/>
    </row>
    <row r="199" spans="1:37" ht="26.25" x14ac:dyDescent="0.25">
      <c r="A199" s="157" t="s">
        <v>79</v>
      </c>
      <c r="B199" s="63"/>
      <c r="C199" s="156" t="s">
        <v>360</v>
      </c>
      <c r="D199" s="63"/>
      <c r="E199" s="63"/>
      <c r="F199" s="72">
        <f>SUM(F200:F210)</f>
        <v>670000</v>
      </c>
      <c r="G199" s="512" t="str">
        <f>VLOOKUP($A199,'7. PGE_Efficacité'!$A$6:$AO$268,11,0)</f>
        <v>+</v>
      </c>
      <c r="H199" s="512" t="str">
        <f>VLOOKUP($A199,'7. PGE_Efficacité'!$A$6:$AO$268,12,0)</f>
        <v>++</v>
      </c>
      <c r="I199" s="512" t="str">
        <f>VLOOKUP($A199,'7. PGE_Efficacité'!$A$6:$AO$268,13,0)</f>
        <v>+</v>
      </c>
      <c r="J199" s="512" t="str">
        <f>VLOOKUP($A199,'7. PGE_Efficacité'!$A$6:$AO$268,14,0)</f>
        <v>++</v>
      </c>
      <c r="K199" s="512" t="str">
        <f>VLOOKUP($A199,'7. PGE_Efficacité'!$A$6:$AO$268,15,0)</f>
        <v>++</v>
      </c>
      <c r="L199" s="512" t="str">
        <f>VLOOKUP($A199,'7. PGE_Efficacité'!$A$6:$AO$268,16,0)</f>
        <v>++</v>
      </c>
      <c r="M199" s="512" t="str">
        <f>VLOOKUP($A199,'7. PGE_Efficacité'!$A$6:$AO$268,17,0)</f>
        <v>++</v>
      </c>
      <c r="N199" s="512" t="str">
        <f>VLOOKUP($A199,'7. PGE_Efficacité'!$A$6:$AO$268,18,0)</f>
        <v>+</v>
      </c>
      <c r="O199" s="512" t="str">
        <f>VLOOKUP($A199,'7. PGE_Efficacité'!$A$6:$AO$268,19,0)</f>
        <v>+</v>
      </c>
      <c r="P199" s="512" t="str">
        <f>VLOOKUP($A199,'7. PGE_Efficacité'!$A$6:$AO$268,20,0)</f>
        <v>+</v>
      </c>
      <c r="Q199" s="512" t="str">
        <f>VLOOKUP($A199,'7. PGE_Efficacité'!$A$6:$AO$268,21,0)</f>
        <v>+</v>
      </c>
      <c r="R199" s="512">
        <f>VLOOKUP($A199,'7. PGE_Efficacité'!$A$6:$AO$268,22,0)</f>
        <v>0</v>
      </c>
      <c r="S199" s="512" t="str">
        <f>VLOOKUP($A199,'7. PGE_Efficacité'!$A$6:$AO$268,23,0)</f>
        <v>+</v>
      </c>
      <c r="T199" s="512" t="str">
        <f>VLOOKUP($A199,'7. PGE_Efficacité'!$A$6:$AO$268,24,0)</f>
        <v>+</v>
      </c>
      <c r="U199" s="512" t="str">
        <f>VLOOKUP($A199,'7. PGE_Efficacité'!$A$6:$AO$268,25,0)</f>
        <v>+</v>
      </c>
      <c r="V199" s="512" t="str">
        <f>VLOOKUP($A199,'7. PGE_Efficacité'!$A$6:$AO$268,26,0)</f>
        <v>+</v>
      </c>
      <c r="W199" s="513" t="str">
        <f>VLOOKUP($A199,'7. PGE_Efficacité'!$A$6:$AO$268,27,0)</f>
        <v>+</v>
      </c>
      <c r="X199" s="513" t="str">
        <f>VLOOKUP($A199,'7. PGE_Efficacité'!$A$6:$AO$268,28,0)</f>
        <v>+</v>
      </c>
      <c r="Y199" s="513" t="str">
        <f>VLOOKUP($A199,'7. PGE_Efficacité'!$A$6:$AO$268,29,0)</f>
        <v>+</v>
      </c>
      <c r="Z199" s="513" t="str">
        <f>VLOOKUP($A199,'7. PGE_Efficacité'!$A$6:$AO$268,30,0)</f>
        <v>+</v>
      </c>
      <c r="AA199" s="513" t="str">
        <f>VLOOKUP($A199,'7. PGE_Efficacité'!$A$6:$AO$268,31,0)</f>
        <v>+</v>
      </c>
      <c r="AB199" s="513" t="str">
        <f>VLOOKUP($A199,'7. PGE_Efficacité'!$A$6:$AO$268,32,0)</f>
        <v>+</v>
      </c>
      <c r="AC199" s="513" t="str">
        <f>VLOOKUP($A199,'7. PGE_Efficacité'!$A$6:$AO$268,33,0)</f>
        <v>+</v>
      </c>
      <c r="AD199" s="513" t="str">
        <f>VLOOKUP($A199,'7. PGE_Efficacité'!$A$6:$AO$268,34,0)</f>
        <v>++</v>
      </c>
      <c r="AE199" s="513" t="str">
        <f>VLOOKUP($A199,'7. PGE_Efficacité'!$A$6:$AO$268,35,0)</f>
        <v>++</v>
      </c>
      <c r="AF199" s="513">
        <f>VLOOKUP($A199,'7. PGE_Efficacité'!$A$6:$AO$268,36,0)</f>
        <v>0</v>
      </c>
      <c r="AG199" s="513">
        <f>VLOOKUP($A199,'7. PGE_Efficacité'!$A$6:$AO$268,37,0)</f>
        <v>0</v>
      </c>
      <c r="AH199" s="513" t="str">
        <f>VLOOKUP($A199,'7. PGE_Efficacité'!$A$6:$AO$268,38,0)</f>
        <v>+</v>
      </c>
      <c r="AI199" s="513" t="str">
        <f>VLOOKUP($A199,'7. PGE_Efficacité'!$A$6:$AO$268,39,0)</f>
        <v>+</v>
      </c>
      <c r="AJ199" s="513" t="str">
        <f>VLOOKUP($A199,'7. PGE_Efficacité'!$A$6:$AO$268,40,0)</f>
        <v>+</v>
      </c>
      <c r="AK199" s="513" t="str">
        <f>VLOOKUP($A199,'7. PGE_Efficacité'!$A$6:$AO$268,41,0)</f>
        <v>+</v>
      </c>
    </row>
    <row r="200" spans="1:37" outlineLevel="1" x14ac:dyDescent="0.25">
      <c r="A200" s="67" t="s">
        <v>79</v>
      </c>
      <c r="B200" s="67" t="s">
        <v>417</v>
      </c>
      <c r="C200" s="67" t="s">
        <v>1293</v>
      </c>
      <c r="D200" s="67" t="s">
        <v>1520</v>
      </c>
      <c r="E200" s="67" t="s">
        <v>1290</v>
      </c>
      <c r="F200" s="71">
        <v>0</v>
      </c>
      <c r="G200" s="514"/>
      <c r="H200" s="514"/>
      <c r="I200" s="514"/>
      <c r="J200" s="514"/>
      <c r="K200" s="514"/>
      <c r="L200" s="514"/>
      <c r="M200" s="514"/>
      <c r="N200" s="514"/>
      <c r="O200" s="514"/>
      <c r="P200" s="514"/>
      <c r="Q200" s="514"/>
      <c r="R200" s="514"/>
      <c r="S200" s="514"/>
      <c r="T200" s="514"/>
      <c r="U200" s="514"/>
      <c r="V200" s="514"/>
      <c r="W200" s="515"/>
      <c r="X200" s="515"/>
      <c r="Y200" s="515"/>
      <c r="Z200" s="515"/>
      <c r="AA200" s="515"/>
      <c r="AB200" s="515"/>
      <c r="AC200" s="515"/>
      <c r="AD200" s="515"/>
      <c r="AE200" s="515"/>
      <c r="AF200" s="515"/>
      <c r="AG200" s="515"/>
      <c r="AH200" s="515"/>
      <c r="AI200" s="515"/>
      <c r="AJ200" s="515"/>
      <c r="AK200" s="515"/>
    </row>
    <row r="201" spans="1:37" outlineLevel="1" x14ac:dyDescent="0.25">
      <c r="A201" s="67" t="s">
        <v>79</v>
      </c>
      <c r="B201" s="67" t="s">
        <v>418</v>
      </c>
      <c r="C201" s="67" t="s">
        <v>1294</v>
      </c>
      <c r="D201" s="67" t="s">
        <v>1520</v>
      </c>
      <c r="E201" s="67" t="s">
        <v>1290</v>
      </c>
      <c r="F201" s="71">
        <v>0</v>
      </c>
      <c r="G201" s="514"/>
      <c r="H201" s="514"/>
      <c r="I201" s="514"/>
      <c r="J201" s="514"/>
      <c r="K201" s="514"/>
      <c r="L201" s="514"/>
      <c r="M201" s="514"/>
      <c r="N201" s="514"/>
      <c r="O201" s="514"/>
      <c r="P201" s="514"/>
      <c r="Q201" s="514"/>
      <c r="R201" s="514"/>
      <c r="S201" s="514"/>
      <c r="T201" s="514"/>
      <c r="U201" s="514"/>
      <c r="V201" s="514"/>
      <c r="W201" s="515"/>
      <c r="X201" s="515"/>
      <c r="Y201" s="515"/>
      <c r="Z201" s="515"/>
      <c r="AA201" s="515"/>
      <c r="AB201" s="515"/>
      <c r="AC201" s="515"/>
      <c r="AD201" s="515"/>
      <c r="AE201" s="515"/>
      <c r="AF201" s="515"/>
      <c r="AG201" s="515"/>
      <c r="AH201" s="515"/>
      <c r="AI201" s="515"/>
      <c r="AJ201" s="515"/>
      <c r="AK201" s="515"/>
    </row>
    <row r="202" spans="1:37" outlineLevel="1" x14ac:dyDescent="0.25">
      <c r="A202" s="67" t="s">
        <v>79</v>
      </c>
      <c r="B202" s="67" t="s">
        <v>419</v>
      </c>
      <c r="C202" s="67" t="s">
        <v>1295</v>
      </c>
      <c r="D202" s="67" t="s">
        <v>1520</v>
      </c>
      <c r="E202" s="67" t="s">
        <v>1290</v>
      </c>
      <c r="F202" s="71">
        <v>0</v>
      </c>
      <c r="G202" s="514"/>
      <c r="H202" s="514"/>
      <c r="I202" s="514"/>
      <c r="J202" s="514"/>
      <c r="K202" s="514"/>
      <c r="L202" s="514"/>
      <c r="M202" s="514"/>
      <c r="N202" s="514"/>
      <c r="O202" s="514"/>
      <c r="P202" s="514"/>
      <c r="Q202" s="514"/>
      <c r="R202" s="514"/>
      <c r="S202" s="514"/>
      <c r="T202" s="514"/>
      <c r="U202" s="514"/>
      <c r="V202" s="514"/>
      <c r="W202" s="515"/>
      <c r="X202" s="515"/>
      <c r="Y202" s="515"/>
      <c r="Z202" s="515"/>
      <c r="AA202" s="515"/>
      <c r="AB202" s="515"/>
      <c r="AC202" s="515"/>
      <c r="AD202" s="515"/>
      <c r="AE202" s="515"/>
      <c r="AF202" s="515"/>
      <c r="AG202" s="515"/>
      <c r="AH202" s="515"/>
      <c r="AI202" s="515"/>
      <c r="AJ202" s="515"/>
      <c r="AK202" s="515"/>
    </row>
    <row r="203" spans="1:37" outlineLevel="1" x14ac:dyDescent="0.25">
      <c r="A203" s="67" t="s">
        <v>79</v>
      </c>
      <c r="B203" s="67" t="s">
        <v>420</v>
      </c>
      <c r="C203" s="67" t="s">
        <v>1296</v>
      </c>
      <c r="D203" s="67" t="s">
        <v>1520</v>
      </c>
      <c r="E203" s="67" t="s">
        <v>1290</v>
      </c>
      <c r="F203" s="71">
        <v>0</v>
      </c>
      <c r="G203" s="514"/>
      <c r="H203" s="514"/>
      <c r="I203" s="514"/>
      <c r="J203" s="514"/>
      <c r="K203" s="514"/>
      <c r="L203" s="514"/>
      <c r="M203" s="514"/>
      <c r="N203" s="514"/>
      <c r="O203" s="514"/>
      <c r="P203" s="514"/>
      <c r="Q203" s="514"/>
      <c r="R203" s="514"/>
      <c r="S203" s="514"/>
      <c r="T203" s="514"/>
      <c r="U203" s="514"/>
      <c r="V203" s="514"/>
      <c r="W203" s="515"/>
      <c r="X203" s="515"/>
      <c r="Y203" s="515"/>
      <c r="Z203" s="515"/>
      <c r="AA203" s="515"/>
      <c r="AB203" s="515"/>
      <c r="AC203" s="515"/>
      <c r="AD203" s="515"/>
      <c r="AE203" s="515"/>
      <c r="AF203" s="515"/>
      <c r="AG203" s="515"/>
      <c r="AH203" s="515"/>
      <c r="AI203" s="515"/>
      <c r="AJ203" s="515"/>
      <c r="AK203" s="515"/>
    </row>
    <row r="204" spans="1:37" outlineLevel="1" x14ac:dyDescent="0.25">
      <c r="A204" s="67" t="s">
        <v>79</v>
      </c>
      <c r="B204" s="67" t="s">
        <v>421</v>
      </c>
      <c r="C204" s="67" t="s">
        <v>1297</v>
      </c>
      <c r="D204" s="67" t="s">
        <v>1520</v>
      </c>
      <c r="E204" s="67" t="s">
        <v>1290</v>
      </c>
      <c r="F204" s="71">
        <f>200000*0.67</f>
        <v>134000</v>
      </c>
      <c r="G204" s="514"/>
      <c r="H204" s="514"/>
      <c r="I204" s="514"/>
      <c r="J204" s="514"/>
      <c r="K204" s="514"/>
      <c r="L204" s="514"/>
      <c r="M204" s="514"/>
      <c r="N204" s="514"/>
      <c r="O204" s="514"/>
      <c r="P204" s="514"/>
      <c r="Q204" s="514"/>
      <c r="R204" s="514"/>
      <c r="S204" s="514"/>
      <c r="T204" s="514"/>
      <c r="U204" s="514"/>
      <c r="V204" s="514"/>
      <c r="W204" s="515"/>
      <c r="X204" s="515"/>
      <c r="Y204" s="515"/>
      <c r="Z204" s="515"/>
      <c r="AA204" s="515"/>
      <c r="AB204" s="515"/>
      <c r="AC204" s="515"/>
      <c r="AD204" s="515"/>
      <c r="AE204" s="515"/>
      <c r="AF204" s="515"/>
      <c r="AG204" s="515"/>
      <c r="AH204" s="515"/>
      <c r="AI204" s="515"/>
      <c r="AJ204" s="515"/>
      <c r="AK204" s="515"/>
    </row>
    <row r="205" spans="1:37" outlineLevel="1" x14ac:dyDescent="0.25">
      <c r="A205" s="67" t="s">
        <v>79</v>
      </c>
      <c r="B205" s="67" t="s">
        <v>422</v>
      </c>
      <c r="C205" s="67" t="s">
        <v>1298</v>
      </c>
      <c r="D205" s="67" t="s">
        <v>1520</v>
      </c>
      <c r="E205" s="67" t="s">
        <v>1290</v>
      </c>
      <c r="F205" s="71">
        <f>800000*0.67</f>
        <v>536000</v>
      </c>
      <c r="G205" s="514">
        <f>VLOOKUP($B205,'7. PGE_Efficacité'!$A$6:$AO$268,11,0)</f>
        <v>0</v>
      </c>
      <c r="H205" s="514">
        <f>VLOOKUP($B205,'7. PGE_Efficacité'!$A$6:$AO$268,12,0)</f>
        <v>0</v>
      </c>
      <c r="I205" s="514">
        <f>VLOOKUP($B205,'7. PGE_Efficacité'!$A$6:$AO$268,13,0)</f>
        <v>0</v>
      </c>
      <c r="J205" s="514">
        <f>VLOOKUP($B205,'7. PGE_Efficacité'!$A$6:$AO$268,14,0)</f>
        <v>0</v>
      </c>
      <c r="K205" s="514">
        <f>VLOOKUP($B205,'7. PGE_Efficacité'!$A$6:$AO$268,15,0)</f>
        <v>0</v>
      </c>
      <c r="L205" s="514">
        <f>VLOOKUP($B205,'7. PGE_Efficacité'!$A$6:$AO$268,16,0)</f>
        <v>0</v>
      </c>
      <c r="M205" s="514">
        <f>VLOOKUP($B205,'7. PGE_Efficacité'!$A$6:$AO$268,17,0)</f>
        <v>0</v>
      </c>
      <c r="N205" s="514">
        <f>VLOOKUP($B205,'7. PGE_Efficacité'!$A$6:$AO$268,18,0)</f>
        <v>0</v>
      </c>
      <c r="O205" s="514">
        <f>VLOOKUP($B205,'7. PGE_Efficacité'!$A$6:$AO$268,19,0)</f>
        <v>0</v>
      </c>
      <c r="P205" s="514">
        <f>VLOOKUP($B205,'7. PGE_Efficacité'!$A$6:$AO$268,20,0)</f>
        <v>0</v>
      </c>
      <c r="Q205" s="514">
        <f>VLOOKUP($B205,'7. PGE_Efficacité'!$A$6:$AO$268,21,0)</f>
        <v>0</v>
      </c>
      <c r="R205" s="514">
        <f>VLOOKUP($B205,'7. PGE_Efficacité'!$A$6:$AO$268,22,0)</f>
        <v>0</v>
      </c>
      <c r="S205" s="514">
        <f>VLOOKUP($B205,'7. PGE_Efficacité'!$A$6:$AO$268,23,0)</f>
        <v>0</v>
      </c>
      <c r="T205" s="514">
        <f>VLOOKUP($B205,'7. PGE_Efficacité'!$A$6:$AO$268,24,0)</f>
        <v>0</v>
      </c>
      <c r="U205" s="514">
        <f>VLOOKUP($B205,'7. PGE_Efficacité'!$A$6:$AO$268,25,0)</f>
        <v>0</v>
      </c>
      <c r="V205" s="514">
        <f>VLOOKUP($B205,'7. PGE_Efficacité'!$A$6:$AO$268,26,0)</f>
        <v>0</v>
      </c>
      <c r="W205" s="515">
        <f>VLOOKUP($B205,'7. PGE_Efficacité'!$A$6:$AO$268,27,0)</f>
        <v>0</v>
      </c>
      <c r="X205" s="515">
        <f>VLOOKUP($B205,'7. PGE_Efficacité'!$A$6:$AO$268,28,0)</f>
        <v>0</v>
      </c>
      <c r="Y205" s="515">
        <f>VLOOKUP($B205,'7. PGE_Efficacité'!$A$6:$AO$268,29,0)</f>
        <v>0</v>
      </c>
      <c r="Z205" s="515">
        <f>VLOOKUP($B205,'7. PGE_Efficacité'!$A$6:$AO$268,30,0)</f>
        <v>0</v>
      </c>
      <c r="AA205" s="515">
        <f>VLOOKUP($B205,'7. PGE_Efficacité'!$A$6:$AO$268,31,0)</f>
        <v>0</v>
      </c>
      <c r="AB205" s="515">
        <f>VLOOKUP($B205,'7. PGE_Efficacité'!$A$6:$AO$268,32,0)</f>
        <v>0</v>
      </c>
      <c r="AC205" s="515">
        <f>VLOOKUP($B205,'7. PGE_Efficacité'!$A$6:$AO$268,33,0)</f>
        <v>0</v>
      </c>
      <c r="AD205" s="515">
        <f>VLOOKUP($B205,'7. PGE_Efficacité'!$A$6:$AO$268,34,0)</f>
        <v>0</v>
      </c>
      <c r="AE205" s="515">
        <f>VLOOKUP($B205,'7. PGE_Efficacité'!$A$6:$AO$268,35,0)</f>
        <v>0</v>
      </c>
      <c r="AF205" s="515">
        <f>VLOOKUP($B205,'7. PGE_Efficacité'!$A$6:$AO$268,36,0)</f>
        <v>0</v>
      </c>
      <c r="AG205" s="515">
        <f>VLOOKUP($B205,'7. PGE_Efficacité'!$A$6:$AO$268,37,0)</f>
        <v>0</v>
      </c>
      <c r="AH205" s="515">
        <f>VLOOKUP($B205,'7. PGE_Efficacité'!$A$6:$AO$268,38,0)</f>
        <v>0</v>
      </c>
      <c r="AI205" s="515">
        <f>VLOOKUP($B205,'7. PGE_Efficacité'!$A$6:$AO$268,39,0)</f>
        <v>0</v>
      </c>
      <c r="AJ205" s="515">
        <f>VLOOKUP($B205,'7. PGE_Efficacité'!$A$6:$AO$268,40,0)</f>
        <v>0</v>
      </c>
      <c r="AK205" s="515">
        <f>VLOOKUP($B205,'7. PGE_Efficacité'!$A$6:$AO$268,41,0)</f>
        <v>0</v>
      </c>
    </row>
    <row r="206" spans="1:37" outlineLevel="1" x14ac:dyDescent="0.25">
      <c r="A206" s="67" t="s">
        <v>79</v>
      </c>
      <c r="B206" s="67" t="s">
        <v>423</v>
      </c>
      <c r="C206" s="67" t="s">
        <v>1493</v>
      </c>
      <c r="D206" s="67" t="s">
        <v>1520</v>
      </c>
      <c r="E206" s="67">
        <v>0</v>
      </c>
      <c r="F206" s="71">
        <v>0</v>
      </c>
      <c r="G206" s="514"/>
      <c r="H206" s="514"/>
      <c r="I206" s="514"/>
      <c r="J206" s="514"/>
      <c r="K206" s="514"/>
      <c r="L206" s="514"/>
      <c r="M206" s="514"/>
      <c r="N206" s="514"/>
      <c r="O206" s="514"/>
      <c r="P206" s="514"/>
      <c r="Q206" s="514"/>
      <c r="R206" s="514"/>
      <c r="S206" s="514"/>
      <c r="T206" s="514"/>
      <c r="U206" s="514"/>
      <c r="V206" s="514"/>
      <c r="W206" s="515"/>
      <c r="X206" s="515"/>
      <c r="Y206" s="515"/>
      <c r="Z206" s="515"/>
      <c r="AA206" s="515"/>
      <c r="AB206" s="515"/>
      <c r="AC206" s="515"/>
      <c r="AD206" s="515"/>
      <c r="AE206" s="515"/>
      <c r="AF206" s="515"/>
      <c r="AG206" s="515"/>
      <c r="AH206" s="515"/>
      <c r="AI206" s="515"/>
      <c r="AJ206" s="515"/>
      <c r="AK206" s="515"/>
    </row>
    <row r="207" spans="1:37" outlineLevel="1" x14ac:dyDescent="0.25">
      <c r="A207" s="67" t="s">
        <v>79</v>
      </c>
      <c r="B207" s="67" t="s">
        <v>424</v>
      </c>
      <c r="C207" s="67" t="s">
        <v>1494</v>
      </c>
      <c r="D207" s="67" t="s">
        <v>1520</v>
      </c>
      <c r="E207" s="67" t="s">
        <v>1290</v>
      </c>
      <c r="F207" s="71">
        <v>0</v>
      </c>
      <c r="G207" s="514"/>
      <c r="H207" s="514"/>
      <c r="I207" s="514"/>
      <c r="J207" s="514"/>
      <c r="K207" s="514"/>
      <c r="L207" s="514"/>
      <c r="M207" s="514"/>
      <c r="N207" s="514"/>
      <c r="O207" s="514"/>
      <c r="P207" s="514"/>
      <c r="Q207" s="514"/>
      <c r="R207" s="514"/>
      <c r="S207" s="514"/>
      <c r="T207" s="514"/>
      <c r="U207" s="514"/>
      <c r="V207" s="514"/>
      <c r="W207" s="515"/>
      <c r="X207" s="515"/>
      <c r="Y207" s="515"/>
      <c r="Z207" s="515"/>
      <c r="AA207" s="515"/>
      <c r="AB207" s="515"/>
      <c r="AC207" s="515"/>
      <c r="AD207" s="515"/>
      <c r="AE207" s="515"/>
      <c r="AF207" s="515"/>
      <c r="AG207" s="515"/>
      <c r="AH207" s="515"/>
      <c r="AI207" s="515"/>
      <c r="AJ207" s="515"/>
      <c r="AK207" s="515"/>
    </row>
    <row r="208" spans="1:37" outlineLevel="1" x14ac:dyDescent="0.25">
      <c r="A208" s="67" t="s">
        <v>79</v>
      </c>
      <c r="B208" s="67" t="s">
        <v>425</v>
      </c>
      <c r="C208" s="67" t="s">
        <v>1495</v>
      </c>
      <c r="D208" s="67" t="s">
        <v>1520</v>
      </c>
      <c r="E208" s="67">
        <v>0</v>
      </c>
      <c r="F208" s="71">
        <v>0</v>
      </c>
      <c r="G208" s="514"/>
      <c r="H208" s="514"/>
      <c r="I208" s="514"/>
      <c r="J208" s="514"/>
      <c r="K208" s="514"/>
      <c r="L208" s="514"/>
      <c r="M208" s="514"/>
      <c r="N208" s="514"/>
      <c r="O208" s="514"/>
      <c r="P208" s="514"/>
      <c r="Q208" s="514"/>
      <c r="R208" s="514"/>
      <c r="S208" s="514"/>
      <c r="T208" s="514"/>
      <c r="U208" s="514"/>
      <c r="V208" s="514"/>
      <c r="W208" s="515"/>
      <c r="X208" s="515"/>
      <c r="Y208" s="515"/>
      <c r="Z208" s="515"/>
      <c r="AA208" s="515"/>
      <c r="AB208" s="515"/>
      <c r="AC208" s="515"/>
      <c r="AD208" s="515"/>
      <c r="AE208" s="515"/>
      <c r="AF208" s="515"/>
      <c r="AG208" s="515"/>
      <c r="AH208" s="515"/>
      <c r="AI208" s="515"/>
      <c r="AJ208" s="515"/>
      <c r="AK208" s="515"/>
    </row>
    <row r="209" spans="1:37" outlineLevel="1" x14ac:dyDescent="0.25">
      <c r="A209" s="67" t="s">
        <v>79</v>
      </c>
      <c r="B209" s="67" t="s">
        <v>426</v>
      </c>
      <c r="C209" s="67" t="s">
        <v>1496</v>
      </c>
      <c r="D209" s="67" t="s">
        <v>1520</v>
      </c>
      <c r="E209" s="67" t="s">
        <v>1290</v>
      </c>
      <c r="F209" s="71">
        <v>0</v>
      </c>
      <c r="G209" s="514"/>
      <c r="H209" s="514"/>
      <c r="I209" s="514"/>
      <c r="J209" s="514"/>
      <c r="K209" s="514"/>
      <c r="L209" s="514"/>
      <c r="M209" s="514"/>
      <c r="N209" s="514"/>
      <c r="O209" s="514"/>
      <c r="P209" s="514"/>
      <c r="Q209" s="514"/>
      <c r="R209" s="514"/>
      <c r="S209" s="514"/>
      <c r="T209" s="514"/>
      <c r="U209" s="514"/>
      <c r="V209" s="514"/>
      <c r="W209" s="515"/>
      <c r="X209" s="515"/>
      <c r="Y209" s="515"/>
      <c r="Z209" s="515"/>
      <c r="AA209" s="515"/>
      <c r="AB209" s="515"/>
      <c r="AC209" s="515"/>
      <c r="AD209" s="515"/>
      <c r="AE209" s="515"/>
      <c r="AF209" s="515"/>
      <c r="AG209" s="515"/>
      <c r="AH209" s="515"/>
      <c r="AI209" s="515"/>
      <c r="AJ209" s="515"/>
      <c r="AK209" s="515"/>
    </row>
    <row r="210" spans="1:37" outlineLevel="1" x14ac:dyDescent="0.25">
      <c r="A210" s="67" t="s">
        <v>79</v>
      </c>
      <c r="B210" s="67" t="s">
        <v>427</v>
      </c>
      <c r="C210" s="67" t="s">
        <v>1497</v>
      </c>
      <c r="D210" s="67" t="s">
        <v>1520</v>
      </c>
      <c r="E210" s="67" t="s">
        <v>1290</v>
      </c>
      <c r="F210" s="71">
        <v>0</v>
      </c>
      <c r="G210" s="514"/>
      <c r="H210" s="514"/>
      <c r="I210" s="514"/>
      <c r="J210" s="514"/>
      <c r="K210" s="514"/>
      <c r="L210" s="514"/>
      <c r="M210" s="514"/>
      <c r="N210" s="514"/>
      <c r="O210" s="514"/>
      <c r="P210" s="514"/>
      <c r="Q210" s="514"/>
      <c r="R210" s="514"/>
      <c r="S210" s="514"/>
      <c r="T210" s="514"/>
      <c r="U210" s="514"/>
      <c r="V210" s="514"/>
      <c r="W210" s="515"/>
      <c r="X210" s="515"/>
      <c r="Y210" s="515"/>
      <c r="Z210" s="515"/>
      <c r="AA210" s="515"/>
      <c r="AB210" s="515"/>
      <c r="AC210" s="515"/>
      <c r="AD210" s="515"/>
      <c r="AE210" s="515"/>
      <c r="AF210" s="515"/>
      <c r="AG210" s="515"/>
      <c r="AH210" s="515"/>
      <c r="AI210" s="515"/>
      <c r="AJ210" s="515"/>
      <c r="AK210" s="515"/>
    </row>
    <row r="212" spans="1:37" x14ac:dyDescent="0.25">
      <c r="G212" s="158" t="s">
        <v>1613</v>
      </c>
    </row>
    <row r="213" spans="1:37" x14ac:dyDescent="0.25">
      <c r="G213" s="160" t="s">
        <v>1614</v>
      </c>
      <c r="H213" s="161"/>
    </row>
    <row r="214" spans="1:37" x14ac:dyDescent="0.25">
      <c r="G214" s="162" t="s">
        <v>1615</v>
      </c>
      <c r="H214" s="161"/>
    </row>
    <row r="215" spans="1:37" x14ac:dyDescent="0.25">
      <c r="G215" s="69"/>
      <c r="H215" s="69"/>
    </row>
  </sheetData>
  <autoFilter ref="A5:AK210" xr:uid="{00000000-0009-0000-0000-000006000000}"/>
  <mergeCells count="8">
    <mergeCell ref="G1:AK1"/>
    <mergeCell ref="AG3:AK3"/>
    <mergeCell ref="G2:V2"/>
    <mergeCell ref="G3:K3"/>
    <mergeCell ref="M3:N3"/>
    <mergeCell ref="R3:V3"/>
    <mergeCell ref="W3:AC3"/>
    <mergeCell ref="AD3:AF3"/>
  </mergeCells>
  <phoneticPr fontId="83" type="noConversion"/>
  <conditionalFormatting sqref="F6 F16 F33 F35 F50 F74 F84 F94 F99 F107 F115 F120 F125 F128 F139 F150 F158 F172 F186 F193 F199">
    <cfRule type="cellIs" dxfId="32" priority="1" operator="greaterThan">
      <formula>10000000</formula>
    </cfRule>
    <cfRule type="cellIs" dxfId="31" priority="3" operator="lessThanOrEqual">
      <formula>1000000</formula>
    </cfRule>
    <cfRule type="cellIs" dxfId="30" priority="4" operator="between">
      <formula>1000000</formula>
      <formula>10000000</formula>
    </cfRule>
  </conditionalFormatting>
  <pageMargins left="0.19685039370078741" right="0.19685039370078741" top="0.19685039370078741" bottom="0.19685039370078741" header="0.31496062992125984" footer="0.31496062992125984"/>
  <pageSetup paperSize="9" scale="60" fitToWidth="4" orientation="landscape" r:id="rId1"/>
  <ignoredErrors>
    <ignoredError sqref="H7:I7 K7:AK7" formula="1"/>
    <ignoredError sqref="F99 F172" formulaRange="1"/>
    <ignoredError sqref="G205:AK205"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6">
    <tabColor theme="5"/>
    <outlinePr summaryBelow="0"/>
  </sheetPr>
  <dimension ref="A1:AN131"/>
  <sheetViews>
    <sheetView showGridLines="0" topLeftCell="E8" zoomScale="55" zoomScaleNormal="55" workbookViewId="0">
      <selection activeCell="O110" sqref="O110"/>
    </sheetView>
  </sheetViews>
  <sheetFormatPr baseColWidth="10" defaultColWidth="10.85546875" defaultRowHeight="15" outlineLevelRow="2" x14ac:dyDescent="0.25"/>
  <cols>
    <col min="1" max="1" width="2" hidden="1" customWidth="1"/>
    <col min="2" max="3" width="3" hidden="1" customWidth="1"/>
    <col min="6" max="6" width="93.85546875" customWidth="1"/>
    <col min="8" max="8" width="16.140625" bestFit="1" customWidth="1"/>
    <col min="9" max="9" width="17.85546875" style="7" bestFit="1" customWidth="1"/>
    <col min="10" max="10" width="9.42578125" customWidth="1"/>
    <col min="11" max="14" width="5.140625" bestFit="1" customWidth="1"/>
    <col min="15" max="15" width="11.85546875" customWidth="1"/>
    <col min="16" max="17" width="5.140625" bestFit="1" customWidth="1"/>
    <col min="18" max="18" width="9.85546875" customWidth="1"/>
    <col min="19" max="19" width="5.140625" bestFit="1" customWidth="1"/>
    <col min="20" max="20" width="9.140625" customWidth="1"/>
    <col min="21" max="25" width="5.140625" bestFit="1" customWidth="1"/>
    <col min="26" max="26" width="9.42578125" customWidth="1"/>
    <col min="27" max="32" width="5.140625" bestFit="1" customWidth="1"/>
    <col min="36" max="36" width="8.42578125" customWidth="1"/>
    <col min="37" max="37" width="9" customWidth="1"/>
    <col min="38" max="38" width="7.85546875" customWidth="1"/>
    <col min="39" max="39" width="8.140625" customWidth="1"/>
    <col min="40" max="40" width="8.5703125" customWidth="1"/>
  </cols>
  <sheetData>
    <row r="1" spans="1:40" ht="15.75" x14ac:dyDescent="0.25">
      <c r="J1" s="124" t="s">
        <v>499</v>
      </c>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3"/>
    </row>
    <row r="2" spans="1:40" x14ac:dyDescent="0.25">
      <c r="J2" s="579" t="s">
        <v>1536</v>
      </c>
      <c r="K2" s="579"/>
      <c r="L2" s="579"/>
      <c r="M2" s="579"/>
      <c r="N2" s="579"/>
      <c r="O2" s="579"/>
      <c r="P2" s="579"/>
      <c r="Q2" s="579"/>
      <c r="R2" s="579"/>
      <c r="S2" s="579"/>
      <c r="T2" s="579"/>
      <c r="U2" s="579"/>
      <c r="V2" s="579"/>
      <c r="W2" s="579"/>
      <c r="X2" s="579"/>
      <c r="Y2" s="579"/>
      <c r="Z2" s="578"/>
      <c r="AA2" s="578"/>
      <c r="AB2" s="578"/>
      <c r="AC2" s="578"/>
      <c r="AD2" s="578"/>
      <c r="AE2" s="578"/>
      <c r="AF2" s="578"/>
      <c r="AG2" s="578"/>
      <c r="AH2" s="578"/>
      <c r="AI2" s="578"/>
      <c r="AJ2" s="578"/>
      <c r="AK2" s="578"/>
      <c r="AL2" s="578"/>
      <c r="AM2" s="578"/>
      <c r="AN2" s="578"/>
    </row>
    <row r="3" spans="1:40" ht="63" customHeight="1" x14ac:dyDescent="0.25">
      <c r="J3" s="580" t="s">
        <v>1540</v>
      </c>
      <c r="K3" s="580"/>
      <c r="L3" s="580"/>
      <c r="M3" s="580"/>
      <c r="N3" s="580"/>
      <c r="O3" s="386" t="s">
        <v>1541</v>
      </c>
      <c r="P3" s="581" t="s">
        <v>2598</v>
      </c>
      <c r="Q3" s="580"/>
      <c r="R3" s="386"/>
      <c r="S3" s="386" t="s">
        <v>1543</v>
      </c>
      <c r="T3" s="386"/>
      <c r="U3" s="581" t="s">
        <v>2593</v>
      </c>
      <c r="V3" s="580"/>
      <c r="W3" s="580"/>
      <c r="X3" s="580"/>
      <c r="Y3" s="580"/>
      <c r="Z3" s="580" t="s">
        <v>1537</v>
      </c>
      <c r="AA3" s="580"/>
      <c r="AB3" s="580"/>
      <c r="AC3" s="580"/>
      <c r="AD3" s="580"/>
      <c r="AE3" s="580"/>
      <c r="AF3" s="580"/>
      <c r="AG3" s="580" t="s">
        <v>1538</v>
      </c>
      <c r="AH3" s="580"/>
      <c r="AI3" s="580"/>
      <c r="AJ3" s="580" t="s">
        <v>1539</v>
      </c>
      <c r="AK3" s="580"/>
      <c r="AL3" s="580"/>
      <c r="AM3" s="580"/>
      <c r="AN3" s="580"/>
    </row>
    <row r="4" spans="1:40" ht="164.25" customHeight="1" x14ac:dyDescent="0.25">
      <c r="A4" t="s">
        <v>30</v>
      </c>
      <c r="B4" t="s">
        <v>1610</v>
      </c>
      <c r="C4" t="s">
        <v>1532</v>
      </c>
      <c r="D4" s="126" t="s">
        <v>412</v>
      </c>
      <c r="E4" s="126" t="s">
        <v>413</v>
      </c>
      <c r="F4" s="126" t="s">
        <v>1519</v>
      </c>
      <c r="G4" s="127" t="s">
        <v>1500</v>
      </c>
      <c r="H4" s="128" t="s">
        <v>1501</v>
      </c>
      <c r="I4" s="153" t="s">
        <v>492</v>
      </c>
      <c r="J4" s="129" t="s">
        <v>1545</v>
      </c>
      <c r="K4" s="129" t="s">
        <v>1546</v>
      </c>
      <c r="L4" s="130" t="s">
        <v>1547</v>
      </c>
      <c r="M4" s="131" t="s">
        <v>1548</v>
      </c>
      <c r="N4" s="131" t="s">
        <v>1549</v>
      </c>
      <c r="O4" s="352" t="s">
        <v>1577</v>
      </c>
      <c r="P4" s="130" t="s">
        <v>1550</v>
      </c>
      <c r="Q4" s="130" t="s">
        <v>1551</v>
      </c>
      <c r="R4" s="377" t="s">
        <v>1552</v>
      </c>
      <c r="S4" s="130" t="s">
        <v>1553</v>
      </c>
      <c r="T4" s="130" t="s">
        <v>1554</v>
      </c>
      <c r="U4" s="130" t="s">
        <v>1555</v>
      </c>
      <c r="V4" s="131" t="s">
        <v>1556</v>
      </c>
      <c r="W4" s="131" t="s">
        <v>1557</v>
      </c>
      <c r="X4" s="130" t="s">
        <v>1558</v>
      </c>
      <c r="Y4" s="130" t="s">
        <v>1559</v>
      </c>
      <c r="Z4" s="378" t="s">
        <v>1560</v>
      </c>
      <c r="AA4" s="129" t="s">
        <v>1561</v>
      </c>
      <c r="AB4" s="129" t="s">
        <v>1562</v>
      </c>
      <c r="AC4" s="129" t="s">
        <v>1563</v>
      </c>
      <c r="AD4" s="129" t="s">
        <v>1564</v>
      </c>
      <c r="AE4" s="131" t="s">
        <v>1565</v>
      </c>
      <c r="AF4" s="130" t="s">
        <v>1566</v>
      </c>
      <c r="AG4" s="384" t="s">
        <v>1567</v>
      </c>
      <c r="AH4" s="131" t="s">
        <v>1568</v>
      </c>
      <c r="AI4" s="130" t="s">
        <v>1569</v>
      </c>
      <c r="AJ4" s="130" t="s">
        <v>514</v>
      </c>
      <c r="AK4" s="131" t="s">
        <v>1570</v>
      </c>
      <c r="AL4" s="130" t="s">
        <v>1571</v>
      </c>
      <c r="AM4" s="131" t="s">
        <v>1572</v>
      </c>
      <c r="AN4" s="131" t="s">
        <v>1573</v>
      </c>
    </row>
    <row r="5" spans="1:40" x14ac:dyDescent="0.25">
      <c r="A5" s="48"/>
      <c r="B5" s="49"/>
      <c r="C5" s="48"/>
      <c r="D5" s="189" t="s">
        <v>411</v>
      </c>
      <c r="E5" s="190"/>
      <c r="F5" s="190"/>
      <c r="G5" s="191"/>
      <c r="H5" s="190"/>
      <c r="I5" s="373">
        <f>SUBTOTAL(9,I7:I127)</f>
        <v>14138697.333333336</v>
      </c>
      <c r="J5" s="192">
        <f>MATCH(J4,[1]PGE_Efficacité!$A$4:$CY$4,0)</f>
        <v>11</v>
      </c>
      <c r="K5" s="192">
        <f>MATCH(K4,[1]PGE_Efficacité!$A$4:$CY$4,0)</f>
        <v>12</v>
      </c>
      <c r="L5" s="192">
        <f>MATCH(L4,[1]PGE_Efficacité!$A$4:$CY$4,0)</f>
        <v>13</v>
      </c>
      <c r="M5" s="192">
        <f>MATCH(M4,[1]PGE_Efficacité!$A$4:$CY$4,0)</f>
        <v>14</v>
      </c>
      <c r="N5" s="192">
        <f>MATCH(N4,[1]PGE_Efficacité!$A$4:$CY$4,0)</f>
        <v>15</v>
      </c>
      <c r="O5" s="192">
        <v>16</v>
      </c>
      <c r="P5" s="192">
        <f>MATCH(P4,[1]PGE_Efficacité!$A$4:$CY$4,0)</f>
        <v>17</v>
      </c>
      <c r="Q5" s="192">
        <f>MATCH(Q4,[1]PGE_Efficacité!$A$4:$CY$4,0)</f>
        <v>18</v>
      </c>
      <c r="R5" s="192">
        <f>MATCH(R4,[1]PGE_Efficacité!$A$4:$CY$4,0)</f>
        <v>19</v>
      </c>
      <c r="S5" s="192">
        <f>MATCH(S4,[1]PGE_Efficacité!$A$4:$CY$4,0)</f>
        <v>20</v>
      </c>
      <c r="T5" s="192">
        <f>MATCH(T4,[1]PGE_Efficacité!$A$4:$CY$4,0)</f>
        <v>21</v>
      </c>
      <c r="U5" s="192">
        <f>MATCH(U4,[1]PGE_Efficacité!$A$4:$CY$4,0)</f>
        <v>22</v>
      </c>
      <c r="V5" s="192">
        <f>MATCH(V4,[1]PGE_Efficacité!$A$4:$CY$4,0)</f>
        <v>23</v>
      </c>
      <c r="W5" s="192">
        <f>MATCH(W4,[1]PGE_Efficacité!$A$4:$CY$4,0)</f>
        <v>24</v>
      </c>
      <c r="X5" s="192">
        <f>MATCH(X4,[1]PGE_Efficacité!$A$4:$CY$4,0)</f>
        <v>25</v>
      </c>
      <c r="Y5" s="192">
        <f>MATCH(Y4,[1]PGE_Efficacité!$A$4:$CY$4,0)</f>
        <v>26</v>
      </c>
      <c r="Z5" s="192">
        <f>MATCH(Z4,[1]PGE_Efficacité!$A$4:$CY$4,0)</f>
        <v>27</v>
      </c>
      <c r="AA5" s="192">
        <f>MATCH(AA4,[1]PGE_Efficacité!$A$4:$CY$4,0)</f>
        <v>28</v>
      </c>
      <c r="AB5" s="192">
        <f>MATCH(AB4,[1]PGE_Efficacité!$A$4:$CY$4,0)</f>
        <v>29</v>
      </c>
      <c r="AC5" s="192">
        <f>MATCH(AC4,[1]PGE_Efficacité!$A$4:$CY$4,0)</f>
        <v>30</v>
      </c>
      <c r="AD5" s="192">
        <f>MATCH(AD4,[1]PGE_Efficacité!$A$4:$CY$4,0)</f>
        <v>31</v>
      </c>
      <c r="AE5" s="192">
        <f>MATCH(AE4,[1]PGE_Efficacité!$A$4:$CY$4,0)</f>
        <v>32</v>
      </c>
      <c r="AF5" s="192">
        <f>MATCH(AF4,[1]PGE_Efficacité!$A$4:$CY$4,0)</f>
        <v>33</v>
      </c>
      <c r="AG5" s="192">
        <f>MATCH(AG4,[1]PGE_Efficacité!$A$4:$CY$4,0)</f>
        <v>34</v>
      </c>
      <c r="AH5" s="192">
        <f>MATCH(AH4,[1]PGE_Efficacité!$A$4:$CY$4,0)</f>
        <v>35</v>
      </c>
      <c r="AI5" s="192">
        <f>MATCH(AI4,[1]PGE_Efficacité!$A$4:$CY$4,0)</f>
        <v>36</v>
      </c>
      <c r="AJ5" s="192">
        <f>MATCH(AJ4,[1]PGE_Efficacité!$A$4:$CY$4,0)</f>
        <v>37</v>
      </c>
      <c r="AK5" s="192">
        <f>MATCH(AK4,[1]PGE_Efficacité!$A$4:$CY$4,0)</f>
        <v>38</v>
      </c>
      <c r="AL5" s="192">
        <f>MATCH(AL4,[1]PGE_Efficacité!$A$4:$CY$4,0)</f>
        <v>39</v>
      </c>
      <c r="AM5" s="192">
        <f>MATCH(AM4,[1]PGE_Efficacité!$A$4:$CY$4,0)</f>
        <v>40</v>
      </c>
      <c r="AN5" s="192">
        <f>MATCH(AN4,[1]PGE_Efficacité!$A$4:$CY$4,0)</f>
        <v>41</v>
      </c>
    </row>
    <row r="6" spans="1:40" outlineLevel="1" x14ac:dyDescent="0.25">
      <c r="A6" s="48"/>
      <c r="B6" s="49"/>
      <c r="C6" s="48"/>
      <c r="D6" s="372" t="s">
        <v>0</v>
      </c>
      <c r="E6" s="195"/>
      <c r="F6" s="196" t="str">
        <f>VLOOKUP(D6,'1. Mesures'!$A$2:$B$116,2,0)</f>
        <v xml:space="preserve">Remettre à ciel ouvert le réseau hydrographique  </v>
      </c>
      <c r="G6" s="197"/>
      <c r="H6" s="195"/>
      <c r="I6" s="198">
        <f>SUBTOTAL(9,I7:I11)</f>
        <v>2330000</v>
      </c>
      <c r="J6" s="204">
        <f>VLOOKUP($D6,'7. PGE_Efficacité'!$A$6:$CY$266,(MATCH('4.2 ACE EFF WOL'!J$4,'7. PGE_Efficacité'!$A$4:$AO$4,0)+62),0)</f>
        <v>0</v>
      </c>
      <c r="K6" s="204">
        <f>VLOOKUP($D6,'7. PGE_Efficacité'!$A$6:$CY$266,(MATCH('4.2 ACE EFF WOL'!K$4,'7. PGE_Efficacité'!$A$4:$AO$4,0)+62),0)</f>
        <v>0</v>
      </c>
      <c r="L6" s="204">
        <f>VLOOKUP($D6,'7. PGE_Efficacité'!$A$6:$CY$266,(MATCH('4.2 ACE EFF WOL'!L$4,'7. PGE_Efficacité'!$A$4:$AO$4,0)+62),0)</f>
        <v>0</v>
      </c>
      <c r="M6" s="204">
        <f>VLOOKUP($D6,'7. PGE_Efficacité'!$A$6:$CY$266,(MATCH('4.2 ACE EFF WOL'!M$4,'7. PGE_Efficacité'!$A$4:$AO$4,0)+62),0)</f>
        <v>0</v>
      </c>
      <c r="N6" s="204">
        <f>VLOOKUP($D6,'7. PGE_Efficacité'!$A$6:$CY$266,(MATCH('4.2 ACE EFF WOL'!N$4,'7. PGE_Efficacité'!$A$4:$AO$4,0)+62),0)</f>
        <v>0</v>
      </c>
      <c r="O6" s="204">
        <f>VLOOKUP($D6,'7. PGE_Efficacité'!$A$6:$CY$266,78,0)</f>
        <v>0</v>
      </c>
      <c r="P6" s="204">
        <f>VLOOKUP($D6,'7. PGE_Efficacité'!$A$6:$CY$266,(MATCH('4.2 ACE EFF WOL'!P$4,'7. PGE_Efficacité'!$A$4:$AO$4,0)+62),0)</f>
        <v>0</v>
      </c>
      <c r="Q6" s="204">
        <f>VLOOKUP($D6,'7. PGE_Efficacité'!$A$6:$CY$266,(MATCH('4.2 ACE EFF WOL'!Q$4,'7. PGE_Efficacité'!$A$4:$AO$4,0)+62),0)</f>
        <v>0</v>
      </c>
      <c r="R6" s="204">
        <f>VLOOKUP($D6,'7. PGE_Efficacité'!$A$6:$CY$266,(MATCH('4.2 ACE EFF WOL'!R$4,'7. PGE_Efficacité'!$A$4:$AO$4,0)+62),0)</f>
        <v>0</v>
      </c>
      <c r="S6" s="204">
        <f>VLOOKUP($D6,'7. PGE_Efficacité'!$A$6:$CY$266,(MATCH('4.2 ACE EFF WOL'!S$4,'7. PGE_Efficacité'!$A$4:$AO$4,0)+62),0)</f>
        <v>0</v>
      </c>
      <c r="T6" s="204">
        <f>VLOOKUP($D6,'7. PGE_Efficacité'!$A$6:$CY$266,(MATCH('4.2 ACE EFF WOL'!T$4,'7. PGE_Efficacité'!$A$4:$AO$4,0)+62),0)</f>
        <v>0</v>
      </c>
      <c r="U6" s="204">
        <f>VLOOKUP($D6,'7. PGE_Efficacité'!$A$6:$CY$266,(MATCH('4.2 ACE EFF WOL'!U$4,'7. PGE_Efficacité'!$A$4:$AO$4,0)+62),0)</f>
        <v>0</v>
      </c>
      <c r="V6" s="204">
        <f>VLOOKUP($D6,'7. PGE_Efficacité'!$A$6:$CY$266,(MATCH('4.2 ACE EFF WOL'!V$4,'7. PGE_Efficacité'!$A$4:$AO$4,0)+62),0)</f>
        <v>0</v>
      </c>
      <c r="W6" s="204">
        <f>VLOOKUP($D6,'7. PGE_Efficacité'!$A$6:$CY$266,(MATCH('4.2 ACE EFF WOL'!W$4,'7. PGE_Efficacité'!$A$4:$AO$4,0)+62),0)</f>
        <v>0</v>
      </c>
      <c r="X6" s="204">
        <f>VLOOKUP($D6,'7. PGE_Efficacité'!$A$6:$CY$266,(MATCH('4.2 ACE EFF WOL'!X$4,'7. PGE_Efficacité'!$A$4:$AO$4,0)+62),0)</f>
        <v>0</v>
      </c>
      <c r="Y6" s="204">
        <f>VLOOKUP($D6,'7. PGE_Efficacité'!$A$6:$CY$266,(MATCH('4.2 ACE EFF WOL'!Y$4,'7. PGE_Efficacité'!$A$4:$AO$4,0)+62),0)</f>
        <v>0</v>
      </c>
      <c r="Z6" s="204">
        <f>VLOOKUP($D6,'7. PGE_Efficacité'!$A$6:$CY$266,(MATCH('4.2 ACE EFF WOL'!Z$4,'7. PGE_Efficacité'!$A$4:$AO$4,0)+62),0)</f>
        <v>0</v>
      </c>
      <c r="AA6" s="204">
        <f>VLOOKUP($D6,'7. PGE_Efficacité'!$A$6:$CY$266,(MATCH('4.2 ACE EFF WOL'!AA$4,'7. PGE_Efficacité'!$A$4:$AO$4,0)+62),0)</f>
        <v>0</v>
      </c>
      <c r="AB6" s="204">
        <f>VLOOKUP($D6,'7. PGE_Efficacité'!$A$6:$CY$266,(MATCH('4.2 ACE EFF WOL'!AB$4,'7. PGE_Efficacité'!$A$4:$AO$4,0)+62),0)</f>
        <v>0</v>
      </c>
      <c r="AC6" s="204">
        <f>VLOOKUP($D6,'7. PGE_Efficacité'!$A$6:$CY$266,(MATCH('4.2 ACE EFF WOL'!AC$4,'7. PGE_Efficacité'!$A$4:$AO$4,0)+62),0)</f>
        <v>0</v>
      </c>
      <c r="AD6" s="204">
        <f>VLOOKUP($D6,'7. PGE_Efficacité'!$A$6:$CY$266,(MATCH('4.2 ACE EFF WOL'!AD$4,'7. PGE_Efficacité'!$A$4:$AO$4,0)+62),0)</f>
        <v>0</v>
      </c>
      <c r="AE6" s="204" t="str">
        <f>VLOOKUP($D6,'7. PGE_Efficacité'!$A$6:$CY$266,(MATCH('4.2 ACE EFF WOL'!AE$4,'7. PGE_Efficacité'!$A$4:$AO$4,0)+62),0)</f>
        <v>+</v>
      </c>
      <c r="AF6" s="204">
        <f>VLOOKUP($D6,'7. PGE_Efficacité'!$A$6:$CY$266,(MATCH('4.2 ACE EFF WOL'!AF$4,'7. PGE_Efficacité'!$A$4:$AO$4,0)+62),0)</f>
        <v>0</v>
      </c>
      <c r="AG6" s="204" t="str">
        <f>VLOOKUP($D6,'7. PGE_Efficacité'!$A$6:$CY$266,(MATCH('4.2 ACE EFF WOL'!AG$4,'7. PGE_Efficacité'!$A$4:$AO$4,0)+62),0)</f>
        <v>+++</v>
      </c>
      <c r="AH6" s="204" t="str">
        <f>VLOOKUP($D6,'7. PGE_Efficacité'!$A$6:$CY$266,(MATCH('4.2 ACE EFF WOL'!AH$4,'7. PGE_Efficacité'!$A$4:$AO$4,0)+62),0)</f>
        <v>+++</v>
      </c>
      <c r="AI6" s="204">
        <f>VLOOKUP($D6,'7. PGE_Efficacité'!$A$6:$CY$266,(MATCH('4.2 ACE EFF WOL'!AI$4,'7. PGE_Efficacité'!$A$4:$AO$4,0)+62),0)</f>
        <v>0</v>
      </c>
      <c r="AJ6" s="204">
        <f>VLOOKUP($D6,'7. PGE_Efficacité'!$A$6:$CY$266,(MATCH('4.2 ACE EFF WOL'!AJ$4,'7. PGE_Efficacité'!$A$4:$AO$4,0)+62),0)</f>
        <v>0</v>
      </c>
      <c r="AK6" s="204" t="str">
        <f>VLOOKUP($D6,'7. PGE_Efficacité'!$A$6:$CY$266,(MATCH('4.2 ACE EFF WOL'!AK$4,'7. PGE_Efficacité'!$A$4:$AO$4,0)+62),0)</f>
        <v>++</v>
      </c>
      <c r="AL6" s="204">
        <f>VLOOKUP($D6,'7. PGE_Efficacité'!$A$6:$CY$266,(MATCH('4.2 ACE EFF WOL'!AL$4,'7. PGE_Efficacité'!$A$4:$AO$4,0)+62),0)</f>
        <v>0</v>
      </c>
      <c r="AM6" s="204" t="str">
        <f>VLOOKUP($D6,'7. PGE_Efficacité'!$A$6:$CY$266,(MATCH('4.2 ACE EFF WOL'!AM$4,'7. PGE_Efficacité'!$A$4:$AO$4,0)+62),0)</f>
        <v>+++</v>
      </c>
      <c r="AN6" s="204" t="str">
        <f>VLOOKUP($D6,'7. PGE_Efficacité'!$A$6:$CY$266,(MATCH('4.2 ACE EFF WOL'!AN$4,'7. PGE_Efficacité'!$A$4:$AO$4,0)+62),0)</f>
        <v>+++</v>
      </c>
    </row>
    <row r="7" spans="1:40" outlineLevel="2" x14ac:dyDescent="0.25">
      <c r="A7" s="48"/>
      <c r="B7" s="49"/>
      <c r="C7" s="48"/>
      <c r="D7" s="199" t="s">
        <v>0</v>
      </c>
      <c r="E7" s="200" t="s">
        <v>645</v>
      </c>
      <c r="F7" s="200" t="s">
        <v>1306</v>
      </c>
      <c r="G7" s="201" t="s">
        <v>1520</v>
      </c>
      <c r="H7" s="200" t="s">
        <v>416</v>
      </c>
      <c r="I7" s="202">
        <v>140000</v>
      </c>
      <c r="J7" s="139">
        <f>VLOOKUP($E7,'7. PGE_Efficacité'!$A$6:$CY$266,(MATCH('4.2 ACE EFF WOL'!J$4,'7. PGE_Efficacité'!$A$4:$AO$4,0)+62),0)</f>
        <v>0</v>
      </c>
      <c r="K7" s="139">
        <f>VLOOKUP($E7,'7. PGE_Efficacité'!$A$6:$CY$266,(MATCH('4.2 ACE EFF WOL'!K$4,'7. PGE_Efficacité'!$A$4:$AO$4,0)+62),0)</f>
        <v>0</v>
      </c>
      <c r="L7" s="139">
        <f>VLOOKUP($E7,'7. PGE_Efficacité'!$A$6:$CY$266,(MATCH('4.2 ACE EFF WOL'!L$4,'7. PGE_Efficacité'!$A$4:$AO$4,0)+62),0)</f>
        <v>0</v>
      </c>
      <c r="M7" s="139">
        <f>VLOOKUP($E7,'7. PGE_Efficacité'!$A$6:$CY$266,(MATCH('4.2 ACE EFF WOL'!M$4,'7. PGE_Efficacité'!$A$4:$AO$4,0)+62),0)</f>
        <v>0</v>
      </c>
      <c r="N7" s="139">
        <f>VLOOKUP($E7,'7. PGE_Efficacité'!$A$6:$CY$266,(MATCH('4.2 ACE EFF WOL'!N$4,'7. PGE_Efficacité'!$A$4:$AO$4,0)+62),0)</f>
        <v>0</v>
      </c>
      <c r="O7" s="139">
        <f>VLOOKUP($E7,'7. PGE_Efficacité'!$A$6:$CY$266,78,0)</f>
        <v>0</v>
      </c>
      <c r="P7" s="139">
        <f>VLOOKUP($E7,'7. PGE_Efficacité'!$A$6:$CY$266,(MATCH('4.2 ACE EFF WOL'!P$4,'7. PGE_Efficacité'!$A$4:$AO$4,0)+62),0)</f>
        <v>0</v>
      </c>
      <c r="Q7" s="139">
        <f>VLOOKUP($E7,'7. PGE_Efficacité'!$A$6:$CY$266,(MATCH('4.2 ACE EFF WOL'!Q$4,'7. PGE_Efficacité'!$A$4:$AO$4,0)+62),0)</f>
        <v>0</v>
      </c>
      <c r="R7" s="139">
        <f>VLOOKUP($E7,'7. PGE_Efficacité'!$A$6:$CY$266,(MATCH('4.2 ACE EFF WOL'!R$4,'7. PGE_Efficacité'!$A$4:$AO$4,0)+62),0)</f>
        <v>0</v>
      </c>
      <c r="S7" s="139">
        <f>VLOOKUP($E7,'7. PGE_Efficacité'!$A$6:$CY$266,(MATCH('4.2 ACE EFF WOL'!S$4,'7. PGE_Efficacité'!$A$4:$AO$4,0)+62),0)</f>
        <v>0</v>
      </c>
      <c r="T7" s="139">
        <f>VLOOKUP($E7,'7. PGE_Efficacité'!$A$6:$CY$266,(MATCH('4.2 ACE EFF WOL'!T$4,'7. PGE_Efficacité'!$A$4:$AO$4,0)+62),0)</f>
        <v>0</v>
      </c>
      <c r="U7" s="139">
        <f>VLOOKUP($E7,'7. PGE_Efficacité'!$A$6:$CY$266,(MATCH('4.2 ACE EFF WOL'!U$4,'7. PGE_Efficacité'!$A$4:$AO$4,0)+62),0)</f>
        <v>0</v>
      </c>
      <c r="V7" s="139">
        <f>VLOOKUP($E7,'7. PGE_Efficacité'!$A$6:$CY$266,(MATCH('4.2 ACE EFF WOL'!V$4,'7. PGE_Efficacité'!$A$4:$AO$4,0)+62),0)</f>
        <v>0</v>
      </c>
      <c r="W7" s="139">
        <f>VLOOKUP($E7,'7. PGE_Efficacité'!$A$6:$CY$266,(MATCH('4.2 ACE EFF WOL'!W$4,'7. PGE_Efficacité'!$A$4:$AO$4,0)+62),0)</f>
        <v>0</v>
      </c>
      <c r="X7" s="139">
        <f>VLOOKUP($E7,'7. PGE_Efficacité'!$A$6:$CY$266,(MATCH('4.2 ACE EFF WOL'!X$4,'7. PGE_Efficacité'!$A$4:$AO$4,0)+62),0)</f>
        <v>0</v>
      </c>
      <c r="Y7" s="139">
        <f>VLOOKUP($E7,'7. PGE_Efficacité'!$A$6:$CY$266,(MATCH('4.2 ACE EFF WOL'!Y$4,'7. PGE_Efficacité'!$A$4:$AO$4,0)+62),0)</f>
        <v>0</v>
      </c>
      <c r="Z7" s="139">
        <f>VLOOKUP($E7,'7. PGE_Efficacité'!$A$6:$CY$266,(MATCH('4.2 ACE EFF WOL'!Z$4,'7. PGE_Efficacité'!$A$4:$AO$4,0)+62),0)</f>
        <v>0</v>
      </c>
      <c r="AA7" s="139">
        <f>VLOOKUP($E7,'7. PGE_Efficacité'!$A$6:$CY$266,(MATCH('4.2 ACE EFF WOL'!AA$4,'7. PGE_Efficacité'!$A$4:$AO$4,0)+62),0)</f>
        <v>0</v>
      </c>
      <c r="AB7" s="139">
        <f>VLOOKUP($E7,'7. PGE_Efficacité'!$A$6:$CY$266,(MATCH('4.2 ACE EFF WOL'!AB$4,'7. PGE_Efficacité'!$A$4:$AO$4,0)+62),0)</f>
        <v>0</v>
      </c>
      <c r="AC7" s="139">
        <f>VLOOKUP($E7,'7. PGE_Efficacité'!$A$6:$CY$266,(MATCH('4.2 ACE EFF WOL'!AC$4,'7. PGE_Efficacité'!$A$4:$AO$4,0)+62),0)</f>
        <v>0</v>
      </c>
      <c r="AD7" s="139">
        <f>VLOOKUP($E7,'7. PGE_Efficacité'!$A$6:$CY$266,(MATCH('4.2 ACE EFF WOL'!AD$4,'7. PGE_Efficacité'!$A$4:$AO$4,0)+62),0)</f>
        <v>0</v>
      </c>
      <c r="AE7" s="139">
        <f>VLOOKUP($E7,'7. PGE_Efficacité'!$A$6:$CY$266,(MATCH('4.2 ACE EFF WOL'!AE$4,'7. PGE_Efficacité'!$A$4:$AO$4,0)+62),0)</f>
        <v>0</v>
      </c>
      <c r="AF7" s="139">
        <f>VLOOKUP($E7,'7. PGE_Efficacité'!$A$6:$CY$266,(MATCH('4.2 ACE EFF WOL'!AF$4,'7. PGE_Efficacité'!$A$4:$AO$4,0)+62),0)</f>
        <v>0</v>
      </c>
      <c r="AG7" s="139">
        <f>VLOOKUP($E7,'7. PGE_Efficacité'!$A$6:$CY$266,(MATCH('4.2 ACE EFF WOL'!AG$4,'7. PGE_Efficacité'!$A$4:$AO$4,0)+62),0)</f>
        <v>0</v>
      </c>
      <c r="AH7" s="139">
        <f>VLOOKUP($E7,'7. PGE_Efficacité'!$A$6:$CY$266,(MATCH('4.2 ACE EFF WOL'!AH$4,'7. PGE_Efficacité'!$A$4:$AO$4,0)+62),0)</f>
        <v>0</v>
      </c>
      <c r="AI7" s="139">
        <f>VLOOKUP($E7,'7. PGE_Efficacité'!$A$6:$CY$266,(MATCH('4.2 ACE EFF WOL'!AI$4,'7. PGE_Efficacité'!$A$4:$AO$4,0)+62),0)</f>
        <v>0</v>
      </c>
      <c r="AJ7" s="139">
        <f>VLOOKUP($E7,'7. PGE_Efficacité'!$A$6:$CY$266,(MATCH('4.2 ACE EFF WOL'!AJ$4,'7. PGE_Efficacité'!$A$4:$AO$4,0)+62),0)</f>
        <v>0</v>
      </c>
      <c r="AK7" s="139">
        <f>VLOOKUP($E7,'7. PGE_Efficacité'!$A$6:$CY$266,(MATCH('4.2 ACE EFF WOL'!AK$4,'7. PGE_Efficacité'!$A$4:$AO$4,0)+62),0)</f>
        <v>0</v>
      </c>
      <c r="AL7" s="139">
        <f>VLOOKUP($E7,'7. PGE_Efficacité'!$A$6:$CY$266,(MATCH('4.2 ACE EFF WOL'!AL$4,'7. PGE_Efficacité'!$A$4:$AO$4,0)+62),0)</f>
        <v>0</v>
      </c>
      <c r="AM7" s="139">
        <f>VLOOKUP($E7,'7. PGE_Efficacité'!$A$6:$CY$266,(MATCH('4.2 ACE EFF WOL'!AM$4,'7. PGE_Efficacité'!$A$4:$AO$4,0)+62),0)</f>
        <v>0</v>
      </c>
      <c r="AN7" s="139">
        <f>VLOOKUP($E7,'7. PGE_Efficacité'!$A$6:$CY$266,(MATCH('4.2 ACE EFF WOL'!AN$4,'7. PGE_Efficacité'!$A$4:$AO$4,0)+62),0)</f>
        <v>0</v>
      </c>
    </row>
    <row r="8" spans="1:40" outlineLevel="2" x14ac:dyDescent="0.25">
      <c r="A8" s="48" t="s">
        <v>1524</v>
      </c>
      <c r="B8" s="49">
        <v>1</v>
      </c>
      <c r="C8" s="48" t="s">
        <v>1529</v>
      </c>
      <c r="D8" s="199" t="s">
        <v>0</v>
      </c>
      <c r="E8" s="200" t="s">
        <v>646</v>
      </c>
      <c r="F8" s="200" t="s">
        <v>1307</v>
      </c>
      <c r="G8" s="201" t="s">
        <v>1520</v>
      </c>
      <c r="H8" s="200" t="s">
        <v>416</v>
      </c>
      <c r="I8" s="202">
        <v>1200000</v>
      </c>
      <c r="J8" s="139">
        <f>VLOOKUP($E8,'7. PGE_Efficacité'!$A$6:$CY$266,(MATCH('4.2 ACE EFF WOL'!J$4,'7. PGE_Efficacité'!$A$4:$AO$4,0)+62),0)</f>
        <v>0</v>
      </c>
      <c r="K8" s="139">
        <f>VLOOKUP($E8,'7. PGE_Efficacité'!$A$6:$CY$266,(MATCH('4.2 ACE EFF WOL'!K$4,'7. PGE_Efficacité'!$A$4:$AO$4,0)+62),0)</f>
        <v>0</v>
      </c>
      <c r="L8" s="139">
        <f>VLOOKUP($E8,'7. PGE_Efficacité'!$A$6:$CY$266,(MATCH('4.2 ACE EFF WOL'!L$4,'7. PGE_Efficacité'!$A$4:$AO$4,0)+62),0)</f>
        <v>0</v>
      </c>
      <c r="M8" s="139">
        <f>VLOOKUP($E8,'7. PGE_Efficacité'!$A$6:$CY$266,(MATCH('4.2 ACE EFF WOL'!M$4,'7. PGE_Efficacité'!$A$4:$AO$4,0)+62),0)</f>
        <v>0</v>
      </c>
      <c r="N8" s="139">
        <f>VLOOKUP($E8,'7. PGE_Efficacité'!$A$6:$CY$266,(MATCH('4.2 ACE EFF WOL'!N$4,'7. PGE_Efficacité'!$A$4:$AO$4,0)+62),0)</f>
        <v>0</v>
      </c>
      <c r="O8" s="139">
        <f>VLOOKUP($E8,'7. PGE_Efficacité'!$A$6:$CY$266,78,0)</f>
        <v>0</v>
      </c>
      <c r="P8" s="139">
        <f>VLOOKUP($E8,'7. PGE_Efficacité'!$A$6:$CY$266,(MATCH('4.2 ACE EFF WOL'!P$4,'7. PGE_Efficacité'!$A$4:$AO$4,0)+62),0)</f>
        <v>0</v>
      </c>
      <c r="Q8" s="139">
        <f>VLOOKUP($E8,'7. PGE_Efficacité'!$A$6:$CY$266,(MATCH('4.2 ACE EFF WOL'!Q$4,'7. PGE_Efficacité'!$A$4:$AO$4,0)+62),0)</f>
        <v>0</v>
      </c>
      <c r="R8" s="139">
        <f>VLOOKUP($E8,'7. PGE_Efficacité'!$A$6:$CY$266,(MATCH('4.2 ACE EFF WOL'!R$4,'7. PGE_Efficacité'!$A$4:$AO$4,0)+62),0)</f>
        <v>0</v>
      </c>
      <c r="S8" s="139">
        <f>VLOOKUP($E8,'7. PGE_Efficacité'!$A$6:$CY$266,(MATCH('4.2 ACE EFF WOL'!S$4,'7. PGE_Efficacité'!$A$4:$AO$4,0)+62),0)</f>
        <v>0</v>
      </c>
      <c r="T8" s="139">
        <f>VLOOKUP($E8,'7. PGE_Efficacité'!$A$6:$CY$266,(MATCH('4.2 ACE EFF WOL'!T$4,'7. PGE_Efficacité'!$A$4:$AO$4,0)+62),0)</f>
        <v>0</v>
      </c>
      <c r="U8" s="139">
        <f>VLOOKUP($E8,'7. PGE_Efficacité'!$A$6:$CY$266,(MATCH('4.2 ACE EFF WOL'!U$4,'7. PGE_Efficacité'!$A$4:$AO$4,0)+62),0)</f>
        <v>0</v>
      </c>
      <c r="V8" s="139">
        <f>VLOOKUP($E8,'7. PGE_Efficacité'!$A$6:$CY$266,(MATCH('4.2 ACE EFF WOL'!V$4,'7. PGE_Efficacité'!$A$4:$AO$4,0)+62),0)</f>
        <v>0</v>
      </c>
      <c r="W8" s="139">
        <f>VLOOKUP($E8,'7. PGE_Efficacité'!$A$6:$CY$266,(MATCH('4.2 ACE EFF WOL'!W$4,'7. PGE_Efficacité'!$A$4:$AO$4,0)+62),0)</f>
        <v>0</v>
      </c>
      <c r="X8" s="139">
        <f>VLOOKUP($E8,'7. PGE_Efficacité'!$A$6:$CY$266,(MATCH('4.2 ACE EFF WOL'!X$4,'7. PGE_Efficacité'!$A$4:$AO$4,0)+62),0)</f>
        <v>0</v>
      </c>
      <c r="Y8" s="139">
        <f>VLOOKUP($E8,'7. PGE_Efficacité'!$A$6:$CY$266,(MATCH('4.2 ACE EFF WOL'!Y$4,'7. PGE_Efficacité'!$A$4:$AO$4,0)+62),0)</f>
        <v>0</v>
      </c>
      <c r="Z8" s="139">
        <f>VLOOKUP($E8,'7. PGE_Efficacité'!$A$6:$CY$266,(MATCH('4.2 ACE EFF WOL'!Z$4,'7. PGE_Efficacité'!$A$4:$AO$4,0)+62),0)</f>
        <v>0</v>
      </c>
      <c r="AA8" s="139">
        <f>VLOOKUP($E8,'7. PGE_Efficacité'!$A$6:$CY$266,(MATCH('4.2 ACE EFF WOL'!AA$4,'7. PGE_Efficacité'!$A$4:$AO$4,0)+62),0)</f>
        <v>0</v>
      </c>
      <c r="AB8" s="139">
        <f>VLOOKUP($E8,'7. PGE_Efficacité'!$A$6:$CY$266,(MATCH('4.2 ACE EFF WOL'!AB$4,'7. PGE_Efficacité'!$A$4:$AO$4,0)+62),0)</f>
        <v>0</v>
      </c>
      <c r="AC8" s="139">
        <f>VLOOKUP($E8,'7. PGE_Efficacité'!$A$6:$CY$266,(MATCH('4.2 ACE EFF WOL'!AC$4,'7. PGE_Efficacité'!$A$4:$AO$4,0)+62),0)</f>
        <v>0</v>
      </c>
      <c r="AD8" s="139">
        <f>VLOOKUP($E8,'7. PGE_Efficacité'!$A$6:$CY$266,(MATCH('4.2 ACE EFF WOL'!AD$4,'7. PGE_Efficacité'!$A$4:$AO$4,0)+62),0)</f>
        <v>0</v>
      </c>
      <c r="AE8" s="139">
        <f>VLOOKUP($E8,'7. PGE_Efficacité'!$A$6:$CY$266,(MATCH('4.2 ACE EFF WOL'!AE$4,'7. PGE_Efficacité'!$A$4:$AO$4,0)+62),0)</f>
        <v>0</v>
      </c>
      <c r="AF8" s="139">
        <f>VLOOKUP($E8,'7. PGE_Efficacité'!$A$6:$CY$266,(MATCH('4.2 ACE EFF WOL'!AF$4,'7. PGE_Efficacité'!$A$4:$AO$4,0)+62),0)</f>
        <v>0</v>
      </c>
      <c r="AG8" s="139" t="str">
        <f>VLOOKUP($E8,'7. PGE_Efficacité'!$A$6:$CY$266,(MATCH('4.2 ACE EFF WOL'!AG$4,'7. PGE_Efficacité'!$A$4:$AO$4,0)+62),0)</f>
        <v>+++</v>
      </c>
      <c r="AH8" s="139" t="str">
        <f>VLOOKUP($E8,'7. PGE_Efficacité'!$A$6:$CY$266,(MATCH('4.2 ACE EFF WOL'!AH$4,'7. PGE_Efficacité'!$A$4:$AO$4,0)+62),0)</f>
        <v>+++</v>
      </c>
      <c r="AI8" s="139">
        <f>VLOOKUP($E8,'7. PGE_Efficacité'!$A$6:$CY$266,(MATCH('4.2 ACE EFF WOL'!AI$4,'7. PGE_Efficacité'!$A$4:$AO$4,0)+62),0)</f>
        <v>0</v>
      </c>
      <c r="AJ8" s="139">
        <f>VLOOKUP($E8,'7. PGE_Efficacité'!$A$6:$CY$266,(MATCH('4.2 ACE EFF WOL'!AJ$4,'7. PGE_Efficacité'!$A$4:$AO$4,0)+62),0)</f>
        <v>0</v>
      </c>
      <c r="AK8" s="139">
        <f>VLOOKUP($E8,'7. PGE_Efficacité'!$A$6:$CY$266,(MATCH('4.2 ACE EFF WOL'!AK$4,'7. PGE_Efficacité'!$A$4:$AO$4,0)+62),0)</f>
        <v>0</v>
      </c>
      <c r="AL8" s="139">
        <f>VLOOKUP($E8,'7. PGE_Efficacité'!$A$6:$CY$266,(MATCH('4.2 ACE EFF WOL'!AL$4,'7. PGE_Efficacité'!$A$4:$AO$4,0)+62),0)</f>
        <v>0</v>
      </c>
      <c r="AM8" s="139">
        <f>VLOOKUP($E8,'7. PGE_Efficacité'!$A$6:$CY$266,(MATCH('4.2 ACE EFF WOL'!AM$4,'7. PGE_Efficacité'!$A$4:$AO$4,0)+62),0)</f>
        <v>0</v>
      </c>
      <c r="AN8" s="139">
        <f>VLOOKUP($E8,'7. PGE_Efficacité'!$A$6:$CY$266,(MATCH('4.2 ACE EFF WOL'!AN$4,'7. PGE_Efficacité'!$A$4:$AO$4,0)+62),0)</f>
        <v>0</v>
      </c>
    </row>
    <row r="9" spans="1:40" outlineLevel="2" x14ac:dyDescent="0.25">
      <c r="A9" s="48" t="s">
        <v>1524</v>
      </c>
      <c r="B9" s="49">
        <v>1</v>
      </c>
      <c r="C9" s="48" t="s">
        <v>1530</v>
      </c>
      <c r="D9" s="199" t="s">
        <v>0</v>
      </c>
      <c r="E9" s="200" t="s">
        <v>647</v>
      </c>
      <c r="F9" s="200" t="s">
        <v>1308</v>
      </c>
      <c r="G9" s="201" t="s">
        <v>1520</v>
      </c>
      <c r="H9" s="200" t="s">
        <v>416</v>
      </c>
      <c r="I9" s="202">
        <v>90000</v>
      </c>
      <c r="J9" s="139">
        <f>VLOOKUP($E9,'7. PGE_Efficacité'!$A$6:$CY$266,(MATCH('4.2 ACE EFF WOL'!J$4,'7. PGE_Efficacité'!$A$4:$AO$4,0)+62),0)</f>
        <v>0</v>
      </c>
      <c r="K9" s="139">
        <f>VLOOKUP($E9,'7. PGE_Efficacité'!$A$6:$CY$266,(MATCH('4.2 ACE EFF WOL'!K$4,'7. PGE_Efficacité'!$A$4:$AO$4,0)+62),0)</f>
        <v>0</v>
      </c>
      <c r="L9" s="139">
        <f>VLOOKUP($E9,'7. PGE_Efficacité'!$A$6:$CY$266,(MATCH('4.2 ACE EFF WOL'!L$4,'7. PGE_Efficacité'!$A$4:$AO$4,0)+62),0)</f>
        <v>0</v>
      </c>
      <c r="M9" s="139">
        <f>VLOOKUP($E9,'7. PGE_Efficacité'!$A$6:$CY$266,(MATCH('4.2 ACE EFF WOL'!M$4,'7. PGE_Efficacité'!$A$4:$AO$4,0)+62),0)</f>
        <v>0</v>
      </c>
      <c r="N9" s="139">
        <f>VLOOKUP($E9,'7. PGE_Efficacité'!$A$6:$CY$266,(MATCH('4.2 ACE EFF WOL'!N$4,'7. PGE_Efficacité'!$A$4:$AO$4,0)+62),0)</f>
        <v>0</v>
      </c>
      <c r="O9" s="139">
        <f>VLOOKUP($E9,'7. PGE_Efficacité'!$A$6:$CY$266,78,0)</f>
        <v>0</v>
      </c>
      <c r="P9" s="139">
        <f>VLOOKUP($E9,'7. PGE_Efficacité'!$A$6:$CY$266,(MATCH('4.2 ACE EFF WOL'!P$4,'7. PGE_Efficacité'!$A$4:$AO$4,0)+62),0)</f>
        <v>0</v>
      </c>
      <c r="Q9" s="139">
        <f>VLOOKUP($E9,'7. PGE_Efficacité'!$A$6:$CY$266,(MATCH('4.2 ACE EFF WOL'!Q$4,'7. PGE_Efficacité'!$A$4:$AO$4,0)+62),0)</f>
        <v>0</v>
      </c>
      <c r="R9" s="139">
        <f>VLOOKUP($E9,'7. PGE_Efficacité'!$A$6:$CY$266,(MATCH('4.2 ACE EFF WOL'!R$4,'7. PGE_Efficacité'!$A$4:$AO$4,0)+62),0)</f>
        <v>0</v>
      </c>
      <c r="S9" s="139">
        <f>VLOOKUP($E9,'7. PGE_Efficacité'!$A$6:$CY$266,(MATCH('4.2 ACE EFF WOL'!S$4,'7. PGE_Efficacité'!$A$4:$AO$4,0)+62),0)</f>
        <v>0</v>
      </c>
      <c r="T9" s="139">
        <f>VLOOKUP($E9,'7. PGE_Efficacité'!$A$6:$CY$266,(MATCH('4.2 ACE EFF WOL'!T$4,'7. PGE_Efficacité'!$A$4:$AO$4,0)+62),0)</f>
        <v>0</v>
      </c>
      <c r="U9" s="139">
        <f>VLOOKUP($E9,'7. PGE_Efficacité'!$A$6:$CY$266,(MATCH('4.2 ACE EFF WOL'!U$4,'7. PGE_Efficacité'!$A$4:$AO$4,0)+62),0)</f>
        <v>0</v>
      </c>
      <c r="V9" s="139">
        <f>VLOOKUP($E9,'7. PGE_Efficacité'!$A$6:$CY$266,(MATCH('4.2 ACE EFF WOL'!V$4,'7. PGE_Efficacité'!$A$4:$AO$4,0)+62),0)</f>
        <v>0</v>
      </c>
      <c r="W9" s="139">
        <f>VLOOKUP($E9,'7. PGE_Efficacité'!$A$6:$CY$266,(MATCH('4.2 ACE EFF WOL'!W$4,'7. PGE_Efficacité'!$A$4:$AO$4,0)+62),0)</f>
        <v>0</v>
      </c>
      <c r="X9" s="139">
        <f>VLOOKUP($E9,'7. PGE_Efficacité'!$A$6:$CY$266,(MATCH('4.2 ACE EFF WOL'!X$4,'7. PGE_Efficacité'!$A$4:$AO$4,0)+62),0)</f>
        <v>0</v>
      </c>
      <c r="Y9" s="139">
        <f>VLOOKUP($E9,'7. PGE_Efficacité'!$A$6:$CY$266,(MATCH('4.2 ACE EFF WOL'!Y$4,'7. PGE_Efficacité'!$A$4:$AO$4,0)+62),0)</f>
        <v>0</v>
      </c>
      <c r="Z9" s="139">
        <f>VLOOKUP($E9,'7. PGE_Efficacité'!$A$6:$CY$266,(MATCH('4.2 ACE EFF WOL'!Z$4,'7. PGE_Efficacité'!$A$4:$AO$4,0)+62),0)</f>
        <v>0</v>
      </c>
      <c r="AA9" s="139">
        <f>VLOOKUP($E9,'7. PGE_Efficacité'!$A$6:$CY$266,(MATCH('4.2 ACE EFF WOL'!AA$4,'7. PGE_Efficacité'!$A$4:$AO$4,0)+62),0)</f>
        <v>0</v>
      </c>
      <c r="AB9" s="139">
        <f>VLOOKUP($E9,'7. PGE_Efficacité'!$A$6:$CY$266,(MATCH('4.2 ACE EFF WOL'!AB$4,'7. PGE_Efficacité'!$A$4:$AO$4,0)+62),0)</f>
        <v>0</v>
      </c>
      <c r="AC9" s="139">
        <f>VLOOKUP($E9,'7. PGE_Efficacité'!$A$6:$CY$266,(MATCH('4.2 ACE EFF WOL'!AC$4,'7. PGE_Efficacité'!$A$4:$AO$4,0)+62),0)</f>
        <v>0</v>
      </c>
      <c r="AD9" s="139">
        <f>VLOOKUP($E9,'7. PGE_Efficacité'!$A$6:$CY$266,(MATCH('4.2 ACE EFF WOL'!AD$4,'7. PGE_Efficacité'!$A$4:$AO$4,0)+62),0)</f>
        <v>0</v>
      </c>
      <c r="AE9" s="139">
        <f>VLOOKUP($E9,'7. PGE_Efficacité'!$A$6:$CY$266,(MATCH('4.2 ACE EFF WOL'!AE$4,'7. PGE_Efficacité'!$A$4:$AO$4,0)+62),0)</f>
        <v>0</v>
      </c>
      <c r="AF9" s="139">
        <f>VLOOKUP($E9,'7. PGE_Efficacité'!$A$6:$CY$266,(MATCH('4.2 ACE EFF WOL'!AF$4,'7. PGE_Efficacité'!$A$4:$AO$4,0)+62),0)</f>
        <v>0</v>
      </c>
      <c r="AG9" s="139">
        <f>VLOOKUP($E9,'7. PGE_Efficacité'!$A$6:$CY$266,(MATCH('4.2 ACE EFF WOL'!AG$4,'7. PGE_Efficacité'!$A$4:$AO$4,0)+62),0)</f>
        <v>0</v>
      </c>
      <c r="AH9" s="139">
        <f>VLOOKUP($E9,'7. PGE_Efficacité'!$A$6:$CY$266,(MATCH('4.2 ACE EFF WOL'!AH$4,'7. PGE_Efficacité'!$A$4:$AO$4,0)+62),0)</f>
        <v>0</v>
      </c>
      <c r="AI9" s="139">
        <f>VLOOKUP($E9,'7. PGE_Efficacité'!$A$6:$CY$266,(MATCH('4.2 ACE EFF WOL'!AI$4,'7. PGE_Efficacité'!$A$4:$AO$4,0)+62),0)</f>
        <v>0</v>
      </c>
      <c r="AJ9" s="139">
        <f>VLOOKUP($E9,'7. PGE_Efficacité'!$A$6:$CY$266,(MATCH('4.2 ACE EFF WOL'!AJ$4,'7. PGE_Efficacité'!$A$4:$AO$4,0)+62),0)</f>
        <v>0</v>
      </c>
      <c r="AK9" s="139">
        <f>VLOOKUP($E9,'7. PGE_Efficacité'!$A$6:$CY$266,(MATCH('4.2 ACE EFF WOL'!AK$4,'7. PGE_Efficacité'!$A$4:$AO$4,0)+62),0)</f>
        <v>0</v>
      </c>
      <c r="AL9" s="139">
        <f>VLOOKUP($E9,'7. PGE_Efficacité'!$A$6:$CY$266,(MATCH('4.2 ACE EFF WOL'!AL$4,'7. PGE_Efficacité'!$A$4:$AO$4,0)+62),0)</f>
        <v>0</v>
      </c>
      <c r="AM9" s="139">
        <f>VLOOKUP($E9,'7. PGE_Efficacité'!$A$6:$CY$266,(MATCH('4.2 ACE EFF WOL'!AM$4,'7. PGE_Efficacité'!$A$4:$AO$4,0)+62),0)</f>
        <v>0</v>
      </c>
      <c r="AN9" s="139">
        <f>VLOOKUP($E9,'7. PGE_Efficacité'!$A$6:$CY$266,(MATCH('4.2 ACE EFF WOL'!AN$4,'7. PGE_Efficacité'!$A$4:$AO$4,0)+62),0)</f>
        <v>0</v>
      </c>
    </row>
    <row r="10" spans="1:40" outlineLevel="2" x14ac:dyDescent="0.25">
      <c r="A10" s="48" t="s">
        <v>1524</v>
      </c>
      <c r="B10" s="49">
        <v>1</v>
      </c>
      <c r="C10" s="48" t="s">
        <v>1531</v>
      </c>
      <c r="D10" s="199" t="s">
        <v>0</v>
      </c>
      <c r="E10" s="200" t="s">
        <v>637</v>
      </c>
      <c r="F10" s="200" t="s">
        <v>1292</v>
      </c>
      <c r="G10" s="201" t="s">
        <v>1520</v>
      </c>
      <c r="H10" s="200" t="s">
        <v>416</v>
      </c>
      <c r="I10" s="202">
        <v>900000</v>
      </c>
      <c r="J10" s="139">
        <f>VLOOKUP($E10,'7. PGE_Efficacité'!$A$6:$CY$266,(MATCH('4.2 ACE EFF WOL'!J$4,'7. PGE_Efficacité'!$A$4:$AO$4,0)+62),0)</f>
        <v>0</v>
      </c>
      <c r="K10" s="139">
        <f>VLOOKUP($E10,'7. PGE_Efficacité'!$A$6:$CY$266,(MATCH('4.2 ACE EFF WOL'!K$4,'7. PGE_Efficacité'!$A$4:$AO$4,0)+62),0)</f>
        <v>0</v>
      </c>
      <c r="L10" s="139">
        <f>VLOOKUP($E10,'7. PGE_Efficacité'!$A$6:$CY$266,(MATCH('4.2 ACE EFF WOL'!L$4,'7. PGE_Efficacité'!$A$4:$AO$4,0)+62),0)</f>
        <v>0</v>
      </c>
      <c r="M10" s="139">
        <f>VLOOKUP($E10,'7. PGE_Efficacité'!$A$6:$CY$266,(MATCH('4.2 ACE EFF WOL'!M$4,'7. PGE_Efficacité'!$A$4:$AO$4,0)+62),0)</f>
        <v>0</v>
      </c>
      <c r="N10" s="139">
        <f>VLOOKUP($E10,'7. PGE_Efficacité'!$A$6:$CY$266,(MATCH('4.2 ACE EFF WOL'!N$4,'7. PGE_Efficacité'!$A$4:$AO$4,0)+62),0)</f>
        <v>0</v>
      </c>
      <c r="O10" s="139">
        <f>VLOOKUP($E10,'7. PGE_Efficacité'!$A$6:$CY$266,78,0)</f>
        <v>0</v>
      </c>
      <c r="P10" s="139">
        <f>VLOOKUP($E10,'7. PGE_Efficacité'!$A$6:$CY$266,(MATCH('4.2 ACE EFF WOL'!P$4,'7. PGE_Efficacité'!$A$4:$AO$4,0)+62),0)</f>
        <v>0</v>
      </c>
      <c r="Q10" s="139">
        <f>VLOOKUP($E10,'7. PGE_Efficacité'!$A$6:$CY$266,(MATCH('4.2 ACE EFF WOL'!Q$4,'7. PGE_Efficacité'!$A$4:$AO$4,0)+62),0)</f>
        <v>0</v>
      </c>
      <c r="R10" s="139">
        <f>VLOOKUP($E10,'7. PGE_Efficacité'!$A$6:$CY$266,(MATCH('4.2 ACE EFF WOL'!R$4,'7. PGE_Efficacité'!$A$4:$AO$4,0)+62),0)</f>
        <v>0</v>
      </c>
      <c r="S10" s="139">
        <f>VLOOKUP($E10,'7. PGE_Efficacité'!$A$6:$CY$266,(MATCH('4.2 ACE EFF WOL'!S$4,'7. PGE_Efficacité'!$A$4:$AO$4,0)+62),0)</f>
        <v>0</v>
      </c>
      <c r="T10" s="139">
        <f>VLOOKUP($E10,'7. PGE_Efficacité'!$A$6:$CY$266,(MATCH('4.2 ACE EFF WOL'!T$4,'7. PGE_Efficacité'!$A$4:$AO$4,0)+62),0)</f>
        <v>0</v>
      </c>
      <c r="U10" s="139">
        <f>VLOOKUP($E10,'7. PGE_Efficacité'!$A$6:$CY$266,(MATCH('4.2 ACE EFF WOL'!U$4,'7. PGE_Efficacité'!$A$4:$AO$4,0)+62),0)</f>
        <v>0</v>
      </c>
      <c r="V10" s="139">
        <f>VLOOKUP($E10,'7. PGE_Efficacité'!$A$6:$CY$266,(MATCH('4.2 ACE EFF WOL'!V$4,'7. PGE_Efficacité'!$A$4:$AO$4,0)+62),0)</f>
        <v>0</v>
      </c>
      <c r="W10" s="139">
        <f>VLOOKUP($E10,'7. PGE_Efficacité'!$A$6:$CY$266,(MATCH('4.2 ACE EFF WOL'!W$4,'7. PGE_Efficacité'!$A$4:$AO$4,0)+62),0)</f>
        <v>0</v>
      </c>
      <c r="X10" s="139">
        <f>VLOOKUP($E10,'7. PGE_Efficacité'!$A$6:$CY$266,(MATCH('4.2 ACE EFF WOL'!X$4,'7. PGE_Efficacité'!$A$4:$AO$4,0)+62),0)</f>
        <v>0</v>
      </c>
      <c r="Y10" s="139">
        <f>VLOOKUP($E10,'7. PGE_Efficacité'!$A$6:$CY$266,(MATCH('4.2 ACE EFF WOL'!Y$4,'7. PGE_Efficacité'!$A$4:$AO$4,0)+62),0)</f>
        <v>0</v>
      </c>
      <c r="Z10" s="139">
        <f>VLOOKUP($E10,'7. PGE_Efficacité'!$A$6:$CY$266,(MATCH('4.2 ACE EFF WOL'!Z$4,'7. PGE_Efficacité'!$A$4:$AO$4,0)+62),0)</f>
        <v>0</v>
      </c>
      <c r="AA10" s="139">
        <f>VLOOKUP($E10,'7. PGE_Efficacité'!$A$6:$CY$266,(MATCH('4.2 ACE EFF WOL'!AA$4,'7. PGE_Efficacité'!$A$4:$AO$4,0)+62),0)</f>
        <v>0</v>
      </c>
      <c r="AB10" s="139">
        <f>VLOOKUP($E10,'7. PGE_Efficacité'!$A$6:$CY$266,(MATCH('4.2 ACE EFF WOL'!AB$4,'7. PGE_Efficacité'!$A$4:$AO$4,0)+62),0)</f>
        <v>0</v>
      </c>
      <c r="AC10" s="139">
        <f>VLOOKUP($E10,'7. PGE_Efficacité'!$A$6:$CY$266,(MATCH('4.2 ACE EFF WOL'!AC$4,'7. PGE_Efficacité'!$A$4:$AO$4,0)+62),0)</f>
        <v>0</v>
      </c>
      <c r="AD10" s="139">
        <f>VLOOKUP($E10,'7. PGE_Efficacité'!$A$6:$CY$266,(MATCH('4.2 ACE EFF WOL'!AD$4,'7. PGE_Efficacité'!$A$4:$AO$4,0)+62),0)</f>
        <v>0</v>
      </c>
      <c r="AE10" s="139">
        <f>VLOOKUP($E10,'7. PGE_Efficacité'!$A$6:$CY$266,(MATCH('4.2 ACE EFF WOL'!AE$4,'7. PGE_Efficacité'!$A$4:$AO$4,0)+62),0)</f>
        <v>0</v>
      </c>
      <c r="AF10" s="139">
        <f>VLOOKUP($E10,'7. PGE_Efficacité'!$A$6:$CY$266,(MATCH('4.2 ACE EFF WOL'!AF$4,'7. PGE_Efficacité'!$A$4:$AO$4,0)+62),0)</f>
        <v>0</v>
      </c>
      <c r="AG10" s="139">
        <f>VLOOKUP($E10,'7. PGE_Efficacité'!$A$6:$CY$266,(MATCH('4.2 ACE EFF WOL'!AG$4,'7. PGE_Efficacité'!$A$4:$AO$4,0)+62),0)</f>
        <v>0</v>
      </c>
      <c r="AH10" s="139">
        <f>VLOOKUP($E10,'7. PGE_Efficacité'!$A$6:$CY$266,(MATCH('4.2 ACE EFF WOL'!AH$4,'7. PGE_Efficacité'!$A$4:$AO$4,0)+62),0)</f>
        <v>0</v>
      </c>
      <c r="AI10" s="139">
        <f>VLOOKUP($E10,'7. PGE_Efficacité'!$A$6:$CY$266,(MATCH('4.2 ACE EFF WOL'!AI$4,'7. PGE_Efficacité'!$A$4:$AO$4,0)+62),0)</f>
        <v>0</v>
      </c>
      <c r="AJ10" s="139">
        <f>VLOOKUP($E10,'7. PGE_Efficacité'!$A$6:$CY$266,(MATCH('4.2 ACE EFF WOL'!AJ$4,'7. PGE_Efficacité'!$A$4:$AO$4,0)+62),0)</f>
        <v>0</v>
      </c>
      <c r="AK10" s="139">
        <f>VLOOKUP($E10,'7. PGE_Efficacité'!$A$6:$CY$266,(MATCH('4.2 ACE EFF WOL'!AK$4,'7. PGE_Efficacité'!$A$4:$AO$4,0)+62),0)</f>
        <v>0</v>
      </c>
      <c r="AL10" s="139">
        <f>VLOOKUP($E10,'7. PGE_Efficacité'!$A$6:$CY$266,(MATCH('4.2 ACE EFF WOL'!AL$4,'7. PGE_Efficacité'!$A$4:$AO$4,0)+62),0)</f>
        <v>0</v>
      </c>
      <c r="AM10" s="139">
        <f>VLOOKUP($E10,'7. PGE_Efficacité'!$A$6:$CY$266,(MATCH('4.2 ACE EFF WOL'!AM$4,'7. PGE_Efficacité'!$A$4:$AO$4,0)+62),0)</f>
        <v>0</v>
      </c>
      <c r="AN10" s="139">
        <f>VLOOKUP($E10,'7. PGE_Efficacité'!$A$6:$CY$266,(MATCH('4.2 ACE EFF WOL'!AN$4,'7. PGE_Efficacité'!$A$4:$AO$4,0)+62),0)</f>
        <v>0</v>
      </c>
    </row>
    <row r="11" spans="1:40" outlineLevel="2" x14ac:dyDescent="0.25">
      <c r="A11" s="48" t="s">
        <v>1524</v>
      </c>
      <c r="B11" s="49">
        <v>1</v>
      </c>
      <c r="C11" s="48" t="s">
        <v>1503</v>
      </c>
      <c r="D11" s="199" t="s">
        <v>0</v>
      </c>
      <c r="E11" s="200" t="s">
        <v>649</v>
      </c>
      <c r="F11" s="200" t="s">
        <v>1299</v>
      </c>
      <c r="G11" s="201" t="s">
        <v>1520</v>
      </c>
      <c r="H11" s="200" t="s">
        <v>416</v>
      </c>
      <c r="I11" s="202">
        <v>0</v>
      </c>
      <c r="J11" s="139">
        <f>VLOOKUP($E11,'7. PGE_Efficacité'!$A$6:$CY$266,(MATCH('4.2 ACE EFF WOL'!J$4,'7. PGE_Efficacité'!$A$4:$AO$4,0)+62),0)</f>
        <v>0</v>
      </c>
      <c r="K11" s="139">
        <f>VLOOKUP($E11,'7. PGE_Efficacité'!$A$6:$CY$266,(MATCH('4.2 ACE EFF WOL'!K$4,'7. PGE_Efficacité'!$A$4:$AO$4,0)+62),0)</f>
        <v>0</v>
      </c>
      <c r="L11" s="139">
        <f>VLOOKUP($E11,'7. PGE_Efficacité'!$A$6:$CY$266,(MATCH('4.2 ACE EFF WOL'!L$4,'7. PGE_Efficacité'!$A$4:$AO$4,0)+62),0)</f>
        <v>0</v>
      </c>
      <c r="M11" s="139">
        <f>VLOOKUP($E11,'7. PGE_Efficacité'!$A$6:$CY$266,(MATCH('4.2 ACE EFF WOL'!M$4,'7. PGE_Efficacité'!$A$4:$AO$4,0)+62),0)</f>
        <v>0</v>
      </c>
      <c r="N11" s="139">
        <f>VLOOKUP($E11,'7. PGE_Efficacité'!$A$6:$CY$266,(MATCH('4.2 ACE EFF WOL'!N$4,'7. PGE_Efficacité'!$A$4:$AO$4,0)+62),0)</f>
        <v>0</v>
      </c>
      <c r="O11" s="139">
        <f>VLOOKUP($E11,'7. PGE_Efficacité'!$A$6:$CY$266,78,0)</f>
        <v>0</v>
      </c>
      <c r="P11" s="139">
        <f>VLOOKUP($E11,'7. PGE_Efficacité'!$A$6:$CY$266,(MATCH('4.2 ACE EFF WOL'!P$4,'7. PGE_Efficacité'!$A$4:$AO$4,0)+62),0)</f>
        <v>0</v>
      </c>
      <c r="Q11" s="139">
        <f>VLOOKUP($E11,'7. PGE_Efficacité'!$A$6:$CY$266,(MATCH('4.2 ACE EFF WOL'!Q$4,'7. PGE_Efficacité'!$A$4:$AO$4,0)+62),0)</f>
        <v>0</v>
      </c>
      <c r="R11" s="139">
        <f>VLOOKUP($E11,'7. PGE_Efficacité'!$A$6:$CY$266,(MATCH('4.2 ACE EFF WOL'!R$4,'7. PGE_Efficacité'!$A$4:$AO$4,0)+62),0)</f>
        <v>0</v>
      </c>
      <c r="S11" s="139">
        <f>VLOOKUP($E11,'7. PGE_Efficacité'!$A$6:$CY$266,(MATCH('4.2 ACE EFF WOL'!S$4,'7. PGE_Efficacité'!$A$4:$AO$4,0)+62),0)</f>
        <v>0</v>
      </c>
      <c r="T11" s="139">
        <f>VLOOKUP($E11,'7. PGE_Efficacité'!$A$6:$CY$266,(MATCH('4.2 ACE EFF WOL'!T$4,'7. PGE_Efficacité'!$A$4:$AO$4,0)+62),0)</f>
        <v>0</v>
      </c>
      <c r="U11" s="139">
        <f>VLOOKUP($E11,'7. PGE_Efficacité'!$A$6:$CY$266,(MATCH('4.2 ACE EFF WOL'!U$4,'7. PGE_Efficacité'!$A$4:$AO$4,0)+62),0)</f>
        <v>0</v>
      </c>
      <c r="V11" s="139">
        <f>VLOOKUP($E11,'7. PGE_Efficacité'!$A$6:$CY$266,(MATCH('4.2 ACE EFF WOL'!V$4,'7. PGE_Efficacité'!$A$4:$AO$4,0)+62),0)</f>
        <v>0</v>
      </c>
      <c r="W11" s="139">
        <f>VLOOKUP($E11,'7. PGE_Efficacité'!$A$6:$CY$266,(MATCH('4.2 ACE EFF WOL'!W$4,'7. PGE_Efficacité'!$A$4:$AO$4,0)+62),0)</f>
        <v>0</v>
      </c>
      <c r="X11" s="139">
        <f>VLOOKUP($E11,'7. PGE_Efficacité'!$A$6:$CY$266,(MATCH('4.2 ACE EFF WOL'!X$4,'7. PGE_Efficacité'!$A$4:$AO$4,0)+62),0)</f>
        <v>0</v>
      </c>
      <c r="Y11" s="139">
        <f>VLOOKUP($E11,'7. PGE_Efficacité'!$A$6:$CY$266,(MATCH('4.2 ACE EFF WOL'!Y$4,'7. PGE_Efficacité'!$A$4:$AO$4,0)+62),0)</f>
        <v>0</v>
      </c>
      <c r="Z11" s="139">
        <f>VLOOKUP($E11,'7. PGE_Efficacité'!$A$6:$CY$266,(MATCH('4.2 ACE EFF WOL'!Z$4,'7. PGE_Efficacité'!$A$4:$AO$4,0)+62),0)</f>
        <v>0</v>
      </c>
      <c r="AA11" s="139">
        <f>VLOOKUP($E11,'7. PGE_Efficacité'!$A$6:$CY$266,(MATCH('4.2 ACE EFF WOL'!AA$4,'7. PGE_Efficacité'!$A$4:$AO$4,0)+62),0)</f>
        <v>0</v>
      </c>
      <c r="AB11" s="139">
        <f>VLOOKUP($E11,'7. PGE_Efficacité'!$A$6:$CY$266,(MATCH('4.2 ACE EFF WOL'!AB$4,'7. PGE_Efficacité'!$A$4:$AO$4,0)+62),0)</f>
        <v>0</v>
      </c>
      <c r="AC11" s="139">
        <f>VLOOKUP($E11,'7. PGE_Efficacité'!$A$6:$CY$266,(MATCH('4.2 ACE EFF WOL'!AC$4,'7. PGE_Efficacité'!$A$4:$AO$4,0)+62),0)</f>
        <v>0</v>
      </c>
      <c r="AD11" s="139">
        <f>VLOOKUP($E11,'7. PGE_Efficacité'!$A$6:$CY$266,(MATCH('4.2 ACE EFF WOL'!AD$4,'7. PGE_Efficacité'!$A$4:$AO$4,0)+62),0)</f>
        <v>0</v>
      </c>
      <c r="AE11" s="139">
        <f>VLOOKUP($E11,'7. PGE_Efficacité'!$A$6:$CY$266,(MATCH('4.2 ACE EFF WOL'!AE$4,'7. PGE_Efficacité'!$A$4:$AO$4,0)+62),0)</f>
        <v>0</v>
      </c>
      <c r="AF11" s="139">
        <f>VLOOKUP($E11,'7. PGE_Efficacité'!$A$6:$CY$266,(MATCH('4.2 ACE EFF WOL'!AF$4,'7. PGE_Efficacité'!$A$4:$AO$4,0)+62),0)</f>
        <v>0</v>
      </c>
      <c r="AG11" s="139" t="str">
        <f>VLOOKUP($E11,'7. PGE_Efficacité'!$A$6:$CY$266,(MATCH('4.2 ACE EFF WOL'!AG$4,'7. PGE_Efficacité'!$A$4:$AO$4,0)+62),0)</f>
        <v>++++</v>
      </c>
      <c r="AH11" s="139" t="str">
        <f>VLOOKUP($E11,'7. PGE_Efficacité'!$A$6:$CY$266,(MATCH('4.2 ACE EFF WOL'!AH$4,'7. PGE_Efficacité'!$A$4:$AO$4,0)+62),0)</f>
        <v>++++</v>
      </c>
      <c r="AI11" s="139" t="str">
        <f>VLOOKUP($E11,'7. PGE_Efficacité'!$A$6:$CY$266,(MATCH('4.2 ACE EFF WOL'!AI$4,'7. PGE_Efficacité'!$A$4:$AO$4,0)+62),0)</f>
        <v>++++</v>
      </c>
      <c r="AJ11" s="139">
        <f>VLOOKUP($E11,'7. PGE_Efficacité'!$A$6:$CY$266,(MATCH('4.2 ACE EFF WOL'!AJ$4,'7. PGE_Efficacité'!$A$4:$AO$4,0)+62),0)</f>
        <v>0</v>
      </c>
      <c r="AK11" s="139">
        <f>VLOOKUP($E11,'7. PGE_Efficacité'!$A$6:$CY$266,(MATCH('4.2 ACE EFF WOL'!AK$4,'7. PGE_Efficacité'!$A$4:$AO$4,0)+62),0)</f>
        <v>0</v>
      </c>
      <c r="AL11" s="139">
        <f>VLOOKUP($E11,'7. PGE_Efficacité'!$A$6:$CY$266,(MATCH('4.2 ACE EFF WOL'!AL$4,'7. PGE_Efficacité'!$A$4:$AO$4,0)+62),0)</f>
        <v>0</v>
      </c>
      <c r="AM11" s="139">
        <f>VLOOKUP($E11,'7. PGE_Efficacité'!$A$6:$CY$266,(MATCH('4.2 ACE EFF WOL'!AM$4,'7. PGE_Efficacité'!$A$4:$AO$4,0)+62),0)</f>
        <v>0</v>
      </c>
      <c r="AN11" s="139">
        <f>VLOOKUP($E11,'7. PGE_Efficacité'!$A$6:$CY$266,(MATCH('4.2 ACE EFF WOL'!AN$4,'7. PGE_Efficacité'!$A$4:$AO$4,0)+62),0)</f>
        <v>0</v>
      </c>
    </row>
    <row r="12" spans="1:40" ht="26.25" outlineLevel="1" collapsed="1" x14ac:dyDescent="0.25">
      <c r="A12" s="48"/>
      <c r="B12" s="49"/>
      <c r="C12" s="48"/>
      <c r="D12" s="372" t="s">
        <v>1</v>
      </c>
      <c r="E12" s="195"/>
      <c r="F12" s="196" t="str">
        <f>VLOOKUP(D12,'1. Mesures'!$A$2:$B$116,2,0)</f>
        <v>Améliorer la qualité des berges et des lits du réseau hydrographique, créer des méandres et aménager des zones propices au développement de la faune et de la flore aquatiques</v>
      </c>
      <c r="G12" s="197"/>
      <c r="H12" s="195"/>
      <c r="I12" s="198">
        <f>SUBTOTAL(9,I13:I18)</f>
        <v>690000</v>
      </c>
      <c r="J12" s="203">
        <f>VLOOKUP($D12,'7. PGE_Efficacité'!$A$6:$CY$266,(MATCH('4.2 ACE EFF WOL'!J$4,'7. PGE_Efficacité'!$A$4:$AO$4,0)+62),0)</f>
        <v>0</v>
      </c>
      <c r="K12" s="203">
        <f>VLOOKUP($D12,'7. PGE_Efficacité'!$A$6:$CY$266,(MATCH('4.2 ACE EFF WOL'!K$4,'7. PGE_Efficacité'!$A$4:$AO$4,0)+62),0)</f>
        <v>0</v>
      </c>
      <c r="L12" s="203">
        <f>VLOOKUP($D12,'7. PGE_Efficacité'!$A$6:$CY$266,(MATCH('4.2 ACE EFF WOL'!L$4,'7. PGE_Efficacité'!$A$4:$AO$4,0)+62),0)</f>
        <v>0</v>
      </c>
      <c r="M12" s="203">
        <f>VLOOKUP($D12,'7. PGE_Efficacité'!$A$6:$CY$266,(MATCH('4.2 ACE EFF WOL'!M$4,'7. PGE_Efficacité'!$A$4:$AO$4,0)+62),0)</f>
        <v>0</v>
      </c>
      <c r="N12" s="203">
        <f>VLOOKUP($D12,'7. PGE_Efficacité'!$A$6:$CY$266,(MATCH('4.2 ACE EFF WOL'!N$4,'7. PGE_Efficacité'!$A$4:$AO$4,0)+62),0)</f>
        <v>0</v>
      </c>
      <c r="O12" s="203">
        <f>VLOOKUP($D12,'7. PGE_Efficacité'!$A$6:$CY$266,78,0)</f>
        <v>0</v>
      </c>
      <c r="P12" s="203">
        <f>VLOOKUP($D12,'7. PGE_Efficacité'!$A$6:$CY$266,(MATCH('4.2 ACE EFF WOL'!P$4,'7. PGE_Efficacité'!$A$4:$AO$4,0)+62),0)</f>
        <v>0</v>
      </c>
      <c r="Q12" s="203">
        <f>VLOOKUP($D12,'7. PGE_Efficacité'!$A$6:$CY$266,(MATCH('4.2 ACE EFF WOL'!Q$4,'7. PGE_Efficacité'!$A$4:$AO$4,0)+62),0)</f>
        <v>0</v>
      </c>
      <c r="R12" s="203">
        <f>VLOOKUP($D12,'7. PGE_Efficacité'!$A$6:$CY$266,(MATCH('4.2 ACE EFF WOL'!R$4,'7. PGE_Efficacité'!$A$4:$AO$4,0)+62),0)</f>
        <v>0</v>
      </c>
      <c r="S12" s="203">
        <f>VLOOKUP($D12,'7. PGE_Efficacité'!$A$6:$CY$266,(MATCH('4.2 ACE EFF WOL'!S$4,'7. PGE_Efficacité'!$A$4:$AO$4,0)+62),0)</f>
        <v>0</v>
      </c>
      <c r="T12" s="203">
        <f>VLOOKUP($D12,'7. PGE_Efficacité'!$A$6:$CY$266,(MATCH('4.2 ACE EFF WOL'!T$4,'7. PGE_Efficacité'!$A$4:$AO$4,0)+62),0)</f>
        <v>0</v>
      </c>
      <c r="U12" s="203">
        <f>VLOOKUP($D12,'7. PGE_Efficacité'!$A$6:$CY$266,(MATCH('4.2 ACE EFF WOL'!U$4,'7. PGE_Efficacité'!$A$4:$AO$4,0)+62),0)</f>
        <v>0</v>
      </c>
      <c r="V12" s="203">
        <f>VLOOKUP($D12,'7. PGE_Efficacité'!$A$6:$CY$266,(MATCH('4.2 ACE EFF WOL'!V$4,'7. PGE_Efficacité'!$A$4:$AO$4,0)+62),0)</f>
        <v>0</v>
      </c>
      <c r="W12" s="203">
        <f>VLOOKUP($D12,'7. PGE_Efficacité'!$A$6:$CY$266,(MATCH('4.2 ACE EFF WOL'!W$4,'7. PGE_Efficacité'!$A$4:$AO$4,0)+62),0)</f>
        <v>0</v>
      </c>
      <c r="X12" s="203">
        <f>VLOOKUP($D12,'7. PGE_Efficacité'!$A$6:$CY$266,(MATCH('4.2 ACE EFF WOL'!X$4,'7. PGE_Efficacité'!$A$4:$AO$4,0)+62),0)</f>
        <v>0</v>
      </c>
      <c r="Y12" s="203">
        <f>VLOOKUP($D12,'7. PGE_Efficacité'!$A$6:$CY$266,(MATCH('4.2 ACE EFF WOL'!Y$4,'7. PGE_Efficacité'!$A$4:$AO$4,0)+62),0)</f>
        <v>0</v>
      </c>
      <c r="Z12" s="203">
        <f>VLOOKUP($D12,'7. PGE_Efficacité'!$A$6:$CY$266,(MATCH('4.2 ACE EFF WOL'!Z$4,'7. PGE_Efficacité'!$A$4:$AO$4,0)+62),0)</f>
        <v>0</v>
      </c>
      <c r="AA12" s="203">
        <f>VLOOKUP($D12,'7. PGE_Efficacité'!$A$6:$CY$266,(MATCH('4.2 ACE EFF WOL'!AA$4,'7. PGE_Efficacité'!$A$4:$AO$4,0)+62),0)</f>
        <v>0</v>
      </c>
      <c r="AB12" s="203">
        <f>VLOOKUP($D12,'7. PGE_Efficacité'!$A$6:$CY$266,(MATCH('4.2 ACE EFF WOL'!AB$4,'7. PGE_Efficacité'!$A$4:$AO$4,0)+62),0)</f>
        <v>0</v>
      </c>
      <c r="AC12" s="203">
        <f>VLOOKUP($D12,'7. PGE_Efficacité'!$A$6:$CY$266,(MATCH('4.2 ACE EFF WOL'!AC$4,'7. PGE_Efficacité'!$A$4:$AO$4,0)+62),0)</f>
        <v>0</v>
      </c>
      <c r="AD12" s="203">
        <f>VLOOKUP($D12,'7. PGE_Efficacité'!$A$6:$CY$266,(MATCH('4.2 ACE EFF WOL'!AD$4,'7. PGE_Efficacité'!$A$4:$AO$4,0)+62),0)</f>
        <v>0</v>
      </c>
      <c r="AE12" s="203">
        <f>VLOOKUP($D12,'7. PGE_Efficacité'!$A$6:$CY$266,(MATCH('4.2 ACE EFF WOL'!AE$4,'7. PGE_Efficacité'!$A$4:$AO$4,0)+62),0)</f>
        <v>0</v>
      </c>
      <c r="AF12" s="203">
        <f>VLOOKUP($D12,'7. PGE_Efficacité'!$A$6:$CY$266,(MATCH('4.2 ACE EFF WOL'!AF$4,'7. PGE_Efficacité'!$A$4:$AO$4,0)+62),0)</f>
        <v>0</v>
      </c>
      <c r="AG12" s="203">
        <f>VLOOKUP($D12,'7. PGE_Efficacité'!$A$6:$CY$266,(MATCH('4.2 ACE EFF WOL'!AG$4,'7. PGE_Efficacité'!$A$4:$AO$4,0)+62),0)</f>
        <v>0</v>
      </c>
      <c r="AH12" s="203">
        <f>VLOOKUP($D12,'7. PGE_Efficacité'!$A$6:$CY$266,(MATCH('4.2 ACE EFF WOL'!AH$4,'7. PGE_Efficacité'!$A$4:$AO$4,0)+62),0)</f>
        <v>0</v>
      </c>
      <c r="AI12" s="203">
        <f>VLOOKUP($D12,'7. PGE_Efficacité'!$A$6:$CY$266,(MATCH('4.2 ACE EFF WOL'!AI$4,'7. PGE_Efficacité'!$A$4:$AO$4,0)+62),0)</f>
        <v>0</v>
      </c>
      <c r="AJ12" s="203">
        <f>VLOOKUP($D12,'7. PGE_Efficacité'!$A$6:$CY$266,(MATCH('4.2 ACE EFF WOL'!AJ$4,'7. PGE_Efficacité'!$A$4:$AO$4,0)+62),0)</f>
        <v>0</v>
      </c>
      <c r="AK12" s="203">
        <f>VLOOKUP($D12,'7. PGE_Efficacité'!$A$6:$CY$266,(MATCH('4.2 ACE EFF WOL'!AK$4,'7. PGE_Efficacité'!$A$4:$AO$4,0)+62),0)</f>
        <v>0</v>
      </c>
      <c r="AL12" s="203">
        <f>VLOOKUP($D12,'7. PGE_Efficacité'!$A$6:$CY$266,(MATCH('4.2 ACE EFF WOL'!AL$4,'7. PGE_Efficacité'!$A$4:$AO$4,0)+62),0)</f>
        <v>0</v>
      </c>
      <c r="AM12" s="203">
        <f>VLOOKUP($D12,'7. PGE_Efficacité'!$A$6:$CY$266,(MATCH('4.2 ACE EFF WOL'!AM$4,'7. PGE_Efficacité'!$A$4:$AO$4,0)+62),0)</f>
        <v>0</v>
      </c>
      <c r="AN12" s="203">
        <f>VLOOKUP($D12,'7. PGE_Efficacité'!$A$6:$CY$266,(MATCH('4.2 ACE EFF WOL'!AN$4,'7. PGE_Efficacité'!$A$4:$AO$4,0)+62),0)</f>
        <v>0</v>
      </c>
    </row>
    <row r="13" spans="1:40" hidden="1" outlineLevel="2" x14ac:dyDescent="0.25">
      <c r="A13" s="48"/>
      <c r="B13" s="49"/>
      <c r="C13" s="48"/>
      <c r="D13" s="199" t="s">
        <v>1</v>
      </c>
      <c r="E13" s="200" t="s">
        <v>705</v>
      </c>
      <c r="F13" s="200" t="s">
        <v>1365</v>
      </c>
      <c r="G13" s="201" t="s">
        <v>1520</v>
      </c>
      <c r="H13" s="200" t="s">
        <v>416</v>
      </c>
      <c r="I13" s="202">
        <v>90000</v>
      </c>
      <c r="J13" s="139">
        <f>VLOOKUP($E13,'7. PGE_Efficacité'!$A$6:$CY$266,(MATCH('4.2 ACE EFF WOL'!J$4,'7. PGE_Efficacité'!$A$4:$AO$4,0)+62),0)</f>
        <v>0</v>
      </c>
      <c r="K13" s="139">
        <f>VLOOKUP($E13,'7. PGE_Efficacité'!$A$6:$CY$266,(MATCH('4.2 ACE EFF WOL'!K$4,'7. PGE_Efficacité'!$A$4:$AO$4,0)+62),0)</f>
        <v>0</v>
      </c>
      <c r="L13" s="139">
        <f>VLOOKUP($E13,'7. PGE_Efficacité'!$A$6:$CY$266,(MATCH('4.2 ACE EFF WOL'!L$4,'7. PGE_Efficacité'!$A$4:$AO$4,0)+62),0)</f>
        <v>0</v>
      </c>
      <c r="M13" s="139">
        <f>VLOOKUP($E13,'7. PGE_Efficacité'!$A$6:$CY$266,(MATCH('4.2 ACE EFF WOL'!M$4,'7. PGE_Efficacité'!$A$4:$AO$4,0)+62),0)</f>
        <v>0</v>
      </c>
      <c r="N13" s="139">
        <f>VLOOKUP($E13,'7. PGE_Efficacité'!$A$6:$CY$266,(MATCH('4.2 ACE EFF WOL'!N$4,'7. PGE_Efficacité'!$A$4:$AO$4,0)+62),0)</f>
        <v>0</v>
      </c>
      <c r="O13" s="139">
        <f>VLOOKUP($E13,'7. PGE_Efficacité'!$A$6:$CY$266,78,0)</f>
        <v>0</v>
      </c>
      <c r="P13" s="139">
        <f>VLOOKUP($E13,'7. PGE_Efficacité'!$A$6:$CY$266,(MATCH('4.2 ACE EFF WOL'!P$4,'7. PGE_Efficacité'!$A$4:$AO$4,0)+62),0)</f>
        <v>0</v>
      </c>
      <c r="Q13" s="139">
        <f>VLOOKUP($E13,'7. PGE_Efficacité'!$A$6:$CY$266,(MATCH('4.2 ACE EFF WOL'!Q$4,'7. PGE_Efficacité'!$A$4:$AO$4,0)+62),0)</f>
        <v>0</v>
      </c>
      <c r="R13" s="139">
        <f>VLOOKUP($E13,'7. PGE_Efficacité'!$A$6:$CY$266,(MATCH('4.2 ACE EFF WOL'!R$4,'7. PGE_Efficacité'!$A$4:$AO$4,0)+62),0)</f>
        <v>0</v>
      </c>
      <c r="S13" s="139">
        <f>VLOOKUP($E13,'7. PGE_Efficacité'!$A$6:$CY$266,(MATCH('4.2 ACE EFF WOL'!S$4,'7. PGE_Efficacité'!$A$4:$AO$4,0)+62),0)</f>
        <v>0</v>
      </c>
      <c r="T13" s="139">
        <f>VLOOKUP($E13,'7. PGE_Efficacité'!$A$6:$CY$266,(MATCH('4.2 ACE EFF WOL'!T$4,'7. PGE_Efficacité'!$A$4:$AO$4,0)+62),0)</f>
        <v>0</v>
      </c>
      <c r="U13" s="139">
        <f>VLOOKUP($E13,'7. PGE_Efficacité'!$A$6:$CY$266,(MATCH('4.2 ACE EFF WOL'!U$4,'7. PGE_Efficacité'!$A$4:$AO$4,0)+62),0)</f>
        <v>0</v>
      </c>
      <c r="V13" s="139">
        <f>VLOOKUP($E13,'7. PGE_Efficacité'!$A$6:$CY$266,(MATCH('4.2 ACE EFF WOL'!V$4,'7. PGE_Efficacité'!$A$4:$AO$4,0)+62),0)</f>
        <v>0</v>
      </c>
      <c r="W13" s="139">
        <f>VLOOKUP($E13,'7. PGE_Efficacité'!$A$6:$CY$266,(MATCH('4.2 ACE EFF WOL'!W$4,'7. PGE_Efficacité'!$A$4:$AO$4,0)+62),0)</f>
        <v>0</v>
      </c>
      <c r="X13" s="139">
        <f>VLOOKUP($E13,'7. PGE_Efficacité'!$A$6:$CY$266,(MATCH('4.2 ACE EFF WOL'!X$4,'7. PGE_Efficacité'!$A$4:$AO$4,0)+62),0)</f>
        <v>0</v>
      </c>
      <c r="Y13" s="139">
        <f>VLOOKUP($E13,'7. PGE_Efficacité'!$A$6:$CY$266,(MATCH('4.2 ACE EFF WOL'!Y$4,'7. PGE_Efficacité'!$A$4:$AO$4,0)+62),0)</f>
        <v>0</v>
      </c>
      <c r="Z13" s="139">
        <f>VLOOKUP($E13,'7. PGE_Efficacité'!$A$6:$CY$266,(MATCH('4.2 ACE EFF WOL'!Z$4,'7. PGE_Efficacité'!$A$4:$AO$4,0)+62),0)</f>
        <v>0</v>
      </c>
      <c r="AA13" s="139">
        <f>VLOOKUP($E13,'7. PGE_Efficacité'!$A$6:$CY$266,(MATCH('4.2 ACE EFF WOL'!AA$4,'7. PGE_Efficacité'!$A$4:$AO$4,0)+62),0)</f>
        <v>0</v>
      </c>
      <c r="AB13" s="139">
        <f>VLOOKUP($E13,'7. PGE_Efficacité'!$A$6:$CY$266,(MATCH('4.2 ACE EFF WOL'!AB$4,'7. PGE_Efficacité'!$A$4:$AO$4,0)+62),0)</f>
        <v>0</v>
      </c>
      <c r="AC13" s="139">
        <f>VLOOKUP($E13,'7. PGE_Efficacité'!$A$6:$CY$266,(MATCH('4.2 ACE EFF WOL'!AC$4,'7. PGE_Efficacité'!$A$4:$AO$4,0)+62),0)</f>
        <v>0</v>
      </c>
      <c r="AD13" s="139">
        <f>VLOOKUP($E13,'7. PGE_Efficacité'!$A$6:$CY$266,(MATCH('4.2 ACE EFF WOL'!AD$4,'7. PGE_Efficacité'!$A$4:$AO$4,0)+62),0)</f>
        <v>0</v>
      </c>
      <c r="AE13" s="139">
        <f>VLOOKUP($E13,'7. PGE_Efficacité'!$A$6:$CY$266,(MATCH('4.2 ACE EFF WOL'!AE$4,'7. PGE_Efficacité'!$A$4:$AO$4,0)+62),0)</f>
        <v>0</v>
      </c>
      <c r="AF13" s="139">
        <f>VLOOKUP($E13,'7. PGE_Efficacité'!$A$6:$CY$266,(MATCH('4.2 ACE EFF WOL'!AF$4,'7. PGE_Efficacité'!$A$4:$AO$4,0)+62),0)</f>
        <v>0</v>
      </c>
      <c r="AG13" s="139">
        <f>VLOOKUP($E13,'7. PGE_Efficacité'!$A$6:$CY$266,(MATCH('4.2 ACE EFF WOL'!AG$4,'7. PGE_Efficacité'!$A$4:$AO$4,0)+62),0)</f>
        <v>0</v>
      </c>
      <c r="AH13" s="139">
        <f>VLOOKUP($E13,'7. PGE_Efficacité'!$A$6:$CY$266,(MATCH('4.2 ACE EFF WOL'!AH$4,'7. PGE_Efficacité'!$A$4:$AO$4,0)+62),0)</f>
        <v>0</v>
      </c>
      <c r="AI13" s="139">
        <f>VLOOKUP($E13,'7. PGE_Efficacité'!$A$6:$CY$266,(MATCH('4.2 ACE EFF WOL'!AI$4,'7. PGE_Efficacité'!$A$4:$AO$4,0)+62),0)</f>
        <v>0</v>
      </c>
      <c r="AJ13" s="139">
        <f>VLOOKUP($E13,'7. PGE_Efficacité'!$A$6:$CY$266,(MATCH('4.2 ACE EFF WOL'!AJ$4,'7. PGE_Efficacité'!$A$4:$AO$4,0)+62),0)</f>
        <v>0</v>
      </c>
      <c r="AK13" s="139">
        <f>VLOOKUP($E13,'7. PGE_Efficacité'!$A$6:$CY$266,(MATCH('4.2 ACE EFF WOL'!AK$4,'7. PGE_Efficacité'!$A$4:$AO$4,0)+62),0)</f>
        <v>0</v>
      </c>
      <c r="AL13" s="139">
        <f>VLOOKUP($E13,'7. PGE_Efficacité'!$A$6:$CY$266,(MATCH('4.2 ACE EFF WOL'!AL$4,'7. PGE_Efficacité'!$A$4:$AO$4,0)+62),0)</f>
        <v>0</v>
      </c>
      <c r="AM13" s="139">
        <f>VLOOKUP($E13,'7. PGE_Efficacité'!$A$6:$CY$266,(MATCH('4.2 ACE EFF WOL'!AM$4,'7. PGE_Efficacité'!$A$4:$AO$4,0)+62),0)</f>
        <v>0</v>
      </c>
      <c r="AN13" s="139">
        <f>VLOOKUP($E13,'7. PGE_Efficacité'!$A$6:$CY$266,(MATCH('4.2 ACE EFF WOL'!AN$4,'7. PGE_Efficacité'!$A$4:$AO$4,0)+62),0)</f>
        <v>0</v>
      </c>
    </row>
    <row r="14" spans="1:40" hidden="1" outlineLevel="2" x14ac:dyDescent="0.25">
      <c r="A14" s="48" t="s">
        <v>1524</v>
      </c>
      <c r="B14" s="49">
        <v>2</v>
      </c>
      <c r="C14" s="48" t="s">
        <v>1506</v>
      </c>
      <c r="D14" s="199" t="s">
        <v>1</v>
      </c>
      <c r="E14" s="200" t="s">
        <v>706</v>
      </c>
      <c r="F14" s="200" t="s">
        <v>1366</v>
      </c>
      <c r="G14" s="201" t="s">
        <v>1520</v>
      </c>
      <c r="H14" s="200" t="s">
        <v>416</v>
      </c>
      <c r="I14" s="202">
        <v>600000</v>
      </c>
      <c r="J14" s="139">
        <f>VLOOKUP($E14,'7. PGE_Efficacité'!$A$6:$CY$266,(MATCH('4.2 ACE EFF WOL'!J$4,'7. PGE_Efficacité'!$A$4:$AO$4,0)+62),0)</f>
        <v>0</v>
      </c>
      <c r="K14" s="139">
        <f>VLOOKUP($E14,'7. PGE_Efficacité'!$A$6:$CY$266,(MATCH('4.2 ACE EFF WOL'!K$4,'7. PGE_Efficacité'!$A$4:$AO$4,0)+62),0)</f>
        <v>0</v>
      </c>
      <c r="L14" s="139">
        <f>VLOOKUP($E14,'7. PGE_Efficacité'!$A$6:$CY$266,(MATCH('4.2 ACE EFF WOL'!L$4,'7. PGE_Efficacité'!$A$4:$AO$4,0)+62),0)</f>
        <v>0</v>
      </c>
      <c r="M14" s="139">
        <f>VLOOKUP($E14,'7. PGE_Efficacité'!$A$6:$CY$266,(MATCH('4.2 ACE EFF WOL'!M$4,'7. PGE_Efficacité'!$A$4:$AO$4,0)+62),0)</f>
        <v>0</v>
      </c>
      <c r="N14" s="139">
        <f>VLOOKUP($E14,'7. PGE_Efficacité'!$A$6:$CY$266,(MATCH('4.2 ACE EFF WOL'!N$4,'7. PGE_Efficacité'!$A$4:$AO$4,0)+62),0)</f>
        <v>0</v>
      </c>
      <c r="O14" s="139">
        <f>VLOOKUP($E14,'7. PGE_Efficacité'!$A$6:$CY$266,78,0)</f>
        <v>0</v>
      </c>
      <c r="P14" s="139">
        <f>VLOOKUP($E14,'7. PGE_Efficacité'!$A$6:$CY$266,(MATCH('4.2 ACE EFF WOL'!P$4,'7. PGE_Efficacité'!$A$4:$AO$4,0)+62),0)</f>
        <v>0</v>
      </c>
      <c r="Q14" s="139">
        <f>VLOOKUP($E14,'7. PGE_Efficacité'!$A$6:$CY$266,(MATCH('4.2 ACE EFF WOL'!Q$4,'7. PGE_Efficacité'!$A$4:$AO$4,0)+62),0)</f>
        <v>0</v>
      </c>
      <c r="R14" s="139">
        <f>VLOOKUP($E14,'7. PGE_Efficacité'!$A$6:$CY$266,(MATCH('4.2 ACE EFF WOL'!R$4,'7. PGE_Efficacité'!$A$4:$AO$4,0)+62),0)</f>
        <v>0</v>
      </c>
      <c r="S14" s="139">
        <f>VLOOKUP($E14,'7. PGE_Efficacité'!$A$6:$CY$266,(MATCH('4.2 ACE EFF WOL'!S$4,'7. PGE_Efficacité'!$A$4:$AO$4,0)+62),0)</f>
        <v>0</v>
      </c>
      <c r="T14" s="139">
        <f>VLOOKUP($E14,'7. PGE_Efficacité'!$A$6:$CY$266,(MATCH('4.2 ACE EFF WOL'!T$4,'7. PGE_Efficacité'!$A$4:$AO$4,0)+62),0)</f>
        <v>0</v>
      </c>
      <c r="U14" s="139">
        <f>VLOOKUP($E14,'7. PGE_Efficacité'!$A$6:$CY$266,(MATCH('4.2 ACE EFF WOL'!U$4,'7. PGE_Efficacité'!$A$4:$AO$4,0)+62),0)</f>
        <v>0</v>
      </c>
      <c r="V14" s="139">
        <f>VLOOKUP($E14,'7. PGE_Efficacité'!$A$6:$CY$266,(MATCH('4.2 ACE EFF WOL'!V$4,'7. PGE_Efficacité'!$A$4:$AO$4,0)+62),0)</f>
        <v>0</v>
      </c>
      <c r="W14" s="139">
        <f>VLOOKUP($E14,'7. PGE_Efficacité'!$A$6:$CY$266,(MATCH('4.2 ACE EFF WOL'!W$4,'7. PGE_Efficacité'!$A$4:$AO$4,0)+62),0)</f>
        <v>0</v>
      </c>
      <c r="X14" s="139">
        <f>VLOOKUP($E14,'7. PGE_Efficacité'!$A$6:$CY$266,(MATCH('4.2 ACE EFF WOL'!X$4,'7. PGE_Efficacité'!$A$4:$AO$4,0)+62),0)</f>
        <v>0</v>
      </c>
      <c r="Y14" s="139">
        <f>VLOOKUP($E14,'7. PGE_Efficacité'!$A$6:$CY$266,(MATCH('4.2 ACE EFF WOL'!Y$4,'7. PGE_Efficacité'!$A$4:$AO$4,0)+62),0)</f>
        <v>0</v>
      </c>
      <c r="Z14" s="139">
        <f>VLOOKUP($E14,'7. PGE_Efficacité'!$A$6:$CY$266,(MATCH('4.2 ACE EFF WOL'!Z$4,'7. PGE_Efficacité'!$A$4:$AO$4,0)+62),0)</f>
        <v>0</v>
      </c>
      <c r="AA14" s="139">
        <f>VLOOKUP($E14,'7. PGE_Efficacité'!$A$6:$CY$266,(MATCH('4.2 ACE EFF WOL'!AA$4,'7. PGE_Efficacité'!$A$4:$AO$4,0)+62),0)</f>
        <v>0</v>
      </c>
      <c r="AB14" s="139">
        <f>VLOOKUP($E14,'7. PGE_Efficacité'!$A$6:$CY$266,(MATCH('4.2 ACE EFF WOL'!AB$4,'7. PGE_Efficacité'!$A$4:$AO$4,0)+62),0)</f>
        <v>0</v>
      </c>
      <c r="AC14" s="139">
        <f>VLOOKUP($E14,'7. PGE_Efficacité'!$A$6:$CY$266,(MATCH('4.2 ACE EFF WOL'!AC$4,'7. PGE_Efficacité'!$A$4:$AO$4,0)+62),0)</f>
        <v>0</v>
      </c>
      <c r="AD14" s="139">
        <f>VLOOKUP($E14,'7. PGE_Efficacité'!$A$6:$CY$266,(MATCH('4.2 ACE EFF WOL'!AD$4,'7. PGE_Efficacité'!$A$4:$AO$4,0)+62),0)</f>
        <v>0</v>
      </c>
      <c r="AE14" s="139">
        <f>VLOOKUP($E14,'7. PGE_Efficacité'!$A$6:$CY$266,(MATCH('4.2 ACE EFF WOL'!AE$4,'7. PGE_Efficacité'!$A$4:$AO$4,0)+62),0)</f>
        <v>0</v>
      </c>
      <c r="AF14" s="139">
        <f>VLOOKUP($E14,'7. PGE_Efficacité'!$A$6:$CY$266,(MATCH('4.2 ACE EFF WOL'!AF$4,'7. PGE_Efficacité'!$A$4:$AO$4,0)+62),0)</f>
        <v>0</v>
      </c>
      <c r="AG14" s="139">
        <f>VLOOKUP($E14,'7. PGE_Efficacité'!$A$6:$CY$266,(MATCH('4.2 ACE EFF WOL'!AG$4,'7. PGE_Efficacité'!$A$4:$AO$4,0)+62),0)</f>
        <v>0</v>
      </c>
      <c r="AH14" s="139">
        <f>VLOOKUP($E14,'7. PGE_Efficacité'!$A$6:$CY$266,(MATCH('4.2 ACE EFF WOL'!AH$4,'7. PGE_Efficacité'!$A$4:$AO$4,0)+62),0)</f>
        <v>0</v>
      </c>
      <c r="AI14" s="139">
        <f>VLOOKUP($E14,'7. PGE_Efficacité'!$A$6:$CY$266,(MATCH('4.2 ACE EFF WOL'!AI$4,'7. PGE_Efficacité'!$A$4:$AO$4,0)+62),0)</f>
        <v>0</v>
      </c>
      <c r="AJ14" s="139">
        <f>VLOOKUP($E14,'7. PGE_Efficacité'!$A$6:$CY$266,(MATCH('4.2 ACE EFF WOL'!AJ$4,'7. PGE_Efficacité'!$A$4:$AO$4,0)+62),0)</f>
        <v>0</v>
      </c>
      <c r="AK14" s="139">
        <f>VLOOKUP($E14,'7. PGE_Efficacité'!$A$6:$CY$266,(MATCH('4.2 ACE EFF WOL'!AK$4,'7. PGE_Efficacité'!$A$4:$AO$4,0)+62),0)</f>
        <v>0</v>
      </c>
      <c r="AL14" s="139">
        <f>VLOOKUP($E14,'7. PGE_Efficacité'!$A$6:$CY$266,(MATCH('4.2 ACE EFF WOL'!AL$4,'7. PGE_Efficacité'!$A$4:$AO$4,0)+62),0)</f>
        <v>0</v>
      </c>
      <c r="AM14" s="139">
        <f>VLOOKUP($E14,'7. PGE_Efficacité'!$A$6:$CY$266,(MATCH('4.2 ACE EFF WOL'!AM$4,'7. PGE_Efficacité'!$A$4:$AO$4,0)+62),0)</f>
        <v>0</v>
      </c>
      <c r="AN14" s="139">
        <f>VLOOKUP($E14,'7. PGE_Efficacité'!$A$6:$CY$266,(MATCH('4.2 ACE EFF WOL'!AN$4,'7. PGE_Efficacité'!$A$4:$AO$4,0)+62),0)</f>
        <v>0</v>
      </c>
    </row>
    <row r="15" spans="1:40" hidden="1" outlineLevel="2" x14ac:dyDescent="0.25">
      <c r="A15" s="48" t="s">
        <v>1524</v>
      </c>
      <c r="B15" s="49">
        <v>2</v>
      </c>
      <c r="C15" s="48" t="s">
        <v>1515</v>
      </c>
      <c r="D15" s="199" t="s">
        <v>1</v>
      </c>
      <c r="E15" s="200" t="s">
        <v>707</v>
      </c>
      <c r="F15" s="200" t="s">
        <v>1367</v>
      </c>
      <c r="G15" s="201" t="s">
        <v>1520</v>
      </c>
      <c r="H15" s="200" t="s">
        <v>416</v>
      </c>
      <c r="I15" s="202">
        <v>0</v>
      </c>
      <c r="J15" s="139">
        <f>VLOOKUP($E15,'7. PGE_Efficacité'!$A$6:$CY$266,(MATCH('4.2 ACE EFF WOL'!J$4,'7. PGE_Efficacité'!$A$4:$AO$4,0)+62),0)</f>
        <v>0</v>
      </c>
      <c r="K15" s="139">
        <f>VLOOKUP($E15,'7. PGE_Efficacité'!$A$6:$CY$266,(MATCH('4.2 ACE EFF WOL'!K$4,'7. PGE_Efficacité'!$A$4:$AO$4,0)+62),0)</f>
        <v>0</v>
      </c>
      <c r="L15" s="139">
        <f>VLOOKUP($E15,'7. PGE_Efficacité'!$A$6:$CY$266,(MATCH('4.2 ACE EFF WOL'!L$4,'7. PGE_Efficacité'!$A$4:$AO$4,0)+62),0)</f>
        <v>0</v>
      </c>
      <c r="M15" s="139">
        <f>VLOOKUP($E15,'7. PGE_Efficacité'!$A$6:$CY$266,(MATCH('4.2 ACE EFF WOL'!M$4,'7. PGE_Efficacité'!$A$4:$AO$4,0)+62),0)</f>
        <v>0</v>
      </c>
      <c r="N15" s="139">
        <f>VLOOKUP($E15,'7. PGE_Efficacité'!$A$6:$CY$266,(MATCH('4.2 ACE EFF WOL'!N$4,'7. PGE_Efficacité'!$A$4:$AO$4,0)+62),0)</f>
        <v>0</v>
      </c>
      <c r="O15" s="139">
        <f>VLOOKUP($E15,'7. PGE_Efficacité'!$A$6:$CY$266,78,0)</f>
        <v>0</v>
      </c>
      <c r="P15" s="139">
        <f>VLOOKUP($E15,'7. PGE_Efficacité'!$A$6:$CY$266,(MATCH('4.2 ACE EFF WOL'!P$4,'7. PGE_Efficacité'!$A$4:$AO$4,0)+62),0)</f>
        <v>0</v>
      </c>
      <c r="Q15" s="139">
        <f>VLOOKUP($E15,'7. PGE_Efficacité'!$A$6:$CY$266,(MATCH('4.2 ACE EFF WOL'!Q$4,'7. PGE_Efficacité'!$A$4:$AO$4,0)+62),0)</f>
        <v>0</v>
      </c>
      <c r="R15" s="139">
        <f>VLOOKUP($E15,'7. PGE_Efficacité'!$A$6:$CY$266,(MATCH('4.2 ACE EFF WOL'!R$4,'7. PGE_Efficacité'!$A$4:$AO$4,0)+62),0)</f>
        <v>0</v>
      </c>
      <c r="S15" s="139">
        <f>VLOOKUP($E15,'7. PGE_Efficacité'!$A$6:$CY$266,(MATCH('4.2 ACE EFF WOL'!S$4,'7. PGE_Efficacité'!$A$4:$AO$4,0)+62),0)</f>
        <v>0</v>
      </c>
      <c r="T15" s="139">
        <f>VLOOKUP($E15,'7. PGE_Efficacité'!$A$6:$CY$266,(MATCH('4.2 ACE EFF WOL'!T$4,'7. PGE_Efficacité'!$A$4:$AO$4,0)+62),0)</f>
        <v>0</v>
      </c>
      <c r="U15" s="139">
        <f>VLOOKUP($E15,'7. PGE_Efficacité'!$A$6:$CY$266,(MATCH('4.2 ACE EFF WOL'!U$4,'7. PGE_Efficacité'!$A$4:$AO$4,0)+62),0)</f>
        <v>0</v>
      </c>
      <c r="V15" s="139">
        <f>VLOOKUP($E15,'7. PGE_Efficacité'!$A$6:$CY$266,(MATCH('4.2 ACE EFF WOL'!V$4,'7. PGE_Efficacité'!$A$4:$AO$4,0)+62),0)</f>
        <v>0</v>
      </c>
      <c r="W15" s="139">
        <f>VLOOKUP($E15,'7. PGE_Efficacité'!$A$6:$CY$266,(MATCH('4.2 ACE EFF WOL'!W$4,'7. PGE_Efficacité'!$A$4:$AO$4,0)+62),0)</f>
        <v>0</v>
      </c>
      <c r="X15" s="139">
        <f>VLOOKUP($E15,'7. PGE_Efficacité'!$A$6:$CY$266,(MATCH('4.2 ACE EFF WOL'!X$4,'7. PGE_Efficacité'!$A$4:$AO$4,0)+62),0)</f>
        <v>0</v>
      </c>
      <c r="Y15" s="139">
        <f>VLOOKUP($E15,'7. PGE_Efficacité'!$A$6:$CY$266,(MATCH('4.2 ACE EFF WOL'!Y$4,'7. PGE_Efficacité'!$A$4:$AO$4,0)+62),0)</f>
        <v>0</v>
      </c>
      <c r="Z15" s="139">
        <f>VLOOKUP($E15,'7. PGE_Efficacité'!$A$6:$CY$266,(MATCH('4.2 ACE EFF WOL'!Z$4,'7. PGE_Efficacité'!$A$4:$AO$4,0)+62),0)</f>
        <v>0</v>
      </c>
      <c r="AA15" s="139">
        <f>VLOOKUP($E15,'7. PGE_Efficacité'!$A$6:$CY$266,(MATCH('4.2 ACE EFF WOL'!AA$4,'7. PGE_Efficacité'!$A$4:$AO$4,0)+62),0)</f>
        <v>0</v>
      </c>
      <c r="AB15" s="139">
        <f>VLOOKUP($E15,'7. PGE_Efficacité'!$A$6:$CY$266,(MATCH('4.2 ACE EFF WOL'!AB$4,'7. PGE_Efficacité'!$A$4:$AO$4,0)+62),0)</f>
        <v>0</v>
      </c>
      <c r="AC15" s="139">
        <f>VLOOKUP($E15,'7. PGE_Efficacité'!$A$6:$CY$266,(MATCH('4.2 ACE EFF WOL'!AC$4,'7. PGE_Efficacité'!$A$4:$AO$4,0)+62),0)</f>
        <v>0</v>
      </c>
      <c r="AD15" s="139">
        <f>VLOOKUP($E15,'7. PGE_Efficacité'!$A$6:$CY$266,(MATCH('4.2 ACE EFF WOL'!AD$4,'7. PGE_Efficacité'!$A$4:$AO$4,0)+62),0)</f>
        <v>0</v>
      </c>
      <c r="AE15" s="139">
        <f>VLOOKUP($E15,'7. PGE_Efficacité'!$A$6:$CY$266,(MATCH('4.2 ACE EFF WOL'!AE$4,'7. PGE_Efficacité'!$A$4:$AO$4,0)+62),0)</f>
        <v>0</v>
      </c>
      <c r="AF15" s="139">
        <f>VLOOKUP($E15,'7. PGE_Efficacité'!$A$6:$CY$266,(MATCH('4.2 ACE EFF WOL'!AF$4,'7. PGE_Efficacité'!$A$4:$AO$4,0)+62),0)</f>
        <v>0</v>
      </c>
      <c r="AG15" s="139">
        <f>VLOOKUP($E15,'7. PGE_Efficacité'!$A$6:$CY$266,(MATCH('4.2 ACE EFF WOL'!AG$4,'7. PGE_Efficacité'!$A$4:$AO$4,0)+62),0)</f>
        <v>0</v>
      </c>
      <c r="AH15" s="139">
        <f>VLOOKUP($E15,'7. PGE_Efficacité'!$A$6:$CY$266,(MATCH('4.2 ACE EFF WOL'!AH$4,'7. PGE_Efficacité'!$A$4:$AO$4,0)+62),0)</f>
        <v>0</v>
      </c>
      <c r="AI15" s="139">
        <f>VLOOKUP($E15,'7. PGE_Efficacité'!$A$6:$CY$266,(MATCH('4.2 ACE EFF WOL'!AI$4,'7. PGE_Efficacité'!$A$4:$AO$4,0)+62),0)</f>
        <v>0</v>
      </c>
      <c r="AJ15" s="139">
        <f>VLOOKUP($E15,'7. PGE_Efficacité'!$A$6:$CY$266,(MATCH('4.2 ACE EFF WOL'!AJ$4,'7. PGE_Efficacité'!$A$4:$AO$4,0)+62),0)</f>
        <v>0</v>
      </c>
      <c r="AK15" s="139">
        <f>VLOOKUP($E15,'7. PGE_Efficacité'!$A$6:$CY$266,(MATCH('4.2 ACE EFF WOL'!AK$4,'7. PGE_Efficacité'!$A$4:$AO$4,0)+62),0)</f>
        <v>0</v>
      </c>
      <c r="AL15" s="139">
        <f>VLOOKUP($E15,'7. PGE_Efficacité'!$A$6:$CY$266,(MATCH('4.2 ACE EFF WOL'!AL$4,'7. PGE_Efficacité'!$A$4:$AO$4,0)+62),0)</f>
        <v>0</v>
      </c>
      <c r="AM15" s="139">
        <f>VLOOKUP($E15,'7. PGE_Efficacité'!$A$6:$CY$266,(MATCH('4.2 ACE EFF WOL'!AM$4,'7. PGE_Efficacité'!$A$4:$AO$4,0)+62),0)</f>
        <v>0</v>
      </c>
      <c r="AN15" s="139">
        <f>VLOOKUP($E15,'7. PGE_Efficacité'!$A$6:$CY$266,(MATCH('4.2 ACE EFF WOL'!AN$4,'7. PGE_Efficacité'!$A$4:$AO$4,0)+62),0)</f>
        <v>0</v>
      </c>
    </row>
    <row r="16" spans="1:40" hidden="1" outlineLevel="2" x14ac:dyDescent="0.25">
      <c r="A16" s="48" t="s">
        <v>1524</v>
      </c>
      <c r="B16" s="49">
        <v>2</v>
      </c>
      <c r="C16" s="48" t="s">
        <v>1507</v>
      </c>
      <c r="D16" s="199" t="s">
        <v>1</v>
      </c>
      <c r="E16" s="200" t="s">
        <v>708</v>
      </c>
      <c r="F16" s="200" t="s">
        <v>1368</v>
      </c>
      <c r="G16" s="201" t="s">
        <v>1520</v>
      </c>
      <c r="H16" s="200" t="s">
        <v>416</v>
      </c>
      <c r="I16" s="202">
        <v>0</v>
      </c>
      <c r="J16" s="139">
        <f>VLOOKUP($E16,'7. PGE_Efficacité'!$A$6:$CY$266,(MATCH('4.2 ACE EFF WOL'!J$4,'7. PGE_Efficacité'!$A$4:$AO$4,0)+62),0)</f>
        <v>0</v>
      </c>
      <c r="K16" s="139">
        <f>VLOOKUP($E16,'7. PGE_Efficacité'!$A$6:$CY$266,(MATCH('4.2 ACE EFF WOL'!K$4,'7. PGE_Efficacité'!$A$4:$AO$4,0)+62),0)</f>
        <v>0</v>
      </c>
      <c r="L16" s="139">
        <f>VLOOKUP($E16,'7. PGE_Efficacité'!$A$6:$CY$266,(MATCH('4.2 ACE EFF WOL'!L$4,'7. PGE_Efficacité'!$A$4:$AO$4,0)+62),0)</f>
        <v>0</v>
      </c>
      <c r="M16" s="139">
        <f>VLOOKUP($E16,'7. PGE_Efficacité'!$A$6:$CY$266,(MATCH('4.2 ACE EFF WOL'!M$4,'7. PGE_Efficacité'!$A$4:$AO$4,0)+62),0)</f>
        <v>0</v>
      </c>
      <c r="N16" s="139">
        <f>VLOOKUP($E16,'7. PGE_Efficacité'!$A$6:$CY$266,(MATCH('4.2 ACE EFF WOL'!N$4,'7. PGE_Efficacité'!$A$4:$AO$4,0)+62),0)</f>
        <v>0</v>
      </c>
      <c r="O16" s="139">
        <f>VLOOKUP($E16,'7. PGE_Efficacité'!$A$6:$CY$266,78,0)</f>
        <v>0</v>
      </c>
      <c r="P16" s="139">
        <f>VLOOKUP($E16,'7. PGE_Efficacité'!$A$6:$CY$266,(MATCH('4.2 ACE EFF WOL'!P$4,'7. PGE_Efficacité'!$A$4:$AO$4,0)+62),0)</f>
        <v>0</v>
      </c>
      <c r="Q16" s="139">
        <f>VLOOKUP($E16,'7. PGE_Efficacité'!$A$6:$CY$266,(MATCH('4.2 ACE EFF WOL'!Q$4,'7. PGE_Efficacité'!$A$4:$AO$4,0)+62),0)</f>
        <v>0</v>
      </c>
      <c r="R16" s="139">
        <f>VLOOKUP($E16,'7. PGE_Efficacité'!$A$6:$CY$266,(MATCH('4.2 ACE EFF WOL'!R$4,'7. PGE_Efficacité'!$A$4:$AO$4,0)+62),0)</f>
        <v>0</v>
      </c>
      <c r="S16" s="139">
        <f>VLOOKUP($E16,'7. PGE_Efficacité'!$A$6:$CY$266,(MATCH('4.2 ACE EFF WOL'!S$4,'7. PGE_Efficacité'!$A$4:$AO$4,0)+62),0)</f>
        <v>0</v>
      </c>
      <c r="T16" s="139">
        <f>VLOOKUP($E16,'7. PGE_Efficacité'!$A$6:$CY$266,(MATCH('4.2 ACE EFF WOL'!T$4,'7. PGE_Efficacité'!$A$4:$AO$4,0)+62),0)</f>
        <v>0</v>
      </c>
      <c r="U16" s="139">
        <f>VLOOKUP($E16,'7. PGE_Efficacité'!$A$6:$CY$266,(MATCH('4.2 ACE EFF WOL'!U$4,'7. PGE_Efficacité'!$A$4:$AO$4,0)+62),0)</f>
        <v>0</v>
      </c>
      <c r="V16" s="139">
        <f>VLOOKUP($E16,'7. PGE_Efficacité'!$A$6:$CY$266,(MATCH('4.2 ACE EFF WOL'!V$4,'7. PGE_Efficacité'!$A$4:$AO$4,0)+62),0)</f>
        <v>0</v>
      </c>
      <c r="W16" s="139">
        <f>VLOOKUP($E16,'7. PGE_Efficacité'!$A$6:$CY$266,(MATCH('4.2 ACE EFF WOL'!W$4,'7. PGE_Efficacité'!$A$4:$AO$4,0)+62),0)</f>
        <v>0</v>
      </c>
      <c r="X16" s="139">
        <f>VLOOKUP($E16,'7. PGE_Efficacité'!$A$6:$CY$266,(MATCH('4.2 ACE EFF WOL'!X$4,'7. PGE_Efficacité'!$A$4:$AO$4,0)+62),0)</f>
        <v>0</v>
      </c>
      <c r="Y16" s="139">
        <f>VLOOKUP($E16,'7. PGE_Efficacité'!$A$6:$CY$266,(MATCH('4.2 ACE EFF WOL'!Y$4,'7. PGE_Efficacité'!$A$4:$AO$4,0)+62),0)</f>
        <v>0</v>
      </c>
      <c r="Z16" s="139">
        <f>VLOOKUP($E16,'7. PGE_Efficacité'!$A$6:$CY$266,(MATCH('4.2 ACE EFF WOL'!Z$4,'7. PGE_Efficacité'!$A$4:$AO$4,0)+62),0)</f>
        <v>0</v>
      </c>
      <c r="AA16" s="139">
        <f>VLOOKUP($E16,'7. PGE_Efficacité'!$A$6:$CY$266,(MATCH('4.2 ACE EFF WOL'!AA$4,'7. PGE_Efficacité'!$A$4:$AO$4,0)+62),0)</f>
        <v>0</v>
      </c>
      <c r="AB16" s="139">
        <f>VLOOKUP($E16,'7. PGE_Efficacité'!$A$6:$CY$266,(MATCH('4.2 ACE EFF WOL'!AB$4,'7. PGE_Efficacité'!$A$4:$AO$4,0)+62),0)</f>
        <v>0</v>
      </c>
      <c r="AC16" s="139">
        <f>VLOOKUP($E16,'7. PGE_Efficacité'!$A$6:$CY$266,(MATCH('4.2 ACE EFF WOL'!AC$4,'7. PGE_Efficacité'!$A$4:$AO$4,0)+62),0)</f>
        <v>0</v>
      </c>
      <c r="AD16" s="139">
        <f>VLOOKUP($E16,'7. PGE_Efficacité'!$A$6:$CY$266,(MATCH('4.2 ACE EFF WOL'!AD$4,'7. PGE_Efficacité'!$A$4:$AO$4,0)+62),0)</f>
        <v>0</v>
      </c>
      <c r="AE16" s="139">
        <f>VLOOKUP($E16,'7. PGE_Efficacité'!$A$6:$CY$266,(MATCH('4.2 ACE EFF WOL'!AE$4,'7. PGE_Efficacité'!$A$4:$AO$4,0)+62),0)</f>
        <v>0</v>
      </c>
      <c r="AF16" s="139">
        <f>VLOOKUP($E16,'7. PGE_Efficacité'!$A$6:$CY$266,(MATCH('4.2 ACE EFF WOL'!AF$4,'7. PGE_Efficacité'!$A$4:$AO$4,0)+62),0)</f>
        <v>0</v>
      </c>
      <c r="AG16" s="139" t="str">
        <f>VLOOKUP($E16,'7. PGE_Efficacité'!$A$6:$CY$266,(MATCH('4.2 ACE EFF WOL'!AG$4,'7. PGE_Efficacité'!$A$4:$AO$4,0)+62),0)</f>
        <v>++</v>
      </c>
      <c r="AH16" s="139" t="str">
        <f>VLOOKUP($E16,'7. PGE_Efficacité'!$A$6:$CY$266,(MATCH('4.2 ACE EFF WOL'!AH$4,'7. PGE_Efficacité'!$A$4:$AO$4,0)+62),0)</f>
        <v>++</v>
      </c>
      <c r="AI16" s="139" t="str">
        <f>VLOOKUP($E16,'7. PGE_Efficacité'!$A$6:$CY$266,(MATCH('4.2 ACE EFF WOL'!AI$4,'7. PGE_Efficacité'!$A$4:$AO$4,0)+62),0)</f>
        <v>++</v>
      </c>
      <c r="AJ16" s="139">
        <f>VLOOKUP($E16,'7. PGE_Efficacité'!$A$6:$CY$266,(MATCH('4.2 ACE EFF WOL'!AJ$4,'7. PGE_Efficacité'!$A$4:$AO$4,0)+62),0)</f>
        <v>0</v>
      </c>
      <c r="AK16" s="139">
        <f>VLOOKUP($E16,'7. PGE_Efficacité'!$A$6:$CY$266,(MATCH('4.2 ACE EFF WOL'!AK$4,'7. PGE_Efficacité'!$A$4:$AO$4,0)+62),0)</f>
        <v>0</v>
      </c>
      <c r="AL16" s="139">
        <f>VLOOKUP($E16,'7. PGE_Efficacité'!$A$6:$CY$266,(MATCH('4.2 ACE EFF WOL'!AL$4,'7. PGE_Efficacité'!$A$4:$AO$4,0)+62),0)</f>
        <v>0</v>
      </c>
      <c r="AM16" s="139">
        <f>VLOOKUP($E16,'7. PGE_Efficacité'!$A$6:$CY$266,(MATCH('4.2 ACE EFF WOL'!AM$4,'7. PGE_Efficacité'!$A$4:$AO$4,0)+62),0)</f>
        <v>0</v>
      </c>
      <c r="AN16" s="139">
        <f>VLOOKUP($E16,'7. PGE_Efficacité'!$A$6:$CY$266,(MATCH('4.2 ACE EFF WOL'!AN$4,'7. PGE_Efficacité'!$A$4:$AO$4,0)+62),0)</f>
        <v>0</v>
      </c>
    </row>
    <row r="17" spans="1:40" hidden="1" outlineLevel="2" x14ac:dyDescent="0.25">
      <c r="A17" s="48" t="s">
        <v>1524</v>
      </c>
      <c r="B17" s="49">
        <v>2</v>
      </c>
      <c r="C17" s="48" t="s">
        <v>1508</v>
      </c>
      <c r="D17" s="199" t="s">
        <v>1</v>
      </c>
      <c r="E17" s="200" t="s">
        <v>709</v>
      </c>
      <c r="F17" s="200" t="s">
        <v>1369</v>
      </c>
      <c r="G17" s="201" t="s">
        <v>1520</v>
      </c>
      <c r="H17" s="200" t="s">
        <v>416</v>
      </c>
      <c r="I17" s="202">
        <v>0</v>
      </c>
      <c r="J17" s="139">
        <f>VLOOKUP($E17,'7. PGE_Efficacité'!$A$6:$CY$266,(MATCH('4.2 ACE EFF WOL'!J$4,'7. PGE_Efficacité'!$A$4:$AO$4,0)+62),0)</f>
        <v>0</v>
      </c>
      <c r="K17" s="139">
        <f>VLOOKUP($E17,'7. PGE_Efficacité'!$A$6:$CY$266,(MATCH('4.2 ACE EFF WOL'!K$4,'7. PGE_Efficacité'!$A$4:$AO$4,0)+62),0)</f>
        <v>0</v>
      </c>
      <c r="L17" s="139">
        <f>VLOOKUP($E17,'7. PGE_Efficacité'!$A$6:$CY$266,(MATCH('4.2 ACE EFF WOL'!L$4,'7. PGE_Efficacité'!$A$4:$AO$4,0)+62),0)</f>
        <v>0</v>
      </c>
      <c r="M17" s="139">
        <f>VLOOKUP($E17,'7. PGE_Efficacité'!$A$6:$CY$266,(MATCH('4.2 ACE EFF WOL'!M$4,'7. PGE_Efficacité'!$A$4:$AO$4,0)+62),0)</f>
        <v>0</v>
      </c>
      <c r="N17" s="139">
        <f>VLOOKUP($E17,'7. PGE_Efficacité'!$A$6:$CY$266,(MATCH('4.2 ACE EFF WOL'!N$4,'7. PGE_Efficacité'!$A$4:$AO$4,0)+62),0)</f>
        <v>0</v>
      </c>
      <c r="O17" s="139">
        <f>VLOOKUP($E17,'7. PGE_Efficacité'!$A$6:$CY$266,78,0)</f>
        <v>0</v>
      </c>
      <c r="P17" s="139">
        <f>VLOOKUP($E17,'7. PGE_Efficacité'!$A$6:$CY$266,(MATCH('4.2 ACE EFF WOL'!P$4,'7. PGE_Efficacité'!$A$4:$AO$4,0)+62),0)</f>
        <v>0</v>
      </c>
      <c r="Q17" s="139">
        <f>VLOOKUP($E17,'7. PGE_Efficacité'!$A$6:$CY$266,(MATCH('4.2 ACE EFF WOL'!Q$4,'7. PGE_Efficacité'!$A$4:$AO$4,0)+62),0)</f>
        <v>0</v>
      </c>
      <c r="R17" s="139">
        <f>VLOOKUP($E17,'7. PGE_Efficacité'!$A$6:$CY$266,(MATCH('4.2 ACE EFF WOL'!R$4,'7. PGE_Efficacité'!$A$4:$AO$4,0)+62),0)</f>
        <v>0</v>
      </c>
      <c r="S17" s="139">
        <f>VLOOKUP($E17,'7. PGE_Efficacité'!$A$6:$CY$266,(MATCH('4.2 ACE EFF WOL'!S$4,'7. PGE_Efficacité'!$A$4:$AO$4,0)+62),0)</f>
        <v>0</v>
      </c>
      <c r="T17" s="139">
        <f>VLOOKUP($E17,'7. PGE_Efficacité'!$A$6:$CY$266,(MATCH('4.2 ACE EFF WOL'!T$4,'7. PGE_Efficacité'!$A$4:$AO$4,0)+62),0)</f>
        <v>0</v>
      </c>
      <c r="U17" s="139">
        <f>VLOOKUP($E17,'7. PGE_Efficacité'!$A$6:$CY$266,(MATCH('4.2 ACE EFF WOL'!U$4,'7. PGE_Efficacité'!$A$4:$AO$4,0)+62),0)</f>
        <v>0</v>
      </c>
      <c r="V17" s="139">
        <f>VLOOKUP($E17,'7. PGE_Efficacité'!$A$6:$CY$266,(MATCH('4.2 ACE EFF WOL'!V$4,'7. PGE_Efficacité'!$A$4:$AO$4,0)+62),0)</f>
        <v>0</v>
      </c>
      <c r="W17" s="139">
        <f>VLOOKUP($E17,'7. PGE_Efficacité'!$A$6:$CY$266,(MATCH('4.2 ACE EFF WOL'!W$4,'7. PGE_Efficacité'!$A$4:$AO$4,0)+62),0)</f>
        <v>0</v>
      </c>
      <c r="X17" s="139">
        <f>VLOOKUP($E17,'7. PGE_Efficacité'!$A$6:$CY$266,(MATCH('4.2 ACE EFF WOL'!X$4,'7. PGE_Efficacité'!$A$4:$AO$4,0)+62),0)</f>
        <v>0</v>
      </c>
      <c r="Y17" s="139">
        <f>VLOOKUP($E17,'7. PGE_Efficacité'!$A$6:$CY$266,(MATCH('4.2 ACE EFF WOL'!Y$4,'7. PGE_Efficacité'!$A$4:$AO$4,0)+62),0)</f>
        <v>0</v>
      </c>
      <c r="Z17" s="139">
        <f>VLOOKUP($E17,'7. PGE_Efficacité'!$A$6:$CY$266,(MATCH('4.2 ACE EFF WOL'!Z$4,'7. PGE_Efficacité'!$A$4:$AO$4,0)+62),0)</f>
        <v>0</v>
      </c>
      <c r="AA17" s="139">
        <f>VLOOKUP($E17,'7. PGE_Efficacité'!$A$6:$CY$266,(MATCH('4.2 ACE EFF WOL'!AA$4,'7. PGE_Efficacité'!$A$4:$AO$4,0)+62),0)</f>
        <v>0</v>
      </c>
      <c r="AB17" s="139">
        <f>VLOOKUP($E17,'7. PGE_Efficacité'!$A$6:$CY$266,(MATCH('4.2 ACE EFF WOL'!AB$4,'7. PGE_Efficacité'!$A$4:$AO$4,0)+62),0)</f>
        <v>0</v>
      </c>
      <c r="AC17" s="139">
        <f>VLOOKUP($E17,'7. PGE_Efficacité'!$A$6:$CY$266,(MATCH('4.2 ACE EFF WOL'!AC$4,'7. PGE_Efficacité'!$A$4:$AO$4,0)+62),0)</f>
        <v>0</v>
      </c>
      <c r="AD17" s="139">
        <f>VLOOKUP($E17,'7. PGE_Efficacité'!$A$6:$CY$266,(MATCH('4.2 ACE EFF WOL'!AD$4,'7. PGE_Efficacité'!$A$4:$AO$4,0)+62),0)</f>
        <v>0</v>
      </c>
      <c r="AE17" s="139">
        <f>VLOOKUP($E17,'7. PGE_Efficacité'!$A$6:$CY$266,(MATCH('4.2 ACE EFF WOL'!AE$4,'7. PGE_Efficacité'!$A$4:$AO$4,0)+62),0)</f>
        <v>0</v>
      </c>
      <c r="AF17" s="139">
        <f>VLOOKUP($E17,'7. PGE_Efficacité'!$A$6:$CY$266,(MATCH('4.2 ACE EFF WOL'!AF$4,'7. PGE_Efficacité'!$A$4:$AO$4,0)+62),0)</f>
        <v>0</v>
      </c>
      <c r="AG17" s="139">
        <f>VLOOKUP($E17,'7. PGE_Efficacité'!$A$6:$CY$266,(MATCH('4.2 ACE EFF WOL'!AG$4,'7. PGE_Efficacité'!$A$4:$AO$4,0)+62),0)</f>
        <v>0</v>
      </c>
      <c r="AH17" s="139">
        <f>VLOOKUP($E17,'7. PGE_Efficacité'!$A$6:$CY$266,(MATCH('4.2 ACE EFF WOL'!AH$4,'7. PGE_Efficacité'!$A$4:$AO$4,0)+62),0)</f>
        <v>0</v>
      </c>
      <c r="AI17" s="139">
        <f>VLOOKUP($E17,'7. PGE_Efficacité'!$A$6:$CY$266,(MATCH('4.2 ACE EFF WOL'!AI$4,'7. PGE_Efficacité'!$A$4:$AO$4,0)+62),0)</f>
        <v>0</v>
      </c>
      <c r="AJ17" s="139">
        <f>VLOOKUP($E17,'7. PGE_Efficacité'!$A$6:$CY$266,(MATCH('4.2 ACE EFF WOL'!AJ$4,'7. PGE_Efficacité'!$A$4:$AO$4,0)+62),0)</f>
        <v>0</v>
      </c>
      <c r="AK17" s="139">
        <f>VLOOKUP($E17,'7. PGE_Efficacité'!$A$6:$CY$266,(MATCH('4.2 ACE EFF WOL'!AK$4,'7. PGE_Efficacité'!$A$4:$AO$4,0)+62),0)</f>
        <v>0</v>
      </c>
      <c r="AL17" s="139">
        <f>VLOOKUP($E17,'7. PGE_Efficacité'!$A$6:$CY$266,(MATCH('4.2 ACE EFF WOL'!AL$4,'7. PGE_Efficacité'!$A$4:$AO$4,0)+62),0)</f>
        <v>0</v>
      </c>
      <c r="AM17" s="139">
        <f>VLOOKUP($E17,'7. PGE_Efficacité'!$A$6:$CY$266,(MATCH('4.2 ACE EFF WOL'!AM$4,'7. PGE_Efficacité'!$A$4:$AO$4,0)+62),0)</f>
        <v>0</v>
      </c>
      <c r="AN17" s="139">
        <f>VLOOKUP($E17,'7. PGE_Efficacité'!$A$6:$CY$266,(MATCH('4.2 ACE EFF WOL'!AN$4,'7. PGE_Efficacité'!$A$4:$AO$4,0)+62),0)</f>
        <v>0</v>
      </c>
    </row>
    <row r="18" spans="1:40" hidden="1" outlineLevel="2" x14ac:dyDescent="0.25">
      <c r="A18" s="48" t="s">
        <v>1524</v>
      </c>
      <c r="B18" s="49">
        <v>2</v>
      </c>
      <c r="C18" s="48" t="s">
        <v>1509</v>
      </c>
      <c r="D18" s="199" t="s">
        <v>1</v>
      </c>
      <c r="E18" s="200" t="s">
        <v>710</v>
      </c>
      <c r="F18" s="200" t="s">
        <v>1370</v>
      </c>
      <c r="G18" s="201" t="s">
        <v>1520</v>
      </c>
      <c r="H18" s="200" t="s">
        <v>416</v>
      </c>
      <c r="I18" s="202">
        <v>0</v>
      </c>
      <c r="J18" s="139">
        <f>VLOOKUP($E18,'7. PGE_Efficacité'!$A$6:$CY$266,(MATCH('4.2 ACE EFF WOL'!J$4,'7. PGE_Efficacité'!$A$4:$AO$4,0)+62),0)</f>
        <v>0</v>
      </c>
      <c r="K18" s="139">
        <f>VLOOKUP($E18,'7. PGE_Efficacité'!$A$6:$CY$266,(MATCH('4.2 ACE EFF WOL'!K$4,'7. PGE_Efficacité'!$A$4:$AO$4,0)+62),0)</f>
        <v>0</v>
      </c>
      <c r="L18" s="139">
        <f>VLOOKUP($E18,'7. PGE_Efficacité'!$A$6:$CY$266,(MATCH('4.2 ACE EFF WOL'!L$4,'7. PGE_Efficacité'!$A$4:$AO$4,0)+62),0)</f>
        <v>0</v>
      </c>
      <c r="M18" s="139">
        <f>VLOOKUP($E18,'7. PGE_Efficacité'!$A$6:$CY$266,(MATCH('4.2 ACE EFF WOL'!M$4,'7. PGE_Efficacité'!$A$4:$AO$4,0)+62),0)</f>
        <v>0</v>
      </c>
      <c r="N18" s="139">
        <f>VLOOKUP($E18,'7. PGE_Efficacité'!$A$6:$CY$266,(MATCH('4.2 ACE EFF WOL'!N$4,'7. PGE_Efficacité'!$A$4:$AO$4,0)+62),0)</f>
        <v>0</v>
      </c>
      <c r="O18" s="139">
        <f>VLOOKUP($E18,'7. PGE_Efficacité'!$A$6:$CY$266,78,0)</f>
        <v>0</v>
      </c>
      <c r="P18" s="139">
        <f>VLOOKUP($E18,'7. PGE_Efficacité'!$A$6:$CY$266,(MATCH('4.2 ACE EFF WOL'!P$4,'7. PGE_Efficacité'!$A$4:$AO$4,0)+62),0)</f>
        <v>0</v>
      </c>
      <c r="Q18" s="139">
        <f>VLOOKUP($E18,'7. PGE_Efficacité'!$A$6:$CY$266,(MATCH('4.2 ACE EFF WOL'!Q$4,'7. PGE_Efficacité'!$A$4:$AO$4,0)+62),0)</f>
        <v>0</v>
      </c>
      <c r="R18" s="139">
        <f>VLOOKUP($E18,'7. PGE_Efficacité'!$A$6:$CY$266,(MATCH('4.2 ACE EFF WOL'!R$4,'7. PGE_Efficacité'!$A$4:$AO$4,0)+62),0)</f>
        <v>0</v>
      </c>
      <c r="S18" s="139">
        <f>VLOOKUP($E18,'7. PGE_Efficacité'!$A$6:$CY$266,(MATCH('4.2 ACE EFF WOL'!S$4,'7. PGE_Efficacité'!$A$4:$AO$4,0)+62),0)</f>
        <v>0</v>
      </c>
      <c r="T18" s="139">
        <f>VLOOKUP($E18,'7. PGE_Efficacité'!$A$6:$CY$266,(MATCH('4.2 ACE EFF WOL'!T$4,'7. PGE_Efficacité'!$A$4:$AO$4,0)+62),0)</f>
        <v>0</v>
      </c>
      <c r="U18" s="139">
        <f>VLOOKUP($E18,'7. PGE_Efficacité'!$A$6:$CY$266,(MATCH('4.2 ACE EFF WOL'!U$4,'7. PGE_Efficacité'!$A$4:$AO$4,0)+62),0)</f>
        <v>0</v>
      </c>
      <c r="V18" s="139">
        <f>VLOOKUP($E18,'7. PGE_Efficacité'!$A$6:$CY$266,(MATCH('4.2 ACE EFF WOL'!V$4,'7. PGE_Efficacité'!$A$4:$AO$4,0)+62),0)</f>
        <v>0</v>
      </c>
      <c r="W18" s="139">
        <f>VLOOKUP($E18,'7. PGE_Efficacité'!$A$6:$CY$266,(MATCH('4.2 ACE EFF WOL'!W$4,'7. PGE_Efficacité'!$A$4:$AO$4,0)+62),0)</f>
        <v>0</v>
      </c>
      <c r="X18" s="139">
        <f>VLOOKUP($E18,'7. PGE_Efficacité'!$A$6:$CY$266,(MATCH('4.2 ACE EFF WOL'!X$4,'7. PGE_Efficacité'!$A$4:$AO$4,0)+62),0)</f>
        <v>0</v>
      </c>
      <c r="Y18" s="139">
        <f>VLOOKUP($E18,'7. PGE_Efficacité'!$A$6:$CY$266,(MATCH('4.2 ACE EFF WOL'!Y$4,'7. PGE_Efficacité'!$A$4:$AO$4,0)+62),0)</f>
        <v>0</v>
      </c>
      <c r="Z18" s="139">
        <f>VLOOKUP($E18,'7. PGE_Efficacité'!$A$6:$CY$266,(MATCH('4.2 ACE EFF WOL'!Z$4,'7. PGE_Efficacité'!$A$4:$AO$4,0)+62),0)</f>
        <v>0</v>
      </c>
      <c r="AA18" s="139">
        <f>VLOOKUP($E18,'7. PGE_Efficacité'!$A$6:$CY$266,(MATCH('4.2 ACE EFF WOL'!AA$4,'7. PGE_Efficacité'!$A$4:$AO$4,0)+62),0)</f>
        <v>0</v>
      </c>
      <c r="AB18" s="139">
        <f>VLOOKUP($E18,'7. PGE_Efficacité'!$A$6:$CY$266,(MATCH('4.2 ACE EFF WOL'!AB$4,'7. PGE_Efficacité'!$A$4:$AO$4,0)+62),0)</f>
        <v>0</v>
      </c>
      <c r="AC18" s="139">
        <f>VLOOKUP($E18,'7. PGE_Efficacité'!$A$6:$CY$266,(MATCH('4.2 ACE EFF WOL'!AC$4,'7. PGE_Efficacité'!$A$4:$AO$4,0)+62),0)</f>
        <v>0</v>
      </c>
      <c r="AD18" s="139">
        <f>VLOOKUP($E18,'7. PGE_Efficacité'!$A$6:$CY$266,(MATCH('4.2 ACE EFF WOL'!AD$4,'7. PGE_Efficacité'!$A$4:$AO$4,0)+62),0)</f>
        <v>0</v>
      </c>
      <c r="AE18" s="139">
        <f>VLOOKUP($E18,'7. PGE_Efficacité'!$A$6:$CY$266,(MATCH('4.2 ACE EFF WOL'!AE$4,'7. PGE_Efficacité'!$A$4:$AO$4,0)+62),0)</f>
        <v>0</v>
      </c>
      <c r="AF18" s="139">
        <f>VLOOKUP($E18,'7. PGE_Efficacité'!$A$6:$CY$266,(MATCH('4.2 ACE EFF WOL'!AF$4,'7. PGE_Efficacité'!$A$4:$AO$4,0)+62),0)</f>
        <v>0</v>
      </c>
      <c r="AG18" s="139">
        <f>VLOOKUP($E18,'7. PGE_Efficacité'!$A$6:$CY$266,(MATCH('4.2 ACE EFF WOL'!AG$4,'7. PGE_Efficacité'!$A$4:$AO$4,0)+62),0)</f>
        <v>0</v>
      </c>
      <c r="AH18" s="139">
        <f>VLOOKUP($E18,'7. PGE_Efficacité'!$A$6:$CY$266,(MATCH('4.2 ACE EFF WOL'!AH$4,'7. PGE_Efficacité'!$A$4:$AO$4,0)+62),0)</f>
        <v>0</v>
      </c>
      <c r="AI18" s="139">
        <f>VLOOKUP($E18,'7. PGE_Efficacité'!$A$6:$CY$266,(MATCH('4.2 ACE EFF WOL'!AI$4,'7. PGE_Efficacité'!$A$4:$AO$4,0)+62),0)</f>
        <v>0</v>
      </c>
      <c r="AJ18" s="139">
        <f>VLOOKUP($E18,'7. PGE_Efficacité'!$A$6:$CY$266,(MATCH('4.2 ACE EFF WOL'!AJ$4,'7. PGE_Efficacité'!$A$4:$AO$4,0)+62),0)</f>
        <v>0</v>
      </c>
      <c r="AK18" s="139">
        <f>VLOOKUP($E18,'7. PGE_Efficacité'!$A$6:$CY$266,(MATCH('4.2 ACE EFF WOL'!AK$4,'7. PGE_Efficacité'!$A$4:$AO$4,0)+62),0)</f>
        <v>0</v>
      </c>
      <c r="AL18" s="139">
        <f>VLOOKUP($E18,'7. PGE_Efficacité'!$A$6:$CY$266,(MATCH('4.2 ACE EFF WOL'!AL$4,'7. PGE_Efficacité'!$A$4:$AO$4,0)+62),0)</f>
        <v>0</v>
      </c>
      <c r="AM18" s="139">
        <f>VLOOKUP($E18,'7. PGE_Efficacité'!$A$6:$CY$266,(MATCH('4.2 ACE EFF WOL'!AM$4,'7. PGE_Efficacité'!$A$4:$AO$4,0)+62),0)</f>
        <v>0</v>
      </c>
      <c r="AN18" s="139">
        <f>VLOOKUP($E18,'7. PGE_Efficacité'!$A$6:$CY$266,(MATCH('4.2 ACE EFF WOL'!AN$4,'7. PGE_Efficacité'!$A$4:$AO$4,0)+62),0)</f>
        <v>0</v>
      </c>
    </row>
    <row r="19" spans="1:40" outlineLevel="1" collapsed="1" x14ac:dyDescent="0.25">
      <c r="A19" s="48"/>
      <c r="B19" s="49"/>
      <c r="C19" s="48"/>
      <c r="D19" s="372" t="s">
        <v>2</v>
      </c>
      <c r="E19" s="195"/>
      <c r="F19" s="196" t="str">
        <f>VLOOKUP(D19,'1. Mesures'!$A$2:$B$116,2,0)</f>
        <v>Supprimer les obstacles à la libre circulation des poissons</v>
      </c>
      <c r="G19" s="197"/>
      <c r="H19" s="195"/>
      <c r="I19" s="198">
        <f>SUBTOTAL(9,I20:I26)</f>
        <v>200000</v>
      </c>
      <c r="J19" s="203">
        <f>VLOOKUP($D19,'7. PGE_Efficacité'!$A$6:$CY$266,(MATCH('4.2 ACE EFF WOL'!J$4,'7. PGE_Efficacité'!$A$4:$AO$4,0)+62),0)</f>
        <v>0</v>
      </c>
      <c r="K19" s="203">
        <f>VLOOKUP($D19,'7. PGE_Efficacité'!$A$6:$CY$266,(MATCH('4.2 ACE EFF WOL'!K$4,'7. PGE_Efficacité'!$A$4:$AO$4,0)+62),0)</f>
        <v>0</v>
      </c>
      <c r="L19" s="203">
        <f>VLOOKUP($D19,'7. PGE_Efficacité'!$A$6:$CY$266,(MATCH('4.2 ACE EFF WOL'!L$4,'7. PGE_Efficacité'!$A$4:$AO$4,0)+62),0)</f>
        <v>0</v>
      </c>
      <c r="M19" s="203">
        <f>VLOOKUP($D19,'7. PGE_Efficacité'!$A$6:$CY$266,(MATCH('4.2 ACE EFF WOL'!M$4,'7. PGE_Efficacité'!$A$4:$AO$4,0)+62),0)</f>
        <v>0</v>
      </c>
      <c r="N19" s="203">
        <f>VLOOKUP($D19,'7. PGE_Efficacité'!$A$6:$CY$266,(MATCH('4.2 ACE EFF WOL'!N$4,'7. PGE_Efficacité'!$A$4:$AO$4,0)+62),0)</f>
        <v>0</v>
      </c>
      <c r="O19" s="203">
        <f>VLOOKUP($D19,'7. PGE_Efficacité'!$A$6:$CY$266,78,0)</f>
        <v>0</v>
      </c>
      <c r="P19" s="203">
        <f>VLOOKUP($D19,'7. PGE_Efficacité'!$A$6:$CY$266,(MATCH('4.2 ACE EFF WOL'!P$4,'7. PGE_Efficacité'!$A$4:$AO$4,0)+62),0)</f>
        <v>0</v>
      </c>
      <c r="Q19" s="203">
        <f>VLOOKUP($D19,'7. PGE_Efficacité'!$A$6:$CY$266,(MATCH('4.2 ACE EFF WOL'!Q$4,'7. PGE_Efficacité'!$A$4:$AO$4,0)+62),0)</f>
        <v>0</v>
      </c>
      <c r="R19" s="203">
        <f>VLOOKUP($D19,'7. PGE_Efficacité'!$A$6:$CY$266,(MATCH('4.2 ACE EFF WOL'!R$4,'7. PGE_Efficacité'!$A$4:$AO$4,0)+62),0)</f>
        <v>0</v>
      </c>
      <c r="S19" s="203">
        <f>VLOOKUP($D19,'7. PGE_Efficacité'!$A$6:$CY$266,(MATCH('4.2 ACE EFF WOL'!S$4,'7. PGE_Efficacité'!$A$4:$AO$4,0)+62),0)</f>
        <v>0</v>
      </c>
      <c r="T19" s="203">
        <f>VLOOKUP($D19,'7. PGE_Efficacité'!$A$6:$CY$266,(MATCH('4.2 ACE EFF WOL'!T$4,'7. PGE_Efficacité'!$A$4:$AO$4,0)+62),0)</f>
        <v>0</v>
      </c>
      <c r="U19" s="203">
        <f>VLOOKUP($D19,'7. PGE_Efficacité'!$A$6:$CY$266,(MATCH('4.2 ACE EFF WOL'!U$4,'7. PGE_Efficacité'!$A$4:$AO$4,0)+62),0)</f>
        <v>0</v>
      </c>
      <c r="V19" s="203">
        <f>VLOOKUP($D19,'7. PGE_Efficacité'!$A$6:$CY$266,(MATCH('4.2 ACE EFF WOL'!V$4,'7. PGE_Efficacité'!$A$4:$AO$4,0)+62),0)</f>
        <v>0</v>
      </c>
      <c r="W19" s="203">
        <f>VLOOKUP($D19,'7. PGE_Efficacité'!$A$6:$CY$266,(MATCH('4.2 ACE EFF WOL'!W$4,'7. PGE_Efficacité'!$A$4:$AO$4,0)+62),0)</f>
        <v>0</v>
      </c>
      <c r="X19" s="203">
        <f>VLOOKUP($D19,'7. PGE_Efficacité'!$A$6:$CY$266,(MATCH('4.2 ACE EFF WOL'!X$4,'7. PGE_Efficacité'!$A$4:$AO$4,0)+62),0)</f>
        <v>0</v>
      </c>
      <c r="Y19" s="203">
        <f>VLOOKUP($D19,'7. PGE_Efficacité'!$A$6:$CY$266,(MATCH('4.2 ACE EFF WOL'!Y$4,'7. PGE_Efficacité'!$A$4:$AO$4,0)+62),0)</f>
        <v>0</v>
      </c>
      <c r="Z19" s="203">
        <f>VLOOKUP($D19,'7. PGE_Efficacité'!$A$6:$CY$266,(MATCH('4.2 ACE EFF WOL'!Z$4,'7. PGE_Efficacité'!$A$4:$AO$4,0)+62),0)</f>
        <v>0</v>
      </c>
      <c r="AA19" s="203">
        <f>VLOOKUP($D19,'7. PGE_Efficacité'!$A$6:$CY$266,(MATCH('4.2 ACE EFF WOL'!AA$4,'7. PGE_Efficacité'!$A$4:$AO$4,0)+62),0)</f>
        <v>0</v>
      </c>
      <c r="AB19" s="203">
        <f>VLOOKUP($D19,'7. PGE_Efficacité'!$A$6:$CY$266,(MATCH('4.2 ACE EFF WOL'!AB$4,'7. PGE_Efficacité'!$A$4:$AO$4,0)+62),0)</f>
        <v>0</v>
      </c>
      <c r="AC19" s="203">
        <f>VLOOKUP($D19,'7. PGE_Efficacité'!$A$6:$CY$266,(MATCH('4.2 ACE EFF WOL'!AC$4,'7. PGE_Efficacité'!$A$4:$AO$4,0)+62),0)</f>
        <v>0</v>
      </c>
      <c r="AD19" s="203">
        <f>VLOOKUP($D19,'7. PGE_Efficacité'!$A$6:$CY$266,(MATCH('4.2 ACE EFF WOL'!AD$4,'7. PGE_Efficacité'!$A$4:$AO$4,0)+62),0)</f>
        <v>0</v>
      </c>
      <c r="AE19" s="203">
        <f>VLOOKUP($D19,'7. PGE_Efficacité'!$A$6:$CY$266,(MATCH('4.2 ACE EFF WOL'!AE$4,'7. PGE_Efficacité'!$A$4:$AO$4,0)+62),0)</f>
        <v>0</v>
      </c>
      <c r="AF19" s="203">
        <f>VLOOKUP($D19,'7. PGE_Efficacité'!$A$6:$CY$266,(MATCH('4.2 ACE EFF WOL'!AF$4,'7. PGE_Efficacité'!$A$4:$AO$4,0)+62),0)</f>
        <v>0</v>
      </c>
      <c r="AG19" s="203" t="str">
        <f>VLOOKUP($D19,'7. PGE_Efficacité'!$A$6:$CY$266,(MATCH('4.2 ACE EFF WOL'!AG$4,'7. PGE_Efficacité'!$A$4:$AO$4,0)+62),0)</f>
        <v>++</v>
      </c>
      <c r="AH19" s="203">
        <f>VLOOKUP($D19,'7. PGE_Efficacité'!$A$6:$CY$266,(MATCH('4.2 ACE EFF WOL'!AH$4,'7. PGE_Efficacité'!$A$4:$AO$4,0)+62),0)</f>
        <v>0</v>
      </c>
      <c r="AI19" s="203">
        <f>VLOOKUP($D19,'7. PGE_Efficacité'!$A$6:$CY$266,(MATCH('4.2 ACE EFF WOL'!AI$4,'7. PGE_Efficacité'!$A$4:$AO$4,0)+62),0)</f>
        <v>0</v>
      </c>
      <c r="AJ19" s="203">
        <f>VLOOKUP($D19,'7. PGE_Efficacité'!$A$6:$CY$266,(MATCH('4.2 ACE EFF WOL'!AJ$4,'7. PGE_Efficacité'!$A$4:$AO$4,0)+62),0)</f>
        <v>0</v>
      </c>
      <c r="AK19" s="203">
        <f>VLOOKUP($D19,'7. PGE_Efficacité'!$A$6:$CY$266,(MATCH('4.2 ACE EFF WOL'!AK$4,'7. PGE_Efficacité'!$A$4:$AO$4,0)+62),0)</f>
        <v>0</v>
      </c>
      <c r="AL19" s="203">
        <f>VLOOKUP($D19,'7. PGE_Efficacité'!$A$6:$CY$266,(MATCH('4.2 ACE EFF WOL'!AL$4,'7. PGE_Efficacité'!$A$4:$AO$4,0)+62),0)</f>
        <v>0</v>
      </c>
      <c r="AM19" s="203">
        <f>VLOOKUP($D19,'7. PGE_Efficacité'!$A$6:$CY$266,(MATCH('4.2 ACE EFF WOL'!AM$4,'7. PGE_Efficacité'!$A$4:$AO$4,0)+62),0)</f>
        <v>0</v>
      </c>
      <c r="AN19" s="203" t="str">
        <f>VLOOKUP($D19,'7. PGE_Efficacité'!$A$6:$CY$266,(MATCH('4.2 ACE EFF WOL'!AN$4,'7. PGE_Efficacité'!$A$4:$AO$4,0)+62),0)</f>
        <v>++</v>
      </c>
    </row>
    <row r="20" spans="1:40" hidden="1" outlineLevel="2" x14ac:dyDescent="0.25">
      <c r="A20" s="48"/>
      <c r="B20" s="49"/>
      <c r="C20" s="48"/>
      <c r="D20" s="199" t="s">
        <v>2</v>
      </c>
      <c r="E20" s="200" t="s">
        <v>775</v>
      </c>
      <c r="F20" s="200" t="s">
        <v>1413</v>
      </c>
      <c r="G20" s="201" t="s">
        <v>1520</v>
      </c>
      <c r="H20" s="200" t="s">
        <v>416</v>
      </c>
      <c r="I20" s="202">
        <v>50000</v>
      </c>
      <c r="J20" s="139">
        <f>VLOOKUP($E20,'7. PGE_Efficacité'!$A$6:$CY$266,(MATCH('4.2 ACE EFF WOL'!J$4,'7. PGE_Efficacité'!$A$4:$AO$4,0)+62),0)</f>
        <v>0</v>
      </c>
      <c r="K20" s="139">
        <f>VLOOKUP($E20,'7. PGE_Efficacité'!$A$6:$CY$266,(MATCH('4.2 ACE EFF WOL'!K$4,'7. PGE_Efficacité'!$A$4:$AO$4,0)+62),0)</f>
        <v>0</v>
      </c>
      <c r="L20" s="139">
        <f>VLOOKUP($E20,'7. PGE_Efficacité'!$A$6:$CY$266,(MATCH('4.2 ACE EFF WOL'!L$4,'7. PGE_Efficacité'!$A$4:$AO$4,0)+62),0)</f>
        <v>0</v>
      </c>
      <c r="M20" s="139">
        <f>VLOOKUP($E20,'7. PGE_Efficacité'!$A$6:$CY$266,(MATCH('4.2 ACE EFF WOL'!M$4,'7. PGE_Efficacité'!$A$4:$AO$4,0)+62),0)</f>
        <v>0</v>
      </c>
      <c r="N20" s="139">
        <f>VLOOKUP($E20,'7. PGE_Efficacité'!$A$6:$CY$266,(MATCH('4.2 ACE EFF WOL'!N$4,'7. PGE_Efficacité'!$A$4:$AO$4,0)+62),0)</f>
        <v>0</v>
      </c>
      <c r="O20" s="139">
        <f>VLOOKUP($E20,'7. PGE_Efficacité'!$A$6:$CY$266,78,0)</f>
        <v>0</v>
      </c>
      <c r="P20" s="139">
        <f>VLOOKUP($E20,'7. PGE_Efficacité'!$A$6:$CY$266,(MATCH('4.2 ACE EFF WOL'!P$4,'7. PGE_Efficacité'!$A$4:$AO$4,0)+62),0)</f>
        <v>0</v>
      </c>
      <c r="Q20" s="139">
        <f>VLOOKUP($E20,'7. PGE_Efficacité'!$A$6:$CY$266,(MATCH('4.2 ACE EFF WOL'!Q$4,'7. PGE_Efficacité'!$A$4:$AO$4,0)+62),0)</f>
        <v>0</v>
      </c>
      <c r="R20" s="139">
        <f>VLOOKUP($E20,'7. PGE_Efficacité'!$A$6:$CY$266,(MATCH('4.2 ACE EFF WOL'!R$4,'7. PGE_Efficacité'!$A$4:$AO$4,0)+62),0)</f>
        <v>0</v>
      </c>
      <c r="S20" s="139">
        <f>VLOOKUP($E20,'7. PGE_Efficacité'!$A$6:$CY$266,(MATCH('4.2 ACE EFF WOL'!S$4,'7. PGE_Efficacité'!$A$4:$AO$4,0)+62),0)</f>
        <v>0</v>
      </c>
      <c r="T20" s="139">
        <f>VLOOKUP($E20,'7. PGE_Efficacité'!$A$6:$CY$266,(MATCH('4.2 ACE EFF WOL'!T$4,'7. PGE_Efficacité'!$A$4:$AO$4,0)+62),0)</f>
        <v>0</v>
      </c>
      <c r="U20" s="139">
        <f>VLOOKUP($E20,'7. PGE_Efficacité'!$A$6:$CY$266,(MATCH('4.2 ACE EFF WOL'!U$4,'7. PGE_Efficacité'!$A$4:$AO$4,0)+62),0)</f>
        <v>0</v>
      </c>
      <c r="V20" s="139">
        <f>VLOOKUP($E20,'7. PGE_Efficacité'!$A$6:$CY$266,(MATCH('4.2 ACE EFF WOL'!V$4,'7. PGE_Efficacité'!$A$4:$AO$4,0)+62),0)</f>
        <v>0</v>
      </c>
      <c r="W20" s="139">
        <f>VLOOKUP($E20,'7. PGE_Efficacité'!$A$6:$CY$266,(MATCH('4.2 ACE EFF WOL'!W$4,'7. PGE_Efficacité'!$A$4:$AO$4,0)+62),0)</f>
        <v>0</v>
      </c>
      <c r="X20" s="139">
        <f>VLOOKUP($E20,'7. PGE_Efficacité'!$A$6:$CY$266,(MATCH('4.2 ACE EFF WOL'!X$4,'7. PGE_Efficacité'!$A$4:$AO$4,0)+62),0)</f>
        <v>0</v>
      </c>
      <c r="Y20" s="139">
        <f>VLOOKUP($E20,'7. PGE_Efficacité'!$A$6:$CY$266,(MATCH('4.2 ACE EFF WOL'!Y$4,'7. PGE_Efficacité'!$A$4:$AO$4,0)+62),0)</f>
        <v>0</v>
      </c>
      <c r="Z20" s="139">
        <f>VLOOKUP($E20,'7. PGE_Efficacité'!$A$6:$CY$266,(MATCH('4.2 ACE EFF WOL'!Z$4,'7. PGE_Efficacité'!$A$4:$AO$4,0)+62),0)</f>
        <v>0</v>
      </c>
      <c r="AA20" s="139">
        <f>VLOOKUP($E20,'7. PGE_Efficacité'!$A$6:$CY$266,(MATCH('4.2 ACE EFF WOL'!AA$4,'7. PGE_Efficacité'!$A$4:$AO$4,0)+62),0)</f>
        <v>0</v>
      </c>
      <c r="AB20" s="139">
        <f>VLOOKUP($E20,'7. PGE_Efficacité'!$A$6:$CY$266,(MATCH('4.2 ACE EFF WOL'!AB$4,'7. PGE_Efficacité'!$A$4:$AO$4,0)+62),0)</f>
        <v>0</v>
      </c>
      <c r="AC20" s="139">
        <f>VLOOKUP($E20,'7. PGE_Efficacité'!$A$6:$CY$266,(MATCH('4.2 ACE EFF WOL'!AC$4,'7. PGE_Efficacité'!$A$4:$AO$4,0)+62),0)</f>
        <v>0</v>
      </c>
      <c r="AD20" s="139">
        <f>VLOOKUP($E20,'7. PGE_Efficacité'!$A$6:$CY$266,(MATCH('4.2 ACE EFF WOL'!AD$4,'7. PGE_Efficacité'!$A$4:$AO$4,0)+62),0)</f>
        <v>0</v>
      </c>
      <c r="AE20" s="139">
        <f>VLOOKUP($E20,'7. PGE_Efficacité'!$A$6:$CY$266,(MATCH('4.2 ACE EFF WOL'!AE$4,'7. PGE_Efficacité'!$A$4:$AO$4,0)+62),0)</f>
        <v>0</v>
      </c>
      <c r="AF20" s="139">
        <f>VLOOKUP($E20,'7. PGE_Efficacité'!$A$6:$CY$266,(MATCH('4.2 ACE EFF WOL'!AF$4,'7. PGE_Efficacité'!$A$4:$AO$4,0)+62),0)</f>
        <v>0</v>
      </c>
      <c r="AG20" s="139">
        <f>VLOOKUP($E20,'7. PGE_Efficacité'!$A$6:$CY$266,(MATCH('4.2 ACE EFF WOL'!AG$4,'7. PGE_Efficacité'!$A$4:$AO$4,0)+62),0)</f>
        <v>0</v>
      </c>
      <c r="AH20" s="139">
        <f>VLOOKUP($E20,'7. PGE_Efficacité'!$A$6:$CY$266,(MATCH('4.2 ACE EFF WOL'!AH$4,'7. PGE_Efficacité'!$A$4:$AO$4,0)+62),0)</f>
        <v>0</v>
      </c>
      <c r="AI20" s="139">
        <f>VLOOKUP($E20,'7. PGE_Efficacité'!$A$6:$CY$266,(MATCH('4.2 ACE EFF WOL'!AI$4,'7. PGE_Efficacité'!$A$4:$AO$4,0)+62),0)</f>
        <v>0</v>
      </c>
      <c r="AJ20" s="139">
        <f>VLOOKUP($E20,'7. PGE_Efficacité'!$A$6:$CY$266,(MATCH('4.2 ACE EFF WOL'!AJ$4,'7. PGE_Efficacité'!$A$4:$AO$4,0)+62),0)</f>
        <v>0</v>
      </c>
      <c r="AK20" s="139">
        <f>VLOOKUP($E20,'7. PGE_Efficacité'!$A$6:$CY$266,(MATCH('4.2 ACE EFF WOL'!AK$4,'7. PGE_Efficacité'!$A$4:$AO$4,0)+62),0)</f>
        <v>0</v>
      </c>
      <c r="AL20" s="139">
        <f>VLOOKUP($E20,'7. PGE_Efficacité'!$A$6:$CY$266,(MATCH('4.2 ACE EFF WOL'!AL$4,'7. PGE_Efficacité'!$A$4:$AO$4,0)+62),0)</f>
        <v>0</v>
      </c>
      <c r="AM20" s="139">
        <f>VLOOKUP($E20,'7. PGE_Efficacité'!$A$6:$CY$266,(MATCH('4.2 ACE EFF WOL'!AM$4,'7. PGE_Efficacité'!$A$4:$AO$4,0)+62),0)</f>
        <v>0</v>
      </c>
      <c r="AN20" s="139">
        <f>VLOOKUP($E20,'7. PGE_Efficacité'!$A$6:$CY$266,(MATCH('4.2 ACE EFF WOL'!AN$4,'7. PGE_Efficacité'!$A$4:$AO$4,0)+62),0)</f>
        <v>0</v>
      </c>
    </row>
    <row r="21" spans="1:40" hidden="1" outlineLevel="2" x14ac:dyDescent="0.25">
      <c r="A21" s="48" t="s">
        <v>1524</v>
      </c>
      <c r="B21" s="49">
        <v>3</v>
      </c>
      <c r="C21" s="48" t="s">
        <v>1524</v>
      </c>
      <c r="D21" s="199" t="s">
        <v>2</v>
      </c>
      <c r="E21" s="200" t="s">
        <v>776</v>
      </c>
      <c r="F21" s="200" t="s">
        <v>1414</v>
      </c>
      <c r="G21" s="201" t="s">
        <v>1520</v>
      </c>
      <c r="H21" s="200" t="s">
        <v>416</v>
      </c>
      <c r="I21" s="202">
        <v>50000</v>
      </c>
      <c r="J21" s="139">
        <f>VLOOKUP($E21,'7. PGE_Efficacité'!$A$6:$CY$266,(MATCH('4.2 ACE EFF WOL'!J$4,'7. PGE_Efficacité'!$A$4:$AO$4,0)+62),0)</f>
        <v>0</v>
      </c>
      <c r="K21" s="139">
        <f>VLOOKUP($E21,'7. PGE_Efficacité'!$A$6:$CY$266,(MATCH('4.2 ACE EFF WOL'!K$4,'7. PGE_Efficacité'!$A$4:$AO$4,0)+62),0)</f>
        <v>0</v>
      </c>
      <c r="L21" s="139">
        <f>VLOOKUP($E21,'7. PGE_Efficacité'!$A$6:$CY$266,(MATCH('4.2 ACE EFF WOL'!L$4,'7. PGE_Efficacité'!$A$4:$AO$4,0)+62),0)</f>
        <v>0</v>
      </c>
      <c r="M21" s="139">
        <f>VLOOKUP($E21,'7. PGE_Efficacité'!$A$6:$CY$266,(MATCH('4.2 ACE EFF WOL'!M$4,'7. PGE_Efficacité'!$A$4:$AO$4,0)+62),0)</f>
        <v>0</v>
      </c>
      <c r="N21" s="139">
        <f>VLOOKUP($E21,'7. PGE_Efficacité'!$A$6:$CY$266,(MATCH('4.2 ACE EFF WOL'!N$4,'7. PGE_Efficacité'!$A$4:$AO$4,0)+62),0)</f>
        <v>0</v>
      </c>
      <c r="O21" s="139">
        <f>VLOOKUP($E21,'7. PGE_Efficacité'!$A$6:$CY$266,78,0)</f>
        <v>0</v>
      </c>
      <c r="P21" s="139">
        <f>VLOOKUP($E21,'7. PGE_Efficacité'!$A$6:$CY$266,(MATCH('4.2 ACE EFF WOL'!P$4,'7. PGE_Efficacité'!$A$4:$AO$4,0)+62),0)</f>
        <v>0</v>
      </c>
      <c r="Q21" s="139">
        <f>VLOOKUP($E21,'7. PGE_Efficacité'!$A$6:$CY$266,(MATCH('4.2 ACE EFF WOL'!Q$4,'7. PGE_Efficacité'!$A$4:$AO$4,0)+62),0)</f>
        <v>0</v>
      </c>
      <c r="R21" s="139">
        <f>VLOOKUP($E21,'7. PGE_Efficacité'!$A$6:$CY$266,(MATCH('4.2 ACE EFF WOL'!R$4,'7. PGE_Efficacité'!$A$4:$AO$4,0)+62),0)</f>
        <v>0</v>
      </c>
      <c r="S21" s="139">
        <f>VLOOKUP($E21,'7. PGE_Efficacité'!$A$6:$CY$266,(MATCH('4.2 ACE EFF WOL'!S$4,'7. PGE_Efficacité'!$A$4:$AO$4,0)+62),0)</f>
        <v>0</v>
      </c>
      <c r="T21" s="139">
        <f>VLOOKUP($E21,'7. PGE_Efficacité'!$A$6:$CY$266,(MATCH('4.2 ACE EFF WOL'!T$4,'7. PGE_Efficacité'!$A$4:$AO$4,0)+62),0)</f>
        <v>0</v>
      </c>
      <c r="U21" s="139">
        <f>VLOOKUP($E21,'7. PGE_Efficacité'!$A$6:$CY$266,(MATCH('4.2 ACE EFF WOL'!U$4,'7. PGE_Efficacité'!$A$4:$AO$4,0)+62),0)</f>
        <v>0</v>
      </c>
      <c r="V21" s="139">
        <f>VLOOKUP($E21,'7. PGE_Efficacité'!$A$6:$CY$266,(MATCH('4.2 ACE EFF WOL'!V$4,'7. PGE_Efficacité'!$A$4:$AO$4,0)+62),0)</f>
        <v>0</v>
      </c>
      <c r="W21" s="139">
        <f>VLOOKUP($E21,'7. PGE_Efficacité'!$A$6:$CY$266,(MATCH('4.2 ACE EFF WOL'!W$4,'7. PGE_Efficacité'!$A$4:$AO$4,0)+62),0)</f>
        <v>0</v>
      </c>
      <c r="X21" s="139">
        <f>VLOOKUP($E21,'7. PGE_Efficacité'!$A$6:$CY$266,(MATCH('4.2 ACE EFF WOL'!X$4,'7. PGE_Efficacité'!$A$4:$AO$4,0)+62),0)</f>
        <v>0</v>
      </c>
      <c r="Y21" s="139">
        <f>VLOOKUP($E21,'7. PGE_Efficacité'!$A$6:$CY$266,(MATCH('4.2 ACE EFF WOL'!Y$4,'7. PGE_Efficacité'!$A$4:$AO$4,0)+62),0)</f>
        <v>0</v>
      </c>
      <c r="Z21" s="139">
        <f>VLOOKUP($E21,'7. PGE_Efficacité'!$A$6:$CY$266,(MATCH('4.2 ACE EFF WOL'!Z$4,'7. PGE_Efficacité'!$A$4:$AO$4,0)+62),0)</f>
        <v>0</v>
      </c>
      <c r="AA21" s="139">
        <f>VLOOKUP($E21,'7. PGE_Efficacité'!$A$6:$CY$266,(MATCH('4.2 ACE EFF WOL'!AA$4,'7. PGE_Efficacité'!$A$4:$AO$4,0)+62),0)</f>
        <v>0</v>
      </c>
      <c r="AB21" s="139">
        <f>VLOOKUP($E21,'7. PGE_Efficacité'!$A$6:$CY$266,(MATCH('4.2 ACE EFF WOL'!AB$4,'7. PGE_Efficacité'!$A$4:$AO$4,0)+62),0)</f>
        <v>0</v>
      </c>
      <c r="AC21" s="139">
        <f>VLOOKUP($E21,'7. PGE_Efficacité'!$A$6:$CY$266,(MATCH('4.2 ACE EFF WOL'!AC$4,'7. PGE_Efficacité'!$A$4:$AO$4,0)+62),0)</f>
        <v>0</v>
      </c>
      <c r="AD21" s="139">
        <f>VLOOKUP($E21,'7. PGE_Efficacité'!$A$6:$CY$266,(MATCH('4.2 ACE EFF WOL'!AD$4,'7. PGE_Efficacité'!$A$4:$AO$4,0)+62),0)</f>
        <v>0</v>
      </c>
      <c r="AE21" s="139">
        <f>VLOOKUP($E21,'7. PGE_Efficacité'!$A$6:$CY$266,(MATCH('4.2 ACE EFF WOL'!AE$4,'7. PGE_Efficacité'!$A$4:$AO$4,0)+62),0)</f>
        <v>0</v>
      </c>
      <c r="AF21" s="139">
        <f>VLOOKUP($E21,'7. PGE_Efficacité'!$A$6:$CY$266,(MATCH('4.2 ACE EFF WOL'!AF$4,'7. PGE_Efficacité'!$A$4:$AO$4,0)+62),0)</f>
        <v>0</v>
      </c>
      <c r="AG21" s="139">
        <f>VLOOKUP($E21,'7. PGE_Efficacité'!$A$6:$CY$266,(MATCH('4.2 ACE EFF WOL'!AG$4,'7. PGE_Efficacité'!$A$4:$AO$4,0)+62),0)</f>
        <v>0</v>
      </c>
      <c r="AH21" s="139">
        <f>VLOOKUP($E21,'7. PGE_Efficacité'!$A$6:$CY$266,(MATCH('4.2 ACE EFF WOL'!AH$4,'7. PGE_Efficacité'!$A$4:$AO$4,0)+62),0)</f>
        <v>0</v>
      </c>
      <c r="AI21" s="139">
        <f>VLOOKUP($E21,'7. PGE_Efficacité'!$A$6:$CY$266,(MATCH('4.2 ACE EFF WOL'!AI$4,'7. PGE_Efficacité'!$A$4:$AO$4,0)+62),0)</f>
        <v>0</v>
      </c>
      <c r="AJ21" s="139">
        <f>VLOOKUP($E21,'7. PGE_Efficacité'!$A$6:$CY$266,(MATCH('4.2 ACE EFF WOL'!AJ$4,'7. PGE_Efficacité'!$A$4:$AO$4,0)+62),0)</f>
        <v>0</v>
      </c>
      <c r="AK21" s="139">
        <f>VLOOKUP($E21,'7. PGE_Efficacité'!$A$6:$CY$266,(MATCH('4.2 ACE EFF WOL'!AK$4,'7. PGE_Efficacité'!$A$4:$AO$4,0)+62),0)</f>
        <v>0</v>
      </c>
      <c r="AL21" s="139">
        <f>VLOOKUP($E21,'7. PGE_Efficacité'!$A$6:$CY$266,(MATCH('4.2 ACE EFF WOL'!AL$4,'7. PGE_Efficacité'!$A$4:$AO$4,0)+62),0)</f>
        <v>0</v>
      </c>
      <c r="AM21" s="139">
        <f>VLOOKUP($E21,'7. PGE_Efficacité'!$A$6:$CY$266,(MATCH('4.2 ACE EFF WOL'!AM$4,'7. PGE_Efficacité'!$A$4:$AO$4,0)+62),0)</f>
        <v>0</v>
      </c>
      <c r="AN21" s="139">
        <f>VLOOKUP($E21,'7. PGE_Efficacité'!$A$6:$CY$266,(MATCH('4.2 ACE EFF WOL'!AN$4,'7. PGE_Efficacité'!$A$4:$AO$4,0)+62),0)</f>
        <v>0</v>
      </c>
    </row>
    <row r="22" spans="1:40" hidden="1" outlineLevel="2" x14ac:dyDescent="0.25">
      <c r="A22" s="48" t="s">
        <v>1524</v>
      </c>
      <c r="B22" s="49">
        <v>3</v>
      </c>
      <c r="C22" s="48" t="s">
        <v>1525</v>
      </c>
      <c r="D22" s="199" t="s">
        <v>2</v>
      </c>
      <c r="E22" s="200" t="s">
        <v>777</v>
      </c>
      <c r="F22" s="200" t="s">
        <v>1415</v>
      </c>
      <c r="G22" s="201" t="s">
        <v>1520</v>
      </c>
      <c r="H22" s="200" t="s">
        <v>416</v>
      </c>
      <c r="I22" s="202">
        <v>100000</v>
      </c>
      <c r="J22" s="139">
        <f>VLOOKUP($E22,'7. PGE_Efficacité'!$A$6:$CY$266,(MATCH('4.2 ACE EFF WOL'!J$4,'7. PGE_Efficacité'!$A$4:$AO$4,0)+62),0)</f>
        <v>0</v>
      </c>
      <c r="K22" s="139">
        <f>VLOOKUP($E22,'7. PGE_Efficacité'!$A$6:$CY$266,(MATCH('4.2 ACE EFF WOL'!K$4,'7. PGE_Efficacité'!$A$4:$AO$4,0)+62),0)</f>
        <v>0</v>
      </c>
      <c r="L22" s="139">
        <f>VLOOKUP($E22,'7. PGE_Efficacité'!$A$6:$CY$266,(MATCH('4.2 ACE EFF WOL'!L$4,'7. PGE_Efficacité'!$A$4:$AO$4,0)+62),0)</f>
        <v>0</v>
      </c>
      <c r="M22" s="139">
        <f>VLOOKUP($E22,'7. PGE_Efficacité'!$A$6:$CY$266,(MATCH('4.2 ACE EFF WOL'!M$4,'7. PGE_Efficacité'!$A$4:$AO$4,0)+62),0)</f>
        <v>0</v>
      </c>
      <c r="N22" s="139">
        <f>VLOOKUP($E22,'7. PGE_Efficacité'!$A$6:$CY$266,(MATCH('4.2 ACE EFF WOL'!N$4,'7. PGE_Efficacité'!$A$4:$AO$4,0)+62),0)</f>
        <v>0</v>
      </c>
      <c r="O22" s="139">
        <f>VLOOKUP($E22,'7. PGE_Efficacité'!$A$6:$CY$266,78,0)</f>
        <v>0</v>
      </c>
      <c r="P22" s="139">
        <f>VLOOKUP($E22,'7. PGE_Efficacité'!$A$6:$CY$266,(MATCH('4.2 ACE EFF WOL'!P$4,'7. PGE_Efficacité'!$A$4:$AO$4,0)+62),0)</f>
        <v>0</v>
      </c>
      <c r="Q22" s="139">
        <f>VLOOKUP($E22,'7. PGE_Efficacité'!$A$6:$CY$266,(MATCH('4.2 ACE EFF WOL'!Q$4,'7. PGE_Efficacité'!$A$4:$AO$4,0)+62),0)</f>
        <v>0</v>
      </c>
      <c r="R22" s="139">
        <f>VLOOKUP($E22,'7. PGE_Efficacité'!$A$6:$CY$266,(MATCH('4.2 ACE EFF WOL'!R$4,'7. PGE_Efficacité'!$A$4:$AO$4,0)+62),0)</f>
        <v>0</v>
      </c>
      <c r="S22" s="139">
        <f>VLOOKUP($E22,'7. PGE_Efficacité'!$A$6:$CY$266,(MATCH('4.2 ACE EFF WOL'!S$4,'7. PGE_Efficacité'!$A$4:$AO$4,0)+62),0)</f>
        <v>0</v>
      </c>
      <c r="T22" s="139">
        <f>VLOOKUP($E22,'7. PGE_Efficacité'!$A$6:$CY$266,(MATCH('4.2 ACE EFF WOL'!T$4,'7. PGE_Efficacité'!$A$4:$AO$4,0)+62),0)</f>
        <v>0</v>
      </c>
      <c r="U22" s="139">
        <f>VLOOKUP($E22,'7. PGE_Efficacité'!$A$6:$CY$266,(MATCH('4.2 ACE EFF WOL'!U$4,'7. PGE_Efficacité'!$A$4:$AO$4,0)+62),0)</f>
        <v>0</v>
      </c>
      <c r="V22" s="139">
        <f>VLOOKUP($E22,'7. PGE_Efficacité'!$A$6:$CY$266,(MATCH('4.2 ACE EFF WOL'!V$4,'7. PGE_Efficacité'!$A$4:$AO$4,0)+62),0)</f>
        <v>0</v>
      </c>
      <c r="W22" s="139">
        <f>VLOOKUP($E22,'7. PGE_Efficacité'!$A$6:$CY$266,(MATCH('4.2 ACE EFF WOL'!W$4,'7. PGE_Efficacité'!$A$4:$AO$4,0)+62),0)</f>
        <v>0</v>
      </c>
      <c r="X22" s="139">
        <f>VLOOKUP($E22,'7. PGE_Efficacité'!$A$6:$CY$266,(MATCH('4.2 ACE EFF WOL'!X$4,'7. PGE_Efficacité'!$A$4:$AO$4,0)+62),0)</f>
        <v>0</v>
      </c>
      <c r="Y22" s="139">
        <f>VLOOKUP($E22,'7. PGE_Efficacité'!$A$6:$CY$266,(MATCH('4.2 ACE EFF WOL'!Y$4,'7. PGE_Efficacité'!$A$4:$AO$4,0)+62),0)</f>
        <v>0</v>
      </c>
      <c r="Z22" s="139">
        <f>VLOOKUP($E22,'7. PGE_Efficacité'!$A$6:$CY$266,(MATCH('4.2 ACE EFF WOL'!Z$4,'7. PGE_Efficacité'!$A$4:$AO$4,0)+62),0)</f>
        <v>0</v>
      </c>
      <c r="AA22" s="139">
        <f>VLOOKUP($E22,'7. PGE_Efficacité'!$A$6:$CY$266,(MATCH('4.2 ACE EFF WOL'!AA$4,'7. PGE_Efficacité'!$A$4:$AO$4,0)+62),0)</f>
        <v>0</v>
      </c>
      <c r="AB22" s="139">
        <f>VLOOKUP($E22,'7. PGE_Efficacité'!$A$6:$CY$266,(MATCH('4.2 ACE EFF WOL'!AB$4,'7. PGE_Efficacité'!$A$4:$AO$4,0)+62),0)</f>
        <v>0</v>
      </c>
      <c r="AC22" s="139">
        <f>VLOOKUP($E22,'7. PGE_Efficacité'!$A$6:$CY$266,(MATCH('4.2 ACE EFF WOL'!AC$4,'7. PGE_Efficacité'!$A$4:$AO$4,0)+62),0)</f>
        <v>0</v>
      </c>
      <c r="AD22" s="139">
        <f>VLOOKUP($E22,'7. PGE_Efficacité'!$A$6:$CY$266,(MATCH('4.2 ACE EFF WOL'!AD$4,'7. PGE_Efficacité'!$A$4:$AO$4,0)+62),0)</f>
        <v>0</v>
      </c>
      <c r="AE22" s="139">
        <f>VLOOKUP($E22,'7. PGE_Efficacité'!$A$6:$CY$266,(MATCH('4.2 ACE EFF WOL'!AE$4,'7. PGE_Efficacité'!$A$4:$AO$4,0)+62),0)</f>
        <v>0</v>
      </c>
      <c r="AF22" s="139">
        <f>VLOOKUP($E22,'7. PGE_Efficacité'!$A$6:$CY$266,(MATCH('4.2 ACE EFF WOL'!AF$4,'7. PGE_Efficacité'!$A$4:$AO$4,0)+62),0)</f>
        <v>0</v>
      </c>
      <c r="AG22" s="139" t="str">
        <f>VLOOKUP($E22,'7. PGE_Efficacité'!$A$6:$CY$266,(MATCH('4.2 ACE EFF WOL'!AG$4,'7. PGE_Efficacité'!$A$4:$AO$4,0)+62),0)</f>
        <v>++</v>
      </c>
      <c r="AH22" s="139">
        <f>VLOOKUP($E22,'7. PGE_Efficacité'!$A$6:$CY$266,(MATCH('4.2 ACE EFF WOL'!AH$4,'7. PGE_Efficacité'!$A$4:$AO$4,0)+62),0)</f>
        <v>0</v>
      </c>
      <c r="AI22" s="139">
        <f>VLOOKUP($E22,'7. PGE_Efficacité'!$A$6:$CY$266,(MATCH('4.2 ACE EFF WOL'!AI$4,'7. PGE_Efficacité'!$A$4:$AO$4,0)+62),0)</f>
        <v>0</v>
      </c>
      <c r="AJ22" s="139">
        <f>VLOOKUP($E22,'7. PGE_Efficacité'!$A$6:$CY$266,(MATCH('4.2 ACE EFF WOL'!AJ$4,'7. PGE_Efficacité'!$A$4:$AO$4,0)+62),0)</f>
        <v>0</v>
      </c>
      <c r="AK22" s="139">
        <f>VLOOKUP($E22,'7. PGE_Efficacité'!$A$6:$CY$266,(MATCH('4.2 ACE EFF WOL'!AK$4,'7. PGE_Efficacité'!$A$4:$AO$4,0)+62),0)</f>
        <v>0</v>
      </c>
      <c r="AL22" s="139">
        <f>VLOOKUP($E22,'7. PGE_Efficacité'!$A$6:$CY$266,(MATCH('4.2 ACE EFF WOL'!AL$4,'7. PGE_Efficacité'!$A$4:$AO$4,0)+62),0)</f>
        <v>0</v>
      </c>
      <c r="AM22" s="139">
        <f>VLOOKUP($E22,'7. PGE_Efficacité'!$A$6:$CY$266,(MATCH('4.2 ACE EFF WOL'!AM$4,'7. PGE_Efficacité'!$A$4:$AO$4,0)+62),0)</f>
        <v>0</v>
      </c>
      <c r="AN22" s="139" t="str">
        <f>VLOOKUP($E22,'7. PGE_Efficacité'!$A$6:$CY$266,(MATCH('4.2 ACE EFF WOL'!AN$4,'7. PGE_Efficacité'!$A$4:$AO$4,0)+62),0)</f>
        <v>++</v>
      </c>
    </row>
    <row r="23" spans="1:40" hidden="1" outlineLevel="2" x14ac:dyDescent="0.25">
      <c r="A23" s="48" t="s">
        <v>1524</v>
      </c>
      <c r="B23" s="49">
        <v>3</v>
      </c>
      <c r="C23" s="48" t="s">
        <v>1526</v>
      </c>
      <c r="D23" s="199" t="s">
        <v>2</v>
      </c>
      <c r="E23" s="200" t="s">
        <v>778</v>
      </c>
      <c r="F23" s="200" t="s">
        <v>1416</v>
      </c>
      <c r="G23" s="201" t="s">
        <v>1520</v>
      </c>
      <c r="H23" s="200" t="s">
        <v>416</v>
      </c>
      <c r="I23" s="202">
        <v>0</v>
      </c>
      <c r="J23" s="139">
        <f>VLOOKUP($E23,'7. PGE_Efficacité'!$A$6:$CY$266,(MATCH('4.2 ACE EFF WOL'!J$4,'7. PGE_Efficacité'!$A$4:$AO$4,0)+62),0)</f>
        <v>0</v>
      </c>
      <c r="K23" s="139">
        <f>VLOOKUP($E23,'7. PGE_Efficacité'!$A$6:$CY$266,(MATCH('4.2 ACE EFF WOL'!K$4,'7. PGE_Efficacité'!$A$4:$AO$4,0)+62),0)</f>
        <v>0</v>
      </c>
      <c r="L23" s="139">
        <f>VLOOKUP($E23,'7. PGE_Efficacité'!$A$6:$CY$266,(MATCH('4.2 ACE EFF WOL'!L$4,'7. PGE_Efficacité'!$A$4:$AO$4,0)+62),0)</f>
        <v>0</v>
      </c>
      <c r="M23" s="139">
        <f>VLOOKUP($E23,'7. PGE_Efficacité'!$A$6:$CY$266,(MATCH('4.2 ACE EFF WOL'!M$4,'7. PGE_Efficacité'!$A$4:$AO$4,0)+62),0)</f>
        <v>0</v>
      </c>
      <c r="N23" s="139">
        <f>VLOOKUP($E23,'7. PGE_Efficacité'!$A$6:$CY$266,(MATCH('4.2 ACE EFF WOL'!N$4,'7. PGE_Efficacité'!$A$4:$AO$4,0)+62),0)</f>
        <v>0</v>
      </c>
      <c r="O23" s="139">
        <f>VLOOKUP($E23,'7. PGE_Efficacité'!$A$6:$CY$266,78,0)</f>
        <v>0</v>
      </c>
      <c r="P23" s="139">
        <f>VLOOKUP($E23,'7. PGE_Efficacité'!$A$6:$CY$266,(MATCH('4.2 ACE EFF WOL'!P$4,'7. PGE_Efficacité'!$A$4:$AO$4,0)+62),0)</f>
        <v>0</v>
      </c>
      <c r="Q23" s="139">
        <f>VLOOKUP($E23,'7. PGE_Efficacité'!$A$6:$CY$266,(MATCH('4.2 ACE EFF WOL'!Q$4,'7. PGE_Efficacité'!$A$4:$AO$4,0)+62),0)</f>
        <v>0</v>
      </c>
      <c r="R23" s="139">
        <f>VLOOKUP($E23,'7. PGE_Efficacité'!$A$6:$CY$266,(MATCH('4.2 ACE EFF WOL'!R$4,'7. PGE_Efficacité'!$A$4:$AO$4,0)+62),0)</f>
        <v>0</v>
      </c>
      <c r="S23" s="139">
        <f>VLOOKUP($E23,'7. PGE_Efficacité'!$A$6:$CY$266,(MATCH('4.2 ACE EFF WOL'!S$4,'7. PGE_Efficacité'!$A$4:$AO$4,0)+62),0)</f>
        <v>0</v>
      </c>
      <c r="T23" s="139">
        <f>VLOOKUP($E23,'7. PGE_Efficacité'!$A$6:$CY$266,(MATCH('4.2 ACE EFF WOL'!T$4,'7. PGE_Efficacité'!$A$4:$AO$4,0)+62),0)</f>
        <v>0</v>
      </c>
      <c r="U23" s="139">
        <f>VLOOKUP($E23,'7. PGE_Efficacité'!$A$6:$CY$266,(MATCH('4.2 ACE EFF WOL'!U$4,'7. PGE_Efficacité'!$A$4:$AO$4,0)+62),0)</f>
        <v>0</v>
      </c>
      <c r="V23" s="139">
        <f>VLOOKUP($E23,'7. PGE_Efficacité'!$A$6:$CY$266,(MATCH('4.2 ACE EFF WOL'!V$4,'7. PGE_Efficacité'!$A$4:$AO$4,0)+62),0)</f>
        <v>0</v>
      </c>
      <c r="W23" s="139">
        <f>VLOOKUP($E23,'7. PGE_Efficacité'!$A$6:$CY$266,(MATCH('4.2 ACE EFF WOL'!W$4,'7. PGE_Efficacité'!$A$4:$AO$4,0)+62),0)</f>
        <v>0</v>
      </c>
      <c r="X23" s="139">
        <f>VLOOKUP($E23,'7. PGE_Efficacité'!$A$6:$CY$266,(MATCH('4.2 ACE EFF WOL'!X$4,'7. PGE_Efficacité'!$A$4:$AO$4,0)+62),0)</f>
        <v>0</v>
      </c>
      <c r="Y23" s="139">
        <f>VLOOKUP($E23,'7. PGE_Efficacité'!$A$6:$CY$266,(MATCH('4.2 ACE EFF WOL'!Y$4,'7. PGE_Efficacité'!$A$4:$AO$4,0)+62),0)</f>
        <v>0</v>
      </c>
      <c r="Z23" s="139">
        <f>VLOOKUP($E23,'7. PGE_Efficacité'!$A$6:$CY$266,(MATCH('4.2 ACE EFF WOL'!Z$4,'7. PGE_Efficacité'!$A$4:$AO$4,0)+62),0)</f>
        <v>0</v>
      </c>
      <c r="AA23" s="139">
        <f>VLOOKUP($E23,'7. PGE_Efficacité'!$A$6:$CY$266,(MATCH('4.2 ACE EFF WOL'!AA$4,'7. PGE_Efficacité'!$A$4:$AO$4,0)+62),0)</f>
        <v>0</v>
      </c>
      <c r="AB23" s="139">
        <f>VLOOKUP($E23,'7. PGE_Efficacité'!$A$6:$CY$266,(MATCH('4.2 ACE EFF WOL'!AB$4,'7. PGE_Efficacité'!$A$4:$AO$4,0)+62),0)</f>
        <v>0</v>
      </c>
      <c r="AC23" s="139">
        <f>VLOOKUP($E23,'7. PGE_Efficacité'!$A$6:$CY$266,(MATCH('4.2 ACE EFF WOL'!AC$4,'7. PGE_Efficacité'!$A$4:$AO$4,0)+62),0)</f>
        <v>0</v>
      </c>
      <c r="AD23" s="139">
        <f>VLOOKUP($E23,'7. PGE_Efficacité'!$A$6:$CY$266,(MATCH('4.2 ACE EFF WOL'!AD$4,'7. PGE_Efficacité'!$A$4:$AO$4,0)+62),0)</f>
        <v>0</v>
      </c>
      <c r="AE23" s="139">
        <f>VLOOKUP($E23,'7. PGE_Efficacité'!$A$6:$CY$266,(MATCH('4.2 ACE EFF WOL'!AE$4,'7. PGE_Efficacité'!$A$4:$AO$4,0)+62),0)</f>
        <v>0</v>
      </c>
      <c r="AF23" s="139">
        <f>VLOOKUP($E23,'7. PGE_Efficacité'!$A$6:$CY$266,(MATCH('4.2 ACE EFF WOL'!AF$4,'7. PGE_Efficacité'!$A$4:$AO$4,0)+62),0)</f>
        <v>0</v>
      </c>
      <c r="AG23" s="139" t="str">
        <f>VLOOKUP($E23,'7. PGE_Efficacité'!$A$6:$CY$266,(MATCH('4.2 ACE EFF WOL'!AG$4,'7. PGE_Efficacité'!$A$4:$AO$4,0)+62),0)</f>
        <v>++</v>
      </c>
      <c r="AH23" s="139">
        <f>VLOOKUP($E23,'7. PGE_Efficacité'!$A$6:$CY$266,(MATCH('4.2 ACE EFF WOL'!AH$4,'7. PGE_Efficacité'!$A$4:$AO$4,0)+62),0)</f>
        <v>0</v>
      </c>
      <c r="AI23" s="139">
        <f>VLOOKUP($E23,'7. PGE_Efficacité'!$A$6:$CY$266,(MATCH('4.2 ACE EFF WOL'!AI$4,'7. PGE_Efficacité'!$A$4:$AO$4,0)+62),0)</f>
        <v>0</v>
      </c>
      <c r="AJ23" s="139">
        <f>VLOOKUP($E23,'7. PGE_Efficacité'!$A$6:$CY$266,(MATCH('4.2 ACE EFF WOL'!AJ$4,'7. PGE_Efficacité'!$A$4:$AO$4,0)+62),0)</f>
        <v>0</v>
      </c>
      <c r="AK23" s="139">
        <f>VLOOKUP($E23,'7. PGE_Efficacité'!$A$6:$CY$266,(MATCH('4.2 ACE EFF WOL'!AK$4,'7. PGE_Efficacité'!$A$4:$AO$4,0)+62),0)</f>
        <v>0</v>
      </c>
      <c r="AL23" s="139">
        <f>VLOOKUP($E23,'7. PGE_Efficacité'!$A$6:$CY$266,(MATCH('4.2 ACE EFF WOL'!AL$4,'7. PGE_Efficacité'!$A$4:$AO$4,0)+62),0)</f>
        <v>0</v>
      </c>
      <c r="AM23" s="139">
        <f>VLOOKUP($E23,'7. PGE_Efficacité'!$A$6:$CY$266,(MATCH('4.2 ACE EFF WOL'!AM$4,'7. PGE_Efficacité'!$A$4:$AO$4,0)+62),0)</f>
        <v>0</v>
      </c>
      <c r="AN23" s="139" t="str">
        <f>VLOOKUP($E23,'7. PGE_Efficacité'!$A$6:$CY$266,(MATCH('4.2 ACE EFF WOL'!AN$4,'7. PGE_Efficacité'!$A$4:$AO$4,0)+62),0)</f>
        <v>++</v>
      </c>
    </row>
    <row r="24" spans="1:40" hidden="1" outlineLevel="2" x14ac:dyDescent="0.25">
      <c r="A24" s="48" t="s">
        <v>1524</v>
      </c>
      <c r="B24" s="49">
        <v>3</v>
      </c>
      <c r="C24" s="48" t="s">
        <v>1527</v>
      </c>
      <c r="D24" s="199" t="s">
        <v>2</v>
      </c>
      <c r="E24" s="200" t="s">
        <v>780</v>
      </c>
      <c r="F24" s="200" t="s">
        <v>1418</v>
      </c>
      <c r="G24" s="201" t="s">
        <v>1520</v>
      </c>
      <c r="H24" s="200" t="s">
        <v>416</v>
      </c>
      <c r="I24" s="202">
        <v>0</v>
      </c>
      <c r="J24" s="139">
        <f>VLOOKUP($E24,'7. PGE_Efficacité'!$A$6:$CY$266,(MATCH('4.2 ACE EFF WOL'!J$4,'7. PGE_Efficacité'!$A$4:$AO$4,0)+62),0)</f>
        <v>0</v>
      </c>
      <c r="K24" s="139">
        <f>VLOOKUP($E24,'7. PGE_Efficacité'!$A$6:$CY$266,(MATCH('4.2 ACE EFF WOL'!K$4,'7. PGE_Efficacité'!$A$4:$AO$4,0)+62),0)</f>
        <v>0</v>
      </c>
      <c r="L24" s="139">
        <f>VLOOKUP($E24,'7. PGE_Efficacité'!$A$6:$CY$266,(MATCH('4.2 ACE EFF WOL'!L$4,'7. PGE_Efficacité'!$A$4:$AO$4,0)+62),0)</f>
        <v>0</v>
      </c>
      <c r="M24" s="139">
        <f>VLOOKUP($E24,'7. PGE_Efficacité'!$A$6:$CY$266,(MATCH('4.2 ACE EFF WOL'!M$4,'7. PGE_Efficacité'!$A$4:$AO$4,0)+62),0)</f>
        <v>0</v>
      </c>
      <c r="N24" s="139">
        <f>VLOOKUP($E24,'7. PGE_Efficacité'!$A$6:$CY$266,(MATCH('4.2 ACE EFF WOL'!N$4,'7. PGE_Efficacité'!$A$4:$AO$4,0)+62),0)</f>
        <v>0</v>
      </c>
      <c r="O24" s="139">
        <f>VLOOKUP($E24,'7. PGE_Efficacité'!$A$6:$CY$266,78,0)</f>
        <v>0</v>
      </c>
      <c r="P24" s="139">
        <f>VLOOKUP($E24,'7. PGE_Efficacité'!$A$6:$CY$266,(MATCH('4.2 ACE EFF WOL'!P$4,'7. PGE_Efficacité'!$A$4:$AO$4,0)+62),0)</f>
        <v>0</v>
      </c>
      <c r="Q24" s="139">
        <f>VLOOKUP($E24,'7. PGE_Efficacité'!$A$6:$CY$266,(MATCH('4.2 ACE EFF WOL'!Q$4,'7. PGE_Efficacité'!$A$4:$AO$4,0)+62),0)</f>
        <v>0</v>
      </c>
      <c r="R24" s="139">
        <f>VLOOKUP($E24,'7. PGE_Efficacité'!$A$6:$CY$266,(MATCH('4.2 ACE EFF WOL'!R$4,'7. PGE_Efficacité'!$A$4:$AO$4,0)+62),0)</f>
        <v>0</v>
      </c>
      <c r="S24" s="139">
        <f>VLOOKUP($E24,'7. PGE_Efficacité'!$A$6:$CY$266,(MATCH('4.2 ACE EFF WOL'!S$4,'7. PGE_Efficacité'!$A$4:$AO$4,0)+62),0)</f>
        <v>0</v>
      </c>
      <c r="T24" s="139">
        <f>VLOOKUP($E24,'7. PGE_Efficacité'!$A$6:$CY$266,(MATCH('4.2 ACE EFF WOL'!T$4,'7. PGE_Efficacité'!$A$4:$AO$4,0)+62),0)</f>
        <v>0</v>
      </c>
      <c r="U24" s="139">
        <f>VLOOKUP($E24,'7. PGE_Efficacité'!$A$6:$CY$266,(MATCH('4.2 ACE EFF WOL'!U$4,'7. PGE_Efficacité'!$A$4:$AO$4,0)+62),0)</f>
        <v>0</v>
      </c>
      <c r="V24" s="139">
        <f>VLOOKUP($E24,'7. PGE_Efficacité'!$A$6:$CY$266,(MATCH('4.2 ACE EFF WOL'!V$4,'7. PGE_Efficacité'!$A$4:$AO$4,0)+62),0)</f>
        <v>0</v>
      </c>
      <c r="W24" s="139">
        <f>VLOOKUP($E24,'7. PGE_Efficacité'!$A$6:$CY$266,(MATCH('4.2 ACE EFF WOL'!W$4,'7. PGE_Efficacité'!$A$4:$AO$4,0)+62),0)</f>
        <v>0</v>
      </c>
      <c r="X24" s="139">
        <f>VLOOKUP($E24,'7. PGE_Efficacité'!$A$6:$CY$266,(MATCH('4.2 ACE EFF WOL'!X$4,'7. PGE_Efficacité'!$A$4:$AO$4,0)+62),0)</f>
        <v>0</v>
      </c>
      <c r="Y24" s="139">
        <f>VLOOKUP($E24,'7. PGE_Efficacité'!$A$6:$CY$266,(MATCH('4.2 ACE EFF WOL'!Y$4,'7. PGE_Efficacité'!$A$4:$AO$4,0)+62),0)</f>
        <v>0</v>
      </c>
      <c r="Z24" s="139">
        <f>VLOOKUP($E24,'7. PGE_Efficacité'!$A$6:$CY$266,(MATCH('4.2 ACE EFF WOL'!Z$4,'7. PGE_Efficacité'!$A$4:$AO$4,0)+62),0)</f>
        <v>0</v>
      </c>
      <c r="AA24" s="139">
        <f>VLOOKUP($E24,'7. PGE_Efficacité'!$A$6:$CY$266,(MATCH('4.2 ACE EFF WOL'!AA$4,'7. PGE_Efficacité'!$A$4:$AO$4,0)+62),0)</f>
        <v>0</v>
      </c>
      <c r="AB24" s="139">
        <f>VLOOKUP($E24,'7. PGE_Efficacité'!$A$6:$CY$266,(MATCH('4.2 ACE EFF WOL'!AB$4,'7. PGE_Efficacité'!$A$4:$AO$4,0)+62),0)</f>
        <v>0</v>
      </c>
      <c r="AC24" s="139">
        <f>VLOOKUP($E24,'7. PGE_Efficacité'!$A$6:$CY$266,(MATCH('4.2 ACE EFF WOL'!AC$4,'7. PGE_Efficacité'!$A$4:$AO$4,0)+62),0)</f>
        <v>0</v>
      </c>
      <c r="AD24" s="139">
        <f>VLOOKUP($E24,'7. PGE_Efficacité'!$A$6:$CY$266,(MATCH('4.2 ACE EFF WOL'!AD$4,'7. PGE_Efficacité'!$A$4:$AO$4,0)+62),0)</f>
        <v>0</v>
      </c>
      <c r="AE24" s="139">
        <f>VLOOKUP($E24,'7. PGE_Efficacité'!$A$6:$CY$266,(MATCH('4.2 ACE EFF WOL'!AE$4,'7. PGE_Efficacité'!$A$4:$AO$4,0)+62),0)</f>
        <v>0</v>
      </c>
      <c r="AF24" s="139">
        <f>VLOOKUP($E24,'7. PGE_Efficacité'!$A$6:$CY$266,(MATCH('4.2 ACE EFF WOL'!AF$4,'7. PGE_Efficacité'!$A$4:$AO$4,0)+62),0)</f>
        <v>0</v>
      </c>
      <c r="AG24" s="139">
        <f>VLOOKUP($E24,'7. PGE_Efficacité'!$A$6:$CY$266,(MATCH('4.2 ACE EFF WOL'!AG$4,'7. PGE_Efficacité'!$A$4:$AO$4,0)+62),0)</f>
        <v>0</v>
      </c>
      <c r="AH24" s="139">
        <f>VLOOKUP($E24,'7. PGE_Efficacité'!$A$6:$CY$266,(MATCH('4.2 ACE EFF WOL'!AH$4,'7. PGE_Efficacité'!$A$4:$AO$4,0)+62),0)</f>
        <v>0</v>
      </c>
      <c r="AI24" s="139">
        <f>VLOOKUP($E24,'7. PGE_Efficacité'!$A$6:$CY$266,(MATCH('4.2 ACE EFF WOL'!AI$4,'7. PGE_Efficacité'!$A$4:$AO$4,0)+62),0)</f>
        <v>0</v>
      </c>
      <c r="AJ24" s="139">
        <f>VLOOKUP($E24,'7. PGE_Efficacité'!$A$6:$CY$266,(MATCH('4.2 ACE EFF WOL'!AJ$4,'7. PGE_Efficacité'!$A$4:$AO$4,0)+62),0)</f>
        <v>0</v>
      </c>
      <c r="AK24" s="139">
        <f>VLOOKUP($E24,'7. PGE_Efficacité'!$A$6:$CY$266,(MATCH('4.2 ACE EFF WOL'!AK$4,'7. PGE_Efficacité'!$A$4:$AO$4,0)+62),0)</f>
        <v>0</v>
      </c>
      <c r="AL24" s="139">
        <f>VLOOKUP($E24,'7. PGE_Efficacité'!$A$6:$CY$266,(MATCH('4.2 ACE EFF WOL'!AL$4,'7. PGE_Efficacité'!$A$4:$AO$4,0)+62),0)</f>
        <v>0</v>
      </c>
      <c r="AM24" s="139">
        <f>VLOOKUP($E24,'7. PGE_Efficacité'!$A$6:$CY$266,(MATCH('4.2 ACE EFF WOL'!AM$4,'7. PGE_Efficacité'!$A$4:$AO$4,0)+62),0)</f>
        <v>0</v>
      </c>
      <c r="AN24" s="139">
        <f>VLOOKUP($E24,'7. PGE_Efficacité'!$A$6:$CY$266,(MATCH('4.2 ACE EFF WOL'!AN$4,'7. PGE_Efficacité'!$A$4:$AO$4,0)+62),0)</f>
        <v>0</v>
      </c>
    </row>
    <row r="25" spans="1:40" hidden="1" outlineLevel="2" x14ac:dyDescent="0.25">
      <c r="A25" s="48" t="s">
        <v>1524</v>
      </c>
      <c r="B25" s="49">
        <v>3</v>
      </c>
      <c r="C25" s="48" t="s">
        <v>1528</v>
      </c>
      <c r="D25" s="199" t="s">
        <v>2</v>
      </c>
      <c r="E25" s="200" t="s">
        <v>781</v>
      </c>
      <c r="F25" s="200" t="s">
        <v>1419</v>
      </c>
      <c r="G25" s="201" t="s">
        <v>1520</v>
      </c>
      <c r="H25" s="200" t="s">
        <v>416</v>
      </c>
      <c r="I25" s="202">
        <v>0</v>
      </c>
      <c r="J25" s="139">
        <f>VLOOKUP($E25,'7. PGE_Efficacité'!$A$6:$CY$266,(MATCH('4.2 ACE EFF WOL'!J$4,'7. PGE_Efficacité'!$A$4:$AO$4,0)+62),0)</f>
        <v>0</v>
      </c>
      <c r="K25" s="139">
        <f>VLOOKUP($E25,'7. PGE_Efficacité'!$A$6:$CY$266,(MATCH('4.2 ACE EFF WOL'!K$4,'7. PGE_Efficacité'!$A$4:$AO$4,0)+62),0)</f>
        <v>0</v>
      </c>
      <c r="L25" s="139">
        <f>VLOOKUP($E25,'7. PGE_Efficacité'!$A$6:$CY$266,(MATCH('4.2 ACE EFF WOL'!L$4,'7. PGE_Efficacité'!$A$4:$AO$4,0)+62),0)</f>
        <v>0</v>
      </c>
      <c r="M25" s="139">
        <f>VLOOKUP($E25,'7. PGE_Efficacité'!$A$6:$CY$266,(MATCH('4.2 ACE EFF WOL'!M$4,'7. PGE_Efficacité'!$A$4:$AO$4,0)+62),0)</f>
        <v>0</v>
      </c>
      <c r="N25" s="139">
        <f>VLOOKUP($E25,'7. PGE_Efficacité'!$A$6:$CY$266,(MATCH('4.2 ACE EFF WOL'!N$4,'7. PGE_Efficacité'!$A$4:$AO$4,0)+62),0)</f>
        <v>0</v>
      </c>
      <c r="O25" s="139">
        <f>VLOOKUP($E25,'7. PGE_Efficacité'!$A$6:$CY$266,78,0)</f>
        <v>0</v>
      </c>
      <c r="P25" s="139">
        <f>VLOOKUP($E25,'7. PGE_Efficacité'!$A$6:$CY$266,(MATCH('4.2 ACE EFF WOL'!P$4,'7. PGE_Efficacité'!$A$4:$AO$4,0)+62),0)</f>
        <v>0</v>
      </c>
      <c r="Q25" s="139">
        <f>VLOOKUP($E25,'7. PGE_Efficacité'!$A$6:$CY$266,(MATCH('4.2 ACE EFF WOL'!Q$4,'7. PGE_Efficacité'!$A$4:$AO$4,0)+62),0)</f>
        <v>0</v>
      </c>
      <c r="R25" s="139">
        <f>VLOOKUP($E25,'7. PGE_Efficacité'!$A$6:$CY$266,(MATCH('4.2 ACE EFF WOL'!R$4,'7. PGE_Efficacité'!$A$4:$AO$4,0)+62),0)</f>
        <v>0</v>
      </c>
      <c r="S25" s="139">
        <f>VLOOKUP($E25,'7. PGE_Efficacité'!$A$6:$CY$266,(MATCH('4.2 ACE EFF WOL'!S$4,'7. PGE_Efficacité'!$A$4:$AO$4,0)+62),0)</f>
        <v>0</v>
      </c>
      <c r="T25" s="139">
        <f>VLOOKUP($E25,'7. PGE_Efficacité'!$A$6:$CY$266,(MATCH('4.2 ACE EFF WOL'!T$4,'7. PGE_Efficacité'!$A$4:$AO$4,0)+62),0)</f>
        <v>0</v>
      </c>
      <c r="U25" s="139">
        <f>VLOOKUP($E25,'7. PGE_Efficacité'!$A$6:$CY$266,(MATCH('4.2 ACE EFF WOL'!U$4,'7. PGE_Efficacité'!$A$4:$AO$4,0)+62),0)</f>
        <v>0</v>
      </c>
      <c r="V25" s="139">
        <f>VLOOKUP($E25,'7. PGE_Efficacité'!$A$6:$CY$266,(MATCH('4.2 ACE EFF WOL'!V$4,'7. PGE_Efficacité'!$A$4:$AO$4,0)+62),0)</f>
        <v>0</v>
      </c>
      <c r="W25" s="139">
        <f>VLOOKUP($E25,'7. PGE_Efficacité'!$A$6:$CY$266,(MATCH('4.2 ACE EFF WOL'!W$4,'7. PGE_Efficacité'!$A$4:$AO$4,0)+62),0)</f>
        <v>0</v>
      </c>
      <c r="X25" s="139">
        <f>VLOOKUP($E25,'7. PGE_Efficacité'!$A$6:$CY$266,(MATCH('4.2 ACE EFF WOL'!X$4,'7. PGE_Efficacité'!$A$4:$AO$4,0)+62),0)</f>
        <v>0</v>
      </c>
      <c r="Y25" s="139">
        <f>VLOOKUP($E25,'7. PGE_Efficacité'!$A$6:$CY$266,(MATCH('4.2 ACE EFF WOL'!Y$4,'7. PGE_Efficacité'!$A$4:$AO$4,0)+62),0)</f>
        <v>0</v>
      </c>
      <c r="Z25" s="139">
        <f>VLOOKUP($E25,'7. PGE_Efficacité'!$A$6:$CY$266,(MATCH('4.2 ACE EFF WOL'!Z$4,'7. PGE_Efficacité'!$A$4:$AO$4,0)+62),0)</f>
        <v>0</v>
      </c>
      <c r="AA25" s="139">
        <f>VLOOKUP($E25,'7. PGE_Efficacité'!$A$6:$CY$266,(MATCH('4.2 ACE EFF WOL'!AA$4,'7. PGE_Efficacité'!$A$4:$AO$4,0)+62),0)</f>
        <v>0</v>
      </c>
      <c r="AB25" s="139">
        <f>VLOOKUP($E25,'7. PGE_Efficacité'!$A$6:$CY$266,(MATCH('4.2 ACE EFF WOL'!AB$4,'7. PGE_Efficacité'!$A$4:$AO$4,0)+62),0)</f>
        <v>0</v>
      </c>
      <c r="AC25" s="139">
        <f>VLOOKUP($E25,'7. PGE_Efficacité'!$A$6:$CY$266,(MATCH('4.2 ACE EFF WOL'!AC$4,'7. PGE_Efficacité'!$A$4:$AO$4,0)+62),0)</f>
        <v>0</v>
      </c>
      <c r="AD25" s="139">
        <f>VLOOKUP($E25,'7. PGE_Efficacité'!$A$6:$CY$266,(MATCH('4.2 ACE EFF WOL'!AD$4,'7. PGE_Efficacité'!$A$4:$AO$4,0)+62),0)</f>
        <v>0</v>
      </c>
      <c r="AE25" s="139">
        <f>VLOOKUP($E25,'7. PGE_Efficacité'!$A$6:$CY$266,(MATCH('4.2 ACE EFF WOL'!AE$4,'7. PGE_Efficacité'!$A$4:$AO$4,0)+62),0)</f>
        <v>0</v>
      </c>
      <c r="AF25" s="139">
        <f>VLOOKUP($E25,'7. PGE_Efficacité'!$A$6:$CY$266,(MATCH('4.2 ACE EFF WOL'!AF$4,'7. PGE_Efficacité'!$A$4:$AO$4,0)+62),0)</f>
        <v>0</v>
      </c>
      <c r="AG25" s="139">
        <f>VLOOKUP($E25,'7. PGE_Efficacité'!$A$6:$CY$266,(MATCH('4.2 ACE EFF WOL'!AG$4,'7. PGE_Efficacité'!$A$4:$AO$4,0)+62),0)</f>
        <v>0</v>
      </c>
      <c r="AH25" s="139">
        <f>VLOOKUP($E25,'7. PGE_Efficacité'!$A$6:$CY$266,(MATCH('4.2 ACE EFF WOL'!AH$4,'7. PGE_Efficacité'!$A$4:$AO$4,0)+62),0)</f>
        <v>0</v>
      </c>
      <c r="AI25" s="139">
        <f>VLOOKUP($E25,'7. PGE_Efficacité'!$A$6:$CY$266,(MATCH('4.2 ACE EFF WOL'!AI$4,'7. PGE_Efficacité'!$A$4:$AO$4,0)+62),0)</f>
        <v>0</v>
      </c>
      <c r="AJ25" s="139">
        <f>VLOOKUP($E25,'7. PGE_Efficacité'!$A$6:$CY$266,(MATCH('4.2 ACE EFF WOL'!AJ$4,'7. PGE_Efficacité'!$A$4:$AO$4,0)+62),0)</f>
        <v>0</v>
      </c>
      <c r="AK25" s="139">
        <f>VLOOKUP($E25,'7. PGE_Efficacité'!$A$6:$CY$266,(MATCH('4.2 ACE EFF WOL'!AK$4,'7. PGE_Efficacité'!$A$4:$AO$4,0)+62),0)</f>
        <v>0</v>
      </c>
      <c r="AL25" s="139">
        <f>VLOOKUP($E25,'7. PGE_Efficacité'!$A$6:$CY$266,(MATCH('4.2 ACE EFF WOL'!AL$4,'7. PGE_Efficacité'!$A$4:$AO$4,0)+62),0)</f>
        <v>0</v>
      </c>
      <c r="AM25" s="139">
        <f>VLOOKUP($E25,'7. PGE_Efficacité'!$A$6:$CY$266,(MATCH('4.2 ACE EFF WOL'!AM$4,'7. PGE_Efficacité'!$A$4:$AO$4,0)+62),0)</f>
        <v>0</v>
      </c>
      <c r="AN25" s="139">
        <f>VLOOKUP($E25,'7. PGE_Efficacité'!$A$6:$CY$266,(MATCH('4.2 ACE EFF WOL'!AN$4,'7. PGE_Efficacité'!$A$4:$AO$4,0)+62),0)</f>
        <v>0</v>
      </c>
    </row>
    <row r="26" spans="1:40" hidden="1" outlineLevel="2" x14ac:dyDescent="0.25">
      <c r="A26" s="48" t="s">
        <v>1524</v>
      </c>
      <c r="B26" s="49">
        <v>3</v>
      </c>
      <c r="C26" s="48" t="s">
        <v>1529</v>
      </c>
      <c r="D26" s="199" t="s">
        <v>2</v>
      </c>
      <c r="E26" s="200" t="s">
        <v>782</v>
      </c>
      <c r="F26" s="200" t="s">
        <v>1420</v>
      </c>
      <c r="G26" s="201" t="s">
        <v>1520</v>
      </c>
      <c r="H26" s="200" t="s">
        <v>416</v>
      </c>
      <c r="I26" s="202">
        <v>0</v>
      </c>
      <c r="J26" s="139">
        <f>VLOOKUP($E26,'7. PGE_Efficacité'!$A$6:$CY$266,(MATCH('4.2 ACE EFF WOL'!J$4,'7. PGE_Efficacité'!$A$4:$AO$4,0)+62),0)</f>
        <v>0</v>
      </c>
      <c r="K26" s="139">
        <f>VLOOKUP($E26,'7. PGE_Efficacité'!$A$6:$CY$266,(MATCH('4.2 ACE EFF WOL'!K$4,'7. PGE_Efficacité'!$A$4:$AO$4,0)+62),0)</f>
        <v>0</v>
      </c>
      <c r="L26" s="139">
        <f>VLOOKUP($E26,'7. PGE_Efficacité'!$A$6:$CY$266,(MATCH('4.2 ACE EFF WOL'!L$4,'7. PGE_Efficacité'!$A$4:$AO$4,0)+62),0)</f>
        <v>0</v>
      </c>
      <c r="M26" s="139">
        <f>VLOOKUP($E26,'7. PGE_Efficacité'!$A$6:$CY$266,(MATCH('4.2 ACE EFF WOL'!M$4,'7. PGE_Efficacité'!$A$4:$AO$4,0)+62),0)</f>
        <v>0</v>
      </c>
      <c r="N26" s="139">
        <f>VLOOKUP($E26,'7. PGE_Efficacité'!$A$6:$CY$266,(MATCH('4.2 ACE EFF WOL'!N$4,'7. PGE_Efficacité'!$A$4:$AO$4,0)+62),0)</f>
        <v>0</v>
      </c>
      <c r="O26" s="139">
        <f>VLOOKUP($E26,'7. PGE_Efficacité'!$A$6:$CY$266,78,0)</f>
        <v>0</v>
      </c>
      <c r="P26" s="139">
        <f>VLOOKUP($E26,'7. PGE_Efficacité'!$A$6:$CY$266,(MATCH('4.2 ACE EFF WOL'!P$4,'7. PGE_Efficacité'!$A$4:$AO$4,0)+62),0)</f>
        <v>0</v>
      </c>
      <c r="Q26" s="139">
        <f>VLOOKUP($E26,'7. PGE_Efficacité'!$A$6:$CY$266,(MATCH('4.2 ACE EFF WOL'!Q$4,'7. PGE_Efficacité'!$A$4:$AO$4,0)+62),0)</f>
        <v>0</v>
      </c>
      <c r="R26" s="139">
        <f>VLOOKUP($E26,'7. PGE_Efficacité'!$A$6:$CY$266,(MATCH('4.2 ACE EFF WOL'!R$4,'7. PGE_Efficacité'!$A$4:$AO$4,0)+62),0)</f>
        <v>0</v>
      </c>
      <c r="S26" s="139">
        <f>VLOOKUP($E26,'7. PGE_Efficacité'!$A$6:$CY$266,(MATCH('4.2 ACE EFF WOL'!S$4,'7. PGE_Efficacité'!$A$4:$AO$4,0)+62),0)</f>
        <v>0</v>
      </c>
      <c r="T26" s="139">
        <f>VLOOKUP($E26,'7. PGE_Efficacité'!$A$6:$CY$266,(MATCH('4.2 ACE EFF WOL'!T$4,'7. PGE_Efficacité'!$A$4:$AO$4,0)+62),0)</f>
        <v>0</v>
      </c>
      <c r="U26" s="139">
        <f>VLOOKUP($E26,'7. PGE_Efficacité'!$A$6:$CY$266,(MATCH('4.2 ACE EFF WOL'!U$4,'7. PGE_Efficacité'!$A$4:$AO$4,0)+62),0)</f>
        <v>0</v>
      </c>
      <c r="V26" s="139">
        <f>VLOOKUP($E26,'7. PGE_Efficacité'!$A$6:$CY$266,(MATCH('4.2 ACE EFF WOL'!V$4,'7. PGE_Efficacité'!$A$4:$AO$4,0)+62),0)</f>
        <v>0</v>
      </c>
      <c r="W26" s="139">
        <f>VLOOKUP($E26,'7. PGE_Efficacité'!$A$6:$CY$266,(MATCH('4.2 ACE EFF WOL'!W$4,'7. PGE_Efficacité'!$A$4:$AO$4,0)+62),0)</f>
        <v>0</v>
      </c>
      <c r="X26" s="139">
        <f>VLOOKUP($E26,'7. PGE_Efficacité'!$A$6:$CY$266,(MATCH('4.2 ACE EFF WOL'!X$4,'7. PGE_Efficacité'!$A$4:$AO$4,0)+62),0)</f>
        <v>0</v>
      </c>
      <c r="Y26" s="139">
        <f>VLOOKUP($E26,'7. PGE_Efficacité'!$A$6:$CY$266,(MATCH('4.2 ACE EFF WOL'!Y$4,'7. PGE_Efficacité'!$A$4:$AO$4,0)+62),0)</f>
        <v>0</v>
      </c>
      <c r="Z26" s="139">
        <f>VLOOKUP($E26,'7. PGE_Efficacité'!$A$6:$CY$266,(MATCH('4.2 ACE EFF WOL'!Z$4,'7. PGE_Efficacité'!$A$4:$AO$4,0)+62),0)</f>
        <v>0</v>
      </c>
      <c r="AA26" s="139">
        <f>VLOOKUP($E26,'7. PGE_Efficacité'!$A$6:$CY$266,(MATCH('4.2 ACE EFF WOL'!AA$4,'7. PGE_Efficacité'!$A$4:$AO$4,0)+62),0)</f>
        <v>0</v>
      </c>
      <c r="AB26" s="139">
        <f>VLOOKUP($E26,'7. PGE_Efficacité'!$A$6:$CY$266,(MATCH('4.2 ACE EFF WOL'!AB$4,'7. PGE_Efficacité'!$A$4:$AO$4,0)+62),0)</f>
        <v>0</v>
      </c>
      <c r="AC26" s="139">
        <f>VLOOKUP($E26,'7. PGE_Efficacité'!$A$6:$CY$266,(MATCH('4.2 ACE EFF WOL'!AC$4,'7. PGE_Efficacité'!$A$4:$AO$4,0)+62),0)</f>
        <v>0</v>
      </c>
      <c r="AD26" s="139">
        <f>VLOOKUP($E26,'7. PGE_Efficacité'!$A$6:$CY$266,(MATCH('4.2 ACE EFF WOL'!AD$4,'7. PGE_Efficacité'!$A$4:$AO$4,0)+62),0)</f>
        <v>0</v>
      </c>
      <c r="AE26" s="139">
        <f>VLOOKUP($E26,'7. PGE_Efficacité'!$A$6:$CY$266,(MATCH('4.2 ACE EFF WOL'!AE$4,'7. PGE_Efficacité'!$A$4:$AO$4,0)+62),0)</f>
        <v>0</v>
      </c>
      <c r="AF26" s="139">
        <f>VLOOKUP($E26,'7. PGE_Efficacité'!$A$6:$CY$266,(MATCH('4.2 ACE EFF WOL'!AF$4,'7. PGE_Efficacité'!$A$4:$AO$4,0)+62),0)</f>
        <v>0</v>
      </c>
      <c r="AG26" s="139" t="str">
        <f>VLOOKUP($E26,'7. PGE_Efficacité'!$A$6:$CY$266,(MATCH('4.2 ACE EFF WOL'!AG$4,'7. PGE_Efficacité'!$A$4:$AO$4,0)+62),0)</f>
        <v>+++</v>
      </c>
      <c r="AH26" s="139">
        <f>VLOOKUP($E26,'7. PGE_Efficacité'!$A$6:$CY$266,(MATCH('4.2 ACE EFF WOL'!AH$4,'7. PGE_Efficacité'!$A$4:$AO$4,0)+62),0)</f>
        <v>0</v>
      </c>
      <c r="AI26" s="139">
        <f>VLOOKUP($E26,'7. PGE_Efficacité'!$A$6:$CY$266,(MATCH('4.2 ACE EFF WOL'!AI$4,'7. PGE_Efficacité'!$A$4:$AO$4,0)+62),0)</f>
        <v>0</v>
      </c>
      <c r="AJ26" s="139">
        <f>VLOOKUP($E26,'7. PGE_Efficacité'!$A$6:$CY$266,(MATCH('4.2 ACE EFF WOL'!AJ$4,'7. PGE_Efficacité'!$A$4:$AO$4,0)+62),0)</f>
        <v>0</v>
      </c>
      <c r="AK26" s="139">
        <f>VLOOKUP($E26,'7. PGE_Efficacité'!$A$6:$CY$266,(MATCH('4.2 ACE EFF WOL'!AK$4,'7. PGE_Efficacité'!$A$4:$AO$4,0)+62),0)</f>
        <v>0</v>
      </c>
      <c r="AL26" s="139">
        <f>VLOOKUP($E26,'7. PGE_Efficacité'!$A$6:$CY$266,(MATCH('4.2 ACE EFF WOL'!AL$4,'7. PGE_Efficacité'!$A$4:$AO$4,0)+62),0)</f>
        <v>0</v>
      </c>
      <c r="AM26" s="139">
        <f>VLOOKUP($E26,'7. PGE_Efficacité'!$A$6:$CY$266,(MATCH('4.2 ACE EFF WOL'!AM$4,'7. PGE_Efficacité'!$A$4:$AO$4,0)+62),0)</f>
        <v>0</v>
      </c>
      <c r="AN26" s="139" t="str">
        <f>VLOOKUP($E26,'7. PGE_Efficacité'!$A$6:$CY$266,(MATCH('4.2 ACE EFF WOL'!AN$4,'7. PGE_Efficacité'!$A$4:$AO$4,0)+62),0)</f>
        <v>+++</v>
      </c>
    </row>
    <row r="27" spans="1:40" ht="26.25" outlineLevel="1" collapsed="1" x14ac:dyDescent="0.25">
      <c r="A27" s="48"/>
      <c r="B27" s="49"/>
      <c r="C27" s="48"/>
      <c r="D27" s="372" t="s">
        <v>3</v>
      </c>
      <c r="E27" s="195"/>
      <c r="F27" s="196" t="str">
        <f>VLOOKUP(D27,'1. Mesures'!$A$2:$B$116,2,0)</f>
        <v>Lutter contre les espèces exotiques envahissantes qui portent atteinte ou présentent un risque pour le bon potentiel écologique des masses d'eau de surface</v>
      </c>
      <c r="G27" s="197"/>
      <c r="H27" s="195"/>
      <c r="I27" s="198">
        <f>SUBTOTAL(9,I28:I41)</f>
        <v>110000</v>
      </c>
      <c r="J27" s="203">
        <f>VLOOKUP($D27,'7. PGE_Efficacité'!$A$6:$CY$266,(MATCH('4.2 ACE EFF WOL'!J$4,'7. PGE_Efficacité'!$A$4:$AO$4,0)+62),0)</f>
        <v>0</v>
      </c>
      <c r="K27" s="203">
        <f>VLOOKUP($D27,'7. PGE_Efficacité'!$A$6:$CY$266,(MATCH('4.2 ACE EFF WOL'!K$4,'7. PGE_Efficacité'!$A$4:$AO$4,0)+62),0)</f>
        <v>0</v>
      </c>
      <c r="L27" s="203">
        <f>VLOOKUP($D27,'7. PGE_Efficacité'!$A$6:$CY$266,(MATCH('4.2 ACE EFF WOL'!L$4,'7. PGE_Efficacité'!$A$4:$AO$4,0)+62),0)</f>
        <v>0</v>
      </c>
      <c r="M27" s="203">
        <f>VLOOKUP($D27,'7. PGE_Efficacité'!$A$6:$CY$266,(MATCH('4.2 ACE EFF WOL'!M$4,'7. PGE_Efficacité'!$A$4:$AO$4,0)+62),0)</f>
        <v>0</v>
      </c>
      <c r="N27" s="203">
        <f>VLOOKUP($D27,'7. PGE_Efficacité'!$A$6:$CY$266,(MATCH('4.2 ACE EFF WOL'!N$4,'7. PGE_Efficacité'!$A$4:$AO$4,0)+62),0)</f>
        <v>0</v>
      </c>
      <c r="O27" s="203">
        <f>VLOOKUP($D27,'7. PGE_Efficacité'!$A$6:$CY$266,78,0)</f>
        <v>0</v>
      </c>
      <c r="P27" s="203">
        <f>VLOOKUP($D27,'7. PGE_Efficacité'!$A$6:$CY$266,(MATCH('4.2 ACE EFF WOL'!P$4,'7. PGE_Efficacité'!$A$4:$AO$4,0)+62),0)</f>
        <v>0</v>
      </c>
      <c r="Q27" s="203">
        <f>VLOOKUP($D27,'7. PGE_Efficacité'!$A$6:$CY$266,(MATCH('4.2 ACE EFF WOL'!Q$4,'7. PGE_Efficacité'!$A$4:$AO$4,0)+62),0)</f>
        <v>0</v>
      </c>
      <c r="R27" s="203">
        <f>VLOOKUP($D27,'7. PGE_Efficacité'!$A$6:$CY$266,(MATCH('4.2 ACE EFF WOL'!R$4,'7. PGE_Efficacité'!$A$4:$AO$4,0)+62),0)</f>
        <v>0</v>
      </c>
      <c r="S27" s="203">
        <f>VLOOKUP($D27,'7. PGE_Efficacité'!$A$6:$CY$266,(MATCH('4.2 ACE EFF WOL'!S$4,'7. PGE_Efficacité'!$A$4:$AO$4,0)+62),0)</f>
        <v>0</v>
      </c>
      <c r="T27" s="203">
        <f>VLOOKUP($D27,'7. PGE_Efficacité'!$A$6:$CY$266,(MATCH('4.2 ACE EFF WOL'!T$4,'7. PGE_Efficacité'!$A$4:$AO$4,0)+62),0)</f>
        <v>0</v>
      </c>
      <c r="U27" s="203">
        <f>VLOOKUP($D27,'7. PGE_Efficacité'!$A$6:$CY$266,(MATCH('4.2 ACE EFF WOL'!U$4,'7. PGE_Efficacité'!$A$4:$AO$4,0)+62),0)</f>
        <v>0</v>
      </c>
      <c r="V27" s="203">
        <f>VLOOKUP($D27,'7. PGE_Efficacité'!$A$6:$CY$266,(MATCH('4.2 ACE EFF WOL'!V$4,'7. PGE_Efficacité'!$A$4:$AO$4,0)+62),0)</f>
        <v>0</v>
      </c>
      <c r="W27" s="203">
        <f>VLOOKUP($D27,'7. PGE_Efficacité'!$A$6:$CY$266,(MATCH('4.2 ACE EFF WOL'!W$4,'7. PGE_Efficacité'!$A$4:$AO$4,0)+62),0)</f>
        <v>0</v>
      </c>
      <c r="X27" s="203">
        <f>VLOOKUP($D27,'7. PGE_Efficacité'!$A$6:$CY$266,(MATCH('4.2 ACE EFF WOL'!X$4,'7. PGE_Efficacité'!$A$4:$AO$4,0)+62),0)</f>
        <v>0</v>
      </c>
      <c r="Y27" s="203">
        <f>VLOOKUP($D27,'7. PGE_Efficacité'!$A$6:$CY$266,(MATCH('4.2 ACE EFF WOL'!Y$4,'7. PGE_Efficacité'!$A$4:$AO$4,0)+62),0)</f>
        <v>0</v>
      </c>
      <c r="Z27" s="203">
        <f>VLOOKUP($D27,'7. PGE_Efficacité'!$A$6:$CY$266,(MATCH('4.2 ACE EFF WOL'!Z$4,'7. PGE_Efficacité'!$A$4:$AO$4,0)+62),0)</f>
        <v>0</v>
      </c>
      <c r="AA27" s="203">
        <f>VLOOKUP($D27,'7. PGE_Efficacité'!$A$6:$CY$266,(MATCH('4.2 ACE EFF WOL'!AA$4,'7. PGE_Efficacité'!$A$4:$AO$4,0)+62),0)</f>
        <v>0</v>
      </c>
      <c r="AB27" s="203">
        <f>VLOOKUP($D27,'7. PGE_Efficacité'!$A$6:$CY$266,(MATCH('4.2 ACE EFF WOL'!AB$4,'7. PGE_Efficacité'!$A$4:$AO$4,0)+62),0)</f>
        <v>0</v>
      </c>
      <c r="AC27" s="203">
        <f>VLOOKUP($D27,'7. PGE_Efficacité'!$A$6:$CY$266,(MATCH('4.2 ACE EFF WOL'!AC$4,'7. PGE_Efficacité'!$A$4:$AO$4,0)+62),0)</f>
        <v>0</v>
      </c>
      <c r="AD27" s="203">
        <f>VLOOKUP($D27,'7. PGE_Efficacité'!$A$6:$CY$266,(MATCH('4.2 ACE EFF WOL'!AD$4,'7. PGE_Efficacité'!$A$4:$AO$4,0)+62),0)</f>
        <v>0</v>
      </c>
      <c r="AE27" s="203">
        <f>VLOOKUP($D27,'7. PGE_Efficacité'!$A$6:$CY$266,(MATCH('4.2 ACE EFF WOL'!AE$4,'7. PGE_Efficacité'!$A$4:$AO$4,0)+62),0)</f>
        <v>0</v>
      </c>
      <c r="AF27" s="203">
        <f>VLOOKUP($D27,'7. PGE_Efficacité'!$A$6:$CY$266,(MATCH('4.2 ACE EFF WOL'!AF$4,'7. PGE_Efficacité'!$A$4:$AO$4,0)+62),0)</f>
        <v>0</v>
      </c>
      <c r="AG27" s="203">
        <f>VLOOKUP($D27,'7. PGE_Efficacité'!$A$6:$CY$266,(MATCH('4.2 ACE EFF WOL'!AG$4,'7. PGE_Efficacité'!$A$4:$AO$4,0)+62),0)</f>
        <v>0</v>
      </c>
      <c r="AH27" s="203">
        <f>VLOOKUP($D27,'7. PGE_Efficacité'!$A$6:$CY$266,(MATCH('4.2 ACE EFF WOL'!AH$4,'7. PGE_Efficacité'!$A$4:$AO$4,0)+62),0)</f>
        <v>0</v>
      </c>
      <c r="AI27" s="203">
        <f>VLOOKUP($D27,'7. PGE_Efficacité'!$A$6:$CY$266,(MATCH('4.2 ACE EFF WOL'!AI$4,'7. PGE_Efficacité'!$A$4:$AO$4,0)+62),0)</f>
        <v>0</v>
      </c>
      <c r="AJ27" s="203">
        <f>VLOOKUP($D27,'7. PGE_Efficacité'!$A$6:$CY$266,(MATCH('4.2 ACE EFF WOL'!AJ$4,'7. PGE_Efficacité'!$A$4:$AO$4,0)+62),0)</f>
        <v>0</v>
      </c>
      <c r="AK27" s="203">
        <f>VLOOKUP($D27,'7. PGE_Efficacité'!$A$6:$CY$266,(MATCH('4.2 ACE EFF WOL'!AK$4,'7. PGE_Efficacité'!$A$4:$AO$4,0)+62),0)</f>
        <v>0</v>
      </c>
      <c r="AL27" s="203">
        <f>VLOOKUP($D27,'7. PGE_Efficacité'!$A$6:$CY$266,(MATCH('4.2 ACE EFF WOL'!AL$4,'7. PGE_Efficacité'!$A$4:$AO$4,0)+62),0)</f>
        <v>0</v>
      </c>
      <c r="AM27" s="203" t="str">
        <f>VLOOKUP($D27,'7. PGE_Efficacité'!$A$6:$CY$266,(MATCH('4.2 ACE EFF WOL'!AM$4,'7. PGE_Efficacité'!$A$4:$AO$4,0)+62),0)</f>
        <v>++</v>
      </c>
      <c r="AN27" s="203" t="str">
        <f>VLOOKUP($D27,'7. PGE_Efficacité'!$A$6:$CY$266,(MATCH('4.2 ACE EFF WOL'!AN$4,'7. PGE_Efficacité'!$A$4:$AO$4,0)+62),0)</f>
        <v>++</v>
      </c>
    </row>
    <row r="28" spans="1:40" hidden="1" outlineLevel="2" x14ac:dyDescent="0.25">
      <c r="A28" s="48"/>
      <c r="B28" s="49"/>
      <c r="C28" s="48"/>
      <c r="D28" s="199" t="s">
        <v>3</v>
      </c>
      <c r="E28" s="200" t="s">
        <v>784</v>
      </c>
      <c r="F28" s="200" t="s">
        <v>1422</v>
      </c>
      <c r="G28" s="201" t="s">
        <v>1520</v>
      </c>
      <c r="H28" s="200" t="s">
        <v>1290</v>
      </c>
      <c r="I28" s="202">
        <v>0</v>
      </c>
      <c r="J28" s="139">
        <f>VLOOKUP($E28,'7. PGE_Efficacité'!$A$6:$CY$266,(MATCH('4.2 ACE EFF WOL'!J$4,'7. PGE_Efficacité'!$A$4:$AO$4,0)+62),0)</f>
        <v>0</v>
      </c>
      <c r="K28" s="139">
        <f>VLOOKUP($E28,'7. PGE_Efficacité'!$A$6:$CY$266,(MATCH('4.2 ACE EFF WOL'!K$4,'7. PGE_Efficacité'!$A$4:$AO$4,0)+62),0)</f>
        <v>0</v>
      </c>
      <c r="L28" s="139">
        <f>VLOOKUP($E28,'7. PGE_Efficacité'!$A$6:$CY$266,(MATCH('4.2 ACE EFF WOL'!L$4,'7. PGE_Efficacité'!$A$4:$AO$4,0)+62),0)</f>
        <v>0</v>
      </c>
      <c r="M28" s="139">
        <f>VLOOKUP($E28,'7. PGE_Efficacité'!$A$6:$CY$266,(MATCH('4.2 ACE EFF WOL'!M$4,'7. PGE_Efficacité'!$A$4:$AO$4,0)+62),0)</f>
        <v>0</v>
      </c>
      <c r="N28" s="139">
        <f>VLOOKUP($E28,'7. PGE_Efficacité'!$A$6:$CY$266,(MATCH('4.2 ACE EFF WOL'!N$4,'7. PGE_Efficacité'!$A$4:$AO$4,0)+62),0)</f>
        <v>0</v>
      </c>
      <c r="O28" s="139">
        <f>VLOOKUP($E28,'7. PGE_Efficacité'!$A$6:$CY$266,78,0)</f>
        <v>0</v>
      </c>
      <c r="P28" s="139">
        <f>VLOOKUP($E28,'7. PGE_Efficacité'!$A$6:$CY$266,(MATCH('4.2 ACE EFF WOL'!P$4,'7. PGE_Efficacité'!$A$4:$AO$4,0)+62),0)</f>
        <v>0</v>
      </c>
      <c r="Q28" s="139">
        <f>VLOOKUP($E28,'7. PGE_Efficacité'!$A$6:$CY$266,(MATCH('4.2 ACE EFF WOL'!Q$4,'7. PGE_Efficacité'!$A$4:$AO$4,0)+62),0)</f>
        <v>0</v>
      </c>
      <c r="R28" s="139">
        <f>VLOOKUP($E28,'7. PGE_Efficacité'!$A$6:$CY$266,(MATCH('4.2 ACE EFF WOL'!R$4,'7. PGE_Efficacité'!$A$4:$AO$4,0)+62),0)</f>
        <v>0</v>
      </c>
      <c r="S28" s="139">
        <f>VLOOKUP($E28,'7. PGE_Efficacité'!$A$6:$CY$266,(MATCH('4.2 ACE EFF WOL'!S$4,'7. PGE_Efficacité'!$A$4:$AO$4,0)+62),0)</f>
        <v>0</v>
      </c>
      <c r="T28" s="139">
        <f>VLOOKUP($E28,'7. PGE_Efficacité'!$A$6:$CY$266,(MATCH('4.2 ACE EFF WOL'!T$4,'7. PGE_Efficacité'!$A$4:$AO$4,0)+62),0)</f>
        <v>0</v>
      </c>
      <c r="U28" s="139">
        <f>VLOOKUP($E28,'7. PGE_Efficacité'!$A$6:$CY$266,(MATCH('4.2 ACE EFF WOL'!U$4,'7. PGE_Efficacité'!$A$4:$AO$4,0)+62),0)</f>
        <v>0</v>
      </c>
      <c r="V28" s="139">
        <f>VLOOKUP($E28,'7. PGE_Efficacité'!$A$6:$CY$266,(MATCH('4.2 ACE EFF WOL'!V$4,'7. PGE_Efficacité'!$A$4:$AO$4,0)+62),0)</f>
        <v>0</v>
      </c>
      <c r="W28" s="139">
        <f>VLOOKUP($E28,'7. PGE_Efficacité'!$A$6:$CY$266,(MATCH('4.2 ACE EFF WOL'!W$4,'7. PGE_Efficacité'!$A$4:$AO$4,0)+62),0)</f>
        <v>0</v>
      </c>
      <c r="X28" s="139">
        <f>VLOOKUP($E28,'7. PGE_Efficacité'!$A$6:$CY$266,(MATCH('4.2 ACE EFF WOL'!X$4,'7. PGE_Efficacité'!$A$4:$AO$4,0)+62),0)</f>
        <v>0</v>
      </c>
      <c r="Y28" s="139">
        <f>VLOOKUP($E28,'7. PGE_Efficacité'!$A$6:$CY$266,(MATCH('4.2 ACE EFF WOL'!Y$4,'7. PGE_Efficacité'!$A$4:$AO$4,0)+62),0)</f>
        <v>0</v>
      </c>
      <c r="Z28" s="139">
        <f>VLOOKUP($E28,'7. PGE_Efficacité'!$A$6:$CY$266,(MATCH('4.2 ACE EFF WOL'!Z$4,'7. PGE_Efficacité'!$A$4:$AO$4,0)+62),0)</f>
        <v>0</v>
      </c>
      <c r="AA28" s="139">
        <f>VLOOKUP($E28,'7. PGE_Efficacité'!$A$6:$CY$266,(MATCH('4.2 ACE EFF WOL'!AA$4,'7. PGE_Efficacité'!$A$4:$AO$4,0)+62),0)</f>
        <v>0</v>
      </c>
      <c r="AB28" s="139">
        <f>VLOOKUP($E28,'7. PGE_Efficacité'!$A$6:$CY$266,(MATCH('4.2 ACE EFF WOL'!AB$4,'7. PGE_Efficacité'!$A$4:$AO$4,0)+62),0)</f>
        <v>0</v>
      </c>
      <c r="AC28" s="139">
        <f>VLOOKUP($E28,'7. PGE_Efficacité'!$A$6:$CY$266,(MATCH('4.2 ACE EFF WOL'!AC$4,'7. PGE_Efficacité'!$A$4:$AO$4,0)+62),0)</f>
        <v>0</v>
      </c>
      <c r="AD28" s="139">
        <f>VLOOKUP($E28,'7. PGE_Efficacité'!$A$6:$CY$266,(MATCH('4.2 ACE EFF WOL'!AD$4,'7. PGE_Efficacité'!$A$4:$AO$4,0)+62),0)</f>
        <v>0</v>
      </c>
      <c r="AE28" s="139">
        <f>VLOOKUP($E28,'7. PGE_Efficacité'!$A$6:$CY$266,(MATCH('4.2 ACE EFF WOL'!AE$4,'7. PGE_Efficacité'!$A$4:$AO$4,0)+62),0)</f>
        <v>0</v>
      </c>
      <c r="AF28" s="139">
        <f>VLOOKUP($E28,'7. PGE_Efficacité'!$A$6:$CY$266,(MATCH('4.2 ACE EFF WOL'!AF$4,'7. PGE_Efficacité'!$A$4:$AO$4,0)+62),0)</f>
        <v>0</v>
      </c>
      <c r="AG28" s="139">
        <f>VLOOKUP($E28,'7. PGE_Efficacité'!$A$6:$CY$266,(MATCH('4.2 ACE EFF WOL'!AG$4,'7. PGE_Efficacité'!$A$4:$AO$4,0)+62),0)</f>
        <v>0</v>
      </c>
      <c r="AH28" s="139">
        <f>VLOOKUP($E28,'7. PGE_Efficacité'!$A$6:$CY$266,(MATCH('4.2 ACE EFF WOL'!AH$4,'7. PGE_Efficacité'!$A$4:$AO$4,0)+62),0)</f>
        <v>0</v>
      </c>
      <c r="AI28" s="139">
        <f>VLOOKUP($E28,'7. PGE_Efficacité'!$A$6:$CY$266,(MATCH('4.2 ACE EFF WOL'!AI$4,'7. PGE_Efficacité'!$A$4:$AO$4,0)+62),0)</f>
        <v>0</v>
      </c>
      <c r="AJ28" s="139">
        <f>VLOOKUP($E28,'7. PGE_Efficacité'!$A$6:$CY$266,(MATCH('4.2 ACE EFF WOL'!AJ$4,'7. PGE_Efficacité'!$A$4:$AO$4,0)+62),0)</f>
        <v>0</v>
      </c>
      <c r="AK28" s="139">
        <f>VLOOKUP($E28,'7. PGE_Efficacité'!$A$6:$CY$266,(MATCH('4.2 ACE EFF WOL'!AK$4,'7. PGE_Efficacité'!$A$4:$AO$4,0)+62),0)</f>
        <v>0</v>
      </c>
      <c r="AL28" s="139">
        <f>VLOOKUP($E28,'7. PGE_Efficacité'!$A$6:$CY$266,(MATCH('4.2 ACE EFF WOL'!AL$4,'7. PGE_Efficacité'!$A$4:$AO$4,0)+62),0)</f>
        <v>0</v>
      </c>
      <c r="AM28" s="139">
        <f>VLOOKUP($E28,'7. PGE_Efficacité'!$A$6:$CY$266,(MATCH('4.2 ACE EFF WOL'!AM$4,'7. PGE_Efficacité'!$A$4:$AO$4,0)+62),0)</f>
        <v>0</v>
      </c>
      <c r="AN28" s="139">
        <f>VLOOKUP($E28,'7. PGE_Efficacité'!$A$6:$CY$266,(MATCH('4.2 ACE EFF WOL'!AN$4,'7. PGE_Efficacité'!$A$4:$AO$4,0)+62),0)</f>
        <v>0</v>
      </c>
    </row>
    <row r="29" spans="1:40" hidden="1" outlineLevel="2" x14ac:dyDescent="0.25">
      <c r="A29" s="48" t="s">
        <v>1524</v>
      </c>
      <c r="B29" s="49">
        <v>4</v>
      </c>
      <c r="C29" s="48" t="s">
        <v>1524</v>
      </c>
      <c r="D29" s="199" t="s">
        <v>3</v>
      </c>
      <c r="E29" s="200" t="s">
        <v>789</v>
      </c>
      <c r="F29" s="200" t="s">
        <v>1427</v>
      </c>
      <c r="G29" s="201" t="s">
        <v>1520</v>
      </c>
      <c r="H29" s="200" t="s">
        <v>1290</v>
      </c>
      <c r="I29" s="202">
        <v>0</v>
      </c>
      <c r="J29" s="139">
        <f>VLOOKUP($E29,'7. PGE_Efficacité'!$A$6:$CY$266,(MATCH('4.2 ACE EFF WOL'!J$4,'7. PGE_Efficacité'!$A$4:$AO$4,0)+62),0)</f>
        <v>0</v>
      </c>
      <c r="K29" s="139">
        <f>VLOOKUP($E29,'7. PGE_Efficacité'!$A$6:$CY$266,(MATCH('4.2 ACE EFF WOL'!K$4,'7. PGE_Efficacité'!$A$4:$AO$4,0)+62),0)</f>
        <v>0</v>
      </c>
      <c r="L29" s="139">
        <f>VLOOKUP($E29,'7. PGE_Efficacité'!$A$6:$CY$266,(MATCH('4.2 ACE EFF WOL'!L$4,'7. PGE_Efficacité'!$A$4:$AO$4,0)+62),0)</f>
        <v>0</v>
      </c>
      <c r="M29" s="139">
        <f>VLOOKUP($E29,'7. PGE_Efficacité'!$A$6:$CY$266,(MATCH('4.2 ACE EFF WOL'!M$4,'7. PGE_Efficacité'!$A$4:$AO$4,0)+62),0)</f>
        <v>0</v>
      </c>
      <c r="N29" s="139">
        <f>VLOOKUP($E29,'7. PGE_Efficacité'!$A$6:$CY$266,(MATCH('4.2 ACE EFF WOL'!N$4,'7. PGE_Efficacité'!$A$4:$AO$4,0)+62),0)</f>
        <v>0</v>
      </c>
      <c r="O29" s="139">
        <f>VLOOKUP($E29,'7. PGE_Efficacité'!$A$6:$CY$266,78,0)</f>
        <v>0</v>
      </c>
      <c r="P29" s="139">
        <f>VLOOKUP($E29,'7. PGE_Efficacité'!$A$6:$CY$266,(MATCH('4.2 ACE EFF WOL'!P$4,'7. PGE_Efficacité'!$A$4:$AO$4,0)+62),0)</f>
        <v>0</v>
      </c>
      <c r="Q29" s="139">
        <f>VLOOKUP($E29,'7. PGE_Efficacité'!$A$6:$CY$266,(MATCH('4.2 ACE EFF WOL'!Q$4,'7. PGE_Efficacité'!$A$4:$AO$4,0)+62),0)</f>
        <v>0</v>
      </c>
      <c r="R29" s="139">
        <f>VLOOKUP($E29,'7. PGE_Efficacité'!$A$6:$CY$266,(MATCH('4.2 ACE EFF WOL'!R$4,'7. PGE_Efficacité'!$A$4:$AO$4,0)+62),0)</f>
        <v>0</v>
      </c>
      <c r="S29" s="139">
        <f>VLOOKUP($E29,'7. PGE_Efficacité'!$A$6:$CY$266,(MATCH('4.2 ACE EFF WOL'!S$4,'7. PGE_Efficacité'!$A$4:$AO$4,0)+62),0)</f>
        <v>0</v>
      </c>
      <c r="T29" s="139">
        <f>VLOOKUP($E29,'7. PGE_Efficacité'!$A$6:$CY$266,(MATCH('4.2 ACE EFF WOL'!T$4,'7. PGE_Efficacité'!$A$4:$AO$4,0)+62),0)</f>
        <v>0</v>
      </c>
      <c r="U29" s="139">
        <f>VLOOKUP($E29,'7. PGE_Efficacité'!$A$6:$CY$266,(MATCH('4.2 ACE EFF WOL'!U$4,'7. PGE_Efficacité'!$A$4:$AO$4,0)+62),0)</f>
        <v>0</v>
      </c>
      <c r="V29" s="139">
        <f>VLOOKUP($E29,'7. PGE_Efficacité'!$A$6:$CY$266,(MATCH('4.2 ACE EFF WOL'!V$4,'7. PGE_Efficacité'!$A$4:$AO$4,0)+62),0)</f>
        <v>0</v>
      </c>
      <c r="W29" s="139">
        <f>VLOOKUP($E29,'7. PGE_Efficacité'!$A$6:$CY$266,(MATCH('4.2 ACE EFF WOL'!W$4,'7. PGE_Efficacité'!$A$4:$AO$4,0)+62),0)</f>
        <v>0</v>
      </c>
      <c r="X29" s="139">
        <f>VLOOKUP($E29,'7. PGE_Efficacité'!$A$6:$CY$266,(MATCH('4.2 ACE EFF WOL'!X$4,'7. PGE_Efficacité'!$A$4:$AO$4,0)+62),0)</f>
        <v>0</v>
      </c>
      <c r="Y29" s="139">
        <f>VLOOKUP($E29,'7. PGE_Efficacité'!$A$6:$CY$266,(MATCH('4.2 ACE EFF WOL'!Y$4,'7. PGE_Efficacité'!$A$4:$AO$4,0)+62),0)</f>
        <v>0</v>
      </c>
      <c r="Z29" s="139">
        <f>VLOOKUP($E29,'7. PGE_Efficacité'!$A$6:$CY$266,(MATCH('4.2 ACE EFF WOL'!Z$4,'7. PGE_Efficacité'!$A$4:$AO$4,0)+62),0)</f>
        <v>0</v>
      </c>
      <c r="AA29" s="139">
        <f>VLOOKUP($E29,'7. PGE_Efficacité'!$A$6:$CY$266,(MATCH('4.2 ACE EFF WOL'!AA$4,'7. PGE_Efficacité'!$A$4:$AO$4,0)+62),0)</f>
        <v>0</v>
      </c>
      <c r="AB29" s="139">
        <f>VLOOKUP($E29,'7. PGE_Efficacité'!$A$6:$CY$266,(MATCH('4.2 ACE EFF WOL'!AB$4,'7. PGE_Efficacité'!$A$4:$AO$4,0)+62),0)</f>
        <v>0</v>
      </c>
      <c r="AC29" s="139">
        <f>VLOOKUP($E29,'7. PGE_Efficacité'!$A$6:$CY$266,(MATCH('4.2 ACE EFF WOL'!AC$4,'7. PGE_Efficacité'!$A$4:$AO$4,0)+62),0)</f>
        <v>0</v>
      </c>
      <c r="AD29" s="139">
        <f>VLOOKUP($E29,'7. PGE_Efficacité'!$A$6:$CY$266,(MATCH('4.2 ACE EFF WOL'!AD$4,'7. PGE_Efficacité'!$A$4:$AO$4,0)+62),0)</f>
        <v>0</v>
      </c>
      <c r="AE29" s="139">
        <f>VLOOKUP($E29,'7. PGE_Efficacité'!$A$6:$CY$266,(MATCH('4.2 ACE EFF WOL'!AE$4,'7. PGE_Efficacité'!$A$4:$AO$4,0)+62),0)</f>
        <v>0</v>
      </c>
      <c r="AF29" s="139">
        <f>VLOOKUP($E29,'7. PGE_Efficacité'!$A$6:$CY$266,(MATCH('4.2 ACE EFF WOL'!AF$4,'7. PGE_Efficacité'!$A$4:$AO$4,0)+62),0)</f>
        <v>0</v>
      </c>
      <c r="AG29" s="139">
        <f>VLOOKUP($E29,'7. PGE_Efficacité'!$A$6:$CY$266,(MATCH('4.2 ACE EFF WOL'!AG$4,'7. PGE_Efficacité'!$A$4:$AO$4,0)+62),0)</f>
        <v>0</v>
      </c>
      <c r="AH29" s="139">
        <f>VLOOKUP($E29,'7. PGE_Efficacité'!$A$6:$CY$266,(MATCH('4.2 ACE EFF WOL'!AH$4,'7. PGE_Efficacité'!$A$4:$AO$4,0)+62),0)</f>
        <v>0</v>
      </c>
      <c r="AI29" s="139">
        <f>VLOOKUP($E29,'7. PGE_Efficacité'!$A$6:$CY$266,(MATCH('4.2 ACE EFF WOL'!AI$4,'7. PGE_Efficacité'!$A$4:$AO$4,0)+62),0)</f>
        <v>0</v>
      </c>
      <c r="AJ29" s="139">
        <f>VLOOKUP($E29,'7. PGE_Efficacité'!$A$6:$CY$266,(MATCH('4.2 ACE EFF WOL'!AJ$4,'7. PGE_Efficacité'!$A$4:$AO$4,0)+62),0)</f>
        <v>0</v>
      </c>
      <c r="AK29" s="139">
        <f>VLOOKUP($E29,'7. PGE_Efficacité'!$A$6:$CY$266,(MATCH('4.2 ACE EFF WOL'!AK$4,'7. PGE_Efficacité'!$A$4:$AO$4,0)+62),0)</f>
        <v>0</v>
      </c>
      <c r="AL29" s="139">
        <f>VLOOKUP($E29,'7. PGE_Efficacité'!$A$6:$CY$266,(MATCH('4.2 ACE EFF WOL'!AL$4,'7. PGE_Efficacité'!$A$4:$AO$4,0)+62),0)</f>
        <v>0</v>
      </c>
      <c r="AM29" s="139">
        <f>VLOOKUP($E29,'7. PGE_Efficacité'!$A$6:$CY$266,(MATCH('4.2 ACE EFF WOL'!AM$4,'7. PGE_Efficacité'!$A$4:$AO$4,0)+62),0)</f>
        <v>0</v>
      </c>
      <c r="AN29" s="139">
        <f>VLOOKUP($E29,'7. PGE_Efficacité'!$A$6:$CY$266,(MATCH('4.2 ACE EFF WOL'!AN$4,'7. PGE_Efficacité'!$A$4:$AO$4,0)+62),0)</f>
        <v>0</v>
      </c>
    </row>
    <row r="30" spans="1:40" hidden="1" outlineLevel="2" x14ac:dyDescent="0.25">
      <c r="A30" s="48" t="s">
        <v>1524</v>
      </c>
      <c r="B30" s="49">
        <v>4</v>
      </c>
      <c r="C30" s="48" t="s">
        <v>1525</v>
      </c>
      <c r="D30" s="199" t="s">
        <v>3</v>
      </c>
      <c r="E30" s="200" t="s">
        <v>790</v>
      </c>
      <c r="F30" s="200" t="s">
        <v>1428</v>
      </c>
      <c r="G30" s="201" t="s">
        <v>1520</v>
      </c>
      <c r="H30" s="200" t="s">
        <v>1290</v>
      </c>
      <c r="I30" s="202">
        <v>0</v>
      </c>
      <c r="J30" s="139">
        <f>VLOOKUP($E30,'7. PGE_Efficacité'!$A$6:$CY$266,(MATCH('4.2 ACE EFF WOL'!J$4,'7. PGE_Efficacité'!$A$4:$AO$4,0)+62),0)</f>
        <v>0</v>
      </c>
      <c r="K30" s="139">
        <f>VLOOKUP($E30,'7. PGE_Efficacité'!$A$6:$CY$266,(MATCH('4.2 ACE EFF WOL'!K$4,'7. PGE_Efficacité'!$A$4:$AO$4,0)+62),0)</f>
        <v>0</v>
      </c>
      <c r="L30" s="139">
        <f>VLOOKUP($E30,'7. PGE_Efficacité'!$A$6:$CY$266,(MATCH('4.2 ACE EFF WOL'!L$4,'7. PGE_Efficacité'!$A$4:$AO$4,0)+62),0)</f>
        <v>0</v>
      </c>
      <c r="M30" s="139">
        <f>VLOOKUP($E30,'7. PGE_Efficacité'!$A$6:$CY$266,(MATCH('4.2 ACE EFF WOL'!M$4,'7. PGE_Efficacité'!$A$4:$AO$4,0)+62),0)</f>
        <v>0</v>
      </c>
      <c r="N30" s="139">
        <f>VLOOKUP($E30,'7. PGE_Efficacité'!$A$6:$CY$266,(MATCH('4.2 ACE EFF WOL'!N$4,'7. PGE_Efficacité'!$A$4:$AO$4,0)+62),0)</f>
        <v>0</v>
      </c>
      <c r="O30" s="139">
        <f>VLOOKUP($E30,'7. PGE_Efficacité'!$A$6:$CY$266,78,0)</f>
        <v>0</v>
      </c>
      <c r="P30" s="139">
        <f>VLOOKUP($E30,'7. PGE_Efficacité'!$A$6:$CY$266,(MATCH('4.2 ACE EFF WOL'!P$4,'7. PGE_Efficacité'!$A$4:$AO$4,0)+62),0)</f>
        <v>0</v>
      </c>
      <c r="Q30" s="139">
        <f>VLOOKUP($E30,'7. PGE_Efficacité'!$A$6:$CY$266,(MATCH('4.2 ACE EFF WOL'!Q$4,'7. PGE_Efficacité'!$A$4:$AO$4,0)+62),0)</f>
        <v>0</v>
      </c>
      <c r="R30" s="139">
        <f>VLOOKUP($E30,'7. PGE_Efficacité'!$A$6:$CY$266,(MATCH('4.2 ACE EFF WOL'!R$4,'7. PGE_Efficacité'!$A$4:$AO$4,0)+62),0)</f>
        <v>0</v>
      </c>
      <c r="S30" s="139">
        <f>VLOOKUP($E30,'7. PGE_Efficacité'!$A$6:$CY$266,(MATCH('4.2 ACE EFF WOL'!S$4,'7. PGE_Efficacité'!$A$4:$AO$4,0)+62),0)</f>
        <v>0</v>
      </c>
      <c r="T30" s="139">
        <f>VLOOKUP($E30,'7. PGE_Efficacité'!$A$6:$CY$266,(MATCH('4.2 ACE EFF WOL'!T$4,'7. PGE_Efficacité'!$A$4:$AO$4,0)+62),0)</f>
        <v>0</v>
      </c>
      <c r="U30" s="139">
        <f>VLOOKUP($E30,'7. PGE_Efficacité'!$A$6:$CY$266,(MATCH('4.2 ACE EFF WOL'!U$4,'7. PGE_Efficacité'!$A$4:$AO$4,0)+62),0)</f>
        <v>0</v>
      </c>
      <c r="V30" s="139">
        <f>VLOOKUP($E30,'7. PGE_Efficacité'!$A$6:$CY$266,(MATCH('4.2 ACE EFF WOL'!V$4,'7. PGE_Efficacité'!$A$4:$AO$4,0)+62),0)</f>
        <v>0</v>
      </c>
      <c r="W30" s="139">
        <f>VLOOKUP($E30,'7. PGE_Efficacité'!$A$6:$CY$266,(MATCH('4.2 ACE EFF WOL'!W$4,'7. PGE_Efficacité'!$A$4:$AO$4,0)+62),0)</f>
        <v>0</v>
      </c>
      <c r="X30" s="139">
        <f>VLOOKUP($E30,'7. PGE_Efficacité'!$A$6:$CY$266,(MATCH('4.2 ACE EFF WOL'!X$4,'7. PGE_Efficacité'!$A$4:$AO$4,0)+62),0)</f>
        <v>0</v>
      </c>
      <c r="Y30" s="139">
        <f>VLOOKUP($E30,'7. PGE_Efficacité'!$A$6:$CY$266,(MATCH('4.2 ACE EFF WOL'!Y$4,'7. PGE_Efficacité'!$A$4:$AO$4,0)+62),0)</f>
        <v>0</v>
      </c>
      <c r="Z30" s="139">
        <f>VLOOKUP($E30,'7. PGE_Efficacité'!$A$6:$CY$266,(MATCH('4.2 ACE EFF WOL'!Z$4,'7. PGE_Efficacité'!$A$4:$AO$4,0)+62),0)</f>
        <v>0</v>
      </c>
      <c r="AA30" s="139">
        <f>VLOOKUP($E30,'7. PGE_Efficacité'!$A$6:$CY$266,(MATCH('4.2 ACE EFF WOL'!AA$4,'7. PGE_Efficacité'!$A$4:$AO$4,0)+62),0)</f>
        <v>0</v>
      </c>
      <c r="AB30" s="139">
        <f>VLOOKUP($E30,'7. PGE_Efficacité'!$A$6:$CY$266,(MATCH('4.2 ACE EFF WOL'!AB$4,'7. PGE_Efficacité'!$A$4:$AO$4,0)+62),0)</f>
        <v>0</v>
      </c>
      <c r="AC30" s="139">
        <f>VLOOKUP($E30,'7. PGE_Efficacité'!$A$6:$CY$266,(MATCH('4.2 ACE EFF WOL'!AC$4,'7. PGE_Efficacité'!$A$4:$AO$4,0)+62),0)</f>
        <v>0</v>
      </c>
      <c r="AD30" s="139">
        <f>VLOOKUP($E30,'7. PGE_Efficacité'!$A$6:$CY$266,(MATCH('4.2 ACE EFF WOL'!AD$4,'7. PGE_Efficacité'!$A$4:$AO$4,0)+62),0)</f>
        <v>0</v>
      </c>
      <c r="AE30" s="139">
        <f>VLOOKUP($E30,'7. PGE_Efficacité'!$A$6:$CY$266,(MATCH('4.2 ACE EFF WOL'!AE$4,'7. PGE_Efficacité'!$A$4:$AO$4,0)+62),0)</f>
        <v>0</v>
      </c>
      <c r="AF30" s="139">
        <f>VLOOKUP($E30,'7. PGE_Efficacité'!$A$6:$CY$266,(MATCH('4.2 ACE EFF WOL'!AF$4,'7. PGE_Efficacité'!$A$4:$AO$4,0)+62),0)</f>
        <v>0</v>
      </c>
      <c r="AG30" s="139">
        <f>VLOOKUP($E30,'7. PGE_Efficacité'!$A$6:$CY$266,(MATCH('4.2 ACE EFF WOL'!AG$4,'7. PGE_Efficacité'!$A$4:$AO$4,0)+62),0)</f>
        <v>0</v>
      </c>
      <c r="AH30" s="139">
        <f>VLOOKUP($E30,'7. PGE_Efficacité'!$A$6:$CY$266,(MATCH('4.2 ACE EFF WOL'!AH$4,'7. PGE_Efficacité'!$A$4:$AO$4,0)+62),0)</f>
        <v>0</v>
      </c>
      <c r="AI30" s="139">
        <f>VLOOKUP($E30,'7. PGE_Efficacité'!$A$6:$CY$266,(MATCH('4.2 ACE EFF WOL'!AI$4,'7. PGE_Efficacité'!$A$4:$AO$4,0)+62),0)</f>
        <v>0</v>
      </c>
      <c r="AJ30" s="139">
        <f>VLOOKUP($E30,'7. PGE_Efficacité'!$A$6:$CY$266,(MATCH('4.2 ACE EFF WOL'!AJ$4,'7. PGE_Efficacité'!$A$4:$AO$4,0)+62),0)</f>
        <v>0</v>
      </c>
      <c r="AK30" s="139">
        <f>VLOOKUP($E30,'7. PGE_Efficacité'!$A$6:$CY$266,(MATCH('4.2 ACE EFF WOL'!AK$4,'7. PGE_Efficacité'!$A$4:$AO$4,0)+62),0)</f>
        <v>0</v>
      </c>
      <c r="AL30" s="139">
        <f>VLOOKUP($E30,'7. PGE_Efficacité'!$A$6:$CY$266,(MATCH('4.2 ACE EFF WOL'!AL$4,'7. PGE_Efficacité'!$A$4:$AO$4,0)+62),0)</f>
        <v>0</v>
      </c>
      <c r="AM30" s="139">
        <f>VLOOKUP($E30,'7. PGE_Efficacité'!$A$6:$CY$266,(MATCH('4.2 ACE EFF WOL'!AM$4,'7. PGE_Efficacité'!$A$4:$AO$4,0)+62),0)</f>
        <v>0</v>
      </c>
      <c r="AN30" s="139">
        <f>VLOOKUP($E30,'7. PGE_Efficacité'!$A$6:$CY$266,(MATCH('4.2 ACE EFF WOL'!AN$4,'7. PGE_Efficacité'!$A$4:$AO$4,0)+62),0)</f>
        <v>0</v>
      </c>
    </row>
    <row r="31" spans="1:40" hidden="1" outlineLevel="2" x14ac:dyDescent="0.25">
      <c r="A31" s="48" t="s">
        <v>1524</v>
      </c>
      <c r="B31" s="49">
        <v>4</v>
      </c>
      <c r="C31" s="48" t="s">
        <v>1526</v>
      </c>
      <c r="D31" s="199" t="s">
        <v>3</v>
      </c>
      <c r="E31" s="200" t="s">
        <v>791</v>
      </c>
      <c r="F31" s="200" t="s">
        <v>1429</v>
      </c>
      <c r="G31" s="201" t="s">
        <v>1520</v>
      </c>
      <c r="H31" s="200" t="s">
        <v>1290</v>
      </c>
      <c r="I31" s="202">
        <v>0</v>
      </c>
      <c r="J31" s="139">
        <f>VLOOKUP($E31,'7. PGE_Efficacité'!$A$6:$CY$266,(MATCH('4.2 ACE EFF WOL'!J$4,'7. PGE_Efficacité'!$A$4:$AO$4,0)+62),0)</f>
        <v>0</v>
      </c>
      <c r="K31" s="139">
        <f>VLOOKUP($E31,'7. PGE_Efficacité'!$A$6:$CY$266,(MATCH('4.2 ACE EFF WOL'!K$4,'7. PGE_Efficacité'!$A$4:$AO$4,0)+62),0)</f>
        <v>0</v>
      </c>
      <c r="L31" s="139">
        <f>VLOOKUP($E31,'7. PGE_Efficacité'!$A$6:$CY$266,(MATCH('4.2 ACE EFF WOL'!L$4,'7. PGE_Efficacité'!$A$4:$AO$4,0)+62),0)</f>
        <v>0</v>
      </c>
      <c r="M31" s="139">
        <f>VLOOKUP($E31,'7. PGE_Efficacité'!$A$6:$CY$266,(MATCH('4.2 ACE EFF WOL'!M$4,'7. PGE_Efficacité'!$A$4:$AO$4,0)+62),0)</f>
        <v>0</v>
      </c>
      <c r="N31" s="139">
        <f>VLOOKUP($E31,'7. PGE_Efficacité'!$A$6:$CY$266,(MATCH('4.2 ACE EFF WOL'!N$4,'7. PGE_Efficacité'!$A$4:$AO$4,0)+62),0)</f>
        <v>0</v>
      </c>
      <c r="O31" s="139">
        <f>VLOOKUP($E31,'7. PGE_Efficacité'!$A$6:$CY$266,78,0)</f>
        <v>0</v>
      </c>
      <c r="P31" s="139">
        <f>VLOOKUP($E31,'7. PGE_Efficacité'!$A$6:$CY$266,(MATCH('4.2 ACE EFF WOL'!P$4,'7. PGE_Efficacité'!$A$4:$AO$4,0)+62),0)</f>
        <v>0</v>
      </c>
      <c r="Q31" s="139">
        <f>VLOOKUP($E31,'7. PGE_Efficacité'!$A$6:$CY$266,(MATCH('4.2 ACE EFF WOL'!Q$4,'7. PGE_Efficacité'!$A$4:$AO$4,0)+62),0)</f>
        <v>0</v>
      </c>
      <c r="R31" s="139">
        <f>VLOOKUP($E31,'7. PGE_Efficacité'!$A$6:$CY$266,(MATCH('4.2 ACE EFF WOL'!R$4,'7. PGE_Efficacité'!$A$4:$AO$4,0)+62),0)</f>
        <v>0</v>
      </c>
      <c r="S31" s="139">
        <f>VLOOKUP($E31,'7. PGE_Efficacité'!$A$6:$CY$266,(MATCH('4.2 ACE EFF WOL'!S$4,'7. PGE_Efficacité'!$A$4:$AO$4,0)+62),0)</f>
        <v>0</v>
      </c>
      <c r="T31" s="139">
        <f>VLOOKUP($E31,'7. PGE_Efficacité'!$A$6:$CY$266,(MATCH('4.2 ACE EFF WOL'!T$4,'7. PGE_Efficacité'!$A$4:$AO$4,0)+62),0)</f>
        <v>0</v>
      </c>
      <c r="U31" s="139">
        <f>VLOOKUP($E31,'7. PGE_Efficacité'!$A$6:$CY$266,(MATCH('4.2 ACE EFF WOL'!U$4,'7. PGE_Efficacité'!$A$4:$AO$4,0)+62),0)</f>
        <v>0</v>
      </c>
      <c r="V31" s="139">
        <f>VLOOKUP($E31,'7. PGE_Efficacité'!$A$6:$CY$266,(MATCH('4.2 ACE EFF WOL'!V$4,'7. PGE_Efficacité'!$A$4:$AO$4,0)+62),0)</f>
        <v>0</v>
      </c>
      <c r="W31" s="139">
        <f>VLOOKUP($E31,'7. PGE_Efficacité'!$A$6:$CY$266,(MATCH('4.2 ACE EFF WOL'!W$4,'7. PGE_Efficacité'!$A$4:$AO$4,0)+62),0)</f>
        <v>0</v>
      </c>
      <c r="X31" s="139">
        <f>VLOOKUP($E31,'7. PGE_Efficacité'!$A$6:$CY$266,(MATCH('4.2 ACE EFF WOL'!X$4,'7. PGE_Efficacité'!$A$4:$AO$4,0)+62),0)</f>
        <v>0</v>
      </c>
      <c r="Y31" s="139">
        <f>VLOOKUP($E31,'7. PGE_Efficacité'!$A$6:$CY$266,(MATCH('4.2 ACE EFF WOL'!Y$4,'7. PGE_Efficacité'!$A$4:$AO$4,0)+62),0)</f>
        <v>0</v>
      </c>
      <c r="Z31" s="139">
        <f>VLOOKUP($E31,'7. PGE_Efficacité'!$A$6:$CY$266,(MATCH('4.2 ACE EFF WOL'!Z$4,'7. PGE_Efficacité'!$A$4:$AO$4,0)+62),0)</f>
        <v>0</v>
      </c>
      <c r="AA31" s="139">
        <f>VLOOKUP($E31,'7. PGE_Efficacité'!$A$6:$CY$266,(MATCH('4.2 ACE EFF WOL'!AA$4,'7. PGE_Efficacité'!$A$4:$AO$4,0)+62),0)</f>
        <v>0</v>
      </c>
      <c r="AB31" s="139">
        <f>VLOOKUP($E31,'7. PGE_Efficacité'!$A$6:$CY$266,(MATCH('4.2 ACE EFF WOL'!AB$4,'7. PGE_Efficacité'!$A$4:$AO$4,0)+62),0)</f>
        <v>0</v>
      </c>
      <c r="AC31" s="139">
        <f>VLOOKUP($E31,'7. PGE_Efficacité'!$A$6:$CY$266,(MATCH('4.2 ACE EFF WOL'!AC$4,'7. PGE_Efficacité'!$A$4:$AO$4,0)+62),0)</f>
        <v>0</v>
      </c>
      <c r="AD31" s="139">
        <f>VLOOKUP($E31,'7. PGE_Efficacité'!$A$6:$CY$266,(MATCH('4.2 ACE EFF WOL'!AD$4,'7. PGE_Efficacité'!$A$4:$AO$4,0)+62),0)</f>
        <v>0</v>
      </c>
      <c r="AE31" s="139">
        <f>VLOOKUP($E31,'7. PGE_Efficacité'!$A$6:$CY$266,(MATCH('4.2 ACE EFF WOL'!AE$4,'7. PGE_Efficacité'!$A$4:$AO$4,0)+62),0)</f>
        <v>0</v>
      </c>
      <c r="AF31" s="139">
        <f>VLOOKUP($E31,'7. PGE_Efficacité'!$A$6:$CY$266,(MATCH('4.2 ACE EFF WOL'!AF$4,'7. PGE_Efficacité'!$A$4:$AO$4,0)+62),0)</f>
        <v>0</v>
      </c>
      <c r="AG31" s="139">
        <f>VLOOKUP($E31,'7. PGE_Efficacité'!$A$6:$CY$266,(MATCH('4.2 ACE EFF WOL'!AG$4,'7. PGE_Efficacité'!$A$4:$AO$4,0)+62),0)</f>
        <v>0</v>
      </c>
      <c r="AH31" s="139">
        <f>VLOOKUP($E31,'7. PGE_Efficacité'!$A$6:$CY$266,(MATCH('4.2 ACE EFF WOL'!AH$4,'7. PGE_Efficacité'!$A$4:$AO$4,0)+62),0)</f>
        <v>0</v>
      </c>
      <c r="AI31" s="139">
        <f>VLOOKUP($E31,'7. PGE_Efficacité'!$A$6:$CY$266,(MATCH('4.2 ACE EFF WOL'!AI$4,'7. PGE_Efficacité'!$A$4:$AO$4,0)+62),0)</f>
        <v>0</v>
      </c>
      <c r="AJ31" s="139">
        <f>VLOOKUP($E31,'7. PGE_Efficacité'!$A$6:$CY$266,(MATCH('4.2 ACE EFF WOL'!AJ$4,'7. PGE_Efficacité'!$A$4:$AO$4,0)+62),0)</f>
        <v>0</v>
      </c>
      <c r="AK31" s="139">
        <f>VLOOKUP($E31,'7. PGE_Efficacité'!$A$6:$CY$266,(MATCH('4.2 ACE EFF WOL'!AK$4,'7. PGE_Efficacité'!$A$4:$AO$4,0)+62),0)</f>
        <v>0</v>
      </c>
      <c r="AL31" s="139">
        <f>VLOOKUP($E31,'7. PGE_Efficacité'!$A$6:$CY$266,(MATCH('4.2 ACE EFF WOL'!AL$4,'7. PGE_Efficacité'!$A$4:$AO$4,0)+62),0)</f>
        <v>0</v>
      </c>
      <c r="AM31" s="139">
        <f>VLOOKUP($E31,'7. PGE_Efficacité'!$A$6:$CY$266,(MATCH('4.2 ACE EFF WOL'!AM$4,'7. PGE_Efficacité'!$A$4:$AO$4,0)+62),0)</f>
        <v>0</v>
      </c>
      <c r="AN31" s="139">
        <f>VLOOKUP($E31,'7. PGE_Efficacité'!$A$6:$CY$266,(MATCH('4.2 ACE EFF WOL'!AN$4,'7. PGE_Efficacité'!$A$4:$AO$4,0)+62),0)</f>
        <v>0</v>
      </c>
    </row>
    <row r="32" spans="1:40" hidden="1" outlineLevel="2" x14ac:dyDescent="0.25">
      <c r="A32" s="48" t="s">
        <v>1524</v>
      </c>
      <c r="B32" s="49">
        <v>4</v>
      </c>
      <c r="C32" s="48" t="s">
        <v>1527</v>
      </c>
      <c r="D32" s="199" t="s">
        <v>3</v>
      </c>
      <c r="E32" s="200" t="s">
        <v>792</v>
      </c>
      <c r="F32" s="200" t="s">
        <v>1430</v>
      </c>
      <c r="G32" s="201" t="s">
        <v>1520</v>
      </c>
      <c r="H32" s="200" t="s">
        <v>1290</v>
      </c>
      <c r="I32" s="202">
        <v>0</v>
      </c>
      <c r="J32" s="139">
        <f>VLOOKUP($E32,'7. PGE_Efficacité'!$A$6:$CY$266,(MATCH('4.2 ACE EFF WOL'!J$4,'7. PGE_Efficacité'!$A$4:$AO$4,0)+62),0)</f>
        <v>0</v>
      </c>
      <c r="K32" s="139">
        <f>VLOOKUP($E32,'7. PGE_Efficacité'!$A$6:$CY$266,(MATCH('4.2 ACE EFF WOL'!K$4,'7. PGE_Efficacité'!$A$4:$AO$4,0)+62),0)</f>
        <v>0</v>
      </c>
      <c r="L32" s="139">
        <f>VLOOKUP($E32,'7. PGE_Efficacité'!$A$6:$CY$266,(MATCH('4.2 ACE EFF WOL'!L$4,'7. PGE_Efficacité'!$A$4:$AO$4,0)+62),0)</f>
        <v>0</v>
      </c>
      <c r="M32" s="139">
        <f>VLOOKUP($E32,'7. PGE_Efficacité'!$A$6:$CY$266,(MATCH('4.2 ACE EFF WOL'!M$4,'7. PGE_Efficacité'!$A$4:$AO$4,0)+62),0)</f>
        <v>0</v>
      </c>
      <c r="N32" s="139">
        <f>VLOOKUP($E32,'7. PGE_Efficacité'!$A$6:$CY$266,(MATCH('4.2 ACE EFF WOL'!N$4,'7. PGE_Efficacité'!$A$4:$AO$4,0)+62),0)</f>
        <v>0</v>
      </c>
      <c r="O32" s="139">
        <f>VLOOKUP($E32,'7. PGE_Efficacité'!$A$6:$CY$266,78,0)</f>
        <v>0</v>
      </c>
      <c r="P32" s="139">
        <f>VLOOKUP($E32,'7. PGE_Efficacité'!$A$6:$CY$266,(MATCH('4.2 ACE EFF WOL'!P$4,'7. PGE_Efficacité'!$A$4:$AO$4,0)+62),0)</f>
        <v>0</v>
      </c>
      <c r="Q32" s="139">
        <f>VLOOKUP($E32,'7. PGE_Efficacité'!$A$6:$CY$266,(MATCH('4.2 ACE EFF WOL'!Q$4,'7. PGE_Efficacité'!$A$4:$AO$4,0)+62),0)</f>
        <v>0</v>
      </c>
      <c r="R32" s="139">
        <f>VLOOKUP($E32,'7. PGE_Efficacité'!$A$6:$CY$266,(MATCH('4.2 ACE EFF WOL'!R$4,'7. PGE_Efficacité'!$A$4:$AO$4,0)+62),0)</f>
        <v>0</v>
      </c>
      <c r="S32" s="139">
        <f>VLOOKUP($E32,'7. PGE_Efficacité'!$A$6:$CY$266,(MATCH('4.2 ACE EFF WOL'!S$4,'7. PGE_Efficacité'!$A$4:$AO$4,0)+62),0)</f>
        <v>0</v>
      </c>
      <c r="T32" s="139">
        <f>VLOOKUP($E32,'7. PGE_Efficacité'!$A$6:$CY$266,(MATCH('4.2 ACE EFF WOL'!T$4,'7. PGE_Efficacité'!$A$4:$AO$4,0)+62),0)</f>
        <v>0</v>
      </c>
      <c r="U32" s="139">
        <f>VLOOKUP($E32,'7. PGE_Efficacité'!$A$6:$CY$266,(MATCH('4.2 ACE EFF WOL'!U$4,'7. PGE_Efficacité'!$A$4:$AO$4,0)+62),0)</f>
        <v>0</v>
      </c>
      <c r="V32" s="139">
        <f>VLOOKUP($E32,'7. PGE_Efficacité'!$A$6:$CY$266,(MATCH('4.2 ACE EFF WOL'!V$4,'7. PGE_Efficacité'!$A$4:$AO$4,0)+62),0)</f>
        <v>0</v>
      </c>
      <c r="W32" s="139">
        <f>VLOOKUP($E32,'7. PGE_Efficacité'!$A$6:$CY$266,(MATCH('4.2 ACE EFF WOL'!W$4,'7. PGE_Efficacité'!$A$4:$AO$4,0)+62),0)</f>
        <v>0</v>
      </c>
      <c r="X32" s="139">
        <f>VLOOKUP($E32,'7. PGE_Efficacité'!$A$6:$CY$266,(MATCH('4.2 ACE EFF WOL'!X$4,'7. PGE_Efficacité'!$A$4:$AO$4,0)+62),0)</f>
        <v>0</v>
      </c>
      <c r="Y32" s="139">
        <f>VLOOKUP($E32,'7. PGE_Efficacité'!$A$6:$CY$266,(MATCH('4.2 ACE EFF WOL'!Y$4,'7. PGE_Efficacité'!$A$4:$AO$4,0)+62),0)</f>
        <v>0</v>
      </c>
      <c r="Z32" s="139">
        <f>VLOOKUP($E32,'7. PGE_Efficacité'!$A$6:$CY$266,(MATCH('4.2 ACE EFF WOL'!Z$4,'7. PGE_Efficacité'!$A$4:$AO$4,0)+62),0)</f>
        <v>0</v>
      </c>
      <c r="AA32" s="139">
        <f>VLOOKUP($E32,'7. PGE_Efficacité'!$A$6:$CY$266,(MATCH('4.2 ACE EFF WOL'!AA$4,'7. PGE_Efficacité'!$A$4:$AO$4,0)+62),0)</f>
        <v>0</v>
      </c>
      <c r="AB32" s="139">
        <f>VLOOKUP($E32,'7. PGE_Efficacité'!$A$6:$CY$266,(MATCH('4.2 ACE EFF WOL'!AB$4,'7. PGE_Efficacité'!$A$4:$AO$4,0)+62),0)</f>
        <v>0</v>
      </c>
      <c r="AC32" s="139">
        <f>VLOOKUP($E32,'7. PGE_Efficacité'!$A$6:$CY$266,(MATCH('4.2 ACE EFF WOL'!AC$4,'7. PGE_Efficacité'!$A$4:$AO$4,0)+62),0)</f>
        <v>0</v>
      </c>
      <c r="AD32" s="139">
        <f>VLOOKUP($E32,'7. PGE_Efficacité'!$A$6:$CY$266,(MATCH('4.2 ACE EFF WOL'!AD$4,'7. PGE_Efficacité'!$A$4:$AO$4,0)+62),0)</f>
        <v>0</v>
      </c>
      <c r="AE32" s="139">
        <f>VLOOKUP($E32,'7. PGE_Efficacité'!$A$6:$CY$266,(MATCH('4.2 ACE EFF WOL'!AE$4,'7. PGE_Efficacité'!$A$4:$AO$4,0)+62),0)</f>
        <v>0</v>
      </c>
      <c r="AF32" s="139">
        <f>VLOOKUP($E32,'7. PGE_Efficacité'!$A$6:$CY$266,(MATCH('4.2 ACE EFF WOL'!AF$4,'7. PGE_Efficacité'!$A$4:$AO$4,0)+62),0)</f>
        <v>0</v>
      </c>
      <c r="AG32" s="139">
        <f>VLOOKUP($E32,'7. PGE_Efficacité'!$A$6:$CY$266,(MATCH('4.2 ACE EFF WOL'!AG$4,'7. PGE_Efficacité'!$A$4:$AO$4,0)+62),0)</f>
        <v>0</v>
      </c>
      <c r="AH32" s="139">
        <f>VLOOKUP($E32,'7. PGE_Efficacité'!$A$6:$CY$266,(MATCH('4.2 ACE EFF WOL'!AH$4,'7. PGE_Efficacité'!$A$4:$AO$4,0)+62),0)</f>
        <v>0</v>
      </c>
      <c r="AI32" s="139">
        <f>VLOOKUP($E32,'7. PGE_Efficacité'!$A$6:$CY$266,(MATCH('4.2 ACE EFF WOL'!AI$4,'7. PGE_Efficacité'!$A$4:$AO$4,0)+62),0)</f>
        <v>0</v>
      </c>
      <c r="AJ32" s="139">
        <f>VLOOKUP($E32,'7. PGE_Efficacité'!$A$6:$CY$266,(MATCH('4.2 ACE EFF WOL'!AJ$4,'7. PGE_Efficacité'!$A$4:$AO$4,0)+62),0)</f>
        <v>0</v>
      </c>
      <c r="AK32" s="139">
        <f>VLOOKUP($E32,'7. PGE_Efficacité'!$A$6:$CY$266,(MATCH('4.2 ACE EFF WOL'!AK$4,'7. PGE_Efficacité'!$A$4:$AO$4,0)+62),0)</f>
        <v>0</v>
      </c>
      <c r="AL32" s="139">
        <f>VLOOKUP($E32,'7. PGE_Efficacité'!$A$6:$CY$266,(MATCH('4.2 ACE EFF WOL'!AL$4,'7. PGE_Efficacité'!$A$4:$AO$4,0)+62),0)</f>
        <v>0</v>
      </c>
      <c r="AM32" s="139">
        <f>VLOOKUP($E32,'7. PGE_Efficacité'!$A$6:$CY$266,(MATCH('4.2 ACE EFF WOL'!AM$4,'7. PGE_Efficacité'!$A$4:$AO$4,0)+62),0)</f>
        <v>0</v>
      </c>
      <c r="AN32" s="139">
        <f>VLOOKUP($E32,'7. PGE_Efficacité'!$A$6:$CY$266,(MATCH('4.2 ACE EFF WOL'!AN$4,'7. PGE_Efficacité'!$A$4:$AO$4,0)+62),0)</f>
        <v>0</v>
      </c>
    </row>
    <row r="33" spans="1:40" hidden="1" outlineLevel="2" x14ac:dyDescent="0.25">
      <c r="A33" s="48" t="s">
        <v>1524</v>
      </c>
      <c r="B33" s="49">
        <v>4</v>
      </c>
      <c r="C33" s="48" t="s">
        <v>410</v>
      </c>
      <c r="D33" s="199" t="s">
        <v>3</v>
      </c>
      <c r="E33" s="200" t="s">
        <v>793</v>
      </c>
      <c r="F33" s="200" t="s">
        <v>1431</v>
      </c>
      <c r="G33" s="201" t="s">
        <v>1520</v>
      </c>
      <c r="H33" s="200" t="s">
        <v>1290</v>
      </c>
      <c r="I33" s="202">
        <v>0</v>
      </c>
      <c r="J33" s="139">
        <f>VLOOKUP($E33,'7. PGE_Efficacité'!$A$6:$CY$266,(MATCH('4.2 ACE EFF WOL'!J$4,'7. PGE_Efficacité'!$A$4:$AO$4,0)+62),0)</f>
        <v>0</v>
      </c>
      <c r="K33" s="139">
        <f>VLOOKUP($E33,'7. PGE_Efficacité'!$A$6:$CY$266,(MATCH('4.2 ACE EFF WOL'!K$4,'7. PGE_Efficacité'!$A$4:$AO$4,0)+62),0)</f>
        <v>0</v>
      </c>
      <c r="L33" s="139">
        <f>VLOOKUP($E33,'7. PGE_Efficacité'!$A$6:$CY$266,(MATCH('4.2 ACE EFF WOL'!L$4,'7. PGE_Efficacité'!$A$4:$AO$4,0)+62),0)</f>
        <v>0</v>
      </c>
      <c r="M33" s="139">
        <f>VLOOKUP($E33,'7. PGE_Efficacité'!$A$6:$CY$266,(MATCH('4.2 ACE EFF WOL'!M$4,'7. PGE_Efficacité'!$A$4:$AO$4,0)+62),0)</f>
        <v>0</v>
      </c>
      <c r="N33" s="139">
        <f>VLOOKUP($E33,'7. PGE_Efficacité'!$A$6:$CY$266,(MATCH('4.2 ACE EFF WOL'!N$4,'7. PGE_Efficacité'!$A$4:$AO$4,0)+62),0)</f>
        <v>0</v>
      </c>
      <c r="O33" s="139">
        <f>VLOOKUP($E33,'7. PGE_Efficacité'!$A$6:$CY$266,78,0)</f>
        <v>0</v>
      </c>
      <c r="P33" s="139">
        <f>VLOOKUP($E33,'7. PGE_Efficacité'!$A$6:$CY$266,(MATCH('4.2 ACE EFF WOL'!P$4,'7. PGE_Efficacité'!$A$4:$AO$4,0)+62),0)</f>
        <v>0</v>
      </c>
      <c r="Q33" s="139">
        <f>VLOOKUP($E33,'7. PGE_Efficacité'!$A$6:$CY$266,(MATCH('4.2 ACE EFF WOL'!Q$4,'7. PGE_Efficacité'!$A$4:$AO$4,0)+62),0)</f>
        <v>0</v>
      </c>
      <c r="R33" s="139">
        <f>VLOOKUP($E33,'7. PGE_Efficacité'!$A$6:$CY$266,(MATCH('4.2 ACE EFF WOL'!R$4,'7. PGE_Efficacité'!$A$4:$AO$4,0)+62),0)</f>
        <v>0</v>
      </c>
      <c r="S33" s="139">
        <f>VLOOKUP($E33,'7. PGE_Efficacité'!$A$6:$CY$266,(MATCH('4.2 ACE EFF WOL'!S$4,'7. PGE_Efficacité'!$A$4:$AO$4,0)+62),0)</f>
        <v>0</v>
      </c>
      <c r="T33" s="139">
        <f>VLOOKUP($E33,'7. PGE_Efficacité'!$A$6:$CY$266,(MATCH('4.2 ACE EFF WOL'!T$4,'7. PGE_Efficacité'!$A$4:$AO$4,0)+62),0)</f>
        <v>0</v>
      </c>
      <c r="U33" s="139">
        <f>VLOOKUP($E33,'7. PGE_Efficacité'!$A$6:$CY$266,(MATCH('4.2 ACE EFF WOL'!U$4,'7. PGE_Efficacité'!$A$4:$AO$4,0)+62),0)</f>
        <v>0</v>
      </c>
      <c r="V33" s="139">
        <f>VLOOKUP($E33,'7. PGE_Efficacité'!$A$6:$CY$266,(MATCH('4.2 ACE EFF WOL'!V$4,'7. PGE_Efficacité'!$A$4:$AO$4,0)+62),0)</f>
        <v>0</v>
      </c>
      <c r="W33" s="139">
        <f>VLOOKUP($E33,'7. PGE_Efficacité'!$A$6:$CY$266,(MATCH('4.2 ACE EFF WOL'!W$4,'7. PGE_Efficacité'!$A$4:$AO$4,0)+62),0)</f>
        <v>0</v>
      </c>
      <c r="X33" s="139">
        <f>VLOOKUP($E33,'7. PGE_Efficacité'!$A$6:$CY$266,(MATCH('4.2 ACE EFF WOL'!X$4,'7. PGE_Efficacité'!$A$4:$AO$4,0)+62),0)</f>
        <v>0</v>
      </c>
      <c r="Y33" s="139">
        <f>VLOOKUP($E33,'7. PGE_Efficacité'!$A$6:$CY$266,(MATCH('4.2 ACE EFF WOL'!Y$4,'7. PGE_Efficacité'!$A$4:$AO$4,0)+62),0)</f>
        <v>0</v>
      </c>
      <c r="Z33" s="139">
        <f>VLOOKUP($E33,'7. PGE_Efficacité'!$A$6:$CY$266,(MATCH('4.2 ACE EFF WOL'!Z$4,'7. PGE_Efficacité'!$A$4:$AO$4,0)+62),0)</f>
        <v>0</v>
      </c>
      <c r="AA33" s="139">
        <f>VLOOKUP($E33,'7. PGE_Efficacité'!$A$6:$CY$266,(MATCH('4.2 ACE EFF WOL'!AA$4,'7. PGE_Efficacité'!$A$4:$AO$4,0)+62),0)</f>
        <v>0</v>
      </c>
      <c r="AB33" s="139">
        <f>VLOOKUP($E33,'7. PGE_Efficacité'!$A$6:$CY$266,(MATCH('4.2 ACE EFF WOL'!AB$4,'7. PGE_Efficacité'!$A$4:$AO$4,0)+62),0)</f>
        <v>0</v>
      </c>
      <c r="AC33" s="139">
        <f>VLOOKUP($E33,'7. PGE_Efficacité'!$A$6:$CY$266,(MATCH('4.2 ACE EFF WOL'!AC$4,'7. PGE_Efficacité'!$A$4:$AO$4,0)+62),0)</f>
        <v>0</v>
      </c>
      <c r="AD33" s="139">
        <f>VLOOKUP($E33,'7. PGE_Efficacité'!$A$6:$CY$266,(MATCH('4.2 ACE EFF WOL'!AD$4,'7. PGE_Efficacité'!$A$4:$AO$4,0)+62),0)</f>
        <v>0</v>
      </c>
      <c r="AE33" s="139">
        <f>VLOOKUP($E33,'7. PGE_Efficacité'!$A$6:$CY$266,(MATCH('4.2 ACE EFF WOL'!AE$4,'7. PGE_Efficacité'!$A$4:$AO$4,0)+62),0)</f>
        <v>0</v>
      </c>
      <c r="AF33" s="139">
        <f>VLOOKUP($E33,'7. PGE_Efficacité'!$A$6:$CY$266,(MATCH('4.2 ACE EFF WOL'!AF$4,'7. PGE_Efficacité'!$A$4:$AO$4,0)+62),0)</f>
        <v>0</v>
      </c>
      <c r="AG33" s="139">
        <f>VLOOKUP($E33,'7. PGE_Efficacité'!$A$6:$CY$266,(MATCH('4.2 ACE EFF WOL'!AG$4,'7. PGE_Efficacité'!$A$4:$AO$4,0)+62),0)</f>
        <v>0</v>
      </c>
      <c r="AH33" s="139">
        <f>VLOOKUP($E33,'7. PGE_Efficacité'!$A$6:$CY$266,(MATCH('4.2 ACE EFF WOL'!AH$4,'7. PGE_Efficacité'!$A$4:$AO$4,0)+62),0)</f>
        <v>0</v>
      </c>
      <c r="AI33" s="139">
        <f>VLOOKUP($E33,'7. PGE_Efficacité'!$A$6:$CY$266,(MATCH('4.2 ACE EFF WOL'!AI$4,'7. PGE_Efficacité'!$A$4:$AO$4,0)+62),0)</f>
        <v>0</v>
      </c>
      <c r="AJ33" s="139">
        <f>VLOOKUP($E33,'7. PGE_Efficacité'!$A$6:$CY$266,(MATCH('4.2 ACE EFF WOL'!AJ$4,'7. PGE_Efficacité'!$A$4:$AO$4,0)+62),0)</f>
        <v>0</v>
      </c>
      <c r="AK33" s="139">
        <f>VLOOKUP($E33,'7. PGE_Efficacité'!$A$6:$CY$266,(MATCH('4.2 ACE EFF WOL'!AK$4,'7. PGE_Efficacité'!$A$4:$AO$4,0)+62),0)</f>
        <v>0</v>
      </c>
      <c r="AL33" s="139">
        <f>VLOOKUP($E33,'7. PGE_Efficacité'!$A$6:$CY$266,(MATCH('4.2 ACE EFF WOL'!AL$4,'7. PGE_Efficacité'!$A$4:$AO$4,0)+62),0)</f>
        <v>0</v>
      </c>
      <c r="AM33" s="139">
        <f>VLOOKUP($E33,'7. PGE_Efficacité'!$A$6:$CY$266,(MATCH('4.2 ACE EFF WOL'!AM$4,'7. PGE_Efficacité'!$A$4:$AO$4,0)+62),0)</f>
        <v>0</v>
      </c>
      <c r="AN33" s="139">
        <f>VLOOKUP($E33,'7. PGE_Efficacité'!$A$6:$CY$266,(MATCH('4.2 ACE EFF WOL'!AN$4,'7. PGE_Efficacité'!$A$4:$AO$4,0)+62),0)</f>
        <v>0</v>
      </c>
    </row>
    <row r="34" spans="1:40" hidden="1" outlineLevel="2" x14ac:dyDescent="0.25">
      <c r="A34" s="48" t="s">
        <v>1524</v>
      </c>
      <c r="B34" s="49">
        <v>4</v>
      </c>
      <c r="C34" s="48" t="s">
        <v>1528</v>
      </c>
      <c r="D34" s="199" t="s">
        <v>3</v>
      </c>
      <c r="E34" s="200" t="s">
        <v>794</v>
      </c>
      <c r="F34" s="200" t="s">
        <v>1432</v>
      </c>
      <c r="G34" s="201" t="s">
        <v>1520</v>
      </c>
      <c r="H34" s="200" t="s">
        <v>1290</v>
      </c>
      <c r="I34" s="202">
        <v>0</v>
      </c>
      <c r="J34" s="139">
        <f>VLOOKUP($E34,'7. PGE_Efficacité'!$A$6:$CY$266,(MATCH('4.2 ACE EFF WOL'!J$4,'7. PGE_Efficacité'!$A$4:$AO$4,0)+62),0)</f>
        <v>0</v>
      </c>
      <c r="K34" s="139">
        <f>VLOOKUP($E34,'7. PGE_Efficacité'!$A$6:$CY$266,(MATCH('4.2 ACE EFF WOL'!K$4,'7. PGE_Efficacité'!$A$4:$AO$4,0)+62),0)</f>
        <v>0</v>
      </c>
      <c r="L34" s="139">
        <f>VLOOKUP($E34,'7. PGE_Efficacité'!$A$6:$CY$266,(MATCH('4.2 ACE EFF WOL'!L$4,'7. PGE_Efficacité'!$A$4:$AO$4,0)+62),0)</f>
        <v>0</v>
      </c>
      <c r="M34" s="139">
        <f>VLOOKUP($E34,'7. PGE_Efficacité'!$A$6:$CY$266,(MATCH('4.2 ACE EFF WOL'!M$4,'7. PGE_Efficacité'!$A$4:$AO$4,0)+62),0)</f>
        <v>0</v>
      </c>
      <c r="N34" s="139">
        <f>VLOOKUP($E34,'7. PGE_Efficacité'!$A$6:$CY$266,(MATCH('4.2 ACE EFF WOL'!N$4,'7. PGE_Efficacité'!$A$4:$AO$4,0)+62),0)</f>
        <v>0</v>
      </c>
      <c r="O34" s="139">
        <f>VLOOKUP($E34,'7. PGE_Efficacité'!$A$6:$CY$266,78,0)</f>
        <v>0</v>
      </c>
      <c r="P34" s="139">
        <f>VLOOKUP($E34,'7. PGE_Efficacité'!$A$6:$CY$266,(MATCH('4.2 ACE EFF WOL'!P$4,'7. PGE_Efficacité'!$A$4:$AO$4,0)+62),0)</f>
        <v>0</v>
      </c>
      <c r="Q34" s="139">
        <f>VLOOKUP($E34,'7. PGE_Efficacité'!$A$6:$CY$266,(MATCH('4.2 ACE EFF WOL'!Q$4,'7. PGE_Efficacité'!$A$4:$AO$4,0)+62),0)</f>
        <v>0</v>
      </c>
      <c r="R34" s="139">
        <f>VLOOKUP($E34,'7. PGE_Efficacité'!$A$6:$CY$266,(MATCH('4.2 ACE EFF WOL'!R$4,'7. PGE_Efficacité'!$A$4:$AO$4,0)+62),0)</f>
        <v>0</v>
      </c>
      <c r="S34" s="139">
        <f>VLOOKUP($E34,'7. PGE_Efficacité'!$A$6:$CY$266,(MATCH('4.2 ACE EFF WOL'!S$4,'7. PGE_Efficacité'!$A$4:$AO$4,0)+62),0)</f>
        <v>0</v>
      </c>
      <c r="T34" s="139">
        <f>VLOOKUP($E34,'7. PGE_Efficacité'!$A$6:$CY$266,(MATCH('4.2 ACE EFF WOL'!T$4,'7. PGE_Efficacité'!$A$4:$AO$4,0)+62),0)</f>
        <v>0</v>
      </c>
      <c r="U34" s="139">
        <f>VLOOKUP($E34,'7. PGE_Efficacité'!$A$6:$CY$266,(MATCH('4.2 ACE EFF WOL'!U$4,'7. PGE_Efficacité'!$A$4:$AO$4,0)+62),0)</f>
        <v>0</v>
      </c>
      <c r="V34" s="139">
        <f>VLOOKUP($E34,'7. PGE_Efficacité'!$A$6:$CY$266,(MATCH('4.2 ACE EFF WOL'!V$4,'7. PGE_Efficacité'!$A$4:$AO$4,0)+62),0)</f>
        <v>0</v>
      </c>
      <c r="W34" s="139">
        <f>VLOOKUP($E34,'7. PGE_Efficacité'!$A$6:$CY$266,(MATCH('4.2 ACE EFF WOL'!W$4,'7. PGE_Efficacité'!$A$4:$AO$4,0)+62),0)</f>
        <v>0</v>
      </c>
      <c r="X34" s="139">
        <f>VLOOKUP($E34,'7. PGE_Efficacité'!$A$6:$CY$266,(MATCH('4.2 ACE EFF WOL'!X$4,'7. PGE_Efficacité'!$A$4:$AO$4,0)+62),0)</f>
        <v>0</v>
      </c>
      <c r="Y34" s="139">
        <f>VLOOKUP($E34,'7. PGE_Efficacité'!$A$6:$CY$266,(MATCH('4.2 ACE EFF WOL'!Y$4,'7. PGE_Efficacité'!$A$4:$AO$4,0)+62),0)</f>
        <v>0</v>
      </c>
      <c r="Z34" s="139">
        <f>VLOOKUP($E34,'7. PGE_Efficacité'!$A$6:$CY$266,(MATCH('4.2 ACE EFF WOL'!Z$4,'7. PGE_Efficacité'!$A$4:$AO$4,0)+62),0)</f>
        <v>0</v>
      </c>
      <c r="AA34" s="139">
        <f>VLOOKUP($E34,'7. PGE_Efficacité'!$A$6:$CY$266,(MATCH('4.2 ACE EFF WOL'!AA$4,'7. PGE_Efficacité'!$A$4:$AO$4,0)+62),0)</f>
        <v>0</v>
      </c>
      <c r="AB34" s="139">
        <f>VLOOKUP($E34,'7. PGE_Efficacité'!$A$6:$CY$266,(MATCH('4.2 ACE EFF WOL'!AB$4,'7. PGE_Efficacité'!$A$4:$AO$4,0)+62),0)</f>
        <v>0</v>
      </c>
      <c r="AC34" s="139">
        <f>VLOOKUP($E34,'7. PGE_Efficacité'!$A$6:$CY$266,(MATCH('4.2 ACE EFF WOL'!AC$4,'7. PGE_Efficacité'!$A$4:$AO$4,0)+62),0)</f>
        <v>0</v>
      </c>
      <c r="AD34" s="139">
        <f>VLOOKUP($E34,'7. PGE_Efficacité'!$A$6:$CY$266,(MATCH('4.2 ACE EFF WOL'!AD$4,'7. PGE_Efficacité'!$A$4:$AO$4,0)+62),0)</f>
        <v>0</v>
      </c>
      <c r="AE34" s="139">
        <f>VLOOKUP($E34,'7. PGE_Efficacité'!$A$6:$CY$266,(MATCH('4.2 ACE EFF WOL'!AE$4,'7. PGE_Efficacité'!$A$4:$AO$4,0)+62),0)</f>
        <v>0</v>
      </c>
      <c r="AF34" s="139">
        <f>VLOOKUP($E34,'7. PGE_Efficacité'!$A$6:$CY$266,(MATCH('4.2 ACE EFF WOL'!AF$4,'7. PGE_Efficacité'!$A$4:$AO$4,0)+62),0)</f>
        <v>0</v>
      </c>
      <c r="AG34" s="139">
        <f>VLOOKUP($E34,'7. PGE_Efficacité'!$A$6:$CY$266,(MATCH('4.2 ACE EFF WOL'!AG$4,'7. PGE_Efficacité'!$A$4:$AO$4,0)+62),0)</f>
        <v>0</v>
      </c>
      <c r="AH34" s="139">
        <f>VLOOKUP($E34,'7. PGE_Efficacité'!$A$6:$CY$266,(MATCH('4.2 ACE EFF WOL'!AH$4,'7. PGE_Efficacité'!$A$4:$AO$4,0)+62),0)</f>
        <v>0</v>
      </c>
      <c r="AI34" s="139">
        <f>VLOOKUP($E34,'7. PGE_Efficacité'!$A$6:$CY$266,(MATCH('4.2 ACE EFF WOL'!AI$4,'7. PGE_Efficacité'!$A$4:$AO$4,0)+62),0)</f>
        <v>0</v>
      </c>
      <c r="AJ34" s="139">
        <f>VLOOKUP($E34,'7. PGE_Efficacité'!$A$6:$CY$266,(MATCH('4.2 ACE EFF WOL'!AJ$4,'7. PGE_Efficacité'!$A$4:$AO$4,0)+62),0)</f>
        <v>0</v>
      </c>
      <c r="AK34" s="139">
        <f>VLOOKUP($E34,'7. PGE_Efficacité'!$A$6:$CY$266,(MATCH('4.2 ACE EFF WOL'!AK$4,'7. PGE_Efficacité'!$A$4:$AO$4,0)+62),0)</f>
        <v>0</v>
      </c>
      <c r="AL34" s="139">
        <f>VLOOKUP($E34,'7. PGE_Efficacité'!$A$6:$CY$266,(MATCH('4.2 ACE EFF WOL'!AL$4,'7. PGE_Efficacité'!$A$4:$AO$4,0)+62),0)</f>
        <v>0</v>
      </c>
      <c r="AM34" s="139">
        <f>VLOOKUP($E34,'7. PGE_Efficacité'!$A$6:$CY$266,(MATCH('4.2 ACE EFF WOL'!AM$4,'7. PGE_Efficacité'!$A$4:$AO$4,0)+62),0)</f>
        <v>0</v>
      </c>
      <c r="AN34" s="139">
        <f>VLOOKUP($E34,'7. PGE_Efficacité'!$A$6:$CY$266,(MATCH('4.2 ACE EFF WOL'!AN$4,'7. PGE_Efficacité'!$A$4:$AO$4,0)+62),0)</f>
        <v>0</v>
      </c>
    </row>
    <row r="35" spans="1:40" hidden="1" outlineLevel="2" x14ac:dyDescent="0.25">
      <c r="A35" s="48" t="s">
        <v>1524</v>
      </c>
      <c r="B35" s="49">
        <v>4</v>
      </c>
      <c r="C35" s="48" t="s">
        <v>1529</v>
      </c>
      <c r="D35" s="199" t="s">
        <v>3</v>
      </c>
      <c r="E35" s="200" t="s">
        <v>795</v>
      </c>
      <c r="F35" s="200" t="s">
        <v>1433</v>
      </c>
      <c r="G35" s="201" t="s">
        <v>1520</v>
      </c>
      <c r="H35" s="200" t="s">
        <v>1290</v>
      </c>
      <c r="I35" s="202">
        <f>165000/3</f>
        <v>55000</v>
      </c>
      <c r="J35" s="139">
        <f>VLOOKUP($E35,'7. PGE_Efficacité'!$A$6:$CY$266,(MATCH('4.2 ACE EFF WOL'!J$4,'7. PGE_Efficacité'!$A$4:$AO$4,0)+62),0)</f>
        <v>0</v>
      </c>
      <c r="K35" s="139">
        <f>VLOOKUP($E35,'7. PGE_Efficacité'!$A$6:$CY$266,(MATCH('4.2 ACE EFF WOL'!K$4,'7. PGE_Efficacité'!$A$4:$AO$4,0)+62),0)</f>
        <v>0</v>
      </c>
      <c r="L35" s="139">
        <f>VLOOKUP($E35,'7. PGE_Efficacité'!$A$6:$CY$266,(MATCH('4.2 ACE EFF WOL'!L$4,'7. PGE_Efficacité'!$A$4:$AO$4,0)+62),0)</f>
        <v>0</v>
      </c>
      <c r="M35" s="139">
        <f>VLOOKUP($E35,'7. PGE_Efficacité'!$A$6:$CY$266,(MATCH('4.2 ACE EFF WOL'!M$4,'7. PGE_Efficacité'!$A$4:$AO$4,0)+62),0)</f>
        <v>0</v>
      </c>
      <c r="N35" s="139">
        <f>VLOOKUP($E35,'7. PGE_Efficacité'!$A$6:$CY$266,(MATCH('4.2 ACE EFF WOL'!N$4,'7. PGE_Efficacité'!$A$4:$AO$4,0)+62),0)</f>
        <v>0</v>
      </c>
      <c r="O35" s="139">
        <f>VLOOKUP($E35,'7. PGE_Efficacité'!$A$6:$CY$266,78,0)</f>
        <v>0</v>
      </c>
      <c r="P35" s="139">
        <f>VLOOKUP($E35,'7. PGE_Efficacité'!$A$6:$CY$266,(MATCH('4.2 ACE EFF WOL'!P$4,'7. PGE_Efficacité'!$A$4:$AO$4,0)+62),0)</f>
        <v>0</v>
      </c>
      <c r="Q35" s="139">
        <f>VLOOKUP($E35,'7. PGE_Efficacité'!$A$6:$CY$266,(MATCH('4.2 ACE EFF WOL'!Q$4,'7. PGE_Efficacité'!$A$4:$AO$4,0)+62),0)</f>
        <v>0</v>
      </c>
      <c r="R35" s="139">
        <f>VLOOKUP($E35,'7. PGE_Efficacité'!$A$6:$CY$266,(MATCH('4.2 ACE EFF WOL'!R$4,'7. PGE_Efficacité'!$A$4:$AO$4,0)+62),0)</f>
        <v>0</v>
      </c>
      <c r="S35" s="139">
        <f>VLOOKUP($E35,'7. PGE_Efficacité'!$A$6:$CY$266,(MATCH('4.2 ACE EFF WOL'!S$4,'7. PGE_Efficacité'!$A$4:$AO$4,0)+62),0)</f>
        <v>0</v>
      </c>
      <c r="T35" s="139">
        <f>VLOOKUP($E35,'7. PGE_Efficacité'!$A$6:$CY$266,(MATCH('4.2 ACE EFF WOL'!T$4,'7. PGE_Efficacité'!$A$4:$AO$4,0)+62),0)</f>
        <v>0</v>
      </c>
      <c r="U35" s="139">
        <f>VLOOKUP($E35,'7. PGE_Efficacité'!$A$6:$CY$266,(MATCH('4.2 ACE EFF WOL'!U$4,'7. PGE_Efficacité'!$A$4:$AO$4,0)+62),0)</f>
        <v>0</v>
      </c>
      <c r="V35" s="139">
        <f>VLOOKUP($E35,'7. PGE_Efficacité'!$A$6:$CY$266,(MATCH('4.2 ACE EFF WOL'!V$4,'7. PGE_Efficacité'!$A$4:$AO$4,0)+62),0)</f>
        <v>0</v>
      </c>
      <c r="W35" s="139">
        <f>VLOOKUP($E35,'7. PGE_Efficacité'!$A$6:$CY$266,(MATCH('4.2 ACE EFF WOL'!W$4,'7. PGE_Efficacité'!$A$4:$AO$4,0)+62),0)</f>
        <v>0</v>
      </c>
      <c r="X35" s="139">
        <f>VLOOKUP($E35,'7. PGE_Efficacité'!$A$6:$CY$266,(MATCH('4.2 ACE EFF WOL'!X$4,'7. PGE_Efficacité'!$A$4:$AO$4,0)+62),0)</f>
        <v>0</v>
      </c>
      <c r="Y35" s="139">
        <f>VLOOKUP($E35,'7. PGE_Efficacité'!$A$6:$CY$266,(MATCH('4.2 ACE EFF WOL'!Y$4,'7. PGE_Efficacité'!$A$4:$AO$4,0)+62),0)</f>
        <v>0</v>
      </c>
      <c r="Z35" s="139">
        <f>VLOOKUP($E35,'7. PGE_Efficacité'!$A$6:$CY$266,(MATCH('4.2 ACE EFF WOL'!Z$4,'7. PGE_Efficacité'!$A$4:$AO$4,0)+62),0)</f>
        <v>0</v>
      </c>
      <c r="AA35" s="139">
        <f>VLOOKUP($E35,'7. PGE_Efficacité'!$A$6:$CY$266,(MATCH('4.2 ACE EFF WOL'!AA$4,'7. PGE_Efficacité'!$A$4:$AO$4,0)+62),0)</f>
        <v>0</v>
      </c>
      <c r="AB35" s="139">
        <f>VLOOKUP($E35,'7. PGE_Efficacité'!$A$6:$CY$266,(MATCH('4.2 ACE EFF WOL'!AB$4,'7. PGE_Efficacité'!$A$4:$AO$4,0)+62),0)</f>
        <v>0</v>
      </c>
      <c r="AC35" s="139">
        <f>VLOOKUP($E35,'7. PGE_Efficacité'!$A$6:$CY$266,(MATCH('4.2 ACE EFF WOL'!AC$4,'7. PGE_Efficacité'!$A$4:$AO$4,0)+62),0)</f>
        <v>0</v>
      </c>
      <c r="AD35" s="139">
        <f>VLOOKUP($E35,'7. PGE_Efficacité'!$A$6:$CY$266,(MATCH('4.2 ACE EFF WOL'!AD$4,'7. PGE_Efficacité'!$A$4:$AO$4,0)+62),0)</f>
        <v>0</v>
      </c>
      <c r="AE35" s="139">
        <f>VLOOKUP($E35,'7. PGE_Efficacité'!$A$6:$CY$266,(MATCH('4.2 ACE EFF WOL'!AE$4,'7. PGE_Efficacité'!$A$4:$AO$4,0)+62),0)</f>
        <v>0</v>
      </c>
      <c r="AF35" s="139">
        <f>VLOOKUP($E35,'7. PGE_Efficacité'!$A$6:$CY$266,(MATCH('4.2 ACE EFF WOL'!AF$4,'7. PGE_Efficacité'!$A$4:$AO$4,0)+62),0)</f>
        <v>0</v>
      </c>
      <c r="AG35" s="139">
        <f>VLOOKUP($E35,'7. PGE_Efficacité'!$A$6:$CY$266,(MATCH('4.2 ACE EFF WOL'!AG$4,'7. PGE_Efficacité'!$A$4:$AO$4,0)+62),0)</f>
        <v>0</v>
      </c>
      <c r="AH35" s="139">
        <f>VLOOKUP($E35,'7. PGE_Efficacité'!$A$6:$CY$266,(MATCH('4.2 ACE EFF WOL'!AH$4,'7. PGE_Efficacité'!$A$4:$AO$4,0)+62),0)</f>
        <v>0</v>
      </c>
      <c r="AI35" s="139">
        <f>VLOOKUP($E35,'7. PGE_Efficacité'!$A$6:$CY$266,(MATCH('4.2 ACE EFF WOL'!AI$4,'7. PGE_Efficacité'!$A$4:$AO$4,0)+62),0)</f>
        <v>0</v>
      </c>
      <c r="AJ35" s="139">
        <f>VLOOKUP($E35,'7. PGE_Efficacité'!$A$6:$CY$266,(MATCH('4.2 ACE EFF WOL'!AJ$4,'7. PGE_Efficacité'!$A$4:$AO$4,0)+62),0)</f>
        <v>0</v>
      </c>
      <c r="AK35" s="139">
        <f>VLOOKUP($E35,'7. PGE_Efficacité'!$A$6:$CY$266,(MATCH('4.2 ACE EFF WOL'!AK$4,'7. PGE_Efficacité'!$A$4:$AO$4,0)+62),0)</f>
        <v>0</v>
      </c>
      <c r="AL35" s="139">
        <f>VLOOKUP($E35,'7. PGE_Efficacité'!$A$6:$CY$266,(MATCH('4.2 ACE EFF WOL'!AL$4,'7. PGE_Efficacité'!$A$4:$AO$4,0)+62),0)</f>
        <v>0</v>
      </c>
      <c r="AM35" s="139">
        <f>VLOOKUP($E35,'7. PGE_Efficacité'!$A$6:$CY$266,(MATCH('4.2 ACE EFF WOL'!AM$4,'7. PGE_Efficacité'!$A$4:$AO$4,0)+62),0)</f>
        <v>0</v>
      </c>
      <c r="AN35" s="139">
        <f>VLOOKUP($E35,'7. PGE_Efficacité'!$A$6:$CY$266,(MATCH('4.2 ACE EFF WOL'!AN$4,'7. PGE_Efficacité'!$A$4:$AO$4,0)+62),0)</f>
        <v>0</v>
      </c>
    </row>
    <row r="36" spans="1:40" hidden="1" outlineLevel="2" x14ac:dyDescent="0.25">
      <c r="A36" s="48" t="s">
        <v>1524</v>
      </c>
      <c r="B36" s="49">
        <v>4</v>
      </c>
      <c r="C36" s="48" t="s">
        <v>1530</v>
      </c>
      <c r="D36" s="199" t="s">
        <v>3</v>
      </c>
      <c r="E36" s="200" t="s">
        <v>796</v>
      </c>
      <c r="F36" s="200" t="s">
        <v>1434</v>
      </c>
      <c r="G36" s="201" t="s">
        <v>1520</v>
      </c>
      <c r="H36" s="200" t="s">
        <v>1290</v>
      </c>
      <c r="I36" s="202">
        <v>0</v>
      </c>
      <c r="J36" s="139">
        <f>VLOOKUP($E36,'7. PGE_Efficacité'!$A$6:$CY$266,(MATCH('4.2 ACE EFF WOL'!J$4,'7. PGE_Efficacité'!$A$4:$AO$4,0)+62),0)</f>
        <v>0</v>
      </c>
      <c r="K36" s="139">
        <f>VLOOKUP($E36,'7. PGE_Efficacité'!$A$6:$CY$266,(MATCH('4.2 ACE EFF WOL'!K$4,'7. PGE_Efficacité'!$A$4:$AO$4,0)+62),0)</f>
        <v>0</v>
      </c>
      <c r="L36" s="139">
        <f>VLOOKUP($E36,'7. PGE_Efficacité'!$A$6:$CY$266,(MATCH('4.2 ACE EFF WOL'!L$4,'7. PGE_Efficacité'!$A$4:$AO$4,0)+62),0)</f>
        <v>0</v>
      </c>
      <c r="M36" s="139">
        <f>VLOOKUP($E36,'7. PGE_Efficacité'!$A$6:$CY$266,(MATCH('4.2 ACE EFF WOL'!M$4,'7. PGE_Efficacité'!$A$4:$AO$4,0)+62),0)</f>
        <v>0</v>
      </c>
      <c r="N36" s="139">
        <f>VLOOKUP($E36,'7. PGE_Efficacité'!$A$6:$CY$266,(MATCH('4.2 ACE EFF WOL'!N$4,'7. PGE_Efficacité'!$A$4:$AO$4,0)+62),0)</f>
        <v>0</v>
      </c>
      <c r="O36" s="139">
        <f>VLOOKUP($E36,'7. PGE_Efficacité'!$A$6:$CY$266,78,0)</f>
        <v>0</v>
      </c>
      <c r="P36" s="139">
        <f>VLOOKUP($E36,'7. PGE_Efficacité'!$A$6:$CY$266,(MATCH('4.2 ACE EFF WOL'!P$4,'7. PGE_Efficacité'!$A$4:$AO$4,0)+62),0)</f>
        <v>0</v>
      </c>
      <c r="Q36" s="139">
        <f>VLOOKUP($E36,'7. PGE_Efficacité'!$A$6:$CY$266,(MATCH('4.2 ACE EFF WOL'!Q$4,'7. PGE_Efficacité'!$A$4:$AO$4,0)+62),0)</f>
        <v>0</v>
      </c>
      <c r="R36" s="139">
        <f>VLOOKUP($E36,'7. PGE_Efficacité'!$A$6:$CY$266,(MATCH('4.2 ACE EFF WOL'!R$4,'7. PGE_Efficacité'!$A$4:$AO$4,0)+62),0)</f>
        <v>0</v>
      </c>
      <c r="S36" s="139">
        <f>VLOOKUP($E36,'7. PGE_Efficacité'!$A$6:$CY$266,(MATCH('4.2 ACE EFF WOL'!S$4,'7. PGE_Efficacité'!$A$4:$AO$4,0)+62),0)</f>
        <v>0</v>
      </c>
      <c r="T36" s="139">
        <f>VLOOKUP($E36,'7. PGE_Efficacité'!$A$6:$CY$266,(MATCH('4.2 ACE EFF WOL'!T$4,'7. PGE_Efficacité'!$A$4:$AO$4,0)+62),0)</f>
        <v>0</v>
      </c>
      <c r="U36" s="139">
        <f>VLOOKUP($E36,'7. PGE_Efficacité'!$A$6:$CY$266,(MATCH('4.2 ACE EFF WOL'!U$4,'7. PGE_Efficacité'!$A$4:$AO$4,0)+62),0)</f>
        <v>0</v>
      </c>
      <c r="V36" s="139">
        <f>VLOOKUP($E36,'7. PGE_Efficacité'!$A$6:$CY$266,(MATCH('4.2 ACE EFF WOL'!V$4,'7. PGE_Efficacité'!$A$4:$AO$4,0)+62),0)</f>
        <v>0</v>
      </c>
      <c r="W36" s="139">
        <f>VLOOKUP($E36,'7. PGE_Efficacité'!$A$6:$CY$266,(MATCH('4.2 ACE EFF WOL'!W$4,'7. PGE_Efficacité'!$A$4:$AO$4,0)+62),0)</f>
        <v>0</v>
      </c>
      <c r="X36" s="139">
        <f>VLOOKUP($E36,'7. PGE_Efficacité'!$A$6:$CY$266,(MATCH('4.2 ACE EFF WOL'!X$4,'7. PGE_Efficacité'!$A$4:$AO$4,0)+62),0)</f>
        <v>0</v>
      </c>
      <c r="Y36" s="139">
        <f>VLOOKUP($E36,'7. PGE_Efficacité'!$A$6:$CY$266,(MATCH('4.2 ACE EFF WOL'!Y$4,'7. PGE_Efficacité'!$A$4:$AO$4,0)+62),0)</f>
        <v>0</v>
      </c>
      <c r="Z36" s="139">
        <f>VLOOKUP($E36,'7. PGE_Efficacité'!$A$6:$CY$266,(MATCH('4.2 ACE EFF WOL'!Z$4,'7. PGE_Efficacité'!$A$4:$AO$4,0)+62),0)</f>
        <v>0</v>
      </c>
      <c r="AA36" s="139">
        <f>VLOOKUP($E36,'7. PGE_Efficacité'!$A$6:$CY$266,(MATCH('4.2 ACE EFF WOL'!AA$4,'7. PGE_Efficacité'!$A$4:$AO$4,0)+62),0)</f>
        <v>0</v>
      </c>
      <c r="AB36" s="139">
        <f>VLOOKUP($E36,'7. PGE_Efficacité'!$A$6:$CY$266,(MATCH('4.2 ACE EFF WOL'!AB$4,'7. PGE_Efficacité'!$A$4:$AO$4,0)+62),0)</f>
        <v>0</v>
      </c>
      <c r="AC36" s="139">
        <f>VLOOKUP($E36,'7. PGE_Efficacité'!$A$6:$CY$266,(MATCH('4.2 ACE EFF WOL'!AC$4,'7. PGE_Efficacité'!$A$4:$AO$4,0)+62),0)</f>
        <v>0</v>
      </c>
      <c r="AD36" s="139">
        <f>VLOOKUP($E36,'7. PGE_Efficacité'!$A$6:$CY$266,(MATCH('4.2 ACE EFF WOL'!AD$4,'7. PGE_Efficacité'!$A$4:$AO$4,0)+62),0)</f>
        <v>0</v>
      </c>
      <c r="AE36" s="139">
        <f>VLOOKUP($E36,'7. PGE_Efficacité'!$A$6:$CY$266,(MATCH('4.2 ACE EFF WOL'!AE$4,'7. PGE_Efficacité'!$A$4:$AO$4,0)+62),0)</f>
        <v>0</v>
      </c>
      <c r="AF36" s="139">
        <f>VLOOKUP($E36,'7. PGE_Efficacité'!$A$6:$CY$266,(MATCH('4.2 ACE EFF WOL'!AF$4,'7. PGE_Efficacité'!$A$4:$AO$4,0)+62),0)</f>
        <v>0</v>
      </c>
      <c r="AG36" s="139">
        <f>VLOOKUP($E36,'7. PGE_Efficacité'!$A$6:$CY$266,(MATCH('4.2 ACE EFF WOL'!AG$4,'7. PGE_Efficacité'!$A$4:$AO$4,0)+62),0)</f>
        <v>0</v>
      </c>
      <c r="AH36" s="139">
        <f>VLOOKUP($E36,'7. PGE_Efficacité'!$A$6:$CY$266,(MATCH('4.2 ACE EFF WOL'!AH$4,'7. PGE_Efficacité'!$A$4:$AO$4,0)+62),0)</f>
        <v>0</v>
      </c>
      <c r="AI36" s="139">
        <f>VLOOKUP($E36,'7. PGE_Efficacité'!$A$6:$CY$266,(MATCH('4.2 ACE EFF WOL'!AI$4,'7. PGE_Efficacité'!$A$4:$AO$4,0)+62),0)</f>
        <v>0</v>
      </c>
      <c r="AJ36" s="139">
        <f>VLOOKUP($E36,'7. PGE_Efficacité'!$A$6:$CY$266,(MATCH('4.2 ACE EFF WOL'!AJ$4,'7. PGE_Efficacité'!$A$4:$AO$4,0)+62),0)</f>
        <v>0</v>
      </c>
      <c r="AK36" s="139">
        <f>VLOOKUP($E36,'7. PGE_Efficacité'!$A$6:$CY$266,(MATCH('4.2 ACE EFF WOL'!AK$4,'7. PGE_Efficacité'!$A$4:$AO$4,0)+62),0)</f>
        <v>0</v>
      </c>
      <c r="AL36" s="139">
        <f>VLOOKUP($E36,'7. PGE_Efficacité'!$A$6:$CY$266,(MATCH('4.2 ACE EFF WOL'!AL$4,'7. PGE_Efficacité'!$A$4:$AO$4,0)+62),0)</f>
        <v>0</v>
      </c>
      <c r="AM36" s="139">
        <f>VLOOKUP($E36,'7. PGE_Efficacité'!$A$6:$CY$266,(MATCH('4.2 ACE EFF WOL'!AM$4,'7. PGE_Efficacité'!$A$4:$AO$4,0)+62),0)</f>
        <v>0</v>
      </c>
      <c r="AN36" s="139">
        <f>VLOOKUP($E36,'7. PGE_Efficacité'!$A$6:$CY$266,(MATCH('4.2 ACE EFF WOL'!AN$4,'7. PGE_Efficacité'!$A$4:$AO$4,0)+62),0)</f>
        <v>0</v>
      </c>
    </row>
    <row r="37" spans="1:40" hidden="1" outlineLevel="2" x14ac:dyDescent="0.25">
      <c r="A37" s="48" t="s">
        <v>1524</v>
      </c>
      <c r="B37" s="49">
        <v>4</v>
      </c>
      <c r="C37" s="48" t="s">
        <v>1531</v>
      </c>
      <c r="D37" s="199" t="s">
        <v>3</v>
      </c>
      <c r="E37" s="200" t="s">
        <v>785</v>
      </c>
      <c r="F37" s="200" t="s">
        <v>1423</v>
      </c>
      <c r="G37" s="201" t="s">
        <v>1520</v>
      </c>
      <c r="H37" s="200" t="s">
        <v>1290</v>
      </c>
      <c r="I37" s="202">
        <v>0</v>
      </c>
      <c r="J37" s="139">
        <f>VLOOKUP($E37,'7. PGE_Efficacité'!$A$6:$CY$266,(MATCH('4.2 ACE EFF WOL'!J$4,'7. PGE_Efficacité'!$A$4:$AO$4,0)+62),0)</f>
        <v>0</v>
      </c>
      <c r="K37" s="139">
        <f>VLOOKUP($E37,'7. PGE_Efficacité'!$A$6:$CY$266,(MATCH('4.2 ACE EFF WOL'!K$4,'7. PGE_Efficacité'!$A$4:$AO$4,0)+62),0)</f>
        <v>0</v>
      </c>
      <c r="L37" s="139">
        <f>VLOOKUP($E37,'7. PGE_Efficacité'!$A$6:$CY$266,(MATCH('4.2 ACE EFF WOL'!L$4,'7. PGE_Efficacité'!$A$4:$AO$4,0)+62),0)</f>
        <v>0</v>
      </c>
      <c r="M37" s="139">
        <f>VLOOKUP($E37,'7. PGE_Efficacité'!$A$6:$CY$266,(MATCH('4.2 ACE EFF WOL'!M$4,'7. PGE_Efficacité'!$A$4:$AO$4,0)+62),0)</f>
        <v>0</v>
      </c>
      <c r="N37" s="139">
        <f>VLOOKUP($E37,'7. PGE_Efficacité'!$A$6:$CY$266,(MATCH('4.2 ACE EFF WOL'!N$4,'7. PGE_Efficacité'!$A$4:$AO$4,0)+62),0)</f>
        <v>0</v>
      </c>
      <c r="O37" s="139">
        <f>VLOOKUP($E37,'7. PGE_Efficacité'!$A$6:$CY$266,78,0)</f>
        <v>0</v>
      </c>
      <c r="P37" s="139">
        <f>VLOOKUP($E37,'7. PGE_Efficacité'!$A$6:$CY$266,(MATCH('4.2 ACE EFF WOL'!P$4,'7. PGE_Efficacité'!$A$4:$AO$4,0)+62),0)</f>
        <v>0</v>
      </c>
      <c r="Q37" s="139">
        <f>VLOOKUP($E37,'7. PGE_Efficacité'!$A$6:$CY$266,(MATCH('4.2 ACE EFF WOL'!Q$4,'7. PGE_Efficacité'!$A$4:$AO$4,0)+62),0)</f>
        <v>0</v>
      </c>
      <c r="R37" s="139">
        <f>VLOOKUP($E37,'7. PGE_Efficacité'!$A$6:$CY$266,(MATCH('4.2 ACE EFF WOL'!R$4,'7. PGE_Efficacité'!$A$4:$AO$4,0)+62),0)</f>
        <v>0</v>
      </c>
      <c r="S37" s="139">
        <f>VLOOKUP($E37,'7. PGE_Efficacité'!$A$6:$CY$266,(MATCH('4.2 ACE EFF WOL'!S$4,'7. PGE_Efficacité'!$A$4:$AO$4,0)+62),0)</f>
        <v>0</v>
      </c>
      <c r="T37" s="139">
        <f>VLOOKUP($E37,'7. PGE_Efficacité'!$A$6:$CY$266,(MATCH('4.2 ACE EFF WOL'!T$4,'7. PGE_Efficacité'!$A$4:$AO$4,0)+62),0)</f>
        <v>0</v>
      </c>
      <c r="U37" s="139">
        <f>VLOOKUP($E37,'7. PGE_Efficacité'!$A$6:$CY$266,(MATCH('4.2 ACE EFF WOL'!U$4,'7. PGE_Efficacité'!$A$4:$AO$4,0)+62),0)</f>
        <v>0</v>
      </c>
      <c r="V37" s="139">
        <f>VLOOKUP($E37,'7. PGE_Efficacité'!$A$6:$CY$266,(MATCH('4.2 ACE EFF WOL'!V$4,'7. PGE_Efficacité'!$A$4:$AO$4,0)+62),0)</f>
        <v>0</v>
      </c>
      <c r="W37" s="139">
        <f>VLOOKUP($E37,'7. PGE_Efficacité'!$A$6:$CY$266,(MATCH('4.2 ACE EFF WOL'!W$4,'7. PGE_Efficacité'!$A$4:$AO$4,0)+62),0)</f>
        <v>0</v>
      </c>
      <c r="X37" s="139">
        <f>VLOOKUP($E37,'7. PGE_Efficacité'!$A$6:$CY$266,(MATCH('4.2 ACE EFF WOL'!X$4,'7. PGE_Efficacité'!$A$4:$AO$4,0)+62),0)</f>
        <v>0</v>
      </c>
      <c r="Y37" s="139">
        <f>VLOOKUP($E37,'7. PGE_Efficacité'!$A$6:$CY$266,(MATCH('4.2 ACE EFF WOL'!Y$4,'7. PGE_Efficacité'!$A$4:$AO$4,0)+62),0)</f>
        <v>0</v>
      </c>
      <c r="Z37" s="139">
        <f>VLOOKUP($E37,'7. PGE_Efficacité'!$A$6:$CY$266,(MATCH('4.2 ACE EFF WOL'!Z$4,'7. PGE_Efficacité'!$A$4:$AO$4,0)+62),0)</f>
        <v>0</v>
      </c>
      <c r="AA37" s="139">
        <f>VLOOKUP($E37,'7. PGE_Efficacité'!$A$6:$CY$266,(MATCH('4.2 ACE EFF WOL'!AA$4,'7. PGE_Efficacité'!$A$4:$AO$4,0)+62),0)</f>
        <v>0</v>
      </c>
      <c r="AB37" s="139">
        <f>VLOOKUP($E37,'7. PGE_Efficacité'!$A$6:$CY$266,(MATCH('4.2 ACE EFF WOL'!AB$4,'7. PGE_Efficacité'!$A$4:$AO$4,0)+62),0)</f>
        <v>0</v>
      </c>
      <c r="AC37" s="139">
        <f>VLOOKUP($E37,'7. PGE_Efficacité'!$A$6:$CY$266,(MATCH('4.2 ACE EFF WOL'!AC$4,'7. PGE_Efficacité'!$A$4:$AO$4,0)+62),0)</f>
        <v>0</v>
      </c>
      <c r="AD37" s="139">
        <f>VLOOKUP($E37,'7. PGE_Efficacité'!$A$6:$CY$266,(MATCH('4.2 ACE EFF WOL'!AD$4,'7. PGE_Efficacité'!$A$4:$AO$4,0)+62),0)</f>
        <v>0</v>
      </c>
      <c r="AE37" s="139">
        <f>VLOOKUP($E37,'7. PGE_Efficacité'!$A$6:$CY$266,(MATCH('4.2 ACE EFF WOL'!AE$4,'7. PGE_Efficacité'!$A$4:$AO$4,0)+62),0)</f>
        <v>0</v>
      </c>
      <c r="AF37" s="139">
        <f>VLOOKUP($E37,'7. PGE_Efficacité'!$A$6:$CY$266,(MATCH('4.2 ACE EFF WOL'!AF$4,'7. PGE_Efficacité'!$A$4:$AO$4,0)+62),0)</f>
        <v>0</v>
      </c>
      <c r="AG37" s="139">
        <f>VLOOKUP($E37,'7. PGE_Efficacité'!$A$6:$CY$266,(MATCH('4.2 ACE EFF WOL'!AG$4,'7. PGE_Efficacité'!$A$4:$AO$4,0)+62),0)</f>
        <v>0</v>
      </c>
      <c r="AH37" s="139">
        <f>VLOOKUP($E37,'7. PGE_Efficacité'!$A$6:$CY$266,(MATCH('4.2 ACE EFF WOL'!AH$4,'7. PGE_Efficacité'!$A$4:$AO$4,0)+62),0)</f>
        <v>0</v>
      </c>
      <c r="AI37" s="139">
        <f>VLOOKUP($E37,'7. PGE_Efficacité'!$A$6:$CY$266,(MATCH('4.2 ACE EFF WOL'!AI$4,'7. PGE_Efficacité'!$A$4:$AO$4,0)+62),0)</f>
        <v>0</v>
      </c>
      <c r="AJ37" s="139">
        <f>VLOOKUP($E37,'7. PGE_Efficacité'!$A$6:$CY$266,(MATCH('4.2 ACE EFF WOL'!AJ$4,'7. PGE_Efficacité'!$A$4:$AO$4,0)+62),0)</f>
        <v>0</v>
      </c>
      <c r="AK37" s="139">
        <f>VLOOKUP($E37,'7. PGE_Efficacité'!$A$6:$CY$266,(MATCH('4.2 ACE EFF WOL'!AK$4,'7. PGE_Efficacité'!$A$4:$AO$4,0)+62),0)</f>
        <v>0</v>
      </c>
      <c r="AL37" s="139">
        <f>VLOOKUP($E37,'7. PGE_Efficacité'!$A$6:$CY$266,(MATCH('4.2 ACE EFF WOL'!AL$4,'7. PGE_Efficacité'!$A$4:$AO$4,0)+62),0)</f>
        <v>0</v>
      </c>
      <c r="AM37" s="139">
        <f>VLOOKUP($E37,'7. PGE_Efficacité'!$A$6:$CY$266,(MATCH('4.2 ACE EFF WOL'!AM$4,'7. PGE_Efficacité'!$A$4:$AO$4,0)+62),0)</f>
        <v>0</v>
      </c>
      <c r="AN37" s="139">
        <f>VLOOKUP($E37,'7. PGE_Efficacité'!$A$6:$CY$266,(MATCH('4.2 ACE EFF WOL'!AN$4,'7. PGE_Efficacité'!$A$4:$AO$4,0)+62),0)</f>
        <v>0</v>
      </c>
    </row>
    <row r="38" spans="1:40" hidden="1" outlineLevel="2" x14ac:dyDescent="0.25">
      <c r="A38" s="48" t="s">
        <v>1524</v>
      </c>
      <c r="B38" s="49">
        <v>4</v>
      </c>
      <c r="C38" s="48" t="s">
        <v>1503</v>
      </c>
      <c r="D38" s="199" t="s">
        <v>3</v>
      </c>
      <c r="E38" s="200" t="s">
        <v>786</v>
      </c>
      <c r="F38" s="200" t="s">
        <v>1424</v>
      </c>
      <c r="G38" s="201" t="s">
        <v>1520</v>
      </c>
      <c r="H38" s="200" t="s">
        <v>1290</v>
      </c>
      <c r="I38" s="202">
        <v>0</v>
      </c>
      <c r="J38" s="139">
        <f>VLOOKUP($E38,'7. PGE_Efficacité'!$A$6:$CY$266,(MATCH('4.2 ACE EFF WOL'!J$4,'7. PGE_Efficacité'!$A$4:$AO$4,0)+62),0)</f>
        <v>0</v>
      </c>
      <c r="K38" s="139">
        <f>VLOOKUP($E38,'7. PGE_Efficacité'!$A$6:$CY$266,(MATCH('4.2 ACE EFF WOL'!K$4,'7. PGE_Efficacité'!$A$4:$AO$4,0)+62),0)</f>
        <v>0</v>
      </c>
      <c r="L38" s="139">
        <f>VLOOKUP($E38,'7. PGE_Efficacité'!$A$6:$CY$266,(MATCH('4.2 ACE EFF WOL'!L$4,'7. PGE_Efficacité'!$A$4:$AO$4,0)+62),0)</f>
        <v>0</v>
      </c>
      <c r="M38" s="139">
        <f>VLOOKUP($E38,'7. PGE_Efficacité'!$A$6:$CY$266,(MATCH('4.2 ACE EFF WOL'!M$4,'7. PGE_Efficacité'!$A$4:$AO$4,0)+62),0)</f>
        <v>0</v>
      </c>
      <c r="N38" s="139">
        <f>VLOOKUP($E38,'7. PGE_Efficacité'!$A$6:$CY$266,(MATCH('4.2 ACE EFF WOL'!N$4,'7. PGE_Efficacité'!$A$4:$AO$4,0)+62),0)</f>
        <v>0</v>
      </c>
      <c r="O38" s="139">
        <f>VLOOKUP($E38,'7. PGE_Efficacité'!$A$6:$CY$266,78,0)</f>
        <v>0</v>
      </c>
      <c r="P38" s="139">
        <f>VLOOKUP($E38,'7. PGE_Efficacité'!$A$6:$CY$266,(MATCH('4.2 ACE EFF WOL'!P$4,'7. PGE_Efficacité'!$A$4:$AO$4,0)+62),0)</f>
        <v>0</v>
      </c>
      <c r="Q38" s="139">
        <f>VLOOKUP($E38,'7. PGE_Efficacité'!$A$6:$CY$266,(MATCH('4.2 ACE EFF WOL'!Q$4,'7. PGE_Efficacité'!$A$4:$AO$4,0)+62),0)</f>
        <v>0</v>
      </c>
      <c r="R38" s="139">
        <f>VLOOKUP($E38,'7. PGE_Efficacité'!$A$6:$CY$266,(MATCH('4.2 ACE EFF WOL'!R$4,'7. PGE_Efficacité'!$A$4:$AO$4,0)+62),0)</f>
        <v>0</v>
      </c>
      <c r="S38" s="139">
        <f>VLOOKUP($E38,'7. PGE_Efficacité'!$A$6:$CY$266,(MATCH('4.2 ACE EFF WOL'!S$4,'7. PGE_Efficacité'!$A$4:$AO$4,0)+62),0)</f>
        <v>0</v>
      </c>
      <c r="T38" s="139">
        <f>VLOOKUP($E38,'7. PGE_Efficacité'!$A$6:$CY$266,(MATCH('4.2 ACE EFF WOL'!T$4,'7. PGE_Efficacité'!$A$4:$AO$4,0)+62),0)</f>
        <v>0</v>
      </c>
      <c r="U38" s="139">
        <f>VLOOKUP($E38,'7. PGE_Efficacité'!$A$6:$CY$266,(MATCH('4.2 ACE EFF WOL'!U$4,'7. PGE_Efficacité'!$A$4:$AO$4,0)+62),0)</f>
        <v>0</v>
      </c>
      <c r="V38" s="139">
        <f>VLOOKUP($E38,'7. PGE_Efficacité'!$A$6:$CY$266,(MATCH('4.2 ACE EFF WOL'!V$4,'7. PGE_Efficacité'!$A$4:$AO$4,0)+62),0)</f>
        <v>0</v>
      </c>
      <c r="W38" s="139">
        <f>VLOOKUP($E38,'7. PGE_Efficacité'!$A$6:$CY$266,(MATCH('4.2 ACE EFF WOL'!W$4,'7. PGE_Efficacité'!$A$4:$AO$4,0)+62),0)</f>
        <v>0</v>
      </c>
      <c r="X38" s="139">
        <f>VLOOKUP($E38,'7. PGE_Efficacité'!$A$6:$CY$266,(MATCH('4.2 ACE EFF WOL'!X$4,'7. PGE_Efficacité'!$A$4:$AO$4,0)+62),0)</f>
        <v>0</v>
      </c>
      <c r="Y38" s="139">
        <f>VLOOKUP($E38,'7. PGE_Efficacité'!$A$6:$CY$266,(MATCH('4.2 ACE EFF WOL'!Y$4,'7. PGE_Efficacité'!$A$4:$AO$4,0)+62),0)</f>
        <v>0</v>
      </c>
      <c r="Z38" s="139">
        <f>VLOOKUP($E38,'7. PGE_Efficacité'!$A$6:$CY$266,(MATCH('4.2 ACE EFF WOL'!Z$4,'7. PGE_Efficacité'!$A$4:$AO$4,0)+62),0)</f>
        <v>0</v>
      </c>
      <c r="AA38" s="139">
        <f>VLOOKUP($E38,'7. PGE_Efficacité'!$A$6:$CY$266,(MATCH('4.2 ACE EFF WOL'!AA$4,'7. PGE_Efficacité'!$A$4:$AO$4,0)+62),0)</f>
        <v>0</v>
      </c>
      <c r="AB38" s="139">
        <f>VLOOKUP($E38,'7. PGE_Efficacité'!$A$6:$CY$266,(MATCH('4.2 ACE EFF WOL'!AB$4,'7. PGE_Efficacité'!$A$4:$AO$4,0)+62),0)</f>
        <v>0</v>
      </c>
      <c r="AC38" s="139">
        <f>VLOOKUP($E38,'7. PGE_Efficacité'!$A$6:$CY$266,(MATCH('4.2 ACE EFF WOL'!AC$4,'7. PGE_Efficacité'!$A$4:$AO$4,0)+62),0)</f>
        <v>0</v>
      </c>
      <c r="AD38" s="139">
        <f>VLOOKUP($E38,'7. PGE_Efficacité'!$A$6:$CY$266,(MATCH('4.2 ACE EFF WOL'!AD$4,'7. PGE_Efficacité'!$A$4:$AO$4,0)+62),0)</f>
        <v>0</v>
      </c>
      <c r="AE38" s="139">
        <f>VLOOKUP($E38,'7. PGE_Efficacité'!$A$6:$CY$266,(MATCH('4.2 ACE EFF WOL'!AE$4,'7. PGE_Efficacité'!$A$4:$AO$4,0)+62),0)</f>
        <v>0</v>
      </c>
      <c r="AF38" s="139">
        <f>VLOOKUP($E38,'7. PGE_Efficacité'!$A$6:$CY$266,(MATCH('4.2 ACE EFF WOL'!AF$4,'7. PGE_Efficacité'!$A$4:$AO$4,0)+62),0)</f>
        <v>0</v>
      </c>
      <c r="AG38" s="139">
        <f>VLOOKUP($E38,'7. PGE_Efficacité'!$A$6:$CY$266,(MATCH('4.2 ACE EFF WOL'!AG$4,'7. PGE_Efficacité'!$A$4:$AO$4,0)+62),0)</f>
        <v>0</v>
      </c>
      <c r="AH38" s="139">
        <f>VLOOKUP($E38,'7. PGE_Efficacité'!$A$6:$CY$266,(MATCH('4.2 ACE EFF WOL'!AH$4,'7. PGE_Efficacité'!$A$4:$AO$4,0)+62),0)</f>
        <v>0</v>
      </c>
      <c r="AI38" s="139">
        <f>VLOOKUP($E38,'7. PGE_Efficacité'!$A$6:$CY$266,(MATCH('4.2 ACE EFF WOL'!AI$4,'7. PGE_Efficacité'!$A$4:$AO$4,0)+62),0)</f>
        <v>0</v>
      </c>
      <c r="AJ38" s="139">
        <f>VLOOKUP($E38,'7. PGE_Efficacité'!$A$6:$CY$266,(MATCH('4.2 ACE EFF WOL'!AJ$4,'7. PGE_Efficacité'!$A$4:$AO$4,0)+62),0)</f>
        <v>0</v>
      </c>
      <c r="AK38" s="139">
        <f>VLOOKUP($E38,'7. PGE_Efficacité'!$A$6:$CY$266,(MATCH('4.2 ACE EFF WOL'!AK$4,'7. PGE_Efficacité'!$A$4:$AO$4,0)+62),0)</f>
        <v>0</v>
      </c>
      <c r="AL38" s="139">
        <f>VLOOKUP($E38,'7. PGE_Efficacité'!$A$6:$CY$266,(MATCH('4.2 ACE EFF WOL'!AL$4,'7. PGE_Efficacité'!$A$4:$AO$4,0)+62),0)</f>
        <v>0</v>
      </c>
      <c r="AM38" s="139">
        <f>VLOOKUP($E38,'7. PGE_Efficacité'!$A$6:$CY$266,(MATCH('4.2 ACE EFF WOL'!AM$4,'7. PGE_Efficacité'!$A$4:$AO$4,0)+62),0)</f>
        <v>0</v>
      </c>
      <c r="AN38" s="139">
        <f>VLOOKUP($E38,'7. PGE_Efficacité'!$A$6:$CY$266,(MATCH('4.2 ACE EFF WOL'!AN$4,'7. PGE_Efficacité'!$A$4:$AO$4,0)+62),0)</f>
        <v>0</v>
      </c>
    </row>
    <row r="39" spans="1:40" hidden="1" outlineLevel="2" x14ac:dyDescent="0.25">
      <c r="A39" s="48" t="s">
        <v>1524</v>
      </c>
      <c r="B39" s="49">
        <v>4</v>
      </c>
      <c r="C39" s="48" t="s">
        <v>1504</v>
      </c>
      <c r="D39" s="199" t="s">
        <v>3</v>
      </c>
      <c r="E39" s="200" t="s">
        <v>787</v>
      </c>
      <c r="F39" s="200" t="s">
        <v>1425</v>
      </c>
      <c r="G39" s="201" t="s">
        <v>1520</v>
      </c>
      <c r="H39" s="200" t="s">
        <v>1290</v>
      </c>
      <c r="I39" s="202">
        <v>0</v>
      </c>
      <c r="J39" s="139">
        <f>VLOOKUP($E39,'7. PGE_Efficacité'!$A$6:$CY$266,(MATCH('4.2 ACE EFF WOL'!J$4,'7. PGE_Efficacité'!$A$4:$AO$4,0)+62),0)</f>
        <v>0</v>
      </c>
      <c r="K39" s="139">
        <f>VLOOKUP($E39,'7. PGE_Efficacité'!$A$6:$CY$266,(MATCH('4.2 ACE EFF WOL'!K$4,'7. PGE_Efficacité'!$A$4:$AO$4,0)+62),0)</f>
        <v>0</v>
      </c>
      <c r="L39" s="139">
        <f>VLOOKUP($E39,'7. PGE_Efficacité'!$A$6:$CY$266,(MATCH('4.2 ACE EFF WOL'!L$4,'7. PGE_Efficacité'!$A$4:$AO$4,0)+62),0)</f>
        <v>0</v>
      </c>
      <c r="M39" s="139">
        <f>VLOOKUP($E39,'7. PGE_Efficacité'!$A$6:$CY$266,(MATCH('4.2 ACE EFF WOL'!M$4,'7. PGE_Efficacité'!$A$4:$AO$4,0)+62),0)</f>
        <v>0</v>
      </c>
      <c r="N39" s="139">
        <f>VLOOKUP($E39,'7. PGE_Efficacité'!$A$6:$CY$266,(MATCH('4.2 ACE EFF WOL'!N$4,'7. PGE_Efficacité'!$A$4:$AO$4,0)+62),0)</f>
        <v>0</v>
      </c>
      <c r="O39" s="139">
        <f>VLOOKUP($E39,'7. PGE_Efficacité'!$A$6:$CY$266,78,0)</f>
        <v>0</v>
      </c>
      <c r="P39" s="139">
        <f>VLOOKUP($E39,'7. PGE_Efficacité'!$A$6:$CY$266,(MATCH('4.2 ACE EFF WOL'!P$4,'7. PGE_Efficacité'!$A$4:$AO$4,0)+62),0)</f>
        <v>0</v>
      </c>
      <c r="Q39" s="139">
        <f>VLOOKUP($E39,'7. PGE_Efficacité'!$A$6:$CY$266,(MATCH('4.2 ACE EFF WOL'!Q$4,'7. PGE_Efficacité'!$A$4:$AO$4,0)+62),0)</f>
        <v>0</v>
      </c>
      <c r="R39" s="139">
        <f>VLOOKUP($E39,'7. PGE_Efficacité'!$A$6:$CY$266,(MATCH('4.2 ACE EFF WOL'!R$4,'7. PGE_Efficacité'!$A$4:$AO$4,0)+62),0)</f>
        <v>0</v>
      </c>
      <c r="S39" s="139">
        <f>VLOOKUP($E39,'7. PGE_Efficacité'!$A$6:$CY$266,(MATCH('4.2 ACE EFF WOL'!S$4,'7. PGE_Efficacité'!$A$4:$AO$4,0)+62),0)</f>
        <v>0</v>
      </c>
      <c r="T39" s="139">
        <f>VLOOKUP($E39,'7. PGE_Efficacité'!$A$6:$CY$266,(MATCH('4.2 ACE EFF WOL'!T$4,'7. PGE_Efficacité'!$A$4:$AO$4,0)+62),0)</f>
        <v>0</v>
      </c>
      <c r="U39" s="139">
        <f>VLOOKUP($E39,'7. PGE_Efficacité'!$A$6:$CY$266,(MATCH('4.2 ACE EFF WOL'!U$4,'7. PGE_Efficacité'!$A$4:$AO$4,0)+62),0)</f>
        <v>0</v>
      </c>
      <c r="V39" s="139">
        <f>VLOOKUP($E39,'7. PGE_Efficacité'!$A$6:$CY$266,(MATCH('4.2 ACE EFF WOL'!V$4,'7. PGE_Efficacité'!$A$4:$AO$4,0)+62),0)</f>
        <v>0</v>
      </c>
      <c r="W39" s="139">
        <f>VLOOKUP($E39,'7. PGE_Efficacité'!$A$6:$CY$266,(MATCH('4.2 ACE EFF WOL'!W$4,'7. PGE_Efficacité'!$A$4:$AO$4,0)+62),0)</f>
        <v>0</v>
      </c>
      <c r="X39" s="139">
        <f>VLOOKUP($E39,'7. PGE_Efficacité'!$A$6:$CY$266,(MATCH('4.2 ACE EFF WOL'!X$4,'7. PGE_Efficacité'!$A$4:$AO$4,0)+62),0)</f>
        <v>0</v>
      </c>
      <c r="Y39" s="139">
        <f>VLOOKUP($E39,'7. PGE_Efficacité'!$A$6:$CY$266,(MATCH('4.2 ACE EFF WOL'!Y$4,'7. PGE_Efficacité'!$A$4:$AO$4,0)+62),0)</f>
        <v>0</v>
      </c>
      <c r="Z39" s="139">
        <f>VLOOKUP($E39,'7. PGE_Efficacité'!$A$6:$CY$266,(MATCH('4.2 ACE EFF WOL'!Z$4,'7. PGE_Efficacité'!$A$4:$AO$4,0)+62),0)</f>
        <v>0</v>
      </c>
      <c r="AA39" s="139">
        <f>VLOOKUP($E39,'7. PGE_Efficacité'!$A$6:$CY$266,(MATCH('4.2 ACE EFF WOL'!AA$4,'7. PGE_Efficacité'!$A$4:$AO$4,0)+62),0)</f>
        <v>0</v>
      </c>
      <c r="AB39" s="139">
        <f>VLOOKUP($E39,'7. PGE_Efficacité'!$A$6:$CY$266,(MATCH('4.2 ACE EFF WOL'!AB$4,'7. PGE_Efficacité'!$A$4:$AO$4,0)+62),0)</f>
        <v>0</v>
      </c>
      <c r="AC39" s="139">
        <f>VLOOKUP($E39,'7. PGE_Efficacité'!$A$6:$CY$266,(MATCH('4.2 ACE EFF WOL'!AC$4,'7. PGE_Efficacité'!$A$4:$AO$4,0)+62),0)</f>
        <v>0</v>
      </c>
      <c r="AD39" s="139">
        <f>VLOOKUP($E39,'7. PGE_Efficacité'!$A$6:$CY$266,(MATCH('4.2 ACE EFF WOL'!AD$4,'7. PGE_Efficacité'!$A$4:$AO$4,0)+62),0)</f>
        <v>0</v>
      </c>
      <c r="AE39" s="139">
        <f>VLOOKUP($E39,'7. PGE_Efficacité'!$A$6:$CY$266,(MATCH('4.2 ACE EFF WOL'!AE$4,'7. PGE_Efficacité'!$A$4:$AO$4,0)+62),0)</f>
        <v>0</v>
      </c>
      <c r="AF39" s="139">
        <f>VLOOKUP($E39,'7. PGE_Efficacité'!$A$6:$CY$266,(MATCH('4.2 ACE EFF WOL'!AF$4,'7. PGE_Efficacité'!$A$4:$AO$4,0)+62),0)</f>
        <v>0</v>
      </c>
      <c r="AG39" s="139">
        <f>VLOOKUP($E39,'7. PGE_Efficacité'!$A$6:$CY$266,(MATCH('4.2 ACE EFF WOL'!AG$4,'7. PGE_Efficacité'!$A$4:$AO$4,0)+62),0)</f>
        <v>0</v>
      </c>
      <c r="AH39" s="139">
        <f>VLOOKUP($E39,'7. PGE_Efficacité'!$A$6:$CY$266,(MATCH('4.2 ACE EFF WOL'!AH$4,'7. PGE_Efficacité'!$A$4:$AO$4,0)+62),0)</f>
        <v>0</v>
      </c>
      <c r="AI39" s="139">
        <f>VLOOKUP($E39,'7. PGE_Efficacité'!$A$6:$CY$266,(MATCH('4.2 ACE EFF WOL'!AI$4,'7. PGE_Efficacité'!$A$4:$AO$4,0)+62),0)</f>
        <v>0</v>
      </c>
      <c r="AJ39" s="139">
        <f>VLOOKUP($E39,'7. PGE_Efficacité'!$A$6:$CY$266,(MATCH('4.2 ACE EFF WOL'!AJ$4,'7. PGE_Efficacité'!$A$4:$AO$4,0)+62),0)</f>
        <v>0</v>
      </c>
      <c r="AK39" s="139">
        <f>VLOOKUP($E39,'7. PGE_Efficacité'!$A$6:$CY$266,(MATCH('4.2 ACE EFF WOL'!AK$4,'7. PGE_Efficacité'!$A$4:$AO$4,0)+62),0)</f>
        <v>0</v>
      </c>
      <c r="AL39" s="139">
        <f>VLOOKUP($E39,'7. PGE_Efficacité'!$A$6:$CY$266,(MATCH('4.2 ACE EFF WOL'!AL$4,'7. PGE_Efficacité'!$A$4:$AO$4,0)+62),0)</f>
        <v>0</v>
      </c>
      <c r="AM39" s="139">
        <f>VLOOKUP($E39,'7. PGE_Efficacité'!$A$6:$CY$266,(MATCH('4.2 ACE EFF WOL'!AM$4,'7. PGE_Efficacité'!$A$4:$AO$4,0)+62),0)</f>
        <v>0</v>
      </c>
      <c r="AN39" s="139">
        <f>VLOOKUP($E39,'7. PGE_Efficacité'!$A$6:$CY$266,(MATCH('4.2 ACE EFF WOL'!AN$4,'7. PGE_Efficacité'!$A$4:$AO$4,0)+62),0)</f>
        <v>0</v>
      </c>
    </row>
    <row r="40" spans="1:40" hidden="1" outlineLevel="2" x14ac:dyDescent="0.25">
      <c r="A40" s="48" t="s">
        <v>1524</v>
      </c>
      <c r="B40" s="49">
        <v>4</v>
      </c>
      <c r="C40" s="48" t="s">
        <v>1505</v>
      </c>
      <c r="D40" s="199" t="s">
        <v>3</v>
      </c>
      <c r="E40" s="200" t="s">
        <v>788</v>
      </c>
      <c r="F40" s="200" t="s">
        <v>1426</v>
      </c>
      <c r="G40" s="201" t="s">
        <v>1520</v>
      </c>
      <c r="H40" s="200" t="s">
        <v>1290</v>
      </c>
      <c r="I40" s="202">
        <f>165000/3</f>
        <v>55000</v>
      </c>
      <c r="J40" s="139">
        <f>VLOOKUP($E40,'7. PGE_Efficacité'!$A$6:$CY$266,(MATCH('4.2 ACE EFF WOL'!J$4,'7. PGE_Efficacité'!$A$4:$AO$4,0)+62),0)</f>
        <v>0</v>
      </c>
      <c r="K40" s="139">
        <f>VLOOKUP($E40,'7. PGE_Efficacité'!$A$6:$CY$266,(MATCH('4.2 ACE EFF WOL'!K$4,'7. PGE_Efficacité'!$A$4:$AO$4,0)+62),0)</f>
        <v>0</v>
      </c>
      <c r="L40" s="139">
        <f>VLOOKUP($E40,'7. PGE_Efficacité'!$A$6:$CY$266,(MATCH('4.2 ACE EFF WOL'!L$4,'7. PGE_Efficacité'!$A$4:$AO$4,0)+62),0)</f>
        <v>0</v>
      </c>
      <c r="M40" s="139">
        <f>VLOOKUP($E40,'7. PGE_Efficacité'!$A$6:$CY$266,(MATCH('4.2 ACE EFF WOL'!M$4,'7. PGE_Efficacité'!$A$4:$AO$4,0)+62),0)</f>
        <v>0</v>
      </c>
      <c r="N40" s="139">
        <f>VLOOKUP($E40,'7. PGE_Efficacité'!$A$6:$CY$266,(MATCH('4.2 ACE EFF WOL'!N$4,'7. PGE_Efficacité'!$A$4:$AO$4,0)+62),0)</f>
        <v>0</v>
      </c>
      <c r="O40" s="139">
        <f>VLOOKUP($E40,'7. PGE_Efficacité'!$A$6:$CY$266,78,0)</f>
        <v>0</v>
      </c>
      <c r="P40" s="139">
        <f>VLOOKUP($E40,'7. PGE_Efficacité'!$A$6:$CY$266,(MATCH('4.2 ACE EFF WOL'!P$4,'7. PGE_Efficacité'!$A$4:$AO$4,0)+62),0)</f>
        <v>0</v>
      </c>
      <c r="Q40" s="139">
        <f>VLOOKUP($E40,'7. PGE_Efficacité'!$A$6:$CY$266,(MATCH('4.2 ACE EFF WOL'!Q$4,'7. PGE_Efficacité'!$A$4:$AO$4,0)+62),0)</f>
        <v>0</v>
      </c>
      <c r="R40" s="139">
        <f>VLOOKUP($E40,'7. PGE_Efficacité'!$A$6:$CY$266,(MATCH('4.2 ACE EFF WOL'!R$4,'7. PGE_Efficacité'!$A$4:$AO$4,0)+62),0)</f>
        <v>0</v>
      </c>
      <c r="S40" s="139">
        <f>VLOOKUP($E40,'7. PGE_Efficacité'!$A$6:$CY$266,(MATCH('4.2 ACE EFF WOL'!S$4,'7. PGE_Efficacité'!$A$4:$AO$4,0)+62),0)</f>
        <v>0</v>
      </c>
      <c r="T40" s="139">
        <f>VLOOKUP($E40,'7. PGE_Efficacité'!$A$6:$CY$266,(MATCH('4.2 ACE EFF WOL'!T$4,'7. PGE_Efficacité'!$A$4:$AO$4,0)+62),0)</f>
        <v>0</v>
      </c>
      <c r="U40" s="139">
        <f>VLOOKUP($E40,'7. PGE_Efficacité'!$A$6:$CY$266,(MATCH('4.2 ACE EFF WOL'!U$4,'7. PGE_Efficacité'!$A$4:$AO$4,0)+62),0)</f>
        <v>0</v>
      </c>
      <c r="V40" s="139">
        <f>VLOOKUP($E40,'7. PGE_Efficacité'!$A$6:$CY$266,(MATCH('4.2 ACE EFF WOL'!V$4,'7. PGE_Efficacité'!$A$4:$AO$4,0)+62),0)</f>
        <v>0</v>
      </c>
      <c r="W40" s="139">
        <f>VLOOKUP($E40,'7. PGE_Efficacité'!$A$6:$CY$266,(MATCH('4.2 ACE EFF WOL'!W$4,'7. PGE_Efficacité'!$A$4:$AO$4,0)+62),0)</f>
        <v>0</v>
      </c>
      <c r="X40" s="139">
        <f>VLOOKUP($E40,'7. PGE_Efficacité'!$A$6:$CY$266,(MATCH('4.2 ACE EFF WOL'!X$4,'7. PGE_Efficacité'!$A$4:$AO$4,0)+62),0)</f>
        <v>0</v>
      </c>
      <c r="Y40" s="139">
        <f>VLOOKUP($E40,'7. PGE_Efficacité'!$A$6:$CY$266,(MATCH('4.2 ACE EFF WOL'!Y$4,'7. PGE_Efficacité'!$A$4:$AO$4,0)+62),0)</f>
        <v>0</v>
      </c>
      <c r="Z40" s="139">
        <f>VLOOKUP($E40,'7. PGE_Efficacité'!$A$6:$CY$266,(MATCH('4.2 ACE EFF WOL'!Z$4,'7. PGE_Efficacité'!$A$4:$AO$4,0)+62),0)</f>
        <v>0</v>
      </c>
      <c r="AA40" s="139">
        <f>VLOOKUP($E40,'7. PGE_Efficacité'!$A$6:$CY$266,(MATCH('4.2 ACE EFF WOL'!AA$4,'7. PGE_Efficacité'!$A$4:$AO$4,0)+62),0)</f>
        <v>0</v>
      </c>
      <c r="AB40" s="139">
        <f>VLOOKUP($E40,'7. PGE_Efficacité'!$A$6:$CY$266,(MATCH('4.2 ACE EFF WOL'!AB$4,'7. PGE_Efficacité'!$A$4:$AO$4,0)+62),0)</f>
        <v>0</v>
      </c>
      <c r="AC40" s="139">
        <f>VLOOKUP($E40,'7. PGE_Efficacité'!$A$6:$CY$266,(MATCH('4.2 ACE EFF WOL'!AC$4,'7. PGE_Efficacité'!$A$4:$AO$4,0)+62),0)</f>
        <v>0</v>
      </c>
      <c r="AD40" s="139">
        <f>VLOOKUP($E40,'7. PGE_Efficacité'!$A$6:$CY$266,(MATCH('4.2 ACE EFF WOL'!AD$4,'7. PGE_Efficacité'!$A$4:$AO$4,0)+62),0)</f>
        <v>0</v>
      </c>
      <c r="AE40" s="139">
        <f>VLOOKUP($E40,'7. PGE_Efficacité'!$A$6:$CY$266,(MATCH('4.2 ACE EFF WOL'!AE$4,'7. PGE_Efficacité'!$A$4:$AO$4,0)+62),0)</f>
        <v>0</v>
      </c>
      <c r="AF40" s="139">
        <f>VLOOKUP($E40,'7. PGE_Efficacité'!$A$6:$CY$266,(MATCH('4.2 ACE EFF WOL'!AF$4,'7. PGE_Efficacité'!$A$4:$AO$4,0)+62),0)</f>
        <v>0</v>
      </c>
      <c r="AG40" s="139">
        <f>VLOOKUP($E40,'7. PGE_Efficacité'!$A$6:$CY$266,(MATCH('4.2 ACE EFF WOL'!AG$4,'7. PGE_Efficacité'!$A$4:$AO$4,0)+62),0)</f>
        <v>0</v>
      </c>
      <c r="AH40" s="139">
        <f>VLOOKUP($E40,'7. PGE_Efficacité'!$A$6:$CY$266,(MATCH('4.2 ACE EFF WOL'!AH$4,'7. PGE_Efficacité'!$A$4:$AO$4,0)+62),0)</f>
        <v>0</v>
      </c>
      <c r="AI40" s="139">
        <f>VLOOKUP($E40,'7. PGE_Efficacité'!$A$6:$CY$266,(MATCH('4.2 ACE EFF WOL'!AI$4,'7. PGE_Efficacité'!$A$4:$AO$4,0)+62),0)</f>
        <v>0</v>
      </c>
      <c r="AJ40" s="139">
        <f>VLOOKUP($E40,'7. PGE_Efficacité'!$A$6:$CY$266,(MATCH('4.2 ACE EFF WOL'!AJ$4,'7. PGE_Efficacité'!$A$4:$AO$4,0)+62),0)</f>
        <v>0</v>
      </c>
      <c r="AK40" s="139">
        <f>VLOOKUP($E40,'7. PGE_Efficacité'!$A$6:$CY$266,(MATCH('4.2 ACE EFF WOL'!AK$4,'7. PGE_Efficacité'!$A$4:$AO$4,0)+62),0)</f>
        <v>0</v>
      </c>
      <c r="AL40" s="139">
        <f>VLOOKUP($E40,'7. PGE_Efficacité'!$A$6:$CY$266,(MATCH('4.2 ACE EFF WOL'!AL$4,'7. PGE_Efficacité'!$A$4:$AO$4,0)+62),0)</f>
        <v>0</v>
      </c>
      <c r="AM40" s="139">
        <f>VLOOKUP($E40,'7. PGE_Efficacité'!$A$6:$CY$266,(MATCH('4.2 ACE EFF WOL'!AM$4,'7. PGE_Efficacité'!$A$4:$AO$4,0)+62),0)</f>
        <v>0</v>
      </c>
      <c r="AN40" s="139">
        <f>VLOOKUP($E40,'7. PGE_Efficacité'!$A$6:$CY$266,(MATCH('4.2 ACE EFF WOL'!AN$4,'7. PGE_Efficacité'!$A$4:$AO$4,0)+62),0)</f>
        <v>0</v>
      </c>
    </row>
    <row r="41" spans="1:40" hidden="1" outlineLevel="2" x14ac:dyDescent="0.25">
      <c r="A41" s="48" t="s">
        <v>1524</v>
      </c>
      <c r="B41" s="49">
        <v>4</v>
      </c>
      <c r="C41" s="48" t="s">
        <v>1514</v>
      </c>
      <c r="D41" s="199" t="s">
        <v>3</v>
      </c>
      <c r="E41" s="200" t="s">
        <v>797</v>
      </c>
      <c r="F41" s="200" t="s">
        <v>1435</v>
      </c>
      <c r="G41" s="201" t="s">
        <v>1520</v>
      </c>
      <c r="H41" s="200" t="s">
        <v>1290</v>
      </c>
      <c r="I41" s="202">
        <v>0</v>
      </c>
      <c r="J41" s="139">
        <f>VLOOKUP($E41,'7. PGE_Efficacité'!$A$6:$CY$266,(MATCH('4.2 ACE EFF WOL'!J$4,'7. PGE_Efficacité'!$A$4:$AO$4,0)+62),0)</f>
        <v>0</v>
      </c>
      <c r="K41" s="139">
        <f>VLOOKUP($E41,'7. PGE_Efficacité'!$A$6:$CY$266,(MATCH('4.2 ACE EFF WOL'!K$4,'7. PGE_Efficacité'!$A$4:$AO$4,0)+62),0)</f>
        <v>0</v>
      </c>
      <c r="L41" s="139">
        <f>VLOOKUP($E41,'7. PGE_Efficacité'!$A$6:$CY$266,(MATCH('4.2 ACE EFF WOL'!L$4,'7. PGE_Efficacité'!$A$4:$AO$4,0)+62),0)</f>
        <v>0</v>
      </c>
      <c r="M41" s="139">
        <f>VLOOKUP($E41,'7. PGE_Efficacité'!$A$6:$CY$266,(MATCH('4.2 ACE EFF WOL'!M$4,'7. PGE_Efficacité'!$A$4:$AO$4,0)+62),0)</f>
        <v>0</v>
      </c>
      <c r="N41" s="139">
        <f>VLOOKUP($E41,'7. PGE_Efficacité'!$A$6:$CY$266,(MATCH('4.2 ACE EFF WOL'!N$4,'7. PGE_Efficacité'!$A$4:$AO$4,0)+62),0)</f>
        <v>0</v>
      </c>
      <c r="O41" s="139">
        <f>VLOOKUP($E41,'7. PGE_Efficacité'!$A$6:$CY$266,78,0)</f>
        <v>0</v>
      </c>
      <c r="P41" s="139">
        <f>VLOOKUP($E41,'7. PGE_Efficacité'!$A$6:$CY$266,(MATCH('4.2 ACE EFF WOL'!P$4,'7. PGE_Efficacité'!$A$4:$AO$4,0)+62),0)</f>
        <v>0</v>
      </c>
      <c r="Q41" s="139">
        <f>VLOOKUP($E41,'7. PGE_Efficacité'!$A$6:$CY$266,(MATCH('4.2 ACE EFF WOL'!Q$4,'7. PGE_Efficacité'!$A$4:$AO$4,0)+62),0)</f>
        <v>0</v>
      </c>
      <c r="R41" s="139">
        <f>VLOOKUP($E41,'7. PGE_Efficacité'!$A$6:$CY$266,(MATCH('4.2 ACE EFF WOL'!R$4,'7. PGE_Efficacité'!$A$4:$AO$4,0)+62),0)</f>
        <v>0</v>
      </c>
      <c r="S41" s="139">
        <f>VLOOKUP($E41,'7. PGE_Efficacité'!$A$6:$CY$266,(MATCH('4.2 ACE EFF WOL'!S$4,'7. PGE_Efficacité'!$A$4:$AO$4,0)+62),0)</f>
        <v>0</v>
      </c>
      <c r="T41" s="139">
        <f>VLOOKUP($E41,'7. PGE_Efficacité'!$A$6:$CY$266,(MATCH('4.2 ACE EFF WOL'!T$4,'7. PGE_Efficacité'!$A$4:$AO$4,0)+62),0)</f>
        <v>0</v>
      </c>
      <c r="U41" s="139">
        <f>VLOOKUP($E41,'7. PGE_Efficacité'!$A$6:$CY$266,(MATCH('4.2 ACE EFF WOL'!U$4,'7. PGE_Efficacité'!$A$4:$AO$4,0)+62),0)</f>
        <v>0</v>
      </c>
      <c r="V41" s="139">
        <f>VLOOKUP($E41,'7. PGE_Efficacité'!$A$6:$CY$266,(MATCH('4.2 ACE EFF WOL'!V$4,'7. PGE_Efficacité'!$A$4:$AO$4,0)+62),0)</f>
        <v>0</v>
      </c>
      <c r="W41" s="139">
        <f>VLOOKUP($E41,'7. PGE_Efficacité'!$A$6:$CY$266,(MATCH('4.2 ACE EFF WOL'!W$4,'7. PGE_Efficacité'!$A$4:$AO$4,0)+62),0)</f>
        <v>0</v>
      </c>
      <c r="X41" s="139">
        <f>VLOOKUP($E41,'7. PGE_Efficacité'!$A$6:$CY$266,(MATCH('4.2 ACE EFF WOL'!X$4,'7. PGE_Efficacité'!$A$4:$AO$4,0)+62),0)</f>
        <v>0</v>
      </c>
      <c r="Y41" s="139">
        <f>VLOOKUP($E41,'7. PGE_Efficacité'!$A$6:$CY$266,(MATCH('4.2 ACE EFF WOL'!Y$4,'7. PGE_Efficacité'!$A$4:$AO$4,0)+62),0)</f>
        <v>0</v>
      </c>
      <c r="Z41" s="139">
        <f>VLOOKUP($E41,'7. PGE_Efficacité'!$A$6:$CY$266,(MATCH('4.2 ACE EFF WOL'!Z$4,'7. PGE_Efficacité'!$A$4:$AO$4,0)+62),0)</f>
        <v>0</v>
      </c>
      <c r="AA41" s="139">
        <f>VLOOKUP($E41,'7. PGE_Efficacité'!$A$6:$CY$266,(MATCH('4.2 ACE EFF WOL'!AA$4,'7. PGE_Efficacité'!$A$4:$AO$4,0)+62),0)</f>
        <v>0</v>
      </c>
      <c r="AB41" s="139">
        <f>VLOOKUP($E41,'7. PGE_Efficacité'!$A$6:$CY$266,(MATCH('4.2 ACE EFF WOL'!AB$4,'7. PGE_Efficacité'!$A$4:$AO$4,0)+62),0)</f>
        <v>0</v>
      </c>
      <c r="AC41" s="139">
        <f>VLOOKUP($E41,'7. PGE_Efficacité'!$A$6:$CY$266,(MATCH('4.2 ACE EFF WOL'!AC$4,'7. PGE_Efficacité'!$A$4:$AO$4,0)+62),0)</f>
        <v>0</v>
      </c>
      <c r="AD41" s="139">
        <f>VLOOKUP($E41,'7. PGE_Efficacité'!$A$6:$CY$266,(MATCH('4.2 ACE EFF WOL'!AD$4,'7. PGE_Efficacité'!$A$4:$AO$4,0)+62),0)</f>
        <v>0</v>
      </c>
      <c r="AE41" s="139">
        <f>VLOOKUP($E41,'7. PGE_Efficacité'!$A$6:$CY$266,(MATCH('4.2 ACE EFF WOL'!AE$4,'7. PGE_Efficacité'!$A$4:$AO$4,0)+62),0)</f>
        <v>0</v>
      </c>
      <c r="AF41" s="139">
        <f>VLOOKUP($E41,'7. PGE_Efficacité'!$A$6:$CY$266,(MATCH('4.2 ACE EFF WOL'!AF$4,'7. PGE_Efficacité'!$A$4:$AO$4,0)+62),0)</f>
        <v>0</v>
      </c>
      <c r="AG41" s="139">
        <f>VLOOKUP($E41,'7. PGE_Efficacité'!$A$6:$CY$266,(MATCH('4.2 ACE EFF WOL'!AG$4,'7. PGE_Efficacité'!$A$4:$AO$4,0)+62),0)</f>
        <v>0</v>
      </c>
      <c r="AH41" s="139">
        <f>VLOOKUP($E41,'7. PGE_Efficacité'!$A$6:$CY$266,(MATCH('4.2 ACE EFF WOL'!AH$4,'7. PGE_Efficacité'!$A$4:$AO$4,0)+62),0)</f>
        <v>0</v>
      </c>
      <c r="AI41" s="139">
        <f>VLOOKUP($E41,'7. PGE_Efficacité'!$A$6:$CY$266,(MATCH('4.2 ACE EFF WOL'!AI$4,'7. PGE_Efficacité'!$A$4:$AO$4,0)+62),0)</f>
        <v>0</v>
      </c>
      <c r="AJ41" s="139">
        <f>VLOOKUP($E41,'7. PGE_Efficacité'!$A$6:$CY$266,(MATCH('4.2 ACE EFF WOL'!AJ$4,'7. PGE_Efficacité'!$A$4:$AO$4,0)+62),0)</f>
        <v>0</v>
      </c>
      <c r="AK41" s="139">
        <f>VLOOKUP($E41,'7. PGE_Efficacité'!$A$6:$CY$266,(MATCH('4.2 ACE EFF WOL'!AK$4,'7. PGE_Efficacité'!$A$4:$AO$4,0)+62),0)</f>
        <v>0</v>
      </c>
      <c r="AL41" s="139">
        <f>VLOOKUP($E41,'7. PGE_Efficacité'!$A$6:$CY$266,(MATCH('4.2 ACE EFF WOL'!AL$4,'7. PGE_Efficacité'!$A$4:$AO$4,0)+62),0)</f>
        <v>0</v>
      </c>
      <c r="AM41" s="139">
        <f>VLOOKUP($E41,'7. PGE_Efficacité'!$A$6:$CY$266,(MATCH('4.2 ACE EFF WOL'!AM$4,'7. PGE_Efficacité'!$A$4:$AO$4,0)+62),0)</f>
        <v>0</v>
      </c>
      <c r="AN41" s="139">
        <f>VLOOKUP($E41,'7. PGE_Efficacité'!$A$6:$CY$266,(MATCH('4.2 ACE EFF WOL'!AN$4,'7. PGE_Efficacité'!$A$4:$AO$4,0)+62),0)</f>
        <v>0</v>
      </c>
    </row>
    <row r="42" spans="1:40" outlineLevel="1" collapsed="1" x14ac:dyDescent="0.25">
      <c r="A42" s="48"/>
      <c r="B42" s="49"/>
      <c r="C42" s="48"/>
      <c r="D42" s="372" t="s">
        <v>4</v>
      </c>
      <c r="E42" s="195"/>
      <c r="F42" s="196" t="str">
        <f>VLOOKUP(D42,'1. Mesures'!$A$2:$B$116,2,0)</f>
        <v xml:space="preserve">Inventorier les rejets directs dans une base de données dynamique </v>
      </c>
      <c r="G42" s="197"/>
      <c r="H42" s="195"/>
      <c r="I42" s="198">
        <f>SUBTOTAL(9,I43:I52)</f>
        <v>0</v>
      </c>
      <c r="J42" s="203">
        <f>VLOOKUP($D42,'7. PGE_Efficacité'!$A$6:$CY$266,(MATCH('4.2 ACE EFF WOL'!J$4,'7. PGE_Efficacité'!$A$4:$AO$4,0)+62),0)</f>
        <v>0</v>
      </c>
      <c r="K42" s="203">
        <f>VLOOKUP($D42,'7. PGE_Efficacité'!$A$6:$CY$266,(MATCH('4.2 ACE EFF WOL'!K$4,'7. PGE_Efficacité'!$A$4:$AO$4,0)+62),0)</f>
        <v>0</v>
      </c>
      <c r="L42" s="203">
        <f>VLOOKUP($D42,'7. PGE_Efficacité'!$A$6:$CY$266,(MATCH('4.2 ACE EFF WOL'!L$4,'7. PGE_Efficacité'!$A$4:$AO$4,0)+62),0)</f>
        <v>0</v>
      </c>
      <c r="M42" s="203">
        <f>VLOOKUP($D42,'7. PGE_Efficacité'!$A$6:$CY$266,(MATCH('4.2 ACE EFF WOL'!M$4,'7. PGE_Efficacité'!$A$4:$AO$4,0)+62),0)</f>
        <v>0</v>
      </c>
      <c r="N42" s="203">
        <f>VLOOKUP($D42,'7. PGE_Efficacité'!$A$6:$CY$266,(MATCH('4.2 ACE EFF WOL'!N$4,'7. PGE_Efficacité'!$A$4:$AO$4,0)+62),0)</f>
        <v>0</v>
      </c>
      <c r="O42" s="203">
        <f>VLOOKUP($D42,'7. PGE_Efficacité'!$A$6:$CY$266,78,0)</f>
        <v>0</v>
      </c>
      <c r="P42" s="203">
        <f>VLOOKUP($D42,'7. PGE_Efficacité'!$A$6:$CY$266,(MATCH('4.2 ACE EFF WOL'!P$4,'7. PGE_Efficacité'!$A$4:$AO$4,0)+62),0)</f>
        <v>0</v>
      </c>
      <c r="Q42" s="203">
        <f>VLOOKUP($D42,'7. PGE_Efficacité'!$A$6:$CY$266,(MATCH('4.2 ACE EFF WOL'!Q$4,'7. PGE_Efficacité'!$A$4:$AO$4,0)+62),0)</f>
        <v>0</v>
      </c>
      <c r="R42" s="203">
        <f>VLOOKUP($D42,'7. PGE_Efficacité'!$A$6:$CY$266,(MATCH('4.2 ACE EFF WOL'!R$4,'7. PGE_Efficacité'!$A$4:$AO$4,0)+62),0)</f>
        <v>0</v>
      </c>
      <c r="S42" s="203">
        <f>VLOOKUP($D42,'7. PGE_Efficacité'!$A$6:$CY$266,(MATCH('4.2 ACE EFF WOL'!S$4,'7. PGE_Efficacité'!$A$4:$AO$4,0)+62),0)</f>
        <v>0</v>
      </c>
      <c r="T42" s="203">
        <f>VLOOKUP($D42,'7. PGE_Efficacité'!$A$6:$CY$266,(MATCH('4.2 ACE EFF WOL'!T$4,'7. PGE_Efficacité'!$A$4:$AO$4,0)+62),0)</f>
        <v>0</v>
      </c>
      <c r="U42" s="203">
        <f>VLOOKUP($D42,'7. PGE_Efficacité'!$A$6:$CY$266,(MATCH('4.2 ACE EFF WOL'!U$4,'7. PGE_Efficacité'!$A$4:$AO$4,0)+62),0)</f>
        <v>0</v>
      </c>
      <c r="V42" s="203">
        <f>VLOOKUP($D42,'7. PGE_Efficacité'!$A$6:$CY$266,(MATCH('4.2 ACE EFF WOL'!V$4,'7. PGE_Efficacité'!$A$4:$AO$4,0)+62),0)</f>
        <v>0</v>
      </c>
      <c r="W42" s="203">
        <f>VLOOKUP($D42,'7. PGE_Efficacité'!$A$6:$CY$266,(MATCH('4.2 ACE EFF WOL'!W$4,'7. PGE_Efficacité'!$A$4:$AO$4,0)+62),0)</f>
        <v>0</v>
      </c>
      <c r="X42" s="203">
        <f>VLOOKUP($D42,'7. PGE_Efficacité'!$A$6:$CY$266,(MATCH('4.2 ACE EFF WOL'!X$4,'7. PGE_Efficacité'!$A$4:$AO$4,0)+62),0)</f>
        <v>0</v>
      </c>
      <c r="Y42" s="203">
        <f>VLOOKUP($D42,'7. PGE_Efficacité'!$A$6:$CY$266,(MATCH('4.2 ACE EFF WOL'!Y$4,'7. PGE_Efficacité'!$A$4:$AO$4,0)+62),0)</f>
        <v>0</v>
      </c>
      <c r="Z42" s="203">
        <f>VLOOKUP($D42,'7. PGE_Efficacité'!$A$6:$CY$266,(MATCH('4.2 ACE EFF WOL'!Z$4,'7. PGE_Efficacité'!$A$4:$AO$4,0)+62),0)</f>
        <v>0</v>
      </c>
      <c r="AA42" s="203">
        <f>VLOOKUP($D42,'7. PGE_Efficacité'!$A$6:$CY$266,(MATCH('4.2 ACE EFF WOL'!AA$4,'7. PGE_Efficacité'!$A$4:$AO$4,0)+62),0)</f>
        <v>0</v>
      </c>
      <c r="AB42" s="203">
        <f>VLOOKUP($D42,'7. PGE_Efficacité'!$A$6:$CY$266,(MATCH('4.2 ACE EFF WOL'!AB$4,'7. PGE_Efficacité'!$A$4:$AO$4,0)+62),0)</f>
        <v>0</v>
      </c>
      <c r="AC42" s="203">
        <f>VLOOKUP($D42,'7. PGE_Efficacité'!$A$6:$CY$266,(MATCH('4.2 ACE EFF WOL'!AC$4,'7. PGE_Efficacité'!$A$4:$AO$4,0)+62),0)</f>
        <v>0</v>
      </c>
      <c r="AD42" s="203">
        <f>VLOOKUP($D42,'7. PGE_Efficacité'!$A$6:$CY$266,(MATCH('4.2 ACE EFF WOL'!AD$4,'7. PGE_Efficacité'!$A$4:$AO$4,0)+62),0)</f>
        <v>0</v>
      </c>
      <c r="AE42" s="203">
        <f>VLOOKUP($D42,'7. PGE_Efficacité'!$A$6:$CY$266,(MATCH('4.2 ACE EFF WOL'!AE$4,'7. PGE_Efficacité'!$A$4:$AO$4,0)+62),0)</f>
        <v>0</v>
      </c>
      <c r="AF42" s="203">
        <f>VLOOKUP($D42,'7. PGE_Efficacité'!$A$6:$CY$266,(MATCH('4.2 ACE EFF WOL'!AF$4,'7. PGE_Efficacité'!$A$4:$AO$4,0)+62),0)</f>
        <v>0</v>
      </c>
      <c r="AG42" s="203">
        <f>VLOOKUP($D42,'7. PGE_Efficacité'!$A$6:$CY$266,(MATCH('4.2 ACE EFF WOL'!AG$4,'7. PGE_Efficacité'!$A$4:$AO$4,0)+62),0)</f>
        <v>0</v>
      </c>
      <c r="AH42" s="203">
        <f>VLOOKUP($D42,'7. PGE_Efficacité'!$A$6:$CY$266,(MATCH('4.2 ACE EFF WOL'!AH$4,'7. PGE_Efficacité'!$A$4:$AO$4,0)+62),0)</f>
        <v>0</v>
      </c>
      <c r="AI42" s="203">
        <f>VLOOKUP($D42,'7. PGE_Efficacité'!$A$6:$CY$266,(MATCH('4.2 ACE EFF WOL'!AI$4,'7. PGE_Efficacité'!$A$4:$AO$4,0)+62),0)</f>
        <v>0</v>
      </c>
      <c r="AJ42" s="203">
        <f>VLOOKUP($D42,'7. PGE_Efficacité'!$A$6:$CY$266,(MATCH('4.2 ACE EFF WOL'!AJ$4,'7. PGE_Efficacité'!$A$4:$AO$4,0)+62),0)</f>
        <v>0</v>
      </c>
      <c r="AK42" s="203">
        <f>VLOOKUP($D42,'7. PGE_Efficacité'!$A$6:$CY$266,(MATCH('4.2 ACE EFF WOL'!AK$4,'7. PGE_Efficacité'!$A$4:$AO$4,0)+62),0)</f>
        <v>0</v>
      </c>
      <c r="AL42" s="203">
        <f>VLOOKUP($D42,'7. PGE_Efficacité'!$A$6:$CY$266,(MATCH('4.2 ACE EFF WOL'!AL$4,'7. PGE_Efficacité'!$A$4:$AO$4,0)+62),0)</f>
        <v>0</v>
      </c>
      <c r="AM42" s="203">
        <f>VLOOKUP($D42,'7. PGE_Efficacité'!$A$6:$CY$266,(MATCH('4.2 ACE EFF WOL'!AM$4,'7. PGE_Efficacité'!$A$4:$AO$4,0)+62),0)</f>
        <v>0</v>
      </c>
      <c r="AN42" s="203">
        <f>VLOOKUP($D42,'7. PGE_Efficacité'!$A$6:$CY$266,(MATCH('4.2 ACE EFF WOL'!AN$4,'7. PGE_Efficacité'!$A$4:$AO$4,0)+62),0)</f>
        <v>0</v>
      </c>
    </row>
    <row r="43" spans="1:40" hidden="1" outlineLevel="2" x14ac:dyDescent="0.25">
      <c r="A43" s="48"/>
      <c r="B43" s="49"/>
      <c r="C43" s="48"/>
      <c r="D43" s="199" t="s">
        <v>4</v>
      </c>
      <c r="E43" s="200" t="s">
        <v>798</v>
      </c>
      <c r="F43" s="200" t="s">
        <v>1436</v>
      </c>
      <c r="G43" s="201" t="s">
        <v>1521</v>
      </c>
      <c r="H43" s="200" t="s">
        <v>1290</v>
      </c>
      <c r="I43" s="202">
        <v>0</v>
      </c>
      <c r="J43" s="139">
        <f>VLOOKUP($E43,'7. PGE_Efficacité'!$A$6:$CY$266,(MATCH('4.2 ACE EFF WOL'!J$4,'7. PGE_Efficacité'!$A$4:$AO$4,0)+62),0)</f>
        <v>0</v>
      </c>
      <c r="K43" s="139">
        <f>VLOOKUP($E43,'7. PGE_Efficacité'!$A$6:$CY$266,(MATCH('4.2 ACE EFF WOL'!K$4,'7. PGE_Efficacité'!$A$4:$AO$4,0)+62),0)</f>
        <v>0</v>
      </c>
      <c r="L43" s="139">
        <f>VLOOKUP($E43,'7. PGE_Efficacité'!$A$6:$CY$266,(MATCH('4.2 ACE EFF WOL'!L$4,'7. PGE_Efficacité'!$A$4:$AO$4,0)+62),0)</f>
        <v>0</v>
      </c>
      <c r="M43" s="139">
        <f>VLOOKUP($E43,'7. PGE_Efficacité'!$A$6:$CY$266,(MATCH('4.2 ACE EFF WOL'!M$4,'7. PGE_Efficacité'!$A$4:$AO$4,0)+62),0)</f>
        <v>0</v>
      </c>
      <c r="N43" s="139">
        <f>VLOOKUP($E43,'7. PGE_Efficacité'!$A$6:$CY$266,(MATCH('4.2 ACE EFF WOL'!N$4,'7. PGE_Efficacité'!$A$4:$AO$4,0)+62),0)</f>
        <v>0</v>
      </c>
      <c r="O43" s="139">
        <f>VLOOKUP($E43,'7. PGE_Efficacité'!$A$6:$CY$266,78,0)</f>
        <v>0</v>
      </c>
      <c r="P43" s="139">
        <f>VLOOKUP($E43,'7. PGE_Efficacité'!$A$6:$CY$266,(MATCH('4.2 ACE EFF WOL'!P$4,'7. PGE_Efficacité'!$A$4:$AO$4,0)+62),0)</f>
        <v>0</v>
      </c>
      <c r="Q43" s="139">
        <f>VLOOKUP($E43,'7. PGE_Efficacité'!$A$6:$CY$266,(MATCH('4.2 ACE EFF WOL'!Q$4,'7. PGE_Efficacité'!$A$4:$AO$4,0)+62),0)</f>
        <v>0</v>
      </c>
      <c r="R43" s="139">
        <f>VLOOKUP($E43,'7. PGE_Efficacité'!$A$6:$CY$266,(MATCH('4.2 ACE EFF WOL'!R$4,'7. PGE_Efficacité'!$A$4:$AO$4,0)+62),0)</f>
        <v>0</v>
      </c>
      <c r="S43" s="139">
        <f>VLOOKUP($E43,'7. PGE_Efficacité'!$A$6:$CY$266,(MATCH('4.2 ACE EFF WOL'!S$4,'7. PGE_Efficacité'!$A$4:$AO$4,0)+62),0)</f>
        <v>0</v>
      </c>
      <c r="T43" s="139">
        <f>VLOOKUP($E43,'7. PGE_Efficacité'!$A$6:$CY$266,(MATCH('4.2 ACE EFF WOL'!T$4,'7. PGE_Efficacité'!$A$4:$AO$4,0)+62),0)</f>
        <v>0</v>
      </c>
      <c r="U43" s="139">
        <f>VLOOKUP($E43,'7. PGE_Efficacité'!$A$6:$CY$266,(MATCH('4.2 ACE EFF WOL'!U$4,'7. PGE_Efficacité'!$A$4:$AO$4,0)+62),0)</f>
        <v>0</v>
      </c>
      <c r="V43" s="139">
        <f>VLOOKUP($E43,'7. PGE_Efficacité'!$A$6:$CY$266,(MATCH('4.2 ACE EFF WOL'!V$4,'7. PGE_Efficacité'!$A$4:$AO$4,0)+62),0)</f>
        <v>0</v>
      </c>
      <c r="W43" s="139">
        <f>VLOOKUP($E43,'7. PGE_Efficacité'!$A$6:$CY$266,(MATCH('4.2 ACE EFF WOL'!W$4,'7. PGE_Efficacité'!$A$4:$AO$4,0)+62),0)</f>
        <v>0</v>
      </c>
      <c r="X43" s="139">
        <f>VLOOKUP($E43,'7. PGE_Efficacité'!$A$6:$CY$266,(MATCH('4.2 ACE EFF WOL'!X$4,'7. PGE_Efficacité'!$A$4:$AO$4,0)+62),0)</f>
        <v>0</v>
      </c>
      <c r="Y43" s="139">
        <f>VLOOKUP($E43,'7. PGE_Efficacité'!$A$6:$CY$266,(MATCH('4.2 ACE EFF WOL'!Y$4,'7. PGE_Efficacité'!$A$4:$AO$4,0)+62),0)</f>
        <v>0</v>
      </c>
      <c r="Z43" s="139">
        <f>VLOOKUP($E43,'7. PGE_Efficacité'!$A$6:$CY$266,(MATCH('4.2 ACE EFF WOL'!Z$4,'7. PGE_Efficacité'!$A$4:$AO$4,0)+62),0)</f>
        <v>0</v>
      </c>
      <c r="AA43" s="139">
        <f>VLOOKUP($E43,'7. PGE_Efficacité'!$A$6:$CY$266,(MATCH('4.2 ACE EFF WOL'!AA$4,'7. PGE_Efficacité'!$A$4:$AO$4,0)+62),0)</f>
        <v>0</v>
      </c>
      <c r="AB43" s="139">
        <f>VLOOKUP($E43,'7. PGE_Efficacité'!$A$6:$CY$266,(MATCH('4.2 ACE EFF WOL'!AB$4,'7. PGE_Efficacité'!$A$4:$AO$4,0)+62),0)</f>
        <v>0</v>
      </c>
      <c r="AC43" s="139">
        <f>VLOOKUP($E43,'7. PGE_Efficacité'!$A$6:$CY$266,(MATCH('4.2 ACE EFF WOL'!AC$4,'7. PGE_Efficacité'!$A$4:$AO$4,0)+62),0)</f>
        <v>0</v>
      </c>
      <c r="AD43" s="139">
        <f>VLOOKUP($E43,'7. PGE_Efficacité'!$A$6:$CY$266,(MATCH('4.2 ACE EFF WOL'!AD$4,'7. PGE_Efficacité'!$A$4:$AO$4,0)+62),0)</f>
        <v>0</v>
      </c>
      <c r="AE43" s="139">
        <f>VLOOKUP($E43,'7. PGE_Efficacité'!$A$6:$CY$266,(MATCH('4.2 ACE EFF WOL'!AE$4,'7. PGE_Efficacité'!$A$4:$AO$4,0)+62),0)</f>
        <v>0</v>
      </c>
      <c r="AF43" s="139">
        <f>VLOOKUP($E43,'7. PGE_Efficacité'!$A$6:$CY$266,(MATCH('4.2 ACE EFF WOL'!AF$4,'7. PGE_Efficacité'!$A$4:$AO$4,0)+62),0)</f>
        <v>0</v>
      </c>
      <c r="AG43" s="139">
        <f>VLOOKUP($E43,'7. PGE_Efficacité'!$A$6:$CY$266,(MATCH('4.2 ACE EFF WOL'!AG$4,'7. PGE_Efficacité'!$A$4:$AO$4,0)+62),0)</f>
        <v>0</v>
      </c>
      <c r="AH43" s="139">
        <f>VLOOKUP($E43,'7. PGE_Efficacité'!$A$6:$CY$266,(MATCH('4.2 ACE EFF WOL'!AH$4,'7. PGE_Efficacité'!$A$4:$AO$4,0)+62),0)</f>
        <v>0</v>
      </c>
      <c r="AI43" s="139">
        <f>VLOOKUP($E43,'7. PGE_Efficacité'!$A$6:$CY$266,(MATCH('4.2 ACE EFF WOL'!AI$4,'7. PGE_Efficacité'!$A$4:$AO$4,0)+62),0)</f>
        <v>0</v>
      </c>
      <c r="AJ43" s="139">
        <f>VLOOKUP($E43,'7. PGE_Efficacité'!$A$6:$CY$266,(MATCH('4.2 ACE EFF WOL'!AJ$4,'7. PGE_Efficacité'!$A$4:$AO$4,0)+62),0)</f>
        <v>0</v>
      </c>
      <c r="AK43" s="139">
        <f>VLOOKUP($E43,'7. PGE_Efficacité'!$A$6:$CY$266,(MATCH('4.2 ACE EFF WOL'!AK$4,'7. PGE_Efficacité'!$A$4:$AO$4,0)+62),0)</f>
        <v>0</v>
      </c>
      <c r="AL43" s="139">
        <f>VLOOKUP($E43,'7. PGE_Efficacité'!$A$6:$CY$266,(MATCH('4.2 ACE EFF WOL'!AL$4,'7. PGE_Efficacité'!$A$4:$AO$4,0)+62),0)</f>
        <v>0</v>
      </c>
      <c r="AM43" s="139">
        <f>VLOOKUP($E43,'7. PGE_Efficacité'!$A$6:$CY$266,(MATCH('4.2 ACE EFF WOL'!AM$4,'7. PGE_Efficacité'!$A$4:$AO$4,0)+62),0)</f>
        <v>0</v>
      </c>
      <c r="AN43" s="139">
        <f>VLOOKUP($E43,'7. PGE_Efficacité'!$A$6:$CY$266,(MATCH('4.2 ACE EFF WOL'!AN$4,'7. PGE_Efficacité'!$A$4:$AO$4,0)+62),0)</f>
        <v>0</v>
      </c>
    </row>
    <row r="44" spans="1:40" hidden="1" outlineLevel="2" x14ac:dyDescent="0.25">
      <c r="A44" s="48" t="s">
        <v>1524</v>
      </c>
      <c r="B44" s="49">
        <v>5</v>
      </c>
      <c r="C44" s="48" t="s">
        <v>1524</v>
      </c>
      <c r="D44" s="199" t="s">
        <v>4</v>
      </c>
      <c r="E44" s="200" t="s">
        <v>809</v>
      </c>
      <c r="F44" s="200" t="s">
        <v>1440</v>
      </c>
      <c r="G44" s="201" t="s">
        <v>1521</v>
      </c>
      <c r="H44" s="200" t="s">
        <v>1290</v>
      </c>
      <c r="I44" s="202">
        <v>0</v>
      </c>
      <c r="J44" s="139">
        <f>VLOOKUP($E44,'7. PGE_Efficacité'!$A$6:$CY$266,(MATCH('4.2 ACE EFF WOL'!J$4,'7. PGE_Efficacité'!$A$4:$AO$4,0)+62),0)</f>
        <v>0</v>
      </c>
      <c r="K44" s="139">
        <f>VLOOKUP($E44,'7. PGE_Efficacité'!$A$6:$CY$266,(MATCH('4.2 ACE EFF WOL'!K$4,'7. PGE_Efficacité'!$A$4:$AO$4,0)+62),0)</f>
        <v>0</v>
      </c>
      <c r="L44" s="139">
        <f>VLOOKUP($E44,'7. PGE_Efficacité'!$A$6:$CY$266,(MATCH('4.2 ACE EFF WOL'!L$4,'7. PGE_Efficacité'!$A$4:$AO$4,0)+62),0)</f>
        <v>0</v>
      </c>
      <c r="M44" s="139">
        <f>VLOOKUP($E44,'7. PGE_Efficacité'!$A$6:$CY$266,(MATCH('4.2 ACE EFF WOL'!M$4,'7. PGE_Efficacité'!$A$4:$AO$4,0)+62),0)</f>
        <v>0</v>
      </c>
      <c r="N44" s="139">
        <f>VLOOKUP($E44,'7. PGE_Efficacité'!$A$6:$CY$266,(MATCH('4.2 ACE EFF WOL'!N$4,'7. PGE_Efficacité'!$A$4:$AO$4,0)+62),0)</f>
        <v>0</v>
      </c>
      <c r="O44" s="139">
        <f>VLOOKUP($E44,'7. PGE_Efficacité'!$A$6:$CY$266,78,0)</f>
        <v>0</v>
      </c>
      <c r="P44" s="139">
        <f>VLOOKUP($E44,'7. PGE_Efficacité'!$A$6:$CY$266,(MATCH('4.2 ACE EFF WOL'!P$4,'7. PGE_Efficacité'!$A$4:$AO$4,0)+62),0)</f>
        <v>0</v>
      </c>
      <c r="Q44" s="139">
        <f>VLOOKUP($E44,'7. PGE_Efficacité'!$A$6:$CY$266,(MATCH('4.2 ACE EFF WOL'!Q$4,'7. PGE_Efficacité'!$A$4:$AO$4,0)+62),0)</f>
        <v>0</v>
      </c>
      <c r="R44" s="139">
        <f>VLOOKUP($E44,'7. PGE_Efficacité'!$A$6:$CY$266,(MATCH('4.2 ACE EFF WOL'!R$4,'7. PGE_Efficacité'!$A$4:$AO$4,0)+62),0)</f>
        <v>0</v>
      </c>
      <c r="S44" s="139">
        <f>VLOOKUP($E44,'7. PGE_Efficacité'!$A$6:$CY$266,(MATCH('4.2 ACE EFF WOL'!S$4,'7. PGE_Efficacité'!$A$4:$AO$4,0)+62),0)</f>
        <v>0</v>
      </c>
      <c r="T44" s="139">
        <f>VLOOKUP($E44,'7. PGE_Efficacité'!$A$6:$CY$266,(MATCH('4.2 ACE EFF WOL'!T$4,'7. PGE_Efficacité'!$A$4:$AO$4,0)+62),0)</f>
        <v>0</v>
      </c>
      <c r="U44" s="139">
        <f>VLOOKUP($E44,'7. PGE_Efficacité'!$A$6:$CY$266,(MATCH('4.2 ACE EFF WOL'!U$4,'7. PGE_Efficacité'!$A$4:$AO$4,0)+62),0)</f>
        <v>0</v>
      </c>
      <c r="V44" s="139">
        <f>VLOOKUP($E44,'7. PGE_Efficacité'!$A$6:$CY$266,(MATCH('4.2 ACE EFF WOL'!V$4,'7. PGE_Efficacité'!$A$4:$AO$4,0)+62),0)</f>
        <v>0</v>
      </c>
      <c r="W44" s="139">
        <f>VLOOKUP($E44,'7. PGE_Efficacité'!$A$6:$CY$266,(MATCH('4.2 ACE EFF WOL'!W$4,'7. PGE_Efficacité'!$A$4:$AO$4,0)+62),0)</f>
        <v>0</v>
      </c>
      <c r="X44" s="139">
        <f>VLOOKUP($E44,'7. PGE_Efficacité'!$A$6:$CY$266,(MATCH('4.2 ACE EFF WOL'!X$4,'7. PGE_Efficacité'!$A$4:$AO$4,0)+62),0)</f>
        <v>0</v>
      </c>
      <c r="Y44" s="139">
        <f>VLOOKUP($E44,'7. PGE_Efficacité'!$A$6:$CY$266,(MATCH('4.2 ACE EFF WOL'!Y$4,'7. PGE_Efficacité'!$A$4:$AO$4,0)+62),0)</f>
        <v>0</v>
      </c>
      <c r="Z44" s="139">
        <f>VLOOKUP($E44,'7. PGE_Efficacité'!$A$6:$CY$266,(MATCH('4.2 ACE EFF WOL'!Z$4,'7. PGE_Efficacité'!$A$4:$AO$4,0)+62),0)</f>
        <v>0</v>
      </c>
      <c r="AA44" s="139">
        <f>VLOOKUP($E44,'7. PGE_Efficacité'!$A$6:$CY$266,(MATCH('4.2 ACE EFF WOL'!AA$4,'7. PGE_Efficacité'!$A$4:$AO$4,0)+62),0)</f>
        <v>0</v>
      </c>
      <c r="AB44" s="139">
        <f>VLOOKUP($E44,'7. PGE_Efficacité'!$A$6:$CY$266,(MATCH('4.2 ACE EFF WOL'!AB$4,'7. PGE_Efficacité'!$A$4:$AO$4,0)+62),0)</f>
        <v>0</v>
      </c>
      <c r="AC44" s="139">
        <f>VLOOKUP($E44,'7. PGE_Efficacité'!$A$6:$CY$266,(MATCH('4.2 ACE EFF WOL'!AC$4,'7. PGE_Efficacité'!$A$4:$AO$4,0)+62),0)</f>
        <v>0</v>
      </c>
      <c r="AD44" s="139">
        <f>VLOOKUP($E44,'7. PGE_Efficacité'!$A$6:$CY$266,(MATCH('4.2 ACE EFF WOL'!AD$4,'7. PGE_Efficacité'!$A$4:$AO$4,0)+62),0)</f>
        <v>0</v>
      </c>
      <c r="AE44" s="139">
        <f>VLOOKUP($E44,'7. PGE_Efficacité'!$A$6:$CY$266,(MATCH('4.2 ACE EFF WOL'!AE$4,'7. PGE_Efficacité'!$A$4:$AO$4,0)+62),0)</f>
        <v>0</v>
      </c>
      <c r="AF44" s="139">
        <f>VLOOKUP($E44,'7. PGE_Efficacité'!$A$6:$CY$266,(MATCH('4.2 ACE EFF WOL'!AF$4,'7. PGE_Efficacité'!$A$4:$AO$4,0)+62),0)</f>
        <v>0</v>
      </c>
      <c r="AG44" s="139">
        <f>VLOOKUP($E44,'7. PGE_Efficacité'!$A$6:$CY$266,(MATCH('4.2 ACE EFF WOL'!AG$4,'7. PGE_Efficacité'!$A$4:$AO$4,0)+62),0)</f>
        <v>0</v>
      </c>
      <c r="AH44" s="139">
        <f>VLOOKUP($E44,'7. PGE_Efficacité'!$A$6:$CY$266,(MATCH('4.2 ACE EFF WOL'!AH$4,'7. PGE_Efficacité'!$A$4:$AO$4,0)+62),0)</f>
        <v>0</v>
      </c>
      <c r="AI44" s="139">
        <f>VLOOKUP($E44,'7. PGE_Efficacité'!$A$6:$CY$266,(MATCH('4.2 ACE EFF WOL'!AI$4,'7. PGE_Efficacité'!$A$4:$AO$4,0)+62),0)</f>
        <v>0</v>
      </c>
      <c r="AJ44" s="139">
        <f>VLOOKUP($E44,'7. PGE_Efficacité'!$A$6:$CY$266,(MATCH('4.2 ACE EFF WOL'!AJ$4,'7. PGE_Efficacité'!$A$4:$AO$4,0)+62),0)</f>
        <v>0</v>
      </c>
      <c r="AK44" s="139">
        <f>VLOOKUP($E44,'7. PGE_Efficacité'!$A$6:$CY$266,(MATCH('4.2 ACE EFF WOL'!AK$4,'7. PGE_Efficacité'!$A$4:$AO$4,0)+62),0)</f>
        <v>0</v>
      </c>
      <c r="AL44" s="139">
        <f>VLOOKUP($E44,'7. PGE_Efficacité'!$A$6:$CY$266,(MATCH('4.2 ACE EFF WOL'!AL$4,'7. PGE_Efficacité'!$A$4:$AO$4,0)+62),0)</f>
        <v>0</v>
      </c>
      <c r="AM44" s="139">
        <f>VLOOKUP($E44,'7. PGE_Efficacité'!$A$6:$CY$266,(MATCH('4.2 ACE EFF WOL'!AM$4,'7. PGE_Efficacité'!$A$4:$AO$4,0)+62),0)</f>
        <v>0</v>
      </c>
      <c r="AN44" s="139">
        <f>VLOOKUP($E44,'7. PGE_Efficacité'!$A$6:$CY$266,(MATCH('4.2 ACE EFF WOL'!AN$4,'7. PGE_Efficacité'!$A$4:$AO$4,0)+62),0)</f>
        <v>0</v>
      </c>
    </row>
    <row r="45" spans="1:40" hidden="1" outlineLevel="2" x14ac:dyDescent="0.25">
      <c r="A45" s="48" t="s">
        <v>1524</v>
      </c>
      <c r="B45" s="49">
        <v>5</v>
      </c>
      <c r="C45" s="48" t="s">
        <v>1525</v>
      </c>
      <c r="D45" s="199" t="s">
        <v>4</v>
      </c>
      <c r="E45" s="200" t="s">
        <v>814</v>
      </c>
      <c r="F45" s="200" t="s">
        <v>1445</v>
      </c>
      <c r="G45" s="201" t="s">
        <v>1521</v>
      </c>
      <c r="H45" s="200" t="s">
        <v>1290</v>
      </c>
      <c r="I45" s="202">
        <v>0</v>
      </c>
      <c r="J45" s="139">
        <f>VLOOKUP($E45,'7. PGE_Efficacité'!$A$6:$CY$266,(MATCH('4.2 ACE EFF WOL'!J$4,'7. PGE_Efficacité'!$A$4:$AO$4,0)+62),0)</f>
        <v>0</v>
      </c>
      <c r="K45" s="139">
        <f>VLOOKUP($E45,'7. PGE_Efficacité'!$A$6:$CY$266,(MATCH('4.2 ACE EFF WOL'!K$4,'7. PGE_Efficacité'!$A$4:$AO$4,0)+62),0)</f>
        <v>0</v>
      </c>
      <c r="L45" s="139">
        <f>VLOOKUP($E45,'7. PGE_Efficacité'!$A$6:$CY$266,(MATCH('4.2 ACE EFF WOL'!L$4,'7. PGE_Efficacité'!$A$4:$AO$4,0)+62),0)</f>
        <v>0</v>
      </c>
      <c r="M45" s="139">
        <f>VLOOKUP($E45,'7. PGE_Efficacité'!$A$6:$CY$266,(MATCH('4.2 ACE EFF WOL'!M$4,'7. PGE_Efficacité'!$A$4:$AO$4,0)+62),0)</f>
        <v>0</v>
      </c>
      <c r="N45" s="139">
        <f>VLOOKUP($E45,'7. PGE_Efficacité'!$A$6:$CY$266,(MATCH('4.2 ACE EFF WOL'!N$4,'7. PGE_Efficacité'!$A$4:$AO$4,0)+62),0)</f>
        <v>0</v>
      </c>
      <c r="O45" s="139">
        <f>VLOOKUP($E45,'7. PGE_Efficacité'!$A$6:$CY$266,78,0)</f>
        <v>0</v>
      </c>
      <c r="P45" s="139">
        <f>VLOOKUP($E45,'7. PGE_Efficacité'!$A$6:$CY$266,(MATCH('4.2 ACE EFF WOL'!P$4,'7. PGE_Efficacité'!$A$4:$AO$4,0)+62),0)</f>
        <v>0</v>
      </c>
      <c r="Q45" s="139">
        <f>VLOOKUP($E45,'7. PGE_Efficacité'!$A$6:$CY$266,(MATCH('4.2 ACE EFF WOL'!Q$4,'7. PGE_Efficacité'!$A$4:$AO$4,0)+62),0)</f>
        <v>0</v>
      </c>
      <c r="R45" s="139">
        <f>VLOOKUP($E45,'7. PGE_Efficacité'!$A$6:$CY$266,(MATCH('4.2 ACE EFF WOL'!R$4,'7. PGE_Efficacité'!$A$4:$AO$4,0)+62),0)</f>
        <v>0</v>
      </c>
      <c r="S45" s="139">
        <f>VLOOKUP($E45,'7. PGE_Efficacité'!$A$6:$CY$266,(MATCH('4.2 ACE EFF WOL'!S$4,'7. PGE_Efficacité'!$A$4:$AO$4,0)+62),0)</f>
        <v>0</v>
      </c>
      <c r="T45" s="139">
        <f>VLOOKUP($E45,'7. PGE_Efficacité'!$A$6:$CY$266,(MATCH('4.2 ACE EFF WOL'!T$4,'7. PGE_Efficacité'!$A$4:$AO$4,0)+62),0)</f>
        <v>0</v>
      </c>
      <c r="U45" s="139">
        <f>VLOOKUP($E45,'7. PGE_Efficacité'!$A$6:$CY$266,(MATCH('4.2 ACE EFF WOL'!U$4,'7. PGE_Efficacité'!$A$4:$AO$4,0)+62),0)</f>
        <v>0</v>
      </c>
      <c r="V45" s="139">
        <f>VLOOKUP($E45,'7. PGE_Efficacité'!$A$6:$CY$266,(MATCH('4.2 ACE EFF WOL'!V$4,'7. PGE_Efficacité'!$A$4:$AO$4,0)+62),0)</f>
        <v>0</v>
      </c>
      <c r="W45" s="139">
        <f>VLOOKUP($E45,'7. PGE_Efficacité'!$A$6:$CY$266,(MATCH('4.2 ACE EFF WOL'!W$4,'7. PGE_Efficacité'!$A$4:$AO$4,0)+62),0)</f>
        <v>0</v>
      </c>
      <c r="X45" s="139">
        <f>VLOOKUP($E45,'7. PGE_Efficacité'!$A$6:$CY$266,(MATCH('4.2 ACE EFF WOL'!X$4,'7. PGE_Efficacité'!$A$4:$AO$4,0)+62),0)</f>
        <v>0</v>
      </c>
      <c r="Y45" s="139">
        <f>VLOOKUP($E45,'7. PGE_Efficacité'!$A$6:$CY$266,(MATCH('4.2 ACE EFF WOL'!Y$4,'7. PGE_Efficacité'!$A$4:$AO$4,0)+62),0)</f>
        <v>0</v>
      </c>
      <c r="Z45" s="139">
        <f>VLOOKUP($E45,'7. PGE_Efficacité'!$A$6:$CY$266,(MATCH('4.2 ACE EFF WOL'!Z$4,'7. PGE_Efficacité'!$A$4:$AO$4,0)+62),0)</f>
        <v>0</v>
      </c>
      <c r="AA45" s="139">
        <f>VLOOKUP($E45,'7. PGE_Efficacité'!$A$6:$CY$266,(MATCH('4.2 ACE EFF WOL'!AA$4,'7. PGE_Efficacité'!$A$4:$AO$4,0)+62),0)</f>
        <v>0</v>
      </c>
      <c r="AB45" s="139">
        <f>VLOOKUP($E45,'7. PGE_Efficacité'!$A$6:$CY$266,(MATCH('4.2 ACE EFF WOL'!AB$4,'7. PGE_Efficacité'!$A$4:$AO$4,0)+62),0)</f>
        <v>0</v>
      </c>
      <c r="AC45" s="139">
        <f>VLOOKUP($E45,'7. PGE_Efficacité'!$A$6:$CY$266,(MATCH('4.2 ACE EFF WOL'!AC$4,'7. PGE_Efficacité'!$A$4:$AO$4,0)+62),0)</f>
        <v>0</v>
      </c>
      <c r="AD45" s="139">
        <f>VLOOKUP($E45,'7. PGE_Efficacité'!$A$6:$CY$266,(MATCH('4.2 ACE EFF WOL'!AD$4,'7. PGE_Efficacité'!$A$4:$AO$4,0)+62),0)</f>
        <v>0</v>
      </c>
      <c r="AE45" s="139">
        <f>VLOOKUP($E45,'7. PGE_Efficacité'!$A$6:$CY$266,(MATCH('4.2 ACE EFF WOL'!AE$4,'7. PGE_Efficacité'!$A$4:$AO$4,0)+62),0)</f>
        <v>0</v>
      </c>
      <c r="AF45" s="139">
        <f>VLOOKUP($E45,'7. PGE_Efficacité'!$A$6:$CY$266,(MATCH('4.2 ACE EFF WOL'!AF$4,'7. PGE_Efficacité'!$A$4:$AO$4,0)+62),0)</f>
        <v>0</v>
      </c>
      <c r="AG45" s="139">
        <f>VLOOKUP($E45,'7. PGE_Efficacité'!$A$6:$CY$266,(MATCH('4.2 ACE EFF WOL'!AG$4,'7. PGE_Efficacité'!$A$4:$AO$4,0)+62),0)</f>
        <v>0</v>
      </c>
      <c r="AH45" s="139">
        <f>VLOOKUP($E45,'7. PGE_Efficacité'!$A$6:$CY$266,(MATCH('4.2 ACE EFF WOL'!AH$4,'7. PGE_Efficacité'!$A$4:$AO$4,0)+62),0)</f>
        <v>0</v>
      </c>
      <c r="AI45" s="139">
        <f>VLOOKUP($E45,'7. PGE_Efficacité'!$A$6:$CY$266,(MATCH('4.2 ACE EFF WOL'!AI$4,'7. PGE_Efficacité'!$A$4:$AO$4,0)+62),0)</f>
        <v>0</v>
      </c>
      <c r="AJ45" s="139">
        <f>VLOOKUP($E45,'7. PGE_Efficacité'!$A$6:$CY$266,(MATCH('4.2 ACE EFF WOL'!AJ$4,'7. PGE_Efficacité'!$A$4:$AO$4,0)+62),0)</f>
        <v>0</v>
      </c>
      <c r="AK45" s="139">
        <f>VLOOKUP($E45,'7. PGE_Efficacité'!$A$6:$CY$266,(MATCH('4.2 ACE EFF WOL'!AK$4,'7. PGE_Efficacité'!$A$4:$AO$4,0)+62),0)</f>
        <v>0</v>
      </c>
      <c r="AL45" s="139">
        <f>VLOOKUP($E45,'7. PGE_Efficacité'!$A$6:$CY$266,(MATCH('4.2 ACE EFF WOL'!AL$4,'7. PGE_Efficacité'!$A$4:$AO$4,0)+62),0)</f>
        <v>0</v>
      </c>
      <c r="AM45" s="139">
        <f>VLOOKUP($E45,'7. PGE_Efficacité'!$A$6:$CY$266,(MATCH('4.2 ACE EFF WOL'!AM$4,'7. PGE_Efficacité'!$A$4:$AO$4,0)+62),0)</f>
        <v>0</v>
      </c>
      <c r="AN45" s="139">
        <f>VLOOKUP($E45,'7. PGE_Efficacité'!$A$6:$CY$266,(MATCH('4.2 ACE EFF WOL'!AN$4,'7. PGE_Efficacité'!$A$4:$AO$4,0)+62),0)</f>
        <v>0</v>
      </c>
    </row>
    <row r="46" spans="1:40" hidden="1" outlineLevel="2" x14ac:dyDescent="0.25">
      <c r="A46" s="48" t="s">
        <v>1524</v>
      </c>
      <c r="B46" s="49">
        <v>5</v>
      </c>
      <c r="C46" s="48" t="s">
        <v>1526</v>
      </c>
      <c r="D46" s="199" t="s">
        <v>4</v>
      </c>
      <c r="E46" s="200" t="s">
        <v>815</v>
      </c>
      <c r="F46" s="200" t="s">
        <v>1446</v>
      </c>
      <c r="G46" s="201" t="s">
        <v>1521</v>
      </c>
      <c r="H46" s="200" t="s">
        <v>1290</v>
      </c>
      <c r="I46" s="202">
        <v>0</v>
      </c>
      <c r="J46" s="139">
        <f>VLOOKUP($E46,'7. PGE_Efficacité'!$A$6:$CY$266,(MATCH('4.2 ACE EFF WOL'!J$4,'7. PGE_Efficacité'!$A$4:$AO$4,0)+62),0)</f>
        <v>0</v>
      </c>
      <c r="K46" s="139">
        <f>VLOOKUP($E46,'7. PGE_Efficacité'!$A$6:$CY$266,(MATCH('4.2 ACE EFF WOL'!K$4,'7. PGE_Efficacité'!$A$4:$AO$4,0)+62),0)</f>
        <v>0</v>
      </c>
      <c r="L46" s="139">
        <f>VLOOKUP($E46,'7. PGE_Efficacité'!$A$6:$CY$266,(MATCH('4.2 ACE EFF WOL'!L$4,'7. PGE_Efficacité'!$A$4:$AO$4,0)+62),0)</f>
        <v>0</v>
      </c>
      <c r="M46" s="139">
        <f>VLOOKUP($E46,'7. PGE_Efficacité'!$A$6:$CY$266,(MATCH('4.2 ACE EFF WOL'!M$4,'7. PGE_Efficacité'!$A$4:$AO$4,0)+62),0)</f>
        <v>0</v>
      </c>
      <c r="N46" s="139">
        <f>VLOOKUP($E46,'7. PGE_Efficacité'!$A$6:$CY$266,(MATCH('4.2 ACE EFF WOL'!N$4,'7. PGE_Efficacité'!$A$4:$AO$4,0)+62),0)</f>
        <v>0</v>
      </c>
      <c r="O46" s="139">
        <f>VLOOKUP($E46,'7. PGE_Efficacité'!$A$6:$CY$266,78,0)</f>
        <v>0</v>
      </c>
      <c r="P46" s="139">
        <f>VLOOKUP($E46,'7. PGE_Efficacité'!$A$6:$CY$266,(MATCH('4.2 ACE EFF WOL'!P$4,'7. PGE_Efficacité'!$A$4:$AO$4,0)+62),0)</f>
        <v>0</v>
      </c>
      <c r="Q46" s="139">
        <f>VLOOKUP($E46,'7. PGE_Efficacité'!$A$6:$CY$266,(MATCH('4.2 ACE EFF WOL'!Q$4,'7. PGE_Efficacité'!$A$4:$AO$4,0)+62),0)</f>
        <v>0</v>
      </c>
      <c r="R46" s="139">
        <f>VLOOKUP($E46,'7. PGE_Efficacité'!$A$6:$CY$266,(MATCH('4.2 ACE EFF WOL'!R$4,'7. PGE_Efficacité'!$A$4:$AO$4,0)+62),0)</f>
        <v>0</v>
      </c>
      <c r="S46" s="139">
        <f>VLOOKUP($E46,'7. PGE_Efficacité'!$A$6:$CY$266,(MATCH('4.2 ACE EFF WOL'!S$4,'7. PGE_Efficacité'!$A$4:$AO$4,0)+62),0)</f>
        <v>0</v>
      </c>
      <c r="T46" s="139">
        <f>VLOOKUP($E46,'7. PGE_Efficacité'!$A$6:$CY$266,(MATCH('4.2 ACE EFF WOL'!T$4,'7. PGE_Efficacité'!$A$4:$AO$4,0)+62),0)</f>
        <v>0</v>
      </c>
      <c r="U46" s="139">
        <f>VLOOKUP($E46,'7. PGE_Efficacité'!$A$6:$CY$266,(MATCH('4.2 ACE EFF WOL'!U$4,'7. PGE_Efficacité'!$A$4:$AO$4,0)+62),0)</f>
        <v>0</v>
      </c>
      <c r="V46" s="139">
        <f>VLOOKUP($E46,'7. PGE_Efficacité'!$A$6:$CY$266,(MATCH('4.2 ACE EFF WOL'!V$4,'7. PGE_Efficacité'!$A$4:$AO$4,0)+62),0)</f>
        <v>0</v>
      </c>
      <c r="W46" s="139">
        <f>VLOOKUP($E46,'7. PGE_Efficacité'!$A$6:$CY$266,(MATCH('4.2 ACE EFF WOL'!W$4,'7. PGE_Efficacité'!$A$4:$AO$4,0)+62),0)</f>
        <v>0</v>
      </c>
      <c r="X46" s="139">
        <f>VLOOKUP($E46,'7. PGE_Efficacité'!$A$6:$CY$266,(MATCH('4.2 ACE EFF WOL'!X$4,'7. PGE_Efficacité'!$A$4:$AO$4,0)+62),0)</f>
        <v>0</v>
      </c>
      <c r="Y46" s="139">
        <f>VLOOKUP($E46,'7. PGE_Efficacité'!$A$6:$CY$266,(MATCH('4.2 ACE EFF WOL'!Y$4,'7. PGE_Efficacité'!$A$4:$AO$4,0)+62),0)</f>
        <v>0</v>
      </c>
      <c r="Z46" s="139">
        <f>VLOOKUP($E46,'7. PGE_Efficacité'!$A$6:$CY$266,(MATCH('4.2 ACE EFF WOL'!Z$4,'7. PGE_Efficacité'!$A$4:$AO$4,0)+62),0)</f>
        <v>0</v>
      </c>
      <c r="AA46" s="139">
        <f>VLOOKUP($E46,'7. PGE_Efficacité'!$A$6:$CY$266,(MATCH('4.2 ACE EFF WOL'!AA$4,'7. PGE_Efficacité'!$A$4:$AO$4,0)+62),0)</f>
        <v>0</v>
      </c>
      <c r="AB46" s="139">
        <f>VLOOKUP($E46,'7. PGE_Efficacité'!$A$6:$CY$266,(MATCH('4.2 ACE EFF WOL'!AB$4,'7. PGE_Efficacité'!$A$4:$AO$4,0)+62),0)</f>
        <v>0</v>
      </c>
      <c r="AC46" s="139">
        <f>VLOOKUP($E46,'7. PGE_Efficacité'!$A$6:$CY$266,(MATCH('4.2 ACE EFF WOL'!AC$4,'7. PGE_Efficacité'!$A$4:$AO$4,0)+62),0)</f>
        <v>0</v>
      </c>
      <c r="AD46" s="139">
        <f>VLOOKUP($E46,'7. PGE_Efficacité'!$A$6:$CY$266,(MATCH('4.2 ACE EFF WOL'!AD$4,'7. PGE_Efficacité'!$A$4:$AO$4,0)+62),0)</f>
        <v>0</v>
      </c>
      <c r="AE46" s="139">
        <f>VLOOKUP($E46,'7. PGE_Efficacité'!$A$6:$CY$266,(MATCH('4.2 ACE EFF WOL'!AE$4,'7. PGE_Efficacité'!$A$4:$AO$4,0)+62),0)</f>
        <v>0</v>
      </c>
      <c r="AF46" s="139">
        <f>VLOOKUP($E46,'7. PGE_Efficacité'!$A$6:$CY$266,(MATCH('4.2 ACE EFF WOL'!AF$4,'7. PGE_Efficacité'!$A$4:$AO$4,0)+62),0)</f>
        <v>0</v>
      </c>
      <c r="AG46" s="139">
        <f>VLOOKUP($E46,'7. PGE_Efficacité'!$A$6:$CY$266,(MATCH('4.2 ACE EFF WOL'!AG$4,'7. PGE_Efficacité'!$A$4:$AO$4,0)+62),0)</f>
        <v>0</v>
      </c>
      <c r="AH46" s="139">
        <f>VLOOKUP($E46,'7. PGE_Efficacité'!$A$6:$CY$266,(MATCH('4.2 ACE EFF WOL'!AH$4,'7. PGE_Efficacité'!$A$4:$AO$4,0)+62),0)</f>
        <v>0</v>
      </c>
      <c r="AI46" s="139">
        <f>VLOOKUP($E46,'7. PGE_Efficacité'!$A$6:$CY$266,(MATCH('4.2 ACE EFF WOL'!AI$4,'7. PGE_Efficacité'!$A$4:$AO$4,0)+62),0)</f>
        <v>0</v>
      </c>
      <c r="AJ46" s="139">
        <f>VLOOKUP($E46,'7. PGE_Efficacité'!$A$6:$CY$266,(MATCH('4.2 ACE EFF WOL'!AJ$4,'7. PGE_Efficacité'!$A$4:$AO$4,0)+62),0)</f>
        <v>0</v>
      </c>
      <c r="AK46" s="139">
        <f>VLOOKUP($E46,'7. PGE_Efficacité'!$A$6:$CY$266,(MATCH('4.2 ACE EFF WOL'!AK$4,'7. PGE_Efficacité'!$A$4:$AO$4,0)+62),0)</f>
        <v>0</v>
      </c>
      <c r="AL46" s="139">
        <f>VLOOKUP($E46,'7. PGE_Efficacité'!$A$6:$CY$266,(MATCH('4.2 ACE EFF WOL'!AL$4,'7. PGE_Efficacité'!$A$4:$AO$4,0)+62),0)</f>
        <v>0</v>
      </c>
      <c r="AM46" s="139">
        <f>VLOOKUP($E46,'7. PGE_Efficacité'!$A$6:$CY$266,(MATCH('4.2 ACE EFF WOL'!AM$4,'7. PGE_Efficacité'!$A$4:$AO$4,0)+62),0)</f>
        <v>0</v>
      </c>
      <c r="AN46" s="139">
        <f>VLOOKUP($E46,'7. PGE_Efficacité'!$A$6:$CY$266,(MATCH('4.2 ACE EFF WOL'!AN$4,'7. PGE_Efficacité'!$A$4:$AO$4,0)+62),0)</f>
        <v>0</v>
      </c>
    </row>
    <row r="47" spans="1:40" hidden="1" outlineLevel="2" x14ac:dyDescent="0.25">
      <c r="A47" s="48" t="s">
        <v>1524</v>
      </c>
      <c r="B47" s="49">
        <v>5</v>
      </c>
      <c r="C47" s="48" t="s">
        <v>1527</v>
      </c>
      <c r="D47" s="199" t="s">
        <v>4</v>
      </c>
      <c r="E47" s="200" t="s">
        <v>816</v>
      </c>
      <c r="F47" s="200" t="s">
        <v>1447</v>
      </c>
      <c r="G47" s="201" t="s">
        <v>1521</v>
      </c>
      <c r="H47" s="200" t="s">
        <v>1290</v>
      </c>
      <c r="I47" s="202">
        <v>0</v>
      </c>
      <c r="J47" s="139">
        <f>VLOOKUP($E47,'7. PGE_Efficacité'!$A$6:$CY$266,(MATCH('4.2 ACE EFF WOL'!J$4,'7. PGE_Efficacité'!$A$4:$AO$4,0)+62),0)</f>
        <v>0</v>
      </c>
      <c r="K47" s="139">
        <f>VLOOKUP($E47,'7. PGE_Efficacité'!$A$6:$CY$266,(MATCH('4.2 ACE EFF WOL'!K$4,'7. PGE_Efficacité'!$A$4:$AO$4,0)+62),0)</f>
        <v>0</v>
      </c>
      <c r="L47" s="139">
        <f>VLOOKUP($E47,'7. PGE_Efficacité'!$A$6:$CY$266,(MATCH('4.2 ACE EFF WOL'!L$4,'7. PGE_Efficacité'!$A$4:$AO$4,0)+62),0)</f>
        <v>0</v>
      </c>
      <c r="M47" s="139">
        <f>VLOOKUP($E47,'7. PGE_Efficacité'!$A$6:$CY$266,(MATCH('4.2 ACE EFF WOL'!M$4,'7. PGE_Efficacité'!$A$4:$AO$4,0)+62),0)</f>
        <v>0</v>
      </c>
      <c r="N47" s="139">
        <f>VLOOKUP($E47,'7. PGE_Efficacité'!$A$6:$CY$266,(MATCH('4.2 ACE EFF WOL'!N$4,'7. PGE_Efficacité'!$A$4:$AO$4,0)+62),0)</f>
        <v>0</v>
      </c>
      <c r="O47" s="139">
        <f>VLOOKUP($E47,'7. PGE_Efficacité'!$A$6:$CY$266,78,0)</f>
        <v>0</v>
      </c>
      <c r="P47" s="139">
        <f>VLOOKUP($E47,'7. PGE_Efficacité'!$A$6:$CY$266,(MATCH('4.2 ACE EFF WOL'!P$4,'7. PGE_Efficacité'!$A$4:$AO$4,0)+62),0)</f>
        <v>0</v>
      </c>
      <c r="Q47" s="139">
        <f>VLOOKUP($E47,'7. PGE_Efficacité'!$A$6:$CY$266,(MATCH('4.2 ACE EFF WOL'!Q$4,'7. PGE_Efficacité'!$A$4:$AO$4,0)+62),0)</f>
        <v>0</v>
      </c>
      <c r="R47" s="139">
        <f>VLOOKUP($E47,'7. PGE_Efficacité'!$A$6:$CY$266,(MATCH('4.2 ACE EFF WOL'!R$4,'7. PGE_Efficacité'!$A$4:$AO$4,0)+62),0)</f>
        <v>0</v>
      </c>
      <c r="S47" s="139">
        <f>VLOOKUP($E47,'7. PGE_Efficacité'!$A$6:$CY$266,(MATCH('4.2 ACE EFF WOL'!S$4,'7. PGE_Efficacité'!$A$4:$AO$4,0)+62),0)</f>
        <v>0</v>
      </c>
      <c r="T47" s="139">
        <f>VLOOKUP($E47,'7. PGE_Efficacité'!$A$6:$CY$266,(MATCH('4.2 ACE EFF WOL'!T$4,'7. PGE_Efficacité'!$A$4:$AO$4,0)+62),0)</f>
        <v>0</v>
      </c>
      <c r="U47" s="139">
        <f>VLOOKUP($E47,'7. PGE_Efficacité'!$A$6:$CY$266,(MATCH('4.2 ACE EFF WOL'!U$4,'7. PGE_Efficacité'!$A$4:$AO$4,0)+62),0)</f>
        <v>0</v>
      </c>
      <c r="V47" s="139">
        <f>VLOOKUP($E47,'7. PGE_Efficacité'!$A$6:$CY$266,(MATCH('4.2 ACE EFF WOL'!V$4,'7. PGE_Efficacité'!$A$4:$AO$4,0)+62),0)</f>
        <v>0</v>
      </c>
      <c r="W47" s="139">
        <f>VLOOKUP($E47,'7. PGE_Efficacité'!$A$6:$CY$266,(MATCH('4.2 ACE EFF WOL'!W$4,'7. PGE_Efficacité'!$A$4:$AO$4,0)+62),0)</f>
        <v>0</v>
      </c>
      <c r="X47" s="139">
        <f>VLOOKUP($E47,'7. PGE_Efficacité'!$A$6:$CY$266,(MATCH('4.2 ACE EFF WOL'!X$4,'7. PGE_Efficacité'!$A$4:$AO$4,0)+62),0)</f>
        <v>0</v>
      </c>
      <c r="Y47" s="139">
        <f>VLOOKUP($E47,'7. PGE_Efficacité'!$A$6:$CY$266,(MATCH('4.2 ACE EFF WOL'!Y$4,'7. PGE_Efficacité'!$A$4:$AO$4,0)+62),0)</f>
        <v>0</v>
      </c>
      <c r="Z47" s="139">
        <f>VLOOKUP($E47,'7. PGE_Efficacité'!$A$6:$CY$266,(MATCH('4.2 ACE EFF WOL'!Z$4,'7. PGE_Efficacité'!$A$4:$AO$4,0)+62),0)</f>
        <v>0</v>
      </c>
      <c r="AA47" s="139">
        <f>VLOOKUP($E47,'7. PGE_Efficacité'!$A$6:$CY$266,(MATCH('4.2 ACE EFF WOL'!AA$4,'7. PGE_Efficacité'!$A$4:$AO$4,0)+62),0)</f>
        <v>0</v>
      </c>
      <c r="AB47" s="139">
        <f>VLOOKUP($E47,'7. PGE_Efficacité'!$A$6:$CY$266,(MATCH('4.2 ACE EFF WOL'!AB$4,'7. PGE_Efficacité'!$A$4:$AO$4,0)+62),0)</f>
        <v>0</v>
      </c>
      <c r="AC47" s="139">
        <f>VLOOKUP($E47,'7. PGE_Efficacité'!$A$6:$CY$266,(MATCH('4.2 ACE EFF WOL'!AC$4,'7. PGE_Efficacité'!$A$4:$AO$4,0)+62),0)</f>
        <v>0</v>
      </c>
      <c r="AD47" s="139">
        <f>VLOOKUP($E47,'7. PGE_Efficacité'!$A$6:$CY$266,(MATCH('4.2 ACE EFF WOL'!AD$4,'7. PGE_Efficacité'!$A$4:$AO$4,0)+62),0)</f>
        <v>0</v>
      </c>
      <c r="AE47" s="139">
        <f>VLOOKUP($E47,'7. PGE_Efficacité'!$A$6:$CY$266,(MATCH('4.2 ACE EFF WOL'!AE$4,'7. PGE_Efficacité'!$A$4:$AO$4,0)+62),0)</f>
        <v>0</v>
      </c>
      <c r="AF47" s="139">
        <f>VLOOKUP($E47,'7. PGE_Efficacité'!$A$6:$CY$266,(MATCH('4.2 ACE EFF WOL'!AF$4,'7. PGE_Efficacité'!$A$4:$AO$4,0)+62),0)</f>
        <v>0</v>
      </c>
      <c r="AG47" s="139">
        <f>VLOOKUP($E47,'7. PGE_Efficacité'!$A$6:$CY$266,(MATCH('4.2 ACE EFF WOL'!AG$4,'7. PGE_Efficacité'!$A$4:$AO$4,0)+62),0)</f>
        <v>0</v>
      </c>
      <c r="AH47" s="139">
        <f>VLOOKUP($E47,'7. PGE_Efficacité'!$A$6:$CY$266,(MATCH('4.2 ACE EFF WOL'!AH$4,'7. PGE_Efficacité'!$A$4:$AO$4,0)+62),0)</f>
        <v>0</v>
      </c>
      <c r="AI47" s="139">
        <f>VLOOKUP($E47,'7. PGE_Efficacité'!$A$6:$CY$266,(MATCH('4.2 ACE EFF WOL'!AI$4,'7. PGE_Efficacité'!$A$4:$AO$4,0)+62),0)</f>
        <v>0</v>
      </c>
      <c r="AJ47" s="139">
        <f>VLOOKUP($E47,'7. PGE_Efficacité'!$A$6:$CY$266,(MATCH('4.2 ACE EFF WOL'!AJ$4,'7. PGE_Efficacité'!$A$4:$AO$4,0)+62),0)</f>
        <v>0</v>
      </c>
      <c r="AK47" s="139">
        <f>VLOOKUP($E47,'7. PGE_Efficacité'!$A$6:$CY$266,(MATCH('4.2 ACE EFF WOL'!AK$4,'7. PGE_Efficacité'!$A$4:$AO$4,0)+62),0)</f>
        <v>0</v>
      </c>
      <c r="AL47" s="139">
        <f>VLOOKUP($E47,'7. PGE_Efficacité'!$A$6:$CY$266,(MATCH('4.2 ACE EFF WOL'!AL$4,'7. PGE_Efficacité'!$A$4:$AO$4,0)+62),0)</f>
        <v>0</v>
      </c>
      <c r="AM47" s="139">
        <f>VLOOKUP($E47,'7. PGE_Efficacité'!$A$6:$CY$266,(MATCH('4.2 ACE EFF WOL'!AM$4,'7. PGE_Efficacité'!$A$4:$AO$4,0)+62),0)</f>
        <v>0</v>
      </c>
      <c r="AN47" s="139">
        <f>VLOOKUP($E47,'7. PGE_Efficacité'!$A$6:$CY$266,(MATCH('4.2 ACE EFF WOL'!AN$4,'7. PGE_Efficacité'!$A$4:$AO$4,0)+62),0)</f>
        <v>0</v>
      </c>
    </row>
    <row r="48" spans="1:40" hidden="1" outlineLevel="2" x14ac:dyDescent="0.25">
      <c r="A48" s="48" t="s">
        <v>1524</v>
      </c>
      <c r="B48" s="49">
        <v>5</v>
      </c>
      <c r="C48" s="48" t="s">
        <v>410</v>
      </c>
      <c r="D48" s="199" t="s">
        <v>4</v>
      </c>
      <c r="E48" s="200" t="s">
        <v>817</v>
      </c>
      <c r="F48" s="200" t="s">
        <v>1448</v>
      </c>
      <c r="G48" s="201" t="s">
        <v>1521</v>
      </c>
      <c r="H48" s="200" t="s">
        <v>1290</v>
      </c>
      <c r="I48" s="202">
        <v>0</v>
      </c>
      <c r="J48" s="139">
        <f>VLOOKUP($E48,'7. PGE_Efficacité'!$A$6:$CY$266,(MATCH('4.2 ACE EFF WOL'!J$4,'7. PGE_Efficacité'!$A$4:$AO$4,0)+62),0)</f>
        <v>0</v>
      </c>
      <c r="K48" s="139">
        <f>VLOOKUP($E48,'7. PGE_Efficacité'!$A$6:$CY$266,(MATCH('4.2 ACE EFF WOL'!K$4,'7. PGE_Efficacité'!$A$4:$AO$4,0)+62),0)</f>
        <v>0</v>
      </c>
      <c r="L48" s="139">
        <f>VLOOKUP($E48,'7. PGE_Efficacité'!$A$6:$CY$266,(MATCH('4.2 ACE EFF WOL'!L$4,'7. PGE_Efficacité'!$A$4:$AO$4,0)+62),0)</f>
        <v>0</v>
      </c>
      <c r="M48" s="139">
        <f>VLOOKUP($E48,'7. PGE_Efficacité'!$A$6:$CY$266,(MATCH('4.2 ACE EFF WOL'!M$4,'7. PGE_Efficacité'!$A$4:$AO$4,0)+62),0)</f>
        <v>0</v>
      </c>
      <c r="N48" s="139">
        <f>VLOOKUP($E48,'7. PGE_Efficacité'!$A$6:$CY$266,(MATCH('4.2 ACE EFF WOL'!N$4,'7. PGE_Efficacité'!$A$4:$AO$4,0)+62),0)</f>
        <v>0</v>
      </c>
      <c r="O48" s="139">
        <f>VLOOKUP($E48,'7. PGE_Efficacité'!$A$6:$CY$266,78,0)</f>
        <v>0</v>
      </c>
      <c r="P48" s="139">
        <f>VLOOKUP($E48,'7. PGE_Efficacité'!$A$6:$CY$266,(MATCH('4.2 ACE EFF WOL'!P$4,'7. PGE_Efficacité'!$A$4:$AO$4,0)+62),0)</f>
        <v>0</v>
      </c>
      <c r="Q48" s="139">
        <f>VLOOKUP($E48,'7. PGE_Efficacité'!$A$6:$CY$266,(MATCH('4.2 ACE EFF WOL'!Q$4,'7. PGE_Efficacité'!$A$4:$AO$4,0)+62),0)</f>
        <v>0</v>
      </c>
      <c r="R48" s="139">
        <f>VLOOKUP($E48,'7. PGE_Efficacité'!$A$6:$CY$266,(MATCH('4.2 ACE EFF WOL'!R$4,'7. PGE_Efficacité'!$A$4:$AO$4,0)+62),0)</f>
        <v>0</v>
      </c>
      <c r="S48" s="139">
        <f>VLOOKUP($E48,'7. PGE_Efficacité'!$A$6:$CY$266,(MATCH('4.2 ACE EFF WOL'!S$4,'7. PGE_Efficacité'!$A$4:$AO$4,0)+62),0)</f>
        <v>0</v>
      </c>
      <c r="T48" s="139">
        <f>VLOOKUP($E48,'7. PGE_Efficacité'!$A$6:$CY$266,(MATCH('4.2 ACE EFF WOL'!T$4,'7. PGE_Efficacité'!$A$4:$AO$4,0)+62),0)</f>
        <v>0</v>
      </c>
      <c r="U48" s="139">
        <f>VLOOKUP($E48,'7. PGE_Efficacité'!$A$6:$CY$266,(MATCH('4.2 ACE EFF WOL'!U$4,'7. PGE_Efficacité'!$A$4:$AO$4,0)+62),0)</f>
        <v>0</v>
      </c>
      <c r="V48" s="139">
        <f>VLOOKUP($E48,'7. PGE_Efficacité'!$A$6:$CY$266,(MATCH('4.2 ACE EFF WOL'!V$4,'7. PGE_Efficacité'!$A$4:$AO$4,0)+62),0)</f>
        <v>0</v>
      </c>
      <c r="W48" s="139">
        <f>VLOOKUP($E48,'7. PGE_Efficacité'!$A$6:$CY$266,(MATCH('4.2 ACE EFF WOL'!W$4,'7. PGE_Efficacité'!$A$4:$AO$4,0)+62),0)</f>
        <v>0</v>
      </c>
      <c r="X48" s="139">
        <f>VLOOKUP($E48,'7. PGE_Efficacité'!$A$6:$CY$266,(MATCH('4.2 ACE EFF WOL'!X$4,'7. PGE_Efficacité'!$A$4:$AO$4,0)+62),0)</f>
        <v>0</v>
      </c>
      <c r="Y48" s="139">
        <f>VLOOKUP($E48,'7. PGE_Efficacité'!$A$6:$CY$266,(MATCH('4.2 ACE EFF WOL'!Y$4,'7. PGE_Efficacité'!$A$4:$AO$4,0)+62),0)</f>
        <v>0</v>
      </c>
      <c r="Z48" s="139">
        <f>VLOOKUP($E48,'7. PGE_Efficacité'!$A$6:$CY$266,(MATCH('4.2 ACE EFF WOL'!Z$4,'7. PGE_Efficacité'!$A$4:$AO$4,0)+62),0)</f>
        <v>0</v>
      </c>
      <c r="AA48" s="139">
        <f>VLOOKUP($E48,'7. PGE_Efficacité'!$A$6:$CY$266,(MATCH('4.2 ACE EFF WOL'!AA$4,'7. PGE_Efficacité'!$A$4:$AO$4,0)+62),0)</f>
        <v>0</v>
      </c>
      <c r="AB48" s="139">
        <f>VLOOKUP($E48,'7. PGE_Efficacité'!$A$6:$CY$266,(MATCH('4.2 ACE EFF WOL'!AB$4,'7. PGE_Efficacité'!$A$4:$AO$4,0)+62),0)</f>
        <v>0</v>
      </c>
      <c r="AC48" s="139">
        <f>VLOOKUP($E48,'7. PGE_Efficacité'!$A$6:$CY$266,(MATCH('4.2 ACE EFF WOL'!AC$4,'7. PGE_Efficacité'!$A$4:$AO$4,0)+62),0)</f>
        <v>0</v>
      </c>
      <c r="AD48" s="139">
        <f>VLOOKUP($E48,'7. PGE_Efficacité'!$A$6:$CY$266,(MATCH('4.2 ACE EFF WOL'!AD$4,'7. PGE_Efficacité'!$A$4:$AO$4,0)+62),0)</f>
        <v>0</v>
      </c>
      <c r="AE48" s="139">
        <f>VLOOKUP($E48,'7. PGE_Efficacité'!$A$6:$CY$266,(MATCH('4.2 ACE EFF WOL'!AE$4,'7. PGE_Efficacité'!$A$4:$AO$4,0)+62),0)</f>
        <v>0</v>
      </c>
      <c r="AF48" s="139">
        <f>VLOOKUP($E48,'7. PGE_Efficacité'!$A$6:$CY$266,(MATCH('4.2 ACE EFF WOL'!AF$4,'7. PGE_Efficacité'!$A$4:$AO$4,0)+62),0)</f>
        <v>0</v>
      </c>
      <c r="AG48" s="139">
        <f>VLOOKUP($E48,'7. PGE_Efficacité'!$A$6:$CY$266,(MATCH('4.2 ACE EFF WOL'!AG$4,'7. PGE_Efficacité'!$A$4:$AO$4,0)+62),0)</f>
        <v>0</v>
      </c>
      <c r="AH48" s="139">
        <f>VLOOKUP($E48,'7. PGE_Efficacité'!$A$6:$CY$266,(MATCH('4.2 ACE EFF WOL'!AH$4,'7. PGE_Efficacité'!$A$4:$AO$4,0)+62),0)</f>
        <v>0</v>
      </c>
      <c r="AI48" s="139">
        <f>VLOOKUP($E48,'7. PGE_Efficacité'!$A$6:$CY$266,(MATCH('4.2 ACE EFF WOL'!AI$4,'7. PGE_Efficacité'!$A$4:$AO$4,0)+62),0)</f>
        <v>0</v>
      </c>
      <c r="AJ48" s="139">
        <f>VLOOKUP($E48,'7. PGE_Efficacité'!$A$6:$CY$266,(MATCH('4.2 ACE EFF WOL'!AJ$4,'7. PGE_Efficacité'!$A$4:$AO$4,0)+62),0)</f>
        <v>0</v>
      </c>
      <c r="AK48" s="139">
        <f>VLOOKUP($E48,'7. PGE_Efficacité'!$A$6:$CY$266,(MATCH('4.2 ACE EFF WOL'!AK$4,'7. PGE_Efficacité'!$A$4:$AO$4,0)+62),0)</f>
        <v>0</v>
      </c>
      <c r="AL48" s="139">
        <f>VLOOKUP($E48,'7. PGE_Efficacité'!$A$6:$CY$266,(MATCH('4.2 ACE EFF WOL'!AL$4,'7. PGE_Efficacité'!$A$4:$AO$4,0)+62),0)</f>
        <v>0</v>
      </c>
      <c r="AM48" s="139">
        <f>VLOOKUP($E48,'7. PGE_Efficacité'!$A$6:$CY$266,(MATCH('4.2 ACE EFF WOL'!AM$4,'7. PGE_Efficacité'!$A$4:$AO$4,0)+62),0)</f>
        <v>0</v>
      </c>
      <c r="AN48" s="139">
        <f>VLOOKUP($E48,'7. PGE_Efficacité'!$A$6:$CY$266,(MATCH('4.2 ACE EFF WOL'!AN$4,'7. PGE_Efficacité'!$A$4:$AO$4,0)+62),0)</f>
        <v>0</v>
      </c>
    </row>
    <row r="49" spans="1:40" hidden="1" outlineLevel="2" x14ac:dyDescent="0.25">
      <c r="A49" s="48" t="s">
        <v>1524</v>
      </c>
      <c r="B49" s="49">
        <v>5</v>
      </c>
      <c r="C49" s="48" t="s">
        <v>1528</v>
      </c>
      <c r="D49" s="199" t="s">
        <v>4</v>
      </c>
      <c r="E49" s="200" t="s">
        <v>818</v>
      </c>
      <c r="F49" s="200" t="s">
        <v>1449</v>
      </c>
      <c r="G49" s="201" t="s">
        <v>1521</v>
      </c>
      <c r="H49" s="200" t="s">
        <v>1290</v>
      </c>
      <c r="I49" s="202">
        <v>0</v>
      </c>
      <c r="J49" s="139">
        <f>VLOOKUP($E49,'7. PGE_Efficacité'!$A$6:$CY$266,(MATCH('4.2 ACE EFF WOL'!J$4,'7. PGE_Efficacité'!$A$4:$AO$4,0)+62),0)</f>
        <v>0</v>
      </c>
      <c r="K49" s="139">
        <f>VLOOKUP($E49,'7. PGE_Efficacité'!$A$6:$CY$266,(MATCH('4.2 ACE EFF WOL'!K$4,'7. PGE_Efficacité'!$A$4:$AO$4,0)+62),0)</f>
        <v>0</v>
      </c>
      <c r="L49" s="139">
        <f>VLOOKUP($E49,'7. PGE_Efficacité'!$A$6:$CY$266,(MATCH('4.2 ACE EFF WOL'!L$4,'7. PGE_Efficacité'!$A$4:$AO$4,0)+62),0)</f>
        <v>0</v>
      </c>
      <c r="M49" s="139">
        <f>VLOOKUP($E49,'7. PGE_Efficacité'!$A$6:$CY$266,(MATCH('4.2 ACE EFF WOL'!M$4,'7. PGE_Efficacité'!$A$4:$AO$4,0)+62),0)</f>
        <v>0</v>
      </c>
      <c r="N49" s="139">
        <f>VLOOKUP($E49,'7. PGE_Efficacité'!$A$6:$CY$266,(MATCH('4.2 ACE EFF WOL'!N$4,'7. PGE_Efficacité'!$A$4:$AO$4,0)+62),0)</f>
        <v>0</v>
      </c>
      <c r="O49" s="139">
        <f>VLOOKUP($E49,'7. PGE_Efficacité'!$A$6:$CY$266,78,0)</f>
        <v>0</v>
      </c>
      <c r="P49" s="139">
        <f>VLOOKUP($E49,'7. PGE_Efficacité'!$A$6:$CY$266,(MATCH('4.2 ACE EFF WOL'!P$4,'7. PGE_Efficacité'!$A$4:$AO$4,0)+62),0)</f>
        <v>0</v>
      </c>
      <c r="Q49" s="139">
        <f>VLOOKUP($E49,'7. PGE_Efficacité'!$A$6:$CY$266,(MATCH('4.2 ACE EFF WOL'!Q$4,'7. PGE_Efficacité'!$A$4:$AO$4,0)+62),0)</f>
        <v>0</v>
      </c>
      <c r="R49" s="139">
        <f>VLOOKUP($E49,'7. PGE_Efficacité'!$A$6:$CY$266,(MATCH('4.2 ACE EFF WOL'!R$4,'7. PGE_Efficacité'!$A$4:$AO$4,0)+62),0)</f>
        <v>0</v>
      </c>
      <c r="S49" s="139">
        <f>VLOOKUP($E49,'7. PGE_Efficacité'!$A$6:$CY$266,(MATCH('4.2 ACE EFF WOL'!S$4,'7. PGE_Efficacité'!$A$4:$AO$4,0)+62),0)</f>
        <v>0</v>
      </c>
      <c r="T49" s="139">
        <f>VLOOKUP($E49,'7. PGE_Efficacité'!$A$6:$CY$266,(MATCH('4.2 ACE EFF WOL'!T$4,'7. PGE_Efficacité'!$A$4:$AO$4,0)+62),0)</f>
        <v>0</v>
      </c>
      <c r="U49" s="139">
        <f>VLOOKUP($E49,'7. PGE_Efficacité'!$A$6:$CY$266,(MATCH('4.2 ACE EFF WOL'!U$4,'7. PGE_Efficacité'!$A$4:$AO$4,0)+62),0)</f>
        <v>0</v>
      </c>
      <c r="V49" s="139">
        <f>VLOOKUP($E49,'7. PGE_Efficacité'!$A$6:$CY$266,(MATCH('4.2 ACE EFF WOL'!V$4,'7. PGE_Efficacité'!$A$4:$AO$4,0)+62),0)</f>
        <v>0</v>
      </c>
      <c r="W49" s="139">
        <f>VLOOKUP($E49,'7. PGE_Efficacité'!$A$6:$CY$266,(MATCH('4.2 ACE EFF WOL'!W$4,'7. PGE_Efficacité'!$A$4:$AO$4,0)+62),0)</f>
        <v>0</v>
      </c>
      <c r="X49" s="139">
        <f>VLOOKUP($E49,'7. PGE_Efficacité'!$A$6:$CY$266,(MATCH('4.2 ACE EFF WOL'!X$4,'7. PGE_Efficacité'!$A$4:$AO$4,0)+62),0)</f>
        <v>0</v>
      </c>
      <c r="Y49" s="139">
        <f>VLOOKUP($E49,'7. PGE_Efficacité'!$A$6:$CY$266,(MATCH('4.2 ACE EFF WOL'!Y$4,'7. PGE_Efficacité'!$A$4:$AO$4,0)+62),0)</f>
        <v>0</v>
      </c>
      <c r="Z49" s="139">
        <f>VLOOKUP($E49,'7. PGE_Efficacité'!$A$6:$CY$266,(MATCH('4.2 ACE EFF WOL'!Z$4,'7. PGE_Efficacité'!$A$4:$AO$4,0)+62),0)</f>
        <v>0</v>
      </c>
      <c r="AA49" s="139">
        <f>VLOOKUP($E49,'7. PGE_Efficacité'!$A$6:$CY$266,(MATCH('4.2 ACE EFF WOL'!AA$4,'7. PGE_Efficacité'!$A$4:$AO$4,0)+62),0)</f>
        <v>0</v>
      </c>
      <c r="AB49" s="139">
        <f>VLOOKUP($E49,'7. PGE_Efficacité'!$A$6:$CY$266,(MATCH('4.2 ACE EFF WOL'!AB$4,'7. PGE_Efficacité'!$A$4:$AO$4,0)+62),0)</f>
        <v>0</v>
      </c>
      <c r="AC49" s="139">
        <f>VLOOKUP($E49,'7. PGE_Efficacité'!$A$6:$CY$266,(MATCH('4.2 ACE EFF WOL'!AC$4,'7. PGE_Efficacité'!$A$4:$AO$4,0)+62),0)</f>
        <v>0</v>
      </c>
      <c r="AD49" s="139">
        <f>VLOOKUP($E49,'7. PGE_Efficacité'!$A$6:$CY$266,(MATCH('4.2 ACE EFF WOL'!AD$4,'7. PGE_Efficacité'!$A$4:$AO$4,0)+62),0)</f>
        <v>0</v>
      </c>
      <c r="AE49" s="139">
        <f>VLOOKUP($E49,'7. PGE_Efficacité'!$A$6:$CY$266,(MATCH('4.2 ACE EFF WOL'!AE$4,'7. PGE_Efficacité'!$A$4:$AO$4,0)+62),0)</f>
        <v>0</v>
      </c>
      <c r="AF49" s="139">
        <f>VLOOKUP($E49,'7. PGE_Efficacité'!$A$6:$CY$266,(MATCH('4.2 ACE EFF WOL'!AF$4,'7. PGE_Efficacité'!$A$4:$AO$4,0)+62),0)</f>
        <v>0</v>
      </c>
      <c r="AG49" s="139">
        <f>VLOOKUP($E49,'7. PGE_Efficacité'!$A$6:$CY$266,(MATCH('4.2 ACE EFF WOL'!AG$4,'7. PGE_Efficacité'!$A$4:$AO$4,0)+62),0)</f>
        <v>0</v>
      </c>
      <c r="AH49" s="139">
        <f>VLOOKUP($E49,'7. PGE_Efficacité'!$A$6:$CY$266,(MATCH('4.2 ACE EFF WOL'!AH$4,'7. PGE_Efficacité'!$A$4:$AO$4,0)+62),0)</f>
        <v>0</v>
      </c>
      <c r="AI49" s="139">
        <f>VLOOKUP($E49,'7. PGE_Efficacité'!$A$6:$CY$266,(MATCH('4.2 ACE EFF WOL'!AI$4,'7. PGE_Efficacité'!$A$4:$AO$4,0)+62),0)</f>
        <v>0</v>
      </c>
      <c r="AJ49" s="139">
        <f>VLOOKUP($E49,'7. PGE_Efficacité'!$A$6:$CY$266,(MATCH('4.2 ACE EFF WOL'!AJ$4,'7. PGE_Efficacité'!$A$4:$AO$4,0)+62),0)</f>
        <v>0</v>
      </c>
      <c r="AK49" s="139">
        <f>VLOOKUP($E49,'7. PGE_Efficacité'!$A$6:$CY$266,(MATCH('4.2 ACE EFF WOL'!AK$4,'7. PGE_Efficacité'!$A$4:$AO$4,0)+62),0)</f>
        <v>0</v>
      </c>
      <c r="AL49" s="139">
        <f>VLOOKUP($E49,'7. PGE_Efficacité'!$A$6:$CY$266,(MATCH('4.2 ACE EFF WOL'!AL$4,'7. PGE_Efficacité'!$A$4:$AO$4,0)+62),0)</f>
        <v>0</v>
      </c>
      <c r="AM49" s="139">
        <f>VLOOKUP($E49,'7. PGE_Efficacité'!$A$6:$CY$266,(MATCH('4.2 ACE EFF WOL'!AM$4,'7. PGE_Efficacité'!$A$4:$AO$4,0)+62),0)</f>
        <v>0</v>
      </c>
      <c r="AN49" s="139">
        <f>VLOOKUP($E49,'7. PGE_Efficacité'!$A$6:$CY$266,(MATCH('4.2 ACE EFF WOL'!AN$4,'7. PGE_Efficacité'!$A$4:$AO$4,0)+62),0)</f>
        <v>0</v>
      </c>
    </row>
    <row r="50" spans="1:40" hidden="1" outlineLevel="2" x14ac:dyDescent="0.25">
      <c r="A50" s="48" t="s">
        <v>1524</v>
      </c>
      <c r="B50" s="49">
        <v>5</v>
      </c>
      <c r="C50" s="48" t="s">
        <v>1529</v>
      </c>
      <c r="D50" s="199" t="s">
        <v>4</v>
      </c>
      <c r="E50" s="200" t="s">
        <v>819</v>
      </c>
      <c r="F50" s="200" t="s">
        <v>1450</v>
      </c>
      <c r="G50" s="201" t="s">
        <v>1521</v>
      </c>
      <c r="H50" s="200" t="s">
        <v>1290</v>
      </c>
      <c r="I50" s="202">
        <v>0</v>
      </c>
      <c r="J50" s="139">
        <f>VLOOKUP($E50,'7. PGE_Efficacité'!$A$6:$CY$266,(MATCH('4.2 ACE EFF WOL'!J$4,'7. PGE_Efficacité'!$A$4:$AO$4,0)+62),0)</f>
        <v>0</v>
      </c>
      <c r="K50" s="139">
        <f>VLOOKUP($E50,'7. PGE_Efficacité'!$A$6:$CY$266,(MATCH('4.2 ACE EFF WOL'!K$4,'7. PGE_Efficacité'!$A$4:$AO$4,0)+62),0)</f>
        <v>0</v>
      </c>
      <c r="L50" s="139">
        <f>VLOOKUP($E50,'7. PGE_Efficacité'!$A$6:$CY$266,(MATCH('4.2 ACE EFF WOL'!L$4,'7. PGE_Efficacité'!$A$4:$AO$4,0)+62),0)</f>
        <v>0</v>
      </c>
      <c r="M50" s="139">
        <f>VLOOKUP($E50,'7. PGE_Efficacité'!$A$6:$CY$266,(MATCH('4.2 ACE EFF WOL'!M$4,'7. PGE_Efficacité'!$A$4:$AO$4,0)+62),0)</f>
        <v>0</v>
      </c>
      <c r="N50" s="139">
        <f>VLOOKUP($E50,'7. PGE_Efficacité'!$A$6:$CY$266,(MATCH('4.2 ACE EFF WOL'!N$4,'7. PGE_Efficacité'!$A$4:$AO$4,0)+62),0)</f>
        <v>0</v>
      </c>
      <c r="O50" s="139">
        <f>VLOOKUP($E50,'7. PGE_Efficacité'!$A$6:$CY$266,78,0)</f>
        <v>0</v>
      </c>
      <c r="P50" s="139">
        <f>VLOOKUP($E50,'7. PGE_Efficacité'!$A$6:$CY$266,(MATCH('4.2 ACE EFF WOL'!P$4,'7. PGE_Efficacité'!$A$4:$AO$4,0)+62),0)</f>
        <v>0</v>
      </c>
      <c r="Q50" s="139">
        <f>VLOOKUP($E50,'7. PGE_Efficacité'!$A$6:$CY$266,(MATCH('4.2 ACE EFF WOL'!Q$4,'7. PGE_Efficacité'!$A$4:$AO$4,0)+62),0)</f>
        <v>0</v>
      </c>
      <c r="R50" s="139">
        <f>VLOOKUP($E50,'7. PGE_Efficacité'!$A$6:$CY$266,(MATCH('4.2 ACE EFF WOL'!R$4,'7. PGE_Efficacité'!$A$4:$AO$4,0)+62),0)</f>
        <v>0</v>
      </c>
      <c r="S50" s="139">
        <f>VLOOKUP($E50,'7. PGE_Efficacité'!$A$6:$CY$266,(MATCH('4.2 ACE EFF WOL'!S$4,'7. PGE_Efficacité'!$A$4:$AO$4,0)+62),0)</f>
        <v>0</v>
      </c>
      <c r="T50" s="139">
        <f>VLOOKUP($E50,'7. PGE_Efficacité'!$A$6:$CY$266,(MATCH('4.2 ACE EFF WOL'!T$4,'7. PGE_Efficacité'!$A$4:$AO$4,0)+62),0)</f>
        <v>0</v>
      </c>
      <c r="U50" s="139">
        <f>VLOOKUP($E50,'7. PGE_Efficacité'!$A$6:$CY$266,(MATCH('4.2 ACE EFF WOL'!U$4,'7. PGE_Efficacité'!$A$4:$AO$4,0)+62),0)</f>
        <v>0</v>
      </c>
      <c r="V50" s="139">
        <f>VLOOKUP($E50,'7. PGE_Efficacité'!$A$6:$CY$266,(MATCH('4.2 ACE EFF WOL'!V$4,'7. PGE_Efficacité'!$A$4:$AO$4,0)+62),0)</f>
        <v>0</v>
      </c>
      <c r="W50" s="139">
        <f>VLOOKUP($E50,'7. PGE_Efficacité'!$A$6:$CY$266,(MATCH('4.2 ACE EFF WOL'!W$4,'7. PGE_Efficacité'!$A$4:$AO$4,0)+62),0)</f>
        <v>0</v>
      </c>
      <c r="X50" s="139">
        <f>VLOOKUP($E50,'7. PGE_Efficacité'!$A$6:$CY$266,(MATCH('4.2 ACE EFF WOL'!X$4,'7. PGE_Efficacité'!$A$4:$AO$4,0)+62),0)</f>
        <v>0</v>
      </c>
      <c r="Y50" s="139">
        <f>VLOOKUP($E50,'7. PGE_Efficacité'!$A$6:$CY$266,(MATCH('4.2 ACE EFF WOL'!Y$4,'7. PGE_Efficacité'!$A$4:$AO$4,0)+62),0)</f>
        <v>0</v>
      </c>
      <c r="Z50" s="139">
        <f>VLOOKUP($E50,'7. PGE_Efficacité'!$A$6:$CY$266,(MATCH('4.2 ACE EFF WOL'!Z$4,'7. PGE_Efficacité'!$A$4:$AO$4,0)+62),0)</f>
        <v>0</v>
      </c>
      <c r="AA50" s="139">
        <f>VLOOKUP($E50,'7. PGE_Efficacité'!$A$6:$CY$266,(MATCH('4.2 ACE EFF WOL'!AA$4,'7. PGE_Efficacité'!$A$4:$AO$4,0)+62),0)</f>
        <v>0</v>
      </c>
      <c r="AB50" s="139">
        <f>VLOOKUP($E50,'7. PGE_Efficacité'!$A$6:$CY$266,(MATCH('4.2 ACE EFF WOL'!AB$4,'7. PGE_Efficacité'!$A$4:$AO$4,0)+62),0)</f>
        <v>0</v>
      </c>
      <c r="AC50" s="139">
        <f>VLOOKUP($E50,'7. PGE_Efficacité'!$A$6:$CY$266,(MATCH('4.2 ACE EFF WOL'!AC$4,'7. PGE_Efficacité'!$A$4:$AO$4,0)+62),0)</f>
        <v>0</v>
      </c>
      <c r="AD50" s="139">
        <f>VLOOKUP($E50,'7. PGE_Efficacité'!$A$6:$CY$266,(MATCH('4.2 ACE EFF WOL'!AD$4,'7. PGE_Efficacité'!$A$4:$AO$4,0)+62),0)</f>
        <v>0</v>
      </c>
      <c r="AE50" s="139">
        <f>VLOOKUP($E50,'7. PGE_Efficacité'!$A$6:$CY$266,(MATCH('4.2 ACE EFF WOL'!AE$4,'7. PGE_Efficacité'!$A$4:$AO$4,0)+62),0)</f>
        <v>0</v>
      </c>
      <c r="AF50" s="139">
        <f>VLOOKUP($E50,'7. PGE_Efficacité'!$A$6:$CY$266,(MATCH('4.2 ACE EFF WOL'!AF$4,'7. PGE_Efficacité'!$A$4:$AO$4,0)+62),0)</f>
        <v>0</v>
      </c>
      <c r="AG50" s="139">
        <f>VLOOKUP($E50,'7. PGE_Efficacité'!$A$6:$CY$266,(MATCH('4.2 ACE EFF WOL'!AG$4,'7. PGE_Efficacité'!$A$4:$AO$4,0)+62),0)</f>
        <v>0</v>
      </c>
      <c r="AH50" s="139">
        <f>VLOOKUP($E50,'7. PGE_Efficacité'!$A$6:$CY$266,(MATCH('4.2 ACE EFF WOL'!AH$4,'7. PGE_Efficacité'!$A$4:$AO$4,0)+62),0)</f>
        <v>0</v>
      </c>
      <c r="AI50" s="139">
        <f>VLOOKUP($E50,'7. PGE_Efficacité'!$A$6:$CY$266,(MATCH('4.2 ACE EFF WOL'!AI$4,'7. PGE_Efficacité'!$A$4:$AO$4,0)+62),0)</f>
        <v>0</v>
      </c>
      <c r="AJ50" s="139">
        <f>VLOOKUP($E50,'7. PGE_Efficacité'!$A$6:$CY$266,(MATCH('4.2 ACE EFF WOL'!AJ$4,'7. PGE_Efficacité'!$A$4:$AO$4,0)+62),0)</f>
        <v>0</v>
      </c>
      <c r="AK50" s="139">
        <f>VLOOKUP($E50,'7. PGE_Efficacité'!$A$6:$CY$266,(MATCH('4.2 ACE EFF WOL'!AK$4,'7. PGE_Efficacité'!$A$4:$AO$4,0)+62),0)</f>
        <v>0</v>
      </c>
      <c r="AL50" s="139">
        <f>VLOOKUP($E50,'7. PGE_Efficacité'!$A$6:$CY$266,(MATCH('4.2 ACE EFF WOL'!AL$4,'7. PGE_Efficacité'!$A$4:$AO$4,0)+62),0)</f>
        <v>0</v>
      </c>
      <c r="AM50" s="139">
        <f>VLOOKUP($E50,'7. PGE_Efficacité'!$A$6:$CY$266,(MATCH('4.2 ACE EFF WOL'!AM$4,'7. PGE_Efficacité'!$A$4:$AO$4,0)+62),0)</f>
        <v>0</v>
      </c>
      <c r="AN50" s="139">
        <f>VLOOKUP($E50,'7. PGE_Efficacité'!$A$6:$CY$266,(MATCH('4.2 ACE EFF WOL'!AN$4,'7. PGE_Efficacité'!$A$4:$AO$4,0)+62),0)</f>
        <v>0</v>
      </c>
    </row>
    <row r="51" spans="1:40" hidden="1" outlineLevel="2" x14ac:dyDescent="0.25">
      <c r="A51" s="48" t="s">
        <v>1524</v>
      </c>
      <c r="B51" s="49">
        <v>5</v>
      </c>
      <c r="C51" s="48" t="s">
        <v>1530</v>
      </c>
      <c r="D51" s="199" t="s">
        <v>4</v>
      </c>
      <c r="E51" s="200" t="s">
        <v>812</v>
      </c>
      <c r="F51" s="200" t="s">
        <v>1443</v>
      </c>
      <c r="G51" s="201" t="s">
        <v>1521</v>
      </c>
      <c r="H51" s="200" t="s">
        <v>416</v>
      </c>
      <c r="I51" s="202">
        <v>0</v>
      </c>
      <c r="J51" s="139">
        <f>VLOOKUP($E51,'7. PGE_Efficacité'!$A$6:$CY$266,(MATCH('4.2 ACE EFF WOL'!J$4,'7. PGE_Efficacité'!$A$4:$AO$4,0)+62),0)</f>
        <v>0</v>
      </c>
      <c r="K51" s="139">
        <f>VLOOKUP($E51,'7. PGE_Efficacité'!$A$6:$CY$266,(MATCH('4.2 ACE EFF WOL'!K$4,'7. PGE_Efficacité'!$A$4:$AO$4,0)+62),0)</f>
        <v>0</v>
      </c>
      <c r="L51" s="139">
        <f>VLOOKUP($E51,'7. PGE_Efficacité'!$A$6:$CY$266,(MATCH('4.2 ACE EFF WOL'!L$4,'7. PGE_Efficacité'!$A$4:$AO$4,0)+62),0)</f>
        <v>0</v>
      </c>
      <c r="M51" s="139">
        <f>VLOOKUP($E51,'7. PGE_Efficacité'!$A$6:$CY$266,(MATCH('4.2 ACE EFF WOL'!M$4,'7. PGE_Efficacité'!$A$4:$AO$4,0)+62),0)</f>
        <v>0</v>
      </c>
      <c r="N51" s="139">
        <f>VLOOKUP($E51,'7. PGE_Efficacité'!$A$6:$CY$266,(MATCH('4.2 ACE EFF WOL'!N$4,'7. PGE_Efficacité'!$A$4:$AO$4,0)+62),0)</f>
        <v>0</v>
      </c>
      <c r="O51" s="139">
        <f>VLOOKUP($E51,'7. PGE_Efficacité'!$A$6:$CY$266,78,0)</f>
        <v>0</v>
      </c>
      <c r="P51" s="139">
        <f>VLOOKUP($E51,'7. PGE_Efficacité'!$A$6:$CY$266,(MATCH('4.2 ACE EFF WOL'!P$4,'7. PGE_Efficacité'!$A$4:$AO$4,0)+62),0)</f>
        <v>0</v>
      </c>
      <c r="Q51" s="139">
        <f>VLOOKUP($E51,'7. PGE_Efficacité'!$A$6:$CY$266,(MATCH('4.2 ACE EFF WOL'!Q$4,'7. PGE_Efficacité'!$A$4:$AO$4,0)+62),0)</f>
        <v>0</v>
      </c>
      <c r="R51" s="139">
        <f>VLOOKUP($E51,'7. PGE_Efficacité'!$A$6:$CY$266,(MATCH('4.2 ACE EFF WOL'!R$4,'7. PGE_Efficacité'!$A$4:$AO$4,0)+62),0)</f>
        <v>0</v>
      </c>
      <c r="S51" s="139">
        <f>VLOOKUP($E51,'7. PGE_Efficacité'!$A$6:$CY$266,(MATCH('4.2 ACE EFF WOL'!S$4,'7. PGE_Efficacité'!$A$4:$AO$4,0)+62),0)</f>
        <v>0</v>
      </c>
      <c r="T51" s="139">
        <f>VLOOKUP($E51,'7. PGE_Efficacité'!$A$6:$CY$266,(MATCH('4.2 ACE EFF WOL'!T$4,'7. PGE_Efficacité'!$A$4:$AO$4,0)+62),0)</f>
        <v>0</v>
      </c>
      <c r="U51" s="139">
        <f>VLOOKUP($E51,'7. PGE_Efficacité'!$A$6:$CY$266,(MATCH('4.2 ACE EFF WOL'!U$4,'7. PGE_Efficacité'!$A$4:$AO$4,0)+62),0)</f>
        <v>0</v>
      </c>
      <c r="V51" s="139">
        <f>VLOOKUP($E51,'7. PGE_Efficacité'!$A$6:$CY$266,(MATCH('4.2 ACE EFF WOL'!V$4,'7. PGE_Efficacité'!$A$4:$AO$4,0)+62),0)</f>
        <v>0</v>
      </c>
      <c r="W51" s="139">
        <f>VLOOKUP($E51,'7. PGE_Efficacité'!$A$6:$CY$266,(MATCH('4.2 ACE EFF WOL'!W$4,'7. PGE_Efficacité'!$A$4:$AO$4,0)+62),0)</f>
        <v>0</v>
      </c>
      <c r="X51" s="139">
        <f>VLOOKUP($E51,'7. PGE_Efficacité'!$A$6:$CY$266,(MATCH('4.2 ACE EFF WOL'!X$4,'7. PGE_Efficacité'!$A$4:$AO$4,0)+62),0)</f>
        <v>0</v>
      </c>
      <c r="Y51" s="139">
        <f>VLOOKUP($E51,'7. PGE_Efficacité'!$A$6:$CY$266,(MATCH('4.2 ACE EFF WOL'!Y$4,'7. PGE_Efficacité'!$A$4:$AO$4,0)+62),0)</f>
        <v>0</v>
      </c>
      <c r="Z51" s="139">
        <f>VLOOKUP($E51,'7. PGE_Efficacité'!$A$6:$CY$266,(MATCH('4.2 ACE EFF WOL'!Z$4,'7. PGE_Efficacité'!$A$4:$AO$4,0)+62),0)</f>
        <v>0</v>
      </c>
      <c r="AA51" s="139">
        <f>VLOOKUP($E51,'7. PGE_Efficacité'!$A$6:$CY$266,(MATCH('4.2 ACE EFF WOL'!AA$4,'7. PGE_Efficacité'!$A$4:$AO$4,0)+62),0)</f>
        <v>0</v>
      </c>
      <c r="AB51" s="139">
        <f>VLOOKUP($E51,'7. PGE_Efficacité'!$A$6:$CY$266,(MATCH('4.2 ACE EFF WOL'!AB$4,'7. PGE_Efficacité'!$A$4:$AO$4,0)+62),0)</f>
        <v>0</v>
      </c>
      <c r="AC51" s="139">
        <f>VLOOKUP($E51,'7. PGE_Efficacité'!$A$6:$CY$266,(MATCH('4.2 ACE EFF WOL'!AC$4,'7. PGE_Efficacité'!$A$4:$AO$4,0)+62),0)</f>
        <v>0</v>
      </c>
      <c r="AD51" s="139">
        <f>VLOOKUP($E51,'7. PGE_Efficacité'!$A$6:$CY$266,(MATCH('4.2 ACE EFF WOL'!AD$4,'7. PGE_Efficacité'!$A$4:$AO$4,0)+62),0)</f>
        <v>0</v>
      </c>
      <c r="AE51" s="139">
        <f>VLOOKUP($E51,'7. PGE_Efficacité'!$A$6:$CY$266,(MATCH('4.2 ACE EFF WOL'!AE$4,'7. PGE_Efficacité'!$A$4:$AO$4,0)+62),0)</f>
        <v>0</v>
      </c>
      <c r="AF51" s="139">
        <f>VLOOKUP($E51,'7. PGE_Efficacité'!$A$6:$CY$266,(MATCH('4.2 ACE EFF WOL'!AF$4,'7. PGE_Efficacité'!$A$4:$AO$4,0)+62),0)</f>
        <v>0</v>
      </c>
      <c r="AG51" s="139">
        <f>VLOOKUP($E51,'7. PGE_Efficacité'!$A$6:$CY$266,(MATCH('4.2 ACE EFF WOL'!AG$4,'7. PGE_Efficacité'!$A$4:$AO$4,0)+62),0)</f>
        <v>0</v>
      </c>
      <c r="AH51" s="139">
        <f>VLOOKUP($E51,'7. PGE_Efficacité'!$A$6:$CY$266,(MATCH('4.2 ACE EFF WOL'!AH$4,'7. PGE_Efficacité'!$A$4:$AO$4,0)+62),0)</f>
        <v>0</v>
      </c>
      <c r="AI51" s="139">
        <f>VLOOKUP($E51,'7. PGE_Efficacité'!$A$6:$CY$266,(MATCH('4.2 ACE EFF WOL'!AI$4,'7. PGE_Efficacité'!$A$4:$AO$4,0)+62),0)</f>
        <v>0</v>
      </c>
      <c r="AJ51" s="139">
        <f>VLOOKUP($E51,'7. PGE_Efficacité'!$A$6:$CY$266,(MATCH('4.2 ACE EFF WOL'!AJ$4,'7. PGE_Efficacité'!$A$4:$AO$4,0)+62),0)</f>
        <v>0</v>
      </c>
      <c r="AK51" s="139">
        <f>VLOOKUP($E51,'7. PGE_Efficacité'!$A$6:$CY$266,(MATCH('4.2 ACE EFF WOL'!AK$4,'7. PGE_Efficacité'!$A$4:$AO$4,0)+62),0)</f>
        <v>0</v>
      </c>
      <c r="AL51" s="139">
        <f>VLOOKUP($E51,'7. PGE_Efficacité'!$A$6:$CY$266,(MATCH('4.2 ACE EFF WOL'!AL$4,'7. PGE_Efficacité'!$A$4:$AO$4,0)+62),0)</f>
        <v>0</v>
      </c>
      <c r="AM51" s="139">
        <f>VLOOKUP($E51,'7. PGE_Efficacité'!$A$6:$CY$266,(MATCH('4.2 ACE EFF WOL'!AM$4,'7. PGE_Efficacité'!$A$4:$AO$4,0)+62),0)</f>
        <v>0</v>
      </c>
      <c r="AN51" s="139">
        <f>VLOOKUP($E51,'7. PGE_Efficacité'!$A$6:$CY$266,(MATCH('4.2 ACE EFF WOL'!AN$4,'7. PGE_Efficacité'!$A$4:$AO$4,0)+62),0)</f>
        <v>0</v>
      </c>
    </row>
    <row r="52" spans="1:40" hidden="1" outlineLevel="2" x14ac:dyDescent="0.25">
      <c r="A52" s="48" t="s">
        <v>1524</v>
      </c>
      <c r="B52" s="49">
        <v>5</v>
      </c>
      <c r="C52" s="48" t="s">
        <v>1511</v>
      </c>
      <c r="D52" s="199" t="s">
        <v>4</v>
      </c>
      <c r="E52" s="200" t="s">
        <v>813</v>
      </c>
      <c r="F52" s="200" t="s">
        <v>1444</v>
      </c>
      <c r="G52" s="201" t="s">
        <v>1521</v>
      </c>
      <c r="H52" s="200" t="s">
        <v>416</v>
      </c>
      <c r="I52" s="202">
        <v>0</v>
      </c>
      <c r="J52" s="139">
        <f>VLOOKUP($E52,'7. PGE_Efficacité'!$A$6:$CY$266,(MATCH('4.2 ACE EFF WOL'!J$4,'7. PGE_Efficacité'!$A$4:$AO$4,0)+62),0)</f>
        <v>0</v>
      </c>
      <c r="K52" s="139">
        <f>VLOOKUP($E52,'7. PGE_Efficacité'!$A$6:$CY$266,(MATCH('4.2 ACE EFF WOL'!K$4,'7. PGE_Efficacité'!$A$4:$AO$4,0)+62),0)</f>
        <v>0</v>
      </c>
      <c r="L52" s="139">
        <f>VLOOKUP($E52,'7. PGE_Efficacité'!$A$6:$CY$266,(MATCH('4.2 ACE EFF WOL'!L$4,'7. PGE_Efficacité'!$A$4:$AO$4,0)+62),0)</f>
        <v>0</v>
      </c>
      <c r="M52" s="139">
        <f>VLOOKUP($E52,'7. PGE_Efficacité'!$A$6:$CY$266,(MATCH('4.2 ACE EFF WOL'!M$4,'7. PGE_Efficacité'!$A$4:$AO$4,0)+62),0)</f>
        <v>0</v>
      </c>
      <c r="N52" s="139">
        <f>VLOOKUP($E52,'7. PGE_Efficacité'!$A$6:$CY$266,(MATCH('4.2 ACE EFF WOL'!N$4,'7. PGE_Efficacité'!$A$4:$AO$4,0)+62),0)</f>
        <v>0</v>
      </c>
      <c r="O52" s="139">
        <f>VLOOKUP($E52,'7. PGE_Efficacité'!$A$6:$CY$266,78,0)</f>
        <v>0</v>
      </c>
      <c r="P52" s="139">
        <f>VLOOKUP($E52,'7. PGE_Efficacité'!$A$6:$CY$266,(MATCH('4.2 ACE EFF WOL'!P$4,'7. PGE_Efficacité'!$A$4:$AO$4,0)+62),0)</f>
        <v>0</v>
      </c>
      <c r="Q52" s="139">
        <f>VLOOKUP($E52,'7. PGE_Efficacité'!$A$6:$CY$266,(MATCH('4.2 ACE EFF WOL'!Q$4,'7. PGE_Efficacité'!$A$4:$AO$4,0)+62),0)</f>
        <v>0</v>
      </c>
      <c r="R52" s="139">
        <f>VLOOKUP($E52,'7. PGE_Efficacité'!$A$6:$CY$266,(MATCH('4.2 ACE EFF WOL'!R$4,'7. PGE_Efficacité'!$A$4:$AO$4,0)+62),0)</f>
        <v>0</v>
      </c>
      <c r="S52" s="139">
        <f>VLOOKUP($E52,'7. PGE_Efficacité'!$A$6:$CY$266,(MATCH('4.2 ACE EFF WOL'!S$4,'7. PGE_Efficacité'!$A$4:$AO$4,0)+62),0)</f>
        <v>0</v>
      </c>
      <c r="T52" s="139">
        <f>VLOOKUP($E52,'7. PGE_Efficacité'!$A$6:$CY$266,(MATCH('4.2 ACE EFF WOL'!T$4,'7. PGE_Efficacité'!$A$4:$AO$4,0)+62),0)</f>
        <v>0</v>
      </c>
      <c r="U52" s="139">
        <f>VLOOKUP($E52,'7. PGE_Efficacité'!$A$6:$CY$266,(MATCH('4.2 ACE EFF WOL'!U$4,'7. PGE_Efficacité'!$A$4:$AO$4,0)+62),0)</f>
        <v>0</v>
      </c>
      <c r="V52" s="139">
        <f>VLOOKUP($E52,'7. PGE_Efficacité'!$A$6:$CY$266,(MATCH('4.2 ACE EFF WOL'!V$4,'7. PGE_Efficacité'!$A$4:$AO$4,0)+62),0)</f>
        <v>0</v>
      </c>
      <c r="W52" s="139">
        <f>VLOOKUP($E52,'7. PGE_Efficacité'!$A$6:$CY$266,(MATCH('4.2 ACE EFF WOL'!W$4,'7. PGE_Efficacité'!$A$4:$AO$4,0)+62),0)</f>
        <v>0</v>
      </c>
      <c r="X52" s="139">
        <f>VLOOKUP($E52,'7. PGE_Efficacité'!$A$6:$CY$266,(MATCH('4.2 ACE EFF WOL'!X$4,'7. PGE_Efficacité'!$A$4:$AO$4,0)+62),0)</f>
        <v>0</v>
      </c>
      <c r="Y52" s="139">
        <f>VLOOKUP($E52,'7. PGE_Efficacité'!$A$6:$CY$266,(MATCH('4.2 ACE EFF WOL'!Y$4,'7. PGE_Efficacité'!$A$4:$AO$4,0)+62),0)</f>
        <v>0</v>
      </c>
      <c r="Z52" s="139">
        <f>VLOOKUP($E52,'7. PGE_Efficacité'!$A$6:$CY$266,(MATCH('4.2 ACE EFF WOL'!Z$4,'7. PGE_Efficacité'!$A$4:$AO$4,0)+62),0)</f>
        <v>0</v>
      </c>
      <c r="AA52" s="139">
        <f>VLOOKUP($E52,'7. PGE_Efficacité'!$A$6:$CY$266,(MATCH('4.2 ACE EFF WOL'!AA$4,'7. PGE_Efficacité'!$A$4:$AO$4,0)+62),0)</f>
        <v>0</v>
      </c>
      <c r="AB52" s="139">
        <f>VLOOKUP($E52,'7. PGE_Efficacité'!$A$6:$CY$266,(MATCH('4.2 ACE EFF WOL'!AB$4,'7. PGE_Efficacité'!$A$4:$AO$4,0)+62),0)</f>
        <v>0</v>
      </c>
      <c r="AC52" s="139">
        <f>VLOOKUP($E52,'7. PGE_Efficacité'!$A$6:$CY$266,(MATCH('4.2 ACE EFF WOL'!AC$4,'7. PGE_Efficacité'!$A$4:$AO$4,0)+62),0)</f>
        <v>0</v>
      </c>
      <c r="AD52" s="139">
        <f>VLOOKUP($E52,'7. PGE_Efficacité'!$A$6:$CY$266,(MATCH('4.2 ACE EFF WOL'!AD$4,'7. PGE_Efficacité'!$A$4:$AO$4,0)+62),0)</f>
        <v>0</v>
      </c>
      <c r="AE52" s="139">
        <f>VLOOKUP($E52,'7. PGE_Efficacité'!$A$6:$CY$266,(MATCH('4.2 ACE EFF WOL'!AE$4,'7. PGE_Efficacité'!$A$4:$AO$4,0)+62),0)</f>
        <v>0</v>
      </c>
      <c r="AF52" s="139">
        <f>VLOOKUP($E52,'7. PGE_Efficacité'!$A$6:$CY$266,(MATCH('4.2 ACE EFF WOL'!AF$4,'7. PGE_Efficacité'!$A$4:$AO$4,0)+62),0)</f>
        <v>0</v>
      </c>
      <c r="AG52" s="139">
        <f>VLOOKUP($E52,'7. PGE_Efficacité'!$A$6:$CY$266,(MATCH('4.2 ACE EFF WOL'!AG$4,'7. PGE_Efficacité'!$A$4:$AO$4,0)+62),0)</f>
        <v>0</v>
      </c>
      <c r="AH52" s="139">
        <f>VLOOKUP($E52,'7. PGE_Efficacité'!$A$6:$CY$266,(MATCH('4.2 ACE EFF WOL'!AH$4,'7. PGE_Efficacité'!$A$4:$AO$4,0)+62),0)</f>
        <v>0</v>
      </c>
      <c r="AI52" s="139">
        <f>VLOOKUP($E52,'7. PGE_Efficacité'!$A$6:$CY$266,(MATCH('4.2 ACE EFF WOL'!AI$4,'7. PGE_Efficacité'!$A$4:$AO$4,0)+62),0)</f>
        <v>0</v>
      </c>
      <c r="AJ52" s="139">
        <f>VLOOKUP($E52,'7. PGE_Efficacité'!$A$6:$CY$266,(MATCH('4.2 ACE EFF WOL'!AJ$4,'7. PGE_Efficacité'!$A$4:$AO$4,0)+62),0)</f>
        <v>0</v>
      </c>
      <c r="AK52" s="139">
        <f>VLOOKUP($E52,'7. PGE_Efficacité'!$A$6:$CY$266,(MATCH('4.2 ACE EFF WOL'!AK$4,'7. PGE_Efficacité'!$A$4:$AO$4,0)+62),0)</f>
        <v>0</v>
      </c>
      <c r="AL52" s="139">
        <f>VLOOKUP($E52,'7. PGE_Efficacité'!$A$6:$CY$266,(MATCH('4.2 ACE EFF WOL'!AL$4,'7. PGE_Efficacité'!$A$4:$AO$4,0)+62),0)</f>
        <v>0</v>
      </c>
      <c r="AM52" s="139">
        <f>VLOOKUP($E52,'7. PGE_Efficacité'!$A$6:$CY$266,(MATCH('4.2 ACE EFF WOL'!AM$4,'7. PGE_Efficacité'!$A$4:$AO$4,0)+62),0)</f>
        <v>0</v>
      </c>
      <c r="AN52" s="139">
        <f>VLOOKUP($E52,'7. PGE_Efficacité'!$A$6:$CY$266,(MATCH('4.2 ACE EFF WOL'!AN$4,'7. PGE_Efficacité'!$A$4:$AO$4,0)+62),0)</f>
        <v>0</v>
      </c>
    </row>
    <row r="53" spans="1:40" ht="26.25" outlineLevel="1" collapsed="1" x14ac:dyDescent="0.25">
      <c r="A53" s="48"/>
      <c r="B53" s="49"/>
      <c r="C53" s="48"/>
      <c r="D53" s="372" t="s">
        <v>5</v>
      </c>
      <c r="E53" s="195"/>
      <c r="F53" s="196" t="str">
        <f>VLOOKUP(D53,'1. Mesures'!$A$2:$B$116,2,0)</f>
        <v xml:space="preserve">Assurer le raccordement effectif des points de rejet d’eaux usées domestiques et non domestiques vers le réseau d’égouttage </v>
      </c>
      <c r="G53" s="197"/>
      <c r="H53" s="195"/>
      <c r="I53" s="198">
        <f>SUBTOTAL(9,I54:I58)</f>
        <v>0</v>
      </c>
      <c r="J53" s="203">
        <f>VLOOKUP($D53,'7. PGE_Efficacité'!$A$6:$CY$266,(MATCH('4.2 ACE EFF WOL'!J$4,'7. PGE_Efficacité'!$A$4:$AO$4,0)+62),0)</f>
        <v>0</v>
      </c>
      <c r="K53" s="203">
        <f>VLOOKUP($D53,'7. PGE_Efficacité'!$A$6:$CY$266,(MATCH('4.2 ACE EFF WOL'!K$4,'7. PGE_Efficacité'!$A$4:$AO$4,0)+62),0)</f>
        <v>0</v>
      </c>
      <c r="L53" s="203">
        <f>VLOOKUP($D53,'7. PGE_Efficacité'!$A$6:$CY$266,(MATCH('4.2 ACE EFF WOL'!L$4,'7. PGE_Efficacité'!$A$4:$AO$4,0)+62),0)</f>
        <v>0</v>
      </c>
      <c r="M53" s="203" t="str">
        <f>VLOOKUP($D53,'7. PGE_Efficacité'!$A$6:$CY$266,(MATCH('4.2 ACE EFF WOL'!M$4,'7. PGE_Efficacité'!$A$4:$AO$4,0)+62),0)</f>
        <v>+</v>
      </c>
      <c r="N53" s="203" t="str">
        <f>VLOOKUP($D53,'7. PGE_Efficacité'!$A$6:$CY$266,(MATCH('4.2 ACE EFF WOL'!N$4,'7. PGE_Efficacité'!$A$4:$AO$4,0)+62),0)</f>
        <v>+</v>
      </c>
      <c r="O53" s="203" t="str">
        <f>VLOOKUP($D53,'7. PGE_Efficacité'!$A$6:$CY$266,78,0)</f>
        <v>+</v>
      </c>
      <c r="P53" s="203">
        <f>VLOOKUP($D53,'7. PGE_Efficacité'!$A$6:$CY$266,(MATCH('4.2 ACE EFF WOL'!P$4,'7. PGE_Efficacité'!$A$4:$AO$4,0)+62),0)</f>
        <v>0</v>
      </c>
      <c r="Q53" s="203">
        <f>VLOOKUP($D53,'7. PGE_Efficacité'!$A$6:$CY$266,(MATCH('4.2 ACE EFF WOL'!Q$4,'7. PGE_Efficacité'!$A$4:$AO$4,0)+62),0)</f>
        <v>0</v>
      </c>
      <c r="R53" s="203">
        <f>VLOOKUP($D53,'7. PGE_Efficacité'!$A$6:$CY$266,(MATCH('4.2 ACE EFF WOL'!R$4,'7. PGE_Efficacité'!$A$4:$AO$4,0)+62),0)</f>
        <v>0</v>
      </c>
      <c r="S53" s="203">
        <f>VLOOKUP($D53,'7. PGE_Efficacité'!$A$6:$CY$266,(MATCH('4.2 ACE EFF WOL'!S$4,'7. PGE_Efficacité'!$A$4:$AO$4,0)+62),0)</f>
        <v>0</v>
      </c>
      <c r="T53" s="203">
        <f>VLOOKUP($D53,'7. PGE_Efficacité'!$A$6:$CY$266,(MATCH('4.2 ACE EFF WOL'!T$4,'7. PGE_Efficacité'!$A$4:$AO$4,0)+62),0)</f>
        <v>0</v>
      </c>
      <c r="U53" s="203">
        <f>VLOOKUP($D53,'7. PGE_Efficacité'!$A$6:$CY$266,(MATCH('4.2 ACE EFF WOL'!U$4,'7. PGE_Efficacité'!$A$4:$AO$4,0)+62),0)</f>
        <v>0</v>
      </c>
      <c r="V53" s="203" t="str">
        <f>VLOOKUP($D53,'7. PGE_Efficacité'!$A$6:$CY$266,(MATCH('4.2 ACE EFF WOL'!V$4,'7. PGE_Efficacité'!$A$4:$AO$4,0)+62),0)</f>
        <v>+</v>
      </c>
      <c r="W53" s="203" t="str">
        <f>VLOOKUP($D53,'7. PGE_Efficacité'!$A$6:$CY$266,(MATCH('4.2 ACE EFF WOL'!W$4,'7. PGE_Efficacité'!$A$4:$AO$4,0)+62),0)</f>
        <v>+</v>
      </c>
      <c r="X53" s="203">
        <f>VLOOKUP($D53,'7. PGE_Efficacité'!$A$6:$CY$266,(MATCH('4.2 ACE EFF WOL'!X$4,'7. PGE_Efficacité'!$A$4:$AO$4,0)+62),0)</f>
        <v>0</v>
      </c>
      <c r="Y53" s="203">
        <f>VLOOKUP($D53,'7. PGE_Efficacité'!$A$6:$CY$266,(MATCH('4.2 ACE EFF WOL'!Y$4,'7. PGE_Efficacité'!$A$4:$AO$4,0)+62),0)</f>
        <v>0</v>
      </c>
      <c r="Z53" s="203">
        <f>VLOOKUP($D53,'7. PGE_Efficacité'!$A$6:$CY$266,(MATCH('4.2 ACE EFF WOL'!Z$4,'7. PGE_Efficacité'!$A$4:$AO$4,0)+62),0)</f>
        <v>0</v>
      </c>
      <c r="AA53" s="203">
        <f>VLOOKUP($D53,'7. PGE_Efficacité'!$A$6:$CY$266,(MATCH('4.2 ACE EFF WOL'!AA$4,'7. PGE_Efficacité'!$A$4:$AO$4,0)+62),0)</f>
        <v>0</v>
      </c>
      <c r="AB53" s="203">
        <f>VLOOKUP($D53,'7. PGE_Efficacité'!$A$6:$CY$266,(MATCH('4.2 ACE EFF WOL'!AB$4,'7. PGE_Efficacité'!$A$4:$AO$4,0)+62),0)</f>
        <v>0</v>
      </c>
      <c r="AC53" s="203">
        <f>VLOOKUP($D53,'7. PGE_Efficacité'!$A$6:$CY$266,(MATCH('4.2 ACE EFF WOL'!AC$4,'7. PGE_Efficacité'!$A$4:$AO$4,0)+62),0)</f>
        <v>0</v>
      </c>
      <c r="AD53" s="203">
        <f>VLOOKUP($D53,'7. PGE_Efficacité'!$A$6:$CY$266,(MATCH('4.2 ACE EFF WOL'!AD$4,'7. PGE_Efficacité'!$A$4:$AO$4,0)+62),0)</f>
        <v>0</v>
      </c>
      <c r="AE53" s="203" t="str">
        <f>VLOOKUP($D53,'7. PGE_Efficacité'!$A$6:$CY$266,(MATCH('4.2 ACE EFF WOL'!AE$4,'7. PGE_Efficacité'!$A$4:$AO$4,0)+62),0)</f>
        <v>+</v>
      </c>
      <c r="AF53" s="203">
        <f>VLOOKUP($D53,'7. PGE_Efficacité'!$A$6:$CY$266,(MATCH('4.2 ACE EFF WOL'!AF$4,'7. PGE_Efficacité'!$A$4:$AO$4,0)+62),0)</f>
        <v>0</v>
      </c>
      <c r="AG53" s="203">
        <f>VLOOKUP($D53,'7. PGE_Efficacité'!$A$6:$CY$266,(MATCH('4.2 ACE EFF WOL'!AG$4,'7. PGE_Efficacité'!$A$4:$AO$4,0)+62),0)</f>
        <v>0</v>
      </c>
      <c r="AH53" s="203">
        <f>VLOOKUP($D53,'7. PGE_Efficacité'!$A$6:$CY$266,(MATCH('4.2 ACE EFF WOL'!AH$4,'7. PGE_Efficacité'!$A$4:$AO$4,0)+62),0)</f>
        <v>0</v>
      </c>
      <c r="AI53" s="203">
        <f>VLOOKUP($D53,'7. PGE_Efficacité'!$A$6:$CY$266,(MATCH('4.2 ACE EFF WOL'!AI$4,'7. PGE_Efficacité'!$A$4:$AO$4,0)+62),0)</f>
        <v>0</v>
      </c>
      <c r="AJ53" s="203">
        <f>VLOOKUP($D53,'7. PGE_Efficacité'!$A$6:$CY$266,(MATCH('4.2 ACE EFF WOL'!AJ$4,'7. PGE_Efficacité'!$A$4:$AO$4,0)+62),0)</f>
        <v>0</v>
      </c>
      <c r="AK53" s="203" t="str">
        <f>VLOOKUP($D53,'7. PGE_Efficacité'!$A$6:$CY$266,(MATCH('4.2 ACE EFF WOL'!AK$4,'7. PGE_Efficacité'!$A$4:$AO$4,0)+62),0)</f>
        <v>+</v>
      </c>
      <c r="AL53" s="203">
        <f>VLOOKUP($D53,'7. PGE_Efficacité'!$A$6:$CY$266,(MATCH('4.2 ACE EFF WOL'!AL$4,'7. PGE_Efficacité'!$A$4:$AO$4,0)+62),0)</f>
        <v>0</v>
      </c>
      <c r="AM53" s="203" t="str">
        <f>VLOOKUP($D53,'7. PGE_Efficacité'!$A$6:$CY$266,(MATCH('4.2 ACE EFF WOL'!AM$4,'7. PGE_Efficacité'!$A$4:$AO$4,0)+62),0)</f>
        <v>+</v>
      </c>
      <c r="AN53" s="203" t="str">
        <f>VLOOKUP($D53,'7. PGE_Efficacité'!$A$6:$CY$266,(MATCH('4.2 ACE EFF WOL'!AN$4,'7. PGE_Efficacité'!$A$4:$AO$4,0)+62),0)</f>
        <v>+</v>
      </c>
    </row>
    <row r="54" spans="1:40" hidden="1" outlineLevel="2" x14ac:dyDescent="0.25">
      <c r="A54" s="48"/>
      <c r="B54" s="49"/>
      <c r="C54" s="48"/>
      <c r="D54" s="199" t="s">
        <v>5</v>
      </c>
      <c r="E54" s="200" t="s">
        <v>821</v>
      </c>
      <c r="F54" s="200" t="s">
        <v>1451</v>
      </c>
      <c r="G54" s="201" t="s">
        <v>1522</v>
      </c>
      <c r="H54" s="200" t="s">
        <v>1290</v>
      </c>
      <c r="I54" s="202">
        <v>0</v>
      </c>
      <c r="J54" s="139">
        <f>VLOOKUP($E54,'7. PGE_Efficacité'!$A$6:$CY$266,(MATCH('4.2 ACE EFF WOL'!J$4,'7. PGE_Efficacité'!$A$4:$AO$4,0)+62),0)</f>
        <v>0</v>
      </c>
      <c r="K54" s="139">
        <f>VLOOKUP($E54,'7. PGE_Efficacité'!$A$6:$CY$266,(MATCH('4.2 ACE EFF WOL'!K$4,'7. PGE_Efficacité'!$A$4:$AO$4,0)+62),0)</f>
        <v>0</v>
      </c>
      <c r="L54" s="139">
        <f>VLOOKUP($E54,'7. PGE_Efficacité'!$A$6:$CY$266,(MATCH('4.2 ACE EFF WOL'!L$4,'7. PGE_Efficacité'!$A$4:$AO$4,0)+62),0)</f>
        <v>0</v>
      </c>
      <c r="M54" s="139">
        <f>VLOOKUP($E54,'7. PGE_Efficacité'!$A$6:$CY$266,(MATCH('4.2 ACE EFF WOL'!M$4,'7. PGE_Efficacité'!$A$4:$AO$4,0)+62),0)</f>
        <v>0</v>
      </c>
      <c r="N54" s="139">
        <f>VLOOKUP($E54,'7. PGE_Efficacité'!$A$6:$CY$266,(MATCH('4.2 ACE EFF WOL'!N$4,'7. PGE_Efficacité'!$A$4:$AO$4,0)+62),0)</f>
        <v>0</v>
      </c>
      <c r="O54" s="139">
        <f>VLOOKUP($E54,'7. PGE_Efficacité'!$A$6:$CY$266,78,0)</f>
        <v>0</v>
      </c>
      <c r="P54" s="139">
        <f>VLOOKUP($E54,'7. PGE_Efficacité'!$A$6:$CY$266,(MATCH('4.2 ACE EFF WOL'!P$4,'7. PGE_Efficacité'!$A$4:$AO$4,0)+62),0)</f>
        <v>0</v>
      </c>
      <c r="Q54" s="139">
        <f>VLOOKUP($E54,'7. PGE_Efficacité'!$A$6:$CY$266,(MATCH('4.2 ACE EFF WOL'!Q$4,'7. PGE_Efficacité'!$A$4:$AO$4,0)+62),0)</f>
        <v>0</v>
      </c>
      <c r="R54" s="139">
        <f>VLOOKUP($E54,'7. PGE_Efficacité'!$A$6:$CY$266,(MATCH('4.2 ACE EFF WOL'!R$4,'7. PGE_Efficacité'!$A$4:$AO$4,0)+62),0)</f>
        <v>0</v>
      </c>
      <c r="S54" s="139">
        <f>VLOOKUP($E54,'7. PGE_Efficacité'!$A$6:$CY$266,(MATCH('4.2 ACE EFF WOL'!S$4,'7. PGE_Efficacité'!$A$4:$AO$4,0)+62),0)</f>
        <v>0</v>
      </c>
      <c r="T54" s="139">
        <f>VLOOKUP($E54,'7. PGE_Efficacité'!$A$6:$CY$266,(MATCH('4.2 ACE EFF WOL'!T$4,'7. PGE_Efficacité'!$A$4:$AO$4,0)+62),0)</f>
        <v>0</v>
      </c>
      <c r="U54" s="139">
        <f>VLOOKUP($E54,'7. PGE_Efficacité'!$A$6:$CY$266,(MATCH('4.2 ACE EFF WOL'!U$4,'7. PGE_Efficacité'!$A$4:$AO$4,0)+62),0)</f>
        <v>0</v>
      </c>
      <c r="V54" s="139">
        <f>VLOOKUP($E54,'7. PGE_Efficacité'!$A$6:$CY$266,(MATCH('4.2 ACE EFF WOL'!V$4,'7. PGE_Efficacité'!$A$4:$AO$4,0)+62),0)</f>
        <v>0</v>
      </c>
      <c r="W54" s="139">
        <f>VLOOKUP($E54,'7. PGE_Efficacité'!$A$6:$CY$266,(MATCH('4.2 ACE EFF WOL'!W$4,'7. PGE_Efficacité'!$A$4:$AO$4,0)+62),0)</f>
        <v>0</v>
      </c>
      <c r="X54" s="139">
        <f>VLOOKUP($E54,'7. PGE_Efficacité'!$A$6:$CY$266,(MATCH('4.2 ACE EFF WOL'!X$4,'7. PGE_Efficacité'!$A$4:$AO$4,0)+62),0)</f>
        <v>0</v>
      </c>
      <c r="Y54" s="139">
        <f>VLOOKUP($E54,'7. PGE_Efficacité'!$A$6:$CY$266,(MATCH('4.2 ACE EFF WOL'!Y$4,'7. PGE_Efficacité'!$A$4:$AO$4,0)+62),0)</f>
        <v>0</v>
      </c>
      <c r="Z54" s="139">
        <f>VLOOKUP($E54,'7. PGE_Efficacité'!$A$6:$CY$266,(MATCH('4.2 ACE EFF WOL'!Z$4,'7. PGE_Efficacité'!$A$4:$AO$4,0)+62),0)</f>
        <v>0</v>
      </c>
      <c r="AA54" s="139">
        <f>VLOOKUP($E54,'7. PGE_Efficacité'!$A$6:$CY$266,(MATCH('4.2 ACE EFF WOL'!AA$4,'7. PGE_Efficacité'!$A$4:$AO$4,0)+62),0)</f>
        <v>0</v>
      </c>
      <c r="AB54" s="139">
        <f>VLOOKUP($E54,'7. PGE_Efficacité'!$A$6:$CY$266,(MATCH('4.2 ACE EFF WOL'!AB$4,'7. PGE_Efficacité'!$A$4:$AO$4,0)+62),0)</f>
        <v>0</v>
      </c>
      <c r="AC54" s="139">
        <f>VLOOKUP($E54,'7. PGE_Efficacité'!$A$6:$CY$266,(MATCH('4.2 ACE EFF WOL'!AC$4,'7. PGE_Efficacité'!$A$4:$AO$4,0)+62),0)</f>
        <v>0</v>
      </c>
      <c r="AD54" s="139">
        <f>VLOOKUP($E54,'7. PGE_Efficacité'!$A$6:$CY$266,(MATCH('4.2 ACE EFF WOL'!AD$4,'7. PGE_Efficacité'!$A$4:$AO$4,0)+62),0)</f>
        <v>0</v>
      </c>
      <c r="AE54" s="139">
        <f>VLOOKUP($E54,'7. PGE_Efficacité'!$A$6:$CY$266,(MATCH('4.2 ACE EFF WOL'!AE$4,'7. PGE_Efficacité'!$A$4:$AO$4,0)+62),0)</f>
        <v>0</v>
      </c>
      <c r="AF54" s="139">
        <f>VLOOKUP($E54,'7. PGE_Efficacité'!$A$6:$CY$266,(MATCH('4.2 ACE EFF WOL'!AF$4,'7. PGE_Efficacité'!$A$4:$AO$4,0)+62),0)</f>
        <v>0</v>
      </c>
      <c r="AG54" s="139">
        <f>VLOOKUP($E54,'7. PGE_Efficacité'!$A$6:$CY$266,(MATCH('4.2 ACE EFF WOL'!AG$4,'7. PGE_Efficacité'!$A$4:$AO$4,0)+62),0)</f>
        <v>0</v>
      </c>
      <c r="AH54" s="139">
        <f>VLOOKUP($E54,'7. PGE_Efficacité'!$A$6:$CY$266,(MATCH('4.2 ACE EFF WOL'!AH$4,'7. PGE_Efficacité'!$A$4:$AO$4,0)+62),0)</f>
        <v>0</v>
      </c>
      <c r="AI54" s="139">
        <f>VLOOKUP($E54,'7. PGE_Efficacité'!$A$6:$CY$266,(MATCH('4.2 ACE EFF WOL'!AI$4,'7. PGE_Efficacité'!$A$4:$AO$4,0)+62),0)</f>
        <v>0</v>
      </c>
      <c r="AJ54" s="139">
        <f>VLOOKUP($E54,'7. PGE_Efficacité'!$A$6:$CY$266,(MATCH('4.2 ACE EFF WOL'!AJ$4,'7. PGE_Efficacité'!$A$4:$AO$4,0)+62),0)</f>
        <v>0</v>
      </c>
      <c r="AK54" s="139">
        <f>VLOOKUP($E54,'7. PGE_Efficacité'!$A$6:$CY$266,(MATCH('4.2 ACE EFF WOL'!AK$4,'7. PGE_Efficacité'!$A$4:$AO$4,0)+62),0)</f>
        <v>0</v>
      </c>
      <c r="AL54" s="139">
        <f>VLOOKUP($E54,'7. PGE_Efficacité'!$A$6:$CY$266,(MATCH('4.2 ACE EFF WOL'!AL$4,'7. PGE_Efficacité'!$A$4:$AO$4,0)+62),0)</f>
        <v>0</v>
      </c>
      <c r="AM54" s="139">
        <f>VLOOKUP($E54,'7. PGE_Efficacité'!$A$6:$CY$266,(MATCH('4.2 ACE EFF WOL'!AM$4,'7. PGE_Efficacité'!$A$4:$AO$4,0)+62),0)</f>
        <v>0</v>
      </c>
      <c r="AN54" s="139">
        <f>VLOOKUP($E54,'7. PGE_Efficacité'!$A$6:$CY$266,(MATCH('4.2 ACE EFF WOL'!AN$4,'7. PGE_Efficacité'!$A$4:$AO$4,0)+62),0)</f>
        <v>0</v>
      </c>
    </row>
    <row r="55" spans="1:40" hidden="1" outlineLevel="2" x14ac:dyDescent="0.25">
      <c r="A55" s="48" t="s">
        <v>1524</v>
      </c>
      <c r="B55" s="49">
        <v>6</v>
      </c>
      <c r="C55" s="48" t="s">
        <v>1524</v>
      </c>
      <c r="D55" s="199" t="s">
        <v>5</v>
      </c>
      <c r="E55" s="200" t="s">
        <v>823</v>
      </c>
      <c r="F55" s="200" t="s">
        <v>1453</v>
      </c>
      <c r="G55" s="201" t="s">
        <v>1522</v>
      </c>
      <c r="H55" s="200" t="s">
        <v>1290</v>
      </c>
      <c r="I55" s="202">
        <v>0</v>
      </c>
      <c r="J55" s="139">
        <f>VLOOKUP($E55,'7. PGE_Efficacité'!$A$6:$CY$266,(MATCH('4.2 ACE EFF WOL'!J$4,'7. PGE_Efficacité'!$A$4:$AO$4,0)+62),0)</f>
        <v>0</v>
      </c>
      <c r="K55" s="139">
        <f>VLOOKUP($E55,'7. PGE_Efficacité'!$A$6:$CY$266,(MATCH('4.2 ACE EFF WOL'!K$4,'7. PGE_Efficacité'!$A$4:$AO$4,0)+62),0)</f>
        <v>0</v>
      </c>
      <c r="L55" s="139">
        <f>VLOOKUP($E55,'7. PGE_Efficacité'!$A$6:$CY$266,(MATCH('4.2 ACE EFF WOL'!L$4,'7. PGE_Efficacité'!$A$4:$AO$4,0)+62),0)</f>
        <v>0</v>
      </c>
      <c r="M55" s="139">
        <f>VLOOKUP($E55,'7. PGE_Efficacité'!$A$6:$CY$266,(MATCH('4.2 ACE EFF WOL'!M$4,'7. PGE_Efficacité'!$A$4:$AO$4,0)+62),0)</f>
        <v>0</v>
      </c>
      <c r="N55" s="139">
        <f>VLOOKUP($E55,'7. PGE_Efficacité'!$A$6:$CY$266,(MATCH('4.2 ACE EFF WOL'!N$4,'7. PGE_Efficacité'!$A$4:$AO$4,0)+62),0)</f>
        <v>0</v>
      </c>
      <c r="O55" s="139">
        <f>VLOOKUP($E55,'7. PGE_Efficacité'!$A$6:$CY$266,78,0)</f>
        <v>0</v>
      </c>
      <c r="P55" s="139">
        <f>VLOOKUP($E55,'7. PGE_Efficacité'!$A$6:$CY$266,(MATCH('4.2 ACE EFF WOL'!P$4,'7. PGE_Efficacité'!$A$4:$AO$4,0)+62),0)</f>
        <v>0</v>
      </c>
      <c r="Q55" s="139">
        <f>VLOOKUP($E55,'7. PGE_Efficacité'!$A$6:$CY$266,(MATCH('4.2 ACE EFF WOL'!Q$4,'7. PGE_Efficacité'!$A$4:$AO$4,0)+62),0)</f>
        <v>0</v>
      </c>
      <c r="R55" s="139">
        <f>VLOOKUP($E55,'7. PGE_Efficacité'!$A$6:$CY$266,(MATCH('4.2 ACE EFF WOL'!R$4,'7. PGE_Efficacité'!$A$4:$AO$4,0)+62),0)</f>
        <v>0</v>
      </c>
      <c r="S55" s="139">
        <f>VLOOKUP($E55,'7. PGE_Efficacité'!$A$6:$CY$266,(MATCH('4.2 ACE EFF WOL'!S$4,'7. PGE_Efficacité'!$A$4:$AO$4,0)+62),0)</f>
        <v>0</v>
      </c>
      <c r="T55" s="139">
        <f>VLOOKUP($E55,'7. PGE_Efficacité'!$A$6:$CY$266,(MATCH('4.2 ACE EFF WOL'!T$4,'7. PGE_Efficacité'!$A$4:$AO$4,0)+62),0)</f>
        <v>0</v>
      </c>
      <c r="U55" s="139">
        <f>VLOOKUP($E55,'7. PGE_Efficacité'!$A$6:$CY$266,(MATCH('4.2 ACE EFF WOL'!U$4,'7. PGE_Efficacité'!$A$4:$AO$4,0)+62),0)</f>
        <v>0</v>
      </c>
      <c r="V55" s="139">
        <f>VLOOKUP($E55,'7. PGE_Efficacité'!$A$6:$CY$266,(MATCH('4.2 ACE EFF WOL'!V$4,'7. PGE_Efficacité'!$A$4:$AO$4,0)+62),0)</f>
        <v>0</v>
      </c>
      <c r="W55" s="139">
        <f>VLOOKUP($E55,'7. PGE_Efficacité'!$A$6:$CY$266,(MATCH('4.2 ACE EFF WOL'!W$4,'7. PGE_Efficacité'!$A$4:$AO$4,0)+62),0)</f>
        <v>0</v>
      </c>
      <c r="X55" s="139">
        <f>VLOOKUP($E55,'7. PGE_Efficacité'!$A$6:$CY$266,(MATCH('4.2 ACE EFF WOL'!X$4,'7. PGE_Efficacité'!$A$4:$AO$4,0)+62),0)</f>
        <v>0</v>
      </c>
      <c r="Y55" s="139">
        <f>VLOOKUP($E55,'7. PGE_Efficacité'!$A$6:$CY$266,(MATCH('4.2 ACE EFF WOL'!Y$4,'7. PGE_Efficacité'!$A$4:$AO$4,0)+62),0)</f>
        <v>0</v>
      </c>
      <c r="Z55" s="139">
        <f>VLOOKUP($E55,'7. PGE_Efficacité'!$A$6:$CY$266,(MATCH('4.2 ACE EFF WOL'!Z$4,'7. PGE_Efficacité'!$A$4:$AO$4,0)+62),0)</f>
        <v>0</v>
      </c>
      <c r="AA55" s="139">
        <f>VLOOKUP($E55,'7. PGE_Efficacité'!$A$6:$CY$266,(MATCH('4.2 ACE EFF WOL'!AA$4,'7. PGE_Efficacité'!$A$4:$AO$4,0)+62),0)</f>
        <v>0</v>
      </c>
      <c r="AB55" s="139">
        <f>VLOOKUP($E55,'7. PGE_Efficacité'!$A$6:$CY$266,(MATCH('4.2 ACE EFF WOL'!AB$4,'7. PGE_Efficacité'!$A$4:$AO$4,0)+62),0)</f>
        <v>0</v>
      </c>
      <c r="AC55" s="139">
        <f>VLOOKUP($E55,'7. PGE_Efficacité'!$A$6:$CY$266,(MATCH('4.2 ACE EFF WOL'!AC$4,'7. PGE_Efficacité'!$A$4:$AO$4,0)+62),0)</f>
        <v>0</v>
      </c>
      <c r="AD55" s="139">
        <f>VLOOKUP($E55,'7. PGE_Efficacité'!$A$6:$CY$266,(MATCH('4.2 ACE EFF WOL'!AD$4,'7. PGE_Efficacité'!$A$4:$AO$4,0)+62),0)</f>
        <v>0</v>
      </c>
      <c r="AE55" s="139">
        <f>VLOOKUP($E55,'7. PGE_Efficacité'!$A$6:$CY$266,(MATCH('4.2 ACE EFF WOL'!AE$4,'7. PGE_Efficacité'!$A$4:$AO$4,0)+62),0)</f>
        <v>0</v>
      </c>
      <c r="AF55" s="139">
        <f>VLOOKUP($E55,'7. PGE_Efficacité'!$A$6:$CY$266,(MATCH('4.2 ACE EFF WOL'!AF$4,'7. PGE_Efficacité'!$A$4:$AO$4,0)+62),0)</f>
        <v>0</v>
      </c>
      <c r="AG55" s="139">
        <f>VLOOKUP($E55,'7. PGE_Efficacité'!$A$6:$CY$266,(MATCH('4.2 ACE EFF WOL'!AG$4,'7. PGE_Efficacité'!$A$4:$AO$4,0)+62),0)</f>
        <v>0</v>
      </c>
      <c r="AH55" s="139">
        <f>VLOOKUP($E55,'7. PGE_Efficacité'!$A$6:$CY$266,(MATCH('4.2 ACE EFF WOL'!AH$4,'7. PGE_Efficacité'!$A$4:$AO$4,0)+62),0)</f>
        <v>0</v>
      </c>
      <c r="AI55" s="139">
        <f>VLOOKUP($E55,'7. PGE_Efficacité'!$A$6:$CY$266,(MATCH('4.2 ACE EFF WOL'!AI$4,'7. PGE_Efficacité'!$A$4:$AO$4,0)+62),0)</f>
        <v>0</v>
      </c>
      <c r="AJ55" s="139">
        <f>VLOOKUP($E55,'7. PGE_Efficacité'!$A$6:$CY$266,(MATCH('4.2 ACE EFF WOL'!AJ$4,'7. PGE_Efficacité'!$A$4:$AO$4,0)+62),0)</f>
        <v>0</v>
      </c>
      <c r="AK55" s="139">
        <f>VLOOKUP($E55,'7. PGE_Efficacité'!$A$6:$CY$266,(MATCH('4.2 ACE EFF WOL'!AK$4,'7. PGE_Efficacité'!$A$4:$AO$4,0)+62),0)</f>
        <v>0</v>
      </c>
      <c r="AL55" s="139">
        <f>VLOOKUP($E55,'7. PGE_Efficacité'!$A$6:$CY$266,(MATCH('4.2 ACE EFF WOL'!AL$4,'7. PGE_Efficacité'!$A$4:$AO$4,0)+62),0)</f>
        <v>0</v>
      </c>
      <c r="AM55" s="139">
        <f>VLOOKUP($E55,'7. PGE_Efficacité'!$A$6:$CY$266,(MATCH('4.2 ACE EFF WOL'!AM$4,'7. PGE_Efficacité'!$A$4:$AO$4,0)+62),0)</f>
        <v>0</v>
      </c>
      <c r="AN55" s="139">
        <f>VLOOKUP($E55,'7. PGE_Efficacité'!$A$6:$CY$266,(MATCH('4.2 ACE EFF WOL'!AN$4,'7. PGE_Efficacité'!$A$4:$AO$4,0)+62),0)</f>
        <v>0</v>
      </c>
    </row>
    <row r="56" spans="1:40" hidden="1" outlineLevel="2" x14ac:dyDescent="0.25">
      <c r="A56" s="48" t="s">
        <v>1524</v>
      </c>
      <c r="B56" s="49">
        <v>6</v>
      </c>
      <c r="C56" s="48" t="s">
        <v>1526</v>
      </c>
      <c r="D56" s="199" t="s">
        <v>5</v>
      </c>
      <c r="E56" s="200" t="s">
        <v>824</v>
      </c>
      <c r="F56" s="200" t="s">
        <v>1454</v>
      </c>
      <c r="G56" s="201" t="s">
        <v>1522</v>
      </c>
      <c r="H56" s="200" t="s">
        <v>1290</v>
      </c>
      <c r="I56" s="202">
        <v>0</v>
      </c>
      <c r="J56" s="139">
        <f>VLOOKUP($E56,'7. PGE_Efficacité'!$A$6:$CY$266,(MATCH('4.2 ACE EFF WOL'!J$4,'7. PGE_Efficacité'!$A$4:$AO$4,0)+62),0)</f>
        <v>0</v>
      </c>
      <c r="K56" s="139">
        <f>VLOOKUP($E56,'7. PGE_Efficacité'!$A$6:$CY$266,(MATCH('4.2 ACE EFF WOL'!K$4,'7. PGE_Efficacité'!$A$4:$AO$4,0)+62),0)</f>
        <v>0</v>
      </c>
      <c r="L56" s="139">
        <f>VLOOKUP($E56,'7. PGE_Efficacité'!$A$6:$CY$266,(MATCH('4.2 ACE EFF WOL'!L$4,'7. PGE_Efficacité'!$A$4:$AO$4,0)+62),0)</f>
        <v>0</v>
      </c>
      <c r="M56" s="139">
        <f>VLOOKUP($E56,'7. PGE_Efficacité'!$A$6:$CY$266,(MATCH('4.2 ACE EFF WOL'!M$4,'7. PGE_Efficacité'!$A$4:$AO$4,0)+62),0)</f>
        <v>0</v>
      </c>
      <c r="N56" s="139">
        <f>VLOOKUP($E56,'7. PGE_Efficacité'!$A$6:$CY$266,(MATCH('4.2 ACE EFF WOL'!N$4,'7. PGE_Efficacité'!$A$4:$AO$4,0)+62),0)</f>
        <v>0</v>
      </c>
      <c r="O56" s="139">
        <f>VLOOKUP($E56,'7. PGE_Efficacité'!$A$6:$CY$266,78,0)</f>
        <v>0</v>
      </c>
      <c r="P56" s="139">
        <f>VLOOKUP($E56,'7. PGE_Efficacité'!$A$6:$CY$266,(MATCH('4.2 ACE EFF WOL'!P$4,'7. PGE_Efficacité'!$A$4:$AO$4,0)+62),0)</f>
        <v>0</v>
      </c>
      <c r="Q56" s="139">
        <f>VLOOKUP($E56,'7. PGE_Efficacité'!$A$6:$CY$266,(MATCH('4.2 ACE EFF WOL'!Q$4,'7. PGE_Efficacité'!$A$4:$AO$4,0)+62),0)</f>
        <v>0</v>
      </c>
      <c r="R56" s="139">
        <f>VLOOKUP($E56,'7. PGE_Efficacité'!$A$6:$CY$266,(MATCH('4.2 ACE EFF WOL'!R$4,'7. PGE_Efficacité'!$A$4:$AO$4,0)+62),0)</f>
        <v>0</v>
      </c>
      <c r="S56" s="139">
        <f>VLOOKUP($E56,'7. PGE_Efficacité'!$A$6:$CY$266,(MATCH('4.2 ACE EFF WOL'!S$4,'7. PGE_Efficacité'!$A$4:$AO$4,0)+62),0)</f>
        <v>0</v>
      </c>
      <c r="T56" s="139">
        <f>VLOOKUP($E56,'7. PGE_Efficacité'!$A$6:$CY$266,(MATCH('4.2 ACE EFF WOL'!T$4,'7. PGE_Efficacité'!$A$4:$AO$4,0)+62),0)</f>
        <v>0</v>
      </c>
      <c r="U56" s="139">
        <f>VLOOKUP($E56,'7. PGE_Efficacité'!$A$6:$CY$266,(MATCH('4.2 ACE EFF WOL'!U$4,'7. PGE_Efficacité'!$A$4:$AO$4,0)+62),0)</f>
        <v>0</v>
      </c>
      <c r="V56" s="139">
        <f>VLOOKUP($E56,'7. PGE_Efficacité'!$A$6:$CY$266,(MATCH('4.2 ACE EFF WOL'!V$4,'7. PGE_Efficacité'!$A$4:$AO$4,0)+62),0)</f>
        <v>0</v>
      </c>
      <c r="W56" s="139">
        <f>VLOOKUP($E56,'7. PGE_Efficacité'!$A$6:$CY$266,(MATCH('4.2 ACE EFF WOL'!W$4,'7. PGE_Efficacité'!$A$4:$AO$4,0)+62),0)</f>
        <v>0</v>
      </c>
      <c r="X56" s="139">
        <f>VLOOKUP($E56,'7. PGE_Efficacité'!$A$6:$CY$266,(MATCH('4.2 ACE EFF WOL'!X$4,'7. PGE_Efficacité'!$A$4:$AO$4,0)+62),0)</f>
        <v>0</v>
      </c>
      <c r="Y56" s="139">
        <f>VLOOKUP($E56,'7. PGE_Efficacité'!$A$6:$CY$266,(MATCH('4.2 ACE EFF WOL'!Y$4,'7. PGE_Efficacité'!$A$4:$AO$4,0)+62),0)</f>
        <v>0</v>
      </c>
      <c r="Z56" s="139">
        <f>VLOOKUP($E56,'7. PGE_Efficacité'!$A$6:$CY$266,(MATCH('4.2 ACE EFF WOL'!Z$4,'7. PGE_Efficacité'!$A$4:$AO$4,0)+62),0)</f>
        <v>0</v>
      </c>
      <c r="AA56" s="139">
        <f>VLOOKUP($E56,'7. PGE_Efficacité'!$A$6:$CY$266,(MATCH('4.2 ACE EFF WOL'!AA$4,'7. PGE_Efficacité'!$A$4:$AO$4,0)+62),0)</f>
        <v>0</v>
      </c>
      <c r="AB56" s="139">
        <f>VLOOKUP($E56,'7. PGE_Efficacité'!$A$6:$CY$266,(MATCH('4.2 ACE EFF WOL'!AB$4,'7. PGE_Efficacité'!$A$4:$AO$4,0)+62),0)</f>
        <v>0</v>
      </c>
      <c r="AC56" s="139">
        <f>VLOOKUP($E56,'7. PGE_Efficacité'!$A$6:$CY$266,(MATCH('4.2 ACE EFF WOL'!AC$4,'7. PGE_Efficacité'!$A$4:$AO$4,0)+62),0)</f>
        <v>0</v>
      </c>
      <c r="AD56" s="139">
        <f>VLOOKUP($E56,'7. PGE_Efficacité'!$A$6:$CY$266,(MATCH('4.2 ACE EFF WOL'!AD$4,'7. PGE_Efficacité'!$A$4:$AO$4,0)+62),0)</f>
        <v>0</v>
      </c>
      <c r="AE56" s="139">
        <f>VLOOKUP($E56,'7. PGE_Efficacité'!$A$6:$CY$266,(MATCH('4.2 ACE EFF WOL'!AE$4,'7. PGE_Efficacité'!$A$4:$AO$4,0)+62),0)</f>
        <v>0</v>
      </c>
      <c r="AF56" s="139">
        <f>VLOOKUP($E56,'7. PGE_Efficacité'!$A$6:$CY$266,(MATCH('4.2 ACE EFF WOL'!AF$4,'7. PGE_Efficacité'!$A$4:$AO$4,0)+62),0)</f>
        <v>0</v>
      </c>
      <c r="AG56" s="139">
        <f>VLOOKUP($E56,'7. PGE_Efficacité'!$A$6:$CY$266,(MATCH('4.2 ACE EFF WOL'!AG$4,'7. PGE_Efficacité'!$A$4:$AO$4,0)+62),0)</f>
        <v>0</v>
      </c>
      <c r="AH56" s="139">
        <f>VLOOKUP($E56,'7. PGE_Efficacité'!$A$6:$CY$266,(MATCH('4.2 ACE EFF WOL'!AH$4,'7. PGE_Efficacité'!$A$4:$AO$4,0)+62),0)</f>
        <v>0</v>
      </c>
      <c r="AI56" s="139">
        <f>VLOOKUP($E56,'7. PGE_Efficacité'!$A$6:$CY$266,(MATCH('4.2 ACE EFF WOL'!AI$4,'7. PGE_Efficacité'!$A$4:$AO$4,0)+62),0)</f>
        <v>0</v>
      </c>
      <c r="AJ56" s="139">
        <f>VLOOKUP($E56,'7. PGE_Efficacité'!$A$6:$CY$266,(MATCH('4.2 ACE EFF WOL'!AJ$4,'7. PGE_Efficacité'!$A$4:$AO$4,0)+62),0)</f>
        <v>0</v>
      </c>
      <c r="AK56" s="139">
        <f>VLOOKUP($E56,'7. PGE_Efficacité'!$A$6:$CY$266,(MATCH('4.2 ACE EFF WOL'!AK$4,'7. PGE_Efficacité'!$A$4:$AO$4,0)+62),0)</f>
        <v>0</v>
      </c>
      <c r="AL56" s="139">
        <f>VLOOKUP($E56,'7. PGE_Efficacité'!$A$6:$CY$266,(MATCH('4.2 ACE EFF WOL'!AL$4,'7. PGE_Efficacité'!$A$4:$AO$4,0)+62),0)</f>
        <v>0</v>
      </c>
      <c r="AM56" s="139">
        <f>VLOOKUP($E56,'7. PGE_Efficacité'!$A$6:$CY$266,(MATCH('4.2 ACE EFF WOL'!AM$4,'7. PGE_Efficacité'!$A$4:$AO$4,0)+62),0)</f>
        <v>0</v>
      </c>
      <c r="AN56" s="139">
        <f>VLOOKUP($E56,'7. PGE_Efficacité'!$A$6:$CY$266,(MATCH('4.2 ACE EFF WOL'!AN$4,'7. PGE_Efficacité'!$A$4:$AO$4,0)+62),0)</f>
        <v>0</v>
      </c>
    </row>
    <row r="57" spans="1:40" hidden="1" outlineLevel="2" x14ac:dyDescent="0.25">
      <c r="A57" s="48" t="s">
        <v>1524</v>
      </c>
      <c r="B57" s="49">
        <v>6</v>
      </c>
      <c r="C57" s="48" t="s">
        <v>1527</v>
      </c>
      <c r="D57" s="199" t="s">
        <v>5</v>
      </c>
      <c r="E57" s="200" t="s">
        <v>826</v>
      </c>
      <c r="F57" s="200" t="s">
        <v>1456</v>
      </c>
      <c r="G57" s="201" t="s">
        <v>1522</v>
      </c>
      <c r="H57" s="200" t="s">
        <v>1290</v>
      </c>
      <c r="I57" s="202">
        <v>0</v>
      </c>
      <c r="J57" s="139">
        <f>VLOOKUP($E57,'7. PGE_Efficacité'!$A$6:$CY$266,(MATCH('4.2 ACE EFF WOL'!J$4,'7. PGE_Efficacité'!$A$4:$AO$4,0)+62),0)</f>
        <v>0</v>
      </c>
      <c r="K57" s="139">
        <f>VLOOKUP($E57,'7. PGE_Efficacité'!$A$6:$CY$266,(MATCH('4.2 ACE EFF WOL'!K$4,'7. PGE_Efficacité'!$A$4:$AO$4,0)+62),0)</f>
        <v>0</v>
      </c>
      <c r="L57" s="139">
        <f>VLOOKUP($E57,'7. PGE_Efficacité'!$A$6:$CY$266,(MATCH('4.2 ACE EFF WOL'!L$4,'7. PGE_Efficacité'!$A$4:$AO$4,0)+62),0)</f>
        <v>0</v>
      </c>
      <c r="M57" s="139">
        <f>VLOOKUP($E57,'7. PGE_Efficacité'!$A$6:$CY$266,(MATCH('4.2 ACE EFF WOL'!M$4,'7. PGE_Efficacité'!$A$4:$AO$4,0)+62),0)</f>
        <v>0</v>
      </c>
      <c r="N57" s="139">
        <f>VLOOKUP($E57,'7. PGE_Efficacité'!$A$6:$CY$266,(MATCH('4.2 ACE EFF WOL'!N$4,'7. PGE_Efficacité'!$A$4:$AO$4,0)+62),0)</f>
        <v>0</v>
      </c>
      <c r="O57" s="139">
        <f>VLOOKUP($E57,'7. PGE_Efficacité'!$A$6:$CY$266,78,0)</f>
        <v>0</v>
      </c>
      <c r="P57" s="139">
        <f>VLOOKUP($E57,'7. PGE_Efficacité'!$A$6:$CY$266,(MATCH('4.2 ACE EFF WOL'!P$4,'7. PGE_Efficacité'!$A$4:$AO$4,0)+62),0)</f>
        <v>0</v>
      </c>
      <c r="Q57" s="139">
        <f>VLOOKUP($E57,'7. PGE_Efficacité'!$A$6:$CY$266,(MATCH('4.2 ACE EFF WOL'!Q$4,'7. PGE_Efficacité'!$A$4:$AO$4,0)+62),0)</f>
        <v>0</v>
      </c>
      <c r="R57" s="139">
        <f>VLOOKUP($E57,'7. PGE_Efficacité'!$A$6:$CY$266,(MATCH('4.2 ACE EFF WOL'!R$4,'7. PGE_Efficacité'!$A$4:$AO$4,0)+62),0)</f>
        <v>0</v>
      </c>
      <c r="S57" s="139">
        <f>VLOOKUP($E57,'7. PGE_Efficacité'!$A$6:$CY$266,(MATCH('4.2 ACE EFF WOL'!S$4,'7. PGE_Efficacité'!$A$4:$AO$4,0)+62),0)</f>
        <v>0</v>
      </c>
      <c r="T57" s="139">
        <f>VLOOKUP($E57,'7. PGE_Efficacité'!$A$6:$CY$266,(MATCH('4.2 ACE EFF WOL'!T$4,'7. PGE_Efficacité'!$A$4:$AO$4,0)+62),0)</f>
        <v>0</v>
      </c>
      <c r="U57" s="139">
        <f>VLOOKUP($E57,'7. PGE_Efficacité'!$A$6:$CY$266,(MATCH('4.2 ACE EFF WOL'!U$4,'7. PGE_Efficacité'!$A$4:$AO$4,0)+62),0)</f>
        <v>0</v>
      </c>
      <c r="V57" s="139">
        <f>VLOOKUP($E57,'7. PGE_Efficacité'!$A$6:$CY$266,(MATCH('4.2 ACE EFF WOL'!V$4,'7. PGE_Efficacité'!$A$4:$AO$4,0)+62),0)</f>
        <v>0</v>
      </c>
      <c r="W57" s="139">
        <f>VLOOKUP($E57,'7. PGE_Efficacité'!$A$6:$CY$266,(MATCH('4.2 ACE EFF WOL'!W$4,'7. PGE_Efficacité'!$A$4:$AO$4,0)+62),0)</f>
        <v>0</v>
      </c>
      <c r="X57" s="139">
        <f>VLOOKUP($E57,'7. PGE_Efficacité'!$A$6:$CY$266,(MATCH('4.2 ACE EFF WOL'!X$4,'7. PGE_Efficacité'!$A$4:$AO$4,0)+62),0)</f>
        <v>0</v>
      </c>
      <c r="Y57" s="139">
        <f>VLOOKUP($E57,'7. PGE_Efficacité'!$A$6:$CY$266,(MATCH('4.2 ACE EFF WOL'!Y$4,'7. PGE_Efficacité'!$A$4:$AO$4,0)+62),0)</f>
        <v>0</v>
      </c>
      <c r="Z57" s="139">
        <f>VLOOKUP($E57,'7. PGE_Efficacité'!$A$6:$CY$266,(MATCH('4.2 ACE EFF WOL'!Z$4,'7. PGE_Efficacité'!$A$4:$AO$4,0)+62),0)</f>
        <v>0</v>
      </c>
      <c r="AA57" s="139">
        <f>VLOOKUP($E57,'7. PGE_Efficacité'!$A$6:$CY$266,(MATCH('4.2 ACE EFF WOL'!AA$4,'7. PGE_Efficacité'!$A$4:$AO$4,0)+62),0)</f>
        <v>0</v>
      </c>
      <c r="AB57" s="139">
        <f>VLOOKUP($E57,'7. PGE_Efficacité'!$A$6:$CY$266,(MATCH('4.2 ACE EFF WOL'!AB$4,'7. PGE_Efficacité'!$A$4:$AO$4,0)+62),0)</f>
        <v>0</v>
      </c>
      <c r="AC57" s="139">
        <f>VLOOKUP($E57,'7. PGE_Efficacité'!$A$6:$CY$266,(MATCH('4.2 ACE EFF WOL'!AC$4,'7. PGE_Efficacité'!$A$4:$AO$4,0)+62),0)</f>
        <v>0</v>
      </c>
      <c r="AD57" s="139">
        <f>VLOOKUP($E57,'7. PGE_Efficacité'!$A$6:$CY$266,(MATCH('4.2 ACE EFF WOL'!AD$4,'7. PGE_Efficacité'!$A$4:$AO$4,0)+62),0)</f>
        <v>0</v>
      </c>
      <c r="AE57" s="139">
        <f>VLOOKUP($E57,'7. PGE_Efficacité'!$A$6:$CY$266,(MATCH('4.2 ACE EFF WOL'!AE$4,'7. PGE_Efficacité'!$A$4:$AO$4,0)+62),0)</f>
        <v>0</v>
      </c>
      <c r="AF57" s="139">
        <f>VLOOKUP($E57,'7. PGE_Efficacité'!$A$6:$CY$266,(MATCH('4.2 ACE EFF WOL'!AF$4,'7. PGE_Efficacité'!$A$4:$AO$4,0)+62),0)</f>
        <v>0</v>
      </c>
      <c r="AG57" s="139">
        <f>VLOOKUP($E57,'7. PGE_Efficacité'!$A$6:$CY$266,(MATCH('4.2 ACE EFF WOL'!AG$4,'7. PGE_Efficacité'!$A$4:$AO$4,0)+62),0)</f>
        <v>0</v>
      </c>
      <c r="AH57" s="139">
        <f>VLOOKUP($E57,'7. PGE_Efficacité'!$A$6:$CY$266,(MATCH('4.2 ACE EFF WOL'!AH$4,'7. PGE_Efficacité'!$A$4:$AO$4,0)+62),0)</f>
        <v>0</v>
      </c>
      <c r="AI57" s="139">
        <f>VLOOKUP($E57,'7. PGE_Efficacité'!$A$6:$CY$266,(MATCH('4.2 ACE EFF WOL'!AI$4,'7. PGE_Efficacité'!$A$4:$AO$4,0)+62),0)</f>
        <v>0</v>
      </c>
      <c r="AJ57" s="139">
        <f>VLOOKUP($E57,'7. PGE_Efficacité'!$A$6:$CY$266,(MATCH('4.2 ACE EFF WOL'!AJ$4,'7. PGE_Efficacité'!$A$4:$AO$4,0)+62),0)</f>
        <v>0</v>
      </c>
      <c r="AK57" s="139">
        <f>VLOOKUP($E57,'7. PGE_Efficacité'!$A$6:$CY$266,(MATCH('4.2 ACE EFF WOL'!AK$4,'7. PGE_Efficacité'!$A$4:$AO$4,0)+62),0)</f>
        <v>0</v>
      </c>
      <c r="AL57" s="139">
        <f>VLOOKUP($E57,'7. PGE_Efficacité'!$A$6:$CY$266,(MATCH('4.2 ACE EFF WOL'!AL$4,'7. PGE_Efficacité'!$A$4:$AO$4,0)+62),0)</f>
        <v>0</v>
      </c>
      <c r="AM57" s="139">
        <f>VLOOKUP($E57,'7. PGE_Efficacité'!$A$6:$CY$266,(MATCH('4.2 ACE EFF WOL'!AM$4,'7. PGE_Efficacité'!$A$4:$AO$4,0)+62),0)</f>
        <v>0</v>
      </c>
      <c r="AN57" s="139">
        <f>VLOOKUP($E57,'7. PGE_Efficacité'!$A$6:$CY$266,(MATCH('4.2 ACE EFF WOL'!AN$4,'7. PGE_Efficacité'!$A$4:$AO$4,0)+62),0)</f>
        <v>0</v>
      </c>
    </row>
    <row r="58" spans="1:40" hidden="1" outlineLevel="2" x14ac:dyDescent="0.25">
      <c r="A58" s="48" t="s">
        <v>1524</v>
      </c>
      <c r="B58" s="49">
        <v>6</v>
      </c>
      <c r="C58" s="48" t="s">
        <v>1528</v>
      </c>
      <c r="D58" s="199" t="s">
        <v>5</v>
      </c>
      <c r="E58" s="200" t="s">
        <v>827</v>
      </c>
      <c r="F58" s="200" t="s">
        <v>1457</v>
      </c>
      <c r="G58" s="201" t="s">
        <v>1522</v>
      </c>
      <c r="H58" s="200" t="s">
        <v>1290</v>
      </c>
      <c r="I58" s="202">
        <v>0</v>
      </c>
      <c r="J58" s="139">
        <f>VLOOKUP($E58,'7. PGE_Efficacité'!$A$6:$CY$266,(MATCH('4.2 ACE EFF WOL'!J$4,'7. PGE_Efficacité'!$A$4:$AO$4,0)+62),0)</f>
        <v>0</v>
      </c>
      <c r="K58" s="139">
        <f>VLOOKUP($E58,'7. PGE_Efficacité'!$A$6:$CY$266,(MATCH('4.2 ACE EFF WOL'!K$4,'7. PGE_Efficacité'!$A$4:$AO$4,0)+62),0)</f>
        <v>0</v>
      </c>
      <c r="L58" s="139">
        <f>VLOOKUP($E58,'7. PGE_Efficacité'!$A$6:$CY$266,(MATCH('4.2 ACE EFF WOL'!L$4,'7. PGE_Efficacité'!$A$4:$AO$4,0)+62),0)</f>
        <v>0</v>
      </c>
      <c r="M58" s="139">
        <f>VLOOKUP($E58,'7. PGE_Efficacité'!$A$6:$CY$266,(MATCH('4.2 ACE EFF WOL'!M$4,'7. PGE_Efficacité'!$A$4:$AO$4,0)+62),0)</f>
        <v>0</v>
      </c>
      <c r="N58" s="139">
        <f>VLOOKUP($E58,'7. PGE_Efficacité'!$A$6:$CY$266,(MATCH('4.2 ACE EFF WOL'!N$4,'7. PGE_Efficacité'!$A$4:$AO$4,0)+62),0)</f>
        <v>0</v>
      </c>
      <c r="O58" s="139">
        <f>VLOOKUP($E58,'7. PGE_Efficacité'!$A$6:$CY$266,78,0)</f>
        <v>0</v>
      </c>
      <c r="P58" s="139">
        <f>VLOOKUP($E58,'7. PGE_Efficacité'!$A$6:$CY$266,(MATCH('4.2 ACE EFF WOL'!P$4,'7. PGE_Efficacité'!$A$4:$AO$4,0)+62),0)</f>
        <v>0</v>
      </c>
      <c r="Q58" s="139">
        <f>VLOOKUP($E58,'7. PGE_Efficacité'!$A$6:$CY$266,(MATCH('4.2 ACE EFF WOL'!Q$4,'7. PGE_Efficacité'!$A$4:$AO$4,0)+62),0)</f>
        <v>0</v>
      </c>
      <c r="R58" s="139">
        <f>VLOOKUP($E58,'7. PGE_Efficacité'!$A$6:$CY$266,(MATCH('4.2 ACE EFF WOL'!R$4,'7. PGE_Efficacité'!$A$4:$AO$4,0)+62),0)</f>
        <v>0</v>
      </c>
      <c r="S58" s="139">
        <f>VLOOKUP($E58,'7. PGE_Efficacité'!$A$6:$CY$266,(MATCH('4.2 ACE EFF WOL'!S$4,'7. PGE_Efficacité'!$A$4:$AO$4,0)+62),0)</f>
        <v>0</v>
      </c>
      <c r="T58" s="139">
        <f>VLOOKUP($E58,'7. PGE_Efficacité'!$A$6:$CY$266,(MATCH('4.2 ACE EFF WOL'!T$4,'7. PGE_Efficacité'!$A$4:$AO$4,0)+62),0)</f>
        <v>0</v>
      </c>
      <c r="U58" s="139">
        <f>VLOOKUP($E58,'7. PGE_Efficacité'!$A$6:$CY$266,(MATCH('4.2 ACE EFF WOL'!U$4,'7. PGE_Efficacité'!$A$4:$AO$4,0)+62),0)</f>
        <v>0</v>
      </c>
      <c r="V58" s="139">
        <f>VLOOKUP($E58,'7. PGE_Efficacité'!$A$6:$CY$266,(MATCH('4.2 ACE EFF WOL'!V$4,'7. PGE_Efficacité'!$A$4:$AO$4,0)+62),0)</f>
        <v>0</v>
      </c>
      <c r="W58" s="139">
        <f>VLOOKUP($E58,'7. PGE_Efficacité'!$A$6:$CY$266,(MATCH('4.2 ACE EFF WOL'!W$4,'7. PGE_Efficacité'!$A$4:$AO$4,0)+62),0)</f>
        <v>0</v>
      </c>
      <c r="X58" s="139">
        <f>VLOOKUP($E58,'7. PGE_Efficacité'!$A$6:$CY$266,(MATCH('4.2 ACE EFF WOL'!X$4,'7. PGE_Efficacité'!$A$4:$AO$4,0)+62),0)</f>
        <v>0</v>
      </c>
      <c r="Y58" s="139">
        <f>VLOOKUP($E58,'7. PGE_Efficacité'!$A$6:$CY$266,(MATCH('4.2 ACE EFF WOL'!Y$4,'7. PGE_Efficacité'!$A$4:$AO$4,0)+62),0)</f>
        <v>0</v>
      </c>
      <c r="Z58" s="139">
        <f>VLOOKUP($E58,'7. PGE_Efficacité'!$A$6:$CY$266,(MATCH('4.2 ACE EFF WOL'!Z$4,'7. PGE_Efficacité'!$A$4:$AO$4,0)+62),0)</f>
        <v>0</v>
      </c>
      <c r="AA58" s="139">
        <f>VLOOKUP($E58,'7. PGE_Efficacité'!$A$6:$CY$266,(MATCH('4.2 ACE EFF WOL'!AA$4,'7. PGE_Efficacité'!$A$4:$AO$4,0)+62),0)</f>
        <v>0</v>
      </c>
      <c r="AB58" s="139">
        <f>VLOOKUP($E58,'7. PGE_Efficacité'!$A$6:$CY$266,(MATCH('4.2 ACE EFF WOL'!AB$4,'7. PGE_Efficacité'!$A$4:$AO$4,0)+62),0)</f>
        <v>0</v>
      </c>
      <c r="AC58" s="139">
        <f>VLOOKUP($E58,'7. PGE_Efficacité'!$A$6:$CY$266,(MATCH('4.2 ACE EFF WOL'!AC$4,'7. PGE_Efficacité'!$A$4:$AO$4,0)+62),0)</f>
        <v>0</v>
      </c>
      <c r="AD58" s="139">
        <f>VLOOKUP($E58,'7. PGE_Efficacité'!$A$6:$CY$266,(MATCH('4.2 ACE EFF WOL'!AD$4,'7. PGE_Efficacité'!$A$4:$AO$4,0)+62),0)</f>
        <v>0</v>
      </c>
      <c r="AE58" s="139">
        <f>VLOOKUP($E58,'7. PGE_Efficacité'!$A$6:$CY$266,(MATCH('4.2 ACE EFF WOL'!AE$4,'7. PGE_Efficacité'!$A$4:$AO$4,0)+62),0)</f>
        <v>0</v>
      </c>
      <c r="AF58" s="139">
        <f>VLOOKUP($E58,'7. PGE_Efficacité'!$A$6:$CY$266,(MATCH('4.2 ACE EFF WOL'!AF$4,'7. PGE_Efficacité'!$A$4:$AO$4,0)+62),0)</f>
        <v>0</v>
      </c>
      <c r="AG58" s="139">
        <f>VLOOKUP($E58,'7. PGE_Efficacité'!$A$6:$CY$266,(MATCH('4.2 ACE EFF WOL'!AG$4,'7. PGE_Efficacité'!$A$4:$AO$4,0)+62),0)</f>
        <v>0</v>
      </c>
      <c r="AH58" s="139">
        <f>VLOOKUP($E58,'7. PGE_Efficacité'!$A$6:$CY$266,(MATCH('4.2 ACE EFF WOL'!AH$4,'7. PGE_Efficacité'!$A$4:$AO$4,0)+62),0)</f>
        <v>0</v>
      </c>
      <c r="AI58" s="139">
        <f>VLOOKUP($E58,'7. PGE_Efficacité'!$A$6:$CY$266,(MATCH('4.2 ACE EFF WOL'!AI$4,'7. PGE_Efficacité'!$A$4:$AO$4,0)+62),0)</f>
        <v>0</v>
      </c>
      <c r="AJ58" s="139">
        <f>VLOOKUP($E58,'7. PGE_Efficacité'!$A$6:$CY$266,(MATCH('4.2 ACE EFF WOL'!AJ$4,'7. PGE_Efficacité'!$A$4:$AO$4,0)+62),0)</f>
        <v>0</v>
      </c>
      <c r="AK58" s="139">
        <f>VLOOKUP($E58,'7. PGE_Efficacité'!$A$6:$CY$266,(MATCH('4.2 ACE EFF WOL'!AK$4,'7. PGE_Efficacité'!$A$4:$AO$4,0)+62),0)</f>
        <v>0</v>
      </c>
      <c r="AL58" s="139">
        <f>VLOOKUP($E58,'7. PGE_Efficacité'!$A$6:$CY$266,(MATCH('4.2 ACE EFF WOL'!AL$4,'7. PGE_Efficacité'!$A$4:$AO$4,0)+62),0)</f>
        <v>0</v>
      </c>
      <c r="AM58" s="139">
        <f>VLOOKUP($E58,'7. PGE_Efficacité'!$A$6:$CY$266,(MATCH('4.2 ACE EFF WOL'!AM$4,'7. PGE_Efficacité'!$A$4:$AO$4,0)+62),0)</f>
        <v>0</v>
      </c>
      <c r="AN58" s="139">
        <f>VLOOKUP($E58,'7. PGE_Efficacité'!$A$6:$CY$266,(MATCH('4.2 ACE EFF WOL'!AN$4,'7. PGE_Efficacité'!$A$4:$AO$4,0)+62),0)</f>
        <v>0</v>
      </c>
    </row>
    <row r="59" spans="1:40" outlineLevel="1" collapsed="1" x14ac:dyDescent="0.25">
      <c r="A59" s="48"/>
      <c r="B59" s="49"/>
      <c r="C59" s="48"/>
      <c r="D59" s="372" t="s">
        <v>6</v>
      </c>
      <c r="E59" s="195"/>
      <c r="F59" s="196" t="str">
        <f>VLOOKUP(D59,'1. Mesures'!$A$2:$B$116,2,0)</f>
        <v>Gérer les rejets d'eaux usées non raccordables aux stations d'épuration collectives</v>
      </c>
      <c r="G59" s="197"/>
      <c r="H59" s="195"/>
      <c r="I59" s="198">
        <f>SUBTOTAL(9,I60:I64)</f>
        <v>0</v>
      </c>
      <c r="J59" s="203">
        <f>VLOOKUP($D59,'7. PGE_Efficacité'!$A$6:$CY$266,(MATCH('4.2 ACE EFF WOL'!J$4,'7. PGE_Efficacité'!$A$4:$AO$4,0)+62),0)</f>
        <v>0</v>
      </c>
      <c r="K59" s="203">
        <f>VLOOKUP($D59,'7. PGE_Efficacité'!$A$6:$CY$266,(MATCH('4.2 ACE EFF WOL'!K$4,'7. PGE_Efficacité'!$A$4:$AO$4,0)+62),0)</f>
        <v>0</v>
      </c>
      <c r="L59" s="203">
        <f>VLOOKUP($D59,'7. PGE_Efficacité'!$A$6:$CY$266,(MATCH('4.2 ACE EFF WOL'!L$4,'7. PGE_Efficacité'!$A$4:$AO$4,0)+62),0)</f>
        <v>0</v>
      </c>
      <c r="M59" s="203" t="str">
        <f>VLOOKUP($D59,'7. PGE_Efficacité'!$A$6:$CY$266,(MATCH('4.2 ACE EFF WOL'!M$4,'7. PGE_Efficacité'!$A$4:$AO$4,0)+62),0)</f>
        <v>+</v>
      </c>
      <c r="N59" s="203" t="str">
        <f>VLOOKUP($D59,'7. PGE_Efficacité'!$A$6:$CY$266,(MATCH('4.2 ACE EFF WOL'!N$4,'7. PGE_Efficacité'!$A$4:$AO$4,0)+62),0)</f>
        <v>+</v>
      </c>
      <c r="O59" s="203" t="str">
        <f>VLOOKUP($D59,'7. PGE_Efficacité'!$A$6:$CY$266,78,0)</f>
        <v>+</v>
      </c>
      <c r="P59" s="203">
        <f>VLOOKUP($D59,'7. PGE_Efficacité'!$A$6:$CY$266,(MATCH('4.2 ACE EFF WOL'!P$4,'7. PGE_Efficacité'!$A$4:$AO$4,0)+62),0)</f>
        <v>0</v>
      </c>
      <c r="Q59" s="203">
        <f>VLOOKUP($D59,'7. PGE_Efficacité'!$A$6:$CY$266,(MATCH('4.2 ACE EFF WOL'!Q$4,'7. PGE_Efficacité'!$A$4:$AO$4,0)+62),0)</f>
        <v>0</v>
      </c>
      <c r="R59" s="203">
        <f>VLOOKUP($D59,'7. PGE_Efficacité'!$A$6:$CY$266,(MATCH('4.2 ACE EFF WOL'!R$4,'7. PGE_Efficacité'!$A$4:$AO$4,0)+62),0)</f>
        <v>0</v>
      </c>
      <c r="S59" s="203">
        <f>VLOOKUP($D59,'7. PGE_Efficacité'!$A$6:$CY$266,(MATCH('4.2 ACE EFF WOL'!S$4,'7. PGE_Efficacité'!$A$4:$AO$4,0)+62),0)</f>
        <v>0</v>
      </c>
      <c r="T59" s="203">
        <f>VLOOKUP($D59,'7. PGE_Efficacité'!$A$6:$CY$266,(MATCH('4.2 ACE EFF WOL'!T$4,'7. PGE_Efficacité'!$A$4:$AO$4,0)+62),0)</f>
        <v>0</v>
      </c>
      <c r="U59" s="203">
        <f>VLOOKUP($D59,'7. PGE_Efficacité'!$A$6:$CY$266,(MATCH('4.2 ACE EFF WOL'!U$4,'7. PGE_Efficacité'!$A$4:$AO$4,0)+62),0)</f>
        <v>0</v>
      </c>
      <c r="V59" s="203" t="str">
        <f>VLOOKUP($D59,'7. PGE_Efficacité'!$A$6:$CY$266,(MATCH('4.2 ACE EFF WOL'!V$4,'7. PGE_Efficacité'!$A$4:$AO$4,0)+62),0)</f>
        <v>+</v>
      </c>
      <c r="W59" s="203" t="str">
        <f>VLOOKUP($D59,'7. PGE_Efficacité'!$A$6:$CY$266,(MATCH('4.2 ACE EFF WOL'!W$4,'7. PGE_Efficacité'!$A$4:$AO$4,0)+62),0)</f>
        <v>+</v>
      </c>
      <c r="X59" s="203">
        <f>VLOOKUP($D59,'7. PGE_Efficacité'!$A$6:$CY$266,(MATCH('4.2 ACE EFF WOL'!X$4,'7. PGE_Efficacité'!$A$4:$AO$4,0)+62),0)</f>
        <v>0</v>
      </c>
      <c r="Y59" s="203">
        <f>VLOOKUP($D59,'7. PGE_Efficacité'!$A$6:$CY$266,(MATCH('4.2 ACE EFF WOL'!Y$4,'7. PGE_Efficacité'!$A$4:$AO$4,0)+62),0)</f>
        <v>0</v>
      </c>
      <c r="Z59" s="203">
        <f>VLOOKUP($D59,'7. PGE_Efficacité'!$A$6:$CY$266,(MATCH('4.2 ACE EFF WOL'!Z$4,'7. PGE_Efficacité'!$A$4:$AO$4,0)+62),0)</f>
        <v>0</v>
      </c>
      <c r="AA59" s="203">
        <f>VLOOKUP($D59,'7. PGE_Efficacité'!$A$6:$CY$266,(MATCH('4.2 ACE EFF WOL'!AA$4,'7. PGE_Efficacité'!$A$4:$AO$4,0)+62),0)</f>
        <v>0</v>
      </c>
      <c r="AB59" s="203">
        <f>VLOOKUP($D59,'7. PGE_Efficacité'!$A$6:$CY$266,(MATCH('4.2 ACE EFF WOL'!AB$4,'7. PGE_Efficacité'!$A$4:$AO$4,0)+62),0)</f>
        <v>0</v>
      </c>
      <c r="AC59" s="203">
        <f>VLOOKUP($D59,'7. PGE_Efficacité'!$A$6:$CY$266,(MATCH('4.2 ACE EFF WOL'!AC$4,'7. PGE_Efficacité'!$A$4:$AO$4,0)+62),0)</f>
        <v>0</v>
      </c>
      <c r="AD59" s="203">
        <f>VLOOKUP($D59,'7. PGE_Efficacité'!$A$6:$CY$266,(MATCH('4.2 ACE EFF WOL'!AD$4,'7. PGE_Efficacité'!$A$4:$AO$4,0)+62),0)</f>
        <v>0</v>
      </c>
      <c r="AE59" s="203" t="str">
        <f>VLOOKUP($D59,'7. PGE_Efficacité'!$A$6:$CY$266,(MATCH('4.2 ACE EFF WOL'!AE$4,'7. PGE_Efficacité'!$A$4:$AO$4,0)+62),0)</f>
        <v>+</v>
      </c>
      <c r="AF59" s="203">
        <f>VLOOKUP($D59,'7. PGE_Efficacité'!$A$6:$CY$266,(MATCH('4.2 ACE EFF WOL'!AF$4,'7. PGE_Efficacité'!$A$4:$AO$4,0)+62),0)</f>
        <v>0</v>
      </c>
      <c r="AG59" s="203">
        <f>VLOOKUP($D59,'7. PGE_Efficacité'!$A$6:$CY$266,(MATCH('4.2 ACE EFF WOL'!AG$4,'7. PGE_Efficacité'!$A$4:$AO$4,0)+62),0)</f>
        <v>0</v>
      </c>
      <c r="AH59" s="203">
        <f>VLOOKUP($D59,'7. PGE_Efficacité'!$A$6:$CY$266,(MATCH('4.2 ACE EFF WOL'!AH$4,'7. PGE_Efficacité'!$A$4:$AO$4,0)+62),0)</f>
        <v>0</v>
      </c>
      <c r="AI59" s="203">
        <f>VLOOKUP($D59,'7. PGE_Efficacité'!$A$6:$CY$266,(MATCH('4.2 ACE EFF WOL'!AI$4,'7. PGE_Efficacité'!$A$4:$AO$4,0)+62),0)</f>
        <v>0</v>
      </c>
      <c r="AJ59" s="203">
        <f>VLOOKUP($D59,'7. PGE_Efficacité'!$A$6:$CY$266,(MATCH('4.2 ACE EFF WOL'!AJ$4,'7. PGE_Efficacité'!$A$4:$AO$4,0)+62),0)</f>
        <v>0</v>
      </c>
      <c r="AK59" s="203" t="str">
        <f>VLOOKUP($D59,'7. PGE_Efficacité'!$A$6:$CY$266,(MATCH('4.2 ACE EFF WOL'!AK$4,'7. PGE_Efficacité'!$A$4:$AO$4,0)+62),0)</f>
        <v>+</v>
      </c>
      <c r="AL59" s="203">
        <f>VLOOKUP($D59,'7. PGE_Efficacité'!$A$6:$CY$266,(MATCH('4.2 ACE EFF WOL'!AL$4,'7. PGE_Efficacité'!$A$4:$AO$4,0)+62),0)</f>
        <v>0</v>
      </c>
      <c r="AM59" s="203" t="str">
        <f>VLOOKUP($D59,'7. PGE_Efficacité'!$A$6:$CY$266,(MATCH('4.2 ACE EFF WOL'!AM$4,'7. PGE_Efficacité'!$A$4:$AO$4,0)+62),0)</f>
        <v>+</v>
      </c>
      <c r="AN59" s="203" t="str">
        <f>VLOOKUP($D59,'7. PGE_Efficacité'!$A$6:$CY$266,(MATCH('4.2 ACE EFF WOL'!AN$4,'7. PGE_Efficacité'!$A$4:$AO$4,0)+62),0)</f>
        <v>+</v>
      </c>
    </row>
    <row r="60" spans="1:40" hidden="1" outlineLevel="2" x14ac:dyDescent="0.25">
      <c r="A60" s="48"/>
      <c r="B60" s="49"/>
      <c r="C60" s="48"/>
      <c r="D60" s="199" t="s">
        <v>6</v>
      </c>
      <c r="E60" s="200" t="s">
        <v>828</v>
      </c>
      <c r="F60" s="200" t="s">
        <v>1458</v>
      </c>
      <c r="G60" s="201" t="s">
        <v>1522</v>
      </c>
      <c r="H60" s="200" t="s">
        <v>1290</v>
      </c>
      <c r="I60" s="202">
        <v>0</v>
      </c>
      <c r="J60" s="139">
        <f>VLOOKUP($E60,'7. PGE_Efficacité'!$A$6:$CY$266,(MATCH('4.2 ACE EFF WOL'!J$4,'7. PGE_Efficacité'!$A$4:$AO$4,0)+62),0)</f>
        <v>0</v>
      </c>
      <c r="K60" s="139">
        <f>VLOOKUP($E60,'7. PGE_Efficacité'!$A$6:$CY$266,(MATCH('4.2 ACE EFF WOL'!K$4,'7. PGE_Efficacité'!$A$4:$AO$4,0)+62),0)</f>
        <v>0</v>
      </c>
      <c r="L60" s="139">
        <f>VLOOKUP($E60,'7. PGE_Efficacité'!$A$6:$CY$266,(MATCH('4.2 ACE EFF WOL'!L$4,'7. PGE_Efficacité'!$A$4:$AO$4,0)+62),0)</f>
        <v>0</v>
      </c>
      <c r="M60" s="139">
        <f>VLOOKUP($E60,'7. PGE_Efficacité'!$A$6:$CY$266,(MATCH('4.2 ACE EFF WOL'!M$4,'7. PGE_Efficacité'!$A$4:$AO$4,0)+62),0)</f>
        <v>0</v>
      </c>
      <c r="N60" s="139">
        <f>VLOOKUP($E60,'7. PGE_Efficacité'!$A$6:$CY$266,(MATCH('4.2 ACE EFF WOL'!N$4,'7. PGE_Efficacité'!$A$4:$AO$4,0)+62),0)</f>
        <v>0</v>
      </c>
      <c r="O60" s="139">
        <f>VLOOKUP($E60,'7. PGE_Efficacité'!$A$6:$CY$266,78,0)</f>
        <v>0</v>
      </c>
      <c r="P60" s="139">
        <f>VLOOKUP($E60,'7. PGE_Efficacité'!$A$6:$CY$266,(MATCH('4.2 ACE EFF WOL'!P$4,'7. PGE_Efficacité'!$A$4:$AO$4,0)+62),0)</f>
        <v>0</v>
      </c>
      <c r="Q60" s="139">
        <f>VLOOKUP($E60,'7. PGE_Efficacité'!$A$6:$CY$266,(MATCH('4.2 ACE EFF WOL'!Q$4,'7. PGE_Efficacité'!$A$4:$AO$4,0)+62),0)</f>
        <v>0</v>
      </c>
      <c r="R60" s="139">
        <f>VLOOKUP($E60,'7. PGE_Efficacité'!$A$6:$CY$266,(MATCH('4.2 ACE EFF WOL'!R$4,'7. PGE_Efficacité'!$A$4:$AO$4,0)+62),0)</f>
        <v>0</v>
      </c>
      <c r="S60" s="139">
        <f>VLOOKUP($E60,'7. PGE_Efficacité'!$A$6:$CY$266,(MATCH('4.2 ACE EFF WOL'!S$4,'7. PGE_Efficacité'!$A$4:$AO$4,0)+62),0)</f>
        <v>0</v>
      </c>
      <c r="T60" s="139">
        <f>VLOOKUP($E60,'7. PGE_Efficacité'!$A$6:$CY$266,(MATCH('4.2 ACE EFF WOL'!T$4,'7. PGE_Efficacité'!$A$4:$AO$4,0)+62),0)</f>
        <v>0</v>
      </c>
      <c r="U60" s="139">
        <f>VLOOKUP($E60,'7. PGE_Efficacité'!$A$6:$CY$266,(MATCH('4.2 ACE EFF WOL'!U$4,'7. PGE_Efficacité'!$A$4:$AO$4,0)+62),0)</f>
        <v>0</v>
      </c>
      <c r="V60" s="139">
        <f>VLOOKUP($E60,'7. PGE_Efficacité'!$A$6:$CY$266,(MATCH('4.2 ACE EFF WOL'!V$4,'7. PGE_Efficacité'!$A$4:$AO$4,0)+62),0)</f>
        <v>0</v>
      </c>
      <c r="W60" s="139">
        <f>VLOOKUP($E60,'7. PGE_Efficacité'!$A$6:$CY$266,(MATCH('4.2 ACE EFF WOL'!W$4,'7. PGE_Efficacité'!$A$4:$AO$4,0)+62),0)</f>
        <v>0</v>
      </c>
      <c r="X60" s="139">
        <f>VLOOKUP($E60,'7. PGE_Efficacité'!$A$6:$CY$266,(MATCH('4.2 ACE EFF WOL'!X$4,'7. PGE_Efficacité'!$A$4:$AO$4,0)+62),0)</f>
        <v>0</v>
      </c>
      <c r="Y60" s="139">
        <f>VLOOKUP($E60,'7. PGE_Efficacité'!$A$6:$CY$266,(MATCH('4.2 ACE EFF WOL'!Y$4,'7. PGE_Efficacité'!$A$4:$AO$4,0)+62),0)</f>
        <v>0</v>
      </c>
      <c r="Z60" s="139">
        <f>VLOOKUP($E60,'7. PGE_Efficacité'!$A$6:$CY$266,(MATCH('4.2 ACE EFF WOL'!Z$4,'7. PGE_Efficacité'!$A$4:$AO$4,0)+62),0)</f>
        <v>0</v>
      </c>
      <c r="AA60" s="139">
        <f>VLOOKUP($E60,'7. PGE_Efficacité'!$A$6:$CY$266,(MATCH('4.2 ACE EFF WOL'!AA$4,'7. PGE_Efficacité'!$A$4:$AO$4,0)+62),0)</f>
        <v>0</v>
      </c>
      <c r="AB60" s="139">
        <f>VLOOKUP($E60,'7. PGE_Efficacité'!$A$6:$CY$266,(MATCH('4.2 ACE EFF WOL'!AB$4,'7. PGE_Efficacité'!$A$4:$AO$4,0)+62),0)</f>
        <v>0</v>
      </c>
      <c r="AC60" s="139">
        <f>VLOOKUP($E60,'7. PGE_Efficacité'!$A$6:$CY$266,(MATCH('4.2 ACE EFF WOL'!AC$4,'7. PGE_Efficacité'!$A$4:$AO$4,0)+62),0)</f>
        <v>0</v>
      </c>
      <c r="AD60" s="139">
        <f>VLOOKUP($E60,'7. PGE_Efficacité'!$A$6:$CY$266,(MATCH('4.2 ACE EFF WOL'!AD$4,'7. PGE_Efficacité'!$A$4:$AO$4,0)+62),0)</f>
        <v>0</v>
      </c>
      <c r="AE60" s="139">
        <f>VLOOKUP($E60,'7. PGE_Efficacité'!$A$6:$CY$266,(MATCH('4.2 ACE EFF WOL'!AE$4,'7. PGE_Efficacité'!$A$4:$AO$4,0)+62),0)</f>
        <v>0</v>
      </c>
      <c r="AF60" s="139">
        <f>VLOOKUP($E60,'7. PGE_Efficacité'!$A$6:$CY$266,(MATCH('4.2 ACE EFF WOL'!AF$4,'7. PGE_Efficacité'!$A$4:$AO$4,0)+62),0)</f>
        <v>0</v>
      </c>
      <c r="AG60" s="139">
        <f>VLOOKUP($E60,'7. PGE_Efficacité'!$A$6:$CY$266,(MATCH('4.2 ACE EFF WOL'!AG$4,'7. PGE_Efficacité'!$A$4:$AO$4,0)+62),0)</f>
        <v>0</v>
      </c>
      <c r="AH60" s="139">
        <f>VLOOKUP($E60,'7. PGE_Efficacité'!$A$6:$CY$266,(MATCH('4.2 ACE EFF WOL'!AH$4,'7. PGE_Efficacité'!$A$4:$AO$4,0)+62),0)</f>
        <v>0</v>
      </c>
      <c r="AI60" s="139">
        <f>VLOOKUP($E60,'7. PGE_Efficacité'!$A$6:$CY$266,(MATCH('4.2 ACE EFF WOL'!AI$4,'7. PGE_Efficacité'!$A$4:$AO$4,0)+62),0)</f>
        <v>0</v>
      </c>
      <c r="AJ60" s="139">
        <f>VLOOKUP($E60,'7. PGE_Efficacité'!$A$6:$CY$266,(MATCH('4.2 ACE EFF WOL'!AJ$4,'7. PGE_Efficacité'!$A$4:$AO$4,0)+62),0)</f>
        <v>0</v>
      </c>
      <c r="AK60" s="139">
        <f>VLOOKUP($E60,'7. PGE_Efficacité'!$A$6:$CY$266,(MATCH('4.2 ACE EFF WOL'!AK$4,'7. PGE_Efficacité'!$A$4:$AO$4,0)+62),0)</f>
        <v>0</v>
      </c>
      <c r="AL60" s="139">
        <f>VLOOKUP($E60,'7. PGE_Efficacité'!$A$6:$CY$266,(MATCH('4.2 ACE EFF WOL'!AL$4,'7. PGE_Efficacité'!$A$4:$AO$4,0)+62),0)</f>
        <v>0</v>
      </c>
      <c r="AM60" s="139">
        <f>VLOOKUP($E60,'7. PGE_Efficacité'!$A$6:$CY$266,(MATCH('4.2 ACE EFF WOL'!AM$4,'7. PGE_Efficacité'!$A$4:$AO$4,0)+62),0)</f>
        <v>0</v>
      </c>
      <c r="AN60" s="139">
        <f>VLOOKUP($E60,'7. PGE_Efficacité'!$A$6:$CY$266,(MATCH('4.2 ACE EFF WOL'!AN$4,'7. PGE_Efficacité'!$A$4:$AO$4,0)+62),0)</f>
        <v>0</v>
      </c>
    </row>
    <row r="61" spans="1:40" hidden="1" outlineLevel="2" x14ac:dyDescent="0.25">
      <c r="A61" s="48" t="s">
        <v>1524</v>
      </c>
      <c r="B61" s="49">
        <v>7</v>
      </c>
      <c r="C61" s="48" t="s">
        <v>1524</v>
      </c>
      <c r="D61" s="199" t="s">
        <v>6</v>
      </c>
      <c r="E61" s="200" t="s">
        <v>829</v>
      </c>
      <c r="F61" s="200" t="s">
        <v>1459</v>
      </c>
      <c r="G61" s="201" t="s">
        <v>1522</v>
      </c>
      <c r="H61" s="200" t="s">
        <v>1290</v>
      </c>
      <c r="I61" s="202">
        <v>0</v>
      </c>
      <c r="J61" s="139">
        <f>VLOOKUP($E61,'7. PGE_Efficacité'!$A$6:$CY$266,(MATCH('4.2 ACE EFF WOL'!J$4,'7. PGE_Efficacité'!$A$4:$AO$4,0)+62),0)</f>
        <v>0</v>
      </c>
      <c r="K61" s="139">
        <f>VLOOKUP($E61,'7. PGE_Efficacité'!$A$6:$CY$266,(MATCH('4.2 ACE EFF WOL'!K$4,'7. PGE_Efficacité'!$A$4:$AO$4,0)+62),0)</f>
        <v>0</v>
      </c>
      <c r="L61" s="139">
        <f>VLOOKUP($E61,'7. PGE_Efficacité'!$A$6:$CY$266,(MATCH('4.2 ACE EFF WOL'!L$4,'7. PGE_Efficacité'!$A$4:$AO$4,0)+62),0)</f>
        <v>0</v>
      </c>
      <c r="M61" s="139">
        <f>VLOOKUP($E61,'7. PGE_Efficacité'!$A$6:$CY$266,(MATCH('4.2 ACE EFF WOL'!M$4,'7. PGE_Efficacité'!$A$4:$AO$4,0)+62),0)</f>
        <v>0</v>
      </c>
      <c r="N61" s="139">
        <f>VLOOKUP($E61,'7. PGE_Efficacité'!$A$6:$CY$266,(MATCH('4.2 ACE EFF WOL'!N$4,'7. PGE_Efficacité'!$A$4:$AO$4,0)+62),0)</f>
        <v>0</v>
      </c>
      <c r="O61" s="139">
        <f>VLOOKUP($E61,'7. PGE_Efficacité'!$A$6:$CY$266,78,0)</f>
        <v>0</v>
      </c>
      <c r="P61" s="139">
        <f>VLOOKUP($E61,'7. PGE_Efficacité'!$A$6:$CY$266,(MATCH('4.2 ACE EFF WOL'!P$4,'7. PGE_Efficacité'!$A$4:$AO$4,0)+62),0)</f>
        <v>0</v>
      </c>
      <c r="Q61" s="139">
        <f>VLOOKUP($E61,'7. PGE_Efficacité'!$A$6:$CY$266,(MATCH('4.2 ACE EFF WOL'!Q$4,'7. PGE_Efficacité'!$A$4:$AO$4,0)+62),0)</f>
        <v>0</v>
      </c>
      <c r="R61" s="139">
        <f>VLOOKUP($E61,'7. PGE_Efficacité'!$A$6:$CY$266,(MATCH('4.2 ACE EFF WOL'!R$4,'7. PGE_Efficacité'!$A$4:$AO$4,0)+62),0)</f>
        <v>0</v>
      </c>
      <c r="S61" s="139">
        <f>VLOOKUP($E61,'7. PGE_Efficacité'!$A$6:$CY$266,(MATCH('4.2 ACE EFF WOL'!S$4,'7. PGE_Efficacité'!$A$4:$AO$4,0)+62),0)</f>
        <v>0</v>
      </c>
      <c r="T61" s="139">
        <f>VLOOKUP($E61,'7. PGE_Efficacité'!$A$6:$CY$266,(MATCH('4.2 ACE EFF WOL'!T$4,'7. PGE_Efficacité'!$A$4:$AO$4,0)+62),0)</f>
        <v>0</v>
      </c>
      <c r="U61" s="139">
        <f>VLOOKUP($E61,'7. PGE_Efficacité'!$A$6:$CY$266,(MATCH('4.2 ACE EFF WOL'!U$4,'7. PGE_Efficacité'!$A$4:$AO$4,0)+62),0)</f>
        <v>0</v>
      </c>
      <c r="V61" s="139">
        <f>VLOOKUP($E61,'7. PGE_Efficacité'!$A$6:$CY$266,(MATCH('4.2 ACE EFF WOL'!V$4,'7. PGE_Efficacité'!$A$4:$AO$4,0)+62),0)</f>
        <v>0</v>
      </c>
      <c r="W61" s="139">
        <f>VLOOKUP($E61,'7. PGE_Efficacité'!$A$6:$CY$266,(MATCH('4.2 ACE EFF WOL'!W$4,'7. PGE_Efficacité'!$A$4:$AO$4,0)+62),0)</f>
        <v>0</v>
      </c>
      <c r="X61" s="139">
        <f>VLOOKUP($E61,'7. PGE_Efficacité'!$A$6:$CY$266,(MATCH('4.2 ACE EFF WOL'!X$4,'7. PGE_Efficacité'!$A$4:$AO$4,0)+62),0)</f>
        <v>0</v>
      </c>
      <c r="Y61" s="139">
        <f>VLOOKUP($E61,'7. PGE_Efficacité'!$A$6:$CY$266,(MATCH('4.2 ACE EFF WOL'!Y$4,'7. PGE_Efficacité'!$A$4:$AO$4,0)+62),0)</f>
        <v>0</v>
      </c>
      <c r="Z61" s="139">
        <f>VLOOKUP($E61,'7. PGE_Efficacité'!$A$6:$CY$266,(MATCH('4.2 ACE EFF WOL'!Z$4,'7. PGE_Efficacité'!$A$4:$AO$4,0)+62),0)</f>
        <v>0</v>
      </c>
      <c r="AA61" s="139">
        <f>VLOOKUP($E61,'7. PGE_Efficacité'!$A$6:$CY$266,(MATCH('4.2 ACE EFF WOL'!AA$4,'7. PGE_Efficacité'!$A$4:$AO$4,0)+62),0)</f>
        <v>0</v>
      </c>
      <c r="AB61" s="139">
        <f>VLOOKUP($E61,'7. PGE_Efficacité'!$A$6:$CY$266,(MATCH('4.2 ACE EFF WOL'!AB$4,'7. PGE_Efficacité'!$A$4:$AO$4,0)+62),0)</f>
        <v>0</v>
      </c>
      <c r="AC61" s="139">
        <f>VLOOKUP($E61,'7. PGE_Efficacité'!$A$6:$CY$266,(MATCH('4.2 ACE EFF WOL'!AC$4,'7. PGE_Efficacité'!$A$4:$AO$4,0)+62),0)</f>
        <v>0</v>
      </c>
      <c r="AD61" s="139">
        <f>VLOOKUP($E61,'7. PGE_Efficacité'!$A$6:$CY$266,(MATCH('4.2 ACE EFF WOL'!AD$4,'7. PGE_Efficacité'!$A$4:$AO$4,0)+62),0)</f>
        <v>0</v>
      </c>
      <c r="AE61" s="139">
        <f>VLOOKUP($E61,'7. PGE_Efficacité'!$A$6:$CY$266,(MATCH('4.2 ACE EFF WOL'!AE$4,'7. PGE_Efficacité'!$A$4:$AO$4,0)+62),0)</f>
        <v>0</v>
      </c>
      <c r="AF61" s="139">
        <f>VLOOKUP($E61,'7. PGE_Efficacité'!$A$6:$CY$266,(MATCH('4.2 ACE EFF WOL'!AF$4,'7. PGE_Efficacité'!$A$4:$AO$4,0)+62),0)</f>
        <v>0</v>
      </c>
      <c r="AG61" s="139">
        <f>VLOOKUP($E61,'7. PGE_Efficacité'!$A$6:$CY$266,(MATCH('4.2 ACE EFF WOL'!AG$4,'7. PGE_Efficacité'!$A$4:$AO$4,0)+62),0)</f>
        <v>0</v>
      </c>
      <c r="AH61" s="139">
        <f>VLOOKUP($E61,'7. PGE_Efficacité'!$A$6:$CY$266,(MATCH('4.2 ACE EFF WOL'!AH$4,'7. PGE_Efficacité'!$A$4:$AO$4,0)+62),0)</f>
        <v>0</v>
      </c>
      <c r="AI61" s="139">
        <f>VLOOKUP($E61,'7. PGE_Efficacité'!$A$6:$CY$266,(MATCH('4.2 ACE EFF WOL'!AI$4,'7. PGE_Efficacité'!$A$4:$AO$4,0)+62),0)</f>
        <v>0</v>
      </c>
      <c r="AJ61" s="139">
        <f>VLOOKUP($E61,'7. PGE_Efficacité'!$A$6:$CY$266,(MATCH('4.2 ACE EFF WOL'!AJ$4,'7. PGE_Efficacité'!$A$4:$AO$4,0)+62),0)</f>
        <v>0</v>
      </c>
      <c r="AK61" s="139">
        <f>VLOOKUP($E61,'7. PGE_Efficacité'!$A$6:$CY$266,(MATCH('4.2 ACE EFF WOL'!AK$4,'7. PGE_Efficacité'!$A$4:$AO$4,0)+62),0)</f>
        <v>0</v>
      </c>
      <c r="AL61" s="139">
        <f>VLOOKUP($E61,'7. PGE_Efficacité'!$A$6:$CY$266,(MATCH('4.2 ACE EFF WOL'!AL$4,'7. PGE_Efficacité'!$A$4:$AO$4,0)+62),0)</f>
        <v>0</v>
      </c>
      <c r="AM61" s="139">
        <f>VLOOKUP($E61,'7. PGE_Efficacité'!$A$6:$CY$266,(MATCH('4.2 ACE EFF WOL'!AM$4,'7. PGE_Efficacité'!$A$4:$AO$4,0)+62),0)</f>
        <v>0</v>
      </c>
      <c r="AN61" s="139">
        <f>VLOOKUP($E61,'7. PGE_Efficacité'!$A$6:$CY$266,(MATCH('4.2 ACE EFF WOL'!AN$4,'7. PGE_Efficacité'!$A$4:$AO$4,0)+62),0)</f>
        <v>0</v>
      </c>
    </row>
    <row r="62" spans="1:40" hidden="1" outlineLevel="2" x14ac:dyDescent="0.25">
      <c r="A62" s="48" t="s">
        <v>1524</v>
      </c>
      <c r="B62" s="49">
        <v>7</v>
      </c>
      <c r="C62" s="48" t="s">
        <v>1525</v>
      </c>
      <c r="D62" s="199" t="s">
        <v>6</v>
      </c>
      <c r="E62" s="200" t="s">
        <v>830</v>
      </c>
      <c r="F62" s="200" t="s">
        <v>1460</v>
      </c>
      <c r="G62" s="201" t="s">
        <v>1522</v>
      </c>
      <c r="H62" s="200" t="s">
        <v>1290</v>
      </c>
      <c r="I62" s="202">
        <v>0</v>
      </c>
      <c r="J62" s="139">
        <f>VLOOKUP($E62,'7. PGE_Efficacité'!$A$6:$CY$266,(MATCH('4.2 ACE EFF WOL'!J$4,'7. PGE_Efficacité'!$A$4:$AO$4,0)+62),0)</f>
        <v>0</v>
      </c>
      <c r="K62" s="139">
        <f>VLOOKUP($E62,'7. PGE_Efficacité'!$A$6:$CY$266,(MATCH('4.2 ACE EFF WOL'!K$4,'7. PGE_Efficacité'!$A$4:$AO$4,0)+62),0)</f>
        <v>0</v>
      </c>
      <c r="L62" s="139">
        <f>VLOOKUP($E62,'7. PGE_Efficacité'!$A$6:$CY$266,(MATCH('4.2 ACE EFF WOL'!L$4,'7. PGE_Efficacité'!$A$4:$AO$4,0)+62),0)</f>
        <v>0</v>
      </c>
      <c r="M62" s="139">
        <f>VLOOKUP($E62,'7. PGE_Efficacité'!$A$6:$CY$266,(MATCH('4.2 ACE EFF WOL'!M$4,'7. PGE_Efficacité'!$A$4:$AO$4,0)+62),0)</f>
        <v>0</v>
      </c>
      <c r="N62" s="139">
        <f>VLOOKUP($E62,'7. PGE_Efficacité'!$A$6:$CY$266,(MATCH('4.2 ACE EFF WOL'!N$4,'7. PGE_Efficacité'!$A$4:$AO$4,0)+62),0)</f>
        <v>0</v>
      </c>
      <c r="O62" s="139">
        <f>VLOOKUP($E62,'7. PGE_Efficacité'!$A$6:$CY$266,78,0)</f>
        <v>0</v>
      </c>
      <c r="P62" s="139">
        <f>VLOOKUP($E62,'7. PGE_Efficacité'!$A$6:$CY$266,(MATCH('4.2 ACE EFF WOL'!P$4,'7. PGE_Efficacité'!$A$4:$AO$4,0)+62),0)</f>
        <v>0</v>
      </c>
      <c r="Q62" s="139">
        <f>VLOOKUP($E62,'7. PGE_Efficacité'!$A$6:$CY$266,(MATCH('4.2 ACE EFF WOL'!Q$4,'7. PGE_Efficacité'!$A$4:$AO$4,0)+62),0)</f>
        <v>0</v>
      </c>
      <c r="R62" s="139">
        <f>VLOOKUP($E62,'7. PGE_Efficacité'!$A$6:$CY$266,(MATCH('4.2 ACE EFF WOL'!R$4,'7. PGE_Efficacité'!$A$4:$AO$4,0)+62),0)</f>
        <v>0</v>
      </c>
      <c r="S62" s="139">
        <f>VLOOKUP($E62,'7. PGE_Efficacité'!$A$6:$CY$266,(MATCH('4.2 ACE EFF WOL'!S$4,'7. PGE_Efficacité'!$A$4:$AO$4,0)+62),0)</f>
        <v>0</v>
      </c>
      <c r="T62" s="139">
        <f>VLOOKUP($E62,'7. PGE_Efficacité'!$A$6:$CY$266,(MATCH('4.2 ACE EFF WOL'!T$4,'7. PGE_Efficacité'!$A$4:$AO$4,0)+62),0)</f>
        <v>0</v>
      </c>
      <c r="U62" s="139">
        <f>VLOOKUP($E62,'7. PGE_Efficacité'!$A$6:$CY$266,(MATCH('4.2 ACE EFF WOL'!U$4,'7. PGE_Efficacité'!$A$4:$AO$4,0)+62),0)</f>
        <v>0</v>
      </c>
      <c r="V62" s="139">
        <f>VLOOKUP($E62,'7. PGE_Efficacité'!$A$6:$CY$266,(MATCH('4.2 ACE EFF WOL'!V$4,'7. PGE_Efficacité'!$A$4:$AO$4,0)+62),0)</f>
        <v>0</v>
      </c>
      <c r="W62" s="139">
        <f>VLOOKUP($E62,'7. PGE_Efficacité'!$A$6:$CY$266,(MATCH('4.2 ACE EFF WOL'!W$4,'7. PGE_Efficacité'!$A$4:$AO$4,0)+62),0)</f>
        <v>0</v>
      </c>
      <c r="X62" s="139">
        <f>VLOOKUP($E62,'7. PGE_Efficacité'!$A$6:$CY$266,(MATCH('4.2 ACE EFF WOL'!X$4,'7. PGE_Efficacité'!$A$4:$AO$4,0)+62),0)</f>
        <v>0</v>
      </c>
      <c r="Y62" s="139">
        <f>VLOOKUP($E62,'7. PGE_Efficacité'!$A$6:$CY$266,(MATCH('4.2 ACE EFF WOL'!Y$4,'7. PGE_Efficacité'!$A$4:$AO$4,0)+62),0)</f>
        <v>0</v>
      </c>
      <c r="Z62" s="139">
        <f>VLOOKUP($E62,'7. PGE_Efficacité'!$A$6:$CY$266,(MATCH('4.2 ACE EFF WOL'!Z$4,'7. PGE_Efficacité'!$A$4:$AO$4,0)+62),0)</f>
        <v>0</v>
      </c>
      <c r="AA62" s="139">
        <f>VLOOKUP($E62,'7. PGE_Efficacité'!$A$6:$CY$266,(MATCH('4.2 ACE EFF WOL'!AA$4,'7. PGE_Efficacité'!$A$4:$AO$4,0)+62),0)</f>
        <v>0</v>
      </c>
      <c r="AB62" s="139">
        <f>VLOOKUP($E62,'7. PGE_Efficacité'!$A$6:$CY$266,(MATCH('4.2 ACE EFF WOL'!AB$4,'7. PGE_Efficacité'!$A$4:$AO$4,0)+62),0)</f>
        <v>0</v>
      </c>
      <c r="AC62" s="139">
        <f>VLOOKUP($E62,'7. PGE_Efficacité'!$A$6:$CY$266,(MATCH('4.2 ACE EFF WOL'!AC$4,'7. PGE_Efficacité'!$A$4:$AO$4,0)+62),0)</f>
        <v>0</v>
      </c>
      <c r="AD62" s="139">
        <f>VLOOKUP($E62,'7. PGE_Efficacité'!$A$6:$CY$266,(MATCH('4.2 ACE EFF WOL'!AD$4,'7. PGE_Efficacité'!$A$4:$AO$4,0)+62),0)</f>
        <v>0</v>
      </c>
      <c r="AE62" s="139">
        <f>VLOOKUP($E62,'7. PGE_Efficacité'!$A$6:$CY$266,(MATCH('4.2 ACE EFF WOL'!AE$4,'7. PGE_Efficacité'!$A$4:$AO$4,0)+62),0)</f>
        <v>0</v>
      </c>
      <c r="AF62" s="139">
        <f>VLOOKUP($E62,'7. PGE_Efficacité'!$A$6:$CY$266,(MATCH('4.2 ACE EFF WOL'!AF$4,'7. PGE_Efficacité'!$A$4:$AO$4,0)+62),0)</f>
        <v>0</v>
      </c>
      <c r="AG62" s="139">
        <f>VLOOKUP($E62,'7. PGE_Efficacité'!$A$6:$CY$266,(MATCH('4.2 ACE EFF WOL'!AG$4,'7. PGE_Efficacité'!$A$4:$AO$4,0)+62),0)</f>
        <v>0</v>
      </c>
      <c r="AH62" s="139">
        <f>VLOOKUP($E62,'7. PGE_Efficacité'!$A$6:$CY$266,(MATCH('4.2 ACE EFF WOL'!AH$4,'7. PGE_Efficacité'!$A$4:$AO$4,0)+62),0)</f>
        <v>0</v>
      </c>
      <c r="AI62" s="139">
        <f>VLOOKUP($E62,'7. PGE_Efficacité'!$A$6:$CY$266,(MATCH('4.2 ACE EFF WOL'!AI$4,'7. PGE_Efficacité'!$A$4:$AO$4,0)+62),0)</f>
        <v>0</v>
      </c>
      <c r="AJ62" s="139">
        <f>VLOOKUP($E62,'7. PGE_Efficacité'!$A$6:$CY$266,(MATCH('4.2 ACE EFF WOL'!AJ$4,'7. PGE_Efficacité'!$A$4:$AO$4,0)+62),0)</f>
        <v>0</v>
      </c>
      <c r="AK62" s="139">
        <f>VLOOKUP($E62,'7. PGE_Efficacité'!$A$6:$CY$266,(MATCH('4.2 ACE EFF WOL'!AK$4,'7. PGE_Efficacité'!$A$4:$AO$4,0)+62),0)</f>
        <v>0</v>
      </c>
      <c r="AL62" s="139">
        <f>VLOOKUP($E62,'7. PGE_Efficacité'!$A$6:$CY$266,(MATCH('4.2 ACE EFF WOL'!AL$4,'7. PGE_Efficacité'!$A$4:$AO$4,0)+62),0)</f>
        <v>0</v>
      </c>
      <c r="AM62" s="139">
        <f>VLOOKUP($E62,'7. PGE_Efficacité'!$A$6:$CY$266,(MATCH('4.2 ACE EFF WOL'!AM$4,'7. PGE_Efficacité'!$A$4:$AO$4,0)+62),0)</f>
        <v>0</v>
      </c>
      <c r="AN62" s="139">
        <f>VLOOKUP($E62,'7. PGE_Efficacité'!$A$6:$CY$266,(MATCH('4.2 ACE EFF WOL'!AN$4,'7. PGE_Efficacité'!$A$4:$AO$4,0)+62),0)</f>
        <v>0</v>
      </c>
    </row>
    <row r="63" spans="1:40" hidden="1" outlineLevel="2" x14ac:dyDescent="0.25">
      <c r="A63" s="48" t="s">
        <v>1524</v>
      </c>
      <c r="B63" s="49">
        <v>7</v>
      </c>
      <c r="C63" s="48" t="s">
        <v>1526</v>
      </c>
      <c r="D63" s="199" t="s">
        <v>6</v>
      </c>
      <c r="E63" s="200" t="s">
        <v>831</v>
      </c>
      <c r="F63" s="200" t="s">
        <v>1461</v>
      </c>
      <c r="G63" s="201" t="s">
        <v>1522</v>
      </c>
      <c r="H63" s="200" t="s">
        <v>1290</v>
      </c>
      <c r="I63" s="202">
        <v>0</v>
      </c>
      <c r="J63" s="139">
        <f>VLOOKUP($E63,'7. PGE_Efficacité'!$A$6:$CY$266,(MATCH('4.2 ACE EFF WOL'!J$4,'7. PGE_Efficacité'!$A$4:$AO$4,0)+62),0)</f>
        <v>0</v>
      </c>
      <c r="K63" s="139">
        <f>VLOOKUP($E63,'7. PGE_Efficacité'!$A$6:$CY$266,(MATCH('4.2 ACE EFF WOL'!K$4,'7. PGE_Efficacité'!$A$4:$AO$4,0)+62),0)</f>
        <v>0</v>
      </c>
      <c r="L63" s="139">
        <f>VLOOKUP($E63,'7. PGE_Efficacité'!$A$6:$CY$266,(MATCH('4.2 ACE EFF WOL'!L$4,'7. PGE_Efficacité'!$A$4:$AO$4,0)+62),0)</f>
        <v>0</v>
      </c>
      <c r="M63" s="139">
        <f>VLOOKUP($E63,'7. PGE_Efficacité'!$A$6:$CY$266,(MATCH('4.2 ACE EFF WOL'!M$4,'7. PGE_Efficacité'!$A$4:$AO$4,0)+62),0)</f>
        <v>0</v>
      </c>
      <c r="N63" s="139">
        <f>VLOOKUP($E63,'7. PGE_Efficacité'!$A$6:$CY$266,(MATCH('4.2 ACE EFF WOL'!N$4,'7. PGE_Efficacité'!$A$4:$AO$4,0)+62),0)</f>
        <v>0</v>
      </c>
      <c r="O63" s="139">
        <f>VLOOKUP($E63,'7. PGE_Efficacité'!$A$6:$CY$266,78,0)</f>
        <v>0</v>
      </c>
      <c r="P63" s="139">
        <f>VLOOKUP($E63,'7. PGE_Efficacité'!$A$6:$CY$266,(MATCH('4.2 ACE EFF WOL'!P$4,'7. PGE_Efficacité'!$A$4:$AO$4,0)+62),0)</f>
        <v>0</v>
      </c>
      <c r="Q63" s="139">
        <f>VLOOKUP($E63,'7. PGE_Efficacité'!$A$6:$CY$266,(MATCH('4.2 ACE EFF WOL'!Q$4,'7. PGE_Efficacité'!$A$4:$AO$4,0)+62),0)</f>
        <v>0</v>
      </c>
      <c r="R63" s="139">
        <f>VLOOKUP($E63,'7. PGE_Efficacité'!$A$6:$CY$266,(MATCH('4.2 ACE EFF WOL'!R$4,'7. PGE_Efficacité'!$A$4:$AO$4,0)+62),0)</f>
        <v>0</v>
      </c>
      <c r="S63" s="139">
        <f>VLOOKUP($E63,'7. PGE_Efficacité'!$A$6:$CY$266,(MATCH('4.2 ACE EFF WOL'!S$4,'7. PGE_Efficacité'!$A$4:$AO$4,0)+62),0)</f>
        <v>0</v>
      </c>
      <c r="T63" s="139">
        <f>VLOOKUP($E63,'7. PGE_Efficacité'!$A$6:$CY$266,(MATCH('4.2 ACE EFF WOL'!T$4,'7. PGE_Efficacité'!$A$4:$AO$4,0)+62),0)</f>
        <v>0</v>
      </c>
      <c r="U63" s="139">
        <f>VLOOKUP($E63,'7. PGE_Efficacité'!$A$6:$CY$266,(MATCH('4.2 ACE EFF WOL'!U$4,'7. PGE_Efficacité'!$A$4:$AO$4,0)+62),0)</f>
        <v>0</v>
      </c>
      <c r="V63" s="139">
        <f>VLOOKUP($E63,'7. PGE_Efficacité'!$A$6:$CY$266,(MATCH('4.2 ACE EFF WOL'!V$4,'7. PGE_Efficacité'!$A$4:$AO$4,0)+62),0)</f>
        <v>0</v>
      </c>
      <c r="W63" s="139">
        <f>VLOOKUP($E63,'7. PGE_Efficacité'!$A$6:$CY$266,(MATCH('4.2 ACE EFF WOL'!W$4,'7. PGE_Efficacité'!$A$4:$AO$4,0)+62),0)</f>
        <v>0</v>
      </c>
      <c r="X63" s="139">
        <f>VLOOKUP($E63,'7. PGE_Efficacité'!$A$6:$CY$266,(MATCH('4.2 ACE EFF WOL'!X$4,'7. PGE_Efficacité'!$A$4:$AO$4,0)+62),0)</f>
        <v>0</v>
      </c>
      <c r="Y63" s="139">
        <f>VLOOKUP($E63,'7. PGE_Efficacité'!$A$6:$CY$266,(MATCH('4.2 ACE EFF WOL'!Y$4,'7. PGE_Efficacité'!$A$4:$AO$4,0)+62),0)</f>
        <v>0</v>
      </c>
      <c r="Z63" s="139">
        <f>VLOOKUP($E63,'7. PGE_Efficacité'!$A$6:$CY$266,(MATCH('4.2 ACE EFF WOL'!Z$4,'7. PGE_Efficacité'!$A$4:$AO$4,0)+62),0)</f>
        <v>0</v>
      </c>
      <c r="AA63" s="139">
        <f>VLOOKUP($E63,'7. PGE_Efficacité'!$A$6:$CY$266,(MATCH('4.2 ACE EFF WOL'!AA$4,'7. PGE_Efficacité'!$A$4:$AO$4,0)+62),0)</f>
        <v>0</v>
      </c>
      <c r="AB63" s="139">
        <f>VLOOKUP($E63,'7. PGE_Efficacité'!$A$6:$CY$266,(MATCH('4.2 ACE EFF WOL'!AB$4,'7. PGE_Efficacité'!$A$4:$AO$4,0)+62),0)</f>
        <v>0</v>
      </c>
      <c r="AC63" s="139">
        <f>VLOOKUP($E63,'7. PGE_Efficacité'!$A$6:$CY$266,(MATCH('4.2 ACE EFF WOL'!AC$4,'7. PGE_Efficacité'!$A$4:$AO$4,0)+62),0)</f>
        <v>0</v>
      </c>
      <c r="AD63" s="139">
        <f>VLOOKUP($E63,'7. PGE_Efficacité'!$A$6:$CY$266,(MATCH('4.2 ACE EFF WOL'!AD$4,'7. PGE_Efficacité'!$A$4:$AO$4,0)+62),0)</f>
        <v>0</v>
      </c>
      <c r="AE63" s="139">
        <f>VLOOKUP($E63,'7. PGE_Efficacité'!$A$6:$CY$266,(MATCH('4.2 ACE EFF WOL'!AE$4,'7. PGE_Efficacité'!$A$4:$AO$4,0)+62),0)</f>
        <v>0</v>
      </c>
      <c r="AF63" s="139">
        <f>VLOOKUP($E63,'7. PGE_Efficacité'!$A$6:$CY$266,(MATCH('4.2 ACE EFF WOL'!AF$4,'7. PGE_Efficacité'!$A$4:$AO$4,0)+62),0)</f>
        <v>0</v>
      </c>
      <c r="AG63" s="139">
        <f>VLOOKUP($E63,'7. PGE_Efficacité'!$A$6:$CY$266,(MATCH('4.2 ACE EFF WOL'!AG$4,'7. PGE_Efficacité'!$A$4:$AO$4,0)+62),0)</f>
        <v>0</v>
      </c>
      <c r="AH63" s="139">
        <f>VLOOKUP($E63,'7. PGE_Efficacité'!$A$6:$CY$266,(MATCH('4.2 ACE EFF WOL'!AH$4,'7. PGE_Efficacité'!$A$4:$AO$4,0)+62),0)</f>
        <v>0</v>
      </c>
      <c r="AI63" s="139">
        <f>VLOOKUP($E63,'7. PGE_Efficacité'!$A$6:$CY$266,(MATCH('4.2 ACE EFF WOL'!AI$4,'7. PGE_Efficacité'!$A$4:$AO$4,0)+62),0)</f>
        <v>0</v>
      </c>
      <c r="AJ63" s="139">
        <f>VLOOKUP($E63,'7. PGE_Efficacité'!$A$6:$CY$266,(MATCH('4.2 ACE EFF WOL'!AJ$4,'7. PGE_Efficacité'!$A$4:$AO$4,0)+62),0)</f>
        <v>0</v>
      </c>
      <c r="AK63" s="139">
        <f>VLOOKUP($E63,'7. PGE_Efficacité'!$A$6:$CY$266,(MATCH('4.2 ACE EFF WOL'!AK$4,'7. PGE_Efficacité'!$A$4:$AO$4,0)+62),0)</f>
        <v>0</v>
      </c>
      <c r="AL63" s="139">
        <f>VLOOKUP($E63,'7. PGE_Efficacité'!$A$6:$CY$266,(MATCH('4.2 ACE EFF WOL'!AL$4,'7. PGE_Efficacité'!$A$4:$AO$4,0)+62),0)</f>
        <v>0</v>
      </c>
      <c r="AM63" s="139">
        <f>VLOOKUP($E63,'7. PGE_Efficacité'!$A$6:$CY$266,(MATCH('4.2 ACE EFF WOL'!AM$4,'7. PGE_Efficacité'!$A$4:$AO$4,0)+62),0)</f>
        <v>0</v>
      </c>
      <c r="AN63" s="139">
        <f>VLOOKUP($E63,'7. PGE_Efficacité'!$A$6:$CY$266,(MATCH('4.2 ACE EFF WOL'!AN$4,'7. PGE_Efficacité'!$A$4:$AO$4,0)+62),0)</f>
        <v>0</v>
      </c>
    </row>
    <row r="64" spans="1:40" hidden="1" outlineLevel="2" x14ac:dyDescent="0.25">
      <c r="A64" s="48" t="s">
        <v>1524</v>
      </c>
      <c r="B64" s="49">
        <v>7</v>
      </c>
      <c r="C64" s="48" t="s">
        <v>1527</v>
      </c>
      <c r="D64" s="199" t="s">
        <v>6</v>
      </c>
      <c r="E64" s="200" t="s">
        <v>833</v>
      </c>
      <c r="F64" s="200" t="s">
        <v>1463</v>
      </c>
      <c r="G64" s="201" t="s">
        <v>1522</v>
      </c>
      <c r="H64" s="200" t="s">
        <v>1290</v>
      </c>
      <c r="I64" s="202">
        <v>0</v>
      </c>
      <c r="J64" s="139">
        <f>VLOOKUP($E64,'7. PGE_Efficacité'!$A$6:$CY$266,(MATCH('4.2 ACE EFF WOL'!J$4,'7. PGE_Efficacité'!$A$4:$AO$4,0)+62),0)</f>
        <v>0</v>
      </c>
      <c r="K64" s="139">
        <f>VLOOKUP($E64,'7. PGE_Efficacité'!$A$6:$CY$266,(MATCH('4.2 ACE EFF WOL'!K$4,'7. PGE_Efficacité'!$A$4:$AO$4,0)+62),0)</f>
        <v>0</v>
      </c>
      <c r="L64" s="139">
        <f>VLOOKUP($E64,'7. PGE_Efficacité'!$A$6:$CY$266,(MATCH('4.2 ACE EFF WOL'!L$4,'7. PGE_Efficacité'!$A$4:$AO$4,0)+62),0)</f>
        <v>0</v>
      </c>
      <c r="M64" s="139">
        <f>VLOOKUP($E64,'7. PGE_Efficacité'!$A$6:$CY$266,(MATCH('4.2 ACE EFF WOL'!M$4,'7. PGE_Efficacité'!$A$4:$AO$4,0)+62),0)</f>
        <v>0</v>
      </c>
      <c r="N64" s="139">
        <f>VLOOKUP($E64,'7. PGE_Efficacité'!$A$6:$CY$266,(MATCH('4.2 ACE EFF WOL'!N$4,'7. PGE_Efficacité'!$A$4:$AO$4,0)+62),0)</f>
        <v>0</v>
      </c>
      <c r="O64" s="139">
        <f>VLOOKUP($E64,'7. PGE_Efficacité'!$A$6:$CY$266,78,0)</f>
        <v>0</v>
      </c>
      <c r="P64" s="139">
        <f>VLOOKUP($E64,'7. PGE_Efficacité'!$A$6:$CY$266,(MATCH('4.2 ACE EFF WOL'!P$4,'7. PGE_Efficacité'!$A$4:$AO$4,0)+62),0)</f>
        <v>0</v>
      </c>
      <c r="Q64" s="139">
        <f>VLOOKUP($E64,'7. PGE_Efficacité'!$A$6:$CY$266,(MATCH('4.2 ACE EFF WOL'!Q$4,'7. PGE_Efficacité'!$A$4:$AO$4,0)+62),0)</f>
        <v>0</v>
      </c>
      <c r="R64" s="139">
        <f>VLOOKUP($E64,'7. PGE_Efficacité'!$A$6:$CY$266,(MATCH('4.2 ACE EFF WOL'!R$4,'7. PGE_Efficacité'!$A$4:$AO$4,0)+62),0)</f>
        <v>0</v>
      </c>
      <c r="S64" s="139">
        <f>VLOOKUP($E64,'7. PGE_Efficacité'!$A$6:$CY$266,(MATCH('4.2 ACE EFF WOL'!S$4,'7. PGE_Efficacité'!$A$4:$AO$4,0)+62),0)</f>
        <v>0</v>
      </c>
      <c r="T64" s="139">
        <f>VLOOKUP($E64,'7. PGE_Efficacité'!$A$6:$CY$266,(MATCH('4.2 ACE EFF WOL'!T$4,'7. PGE_Efficacité'!$A$4:$AO$4,0)+62),0)</f>
        <v>0</v>
      </c>
      <c r="U64" s="139">
        <f>VLOOKUP($E64,'7. PGE_Efficacité'!$A$6:$CY$266,(MATCH('4.2 ACE EFF WOL'!U$4,'7. PGE_Efficacité'!$A$4:$AO$4,0)+62),0)</f>
        <v>0</v>
      </c>
      <c r="V64" s="139">
        <f>VLOOKUP($E64,'7. PGE_Efficacité'!$A$6:$CY$266,(MATCH('4.2 ACE EFF WOL'!V$4,'7. PGE_Efficacité'!$A$4:$AO$4,0)+62),0)</f>
        <v>0</v>
      </c>
      <c r="W64" s="139">
        <f>VLOOKUP($E64,'7. PGE_Efficacité'!$A$6:$CY$266,(MATCH('4.2 ACE EFF WOL'!W$4,'7. PGE_Efficacité'!$A$4:$AO$4,0)+62),0)</f>
        <v>0</v>
      </c>
      <c r="X64" s="139">
        <f>VLOOKUP($E64,'7. PGE_Efficacité'!$A$6:$CY$266,(MATCH('4.2 ACE EFF WOL'!X$4,'7. PGE_Efficacité'!$A$4:$AO$4,0)+62),0)</f>
        <v>0</v>
      </c>
      <c r="Y64" s="139">
        <f>VLOOKUP($E64,'7. PGE_Efficacité'!$A$6:$CY$266,(MATCH('4.2 ACE EFF WOL'!Y$4,'7. PGE_Efficacité'!$A$4:$AO$4,0)+62),0)</f>
        <v>0</v>
      </c>
      <c r="Z64" s="139">
        <f>VLOOKUP($E64,'7. PGE_Efficacité'!$A$6:$CY$266,(MATCH('4.2 ACE EFF WOL'!Z$4,'7. PGE_Efficacité'!$A$4:$AO$4,0)+62),0)</f>
        <v>0</v>
      </c>
      <c r="AA64" s="139">
        <f>VLOOKUP($E64,'7. PGE_Efficacité'!$A$6:$CY$266,(MATCH('4.2 ACE EFF WOL'!AA$4,'7. PGE_Efficacité'!$A$4:$AO$4,0)+62),0)</f>
        <v>0</v>
      </c>
      <c r="AB64" s="139">
        <f>VLOOKUP($E64,'7. PGE_Efficacité'!$A$6:$CY$266,(MATCH('4.2 ACE EFF WOL'!AB$4,'7. PGE_Efficacité'!$A$4:$AO$4,0)+62),0)</f>
        <v>0</v>
      </c>
      <c r="AC64" s="139">
        <f>VLOOKUP($E64,'7. PGE_Efficacité'!$A$6:$CY$266,(MATCH('4.2 ACE EFF WOL'!AC$4,'7. PGE_Efficacité'!$A$4:$AO$4,0)+62),0)</f>
        <v>0</v>
      </c>
      <c r="AD64" s="139">
        <f>VLOOKUP($E64,'7. PGE_Efficacité'!$A$6:$CY$266,(MATCH('4.2 ACE EFF WOL'!AD$4,'7. PGE_Efficacité'!$A$4:$AO$4,0)+62),0)</f>
        <v>0</v>
      </c>
      <c r="AE64" s="139">
        <f>VLOOKUP($E64,'7. PGE_Efficacité'!$A$6:$CY$266,(MATCH('4.2 ACE EFF WOL'!AE$4,'7. PGE_Efficacité'!$A$4:$AO$4,0)+62),0)</f>
        <v>0</v>
      </c>
      <c r="AF64" s="139">
        <f>VLOOKUP($E64,'7. PGE_Efficacité'!$A$6:$CY$266,(MATCH('4.2 ACE EFF WOL'!AF$4,'7. PGE_Efficacité'!$A$4:$AO$4,0)+62),0)</f>
        <v>0</v>
      </c>
      <c r="AG64" s="139">
        <f>VLOOKUP($E64,'7. PGE_Efficacité'!$A$6:$CY$266,(MATCH('4.2 ACE EFF WOL'!AG$4,'7. PGE_Efficacité'!$A$4:$AO$4,0)+62),0)</f>
        <v>0</v>
      </c>
      <c r="AH64" s="139">
        <f>VLOOKUP($E64,'7. PGE_Efficacité'!$A$6:$CY$266,(MATCH('4.2 ACE EFF WOL'!AH$4,'7. PGE_Efficacité'!$A$4:$AO$4,0)+62),0)</f>
        <v>0</v>
      </c>
      <c r="AI64" s="139">
        <f>VLOOKUP($E64,'7. PGE_Efficacité'!$A$6:$CY$266,(MATCH('4.2 ACE EFF WOL'!AI$4,'7. PGE_Efficacité'!$A$4:$AO$4,0)+62),0)</f>
        <v>0</v>
      </c>
      <c r="AJ64" s="139">
        <f>VLOOKUP($E64,'7. PGE_Efficacité'!$A$6:$CY$266,(MATCH('4.2 ACE EFF WOL'!AJ$4,'7. PGE_Efficacité'!$A$4:$AO$4,0)+62),0)</f>
        <v>0</v>
      </c>
      <c r="AK64" s="139">
        <f>VLOOKUP($E64,'7. PGE_Efficacité'!$A$6:$CY$266,(MATCH('4.2 ACE EFF WOL'!AK$4,'7. PGE_Efficacité'!$A$4:$AO$4,0)+62),0)</f>
        <v>0</v>
      </c>
      <c r="AL64" s="139">
        <f>VLOOKUP($E64,'7. PGE_Efficacité'!$A$6:$CY$266,(MATCH('4.2 ACE EFF WOL'!AL$4,'7. PGE_Efficacité'!$A$4:$AO$4,0)+62),0)</f>
        <v>0</v>
      </c>
      <c r="AM64" s="139">
        <f>VLOOKUP($E64,'7. PGE_Efficacité'!$A$6:$CY$266,(MATCH('4.2 ACE EFF WOL'!AM$4,'7. PGE_Efficacité'!$A$4:$AO$4,0)+62),0)</f>
        <v>0</v>
      </c>
      <c r="AN64" s="139">
        <f>VLOOKUP($E64,'7. PGE_Efficacité'!$A$6:$CY$266,(MATCH('4.2 ACE EFF WOL'!AN$4,'7. PGE_Efficacité'!$A$4:$AO$4,0)+62),0)</f>
        <v>0</v>
      </c>
    </row>
    <row r="65" spans="1:40" ht="26.25" outlineLevel="1" collapsed="1" x14ac:dyDescent="0.25">
      <c r="A65" s="48"/>
      <c r="B65" s="49"/>
      <c r="C65" s="48"/>
      <c r="D65" s="372" t="s">
        <v>7</v>
      </c>
      <c r="E65" s="195"/>
      <c r="F65" s="196" t="str">
        <f>VLOOKUP(D65,'1. Mesures'!$A$2:$B$116,2,0)</f>
        <v>Réaliser l'état de l'art des déversoirs d'orages actuels et optimaliser leur conception pour réduire le transfert de polluants vers les masses d’eau de surface</v>
      </c>
      <c r="G65" s="197"/>
      <c r="H65" s="195"/>
      <c r="I65" s="198">
        <f>SUBTOTAL(9,I66:I69)</f>
        <v>10000</v>
      </c>
      <c r="J65" s="203">
        <f>VLOOKUP($D65,'7. PGE_Efficacité'!$A$6:$CY$266,(MATCH('4.2 ACE EFF WOL'!J$4,'7. PGE_Efficacité'!$A$4:$AO$4,0)+62),0)</f>
        <v>0</v>
      </c>
      <c r="K65" s="203">
        <f>VLOOKUP($D65,'7. PGE_Efficacité'!$A$6:$CY$266,(MATCH('4.2 ACE EFF WOL'!K$4,'7. PGE_Efficacité'!$A$4:$AO$4,0)+62),0)</f>
        <v>0</v>
      </c>
      <c r="L65" s="203">
        <f>VLOOKUP($D65,'7. PGE_Efficacité'!$A$6:$CY$266,(MATCH('4.2 ACE EFF WOL'!L$4,'7. PGE_Efficacité'!$A$4:$AO$4,0)+62),0)</f>
        <v>0</v>
      </c>
      <c r="M65" s="203">
        <f>VLOOKUP($D65,'7. PGE_Efficacité'!$A$6:$CY$266,(MATCH('4.2 ACE EFF WOL'!M$4,'7. PGE_Efficacité'!$A$4:$AO$4,0)+62),0)</f>
        <v>0</v>
      </c>
      <c r="N65" s="203">
        <f>VLOOKUP($D65,'7. PGE_Efficacité'!$A$6:$CY$266,(MATCH('4.2 ACE EFF WOL'!N$4,'7. PGE_Efficacité'!$A$4:$AO$4,0)+62),0)</f>
        <v>0</v>
      </c>
      <c r="O65" s="203">
        <f>VLOOKUP($D65,'7. PGE_Efficacité'!$A$6:$CY$266,78,0)</f>
        <v>0</v>
      </c>
      <c r="P65" s="203">
        <f>VLOOKUP($D65,'7. PGE_Efficacité'!$A$6:$CY$266,(MATCH('4.2 ACE EFF WOL'!P$4,'7. PGE_Efficacité'!$A$4:$AO$4,0)+62),0)</f>
        <v>0</v>
      </c>
      <c r="Q65" s="203">
        <f>VLOOKUP($D65,'7. PGE_Efficacité'!$A$6:$CY$266,(MATCH('4.2 ACE EFF WOL'!Q$4,'7. PGE_Efficacité'!$A$4:$AO$4,0)+62),0)</f>
        <v>0</v>
      </c>
      <c r="R65" s="203">
        <f>VLOOKUP($D65,'7. PGE_Efficacité'!$A$6:$CY$266,(MATCH('4.2 ACE EFF WOL'!R$4,'7. PGE_Efficacité'!$A$4:$AO$4,0)+62),0)</f>
        <v>0</v>
      </c>
      <c r="S65" s="203">
        <f>VLOOKUP($D65,'7. PGE_Efficacité'!$A$6:$CY$266,(MATCH('4.2 ACE EFF WOL'!S$4,'7. PGE_Efficacité'!$A$4:$AO$4,0)+62),0)</f>
        <v>0</v>
      </c>
      <c r="T65" s="203">
        <f>VLOOKUP($D65,'7. PGE_Efficacité'!$A$6:$CY$266,(MATCH('4.2 ACE EFF WOL'!T$4,'7. PGE_Efficacité'!$A$4:$AO$4,0)+62),0)</f>
        <v>0</v>
      </c>
      <c r="U65" s="203">
        <f>VLOOKUP($D65,'7. PGE_Efficacité'!$A$6:$CY$266,(MATCH('4.2 ACE EFF WOL'!U$4,'7. PGE_Efficacité'!$A$4:$AO$4,0)+62),0)</f>
        <v>0</v>
      </c>
      <c r="V65" s="203">
        <f>VLOOKUP($D65,'7. PGE_Efficacité'!$A$6:$CY$266,(MATCH('4.2 ACE EFF WOL'!V$4,'7. PGE_Efficacité'!$A$4:$AO$4,0)+62),0)</f>
        <v>0</v>
      </c>
      <c r="W65" s="203">
        <f>VLOOKUP($D65,'7. PGE_Efficacité'!$A$6:$CY$266,(MATCH('4.2 ACE EFF WOL'!W$4,'7. PGE_Efficacité'!$A$4:$AO$4,0)+62),0)</f>
        <v>0</v>
      </c>
      <c r="X65" s="203">
        <f>VLOOKUP($D65,'7. PGE_Efficacité'!$A$6:$CY$266,(MATCH('4.2 ACE EFF WOL'!X$4,'7. PGE_Efficacité'!$A$4:$AO$4,0)+62),0)</f>
        <v>0</v>
      </c>
      <c r="Y65" s="203">
        <f>VLOOKUP($D65,'7. PGE_Efficacité'!$A$6:$CY$266,(MATCH('4.2 ACE EFF WOL'!Y$4,'7. PGE_Efficacité'!$A$4:$AO$4,0)+62),0)</f>
        <v>0</v>
      </c>
      <c r="Z65" s="203">
        <f>VLOOKUP($D65,'7. PGE_Efficacité'!$A$6:$CY$266,(MATCH('4.2 ACE EFF WOL'!Z$4,'7. PGE_Efficacité'!$A$4:$AO$4,0)+62),0)</f>
        <v>0</v>
      </c>
      <c r="AA65" s="203">
        <f>VLOOKUP($D65,'7. PGE_Efficacité'!$A$6:$CY$266,(MATCH('4.2 ACE EFF WOL'!AA$4,'7. PGE_Efficacité'!$A$4:$AO$4,0)+62),0)</f>
        <v>0</v>
      </c>
      <c r="AB65" s="203">
        <f>VLOOKUP($D65,'7. PGE_Efficacité'!$A$6:$CY$266,(MATCH('4.2 ACE EFF WOL'!AB$4,'7. PGE_Efficacité'!$A$4:$AO$4,0)+62),0)</f>
        <v>0</v>
      </c>
      <c r="AC65" s="203">
        <f>VLOOKUP($D65,'7. PGE_Efficacité'!$A$6:$CY$266,(MATCH('4.2 ACE EFF WOL'!AC$4,'7. PGE_Efficacité'!$A$4:$AO$4,0)+62),0)</f>
        <v>0</v>
      </c>
      <c r="AD65" s="203">
        <f>VLOOKUP($D65,'7. PGE_Efficacité'!$A$6:$CY$266,(MATCH('4.2 ACE EFF WOL'!AD$4,'7. PGE_Efficacité'!$A$4:$AO$4,0)+62),0)</f>
        <v>0</v>
      </c>
      <c r="AE65" s="203">
        <f>VLOOKUP($D65,'7. PGE_Efficacité'!$A$6:$CY$266,(MATCH('4.2 ACE EFF WOL'!AE$4,'7. PGE_Efficacité'!$A$4:$AO$4,0)+62),0)</f>
        <v>0</v>
      </c>
      <c r="AF65" s="203">
        <f>VLOOKUP($D65,'7. PGE_Efficacité'!$A$6:$CY$266,(MATCH('4.2 ACE EFF WOL'!AF$4,'7. PGE_Efficacité'!$A$4:$AO$4,0)+62),0)</f>
        <v>0</v>
      </c>
      <c r="AG65" s="203">
        <f>VLOOKUP($D65,'7. PGE_Efficacité'!$A$6:$CY$266,(MATCH('4.2 ACE EFF WOL'!AG$4,'7. PGE_Efficacité'!$A$4:$AO$4,0)+62),0)</f>
        <v>0</v>
      </c>
      <c r="AH65" s="203">
        <f>VLOOKUP($D65,'7. PGE_Efficacité'!$A$6:$CY$266,(MATCH('4.2 ACE EFF WOL'!AH$4,'7. PGE_Efficacité'!$A$4:$AO$4,0)+62),0)</f>
        <v>0</v>
      </c>
      <c r="AI65" s="203">
        <f>VLOOKUP($D65,'7. PGE_Efficacité'!$A$6:$CY$266,(MATCH('4.2 ACE EFF WOL'!AI$4,'7. PGE_Efficacité'!$A$4:$AO$4,0)+62),0)</f>
        <v>0</v>
      </c>
      <c r="AJ65" s="203">
        <f>VLOOKUP($D65,'7. PGE_Efficacité'!$A$6:$CY$266,(MATCH('4.2 ACE EFF WOL'!AJ$4,'7. PGE_Efficacité'!$A$4:$AO$4,0)+62),0)</f>
        <v>0</v>
      </c>
      <c r="AK65" s="203">
        <f>VLOOKUP($D65,'7. PGE_Efficacité'!$A$6:$CY$266,(MATCH('4.2 ACE EFF WOL'!AK$4,'7. PGE_Efficacité'!$A$4:$AO$4,0)+62),0)</f>
        <v>0</v>
      </c>
      <c r="AL65" s="203">
        <f>VLOOKUP($D65,'7. PGE_Efficacité'!$A$6:$CY$266,(MATCH('4.2 ACE EFF WOL'!AL$4,'7. PGE_Efficacité'!$A$4:$AO$4,0)+62),0)</f>
        <v>0</v>
      </c>
      <c r="AM65" s="203">
        <f>VLOOKUP($D65,'7. PGE_Efficacité'!$A$6:$CY$266,(MATCH('4.2 ACE EFF WOL'!AM$4,'7. PGE_Efficacité'!$A$4:$AO$4,0)+62),0)</f>
        <v>0</v>
      </c>
      <c r="AN65" s="203">
        <f>VLOOKUP($D65,'7. PGE_Efficacité'!$A$6:$CY$266,(MATCH('4.2 ACE EFF WOL'!AN$4,'7. PGE_Efficacité'!$A$4:$AO$4,0)+62),0)</f>
        <v>0</v>
      </c>
    </row>
    <row r="66" spans="1:40" hidden="1" outlineLevel="2" x14ac:dyDescent="0.25">
      <c r="A66" s="48"/>
      <c r="B66" s="49"/>
      <c r="C66" s="48"/>
      <c r="D66" s="199" t="s">
        <v>7</v>
      </c>
      <c r="E66" s="200" t="s">
        <v>834</v>
      </c>
      <c r="F66" s="200" t="s">
        <v>1464</v>
      </c>
      <c r="G66" s="201" t="s">
        <v>1522</v>
      </c>
      <c r="H66" s="200" t="s">
        <v>1290</v>
      </c>
      <c r="I66" s="202">
        <f>15000/3</f>
        <v>5000</v>
      </c>
      <c r="J66" s="139">
        <f>VLOOKUP($E66,'7. PGE_Efficacité'!$A$6:$CY$266,(MATCH('4.2 ACE EFF WOL'!J$4,'7. PGE_Efficacité'!$A$4:$AO$4,0)+62),0)</f>
        <v>0</v>
      </c>
      <c r="K66" s="139">
        <f>VLOOKUP($E66,'7. PGE_Efficacité'!$A$6:$CY$266,(MATCH('4.2 ACE EFF WOL'!K$4,'7. PGE_Efficacité'!$A$4:$AO$4,0)+62),0)</f>
        <v>0</v>
      </c>
      <c r="L66" s="139">
        <f>VLOOKUP($E66,'7. PGE_Efficacité'!$A$6:$CY$266,(MATCH('4.2 ACE EFF WOL'!L$4,'7. PGE_Efficacité'!$A$4:$AO$4,0)+62),0)</f>
        <v>0</v>
      </c>
      <c r="M66" s="139">
        <f>VLOOKUP($E66,'7. PGE_Efficacité'!$A$6:$CY$266,(MATCH('4.2 ACE EFF WOL'!M$4,'7. PGE_Efficacité'!$A$4:$AO$4,0)+62),0)</f>
        <v>0</v>
      </c>
      <c r="N66" s="139">
        <f>VLOOKUP($E66,'7. PGE_Efficacité'!$A$6:$CY$266,(MATCH('4.2 ACE EFF WOL'!N$4,'7. PGE_Efficacité'!$A$4:$AO$4,0)+62),0)</f>
        <v>0</v>
      </c>
      <c r="O66" s="139">
        <f>VLOOKUP($E66,'7. PGE_Efficacité'!$A$6:$CY$266,78,0)</f>
        <v>0</v>
      </c>
      <c r="P66" s="139">
        <f>VLOOKUP($E66,'7. PGE_Efficacité'!$A$6:$CY$266,(MATCH('4.2 ACE EFF WOL'!P$4,'7. PGE_Efficacité'!$A$4:$AO$4,0)+62),0)</f>
        <v>0</v>
      </c>
      <c r="Q66" s="139">
        <f>VLOOKUP($E66,'7. PGE_Efficacité'!$A$6:$CY$266,(MATCH('4.2 ACE EFF WOL'!Q$4,'7. PGE_Efficacité'!$A$4:$AO$4,0)+62),0)</f>
        <v>0</v>
      </c>
      <c r="R66" s="139">
        <f>VLOOKUP($E66,'7. PGE_Efficacité'!$A$6:$CY$266,(MATCH('4.2 ACE EFF WOL'!R$4,'7. PGE_Efficacité'!$A$4:$AO$4,0)+62),0)</f>
        <v>0</v>
      </c>
      <c r="S66" s="139">
        <f>VLOOKUP($E66,'7. PGE_Efficacité'!$A$6:$CY$266,(MATCH('4.2 ACE EFF WOL'!S$4,'7. PGE_Efficacité'!$A$4:$AO$4,0)+62),0)</f>
        <v>0</v>
      </c>
      <c r="T66" s="139">
        <f>VLOOKUP($E66,'7. PGE_Efficacité'!$A$6:$CY$266,(MATCH('4.2 ACE EFF WOL'!T$4,'7. PGE_Efficacité'!$A$4:$AO$4,0)+62),0)</f>
        <v>0</v>
      </c>
      <c r="U66" s="139">
        <f>VLOOKUP($E66,'7. PGE_Efficacité'!$A$6:$CY$266,(MATCH('4.2 ACE EFF WOL'!U$4,'7. PGE_Efficacité'!$A$4:$AO$4,0)+62),0)</f>
        <v>0</v>
      </c>
      <c r="V66" s="139">
        <f>VLOOKUP($E66,'7. PGE_Efficacité'!$A$6:$CY$266,(MATCH('4.2 ACE EFF WOL'!V$4,'7. PGE_Efficacité'!$A$4:$AO$4,0)+62),0)</f>
        <v>0</v>
      </c>
      <c r="W66" s="139">
        <f>VLOOKUP($E66,'7. PGE_Efficacité'!$A$6:$CY$266,(MATCH('4.2 ACE EFF WOL'!W$4,'7. PGE_Efficacité'!$A$4:$AO$4,0)+62),0)</f>
        <v>0</v>
      </c>
      <c r="X66" s="139">
        <f>VLOOKUP($E66,'7. PGE_Efficacité'!$A$6:$CY$266,(MATCH('4.2 ACE EFF WOL'!X$4,'7. PGE_Efficacité'!$A$4:$AO$4,0)+62),0)</f>
        <v>0</v>
      </c>
      <c r="Y66" s="139">
        <f>VLOOKUP($E66,'7. PGE_Efficacité'!$A$6:$CY$266,(MATCH('4.2 ACE EFF WOL'!Y$4,'7. PGE_Efficacité'!$A$4:$AO$4,0)+62),0)</f>
        <v>0</v>
      </c>
      <c r="Z66" s="139">
        <f>VLOOKUP($E66,'7. PGE_Efficacité'!$A$6:$CY$266,(MATCH('4.2 ACE EFF WOL'!Z$4,'7. PGE_Efficacité'!$A$4:$AO$4,0)+62),0)</f>
        <v>0</v>
      </c>
      <c r="AA66" s="139">
        <f>VLOOKUP($E66,'7. PGE_Efficacité'!$A$6:$CY$266,(MATCH('4.2 ACE EFF WOL'!AA$4,'7. PGE_Efficacité'!$A$4:$AO$4,0)+62),0)</f>
        <v>0</v>
      </c>
      <c r="AB66" s="139">
        <f>VLOOKUP($E66,'7. PGE_Efficacité'!$A$6:$CY$266,(MATCH('4.2 ACE EFF WOL'!AB$4,'7. PGE_Efficacité'!$A$4:$AO$4,0)+62),0)</f>
        <v>0</v>
      </c>
      <c r="AC66" s="139">
        <f>VLOOKUP($E66,'7. PGE_Efficacité'!$A$6:$CY$266,(MATCH('4.2 ACE EFF WOL'!AC$4,'7. PGE_Efficacité'!$A$4:$AO$4,0)+62),0)</f>
        <v>0</v>
      </c>
      <c r="AD66" s="139">
        <f>VLOOKUP($E66,'7. PGE_Efficacité'!$A$6:$CY$266,(MATCH('4.2 ACE EFF WOL'!AD$4,'7. PGE_Efficacité'!$A$4:$AO$4,0)+62),0)</f>
        <v>0</v>
      </c>
      <c r="AE66" s="139">
        <f>VLOOKUP($E66,'7. PGE_Efficacité'!$A$6:$CY$266,(MATCH('4.2 ACE EFF WOL'!AE$4,'7. PGE_Efficacité'!$A$4:$AO$4,0)+62),0)</f>
        <v>0</v>
      </c>
      <c r="AF66" s="139">
        <f>VLOOKUP($E66,'7. PGE_Efficacité'!$A$6:$CY$266,(MATCH('4.2 ACE EFF WOL'!AF$4,'7. PGE_Efficacité'!$A$4:$AO$4,0)+62),0)</f>
        <v>0</v>
      </c>
      <c r="AG66" s="139">
        <f>VLOOKUP($E66,'7. PGE_Efficacité'!$A$6:$CY$266,(MATCH('4.2 ACE EFF WOL'!AG$4,'7. PGE_Efficacité'!$A$4:$AO$4,0)+62),0)</f>
        <v>0</v>
      </c>
      <c r="AH66" s="139">
        <f>VLOOKUP($E66,'7. PGE_Efficacité'!$A$6:$CY$266,(MATCH('4.2 ACE EFF WOL'!AH$4,'7. PGE_Efficacité'!$A$4:$AO$4,0)+62),0)</f>
        <v>0</v>
      </c>
      <c r="AI66" s="139">
        <f>VLOOKUP($E66,'7. PGE_Efficacité'!$A$6:$CY$266,(MATCH('4.2 ACE EFF WOL'!AI$4,'7. PGE_Efficacité'!$A$4:$AO$4,0)+62),0)</f>
        <v>0</v>
      </c>
      <c r="AJ66" s="139">
        <f>VLOOKUP($E66,'7. PGE_Efficacité'!$A$6:$CY$266,(MATCH('4.2 ACE EFF WOL'!AJ$4,'7. PGE_Efficacité'!$A$4:$AO$4,0)+62),0)</f>
        <v>0</v>
      </c>
      <c r="AK66" s="139">
        <f>VLOOKUP($E66,'7. PGE_Efficacité'!$A$6:$CY$266,(MATCH('4.2 ACE EFF WOL'!AK$4,'7. PGE_Efficacité'!$A$4:$AO$4,0)+62),0)</f>
        <v>0</v>
      </c>
      <c r="AL66" s="139">
        <f>VLOOKUP($E66,'7. PGE_Efficacité'!$A$6:$CY$266,(MATCH('4.2 ACE EFF WOL'!AL$4,'7. PGE_Efficacité'!$A$4:$AO$4,0)+62),0)</f>
        <v>0</v>
      </c>
      <c r="AM66" s="139">
        <f>VLOOKUP($E66,'7. PGE_Efficacité'!$A$6:$CY$266,(MATCH('4.2 ACE EFF WOL'!AM$4,'7. PGE_Efficacité'!$A$4:$AO$4,0)+62),0)</f>
        <v>0</v>
      </c>
      <c r="AN66" s="139">
        <f>VLOOKUP($E66,'7. PGE_Efficacité'!$A$6:$CY$266,(MATCH('4.2 ACE EFF WOL'!AN$4,'7. PGE_Efficacité'!$A$4:$AO$4,0)+62),0)</f>
        <v>0</v>
      </c>
    </row>
    <row r="67" spans="1:40" hidden="1" outlineLevel="2" x14ac:dyDescent="0.25">
      <c r="A67" s="48" t="s">
        <v>1524</v>
      </c>
      <c r="B67" s="49">
        <v>8</v>
      </c>
      <c r="C67" s="48" t="s">
        <v>1524</v>
      </c>
      <c r="D67" s="199" t="s">
        <v>7</v>
      </c>
      <c r="E67" s="200" t="s">
        <v>835</v>
      </c>
      <c r="F67" s="200" t="s">
        <v>1465</v>
      </c>
      <c r="G67" s="201" t="s">
        <v>1522</v>
      </c>
      <c r="H67" s="200" t="s">
        <v>1290</v>
      </c>
      <c r="I67" s="202">
        <f>15000/3</f>
        <v>5000</v>
      </c>
      <c r="J67" s="139">
        <f>VLOOKUP($E67,'7. PGE_Efficacité'!$A$6:$CY$266,(MATCH('4.2 ACE EFF WOL'!J$4,'7. PGE_Efficacité'!$A$4:$AO$4,0)+62),0)</f>
        <v>0</v>
      </c>
      <c r="K67" s="139">
        <f>VLOOKUP($E67,'7. PGE_Efficacité'!$A$6:$CY$266,(MATCH('4.2 ACE EFF WOL'!K$4,'7. PGE_Efficacité'!$A$4:$AO$4,0)+62),0)</f>
        <v>0</v>
      </c>
      <c r="L67" s="139">
        <f>VLOOKUP($E67,'7. PGE_Efficacité'!$A$6:$CY$266,(MATCH('4.2 ACE EFF WOL'!L$4,'7. PGE_Efficacité'!$A$4:$AO$4,0)+62),0)</f>
        <v>0</v>
      </c>
      <c r="M67" s="139">
        <f>VLOOKUP($E67,'7. PGE_Efficacité'!$A$6:$CY$266,(MATCH('4.2 ACE EFF WOL'!M$4,'7. PGE_Efficacité'!$A$4:$AO$4,0)+62),0)</f>
        <v>0</v>
      </c>
      <c r="N67" s="139">
        <f>VLOOKUP($E67,'7. PGE_Efficacité'!$A$6:$CY$266,(MATCH('4.2 ACE EFF WOL'!N$4,'7. PGE_Efficacité'!$A$4:$AO$4,0)+62),0)</f>
        <v>0</v>
      </c>
      <c r="O67" s="139">
        <f>VLOOKUP($E67,'7. PGE_Efficacité'!$A$6:$CY$266,78,0)</f>
        <v>0</v>
      </c>
      <c r="P67" s="139">
        <f>VLOOKUP($E67,'7. PGE_Efficacité'!$A$6:$CY$266,(MATCH('4.2 ACE EFF WOL'!P$4,'7. PGE_Efficacité'!$A$4:$AO$4,0)+62),0)</f>
        <v>0</v>
      </c>
      <c r="Q67" s="139">
        <f>VLOOKUP($E67,'7. PGE_Efficacité'!$A$6:$CY$266,(MATCH('4.2 ACE EFF WOL'!Q$4,'7. PGE_Efficacité'!$A$4:$AO$4,0)+62),0)</f>
        <v>0</v>
      </c>
      <c r="R67" s="139">
        <f>VLOOKUP($E67,'7. PGE_Efficacité'!$A$6:$CY$266,(MATCH('4.2 ACE EFF WOL'!R$4,'7. PGE_Efficacité'!$A$4:$AO$4,0)+62),0)</f>
        <v>0</v>
      </c>
      <c r="S67" s="139">
        <f>VLOOKUP($E67,'7. PGE_Efficacité'!$A$6:$CY$266,(MATCH('4.2 ACE EFF WOL'!S$4,'7. PGE_Efficacité'!$A$4:$AO$4,0)+62),0)</f>
        <v>0</v>
      </c>
      <c r="T67" s="139">
        <f>VLOOKUP($E67,'7. PGE_Efficacité'!$A$6:$CY$266,(MATCH('4.2 ACE EFF WOL'!T$4,'7. PGE_Efficacité'!$A$4:$AO$4,0)+62),0)</f>
        <v>0</v>
      </c>
      <c r="U67" s="139">
        <f>VLOOKUP($E67,'7. PGE_Efficacité'!$A$6:$CY$266,(MATCH('4.2 ACE EFF WOL'!U$4,'7. PGE_Efficacité'!$A$4:$AO$4,0)+62),0)</f>
        <v>0</v>
      </c>
      <c r="V67" s="139">
        <f>VLOOKUP($E67,'7. PGE_Efficacité'!$A$6:$CY$266,(MATCH('4.2 ACE EFF WOL'!V$4,'7. PGE_Efficacité'!$A$4:$AO$4,0)+62),0)</f>
        <v>0</v>
      </c>
      <c r="W67" s="139">
        <f>VLOOKUP($E67,'7. PGE_Efficacité'!$A$6:$CY$266,(MATCH('4.2 ACE EFF WOL'!W$4,'7. PGE_Efficacité'!$A$4:$AO$4,0)+62),0)</f>
        <v>0</v>
      </c>
      <c r="X67" s="139">
        <f>VLOOKUP($E67,'7. PGE_Efficacité'!$A$6:$CY$266,(MATCH('4.2 ACE EFF WOL'!X$4,'7. PGE_Efficacité'!$A$4:$AO$4,0)+62),0)</f>
        <v>0</v>
      </c>
      <c r="Y67" s="139">
        <f>VLOOKUP($E67,'7. PGE_Efficacité'!$A$6:$CY$266,(MATCH('4.2 ACE EFF WOL'!Y$4,'7. PGE_Efficacité'!$A$4:$AO$4,0)+62),0)</f>
        <v>0</v>
      </c>
      <c r="Z67" s="139">
        <f>VLOOKUP($E67,'7. PGE_Efficacité'!$A$6:$CY$266,(MATCH('4.2 ACE EFF WOL'!Z$4,'7. PGE_Efficacité'!$A$4:$AO$4,0)+62),0)</f>
        <v>0</v>
      </c>
      <c r="AA67" s="139">
        <f>VLOOKUP($E67,'7. PGE_Efficacité'!$A$6:$CY$266,(MATCH('4.2 ACE EFF WOL'!AA$4,'7. PGE_Efficacité'!$A$4:$AO$4,0)+62),0)</f>
        <v>0</v>
      </c>
      <c r="AB67" s="139">
        <f>VLOOKUP($E67,'7. PGE_Efficacité'!$A$6:$CY$266,(MATCH('4.2 ACE EFF WOL'!AB$4,'7. PGE_Efficacité'!$A$4:$AO$4,0)+62),0)</f>
        <v>0</v>
      </c>
      <c r="AC67" s="139">
        <f>VLOOKUP($E67,'7. PGE_Efficacité'!$A$6:$CY$266,(MATCH('4.2 ACE EFF WOL'!AC$4,'7. PGE_Efficacité'!$A$4:$AO$4,0)+62),0)</f>
        <v>0</v>
      </c>
      <c r="AD67" s="139">
        <f>VLOOKUP($E67,'7. PGE_Efficacité'!$A$6:$CY$266,(MATCH('4.2 ACE EFF WOL'!AD$4,'7. PGE_Efficacité'!$A$4:$AO$4,0)+62),0)</f>
        <v>0</v>
      </c>
      <c r="AE67" s="139">
        <f>VLOOKUP($E67,'7. PGE_Efficacité'!$A$6:$CY$266,(MATCH('4.2 ACE EFF WOL'!AE$4,'7. PGE_Efficacité'!$A$4:$AO$4,0)+62),0)</f>
        <v>0</v>
      </c>
      <c r="AF67" s="139">
        <f>VLOOKUP($E67,'7. PGE_Efficacité'!$A$6:$CY$266,(MATCH('4.2 ACE EFF WOL'!AF$4,'7. PGE_Efficacité'!$A$4:$AO$4,0)+62),0)</f>
        <v>0</v>
      </c>
      <c r="AG67" s="139">
        <f>VLOOKUP($E67,'7. PGE_Efficacité'!$A$6:$CY$266,(MATCH('4.2 ACE EFF WOL'!AG$4,'7. PGE_Efficacité'!$A$4:$AO$4,0)+62),0)</f>
        <v>0</v>
      </c>
      <c r="AH67" s="139">
        <f>VLOOKUP($E67,'7. PGE_Efficacité'!$A$6:$CY$266,(MATCH('4.2 ACE EFF WOL'!AH$4,'7. PGE_Efficacité'!$A$4:$AO$4,0)+62),0)</f>
        <v>0</v>
      </c>
      <c r="AI67" s="139">
        <f>VLOOKUP($E67,'7. PGE_Efficacité'!$A$6:$CY$266,(MATCH('4.2 ACE EFF WOL'!AI$4,'7. PGE_Efficacité'!$A$4:$AO$4,0)+62),0)</f>
        <v>0</v>
      </c>
      <c r="AJ67" s="139">
        <f>VLOOKUP($E67,'7. PGE_Efficacité'!$A$6:$CY$266,(MATCH('4.2 ACE EFF WOL'!AJ$4,'7. PGE_Efficacité'!$A$4:$AO$4,0)+62),0)</f>
        <v>0</v>
      </c>
      <c r="AK67" s="139">
        <f>VLOOKUP($E67,'7. PGE_Efficacité'!$A$6:$CY$266,(MATCH('4.2 ACE EFF WOL'!AK$4,'7. PGE_Efficacité'!$A$4:$AO$4,0)+62),0)</f>
        <v>0</v>
      </c>
      <c r="AL67" s="139">
        <f>VLOOKUP($E67,'7. PGE_Efficacité'!$A$6:$CY$266,(MATCH('4.2 ACE EFF WOL'!AL$4,'7. PGE_Efficacité'!$A$4:$AO$4,0)+62),0)</f>
        <v>0</v>
      </c>
      <c r="AM67" s="139">
        <f>VLOOKUP($E67,'7. PGE_Efficacité'!$A$6:$CY$266,(MATCH('4.2 ACE EFF WOL'!AM$4,'7. PGE_Efficacité'!$A$4:$AO$4,0)+62),0)</f>
        <v>0</v>
      </c>
      <c r="AN67" s="139">
        <f>VLOOKUP($E67,'7. PGE_Efficacité'!$A$6:$CY$266,(MATCH('4.2 ACE EFF WOL'!AN$4,'7. PGE_Efficacité'!$A$4:$AO$4,0)+62),0)</f>
        <v>0</v>
      </c>
    </row>
    <row r="68" spans="1:40" hidden="1" outlineLevel="2" x14ac:dyDescent="0.25">
      <c r="A68" s="48" t="s">
        <v>1524</v>
      </c>
      <c r="B68" s="49">
        <v>8</v>
      </c>
      <c r="C68" s="48" t="s">
        <v>1525</v>
      </c>
      <c r="D68" s="199" t="s">
        <v>7</v>
      </c>
      <c r="E68" s="200" t="s">
        <v>836</v>
      </c>
      <c r="F68" s="200" t="s">
        <v>1466</v>
      </c>
      <c r="G68" s="201" t="s">
        <v>1522</v>
      </c>
      <c r="H68" s="200" t="s">
        <v>1290</v>
      </c>
      <c r="I68" s="202">
        <v>0</v>
      </c>
      <c r="J68" s="139">
        <f>VLOOKUP($E68,'7. PGE_Efficacité'!$A$6:$CY$266,(MATCH('4.2 ACE EFF WOL'!J$4,'7. PGE_Efficacité'!$A$4:$AO$4,0)+62),0)</f>
        <v>0</v>
      </c>
      <c r="K68" s="139">
        <f>VLOOKUP($E68,'7. PGE_Efficacité'!$A$6:$CY$266,(MATCH('4.2 ACE EFF WOL'!K$4,'7. PGE_Efficacité'!$A$4:$AO$4,0)+62),0)</f>
        <v>0</v>
      </c>
      <c r="L68" s="139">
        <f>VLOOKUP($E68,'7. PGE_Efficacité'!$A$6:$CY$266,(MATCH('4.2 ACE EFF WOL'!L$4,'7. PGE_Efficacité'!$A$4:$AO$4,0)+62),0)</f>
        <v>0</v>
      </c>
      <c r="M68" s="139">
        <f>VLOOKUP($E68,'7. PGE_Efficacité'!$A$6:$CY$266,(MATCH('4.2 ACE EFF WOL'!M$4,'7. PGE_Efficacité'!$A$4:$AO$4,0)+62),0)</f>
        <v>0</v>
      </c>
      <c r="N68" s="139">
        <f>VLOOKUP($E68,'7. PGE_Efficacité'!$A$6:$CY$266,(MATCH('4.2 ACE EFF WOL'!N$4,'7. PGE_Efficacité'!$A$4:$AO$4,0)+62),0)</f>
        <v>0</v>
      </c>
      <c r="O68" s="139">
        <f>VLOOKUP($E68,'7. PGE_Efficacité'!$A$6:$CY$266,78,0)</f>
        <v>0</v>
      </c>
      <c r="P68" s="139">
        <f>VLOOKUP($E68,'7. PGE_Efficacité'!$A$6:$CY$266,(MATCH('4.2 ACE EFF WOL'!P$4,'7. PGE_Efficacité'!$A$4:$AO$4,0)+62),0)</f>
        <v>0</v>
      </c>
      <c r="Q68" s="139">
        <f>VLOOKUP($E68,'7. PGE_Efficacité'!$A$6:$CY$266,(MATCH('4.2 ACE EFF WOL'!Q$4,'7. PGE_Efficacité'!$A$4:$AO$4,0)+62),0)</f>
        <v>0</v>
      </c>
      <c r="R68" s="139">
        <f>VLOOKUP($E68,'7. PGE_Efficacité'!$A$6:$CY$266,(MATCH('4.2 ACE EFF WOL'!R$4,'7. PGE_Efficacité'!$A$4:$AO$4,0)+62),0)</f>
        <v>0</v>
      </c>
      <c r="S68" s="139">
        <f>VLOOKUP($E68,'7. PGE_Efficacité'!$A$6:$CY$266,(MATCH('4.2 ACE EFF WOL'!S$4,'7. PGE_Efficacité'!$A$4:$AO$4,0)+62),0)</f>
        <v>0</v>
      </c>
      <c r="T68" s="139">
        <f>VLOOKUP($E68,'7. PGE_Efficacité'!$A$6:$CY$266,(MATCH('4.2 ACE EFF WOL'!T$4,'7. PGE_Efficacité'!$A$4:$AO$4,0)+62),0)</f>
        <v>0</v>
      </c>
      <c r="U68" s="139">
        <f>VLOOKUP($E68,'7. PGE_Efficacité'!$A$6:$CY$266,(MATCH('4.2 ACE EFF WOL'!U$4,'7. PGE_Efficacité'!$A$4:$AO$4,0)+62),0)</f>
        <v>0</v>
      </c>
      <c r="V68" s="139">
        <f>VLOOKUP($E68,'7. PGE_Efficacité'!$A$6:$CY$266,(MATCH('4.2 ACE EFF WOL'!V$4,'7. PGE_Efficacité'!$A$4:$AO$4,0)+62),0)</f>
        <v>0</v>
      </c>
      <c r="W68" s="139">
        <f>VLOOKUP($E68,'7. PGE_Efficacité'!$A$6:$CY$266,(MATCH('4.2 ACE EFF WOL'!W$4,'7. PGE_Efficacité'!$A$4:$AO$4,0)+62),0)</f>
        <v>0</v>
      </c>
      <c r="X68" s="139">
        <f>VLOOKUP($E68,'7. PGE_Efficacité'!$A$6:$CY$266,(MATCH('4.2 ACE EFF WOL'!X$4,'7. PGE_Efficacité'!$A$4:$AO$4,0)+62),0)</f>
        <v>0</v>
      </c>
      <c r="Y68" s="139">
        <f>VLOOKUP($E68,'7. PGE_Efficacité'!$A$6:$CY$266,(MATCH('4.2 ACE EFF WOL'!Y$4,'7. PGE_Efficacité'!$A$4:$AO$4,0)+62),0)</f>
        <v>0</v>
      </c>
      <c r="Z68" s="139">
        <f>VLOOKUP($E68,'7. PGE_Efficacité'!$A$6:$CY$266,(MATCH('4.2 ACE EFF WOL'!Z$4,'7. PGE_Efficacité'!$A$4:$AO$4,0)+62),0)</f>
        <v>0</v>
      </c>
      <c r="AA68" s="139">
        <f>VLOOKUP($E68,'7. PGE_Efficacité'!$A$6:$CY$266,(MATCH('4.2 ACE EFF WOL'!AA$4,'7. PGE_Efficacité'!$A$4:$AO$4,0)+62),0)</f>
        <v>0</v>
      </c>
      <c r="AB68" s="139">
        <f>VLOOKUP($E68,'7. PGE_Efficacité'!$A$6:$CY$266,(MATCH('4.2 ACE EFF WOL'!AB$4,'7. PGE_Efficacité'!$A$4:$AO$4,0)+62),0)</f>
        <v>0</v>
      </c>
      <c r="AC68" s="139">
        <f>VLOOKUP($E68,'7. PGE_Efficacité'!$A$6:$CY$266,(MATCH('4.2 ACE EFF WOL'!AC$4,'7. PGE_Efficacité'!$A$4:$AO$4,0)+62),0)</f>
        <v>0</v>
      </c>
      <c r="AD68" s="139">
        <f>VLOOKUP($E68,'7. PGE_Efficacité'!$A$6:$CY$266,(MATCH('4.2 ACE EFF WOL'!AD$4,'7. PGE_Efficacité'!$A$4:$AO$4,0)+62),0)</f>
        <v>0</v>
      </c>
      <c r="AE68" s="139">
        <f>VLOOKUP($E68,'7. PGE_Efficacité'!$A$6:$CY$266,(MATCH('4.2 ACE EFF WOL'!AE$4,'7. PGE_Efficacité'!$A$4:$AO$4,0)+62),0)</f>
        <v>0</v>
      </c>
      <c r="AF68" s="139">
        <f>VLOOKUP($E68,'7. PGE_Efficacité'!$A$6:$CY$266,(MATCH('4.2 ACE EFF WOL'!AF$4,'7. PGE_Efficacité'!$A$4:$AO$4,0)+62),0)</f>
        <v>0</v>
      </c>
      <c r="AG68" s="139">
        <f>VLOOKUP($E68,'7. PGE_Efficacité'!$A$6:$CY$266,(MATCH('4.2 ACE EFF WOL'!AG$4,'7. PGE_Efficacité'!$A$4:$AO$4,0)+62),0)</f>
        <v>0</v>
      </c>
      <c r="AH68" s="139">
        <f>VLOOKUP($E68,'7. PGE_Efficacité'!$A$6:$CY$266,(MATCH('4.2 ACE EFF WOL'!AH$4,'7. PGE_Efficacité'!$A$4:$AO$4,0)+62),0)</f>
        <v>0</v>
      </c>
      <c r="AI68" s="139">
        <f>VLOOKUP($E68,'7. PGE_Efficacité'!$A$6:$CY$266,(MATCH('4.2 ACE EFF WOL'!AI$4,'7. PGE_Efficacité'!$A$4:$AO$4,0)+62),0)</f>
        <v>0</v>
      </c>
      <c r="AJ68" s="139">
        <f>VLOOKUP($E68,'7. PGE_Efficacité'!$A$6:$CY$266,(MATCH('4.2 ACE EFF WOL'!AJ$4,'7. PGE_Efficacité'!$A$4:$AO$4,0)+62),0)</f>
        <v>0</v>
      </c>
      <c r="AK68" s="139">
        <f>VLOOKUP($E68,'7. PGE_Efficacité'!$A$6:$CY$266,(MATCH('4.2 ACE EFF WOL'!AK$4,'7. PGE_Efficacité'!$A$4:$AO$4,0)+62),0)</f>
        <v>0</v>
      </c>
      <c r="AL68" s="139">
        <f>VLOOKUP($E68,'7. PGE_Efficacité'!$A$6:$CY$266,(MATCH('4.2 ACE EFF WOL'!AL$4,'7. PGE_Efficacité'!$A$4:$AO$4,0)+62),0)</f>
        <v>0</v>
      </c>
      <c r="AM68" s="139">
        <f>VLOOKUP($E68,'7. PGE_Efficacité'!$A$6:$CY$266,(MATCH('4.2 ACE EFF WOL'!AM$4,'7. PGE_Efficacité'!$A$4:$AO$4,0)+62),0)</f>
        <v>0</v>
      </c>
      <c r="AN68" s="139">
        <f>VLOOKUP($E68,'7. PGE_Efficacité'!$A$6:$CY$266,(MATCH('4.2 ACE EFF WOL'!AN$4,'7. PGE_Efficacité'!$A$4:$AO$4,0)+62),0)</f>
        <v>0</v>
      </c>
    </row>
    <row r="69" spans="1:40" hidden="1" outlineLevel="2" x14ac:dyDescent="0.25">
      <c r="A69" s="48" t="s">
        <v>1524</v>
      </c>
      <c r="B69" s="49">
        <v>8</v>
      </c>
      <c r="C69" s="48" t="s">
        <v>1526</v>
      </c>
      <c r="D69" s="199" t="s">
        <v>7</v>
      </c>
      <c r="E69" s="200" t="s">
        <v>837</v>
      </c>
      <c r="F69" s="200" t="s">
        <v>1467</v>
      </c>
      <c r="G69" s="201" t="s">
        <v>1522</v>
      </c>
      <c r="H69" s="200" t="s">
        <v>1290</v>
      </c>
      <c r="I69" s="202">
        <v>0</v>
      </c>
      <c r="J69" s="139">
        <f>VLOOKUP($E69,'7. PGE_Efficacité'!$A$6:$CY$266,(MATCH('4.2 ACE EFF WOL'!J$4,'7. PGE_Efficacité'!$A$4:$AO$4,0)+62),0)</f>
        <v>0</v>
      </c>
      <c r="K69" s="139">
        <f>VLOOKUP($E69,'7. PGE_Efficacité'!$A$6:$CY$266,(MATCH('4.2 ACE EFF WOL'!K$4,'7. PGE_Efficacité'!$A$4:$AO$4,0)+62),0)</f>
        <v>0</v>
      </c>
      <c r="L69" s="139">
        <f>VLOOKUP($E69,'7. PGE_Efficacité'!$A$6:$CY$266,(MATCH('4.2 ACE EFF WOL'!L$4,'7. PGE_Efficacité'!$A$4:$AO$4,0)+62),0)</f>
        <v>0</v>
      </c>
      <c r="M69" s="139">
        <f>VLOOKUP($E69,'7. PGE_Efficacité'!$A$6:$CY$266,(MATCH('4.2 ACE EFF WOL'!M$4,'7. PGE_Efficacité'!$A$4:$AO$4,0)+62),0)</f>
        <v>0</v>
      </c>
      <c r="N69" s="139">
        <f>VLOOKUP($E69,'7. PGE_Efficacité'!$A$6:$CY$266,(MATCH('4.2 ACE EFF WOL'!N$4,'7. PGE_Efficacité'!$A$4:$AO$4,0)+62),0)</f>
        <v>0</v>
      </c>
      <c r="O69" s="139">
        <f>VLOOKUP($E69,'7. PGE_Efficacité'!$A$6:$CY$266,78,0)</f>
        <v>0</v>
      </c>
      <c r="P69" s="139">
        <f>VLOOKUP($E69,'7. PGE_Efficacité'!$A$6:$CY$266,(MATCH('4.2 ACE EFF WOL'!P$4,'7. PGE_Efficacité'!$A$4:$AO$4,0)+62),0)</f>
        <v>0</v>
      </c>
      <c r="Q69" s="139">
        <f>VLOOKUP($E69,'7. PGE_Efficacité'!$A$6:$CY$266,(MATCH('4.2 ACE EFF WOL'!Q$4,'7. PGE_Efficacité'!$A$4:$AO$4,0)+62),0)</f>
        <v>0</v>
      </c>
      <c r="R69" s="139">
        <f>VLOOKUP($E69,'7. PGE_Efficacité'!$A$6:$CY$266,(MATCH('4.2 ACE EFF WOL'!R$4,'7. PGE_Efficacité'!$A$4:$AO$4,0)+62),0)</f>
        <v>0</v>
      </c>
      <c r="S69" s="139">
        <f>VLOOKUP($E69,'7. PGE_Efficacité'!$A$6:$CY$266,(MATCH('4.2 ACE EFF WOL'!S$4,'7. PGE_Efficacité'!$A$4:$AO$4,0)+62),0)</f>
        <v>0</v>
      </c>
      <c r="T69" s="139">
        <f>VLOOKUP($E69,'7. PGE_Efficacité'!$A$6:$CY$266,(MATCH('4.2 ACE EFF WOL'!T$4,'7. PGE_Efficacité'!$A$4:$AO$4,0)+62),0)</f>
        <v>0</v>
      </c>
      <c r="U69" s="139">
        <f>VLOOKUP($E69,'7. PGE_Efficacité'!$A$6:$CY$266,(MATCH('4.2 ACE EFF WOL'!U$4,'7. PGE_Efficacité'!$A$4:$AO$4,0)+62),0)</f>
        <v>0</v>
      </c>
      <c r="V69" s="139">
        <f>VLOOKUP($E69,'7. PGE_Efficacité'!$A$6:$CY$266,(MATCH('4.2 ACE EFF WOL'!V$4,'7. PGE_Efficacité'!$A$4:$AO$4,0)+62),0)</f>
        <v>0</v>
      </c>
      <c r="W69" s="139">
        <f>VLOOKUP($E69,'7. PGE_Efficacité'!$A$6:$CY$266,(MATCH('4.2 ACE EFF WOL'!W$4,'7. PGE_Efficacité'!$A$4:$AO$4,0)+62),0)</f>
        <v>0</v>
      </c>
      <c r="X69" s="139">
        <f>VLOOKUP($E69,'7. PGE_Efficacité'!$A$6:$CY$266,(MATCH('4.2 ACE EFF WOL'!X$4,'7. PGE_Efficacité'!$A$4:$AO$4,0)+62),0)</f>
        <v>0</v>
      </c>
      <c r="Y69" s="139">
        <f>VLOOKUP($E69,'7. PGE_Efficacité'!$A$6:$CY$266,(MATCH('4.2 ACE EFF WOL'!Y$4,'7. PGE_Efficacité'!$A$4:$AO$4,0)+62),0)</f>
        <v>0</v>
      </c>
      <c r="Z69" s="139">
        <f>VLOOKUP($E69,'7. PGE_Efficacité'!$A$6:$CY$266,(MATCH('4.2 ACE EFF WOL'!Z$4,'7. PGE_Efficacité'!$A$4:$AO$4,0)+62),0)</f>
        <v>0</v>
      </c>
      <c r="AA69" s="139">
        <f>VLOOKUP($E69,'7. PGE_Efficacité'!$A$6:$CY$266,(MATCH('4.2 ACE EFF WOL'!AA$4,'7. PGE_Efficacité'!$A$4:$AO$4,0)+62),0)</f>
        <v>0</v>
      </c>
      <c r="AB69" s="139">
        <f>VLOOKUP($E69,'7. PGE_Efficacité'!$A$6:$CY$266,(MATCH('4.2 ACE EFF WOL'!AB$4,'7. PGE_Efficacité'!$A$4:$AO$4,0)+62),0)</f>
        <v>0</v>
      </c>
      <c r="AC69" s="139">
        <f>VLOOKUP($E69,'7. PGE_Efficacité'!$A$6:$CY$266,(MATCH('4.2 ACE EFF WOL'!AC$4,'7. PGE_Efficacité'!$A$4:$AO$4,0)+62),0)</f>
        <v>0</v>
      </c>
      <c r="AD69" s="139">
        <f>VLOOKUP($E69,'7. PGE_Efficacité'!$A$6:$CY$266,(MATCH('4.2 ACE EFF WOL'!AD$4,'7. PGE_Efficacité'!$A$4:$AO$4,0)+62),0)</f>
        <v>0</v>
      </c>
      <c r="AE69" s="139">
        <f>VLOOKUP($E69,'7. PGE_Efficacité'!$A$6:$CY$266,(MATCH('4.2 ACE EFF WOL'!AE$4,'7. PGE_Efficacité'!$A$4:$AO$4,0)+62),0)</f>
        <v>0</v>
      </c>
      <c r="AF69" s="139">
        <f>VLOOKUP($E69,'7. PGE_Efficacité'!$A$6:$CY$266,(MATCH('4.2 ACE EFF WOL'!AF$4,'7. PGE_Efficacité'!$A$4:$AO$4,0)+62),0)</f>
        <v>0</v>
      </c>
      <c r="AG69" s="139">
        <f>VLOOKUP($E69,'7. PGE_Efficacité'!$A$6:$CY$266,(MATCH('4.2 ACE EFF WOL'!AG$4,'7. PGE_Efficacité'!$A$4:$AO$4,0)+62),0)</f>
        <v>0</v>
      </c>
      <c r="AH69" s="139">
        <f>VLOOKUP($E69,'7. PGE_Efficacité'!$A$6:$CY$266,(MATCH('4.2 ACE EFF WOL'!AH$4,'7. PGE_Efficacité'!$A$4:$AO$4,0)+62),0)</f>
        <v>0</v>
      </c>
      <c r="AI69" s="139">
        <f>VLOOKUP($E69,'7. PGE_Efficacité'!$A$6:$CY$266,(MATCH('4.2 ACE EFF WOL'!AI$4,'7. PGE_Efficacité'!$A$4:$AO$4,0)+62),0)</f>
        <v>0</v>
      </c>
      <c r="AJ69" s="139">
        <f>VLOOKUP($E69,'7. PGE_Efficacité'!$A$6:$CY$266,(MATCH('4.2 ACE EFF WOL'!AJ$4,'7. PGE_Efficacité'!$A$4:$AO$4,0)+62),0)</f>
        <v>0</v>
      </c>
      <c r="AK69" s="139">
        <f>VLOOKUP($E69,'7. PGE_Efficacité'!$A$6:$CY$266,(MATCH('4.2 ACE EFF WOL'!AK$4,'7. PGE_Efficacité'!$A$4:$AO$4,0)+62),0)</f>
        <v>0</v>
      </c>
      <c r="AL69" s="139">
        <f>VLOOKUP($E69,'7. PGE_Efficacité'!$A$6:$CY$266,(MATCH('4.2 ACE EFF WOL'!AL$4,'7. PGE_Efficacité'!$A$4:$AO$4,0)+62),0)</f>
        <v>0</v>
      </c>
      <c r="AM69" s="139">
        <f>VLOOKUP($E69,'7. PGE_Efficacité'!$A$6:$CY$266,(MATCH('4.2 ACE EFF WOL'!AM$4,'7. PGE_Efficacité'!$A$4:$AO$4,0)+62),0)</f>
        <v>0</v>
      </c>
      <c r="AN69" s="139">
        <f>VLOOKUP($E69,'7. PGE_Efficacité'!$A$6:$CY$266,(MATCH('4.2 ACE EFF WOL'!AN$4,'7. PGE_Efficacité'!$A$4:$AO$4,0)+62),0)</f>
        <v>0</v>
      </c>
    </row>
    <row r="70" spans="1:40" ht="39" outlineLevel="1" collapsed="1" x14ac:dyDescent="0.25">
      <c r="A70" s="48"/>
      <c r="B70" s="49"/>
      <c r="C70" s="48"/>
      <c r="D70" s="372" t="s">
        <v>8</v>
      </c>
      <c r="E70" s="195"/>
      <c r="F70" s="196" t="str">
        <f>VLOOKUP(D70,'1. Mesures'!$A$2:$B$116,2,0)</f>
        <v>Mettre en place un système de régulation des débits circulant dans le réseau d’assainissement pour réduire la fréquence des déversements au niveau des déversoirs d’orage et assurer un meilleur traitement des eaux usées</v>
      </c>
      <c r="G70" s="197"/>
      <c r="H70" s="195"/>
      <c r="I70" s="198">
        <f>SUBTOTAL(9,I71:I74)</f>
        <v>1475000</v>
      </c>
      <c r="J70" s="204">
        <f>VLOOKUP($D70,'7. PGE_Efficacité'!$A$6:$CY$266,(MATCH('4.2 ACE EFF WOL'!J$4,'7. PGE_Efficacité'!$A$4:$AO$4,0)+62),0)</f>
        <v>0</v>
      </c>
      <c r="K70" s="204">
        <f>VLOOKUP($D70,'7. PGE_Efficacité'!$A$6:$CY$266,(MATCH('4.2 ACE EFF WOL'!K$4,'7. PGE_Efficacité'!$A$4:$AO$4,0)+62),0)</f>
        <v>0</v>
      </c>
      <c r="L70" s="204">
        <f>VLOOKUP($D70,'7. PGE_Efficacité'!$A$6:$CY$266,(MATCH('4.2 ACE EFF WOL'!L$4,'7. PGE_Efficacité'!$A$4:$AO$4,0)+62),0)</f>
        <v>0</v>
      </c>
      <c r="M70" s="204">
        <f>VLOOKUP($D70,'7. PGE_Efficacité'!$A$6:$CY$266,(MATCH('4.2 ACE EFF WOL'!M$4,'7. PGE_Efficacité'!$A$4:$AO$4,0)+62),0)</f>
        <v>0</v>
      </c>
      <c r="N70" s="204">
        <f>VLOOKUP($D70,'7. PGE_Efficacité'!$A$6:$CY$266,(MATCH('4.2 ACE EFF WOL'!N$4,'7. PGE_Efficacité'!$A$4:$AO$4,0)+62),0)</f>
        <v>0</v>
      </c>
      <c r="O70" s="204">
        <f>VLOOKUP($D70,'7. PGE_Efficacité'!$A$6:$CY$266,78,0)</f>
        <v>0</v>
      </c>
      <c r="P70" s="204">
        <f>VLOOKUP($D70,'7. PGE_Efficacité'!$A$6:$CY$266,(MATCH('4.2 ACE EFF WOL'!P$4,'7. PGE_Efficacité'!$A$4:$AO$4,0)+62),0)</f>
        <v>0</v>
      </c>
      <c r="Q70" s="204">
        <f>VLOOKUP($D70,'7. PGE_Efficacité'!$A$6:$CY$266,(MATCH('4.2 ACE EFF WOL'!Q$4,'7. PGE_Efficacité'!$A$4:$AO$4,0)+62),0)</f>
        <v>0</v>
      </c>
      <c r="R70" s="204">
        <f>VLOOKUP($D70,'7. PGE_Efficacité'!$A$6:$CY$266,(MATCH('4.2 ACE EFF WOL'!R$4,'7. PGE_Efficacité'!$A$4:$AO$4,0)+62),0)</f>
        <v>0</v>
      </c>
      <c r="S70" s="204">
        <f>VLOOKUP($D70,'7. PGE_Efficacité'!$A$6:$CY$266,(MATCH('4.2 ACE EFF WOL'!S$4,'7. PGE_Efficacité'!$A$4:$AO$4,0)+62),0)</f>
        <v>0</v>
      </c>
      <c r="T70" s="204">
        <f>VLOOKUP($D70,'7. PGE_Efficacité'!$A$6:$CY$266,(MATCH('4.2 ACE EFF WOL'!T$4,'7. PGE_Efficacité'!$A$4:$AO$4,0)+62),0)</f>
        <v>0</v>
      </c>
      <c r="U70" s="204">
        <f>VLOOKUP($D70,'7. PGE_Efficacité'!$A$6:$CY$266,(MATCH('4.2 ACE EFF WOL'!U$4,'7. PGE_Efficacité'!$A$4:$AO$4,0)+62),0)</f>
        <v>0</v>
      </c>
      <c r="V70" s="204">
        <f>VLOOKUP($D70,'7. PGE_Efficacité'!$A$6:$CY$266,(MATCH('4.2 ACE EFF WOL'!V$4,'7. PGE_Efficacité'!$A$4:$AO$4,0)+62),0)</f>
        <v>0</v>
      </c>
      <c r="W70" s="204">
        <f>VLOOKUP($D70,'7. PGE_Efficacité'!$A$6:$CY$266,(MATCH('4.2 ACE EFF WOL'!W$4,'7. PGE_Efficacité'!$A$4:$AO$4,0)+62),0)</f>
        <v>0</v>
      </c>
      <c r="X70" s="204">
        <f>VLOOKUP($D70,'7. PGE_Efficacité'!$A$6:$CY$266,(MATCH('4.2 ACE EFF WOL'!X$4,'7. PGE_Efficacité'!$A$4:$AO$4,0)+62),0)</f>
        <v>0</v>
      </c>
      <c r="Y70" s="204">
        <f>VLOOKUP($D70,'7. PGE_Efficacité'!$A$6:$CY$266,(MATCH('4.2 ACE EFF WOL'!Y$4,'7. PGE_Efficacité'!$A$4:$AO$4,0)+62),0)</f>
        <v>0</v>
      </c>
      <c r="Z70" s="204">
        <f>VLOOKUP($D70,'7. PGE_Efficacité'!$A$6:$CY$266,(MATCH('4.2 ACE EFF WOL'!Z$4,'7. PGE_Efficacité'!$A$4:$AO$4,0)+62),0)</f>
        <v>0</v>
      </c>
      <c r="AA70" s="204">
        <f>VLOOKUP($D70,'7. PGE_Efficacité'!$A$6:$CY$266,(MATCH('4.2 ACE EFF WOL'!AA$4,'7. PGE_Efficacité'!$A$4:$AO$4,0)+62),0)</f>
        <v>0</v>
      </c>
      <c r="AB70" s="204">
        <f>VLOOKUP($D70,'7. PGE_Efficacité'!$A$6:$CY$266,(MATCH('4.2 ACE EFF WOL'!AB$4,'7. PGE_Efficacité'!$A$4:$AO$4,0)+62),0)</f>
        <v>0</v>
      </c>
      <c r="AC70" s="204">
        <f>VLOOKUP($D70,'7. PGE_Efficacité'!$A$6:$CY$266,(MATCH('4.2 ACE EFF WOL'!AC$4,'7. PGE_Efficacité'!$A$4:$AO$4,0)+62),0)</f>
        <v>0</v>
      </c>
      <c r="AD70" s="204">
        <f>VLOOKUP($D70,'7. PGE_Efficacité'!$A$6:$CY$266,(MATCH('4.2 ACE EFF WOL'!AD$4,'7. PGE_Efficacité'!$A$4:$AO$4,0)+62),0)</f>
        <v>0</v>
      </c>
      <c r="AE70" s="204">
        <f>VLOOKUP($D70,'7. PGE_Efficacité'!$A$6:$CY$266,(MATCH('4.2 ACE EFF WOL'!AE$4,'7. PGE_Efficacité'!$A$4:$AO$4,0)+62),0)</f>
        <v>0</v>
      </c>
      <c r="AF70" s="204">
        <f>VLOOKUP($D70,'7. PGE_Efficacité'!$A$6:$CY$266,(MATCH('4.2 ACE EFF WOL'!AF$4,'7. PGE_Efficacité'!$A$4:$AO$4,0)+62),0)</f>
        <v>0</v>
      </c>
      <c r="AG70" s="204">
        <f>VLOOKUP($D70,'7. PGE_Efficacité'!$A$6:$CY$266,(MATCH('4.2 ACE EFF WOL'!AG$4,'7. PGE_Efficacité'!$A$4:$AO$4,0)+62),0)</f>
        <v>0</v>
      </c>
      <c r="AH70" s="204">
        <f>VLOOKUP($D70,'7. PGE_Efficacité'!$A$6:$CY$266,(MATCH('4.2 ACE EFF WOL'!AH$4,'7. PGE_Efficacité'!$A$4:$AO$4,0)+62),0)</f>
        <v>0</v>
      </c>
      <c r="AI70" s="204">
        <f>VLOOKUP($D70,'7. PGE_Efficacité'!$A$6:$CY$266,(MATCH('4.2 ACE EFF WOL'!AI$4,'7. PGE_Efficacité'!$A$4:$AO$4,0)+62),0)</f>
        <v>0</v>
      </c>
      <c r="AJ70" s="204">
        <f>VLOOKUP($D70,'7. PGE_Efficacité'!$A$6:$CY$266,(MATCH('4.2 ACE EFF WOL'!AJ$4,'7. PGE_Efficacité'!$A$4:$AO$4,0)+62),0)</f>
        <v>0</v>
      </c>
      <c r="AK70" s="204">
        <f>VLOOKUP($D70,'7. PGE_Efficacité'!$A$6:$CY$266,(MATCH('4.2 ACE EFF WOL'!AK$4,'7. PGE_Efficacité'!$A$4:$AO$4,0)+62),0)</f>
        <v>0</v>
      </c>
      <c r="AL70" s="204">
        <f>VLOOKUP($D70,'7. PGE_Efficacité'!$A$6:$CY$266,(MATCH('4.2 ACE EFF WOL'!AL$4,'7. PGE_Efficacité'!$A$4:$AO$4,0)+62),0)</f>
        <v>0</v>
      </c>
      <c r="AM70" s="204">
        <f>VLOOKUP($D70,'7. PGE_Efficacité'!$A$6:$CY$266,(MATCH('4.2 ACE EFF WOL'!AM$4,'7. PGE_Efficacité'!$A$4:$AO$4,0)+62),0)</f>
        <v>0</v>
      </c>
      <c r="AN70" s="204">
        <f>VLOOKUP($D70,'7. PGE_Efficacité'!$A$6:$CY$266,(MATCH('4.2 ACE EFF WOL'!AN$4,'7. PGE_Efficacité'!$A$4:$AO$4,0)+62),0)</f>
        <v>0</v>
      </c>
    </row>
    <row r="71" spans="1:40" hidden="1" outlineLevel="2" x14ac:dyDescent="0.25">
      <c r="A71" s="48"/>
      <c r="B71" s="49"/>
      <c r="C71" s="48"/>
      <c r="D71" s="199" t="s">
        <v>8</v>
      </c>
      <c r="E71" s="200" t="s">
        <v>843</v>
      </c>
      <c r="F71" s="200" t="s">
        <v>1473</v>
      </c>
      <c r="G71" s="201" t="s">
        <v>1522</v>
      </c>
      <c r="H71" s="200" t="s">
        <v>1290</v>
      </c>
      <c r="I71" s="202">
        <v>0</v>
      </c>
      <c r="J71" s="139">
        <f>VLOOKUP($E71,'7. PGE_Efficacité'!$A$6:$CY$266,(MATCH('4.2 ACE EFF WOL'!J$4,'7. PGE_Efficacité'!$A$4:$AO$4,0)+62),0)</f>
        <v>0</v>
      </c>
      <c r="K71" s="139">
        <f>VLOOKUP($E71,'7. PGE_Efficacité'!$A$6:$CY$266,(MATCH('4.2 ACE EFF WOL'!K$4,'7. PGE_Efficacité'!$A$4:$AO$4,0)+62),0)</f>
        <v>0</v>
      </c>
      <c r="L71" s="139">
        <f>VLOOKUP($E71,'7. PGE_Efficacité'!$A$6:$CY$266,(MATCH('4.2 ACE EFF WOL'!L$4,'7. PGE_Efficacité'!$A$4:$AO$4,0)+62),0)</f>
        <v>0</v>
      </c>
      <c r="M71" s="139">
        <f>VLOOKUP($E71,'7. PGE_Efficacité'!$A$6:$CY$266,(MATCH('4.2 ACE EFF WOL'!M$4,'7. PGE_Efficacité'!$A$4:$AO$4,0)+62),0)</f>
        <v>0</v>
      </c>
      <c r="N71" s="139">
        <f>VLOOKUP($E71,'7. PGE_Efficacité'!$A$6:$CY$266,(MATCH('4.2 ACE EFF WOL'!N$4,'7. PGE_Efficacité'!$A$4:$AO$4,0)+62),0)</f>
        <v>0</v>
      </c>
      <c r="O71" s="139">
        <f>VLOOKUP($E71,'7. PGE_Efficacité'!$A$6:$CY$266,78,0)</f>
        <v>0</v>
      </c>
      <c r="P71" s="139">
        <f>VLOOKUP($E71,'7. PGE_Efficacité'!$A$6:$CY$266,(MATCH('4.2 ACE EFF WOL'!P$4,'7. PGE_Efficacité'!$A$4:$AO$4,0)+62),0)</f>
        <v>0</v>
      </c>
      <c r="Q71" s="139">
        <f>VLOOKUP($E71,'7. PGE_Efficacité'!$A$6:$CY$266,(MATCH('4.2 ACE EFF WOL'!Q$4,'7. PGE_Efficacité'!$A$4:$AO$4,0)+62),0)</f>
        <v>0</v>
      </c>
      <c r="R71" s="139">
        <f>VLOOKUP($E71,'7. PGE_Efficacité'!$A$6:$CY$266,(MATCH('4.2 ACE EFF WOL'!R$4,'7. PGE_Efficacité'!$A$4:$AO$4,0)+62),0)</f>
        <v>0</v>
      </c>
      <c r="S71" s="139">
        <f>VLOOKUP($E71,'7. PGE_Efficacité'!$A$6:$CY$266,(MATCH('4.2 ACE EFF WOL'!S$4,'7. PGE_Efficacité'!$A$4:$AO$4,0)+62),0)</f>
        <v>0</v>
      </c>
      <c r="T71" s="139">
        <f>VLOOKUP($E71,'7. PGE_Efficacité'!$A$6:$CY$266,(MATCH('4.2 ACE EFF WOL'!T$4,'7. PGE_Efficacité'!$A$4:$AO$4,0)+62),0)</f>
        <v>0</v>
      </c>
      <c r="U71" s="139">
        <f>VLOOKUP($E71,'7. PGE_Efficacité'!$A$6:$CY$266,(MATCH('4.2 ACE EFF WOL'!U$4,'7. PGE_Efficacité'!$A$4:$AO$4,0)+62),0)</f>
        <v>0</v>
      </c>
      <c r="V71" s="139">
        <f>VLOOKUP($E71,'7. PGE_Efficacité'!$A$6:$CY$266,(MATCH('4.2 ACE EFF WOL'!V$4,'7. PGE_Efficacité'!$A$4:$AO$4,0)+62),0)</f>
        <v>0</v>
      </c>
      <c r="W71" s="139">
        <f>VLOOKUP($E71,'7. PGE_Efficacité'!$A$6:$CY$266,(MATCH('4.2 ACE EFF WOL'!W$4,'7. PGE_Efficacité'!$A$4:$AO$4,0)+62),0)</f>
        <v>0</v>
      </c>
      <c r="X71" s="139">
        <f>VLOOKUP($E71,'7. PGE_Efficacité'!$A$6:$CY$266,(MATCH('4.2 ACE EFF WOL'!X$4,'7. PGE_Efficacité'!$A$4:$AO$4,0)+62),0)</f>
        <v>0</v>
      </c>
      <c r="Y71" s="139">
        <f>VLOOKUP($E71,'7. PGE_Efficacité'!$A$6:$CY$266,(MATCH('4.2 ACE EFF WOL'!Y$4,'7. PGE_Efficacité'!$A$4:$AO$4,0)+62),0)</f>
        <v>0</v>
      </c>
      <c r="Z71" s="139">
        <f>VLOOKUP($E71,'7. PGE_Efficacité'!$A$6:$CY$266,(MATCH('4.2 ACE EFF WOL'!Z$4,'7. PGE_Efficacité'!$A$4:$AO$4,0)+62),0)</f>
        <v>0</v>
      </c>
      <c r="AA71" s="139">
        <f>VLOOKUP($E71,'7. PGE_Efficacité'!$A$6:$CY$266,(MATCH('4.2 ACE EFF WOL'!AA$4,'7. PGE_Efficacité'!$A$4:$AO$4,0)+62),0)</f>
        <v>0</v>
      </c>
      <c r="AB71" s="139">
        <f>VLOOKUP($E71,'7. PGE_Efficacité'!$A$6:$CY$266,(MATCH('4.2 ACE EFF WOL'!AB$4,'7. PGE_Efficacité'!$A$4:$AO$4,0)+62),0)</f>
        <v>0</v>
      </c>
      <c r="AC71" s="139">
        <f>VLOOKUP($E71,'7. PGE_Efficacité'!$A$6:$CY$266,(MATCH('4.2 ACE EFF WOL'!AC$4,'7. PGE_Efficacité'!$A$4:$AO$4,0)+62),0)</f>
        <v>0</v>
      </c>
      <c r="AD71" s="139">
        <f>VLOOKUP($E71,'7. PGE_Efficacité'!$A$6:$CY$266,(MATCH('4.2 ACE EFF WOL'!AD$4,'7. PGE_Efficacité'!$A$4:$AO$4,0)+62),0)</f>
        <v>0</v>
      </c>
      <c r="AE71" s="139">
        <f>VLOOKUP($E71,'7. PGE_Efficacité'!$A$6:$CY$266,(MATCH('4.2 ACE EFF WOL'!AE$4,'7. PGE_Efficacité'!$A$4:$AO$4,0)+62),0)</f>
        <v>0</v>
      </c>
      <c r="AF71" s="139">
        <f>VLOOKUP($E71,'7. PGE_Efficacité'!$A$6:$CY$266,(MATCH('4.2 ACE EFF WOL'!AF$4,'7. PGE_Efficacité'!$A$4:$AO$4,0)+62),0)</f>
        <v>0</v>
      </c>
      <c r="AG71" s="139">
        <f>VLOOKUP($E71,'7. PGE_Efficacité'!$A$6:$CY$266,(MATCH('4.2 ACE EFF WOL'!AG$4,'7. PGE_Efficacité'!$A$4:$AO$4,0)+62),0)</f>
        <v>0</v>
      </c>
      <c r="AH71" s="139">
        <f>VLOOKUP($E71,'7. PGE_Efficacité'!$A$6:$CY$266,(MATCH('4.2 ACE EFF WOL'!AH$4,'7. PGE_Efficacité'!$A$4:$AO$4,0)+62),0)</f>
        <v>0</v>
      </c>
      <c r="AI71" s="139">
        <f>VLOOKUP($E71,'7. PGE_Efficacité'!$A$6:$CY$266,(MATCH('4.2 ACE EFF WOL'!AI$4,'7. PGE_Efficacité'!$A$4:$AO$4,0)+62),0)</f>
        <v>0</v>
      </c>
      <c r="AJ71" s="139">
        <f>VLOOKUP($E71,'7. PGE_Efficacité'!$A$6:$CY$266,(MATCH('4.2 ACE EFF WOL'!AJ$4,'7. PGE_Efficacité'!$A$4:$AO$4,0)+62),0)</f>
        <v>0</v>
      </c>
      <c r="AK71" s="139">
        <f>VLOOKUP($E71,'7. PGE_Efficacité'!$A$6:$CY$266,(MATCH('4.2 ACE EFF WOL'!AK$4,'7. PGE_Efficacité'!$A$4:$AO$4,0)+62),0)</f>
        <v>0</v>
      </c>
      <c r="AL71" s="139">
        <f>VLOOKUP($E71,'7. PGE_Efficacité'!$A$6:$CY$266,(MATCH('4.2 ACE EFF WOL'!AL$4,'7. PGE_Efficacité'!$A$4:$AO$4,0)+62),0)</f>
        <v>0</v>
      </c>
      <c r="AM71" s="139">
        <f>VLOOKUP($E71,'7. PGE_Efficacité'!$A$6:$CY$266,(MATCH('4.2 ACE EFF WOL'!AM$4,'7. PGE_Efficacité'!$A$4:$AO$4,0)+62),0)</f>
        <v>0</v>
      </c>
      <c r="AN71" s="139">
        <f>VLOOKUP($E71,'7. PGE_Efficacité'!$A$6:$CY$266,(MATCH('4.2 ACE EFF WOL'!AN$4,'7. PGE_Efficacité'!$A$4:$AO$4,0)+62),0)</f>
        <v>0</v>
      </c>
    </row>
    <row r="72" spans="1:40" hidden="1" outlineLevel="2" x14ac:dyDescent="0.25">
      <c r="A72" s="48" t="s">
        <v>1524</v>
      </c>
      <c r="B72" s="49">
        <v>9</v>
      </c>
      <c r="C72" s="48" t="s">
        <v>1524</v>
      </c>
      <c r="D72" s="199" t="s">
        <v>8</v>
      </c>
      <c r="E72" s="200" t="s">
        <v>844</v>
      </c>
      <c r="F72" s="200" t="s">
        <v>1474</v>
      </c>
      <c r="G72" s="201" t="s">
        <v>1522</v>
      </c>
      <c r="H72" s="200" t="s">
        <v>1289</v>
      </c>
      <c r="I72" s="202">
        <v>0</v>
      </c>
      <c r="J72" s="139">
        <f>VLOOKUP($E72,'7. PGE_Efficacité'!$A$6:$CY$266,(MATCH('4.2 ACE EFF WOL'!J$4,'7. PGE_Efficacité'!$A$4:$AO$4,0)+62),0)</f>
        <v>0</v>
      </c>
      <c r="K72" s="139">
        <f>VLOOKUP($E72,'7. PGE_Efficacité'!$A$6:$CY$266,(MATCH('4.2 ACE EFF WOL'!K$4,'7. PGE_Efficacité'!$A$4:$AO$4,0)+62),0)</f>
        <v>0</v>
      </c>
      <c r="L72" s="139">
        <f>VLOOKUP($E72,'7. PGE_Efficacité'!$A$6:$CY$266,(MATCH('4.2 ACE EFF WOL'!L$4,'7. PGE_Efficacité'!$A$4:$AO$4,0)+62),0)</f>
        <v>0</v>
      </c>
      <c r="M72" s="139">
        <f>VLOOKUP($E72,'7. PGE_Efficacité'!$A$6:$CY$266,(MATCH('4.2 ACE EFF WOL'!M$4,'7. PGE_Efficacité'!$A$4:$AO$4,0)+62),0)</f>
        <v>0</v>
      </c>
      <c r="N72" s="139">
        <f>VLOOKUP($E72,'7. PGE_Efficacité'!$A$6:$CY$266,(MATCH('4.2 ACE EFF WOL'!N$4,'7. PGE_Efficacité'!$A$4:$AO$4,0)+62),0)</f>
        <v>0</v>
      </c>
      <c r="O72" s="139">
        <f>VLOOKUP($E72,'7. PGE_Efficacité'!$A$6:$CY$266,78,0)</f>
        <v>0</v>
      </c>
      <c r="P72" s="139">
        <f>VLOOKUP($E72,'7. PGE_Efficacité'!$A$6:$CY$266,(MATCH('4.2 ACE EFF WOL'!P$4,'7. PGE_Efficacité'!$A$4:$AO$4,0)+62),0)</f>
        <v>0</v>
      </c>
      <c r="Q72" s="139">
        <f>VLOOKUP($E72,'7. PGE_Efficacité'!$A$6:$CY$266,(MATCH('4.2 ACE EFF WOL'!Q$4,'7. PGE_Efficacité'!$A$4:$AO$4,0)+62),0)</f>
        <v>0</v>
      </c>
      <c r="R72" s="139">
        <f>VLOOKUP($E72,'7. PGE_Efficacité'!$A$6:$CY$266,(MATCH('4.2 ACE EFF WOL'!R$4,'7. PGE_Efficacité'!$A$4:$AO$4,0)+62),0)</f>
        <v>0</v>
      </c>
      <c r="S72" s="139">
        <f>VLOOKUP($E72,'7. PGE_Efficacité'!$A$6:$CY$266,(MATCH('4.2 ACE EFF WOL'!S$4,'7. PGE_Efficacité'!$A$4:$AO$4,0)+62),0)</f>
        <v>0</v>
      </c>
      <c r="T72" s="139">
        <f>VLOOKUP($E72,'7. PGE_Efficacité'!$A$6:$CY$266,(MATCH('4.2 ACE EFF WOL'!T$4,'7. PGE_Efficacité'!$A$4:$AO$4,0)+62),0)</f>
        <v>0</v>
      </c>
      <c r="U72" s="139">
        <f>VLOOKUP($E72,'7. PGE_Efficacité'!$A$6:$CY$266,(MATCH('4.2 ACE EFF WOL'!U$4,'7. PGE_Efficacité'!$A$4:$AO$4,0)+62),0)</f>
        <v>0</v>
      </c>
      <c r="V72" s="139">
        <f>VLOOKUP($E72,'7. PGE_Efficacité'!$A$6:$CY$266,(MATCH('4.2 ACE EFF WOL'!V$4,'7. PGE_Efficacité'!$A$4:$AO$4,0)+62),0)</f>
        <v>0</v>
      </c>
      <c r="W72" s="139">
        <f>VLOOKUP($E72,'7. PGE_Efficacité'!$A$6:$CY$266,(MATCH('4.2 ACE EFF WOL'!W$4,'7. PGE_Efficacité'!$A$4:$AO$4,0)+62),0)</f>
        <v>0</v>
      </c>
      <c r="X72" s="139">
        <f>VLOOKUP($E72,'7. PGE_Efficacité'!$A$6:$CY$266,(MATCH('4.2 ACE EFF WOL'!X$4,'7. PGE_Efficacité'!$A$4:$AO$4,0)+62),0)</f>
        <v>0</v>
      </c>
      <c r="Y72" s="139">
        <f>VLOOKUP($E72,'7. PGE_Efficacité'!$A$6:$CY$266,(MATCH('4.2 ACE EFF WOL'!Y$4,'7. PGE_Efficacité'!$A$4:$AO$4,0)+62),0)</f>
        <v>0</v>
      </c>
      <c r="Z72" s="139">
        <f>VLOOKUP($E72,'7. PGE_Efficacité'!$A$6:$CY$266,(MATCH('4.2 ACE EFF WOL'!Z$4,'7. PGE_Efficacité'!$A$4:$AO$4,0)+62),0)</f>
        <v>0</v>
      </c>
      <c r="AA72" s="139">
        <f>VLOOKUP($E72,'7. PGE_Efficacité'!$A$6:$CY$266,(MATCH('4.2 ACE EFF WOL'!AA$4,'7. PGE_Efficacité'!$A$4:$AO$4,0)+62),0)</f>
        <v>0</v>
      </c>
      <c r="AB72" s="139">
        <f>VLOOKUP($E72,'7. PGE_Efficacité'!$A$6:$CY$266,(MATCH('4.2 ACE EFF WOL'!AB$4,'7. PGE_Efficacité'!$A$4:$AO$4,0)+62),0)</f>
        <v>0</v>
      </c>
      <c r="AC72" s="139">
        <f>VLOOKUP($E72,'7. PGE_Efficacité'!$A$6:$CY$266,(MATCH('4.2 ACE EFF WOL'!AC$4,'7. PGE_Efficacité'!$A$4:$AO$4,0)+62),0)</f>
        <v>0</v>
      </c>
      <c r="AD72" s="139">
        <f>VLOOKUP($E72,'7. PGE_Efficacité'!$A$6:$CY$266,(MATCH('4.2 ACE EFF WOL'!AD$4,'7. PGE_Efficacité'!$A$4:$AO$4,0)+62),0)</f>
        <v>0</v>
      </c>
      <c r="AE72" s="139">
        <f>VLOOKUP($E72,'7. PGE_Efficacité'!$A$6:$CY$266,(MATCH('4.2 ACE EFF WOL'!AE$4,'7. PGE_Efficacité'!$A$4:$AO$4,0)+62),0)</f>
        <v>0</v>
      </c>
      <c r="AF72" s="139">
        <f>VLOOKUP($E72,'7. PGE_Efficacité'!$A$6:$CY$266,(MATCH('4.2 ACE EFF WOL'!AF$4,'7. PGE_Efficacité'!$A$4:$AO$4,0)+62),0)</f>
        <v>0</v>
      </c>
      <c r="AG72" s="139">
        <f>VLOOKUP($E72,'7. PGE_Efficacité'!$A$6:$CY$266,(MATCH('4.2 ACE EFF WOL'!AG$4,'7. PGE_Efficacité'!$A$4:$AO$4,0)+62),0)</f>
        <v>0</v>
      </c>
      <c r="AH72" s="139">
        <f>VLOOKUP($E72,'7. PGE_Efficacité'!$A$6:$CY$266,(MATCH('4.2 ACE EFF WOL'!AH$4,'7. PGE_Efficacité'!$A$4:$AO$4,0)+62),0)</f>
        <v>0</v>
      </c>
      <c r="AI72" s="139">
        <f>VLOOKUP($E72,'7. PGE_Efficacité'!$A$6:$CY$266,(MATCH('4.2 ACE EFF WOL'!AI$4,'7. PGE_Efficacité'!$A$4:$AO$4,0)+62),0)</f>
        <v>0</v>
      </c>
      <c r="AJ72" s="139">
        <f>VLOOKUP($E72,'7. PGE_Efficacité'!$A$6:$CY$266,(MATCH('4.2 ACE EFF WOL'!AJ$4,'7. PGE_Efficacité'!$A$4:$AO$4,0)+62),0)</f>
        <v>0</v>
      </c>
      <c r="AK72" s="139">
        <f>VLOOKUP($E72,'7. PGE_Efficacité'!$A$6:$CY$266,(MATCH('4.2 ACE EFF WOL'!AK$4,'7. PGE_Efficacité'!$A$4:$AO$4,0)+62),0)</f>
        <v>0</v>
      </c>
      <c r="AL72" s="139">
        <f>VLOOKUP($E72,'7. PGE_Efficacité'!$A$6:$CY$266,(MATCH('4.2 ACE EFF WOL'!AL$4,'7. PGE_Efficacité'!$A$4:$AO$4,0)+62),0)</f>
        <v>0</v>
      </c>
      <c r="AM72" s="139">
        <f>VLOOKUP($E72,'7. PGE_Efficacité'!$A$6:$CY$266,(MATCH('4.2 ACE EFF WOL'!AM$4,'7. PGE_Efficacité'!$A$4:$AO$4,0)+62),0)</f>
        <v>0</v>
      </c>
      <c r="AN72" s="139">
        <f>VLOOKUP($E72,'7. PGE_Efficacité'!$A$6:$CY$266,(MATCH('4.2 ACE EFF WOL'!AN$4,'7. PGE_Efficacité'!$A$4:$AO$4,0)+62),0)</f>
        <v>0</v>
      </c>
    </row>
    <row r="73" spans="1:40" hidden="1" outlineLevel="2" x14ac:dyDescent="0.25">
      <c r="A73" s="48" t="s">
        <v>1524</v>
      </c>
      <c r="B73" s="49">
        <v>9</v>
      </c>
      <c r="C73" s="48" t="s">
        <v>1525</v>
      </c>
      <c r="D73" s="199" t="s">
        <v>8</v>
      </c>
      <c r="E73" s="200" t="s">
        <v>850</v>
      </c>
      <c r="F73" s="200" t="s">
        <v>1480</v>
      </c>
      <c r="G73" s="201" t="s">
        <v>1522</v>
      </c>
      <c r="H73" s="200" t="s">
        <v>1289</v>
      </c>
      <c r="I73" s="202">
        <f>2950000/2</f>
        <v>1475000</v>
      </c>
      <c r="J73" s="139">
        <f>VLOOKUP($E73,'7. PGE_Efficacité'!$A$6:$CY$266,(MATCH('4.2 ACE EFF WOL'!J$4,'7. PGE_Efficacité'!$A$4:$AO$4,0)+62),0)</f>
        <v>0</v>
      </c>
      <c r="K73" s="139">
        <f>VLOOKUP($E73,'7. PGE_Efficacité'!$A$6:$CY$266,(MATCH('4.2 ACE EFF WOL'!K$4,'7. PGE_Efficacité'!$A$4:$AO$4,0)+62),0)</f>
        <v>0</v>
      </c>
      <c r="L73" s="139">
        <f>VLOOKUP($E73,'7. PGE_Efficacité'!$A$6:$CY$266,(MATCH('4.2 ACE EFF WOL'!L$4,'7. PGE_Efficacité'!$A$4:$AO$4,0)+62),0)</f>
        <v>0</v>
      </c>
      <c r="M73" s="139">
        <f>VLOOKUP($E73,'7. PGE_Efficacité'!$A$6:$CY$266,(MATCH('4.2 ACE EFF WOL'!M$4,'7. PGE_Efficacité'!$A$4:$AO$4,0)+62),0)</f>
        <v>0</v>
      </c>
      <c r="N73" s="139">
        <f>VLOOKUP($E73,'7. PGE_Efficacité'!$A$6:$CY$266,(MATCH('4.2 ACE EFF WOL'!N$4,'7. PGE_Efficacité'!$A$4:$AO$4,0)+62),0)</f>
        <v>0</v>
      </c>
      <c r="O73" s="139">
        <f>VLOOKUP($E73,'7. PGE_Efficacité'!$A$6:$CY$266,78,0)</f>
        <v>0</v>
      </c>
      <c r="P73" s="139">
        <f>VLOOKUP($E73,'7. PGE_Efficacité'!$A$6:$CY$266,(MATCH('4.2 ACE EFF WOL'!P$4,'7. PGE_Efficacité'!$A$4:$AO$4,0)+62),0)</f>
        <v>0</v>
      </c>
      <c r="Q73" s="139">
        <f>VLOOKUP($E73,'7. PGE_Efficacité'!$A$6:$CY$266,(MATCH('4.2 ACE EFF WOL'!Q$4,'7. PGE_Efficacité'!$A$4:$AO$4,0)+62),0)</f>
        <v>0</v>
      </c>
      <c r="R73" s="139">
        <f>VLOOKUP($E73,'7. PGE_Efficacité'!$A$6:$CY$266,(MATCH('4.2 ACE EFF WOL'!R$4,'7. PGE_Efficacité'!$A$4:$AO$4,0)+62),0)</f>
        <v>0</v>
      </c>
      <c r="S73" s="139">
        <f>VLOOKUP($E73,'7. PGE_Efficacité'!$A$6:$CY$266,(MATCH('4.2 ACE EFF WOL'!S$4,'7. PGE_Efficacité'!$A$4:$AO$4,0)+62),0)</f>
        <v>0</v>
      </c>
      <c r="T73" s="139">
        <f>VLOOKUP($E73,'7. PGE_Efficacité'!$A$6:$CY$266,(MATCH('4.2 ACE EFF WOL'!T$4,'7. PGE_Efficacité'!$A$4:$AO$4,0)+62),0)</f>
        <v>0</v>
      </c>
      <c r="U73" s="139">
        <f>VLOOKUP($E73,'7. PGE_Efficacité'!$A$6:$CY$266,(MATCH('4.2 ACE EFF WOL'!U$4,'7. PGE_Efficacité'!$A$4:$AO$4,0)+62),0)</f>
        <v>0</v>
      </c>
      <c r="V73" s="139">
        <f>VLOOKUP($E73,'7. PGE_Efficacité'!$A$6:$CY$266,(MATCH('4.2 ACE EFF WOL'!V$4,'7. PGE_Efficacité'!$A$4:$AO$4,0)+62),0)</f>
        <v>0</v>
      </c>
      <c r="W73" s="139">
        <f>VLOOKUP($E73,'7. PGE_Efficacité'!$A$6:$CY$266,(MATCH('4.2 ACE EFF WOL'!W$4,'7. PGE_Efficacité'!$A$4:$AO$4,0)+62),0)</f>
        <v>0</v>
      </c>
      <c r="X73" s="139">
        <f>VLOOKUP($E73,'7. PGE_Efficacité'!$A$6:$CY$266,(MATCH('4.2 ACE EFF WOL'!X$4,'7. PGE_Efficacité'!$A$4:$AO$4,0)+62),0)</f>
        <v>0</v>
      </c>
      <c r="Y73" s="139">
        <f>VLOOKUP($E73,'7. PGE_Efficacité'!$A$6:$CY$266,(MATCH('4.2 ACE EFF WOL'!Y$4,'7. PGE_Efficacité'!$A$4:$AO$4,0)+62),0)</f>
        <v>0</v>
      </c>
      <c r="Z73" s="139">
        <f>VLOOKUP($E73,'7. PGE_Efficacité'!$A$6:$CY$266,(MATCH('4.2 ACE EFF WOL'!Z$4,'7. PGE_Efficacité'!$A$4:$AO$4,0)+62),0)</f>
        <v>0</v>
      </c>
      <c r="AA73" s="139">
        <f>VLOOKUP($E73,'7. PGE_Efficacité'!$A$6:$CY$266,(MATCH('4.2 ACE EFF WOL'!AA$4,'7. PGE_Efficacité'!$A$4:$AO$4,0)+62),0)</f>
        <v>0</v>
      </c>
      <c r="AB73" s="139">
        <f>VLOOKUP($E73,'7. PGE_Efficacité'!$A$6:$CY$266,(MATCH('4.2 ACE EFF WOL'!AB$4,'7. PGE_Efficacité'!$A$4:$AO$4,0)+62),0)</f>
        <v>0</v>
      </c>
      <c r="AC73" s="139">
        <f>VLOOKUP($E73,'7. PGE_Efficacité'!$A$6:$CY$266,(MATCH('4.2 ACE EFF WOL'!AC$4,'7. PGE_Efficacité'!$A$4:$AO$4,0)+62),0)</f>
        <v>0</v>
      </c>
      <c r="AD73" s="139">
        <f>VLOOKUP($E73,'7. PGE_Efficacité'!$A$6:$CY$266,(MATCH('4.2 ACE EFF WOL'!AD$4,'7. PGE_Efficacité'!$A$4:$AO$4,0)+62),0)</f>
        <v>0</v>
      </c>
      <c r="AE73" s="139">
        <f>VLOOKUP($E73,'7. PGE_Efficacité'!$A$6:$CY$266,(MATCH('4.2 ACE EFF WOL'!AE$4,'7. PGE_Efficacité'!$A$4:$AO$4,0)+62),0)</f>
        <v>0</v>
      </c>
      <c r="AF73" s="139">
        <f>VLOOKUP($E73,'7. PGE_Efficacité'!$A$6:$CY$266,(MATCH('4.2 ACE EFF WOL'!AF$4,'7. PGE_Efficacité'!$A$4:$AO$4,0)+62),0)</f>
        <v>0</v>
      </c>
      <c r="AG73" s="139">
        <f>VLOOKUP($E73,'7. PGE_Efficacité'!$A$6:$CY$266,(MATCH('4.2 ACE EFF WOL'!AG$4,'7. PGE_Efficacité'!$A$4:$AO$4,0)+62),0)</f>
        <v>0</v>
      </c>
      <c r="AH73" s="139">
        <f>VLOOKUP($E73,'7. PGE_Efficacité'!$A$6:$CY$266,(MATCH('4.2 ACE EFF WOL'!AH$4,'7. PGE_Efficacité'!$A$4:$AO$4,0)+62),0)</f>
        <v>0</v>
      </c>
      <c r="AI73" s="139">
        <f>VLOOKUP($E73,'7. PGE_Efficacité'!$A$6:$CY$266,(MATCH('4.2 ACE EFF WOL'!AI$4,'7. PGE_Efficacité'!$A$4:$AO$4,0)+62),0)</f>
        <v>0</v>
      </c>
      <c r="AJ73" s="139">
        <f>VLOOKUP($E73,'7. PGE_Efficacité'!$A$6:$CY$266,(MATCH('4.2 ACE EFF WOL'!AJ$4,'7. PGE_Efficacité'!$A$4:$AO$4,0)+62),0)</f>
        <v>0</v>
      </c>
      <c r="AK73" s="139">
        <f>VLOOKUP($E73,'7. PGE_Efficacité'!$A$6:$CY$266,(MATCH('4.2 ACE EFF WOL'!AK$4,'7. PGE_Efficacité'!$A$4:$AO$4,0)+62),0)</f>
        <v>0</v>
      </c>
      <c r="AL73" s="139">
        <f>VLOOKUP($E73,'7. PGE_Efficacité'!$A$6:$CY$266,(MATCH('4.2 ACE EFF WOL'!AL$4,'7. PGE_Efficacité'!$A$4:$AO$4,0)+62),0)</f>
        <v>0</v>
      </c>
      <c r="AM73" s="139">
        <f>VLOOKUP($E73,'7. PGE_Efficacité'!$A$6:$CY$266,(MATCH('4.2 ACE EFF WOL'!AM$4,'7. PGE_Efficacité'!$A$4:$AO$4,0)+62),0)</f>
        <v>0</v>
      </c>
      <c r="AN73" s="139">
        <f>VLOOKUP($E73,'7. PGE_Efficacité'!$A$6:$CY$266,(MATCH('4.2 ACE EFF WOL'!AN$4,'7. PGE_Efficacité'!$A$4:$AO$4,0)+62),0)</f>
        <v>0</v>
      </c>
    </row>
    <row r="74" spans="1:40" hidden="1" outlineLevel="2" x14ac:dyDescent="0.25">
      <c r="A74" s="48" t="s">
        <v>1524</v>
      </c>
      <c r="B74" s="49">
        <v>9</v>
      </c>
      <c r="C74" s="48" t="s">
        <v>1530</v>
      </c>
      <c r="D74" s="199" t="s">
        <v>8</v>
      </c>
      <c r="E74" s="200" t="s">
        <v>851</v>
      </c>
      <c r="F74" s="200" t="s">
        <v>1481</v>
      </c>
      <c r="G74" s="201" t="s">
        <v>1522</v>
      </c>
      <c r="H74" s="200" t="s">
        <v>1290</v>
      </c>
      <c r="I74" s="202">
        <v>0</v>
      </c>
      <c r="J74" s="139">
        <f>VLOOKUP($E74,'7. PGE_Efficacité'!$A$6:$CY$266,(MATCH('4.2 ACE EFF WOL'!J$4,'7. PGE_Efficacité'!$A$4:$AO$4,0)+62),0)</f>
        <v>0</v>
      </c>
      <c r="K74" s="139">
        <f>VLOOKUP($E74,'7. PGE_Efficacité'!$A$6:$CY$266,(MATCH('4.2 ACE EFF WOL'!K$4,'7. PGE_Efficacité'!$A$4:$AO$4,0)+62),0)</f>
        <v>0</v>
      </c>
      <c r="L74" s="139">
        <f>VLOOKUP($E74,'7. PGE_Efficacité'!$A$6:$CY$266,(MATCH('4.2 ACE EFF WOL'!L$4,'7. PGE_Efficacité'!$A$4:$AO$4,0)+62),0)</f>
        <v>0</v>
      </c>
      <c r="M74" s="139">
        <f>VLOOKUP($E74,'7. PGE_Efficacité'!$A$6:$CY$266,(MATCH('4.2 ACE EFF WOL'!M$4,'7. PGE_Efficacité'!$A$4:$AO$4,0)+62),0)</f>
        <v>0</v>
      </c>
      <c r="N74" s="139">
        <f>VLOOKUP($E74,'7. PGE_Efficacité'!$A$6:$CY$266,(MATCH('4.2 ACE EFF WOL'!N$4,'7. PGE_Efficacité'!$A$4:$AO$4,0)+62),0)</f>
        <v>0</v>
      </c>
      <c r="O74" s="139">
        <f>VLOOKUP($E74,'7. PGE_Efficacité'!$A$6:$CY$266,78,0)</f>
        <v>0</v>
      </c>
      <c r="P74" s="139">
        <f>VLOOKUP($E74,'7. PGE_Efficacité'!$A$6:$CY$266,(MATCH('4.2 ACE EFF WOL'!P$4,'7. PGE_Efficacité'!$A$4:$AO$4,0)+62),0)</f>
        <v>0</v>
      </c>
      <c r="Q74" s="139">
        <f>VLOOKUP($E74,'7. PGE_Efficacité'!$A$6:$CY$266,(MATCH('4.2 ACE EFF WOL'!Q$4,'7. PGE_Efficacité'!$A$4:$AO$4,0)+62),0)</f>
        <v>0</v>
      </c>
      <c r="R74" s="139">
        <f>VLOOKUP($E74,'7. PGE_Efficacité'!$A$6:$CY$266,(MATCH('4.2 ACE EFF WOL'!R$4,'7. PGE_Efficacité'!$A$4:$AO$4,0)+62),0)</f>
        <v>0</v>
      </c>
      <c r="S74" s="139">
        <f>VLOOKUP($E74,'7. PGE_Efficacité'!$A$6:$CY$266,(MATCH('4.2 ACE EFF WOL'!S$4,'7. PGE_Efficacité'!$A$4:$AO$4,0)+62),0)</f>
        <v>0</v>
      </c>
      <c r="T74" s="139">
        <f>VLOOKUP($E74,'7. PGE_Efficacité'!$A$6:$CY$266,(MATCH('4.2 ACE EFF WOL'!T$4,'7. PGE_Efficacité'!$A$4:$AO$4,0)+62),0)</f>
        <v>0</v>
      </c>
      <c r="U74" s="139">
        <f>VLOOKUP($E74,'7. PGE_Efficacité'!$A$6:$CY$266,(MATCH('4.2 ACE EFF WOL'!U$4,'7. PGE_Efficacité'!$A$4:$AO$4,0)+62),0)</f>
        <v>0</v>
      </c>
      <c r="V74" s="139">
        <f>VLOOKUP($E74,'7. PGE_Efficacité'!$A$6:$CY$266,(MATCH('4.2 ACE EFF WOL'!V$4,'7. PGE_Efficacité'!$A$4:$AO$4,0)+62),0)</f>
        <v>0</v>
      </c>
      <c r="W74" s="139">
        <f>VLOOKUP($E74,'7. PGE_Efficacité'!$A$6:$CY$266,(MATCH('4.2 ACE EFF WOL'!W$4,'7. PGE_Efficacité'!$A$4:$AO$4,0)+62),0)</f>
        <v>0</v>
      </c>
      <c r="X74" s="139">
        <f>VLOOKUP($E74,'7. PGE_Efficacité'!$A$6:$CY$266,(MATCH('4.2 ACE EFF WOL'!X$4,'7. PGE_Efficacité'!$A$4:$AO$4,0)+62),0)</f>
        <v>0</v>
      </c>
      <c r="Y74" s="139">
        <f>VLOOKUP($E74,'7. PGE_Efficacité'!$A$6:$CY$266,(MATCH('4.2 ACE EFF WOL'!Y$4,'7. PGE_Efficacité'!$A$4:$AO$4,0)+62),0)</f>
        <v>0</v>
      </c>
      <c r="Z74" s="139">
        <f>VLOOKUP($E74,'7. PGE_Efficacité'!$A$6:$CY$266,(MATCH('4.2 ACE EFF WOL'!Z$4,'7. PGE_Efficacité'!$A$4:$AO$4,0)+62),0)</f>
        <v>0</v>
      </c>
      <c r="AA74" s="139">
        <f>VLOOKUP($E74,'7. PGE_Efficacité'!$A$6:$CY$266,(MATCH('4.2 ACE EFF WOL'!AA$4,'7. PGE_Efficacité'!$A$4:$AO$4,0)+62),0)</f>
        <v>0</v>
      </c>
      <c r="AB74" s="139">
        <f>VLOOKUP($E74,'7. PGE_Efficacité'!$A$6:$CY$266,(MATCH('4.2 ACE EFF WOL'!AB$4,'7. PGE_Efficacité'!$A$4:$AO$4,0)+62),0)</f>
        <v>0</v>
      </c>
      <c r="AC74" s="139">
        <f>VLOOKUP($E74,'7. PGE_Efficacité'!$A$6:$CY$266,(MATCH('4.2 ACE EFF WOL'!AC$4,'7. PGE_Efficacité'!$A$4:$AO$4,0)+62),0)</f>
        <v>0</v>
      </c>
      <c r="AD74" s="139">
        <f>VLOOKUP($E74,'7. PGE_Efficacité'!$A$6:$CY$266,(MATCH('4.2 ACE EFF WOL'!AD$4,'7. PGE_Efficacité'!$A$4:$AO$4,0)+62),0)</f>
        <v>0</v>
      </c>
      <c r="AE74" s="139">
        <f>VLOOKUP($E74,'7. PGE_Efficacité'!$A$6:$CY$266,(MATCH('4.2 ACE EFF WOL'!AE$4,'7. PGE_Efficacité'!$A$4:$AO$4,0)+62),0)</f>
        <v>0</v>
      </c>
      <c r="AF74" s="139">
        <f>VLOOKUP($E74,'7. PGE_Efficacité'!$A$6:$CY$266,(MATCH('4.2 ACE EFF WOL'!AF$4,'7. PGE_Efficacité'!$A$4:$AO$4,0)+62),0)</f>
        <v>0</v>
      </c>
      <c r="AG74" s="139">
        <f>VLOOKUP($E74,'7. PGE_Efficacité'!$A$6:$CY$266,(MATCH('4.2 ACE EFF WOL'!AG$4,'7. PGE_Efficacité'!$A$4:$AO$4,0)+62),0)</f>
        <v>0</v>
      </c>
      <c r="AH74" s="139">
        <f>VLOOKUP($E74,'7. PGE_Efficacité'!$A$6:$CY$266,(MATCH('4.2 ACE EFF WOL'!AH$4,'7. PGE_Efficacité'!$A$4:$AO$4,0)+62),0)</f>
        <v>0</v>
      </c>
      <c r="AI74" s="139">
        <f>VLOOKUP($E74,'7. PGE_Efficacité'!$A$6:$CY$266,(MATCH('4.2 ACE EFF WOL'!AI$4,'7. PGE_Efficacité'!$A$4:$AO$4,0)+62),0)</f>
        <v>0</v>
      </c>
      <c r="AJ74" s="139">
        <f>VLOOKUP($E74,'7. PGE_Efficacité'!$A$6:$CY$266,(MATCH('4.2 ACE EFF WOL'!AJ$4,'7. PGE_Efficacité'!$A$4:$AO$4,0)+62),0)</f>
        <v>0</v>
      </c>
      <c r="AK74" s="139">
        <f>VLOOKUP($E74,'7. PGE_Efficacité'!$A$6:$CY$266,(MATCH('4.2 ACE EFF WOL'!AK$4,'7. PGE_Efficacité'!$A$4:$AO$4,0)+62),0)</f>
        <v>0</v>
      </c>
      <c r="AL74" s="139">
        <f>VLOOKUP($E74,'7. PGE_Efficacité'!$A$6:$CY$266,(MATCH('4.2 ACE EFF WOL'!AL$4,'7. PGE_Efficacité'!$A$4:$AO$4,0)+62),0)</f>
        <v>0</v>
      </c>
      <c r="AM74" s="139">
        <f>VLOOKUP($E74,'7. PGE_Efficacité'!$A$6:$CY$266,(MATCH('4.2 ACE EFF WOL'!AM$4,'7. PGE_Efficacité'!$A$4:$AO$4,0)+62),0)</f>
        <v>0</v>
      </c>
      <c r="AN74" s="139">
        <f>VLOOKUP($E74,'7. PGE_Efficacité'!$A$6:$CY$266,(MATCH('4.2 ACE EFF WOL'!AN$4,'7. PGE_Efficacité'!$A$4:$AO$4,0)+62),0)</f>
        <v>0</v>
      </c>
    </row>
    <row r="75" spans="1:40" outlineLevel="1" collapsed="1" x14ac:dyDescent="0.25">
      <c r="A75" s="48"/>
      <c r="B75" s="49"/>
      <c r="C75" s="48"/>
      <c r="D75" s="372" t="s">
        <v>9</v>
      </c>
      <c r="E75" s="195"/>
      <c r="F75" s="196" t="str">
        <f>VLOOKUP(D75,'1. Mesures'!$A$2:$B$116,2,0)</f>
        <v>Réaliser les chainons manquants entre le réseau public d'égouttage et les collecteurs (égouts "orphelins")</v>
      </c>
      <c r="G75" s="197"/>
      <c r="H75" s="195"/>
      <c r="I75" s="198">
        <f>SUBTOTAL(9,I76:I76)</f>
        <v>0</v>
      </c>
      <c r="J75" s="203">
        <f>VLOOKUP($D75,'7. PGE_Efficacité'!$A$6:$CY$266,(MATCH('4.2 ACE EFF WOL'!J$4,'7. PGE_Efficacité'!$A$4:$AO$4,0)+62),0)</f>
        <v>0</v>
      </c>
      <c r="K75" s="203">
        <f>VLOOKUP($D75,'7. PGE_Efficacité'!$A$6:$CY$266,(MATCH('4.2 ACE EFF WOL'!K$4,'7. PGE_Efficacité'!$A$4:$AO$4,0)+62),0)</f>
        <v>0</v>
      </c>
      <c r="L75" s="203">
        <f>VLOOKUP($D75,'7. PGE_Efficacité'!$A$6:$CY$266,(MATCH('4.2 ACE EFF WOL'!L$4,'7. PGE_Efficacité'!$A$4:$AO$4,0)+62),0)</f>
        <v>0</v>
      </c>
      <c r="M75" s="203">
        <f>VLOOKUP($D75,'7. PGE_Efficacité'!$A$6:$CY$266,(MATCH('4.2 ACE EFF WOL'!M$4,'7. PGE_Efficacité'!$A$4:$AO$4,0)+62),0)</f>
        <v>0</v>
      </c>
      <c r="N75" s="203">
        <f>VLOOKUP($D75,'7. PGE_Efficacité'!$A$6:$CY$266,(MATCH('4.2 ACE EFF WOL'!N$4,'7. PGE_Efficacité'!$A$4:$AO$4,0)+62),0)</f>
        <v>0</v>
      </c>
      <c r="O75" s="203">
        <f>VLOOKUP($D75,'7. PGE_Efficacité'!$A$6:$CY$266,78,0)</f>
        <v>0</v>
      </c>
      <c r="P75" s="203">
        <f>VLOOKUP($D75,'7. PGE_Efficacité'!$A$6:$CY$266,(MATCH('4.2 ACE EFF WOL'!P$4,'7. PGE_Efficacité'!$A$4:$AO$4,0)+62),0)</f>
        <v>0</v>
      </c>
      <c r="Q75" s="203">
        <f>VLOOKUP($D75,'7. PGE_Efficacité'!$A$6:$CY$266,(MATCH('4.2 ACE EFF WOL'!Q$4,'7. PGE_Efficacité'!$A$4:$AO$4,0)+62),0)</f>
        <v>0</v>
      </c>
      <c r="R75" s="203">
        <f>VLOOKUP($D75,'7. PGE_Efficacité'!$A$6:$CY$266,(MATCH('4.2 ACE EFF WOL'!R$4,'7. PGE_Efficacité'!$A$4:$AO$4,0)+62),0)</f>
        <v>0</v>
      </c>
      <c r="S75" s="203">
        <f>VLOOKUP($D75,'7. PGE_Efficacité'!$A$6:$CY$266,(MATCH('4.2 ACE EFF WOL'!S$4,'7. PGE_Efficacité'!$A$4:$AO$4,0)+62),0)</f>
        <v>0</v>
      </c>
      <c r="T75" s="203">
        <f>VLOOKUP($D75,'7. PGE_Efficacité'!$A$6:$CY$266,(MATCH('4.2 ACE EFF WOL'!T$4,'7. PGE_Efficacité'!$A$4:$AO$4,0)+62),0)</f>
        <v>0</v>
      </c>
      <c r="U75" s="203">
        <f>VLOOKUP($D75,'7. PGE_Efficacité'!$A$6:$CY$266,(MATCH('4.2 ACE EFF WOL'!U$4,'7. PGE_Efficacité'!$A$4:$AO$4,0)+62),0)</f>
        <v>0</v>
      </c>
      <c r="V75" s="203">
        <f>VLOOKUP($D75,'7. PGE_Efficacité'!$A$6:$CY$266,(MATCH('4.2 ACE EFF WOL'!V$4,'7. PGE_Efficacité'!$A$4:$AO$4,0)+62),0)</f>
        <v>0</v>
      </c>
      <c r="W75" s="203">
        <f>VLOOKUP($D75,'7. PGE_Efficacité'!$A$6:$CY$266,(MATCH('4.2 ACE EFF WOL'!W$4,'7. PGE_Efficacité'!$A$4:$AO$4,0)+62),0)</f>
        <v>0</v>
      </c>
      <c r="X75" s="203">
        <f>VLOOKUP($D75,'7. PGE_Efficacité'!$A$6:$CY$266,(MATCH('4.2 ACE EFF WOL'!X$4,'7. PGE_Efficacité'!$A$4:$AO$4,0)+62),0)</f>
        <v>0</v>
      </c>
      <c r="Y75" s="203">
        <f>VLOOKUP($D75,'7. PGE_Efficacité'!$A$6:$CY$266,(MATCH('4.2 ACE EFF WOL'!Y$4,'7. PGE_Efficacité'!$A$4:$AO$4,0)+62),0)</f>
        <v>0</v>
      </c>
      <c r="Z75" s="203">
        <f>VLOOKUP($D75,'7. PGE_Efficacité'!$A$6:$CY$266,(MATCH('4.2 ACE EFF WOL'!Z$4,'7. PGE_Efficacité'!$A$4:$AO$4,0)+62),0)</f>
        <v>0</v>
      </c>
      <c r="AA75" s="203">
        <f>VLOOKUP($D75,'7. PGE_Efficacité'!$A$6:$CY$266,(MATCH('4.2 ACE EFF WOL'!AA$4,'7. PGE_Efficacité'!$A$4:$AO$4,0)+62),0)</f>
        <v>0</v>
      </c>
      <c r="AB75" s="203">
        <f>VLOOKUP($D75,'7. PGE_Efficacité'!$A$6:$CY$266,(MATCH('4.2 ACE EFF WOL'!AB$4,'7. PGE_Efficacité'!$A$4:$AO$4,0)+62),0)</f>
        <v>0</v>
      </c>
      <c r="AC75" s="203">
        <f>VLOOKUP($D75,'7. PGE_Efficacité'!$A$6:$CY$266,(MATCH('4.2 ACE EFF WOL'!AC$4,'7. PGE_Efficacité'!$A$4:$AO$4,0)+62),0)</f>
        <v>0</v>
      </c>
      <c r="AD75" s="203">
        <f>VLOOKUP($D75,'7. PGE_Efficacité'!$A$6:$CY$266,(MATCH('4.2 ACE EFF WOL'!AD$4,'7. PGE_Efficacité'!$A$4:$AO$4,0)+62),0)</f>
        <v>0</v>
      </c>
      <c r="AE75" s="203">
        <f>VLOOKUP($D75,'7. PGE_Efficacité'!$A$6:$CY$266,(MATCH('4.2 ACE EFF WOL'!AE$4,'7. PGE_Efficacité'!$A$4:$AO$4,0)+62),0)</f>
        <v>0</v>
      </c>
      <c r="AF75" s="203">
        <f>VLOOKUP($D75,'7. PGE_Efficacité'!$A$6:$CY$266,(MATCH('4.2 ACE EFF WOL'!AF$4,'7. PGE_Efficacité'!$A$4:$AO$4,0)+62),0)</f>
        <v>0</v>
      </c>
      <c r="AG75" s="203">
        <f>VLOOKUP($D75,'7. PGE_Efficacité'!$A$6:$CY$266,(MATCH('4.2 ACE EFF WOL'!AG$4,'7. PGE_Efficacité'!$A$4:$AO$4,0)+62),0)</f>
        <v>0</v>
      </c>
      <c r="AH75" s="203">
        <f>VLOOKUP($D75,'7. PGE_Efficacité'!$A$6:$CY$266,(MATCH('4.2 ACE EFF WOL'!AH$4,'7. PGE_Efficacité'!$A$4:$AO$4,0)+62),0)</f>
        <v>0</v>
      </c>
      <c r="AI75" s="203">
        <f>VLOOKUP($D75,'7. PGE_Efficacité'!$A$6:$CY$266,(MATCH('4.2 ACE EFF WOL'!AI$4,'7. PGE_Efficacité'!$A$4:$AO$4,0)+62),0)</f>
        <v>0</v>
      </c>
      <c r="AJ75" s="203">
        <f>VLOOKUP($D75,'7. PGE_Efficacité'!$A$6:$CY$266,(MATCH('4.2 ACE EFF WOL'!AJ$4,'7. PGE_Efficacité'!$A$4:$AO$4,0)+62),0)</f>
        <v>0</v>
      </c>
      <c r="AK75" s="203">
        <f>VLOOKUP($D75,'7. PGE_Efficacité'!$A$6:$CY$266,(MATCH('4.2 ACE EFF WOL'!AK$4,'7. PGE_Efficacité'!$A$4:$AO$4,0)+62),0)</f>
        <v>0</v>
      </c>
      <c r="AL75" s="203">
        <f>VLOOKUP($D75,'7. PGE_Efficacité'!$A$6:$CY$266,(MATCH('4.2 ACE EFF WOL'!AL$4,'7. PGE_Efficacité'!$A$4:$AO$4,0)+62),0)</f>
        <v>0</v>
      </c>
      <c r="AM75" s="203">
        <f>VLOOKUP($D75,'7. PGE_Efficacité'!$A$6:$CY$266,(MATCH('4.2 ACE EFF WOL'!AM$4,'7. PGE_Efficacité'!$A$4:$AO$4,0)+62),0)</f>
        <v>0</v>
      </c>
      <c r="AN75" s="203">
        <f>VLOOKUP($D75,'7. PGE_Efficacité'!$A$6:$CY$266,(MATCH('4.2 ACE EFF WOL'!AN$4,'7. PGE_Efficacité'!$A$4:$AO$4,0)+62),0)</f>
        <v>0</v>
      </c>
    </row>
    <row r="76" spans="1:40" hidden="1" outlineLevel="2" x14ac:dyDescent="0.25">
      <c r="A76" s="48" t="s">
        <v>1524</v>
      </c>
      <c r="B76" s="49">
        <v>9</v>
      </c>
      <c r="C76" s="48" t="s">
        <v>1532</v>
      </c>
      <c r="D76" s="199" t="s">
        <v>9</v>
      </c>
      <c r="E76" s="200" t="s">
        <v>653</v>
      </c>
      <c r="F76" s="200" t="s">
        <v>1313</v>
      </c>
      <c r="G76" s="201" t="s">
        <v>1522</v>
      </c>
      <c r="H76" s="200" t="s">
        <v>1290</v>
      </c>
      <c r="I76" s="202">
        <v>0</v>
      </c>
      <c r="J76" s="139">
        <f>VLOOKUP($E76,'7. PGE_Efficacité'!$A$6:$CY$266,(MATCH('4.2 ACE EFF WOL'!J$4,'7. PGE_Efficacité'!$A$4:$AO$4,0)+62),0)</f>
        <v>0</v>
      </c>
      <c r="K76" s="139">
        <f>VLOOKUP($E76,'7. PGE_Efficacité'!$A$6:$CY$266,(MATCH('4.2 ACE EFF WOL'!K$4,'7. PGE_Efficacité'!$A$4:$AO$4,0)+62),0)</f>
        <v>0</v>
      </c>
      <c r="L76" s="139">
        <f>VLOOKUP($E76,'7. PGE_Efficacité'!$A$6:$CY$266,(MATCH('4.2 ACE EFF WOL'!L$4,'7. PGE_Efficacité'!$A$4:$AO$4,0)+62),0)</f>
        <v>0</v>
      </c>
      <c r="M76" s="139">
        <f>VLOOKUP($E76,'7. PGE_Efficacité'!$A$6:$CY$266,(MATCH('4.2 ACE EFF WOL'!M$4,'7. PGE_Efficacité'!$A$4:$AO$4,0)+62),0)</f>
        <v>0</v>
      </c>
      <c r="N76" s="139">
        <f>VLOOKUP($E76,'7. PGE_Efficacité'!$A$6:$CY$266,(MATCH('4.2 ACE EFF WOL'!N$4,'7. PGE_Efficacité'!$A$4:$AO$4,0)+62),0)</f>
        <v>0</v>
      </c>
      <c r="O76" s="139">
        <f>VLOOKUP($E76,'7. PGE_Efficacité'!$A$6:$CY$266,78,0)</f>
        <v>0</v>
      </c>
      <c r="P76" s="139">
        <f>VLOOKUP($E76,'7. PGE_Efficacité'!$A$6:$CY$266,(MATCH('4.2 ACE EFF WOL'!P$4,'7. PGE_Efficacité'!$A$4:$AO$4,0)+62),0)</f>
        <v>0</v>
      </c>
      <c r="Q76" s="139">
        <f>VLOOKUP($E76,'7. PGE_Efficacité'!$A$6:$CY$266,(MATCH('4.2 ACE EFF WOL'!Q$4,'7. PGE_Efficacité'!$A$4:$AO$4,0)+62),0)</f>
        <v>0</v>
      </c>
      <c r="R76" s="139">
        <f>VLOOKUP($E76,'7. PGE_Efficacité'!$A$6:$CY$266,(MATCH('4.2 ACE EFF WOL'!R$4,'7. PGE_Efficacité'!$A$4:$AO$4,0)+62),0)</f>
        <v>0</v>
      </c>
      <c r="S76" s="139">
        <f>VLOOKUP($E76,'7. PGE_Efficacité'!$A$6:$CY$266,(MATCH('4.2 ACE EFF WOL'!S$4,'7. PGE_Efficacité'!$A$4:$AO$4,0)+62),0)</f>
        <v>0</v>
      </c>
      <c r="T76" s="139">
        <f>VLOOKUP($E76,'7. PGE_Efficacité'!$A$6:$CY$266,(MATCH('4.2 ACE EFF WOL'!T$4,'7. PGE_Efficacité'!$A$4:$AO$4,0)+62),0)</f>
        <v>0</v>
      </c>
      <c r="U76" s="139">
        <f>VLOOKUP($E76,'7. PGE_Efficacité'!$A$6:$CY$266,(MATCH('4.2 ACE EFF WOL'!U$4,'7. PGE_Efficacité'!$A$4:$AO$4,0)+62),0)</f>
        <v>0</v>
      </c>
      <c r="V76" s="139">
        <f>VLOOKUP($E76,'7. PGE_Efficacité'!$A$6:$CY$266,(MATCH('4.2 ACE EFF WOL'!V$4,'7. PGE_Efficacité'!$A$4:$AO$4,0)+62),0)</f>
        <v>0</v>
      </c>
      <c r="W76" s="139">
        <f>VLOOKUP($E76,'7. PGE_Efficacité'!$A$6:$CY$266,(MATCH('4.2 ACE EFF WOL'!W$4,'7. PGE_Efficacité'!$A$4:$AO$4,0)+62),0)</f>
        <v>0</v>
      </c>
      <c r="X76" s="139">
        <f>VLOOKUP($E76,'7. PGE_Efficacité'!$A$6:$CY$266,(MATCH('4.2 ACE EFF WOL'!X$4,'7. PGE_Efficacité'!$A$4:$AO$4,0)+62),0)</f>
        <v>0</v>
      </c>
      <c r="Y76" s="139">
        <f>VLOOKUP($E76,'7. PGE_Efficacité'!$A$6:$CY$266,(MATCH('4.2 ACE EFF WOL'!Y$4,'7. PGE_Efficacité'!$A$4:$AO$4,0)+62),0)</f>
        <v>0</v>
      </c>
      <c r="Z76" s="139">
        <f>VLOOKUP($E76,'7. PGE_Efficacité'!$A$6:$CY$266,(MATCH('4.2 ACE EFF WOL'!Z$4,'7. PGE_Efficacité'!$A$4:$AO$4,0)+62),0)</f>
        <v>0</v>
      </c>
      <c r="AA76" s="139">
        <f>VLOOKUP($E76,'7. PGE_Efficacité'!$A$6:$CY$266,(MATCH('4.2 ACE EFF WOL'!AA$4,'7. PGE_Efficacité'!$A$4:$AO$4,0)+62),0)</f>
        <v>0</v>
      </c>
      <c r="AB76" s="139">
        <f>VLOOKUP($E76,'7. PGE_Efficacité'!$A$6:$CY$266,(MATCH('4.2 ACE EFF WOL'!AB$4,'7. PGE_Efficacité'!$A$4:$AO$4,0)+62),0)</f>
        <v>0</v>
      </c>
      <c r="AC76" s="139">
        <f>VLOOKUP($E76,'7. PGE_Efficacité'!$A$6:$CY$266,(MATCH('4.2 ACE EFF WOL'!AC$4,'7. PGE_Efficacité'!$A$4:$AO$4,0)+62),0)</f>
        <v>0</v>
      </c>
      <c r="AD76" s="139">
        <f>VLOOKUP($E76,'7. PGE_Efficacité'!$A$6:$CY$266,(MATCH('4.2 ACE EFF WOL'!AD$4,'7. PGE_Efficacité'!$A$4:$AO$4,0)+62),0)</f>
        <v>0</v>
      </c>
      <c r="AE76" s="139">
        <f>VLOOKUP($E76,'7. PGE_Efficacité'!$A$6:$CY$266,(MATCH('4.2 ACE EFF WOL'!AE$4,'7. PGE_Efficacité'!$A$4:$AO$4,0)+62),0)</f>
        <v>0</v>
      </c>
      <c r="AF76" s="139">
        <f>VLOOKUP($E76,'7. PGE_Efficacité'!$A$6:$CY$266,(MATCH('4.2 ACE EFF WOL'!AF$4,'7. PGE_Efficacité'!$A$4:$AO$4,0)+62),0)</f>
        <v>0</v>
      </c>
      <c r="AG76" s="139">
        <f>VLOOKUP($E76,'7. PGE_Efficacité'!$A$6:$CY$266,(MATCH('4.2 ACE EFF WOL'!AG$4,'7. PGE_Efficacité'!$A$4:$AO$4,0)+62),0)</f>
        <v>0</v>
      </c>
      <c r="AH76" s="139">
        <f>VLOOKUP($E76,'7. PGE_Efficacité'!$A$6:$CY$266,(MATCH('4.2 ACE EFF WOL'!AH$4,'7. PGE_Efficacité'!$A$4:$AO$4,0)+62),0)</f>
        <v>0</v>
      </c>
      <c r="AI76" s="139">
        <f>VLOOKUP($E76,'7. PGE_Efficacité'!$A$6:$CY$266,(MATCH('4.2 ACE EFF WOL'!AI$4,'7. PGE_Efficacité'!$A$4:$AO$4,0)+62),0)</f>
        <v>0</v>
      </c>
      <c r="AJ76" s="139">
        <f>VLOOKUP($E76,'7. PGE_Efficacité'!$A$6:$CY$266,(MATCH('4.2 ACE EFF WOL'!AJ$4,'7. PGE_Efficacité'!$A$4:$AO$4,0)+62),0)</f>
        <v>0</v>
      </c>
      <c r="AK76" s="139">
        <f>VLOOKUP($E76,'7. PGE_Efficacité'!$A$6:$CY$266,(MATCH('4.2 ACE EFF WOL'!AK$4,'7. PGE_Efficacité'!$A$4:$AO$4,0)+62),0)</f>
        <v>0</v>
      </c>
      <c r="AL76" s="139">
        <f>VLOOKUP($E76,'7. PGE_Efficacité'!$A$6:$CY$266,(MATCH('4.2 ACE EFF WOL'!AL$4,'7. PGE_Efficacité'!$A$4:$AO$4,0)+62),0)</f>
        <v>0</v>
      </c>
      <c r="AM76" s="139">
        <f>VLOOKUP($E76,'7. PGE_Efficacité'!$A$6:$CY$266,(MATCH('4.2 ACE EFF WOL'!AM$4,'7. PGE_Efficacité'!$A$4:$AO$4,0)+62),0)</f>
        <v>0</v>
      </c>
      <c r="AN76" s="139">
        <f>VLOOKUP($E76,'7. PGE_Efficacité'!$A$6:$CY$266,(MATCH('4.2 ACE EFF WOL'!AN$4,'7. PGE_Efficacité'!$A$4:$AO$4,0)+62),0)</f>
        <v>0</v>
      </c>
    </row>
    <row r="77" spans="1:40" outlineLevel="1" collapsed="1" x14ac:dyDescent="0.25">
      <c r="A77" s="48"/>
      <c r="B77" s="49"/>
      <c r="C77" s="48"/>
      <c r="D77" s="372" t="s">
        <v>13</v>
      </c>
      <c r="E77" s="195"/>
      <c r="F77" s="196" t="str">
        <f>VLOOKUP(D77,'1. Mesures'!$A$2:$B$116,2,0)</f>
        <v>Assurer un contrôle réglementaire sur le respect des normes de rejet en eaux de surface et en égout</v>
      </c>
      <c r="G77" s="197"/>
      <c r="H77" s="195"/>
      <c r="I77" s="198">
        <f>SUBTOTAL(9,I78:I81)</f>
        <v>30000</v>
      </c>
      <c r="J77" s="203">
        <f>VLOOKUP($D77,'7. PGE_Efficacité'!$A$6:$CY$266,(MATCH('4.2 ACE EFF WOL'!J$4,'7. PGE_Efficacité'!$A$4:$AO$4,0)+62),0)</f>
        <v>0</v>
      </c>
      <c r="K77" s="203">
        <f>VLOOKUP($D77,'7. PGE_Efficacité'!$A$6:$CY$266,(MATCH('4.2 ACE EFF WOL'!K$4,'7. PGE_Efficacité'!$A$4:$AO$4,0)+62),0)</f>
        <v>0</v>
      </c>
      <c r="L77" s="203">
        <f>VLOOKUP($D77,'7. PGE_Efficacité'!$A$6:$CY$266,(MATCH('4.2 ACE EFF WOL'!L$4,'7. PGE_Efficacité'!$A$4:$AO$4,0)+62),0)</f>
        <v>0</v>
      </c>
      <c r="M77" s="203">
        <f>VLOOKUP($D77,'7. PGE_Efficacité'!$A$6:$CY$266,(MATCH('4.2 ACE EFF WOL'!M$4,'7. PGE_Efficacité'!$A$4:$AO$4,0)+62),0)</f>
        <v>0</v>
      </c>
      <c r="N77" s="203">
        <f>VLOOKUP($D77,'7. PGE_Efficacité'!$A$6:$CY$266,(MATCH('4.2 ACE EFF WOL'!N$4,'7. PGE_Efficacité'!$A$4:$AO$4,0)+62),0)</f>
        <v>0</v>
      </c>
      <c r="O77" s="203">
        <f>VLOOKUP($D77,'7. PGE_Efficacité'!$A$6:$CY$266,78,0)</f>
        <v>0</v>
      </c>
      <c r="P77" s="203">
        <f>VLOOKUP($D77,'7. PGE_Efficacité'!$A$6:$CY$266,(MATCH('4.2 ACE EFF WOL'!P$4,'7. PGE_Efficacité'!$A$4:$AO$4,0)+62),0)</f>
        <v>0</v>
      </c>
      <c r="Q77" s="203">
        <f>VLOOKUP($D77,'7. PGE_Efficacité'!$A$6:$CY$266,(MATCH('4.2 ACE EFF WOL'!Q$4,'7. PGE_Efficacité'!$A$4:$AO$4,0)+62),0)</f>
        <v>0</v>
      </c>
      <c r="R77" s="203">
        <f>VLOOKUP($D77,'7. PGE_Efficacité'!$A$6:$CY$266,(MATCH('4.2 ACE EFF WOL'!R$4,'7. PGE_Efficacité'!$A$4:$AO$4,0)+62),0)</f>
        <v>0</v>
      </c>
      <c r="S77" s="203">
        <f>VLOOKUP($D77,'7. PGE_Efficacité'!$A$6:$CY$266,(MATCH('4.2 ACE EFF WOL'!S$4,'7. PGE_Efficacité'!$A$4:$AO$4,0)+62),0)</f>
        <v>0</v>
      </c>
      <c r="T77" s="203">
        <f>VLOOKUP($D77,'7. PGE_Efficacité'!$A$6:$CY$266,(MATCH('4.2 ACE EFF WOL'!T$4,'7. PGE_Efficacité'!$A$4:$AO$4,0)+62),0)</f>
        <v>0</v>
      </c>
      <c r="U77" s="203">
        <f>VLOOKUP($D77,'7. PGE_Efficacité'!$A$6:$CY$266,(MATCH('4.2 ACE EFF WOL'!U$4,'7. PGE_Efficacité'!$A$4:$AO$4,0)+62),0)</f>
        <v>0</v>
      </c>
      <c r="V77" s="203">
        <f>VLOOKUP($D77,'7. PGE_Efficacité'!$A$6:$CY$266,(MATCH('4.2 ACE EFF WOL'!V$4,'7. PGE_Efficacité'!$A$4:$AO$4,0)+62),0)</f>
        <v>0</v>
      </c>
      <c r="W77" s="203">
        <f>VLOOKUP($D77,'7. PGE_Efficacité'!$A$6:$CY$266,(MATCH('4.2 ACE EFF WOL'!W$4,'7. PGE_Efficacité'!$A$4:$AO$4,0)+62),0)</f>
        <v>0</v>
      </c>
      <c r="X77" s="203">
        <f>VLOOKUP($D77,'7. PGE_Efficacité'!$A$6:$CY$266,(MATCH('4.2 ACE EFF WOL'!X$4,'7. PGE_Efficacité'!$A$4:$AO$4,0)+62),0)</f>
        <v>0</v>
      </c>
      <c r="Y77" s="203">
        <f>VLOOKUP($D77,'7. PGE_Efficacité'!$A$6:$CY$266,(MATCH('4.2 ACE EFF WOL'!Y$4,'7. PGE_Efficacité'!$A$4:$AO$4,0)+62),0)</f>
        <v>0</v>
      </c>
      <c r="Z77" s="203">
        <f>VLOOKUP($D77,'7. PGE_Efficacité'!$A$6:$CY$266,(MATCH('4.2 ACE EFF WOL'!Z$4,'7. PGE_Efficacité'!$A$4:$AO$4,0)+62),0)</f>
        <v>0</v>
      </c>
      <c r="AA77" s="203">
        <f>VLOOKUP($D77,'7. PGE_Efficacité'!$A$6:$CY$266,(MATCH('4.2 ACE EFF WOL'!AA$4,'7. PGE_Efficacité'!$A$4:$AO$4,0)+62),0)</f>
        <v>0</v>
      </c>
      <c r="AB77" s="203">
        <f>VLOOKUP($D77,'7. PGE_Efficacité'!$A$6:$CY$266,(MATCH('4.2 ACE EFF WOL'!AB$4,'7. PGE_Efficacité'!$A$4:$AO$4,0)+62),0)</f>
        <v>0</v>
      </c>
      <c r="AC77" s="203">
        <f>VLOOKUP($D77,'7. PGE_Efficacité'!$A$6:$CY$266,(MATCH('4.2 ACE EFF WOL'!AC$4,'7. PGE_Efficacité'!$A$4:$AO$4,0)+62),0)</f>
        <v>0</v>
      </c>
      <c r="AD77" s="203">
        <f>VLOOKUP($D77,'7. PGE_Efficacité'!$A$6:$CY$266,(MATCH('4.2 ACE EFF WOL'!AD$4,'7. PGE_Efficacité'!$A$4:$AO$4,0)+62),0)</f>
        <v>0</v>
      </c>
      <c r="AE77" s="203">
        <f>VLOOKUP($D77,'7. PGE_Efficacité'!$A$6:$CY$266,(MATCH('4.2 ACE EFF WOL'!AE$4,'7. PGE_Efficacité'!$A$4:$AO$4,0)+62),0)</f>
        <v>0</v>
      </c>
      <c r="AF77" s="203">
        <f>VLOOKUP($D77,'7. PGE_Efficacité'!$A$6:$CY$266,(MATCH('4.2 ACE EFF WOL'!AF$4,'7. PGE_Efficacité'!$A$4:$AO$4,0)+62),0)</f>
        <v>0</v>
      </c>
      <c r="AG77" s="203">
        <f>VLOOKUP($D77,'7. PGE_Efficacité'!$A$6:$CY$266,(MATCH('4.2 ACE EFF WOL'!AG$4,'7. PGE_Efficacité'!$A$4:$AO$4,0)+62),0)</f>
        <v>0</v>
      </c>
      <c r="AH77" s="203">
        <f>VLOOKUP($D77,'7. PGE_Efficacité'!$A$6:$CY$266,(MATCH('4.2 ACE EFF WOL'!AH$4,'7. PGE_Efficacité'!$A$4:$AO$4,0)+62),0)</f>
        <v>0</v>
      </c>
      <c r="AI77" s="203">
        <f>VLOOKUP($D77,'7. PGE_Efficacité'!$A$6:$CY$266,(MATCH('4.2 ACE EFF WOL'!AI$4,'7. PGE_Efficacité'!$A$4:$AO$4,0)+62),0)</f>
        <v>0</v>
      </c>
      <c r="AJ77" s="203">
        <f>VLOOKUP($D77,'7. PGE_Efficacité'!$A$6:$CY$266,(MATCH('4.2 ACE EFF WOL'!AJ$4,'7. PGE_Efficacité'!$A$4:$AO$4,0)+62),0)</f>
        <v>0</v>
      </c>
      <c r="AK77" s="203">
        <f>VLOOKUP($D77,'7. PGE_Efficacité'!$A$6:$CY$266,(MATCH('4.2 ACE EFF WOL'!AK$4,'7. PGE_Efficacité'!$A$4:$AO$4,0)+62),0)</f>
        <v>0</v>
      </c>
      <c r="AL77" s="203">
        <f>VLOOKUP($D77,'7. PGE_Efficacité'!$A$6:$CY$266,(MATCH('4.2 ACE EFF WOL'!AL$4,'7. PGE_Efficacité'!$A$4:$AO$4,0)+62),0)</f>
        <v>0</v>
      </c>
      <c r="AM77" s="203">
        <f>VLOOKUP($D77,'7. PGE_Efficacité'!$A$6:$CY$266,(MATCH('4.2 ACE EFF WOL'!AM$4,'7. PGE_Efficacité'!$A$4:$AO$4,0)+62),0)</f>
        <v>0</v>
      </c>
      <c r="AN77" s="203">
        <f>VLOOKUP($D77,'7. PGE_Efficacité'!$A$6:$CY$266,(MATCH('4.2 ACE EFF WOL'!AN$4,'7. PGE_Efficacité'!$A$4:$AO$4,0)+62),0)</f>
        <v>0</v>
      </c>
    </row>
    <row r="78" spans="1:40" hidden="1" outlineLevel="2" x14ac:dyDescent="0.25">
      <c r="A78" s="48"/>
      <c r="B78" s="49"/>
      <c r="C78" s="48"/>
      <c r="D78" s="199" t="s">
        <v>13</v>
      </c>
      <c r="E78" s="200" t="s">
        <v>675</v>
      </c>
      <c r="F78" s="200" t="s">
        <v>1335</v>
      </c>
      <c r="G78" s="201" t="s">
        <v>1521</v>
      </c>
      <c r="H78" s="200" t="s">
        <v>1290</v>
      </c>
      <c r="I78" s="202">
        <v>0</v>
      </c>
      <c r="J78" s="139">
        <f>VLOOKUP($E78,'7. PGE_Efficacité'!$A$6:$CY$266,(MATCH('4.2 ACE EFF WOL'!J$4,'7. PGE_Efficacité'!$A$4:$AO$4,0)+62),0)</f>
        <v>0</v>
      </c>
      <c r="K78" s="139">
        <f>VLOOKUP($E78,'7. PGE_Efficacité'!$A$6:$CY$266,(MATCH('4.2 ACE EFF WOL'!K$4,'7. PGE_Efficacité'!$A$4:$AO$4,0)+62),0)</f>
        <v>0</v>
      </c>
      <c r="L78" s="139">
        <f>VLOOKUP($E78,'7. PGE_Efficacité'!$A$6:$CY$266,(MATCH('4.2 ACE EFF WOL'!L$4,'7. PGE_Efficacité'!$A$4:$AO$4,0)+62),0)</f>
        <v>0</v>
      </c>
      <c r="M78" s="139">
        <f>VLOOKUP($E78,'7. PGE_Efficacité'!$A$6:$CY$266,(MATCH('4.2 ACE EFF WOL'!M$4,'7. PGE_Efficacité'!$A$4:$AO$4,0)+62),0)</f>
        <v>0</v>
      </c>
      <c r="N78" s="139">
        <f>VLOOKUP($E78,'7. PGE_Efficacité'!$A$6:$CY$266,(MATCH('4.2 ACE EFF WOL'!N$4,'7. PGE_Efficacité'!$A$4:$AO$4,0)+62),0)</f>
        <v>0</v>
      </c>
      <c r="O78" s="139">
        <f>VLOOKUP($E78,'7. PGE_Efficacité'!$A$6:$CY$266,78,0)</f>
        <v>0</v>
      </c>
      <c r="P78" s="139">
        <f>VLOOKUP($E78,'7. PGE_Efficacité'!$A$6:$CY$266,(MATCH('4.2 ACE EFF WOL'!P$4,'7. PGE_Efficacité'!$A$4:$AO$4,0)+62),0)</f>
        <v>0</v>
      </c>
      <c r="Q78" s="139">
        <f>VLOOKUP($E78,'7. PGE_Efficacité'!$A$6:$CY$266,(MATCH('4.2 ACE EFF WOL'!Q$4,'7. PGE_Efficacité'!$A$4:$AO$4,0)+62),0)</f>
        <v>0</v>
      </c>
      <c r="R78" s="139">
        <f>VLOOKUP($E78,'7. PGE_Efficacité'!$A$6:$CY$266,(MATCH('4.2 ACE EFF WOL'!R$4,'7. PGE_Efficacité'!$A$4:$AO$4,0)+62),0)</f>
        <v>0</v>
      </c>
      <c r="S78" s="139">
        <f>VLOOKUP($E78,'7. PGE_Efficacité'!$A$6:$CY$266,(MATCH('4.2 ACE EFF WOL'!S$4,'7. PGE_Efficacité'!$A$4:$AO$4,0)+62),0)</f>
        <v>0</v>
      </c>
      <c r="T78" s="139">
        <f>VLOOKUP($E78,'7. PGE_Efficacité'!$A$6:$CY$266,(MATCH('4.2 ACE EFF WOL'!T$4,'7. PGE_Efficacité'!$A$4:$AO$4,0)+62),0)</f>
        <v>0</v>
      </c>
      <c r="U78" s="139">
        <f>VLOOKUP($E78,'7. PGE_Efficacité'!$A$6:$CY$266,(MATCH('4.2 ACE EFF WOL'!U$4,'7. PGE_Efficacité'!$A$4:$AO$4,0)+62),0)</f>
        <v>0</v>
      </c>
      <c r="V78" s="139">
        <f>VLOOKUP($E78,'7. PGE_Efficacité'!$A$6:$CY$266,(MATCH('4.2 ACE EFF WOL'!V$4,'7. PGE_Efficacité'!$A$4:$AO$4,0)+62),0)</f>
        <v>0</v>
      </c>
      <c r="W78" s="139">
        <f>VLOOKUP($E78,'7. PGE_Efficacité'!$A$6:$CY$266,(MATCH('4.2 ACE EFF WOL'!W$4,'7. PGE_Efficacité'!$A$4:$AO$4,0)+62),0)</f>
        <v>0</v>
      </c>
      <c r="X78" s="139">
        <f>VLOOKUP($E78,'7. PGE_Efficacité'!$A$6:$CY$266,(MATCH('4.2 ACE EFF WOL'!X$4,'7. PGE_Efficacité'!$A$4:$AO$4,0)+62),0)</f>
        <v>0</v>
      </c>
      <c r="Y78" s="139">
        <f>VLOOKUP($E78,'7. PGE_Efficacité'!$A$6:$CY$266,(MATCH('4.2 ACE EFF WOL'!Y$4,'7. PGE_Efficacité'!$A$4:$AO$4,0)+62),0)</f>
        <v>0</v>
      </c>
      <c r="Z78" s="139">
        <f>VLOOKUP($E78,'7. PGE_Efficacité'!$A$6:$CY$266,(MATCH('4.2 ACE EFF WOL'!Z$4,'7. PGE_Efficacité'!$A$4:$AO$4,0)+62),0)</f>
        <v>0</v>
      </c>
      <c r="AA78" s="139">
        <f>VLOOKUP($E78,'7. PGE_Efficacité'!$A$6:$CY$266,(MATCH('4.2 ACE EFF WOL'!AA$4,'7. PGE_Efficacité'!$A$4:$AO$4,0)+62),0)</f>
        <v>0</v>
      </c>
      <c r="AB78" s="139">
        <f>VLOOKUP($E78,'7. PGE_Efficacité'!$A$6:$CY$266,(MATCH('4.2 ACE EFF WOL'!AB$4,'7. PGE_Efficacité'!$A$4:$AO$4,0)+62),0)</f>
        <v>0</v>
      </c>
      <c r="AC78" s="139">
        <f>VLOOKUP($E78,'7. PGE_Efficacité'!$A$6:$CY$266,(MATCH('4.2 ACE EFF WOL'!AC$4,'7. PGE_Efficacité'!$A$4:$AO$4,0)+62),0)</f>
        <v>0</v>
      </c>
      <c r="AD78" s="139">
        <f>VLOOKUP($E78,'7. PGE_Efficacité'!$A$6:$CY$266,(MATCH('4.2 ACE EFF WOL'!AD$4,'7. PGE_Efficacité'!$A$4:$AO$4,0)+62),0)</f>
        <v>0</v>
      </c>
      <c r="AE78" s="139">
        <f>VLOOKUP($E78,'7. PGE_Efficacité'!$A$6:$CY$266,(MATCH('4.2 ACE EFF WOL'!AE$4,'7. PGE_Efficacité'!$A$4:$AO$4,0)+62),0)</f>
        <v>0</v>
      </c>
      <c r="AF78" s="139">
        <f>VLOOKUP($E78,'7. PGE_Efficacité'!$A$6:$CY$266,(MATCH('4.2 ACE EFF WOL'!AF$4,'7. PGE_Efficacité'!$A$4:$AO$4,0)+62),0)</f>
        <v>0</v>
      </c>
      <c r="AG78" s="139">
        <f>VLOOKUP($E78,'7. PGE_Efficacité'!$A$6:$CY$266,(MATCH('4.2 ACE EFF WOL'!AG$4,'7. PGE_Efficacité'!$A$4:$AO$4,0)+62),0)</f>
        <v>0</v>
      </c>
      <c r="AH78" s="139">
        <f>VLOOKUP($E78,'7. PGE_Efficacité'!$A$6:$CY$266,(MATCH('4.2 ACE EFF WOL'!AH$4,'7. PGE_Efficacité'!$A$4:$AO$4,0)+62),0)</f>
        <v>0</v>
      </c>
      <c r="AI78" s="139">
        <f>VLOOKUP($E78,'7. PGE_Efficacité'!$A$6:$CY$266,(MATCH('4.2 ACE EFF WOL'!AI$4,'7. PGE_Efficacité'!$A$4:$AO$4,0)+62),0)</f>
        <v>0</v>
      </c>
      <c r="AJ78" s="139">
        <f>VLOOKUP($E78,'7. PGE_Efficacité'!$A$6:$CY$266,(MATCH('4.2 ACE EFF WOL'!AJ$4,'7. PGE_Efficacité'!$A$4:$AO$4,0)+62),0)</f>
        <v>0</v>
      </c>
      <c r="AK78" s="139">
        <f>VLOOKUP($E78,'7. PGE_Efficacité'!$A$6:$CY$266,(MATCH('4.2 ACE EFF WOL'!AK$4,'7. PGE_Efficacité'!$A$4:$AO$4,0)+62),0)</f>
        <v>0</v>
      </c>
      <c r="AL78" s="139">
        <f>VLOOKUP($E78,'7. PGE_Efficacité'!$A$6:$CY$266,(MATCH('4.2 ACE EFF WOL'!AL$4,'7. PGE_Efficacité'!$A$4:$AO$4,0)+62),0)</f>
        <v>0</v>
      </c>
      <c r="AM78" s="139">
        <f>VLOOKUP($E78,'7. PGE_Efficacité'!$A$6:$CY$266,(MATCH('4.2 ACE EFF WOL'!AM$4,'7. PGE_Efficacité'!$A$4:$AO$4,0)+62),0)</f>
        <v>0</v>
      </c>
      <c r="AN78" s="139">
        <f>VLOOKUP($E78,'7. PGE_Efficacité'!$A$6:$CY$266,(MATCH('4.2 ACE EFF WOL'!AN$4,'7. PGE_Efficacité'!$A$4:$AO$4,0)+62),0)</f>
        <v>0</v>
      </c>
    </row>
    <row r="79" spans="1:40" hidden="1" outlineLevel="2" x14ac:dyDescent="0.25">
      <c r="A79" s="48" t="s">
        <v>1524</v>
      </c>
      <c r="B79" s="49">
        <v>14</v>
      </c>
      <c r="C79" s="48" t="s">
        <v>1524</v>
      </c>
      <c r="D79" s="199" t="s">
        <v>13</v>
      </c>
      <c r="E79" s="200" t="s">
        <v>676</v>
      </c>
      <c r="F79" s="200" t="s">
        <v>1336</v>
      </c>
      <c r="G79" s="201" t="s">
        <v>1521</v>
      </c>
      <c r="H79" s="200" t="s">
        <v>1290</v>
      </c>
      <c r="I79" s="202">
        <v>0</v>
      </c>
      <c r="J79" s="139">
        <f>VLOOKUP($E79,'7. PGE_Efficacité'!$A$6:$CY$266,(MATCH('4.2 ACE EFF WOL'!J$4,'7. PGE_Efficacité'!$A$4:$AO$4,0)+62),0)</f>
        <v>0</v>
      </c>
      <c r="K79" s="139">
        <f>VLOOKUP($E79,'7. PGE_Efficacité'!$A$6:$CY$266,(MATCH('4.2 ACE EFF WOL'!K$4,'7. PGE_Efficacité'!$A$4:$AO$4,0)+62),0)</f>
        <v>0</v>
      </c>
      <c r="L79" s="139">
        <f>VLOOKUP($E79,'7. PGE_Efficacité'!$A$6:$CY$266,(MATCH('4.2 ACE EFF WOL'!L$4,'7. PGE_Efficacité'!$A$4:$AO$4,0)+62),0)</f>
        <v>0</v>
      </c>
      <c r="M79" s="139">
        <f>VLOOKUP($E79,'7. PGE_Efficacité'!$A$6:$CY$266,(MATCH('4.2 ACE EFF WOL'!M$4,'7. PGE_Efficacité'!$A$4:$AO$4,0)+62),0)</f>
        <v>0</v>
      </c>
      <c r="N79" s="139">
        <f>VLOOKUP($E79,'7. PGE_Efficacité'!$A$6:$CY$266,(MATCH('4.2 ACE EFF WOL'!N$4,'7. PGE_Efficacité'!$A$4:$AO$4,0)+62),0)</f>
        <v>0</v>
      </c>
      <c r="O79" s="139">
        <f>VLOOKUP($E79,'7. PGE_Efficacité'!$A$6:$CY$266,78,0)</f>
        <v>0</v>
      </c>
      <c r="P79" s="139">
        <f>VLOOKUP($E79,'7. PGE_Efficacité'!$A$6:$CY$266,(MATCH('4.2 ACE EFF WOL'!P$4,'7. PGE_Efficacité'!$A$4:$AO$4,0)+62),0)</f>
        <v>0</v>
      </c>
      <c r="Q79" s="139">
        <f>VLOOKUP($E79,'7. PGE_Efficacité'!$A$6:$CY$266,(MATCH('4.2 ACE EFF WOL'!Q$4,'7. PGE_Efficacité'!$A$4:$AO$4,0)+62),0)</f>
        <v>0</v>
      </c>
      <c r="R79" s="139">
        <f>VLOOKUP($E79,'7. PGE_Efficacité'!$A$6:$CY$266,(MATCH('4.2 ACE EFF WOL'!R$4,'7. PGE_Efficacité'!$A$4:$AO$4,0)+62),0)</f>
        <v>0</v>
      </c>
      <c r="S79" s="139">
        <f>VLOOKUP($E79,'7. PGE_Efficacité'!$A$6:$CY$266,(MATCH('4.2 ACE EFF WOL'!S$4,'7. PGE_Efficacité'!$A$4:$AO$4,0)+62),0)</f>
        <v>0</v>
      </c>
      <c r="T79" s="139">
        <f>VLOOKUP($E79,'7. PGE_Efficacité'!$A$6:$CY$266,(MATCH('4.2 ACE EFF WOL'!T$4,'7. PGE_Efficacité'!$A$4:$AO$4,0)+62),0)</f>
        <v>0</v>
      </c>
      <c r="U79" s="139">
        <f>VLOOKUP($E79,'7. PGE_Efficacité'!$A$6:$CY$266,(MATCH('4.2 ACE EFF WOL'!U$4,'7. PGE_Efficacité'!$A$4:$AO$4,0)+62),0)</f>
        <v>0</v>
      </c>
      <c r="V79" s="139">
        <f>VLOOKUP($E79,'7. PGE_Efficacité'!$A$6:$CY$266,(MATCH('4.2 ACE EFF WOL'!V$4,'7. PGE_Efficacité'!$A$4:$AO$4,0)+62),0)</f>
        <v>0</v>
      </c>
      <c r="W79" s="139">
        <f>VLOOKUP($E79,'7. PGE_Efficacité'!$A$6:$CY$266,(MATCH('4.2 ACE EFF WOL'!W$4,'7. PGE_Efficacité'!$A$4:$AO$4,0)+62),0)</f>
        <v>0</v>
      </c>
      <c r="X79" s="139">
        <f>VLOOKUP($E79,'7. PGE_Efficacité'!$A$6:$CY$266,(MATCH('4.2 ACE EFF WOL'!X$4,'7. PGE_Efficacité'!$A$4:$AO$4,0)+62),0)</f>
        <v>0</v>
      </c>
      <c r="Y79" s="139">
        <f>VLOOKUP($E79,'7. PGE_Efficacité'!$A$6:$CY$266,(MATCH('4.2 ACE EFF WOL'!Y$4,'7. PGE_Efficacité'!$A$4:$AO$4,0)+62),0)</f>
        <v>0</v>
      </c>
      <c r="Z79" s="139">
        <f>VLOOKUP($E79,'7. PGE_Efficacité'!$A$6:$CY$266,(MATCH('4.2 ACE EFF WOL'!Z$4,'7. PGE_Efficacité'!$A$4:$AO$4,0)+62),0)</f>
        <v>0</v>
      </c>
      <c r="AA79" s="139">
        <f>VLOOKUP($E79,'7. PGE_Efficacité'!$A$6:$CY$266,(MATCH('4.2 ACE EFF WOL'!AA$4,'7. PGE_Efficacité'!$A$4:$AO$4,0)+62),0)</f>
        <v>0</v>
      </c>
      <c r="AB79" s="139">
        <f>VLOOKUP($E79,'7. PGE_Efficacité'!$A$6:$CY$266,(MATCH('4.2 ACE EFF WOL'!AB$4,'7. PGE_Efficacité'!$A$4:$AO$4,0)+62),0)</f>
        <v>0</v>
      </c>
      <c r="AC79" s="139">
        <f>VLOOKUP($E79,'7. PGE_Efficacité'!$A$6:$CY$266,(MATCH('4.2 ACE EFF WOL'!AC$4,'7. PGE_Efficacité'!$A$4:$AO$4,0)+62),0)</f>
        <v>0</v>
      </c>
      <c r="AD79" s="139">
        <f>VLOOKUP($E79,'7. PGE_Efficacité'!$A$6:$CY$266,(MATCH('4.2 ACE EFF WOL'!AD$4,'7. PGE_Efficacité'!$A$4:$AO$4,0)+62),0)</f>
        <v>0</v>
      </c>
      <c r="AE79" s="139">
        <f>VLOOKUP($E79,'7. PGE_Efficacité'!$A$6:$CY$266,(MATCH('4.2 ACE EFF WOL'!AE$4,'7. PGE_Efficacité'!$A$4:$AO$4,0)+62),0)</f>
        <v>0</v>
      </c>
      <c r="AF79" s="139">
        <f>VLOOKUP($E79,'7. PGE_Efficacité'!$A$6:$CY$266,(MATCH('4.2 ACE EFF WOL'!AF$4,'7. PGE_Efficacité'!$A$4:$AO$4,0)+62),0)</f>
        <v>0</v>
      </c>
      <c r="AG79" s="139">
        <f>VLOOKUP($E79,'7. PGE_Efficacité'!$A$6:$CY$266,(MATCH('4.2 ACE EFF WOL'!AG$4,'7. PGE_Efficacité'!$A$4:$AO$4,0)+62),0)</f>
        <v>0</v>
      </c>
      <c r="AH79" s="139">
        <f>VLOOKUP($E79,'7. PGE_Efficacité'!$A$6:$CY$266,(MATCH('4.2 ACE EFF WOL'!AH$4,'7. PGE_Efficacité'!$A$4:$AO$4,0)+62),0)</f>
        <v>0</v>
      </c>
      <c r="AI79" s="139">
        <f>VLOOKUP($E79,'7. PGE_Efficacité'!$A$6:$CY$266,(MATCH('4.2 ACE EFF WOL'!AI$4,'7. PGE_Efficacité'!$A$4:$AO$4,0)+62),0)</f>
        <v>0</v>
      </c>
      <c r="AJ79" s="139">
        <f>VLOOKUP($E79,'7. PGE_Efficacité'!$A$6:$CY$266,(MATCH('4.2 ACE EFF WOL'!AJ$4,'7. PGE_Efficacité'!$A$4:$AO$4,0)+62),0)</f>
        <v>0</v>
      </c>
      <c r="AK79" s="139">
        <f>VLOOKUP($E79,'7. PGE_Efficacité'!$A$6:$CY$266,(MATCH('4.2 ACE EFF WOL'!AK$4,'7. PGE_Efficacité'!$A$4:$AO$4,0)+62),0)</f>
        <v>0</v>
      </c>
      <c r="AL79" s="139">
        <f>VLOOKUP($E79,'7. PGE_Efficacité'!$A$6:$CY$266,(MATCH('4.2 ACE EFF WOL'!AL$4,'7. PGE_Efficacité'!$A$4:$AO$4,0)+62),0)</f>
        <v>0</v>
      </c>
      <c r="AM79" s="139">
        <f>VLOOKUP($E79,'7. PGE_Efficacité'!$A$6:$CY$266,(MATCH('4.2 ACE EFF WOL'!AM$4,'7. PGE_Efficacité'!$A$4:$AO$4,0)+62),0)</f>
        <v>0</v>
      </c>
      <c r="AN79" s="139">
        <f>VLOOKUP($E79,'7. PGE_Efficacité'!$A$6:$CY$266,(MATCH('4.2 ACE EFF WOL'!AN$4,'7. PGE_Efficacité'!$A$4:$AO$4,0)+62),0)</f>
        <v>0</v>
      </c>
    </row>
    <row r="80" spans="1:40" hidden="1" outlineLevel="2" x14ac:dyDescent="0.25">
      <c r="A80" s="48" t="s">
        <v>1524</v>
      </c>
      <c r="B80" s="49">
        <v>14</v>
      </c>
      <c r="C80" s="48" t="s">
        <v>1525</v>
      </c>
      <c r="D80" s="199" t="s">
        <v>13</v>
      </c>
      <c r="E80" s="200" t="s">
        <v>677</v>
      </c>
      <c r="F80" s="200" t="s">
        <v>1337</v>
      </c>
      <c r="G80" s="201" t="s">
        <v>1521</v>
      </c>
      <c r="H80" s="200" t="s">
        <v>1290</v>
      </c>
      <c r="I80" s="202">
        <f>90000/3</f>
        <v>30000</v>
      </c>
      <c r="J80" s="139">
        <f>VLOOKUP($E80,'7. PGE_Efficacité'!$A$6:$CY$266,(MATCH('4.2 ACE EFF WOL'!J$4,'7. PGE_Efficacité'!$A$4:$AO$4,0)+62),0)</f>
        <v>0</v>
      </c>
      <c r="K80" s="139">
        <f>VLOOKUP($E80,'7. PGE_Efficacité'!$A$6:$CY$266,(MATCH('4.2 ACE EFF WOL'!K$4,'7. PGE_Efficacité'!$A$4:$AO$4,0)+62),0)</f>
        <v>0</v>
      </c>
      <c r="L80" s="139">
        <f>VLOOKUP($E80,'7. PGE_Efficacité'!$A$6:$CY$266,(MATCH('4.2 ACE EFF WOL'!L$4,'7. PGE_Efficacité'!$A$4:$AO$4,0)+62),0)</f>
        <v>0</v>
      </c>
      <c r="M80" s="139">
        <f>VLOOKUP($E80,'7. PGE_Efficacité'!$A$6:$CY$266,(MATCH('4.2 ACE EFF WOL'!M$4,'7. PGE_Efficacité'!$A$4:$AO$4,0)+62),0)</f>
        <v>0</v>
      </c>
      <c r="N80" s="139">
        <f>VLOOKUP($E80,'7. PGE_Efficacité'!$A$6:$CY$266,(MATCH('4.2 ACE EFF WOL'!N$4,'7. PGE_Efficacité'!$A$4:$AO$4,0)+62),0)</f>
        <v>0</v>
      </c>
      <c r="O80" s="139">
        <f>VLOOKUP($E80,'7. PGE_Efficacité'!$A$6:$CY$266,78,0)</f>
        <v>0</v>
      </c>
      <c r="P80" s="139">
        <f>VLOOKUP($E80,'7. PGE_Efficacité'!$A$6:$CY$266,(MATCH('4.2 ACE EFF WOL'!P$4,'7. PGE_Efficacité'!$A$4:$AO$4,0)+62),0)</f>
        <v>0</v>
      </c>
      <c r="Q80" s="139">
        <f>VLOOKUP($E80,'7. PGE_Efficacité'!$A$6:$CY$266,(MATCH('4.2 ACE EFF WOL'!Q$4,'7. PGE_Efficacité'!$A$4:$AO$4,0)+62),0)</f>
        <v>0</v>
      </c>
      <c r="R80" s="139">
        <f>VLOOKUP($E80,'7. PGE_Efficacité'!$A$6:$CY$266,(MATCH('4.2 ACE EFF WOL'!R$4,'7. PGE_Efficacité'!$A$4:$AO$4,0)+62),0)</f>
        <v>0</v>
      </c>
      <c r="S80" s="139">
        <f>VLOOKUP($E80,'7. PGE_Efficacité'!$A$6:$CY$266,(MATCH('4.2 ACE EFF WOL'!S$4,'7. PGE_Efficacité'!$A$4:$AO$4,0)+62),0)</f>
        <v>0</v>
      </c>
      <c r="T80" s="139">
        <f>VLOOKUP($E80,'7. PGE_Efficacité'!$A$6:$CY$266,(MATCH('4.2 ACE EFF WOL'!T$4,'7. PGE_Efficacité'!$A$4:$AO$4,0)+62),0)</f>
        <v>0</v>
      </c>
      <c r="U80" s="139">
        <f>VLOOKUP($E80,'7. PGE_Efficacité'!$A$6:$CY$266,(MATCH('4.2 ACE EFF WOL'!U$4,'7. PGE_Efficacité'!$A$4:$AO$4,0)+62),0)</f>
        <v>0</v>
      </c>
      <c r="V80" s="139">
        <f>VLOOKUP($E80,'7. PGE_Efficacité'!$A$6:$CY$266,(MATCH('4.2 ACE EFF WOL'!V$4,'7. PGE_Efficacité'!$A$4:$AO$4,0)+62),0)</f>
        <v>0</v>
      </c>
      <c r="W80" s="139">
        <f>VLOOKUP($E80,'7. PGE_Efficacité'!$A$6:$CY$266,(MATCH('4.2 ACE EFF WOL'!W$4,'7. PGE_Efficacité'!$A$4:$AO$4,0)+62),0)</f>
        <v>0</v>
      </c>
      <c r="X80" s="139">
        <f>VLOOKUP($E80,'7. PGE_Efficacité'!$A$6:$CY$266,(MATCH('4.2 ACE EFF WOL'!X$4,'7. PGE_Efficacité'!$A$4:$AO$4,0)+62),0)</f>
        <v>0</v>
      </c>
      <c r="Y80" s="139">
        <f>VLOOKUP($E80,'7. PGE_Efficacité'!$A$6:$CY$266,(MATCH('4.2 ACE EFF WOL'!Y$4,'7. PGE_Efficacité'!$A$4:$AO$4,0)+62),0)</f>
        <v>0</v>
      </c>
      <c r="Z80" s="139">
        <f>VLOOKUP($E80,'7. PGE_Efficacité'!$A$6:$CY$266,(MATCH('4.2 ACE EFF WOL'!Z$4,'7. PGE_Efficacité'!$A$4:$AO$4,0)+62),0)</f>
        <v>0</v>
      </c>
      <c r="AA80" s="139">
        <f>VLOOKUP($E80,'7. PGE_Efficacité'!$A$6:$CY$266,(MATCH('4.2 ACE EFF WOL'!AA$4,'7. PGE_Efficacité'!$A$4:$AO$4,0)+62),0)</f>
        <v>0</v>
      </c>
      <c r="AB80" s="139">
        <f>VLOOKUP($E80,'7. PGE_Efficacité'!$A$6:$CY$266,(MATCH('4.2 ACE EFF WOL'!AB$4,'7. PGE_Efficacité'!$A$4:$AO$4,0)+62),0)</f>
        <v>0</v>
      </c>
      <c r="AC80" s="139">
        <f>VLOOKUP($E80,'7. PGE_Efficacité'!$A$6:$CY$266,(MATCH('4.2 ACE EFF WOL'!AC$4,'7. PGE_Efficacité'!$A$4:$AO$4,0)+62),0)</f>
        <v>0</v>
      </c>
      <c r="AD80" s="139">
        <f>VLOOKUP($E80,'7. PGE_Efficacité'!$A$6:$CY$266,(MATCH('4.2 ACE EFF WOL'!AD$4,'7. PGE_Efficacité'!$A$4:$AO$4,0)+62),0)</f>
        <v>0</v>
      </c>
      <c r="AE80" s="139">
        <f>VLOOKUP($E80,'7. PGE_Efficacité'!$A$6:$CY$266,(MATCH('4.2 ACE EFF WOL'!AE$4,'7. PGE_Efficacité'!$A$4:$AO$4,0)+62),0)</f>
        <v>0</v>
      </c>
      <c r="AF80" s="139">
        <f>VLOOKUP($E80,'7. PGE_Efficacité'!$A$6:$CY$266,(MATCH('4.2 ACE EFF WOL'!AF$4,'7. PGE_Efficacité'!$A$4:$AO$4,0)+62),0)</f>
        <v>0</v>
      </c>
      <c r="AG80" s="139">
        <f>VLOOKUP($E80,'7. PGE_Efficacité'!$A$6:$CY$266,(MATCH('4.2 ACE EFF WOL'!AG$4,'7. PGE_Efficacité'!$A$4:$AO$4,0)+62),0)</f>
        <v>0</v>
      </c>
      <c r="AH80" s="139">
        <f>VLOOKUP($E80,'7. PGE_Efficacité'!$A$6:$CY$266,(MATCH('4.2 ACE EFF WOL'!AH$4,'7. PGE_Efficacité'!$A$4:$AO$4,0)+62),0)</f>
        <v>0</v>
      </c>
      <c r="AI80" s="139">
        <f>VLOOKUP($E80,'7. PGE_Efficacité'!$A$6:$CY$266,(MATCH('4.2 ACE EFF WOL'!AI$4,'7. PGE_Efficacité'!$A$4:$AO$4,0)+62),0)</f>
        <v>0</v>
      </c>
      <c r="AJ80" s="139">
        <f>VLOOKUP($E80,'7. PGE_Efficacité'!$A$6:$CY$266,(MATCH('4.2 ACE EFF WOL'!AJ$4,'7. PGE_Efficacité'!$A$4:$AO$4,0)+62),0)</f>
        <v>0</v>
      </c>
      <c r="AK80" s="139">
        <f>VLOOKUP($E80,'7. PGE_Efficacité'!$A$6:$CY$266,(MATCH('4.2 ACE EFF WOL'!AK$4,'7. PGE_Efficacité'!$A$4:$AO$4,0)+62),0)</f>
        <v>0</v>
      </c>
      <c r="AL80" s="139">
        <f>VLOOKUP($E80,'7. PGE_Efficacité'!$A$6:$CY$266,(MATCH('4.2 ACE EFF WOL'!AL$4,'7. PGE_Efficacité'!$A$4:$AO$4,0)+62),0)</f>
        <v>0</v>
      </c>
      <c r="AM80" s="139">
        <f>VLOOKUP($E80,'7. PGE_Efficacité'!$A$6:$CY$266,(MATCH('4.2 ACE EFF WOL'!AM$4,'7. PGE_Efficacité'!$A$4:$AO$4,0)+62),0)</f>
        <v>0</v>
      </c>
      <c r="AN80" s="139">
        <f>VLOOKUP($E80,'7. PGE_Efficacité'!$A$6:$CY$266,(MATCH('4.2 ACE EFF WOL'!AN$4,'7. PGE_Efficacité'!$A$4:$AO$4,0)+62),0)</f>
        <v>0</v>
      </c>
    </row>
    <row r="81" spans="1:40" hidden="1" outlineLevel="2" x14ac:dyDescent="0.25">
      <c r="A81" s="48" t="s">
        <v>1524</v>
      </c>
      <c r="B81" s="49">
        <v>14</v>
      </c>
      <c r="C81" s="48" t="s">
        <v>1526</v>
      </c>
      <c r="D81" s="199" t="s">
        <v>13</v>
      </c>
      <c r="E81" s="200" t="s">
        <v>678</v>
      </c>
      <c r="F81" s="200" t="s">
        <v>1338</v>
      </c>
      <c r="G81" s="201" t="s">
        <v>1521</v>
      </c>
      <c r="H81" s="200" t="s">
        <v>1290</v>
      </c>
      <c r="I81" s="202">
        <v>0</v>
      </c>
      <c r="J81" s="139">
        <f>VLOOKUP($E81,'7. PGE_Efficacité'!$A$6:$CY$266,(MATCH('4.2 ACE EFF WOL'!J$4,'7. PGE_Efficacité'!$A$4:$AO$4,0)+62),0)</f>
        <v>0</v>
      </c>
      <c r="K81" s="139">
        <f>VLOOKUP($E81,'7. PGE_Efficacité'!$A$6:$CY$266,(MATCH('4.2 ACE EFF WOL'!K$4,'7. PGE_Efficacité'!$A$4:$AO$4,0)+62),0)</f>
        <v>0</v>
      </c>
      <c r="L81" s="139">
        <f>VLOOKUP($E81,'7. PGE_Efficacité'!$A$6:$CY$266,(MATCH('4.2 ACE EFF WOL'!L$4,'7. PGE_Efficacité'!$A$4:$AO$4,0)+62),0)</f>
        <v>0</v>
      </c>
      <c r="M81" s="139">
        <f>VLOOKUP($E81,'7. PGE_Efficacité'!$A$6:$CY$266,(MATCH('4.2 ACE EFF WOL'!M$4,'7. PGE_Efficacité'!$A$4:$AO$4,0)+62),0)</f>
        <v>0</v>
      </c>
      <c r="N81" s="139">
        <f>VLOOKUP($E81,'7. PGE_Efficacité'!$A$6:$CY$266,(MATCH('4.2 ACE EFF WOL'!N$4,'7. PGE_Efficacité'!$A$4:$AO$4,0)+62),0)</f>
        <v>0</v>
      </c>
      <c r="O81" s="139">
        <f>VLOOKUP($E81,'7. PGE_Efficacité'!$A$6:$CY$266,78,0)</f>
        <v>0</v>
      </c>
      <c r="P81" s="139">
        <f>VLOOKUP($E81,'7. PGE_Efficacité'!$A$6:$CY$266,(MATCH('4.2 ACE EFF WOL'!P$4,'7. PGE_Efficacité'!$A$4:$AO$4,0)+62),0)</f>
        <v>0</v>
      </c>
      <c r="Q81" s="139">
        <f>VLOOKUP($E81,'7. PGE_Efficacité'!$A$6:$CY$266,(MATCH('4.2 ACE EFF WOL'!Q$4,'7. PGE_Efficacité'!$A$4:$AO$4,0)+62),0)</f>
        <v>0</v>
      </c>
      <c r="R81" s="139">
        <f>VLOOKUP($E81,'7. PGE_Efficacité'!$A$6:$CY$266,(MATCH('4.2 ACE EFF WOL'!R$4,'7. PGE_Efficacité'!$A$4:$AO$4,0)+62),0)</f>
        <v>0</v>
      </c>
      <c r="S81" s="139">
        <f>VLOOKUP($E81,'7. PGE_Efficacité'!$A$6:$CY$266,(MATCH('4.2 ACE EFF WOL'!S$4,'7. PGE_Efficacité'!$A$4:$AO$4,0)+62),0)</f>
        <v>0</v>
      </c>
      <c r="T81" s="139">
        <f>VLOOKUP($E81,'7. PGE_Efficacité'!$A$6:$CY$266,(MATCH('4.2 ACE EFF WOL'!T$4,'7. PGE_Efficacité'!$A$4:$AO$4,0)+62),0)</f>
        <v>0</v>
      </c>
      <c r="U81" s="139">
        <f>VLOOKUP($E81,'7. PGE_Efficacité'!$A$6:$CY$266,(MATCH('4.2 ACE EFF WOL'!U$4,'7. PGE_Efficacité'!$A$4:$AO$4,0)+62),0)</f>
        <v>0</v>
      </c>
      <c r="V81" s="139">
        <f>VLOOKUP($E81,'7. PGE_Efficacité'!$A$6:$CY$266,(MATCH('4.2 ACE EFF WOL'!V$4,'7. PGE_Efficacité'!$A$4:$AO$4,0)+62),0)</f>
        <v>0</v>
      </c>
      <c r="W81" s="139">
        <f>VLOOKUP($E81,'7. PGE_Efficacité'!$A$6:$CY$266,(MATCH('4.2 ACE EFF WOL'!W$4,'7. PGE_Efficacité'!$A$4:$AO$4,0)+62),0)</f>
        <v>0</v>
      </c>
      <c r="X81" s="139">
        <f>VLOOKUP($E81,'7. PGE_Efficacité'!$A$6:$CY$266,(MATCH('4.2 ACE EFF WOL'!X$4,'7. PGE_Efficacité'!$A$4:$AO$4,0)+62),0)</f>
        <v>0</v>
      </c>
      <c r="Y81" s="139">
        <f>VLOOKUP($E81,'7. PGE_Efficacité'!$A$6:$CY$266,(MATCH('4.2 ACE EFF WOL'!Y$4,'7. PGE_Efficacité'!$A$4:$AO$4,0)+62),0)</f>
        <v>0</v>
      </c>
      <c r="Z81" s="139">
        <f>VLOOKUP($E81,'7. PGE_Efficacité'!$A$6:$CY$266,(MATCH('4.2 ACE EFF WOL'!Z$4,'7. PGE_Efficacité'!$A$4:$AO$4,0)+62),0)</f>
        <v>0</v>
      </c>
      <c r="AA81" s="139">
        <f>VLOOKUP($E81,'7. PGE_Efficacité'!$A$6:$CY$266,(MATCH('4.2 ACE EFF WOL'!AA$4,'7. PGE_Efficacité'!$A$4:$AO$4,0)+62),0)</f>
        <v>0</v>
      </c>
      <c r="AB81" s="139">
        <f>VLOOKUP($E81,'7. PGE_Efficacité'!$A$6:$CY$266,(MATCH('4.2 ACE EFF WOL'!AB$4,'7. PGE_Efficacité'!$A$4:$AO$4,0)+62),0)</f>
        <v>0</v>
      </c>
      <c r="AC81" s="139">
        <f>VLOOKUP($E81,'7. PGE_Efficacité'!$A$6:$CY$266,(MATCH('4.2 ACE EFF WOL'!AC$4,'7. PGE_Efficacité'!$A$4:$AO$4,0)+62),0)</f>
        <v>0</v>
      </c>
      <c r="AD81" s="139">
        <f>VLOOKUP($E81,'7. PGE_Efficacité'!$A$6:$CY$266,(MATCH('4.2 ACE EFF WOL'!AD$4,'7. PGE_Efficacité'!$A$4:$AO$4,0)+62),0)</f>
        <v>0</v>
      </c>
      <c r="AE81" s="139">
        <f>VLOOKUP($E81,'7. PGE_Efficacité'!$A$6:$CY$266,(MATCH('4.2 ACE EFF WOL'!AE$4,'7. PGE_Efficacité'!$A$4:$AO$4,0)+62),0)</f>
        <v>0</v>
      </c>
      <c r="AF81" s="139">
        <f>VLOOKUP($E81,'7. PGE_Efficacité'!$A$6:$CY$266,(MATCH('4.2 ACE EFF WOL'!AF$4,'7. PGE_Efficacité'!$A$4:$AO$4,0)+62),0)</f>
        <v>0</v>
      </c>
      <c r="AG81" s="139">
        <f>VLOOKUP($E81,'7. PGE_Efficacité'!$A$6:$CY$266,(MATCH('4.2 ACE EFF WOL'!AG$4,'7. PGE_Efficacité'!$A$4:$AO$4,0)+62),0)</f>
        <v>0</v>
      </c>
      <c r="AH81" s="139">
        <f>VLOOKUP($E81,'7. PGE_Efficacité'!$A$6:$CY$266,(MATCH('4.2 ACE EFF WOL'!AH$4,'7. PGE_Efficacité'!$A$4:$AO$4,0)+62),0)</f>
        <v>0</v>
      </c>
      <c r="AI81" s="139">
        <f>VLOOKUP($E81,'7. PGE_Efficacité'!$A$6:$CY$266,(MATCH('4.2 ACE EFF WOL'!AI$4,'7. PGE_Efficacité'!$A$4:$AO$4,0)+62),0)</f>
        <v>0</v>
      </c>
      <c r="AJ81" s="139">
        <f>VLOOKUP($E81,'7. PGE_Efficacité'!$A$6:$CY$266,(MATCH('4.2 ACE EFF WOL'!AJ$4,'7. PGE_Efficacité'!$A$4:$AO$4,0)+62),0)</f>
        <v>0</v>
      </c>
      <c r="AK81" s="139">
        <f>VLOOKUP($E81,'7. PGE_Efficacité'!$A$6:$CY$266,(MATCH('4.2 ACE EFF WOL'!AK$4,'7. PGE_Efficacité'!$A$4:$AO$4,0)+62),0)</f>
        <v>0</v>
      </c>
      <c r="AL81" s="139">
        <f>VLOOKUP($E81,'7. PGE_Efficacité'!$A$6:$CY$266,(MATCH('4.2 ACE EFF WOL'!AL$4,'7. PGE_Efficacité'!$A$4:$AO$4,0)+62),0)</f>
        <v>0</v>
      </c>
      <c r="AM81" s="139">
        <f>VLOOKUP($E81,'7. PGE_Efficacité'!$A$6:$CY$266,(MATCH('4.2 ACE EFF WOL'!AM$4,'7. PGE_Efficacité'!$A$4:$AO$4,0)+62),0)</f>
        <v>0</v>
      </c>
      <c r="AN81" s="139">
        <f>VLOOKUP($E81,'7. PGE_Efficacité'!$A$6:$CY$266,(MATCH('4.2 ACE EFF WOL'!AN$4,'7. PGE_Efficacité'!$A$4:$AO$4,0)+62),0)</f>
        <v>0</v>
      </c>
    </row>
    <row r="82" spans="1:40" outlineLevel="1" collapsed="1" x14ac:dyDescent="0.25">
      <c r="A82" s="48"/>
      <c r="B82" s="49"/>
      <c r="C82" s="48"/>
      <c r="D82" s="372" t="s">
        <v>15</v>
      </c>
      <c r="E82" s="195"/>
      <c r="F82" s="196" t="str">
        <f>VLOOKUP(D82,'1. Mesures'!$A$2:$B$116,2,0)</f>
        <v>Réaliser le curage sur les derniers tronçons du réseau hydrographique pour enlever la pollution «historique »</v>
      </c>
      <c r="G82" s="197"/>
      <c r="H82" s="195"/>
      <c r="I82" s="198">
        <f>SUBTOTAL(9,I83:I83)</f>
        <v>0</v>
      </c>
      <c r="J82" s="203">
        <f>VLOOKUP($D82,'7. PGE_Efficacité'!$A$6:$CY$266,(MATCH('4.2 ACE EFF WOL'!J$4,'7. PGE_Efficacité'!$A$4:$AO$4,0)+62),0)</f>
        <v>0</v>
      </c>
      <c r="K82" s="203">
        <f>VLOOKUP($D82,'7. PGE_Efficacité'!$A$6:$CY$266,(MATCH('4.2 ACE EFF WOL'!K$4,'7. PGE_Efficacité'!$A$4:$AO$4,0)+62),0)</f>
        <v>0</v>
      </c>
      <c r="L82" s="203">
        <f>VLOOKUP($D82,'7. PGE_Efficacité'!$A$6:$CY$266,(MATCH('4.2 ACE EFF WOL'!L$4,'7. PGE_Efficacité'!$A$4:$AO$4,0)+62),0)</f>
        <v>0</v>
      </c>
      <c r="M82" s="203">
        <f>VLOOKUP($D82,'7. PGE_Efficacité'!$A$6:$CY$266,(MATCH('4.2 ACE EFF WOL'!M$4,'7. PGE_Efficacité'!$A$4:$AO$4,0)+62),0)</f>
        <v>0</v>
      </c>
      <c r="N82" s="203">
        <f>VLOOKUP($D82,'7. PGE_Efficacité'!$A$6:$CY$266,(MATCH('4.2 ACE EFF WOL'!N$4,'7. PGE_Efficacité'!$A$4:$AO$4,0)+62),0)</f>
        <v>0</v>
      </c>
      <c r="O82" s="203">
        <f>VLOOKUP($D82,'7. PGE_Efficacité'!$A$6:$CY$266,78,0)</f>
        <v>0</v>
      </c>
      <c r="P82" s="203">
        <f>VLOOKUP($D82,'7. PGE_Efficacité'!$A$6:$CY$266,(MATCH('4.2 ACE EFF WOL'!P$4,'7. PGE_Efficacité'!$A$4:$AO$4,0)+62),0)</f>
        <v>0</v>
      </c>
      <c r="Q82" s="203">
        <f>VLOOKUP($D82,'7. PGE_Efficacité'!$A$6:$CY$266,(MATCH('4.2 ACE EFF WOL'!Q$4,'7. PGE_Efficacité'!$A$4:$AO$4,0)+62),0)</f>
        <v>0</v>
      </c>
      <c r="R82" s="203">
        <f>VLOOKUP($D82,'7. PGE_Efficacité'!$A$6:$CY$266,(MATCH('4.2 ACE EFF WOL'!R$4,'7. PGE_Efficacité'!$A$4:$AO$4,0)+62),0)</f>
        <v>0</v>
      </c>
      <c r="S82" s="203">
        <f>VLOOKUP($D82,'7. PGE_Efficacité'!$A$6:$CY$266,(MATCH('4.2 ACE EFF WOL'!S$4,'7. PGE_Efficacité'!$A$4:$AO$4,0)+62),0)</f>
        <v>0</v>
      </c>
      <c r="T82" s="203">
        <f>VLOOKUP($D82,'7. PGE_Efficacité'!$A$6:$CY$266,(MATCH('4.2 ACE EFF WOL'!T$4,'7. PGE_Efficacité'!$A$4:$AO$4,0)+62),0)</f>
        <v>0</v>
      </c>
      <c r="U82" s="203">
        <f>VLOOKUP($D82,'7. PGE_Efficacité'!$A$6:$CY$266,(MATCH('4.2 ACE EFF WOL'!U$4,'7. PGE_Efficacité'!$A$4:$AO$4,0)+62),0)</f>
        <v>0</v>
      </c>
      <c r="V82" s="203">
        <f>VLOOKUP($D82,'7. PGE_Efficacité'!$A$6:$CY$266,(MATCH('4.2 ACE EFF WOL'!V$4,'7. PGE_Efficacité'!$A$4:$AO$4,0)+62),0)</f>
        <v>0</v>
      </c>
      <c r="W82" s="203">
        <f>VLOOKUP($D82,'7. PGE_Efficacité'!$A$6:$CY$266,(MATCH('4.2 ACE EFF WOL'!W$4,'7. PGE_Efficacité'!$A$4:$AO$4,0)+62),0)</f>
        <v>0</v>
      </c>
      <c r="X82" s="203">
        <f>VLOOKUP($D82,'7. PGE_Efficacité'!$A$6:$CY$266,(MATCH('4.2 ACE EFF WOL'!X$4,'7. PGE_Efficacité'!$A$4:$AO$4,0)+62),0)</f>
        <v>0</v>
      </c>
      <c r="Y82" s="203">
        <f>VLOOKUP($D82,'7. PGE_Efficacité'!$A$6:$CY$266,(MATCH('4.2 ACE EFF WOL'!Y$4,'7. PGE_Efficacité'!$A$4:$AO$4,0)+62),0)</f>
        <v>0</v>
      </c>
      <c r="Z82" s="203">
        <f>VLOOKUP($D82,'7. PGE_Efficacité'!$A$6:$CY$266,(MATCH('4.2 ACE EFF WOL'!Z$4,'7. PGE_Efficacité'!$A$4:$AO$4,0)+62),0)</f>
        <v>0</v>
      </c>
      <c r="AA82" s="203">
        <f>VLOOKUP($D82,'7. PGE_Efficacité'!$A$6:$CY$266,(MATCH('4.2 ACE EFF WOL'!AA$4,'7. PGE_Efficacité'!$A$4:$AO$4,0)+62),0)</f>
        <v>0</v>
      </c>
      <c r="AB82" s="203">
        <f>VLOOKUP($D82,'7. PGE_Efficacité'!$A$6:$CY$266,(MATCH('4.2 ACE EFF WOL'!AB$4,'7. PGE_Efficacité'!$A$4:$AO$4,0)+62),0)</f>
        <v>0</v>
      </c>
      <c r="AC82" s="203">
        <f>VLOOKUP($D82,'7. PGE_Efficacité'!$A$6:$CY$266,(MATCH('4.2 ACE EFF WOL'!AC$4,'7. PGE_Efficacité'!$A$4:$AO$4,0)+62),0)</f>
        <v>0</v>
      </c>
      <c r="AD82" s="203">
        <f>VLOOKUP($D82,'7. PGE_Efficacité'!$A$6:$CY$266,(MATCH('4.2 ACE EFF WOL'!AD$4,'7. PGE_Efficacité'!$A$4:$AO$4,0)+62),0)</f>
        <v>0</v>
      </c>
      <c r="AE82" s="203">
        <f>VLOOKUP($D82,'7. PGE_Efficacité'!$A$6:$CY$266,(MATCH('4.2 ACE EFF WOL'!AE$4,'7. PGE_Efficacité'!$A$4:$AO$4,0)+62),0)</f>
        <v>0</v>
      </c>
      <c r="AF82" s="203">
        <f>VLOOKUP($D82,'7. PGE_Efficacité'!$A$6:$CY$266,(MATCH('4.2 ACE EFF WOL'!AF$4,'7. PGE_Efficacité'!$A$4:$AO$4,0)+62),0)</f>
        <v>0</v>
      </c>
      <c r="AG82" s="203">
        <f>VLOOKUP($D82,'7. PGE_Efficacité'!$A$6:$CY$266,(MATCH('4.2 ACE EFF WOL'!AG$4,'7. PGE_Efficacité'!$A$4:$AO$4,0)+62),0)</f>
        <v>0</v>
      </c>
      <c r="AH82" s="203">
        <f>VLOOKUP($D82,'7. PGE_Efficacité'!$A$6:$CY$266,(MATCH('4.2 ACE EFF WOL'!AH$4,'7. PGE_Efficacité'!$A$4:$AO$4,0)+62),0)</f>
        <v>0</v>
      </c>
      <c r="AI82" s="203">
        <f>VLOOKUP($D82,'7. PGE_Efficacité'!$A$6:$CY$266,(MATCH('4.2 ACE EFF WOL'!AI$4,'7. PGE_Efficacité'!$A$4:$AO$4,0)+62),0)</f>
        <v>0</v>
      </c>
      <c r="AJ82" s="203">
        <f>VLOOKUP($D82,'7. PGE_Efficacité'!$A$6:$CY$266,(MATCH('4.2 ACE EFF WOL'!AJ$4,'7. PGE_Efficacité'!$A$4:$AO$4,0)+62),0)</f>
        <v>0</v>
      </c>
      <c r="AK82" s="203">
        <f>VLOOKUP($D82,'7. PGE_Efficacité'!$A$6:$CY$266,(MATCH('4.2 ACE EFF WOL'!AK$4,'7. PGE_Efficacité'!$A$4:$AO$4,0)+62),0)</f>
        <v>0</v>
      </c>
      <c r="AL82" s="203">
        <f>VLOOKUP($D82,'7. PGE_Efficacité'!$A$6:$CY$266,(MATCH('4.2 ACE EFF WOL'!AL$4,'7. PGE_Efficacité'!$A$4:$AO$4,0)+62),0)</f>
        <v>0</v>
      </c>
      <c r="AM82" s="203">
        <f>VLOOKUP($D82,'7. PGE_Efficacité'!$A$6:$CY$266,(MATCH('4.2 ACE EFF WOL'!AM$4,'7. PGE_Efficacité'!$A$4:$AO$4,0)+62),0)</f>
        <v>0</v>
      </c>
      <c r="AN82" s="203">
        <f>VLOOKUP($D82,'7. PGE_Efficacité'!$A$6:$CY$266,(MATCH('4.2 ACE EFF WOL'!AN$4,'7. PGE_Efficacité'!$A$4:$AO$4,0)+62),0)</f>
        <v>0</v>
      </c>
    </row>
    <row r="83" spans="1:40" hidden="1" outlineLevel="2" x14ac:dyDescent="0.25">
      <c r="A83" s="48" t="s">
        <v>1524</v>
      </c>
      <c r="B83" s="49">
        <v>14</v>
      </c>
      <c r="C83" s="48" t="s">
        <v>1532</v>
      </c>
      <c r="D83" s="199" t="s">
        <v>15</v>
      </c>
      <c r="E83" s="200" t="s">
        <v>682</v>
      </c>
      <c r="F83" s="200" t="s">
        <v>1342</v>
      </c>
      <c r="G83" s="201" t="s">
        <v>1520</v>
      </c>
      <c r="H83" s="200" t="s">
        <v>1290</v>
      </c>
      <c r="I83" s="202">
        <v>0</v>
      </c>
      <c r="J83" s="139">
        <f>VLOOKUP($E83,'7. PGE_Efficacité'!$A$6:$CY$266,(MATCH('4.2 ACE EFF WOL'!J$4,'7. PGE_Efficacité'!$A$4:$AO$4,0)+62),0)</f>
        <v>0</v>
      </c>
      <c r="K83" s="139">
        <f>VLOOKUP($E83,'7. PGE_Efficacité'!$A$6:$CY$266,(MATCH('4.2 ACE EFF WOL'!K$4,'7. PGE_Efficacité'!$A$4:$AO$4,0)+62),0)</f>
        <v>0</v>
      </c>
      <c r="L83" s="139">
        <f>VLOOKUP($E83,'7. PGE_Efficacité'!$A$6:$CY$266,(MATCH('4.2 ACE EFF WOL'!L$4,'7. PGE_Efficacité'!$A$4:$AO$4,0)+62),0)</f>
        <v>0</v>
      </c>
      <c r="M83" s="139">
        <f>VLOOKUP($E83,'7. PGE_Efficacité'!$A$6:$CY$266,(MATCH('4.2 ACE EFF WOL'!M$4,'7. PGE_Efficacité'!$A$4:$AO$4,0)+62),0)</f>
        <v>0</v>
      </c>
      <c r="N83" s="139">
        <f>VLOOKUP($E83,'7. PGE_Efficacité'!$A$6:$CY$266,(MATCH('4.2 ACE EFF WOL'!N$4,'7. PGE_Efficacité'!$A$4:$AO$4,0)+62),0)</f>
        <v>0</v>
      </c>
      <c r="O83" s="139">
        <f>VLOOKUP($E83,'7. PGE_Efficacité'!$A$6:$CY$266,78,0)</f>
        <v>0</v>
      </c>
      <c r="P83" s="139">
        <f>VLOOKUP($E83,'7. PGE_Efficacité'!$A$6:$CY$266,(MATCH('4.2 ACE EFF WOL'!P$4,'7. PGE_Efficacité'!$A$4:$AO$4,0)+62),0)</f>
        <v>0</v>
      </c>
      <c r="Q83" s="139">
        <f>VLOOKUP($E83,'7. PGE_Efficacité'!$A$6:$CY$266,(MATCH('4.2 ACE EFF WOL'!Q$4,'7. PGE_Efficacité'!$A$4:$AO$4,0)+62),0)</f>
        <v>0</v>
      </c>
      <c r="R83" s="139">
        <f>VLOOKUP($E83,'7. PGE_Efficacité'!$A$6:$CY$266,(MATCH('4.2 ACE EFF WOL'!R$4,'7. PGE_Efficacité'!$A$4:$AO$4,0)+62),0)</f>
        <v>0</v>
      </c>
      <c r="S83" s="139">
        <f>VLOOKUP($E83,'7. PGE_Efficacité'!$A$6:$CY$266,(MATCH('4.2 ACE EFF WOL'!S$4,'7. PGE_Efficacité'!$A$4:$AO$4,0)+62),0)</f>
        <v>0</v>
      </c>
      <c r="T83" s="139">
        <f>VLOOKUP($E83,'7. PGE_Efficacité'!$A$6:$CY$266,(MATCH('4.2 ACE EFF WOL'!T$4,'7. PGE_Efficacité'!$A$4:$AO$4,0)+62),0)</f>
        <v>0</v>
      </c>
      <c r="U83" s="139">
        <f>VLOOKUP($E83,'7. PGE_Efficacité'!$A$6:$CY$266,(MATCH('4.2 ACE EFF WOL'!U$4,'7. PGE_Efficacité'!$A$4:$AO$4,0)+62),0)</f>
        <v>0</v>
      </c>
      <c r="V83" s="139">
        <f>VLOOKUP($E83,'7. PGE_Efficacité'!$A$6:$CY$266,(MATCH('4.2 ACE EFF WOL'!V$4,'7. PGE_Efficacité'!$A$4:$AO$4,0)+62),0)</f>
        <v>0</v>
      </c>
      <c r="W83" s="139">
        <f>VLOOKUP($E83,'7. PGE_Efficacité'!$A$6:$CY$266,(MATCH('4.2 ACE EFF WOL'!W$4,'7. PGE_Efficacité'!$A$4:$AO$4,0)+62),0)</f>
        <v>0</v>
      </c>
      <c r="X83" s="139">
        <f>VLOOKUP($E83,'7. PGE_Efficacité'!$A$6:$CY$266,(MATCH('4.2 ACE EFF WOL'!X$4,'7. PGE_Efficacité'!$A$4:$AO$4,0)+62),0)</f>
        <v>0</v>
      </c>
      <c r="Y83" s="139">
        <f>VLOOKUP($E83,'7. PGE_Efficacité'!$A$6:$CY$266,(MATCH('4.2 ACE EFF WOL'!Y$4,'7. PGE_Efficacité'!$A$4:$AO$4,0)+62),0)</f>
        <v>0</v>
      </c>
      <c r="Z83" s="139">
        <f>VLOOKUP($E83,'7. PGE_Efficacité'!$A$6:$CY$266,(MATCH('4.2 ACE EFF WOL'!Z$4,'7. PGE_Efficacité'!$A$4:$AO$4,0)+62),0)</f>
        <v>0</v>
      </c>
      <c r="AA83" s="139">
        <f>VLOOKUP($E83,'7. PGE_Efficacité'!$A$6:$CY$266,(MATCH('4.2 ACE EFF WOL'!AA$4,'7. PGE_Efficacité'!$A$4:$AO$4,0)+62),0)</f>
        <v>0</v>
      </c>
      <c r="AB83" s="139">
        <f>VLOOKUP($E83,'7. PGE_Efficacité'!$A$6:$CY$266,(MATCH('4.2 ACE EFF WOL'!AB$4,'7. PGE_Efficacité'!$A$4:$AO$4,0)+62),0)</f>
        <v>0</v>
      </c>
      <c r="AC83" s="139">
        <f>VLOOKUP($E83,'7. PGE_Efficacité'!$A$6:$CY$266,(MATCH('4.2 ACE EFF WOL'!AC$4,'7. PGE_Efficacité'!$A$4:$AO$4,0)+62),0)</f>
        <v>0</v>
      </c>
      <c r="AD83" s="139">
        <f>VLOOKUP($E83,'7. PGE_Efficacité'!$A$6:$CY$266,(MATCH('4.2 ACE EFF WOL'!AD$4,'7. PGE_Efficacité'!$A$4:$AO$4,0)+62),0)</f>
        <v>0</v>
      </c>
      <c r="AE83" s="139">
        <f>VLOOKUP($E83,'7. PGE_Efficacité'!$A$6:$CY$266,(MATCH('4.2 ACE EFF WOL'!AE$4,'7. PGE_Efficacité'!$A$4:$AO$4,0)+62),0)</f>
        <v>0</v>
      </c>
      <c r="AF83" s="139">
        <f>VLOOKUP($E83,'7. PGE_Efficacité'!$A$6:$CY$266,(MATCH('4.2 ACE EFF WOL'!AF$4,'7. PGE_Efficacité'!$A$4:$AO$4,0)+62),0)</f>
        <v>0</v>
      </c>
      <c r="AG83" s="139">
        <f>VLOOKUP($E83,'7. PGE_Efficacité'!$A$6:$CY$266,(MATCH('4.2 ACE EFF WOL'!AG$4,'7. PGE_Efficacité'!$A$4:$AO$4,0)+62),0)</f>
        <v>0</v>
      </c>
      <c r="AH83" s="139">
        <f>VLOOKUP($E83,'7. PGE_Efficacité'!$A$6:$CY$266,(MATCH('4.2 ACE EFF WOL'!AH$4,'7. PGE_Efficacité'!$A$4:$AO$4,0)+62),0)</f>
        <v>0</v>
      </c>
      <c r="AI83" s="139">
        <f>VLOOKUP($E83,'7. PGE_Efficacité'!$A$6:$CY$266,(MATCH('4.2 ACE EFF WOL'!AI$4,'7. PGE_Efficacité'!$A$4:$AO$4,0)+62),0)</f>
        <v>0</v>
      </c>
      <c r="AJ83" s="139">
        <f>VLOOKUP($E83,'7. PGE_Efficacité'!$A$6:$CY$266,(MATCH('4.2 ACE EFF WOL'!AJ$4,'7. PGE_Efficacité'!$A$4:$AO$4,0)+62),0)</f>
        <v>0</v>
      </c>
      <c r="AK83" s="139">
        <f>VLOOKUP($E83,'7. PGE_Efficacité'!$A$6:$CY$266,(MATCH('4.2 ACE EFF WOL'!AK$4,'7. PGE_Efficacité'!$A$4:$AO$4,0)+62),0)</f>
        <v>0</v>
      </c>
      <c r="AL83" s="139">
        <f>VLOOKUP($E83,'7. PGE_Efficacité'!$A$6:$CY$266,(MATCH('4.2 ACE EFF WOL'!AL$4,'7. PGE_Efficacité'!$A$4:$AO$4,0)+62),0)</f>
        <v>0</v>
      </c>
      <c r="AM83" s="139">
        <f>VLOOKUP($E83,'7. PGE_Efficacité'!$A$6:$CY$266,(MATCH('4.2 ACE EFF WOL'!AM$4,'7. PGE_Efficacité'!$A$4:$AO$4,0)+62),0)</f>
        <v>0</v>
      </c>
      <c r="AN83" s="139">
        <f>VLOOKUP($E83,'7. PGE_Efficacité'!$A$6:$CY$266,(MATCH('4.2 ACE EFF WOL'!AN$4,'7. PGE_Efficacité'!$A$4:$AO$4,0)+62),0)</f>
        <v>0</v>
      </c>
    </row>
    <row r="84" spans="1:40" ht="26.25" outlineLevel="1" collapsed="1" x14ac:dyDescent="0.25">
      <c r="A84" s="48"/>
      <c r="B84" s="49"/>
      <c r="C84" s="48"/>
      <c r="D84" s="372" t="s">
        <v>21</v>
      </c>
      <c r="E84" s="195"/>
      <c r="F84" s="196" t="str">
        <f>VLOOKUP(D84,'1. Mesures'!$A$2:$B$116,2,0)</f>
        <v>Assurer la surveillance de la qualité de la colonne d’eau, des sédiments, du biote, de la biologie et de l’hydromorphologie</v>
      </c>
      <c r="G84" s="197"/>
      <c r="H84" s="195"/>
      <c r="I84" s="198">
        <f>SUBTOTAL(9,I85:I94)</f>
        <v>589833.33333333326</v>
      </c>
      <c r="J84" s="203">
        <f>VLOOKUP($D84,'7. PGE_Efficacité'!$A$6:$CY$266,(MATCH('4.2 ACE EFF WOL'!J$4,'7. PGE_Efficacité'!$A$4:$AO$4,0)+62),0)</f>
        <v>0</v>
      </c>
      <c r="K84" s="203">
        <f>VLOOKUP($D84,'7. PGE_Efficacité'!$A$6:$CY$266,(MATCH('4.2 ACE EFF WOL'!K$4,'7. PGE_Efficacité'!$A$4:$AO$4,0)+62),0)</f>
        <v>0</v>
      </c>
      <c r="L84" s="203">
        <f>VLOOKUP($D84,'7. PGE_Efficacité'!$A$6:$CY$266,(MATCH('4.2 ACE EFF WOL'!L$4,'7. PGE_Efficacité'!$A$4:$AO$4,0)+62),0)</f>
        <v>0</v>
      </c>
      <c r="M84" s="203">
        <f>VLOOKUP($D84,'7. PGE_Efficacité'!$A$6:$CY$266,(MATCH('4.2 ACE EFF WOL'!M$4,'7. PGE_Efficacité'!$A$4:$AO$4,0)+62),0)</f>
        <v>0</v>
      </c>
      <c r="N84" s="203">
        <f>VLOOKUP($D84,'7. PGE_Efficacité'!$A$6:$CY$266,(MATCH('4.2 ACE EFF WOL'!N$4,'7. PGE_Efficacité'!$A$4:$AO$4,0)+62),0)</f>
        <v>0</v>
      </c>
      <c r="O84" s="203">
        <f>VLOOKUP($D84,'7. PGE_Efficacité'!$A$6:$CY$266,78,0)</f>
        <v>0</v>
      </c>
      <c r="P84" s="203">
        <f>VLOOKUP($D84,'7. PGE_Efficacité'!$A$6:$CY$266,(MATCH('4.2 ACE EFF WOL'!P$4,'7. PGE_Efficacité'!$A$4:$AO$4,0)+62),0)</f>
        <v>0</v>
      </c>
      <c r="Q84" s="203">
        <f>VLOOKUP($D84,'7. PGE_Efficacité'!$A$6:$CY$266,(MATCH('4.2 ACE EFF WOL'!Q$4,'7. PGE_Efficacité'!$A$4:$AO$4,0)+62),0)</f>
        <v>0</v>
      </c>
      <c r="R84" s="203">
        <f>VLOOKUP($D84,'7. PGE_Efficacité'!$A$6:$CY$266,(MATCH('4.2 ACE EFF WOL'!R$4,'7. PGE_Efficacité'!$A$4:$AO$4,0)+62),0)</f>
        <v>0</v>
      </c>
      <c r="S84" s="203">
        <f>VLOOKUP($D84,'7. PGE_Efficacité'!$A$6:$CY$266,(MATCH('4.2 ACE EFF WOL'!S$4,'7. PGE_Efficacité'!$A$4:$AO$4,0)+62),0)</f>
        <v>0</v>
      </c>
      <c r="T84" s="203">
        <f>VLOOKUP($D84,'7. PGE_Efficacité'!$A$6:$CY$266,(MATCH('4.2 ACE EFF WOL'!T$4,'7. PGE_Efficacité'!$A$4:$AO$4,0)+62),0)</f>
        <v>0</v>
      </c>
      <c r="U84" s="203">
        <f>VLOOKUP($D84,'7. PGE_Efficacité'!$A$6:$CY$266,(MATCH('4.2 ACE EFF WOL'!U$4,'7. PGE_Efficacité'!$A$4:$AO$4,0)+62),0)</f>
        <v>0</v>
      </c>
      <c r="V84" s="203">
        <f>VLOOKUP($D84,'7. PGE_Efficacité'!$A$6:$CY$266,(MATCH('4.2 ACE EFF WOL'!V$4,'7. PGE_Efficacité'!$A$4:$AO$4,0)+62),0)</f>
        <v>0</v>
      </c>
      <c r="W84" s="203">
        <f>VLOOKUP($D84,'7. PGE_Efficacité'!$A$6:$CY$266,(MATCH('4.2 ACE EFF WOL'!W$4,'7. PGE_Efficacité'!$A$4:$AO$4,0)+62),0)</f>
        <v>0</v>
      </c>
      <c r="X84" s="203">
        <f>VLOOKUP($D84,'7. PGE_Efficacité'!$A$6:$CY$266,(MATCH('4.2 ACE EFF WOL'!X$4,'7. PGE_Efficacité'!$A$4:$AO$4,0)+62),0)</f>
        <v>0</v>
      </c>
      <c r="Y84" s="203">
        <f>VLOOKUP($D84,'7. PGE_Efficacité'!$A$6:$CY$266,(MATCH('4.2 ACE EFF WOL'!Y$4,'7. PGE_Efficacité'!$A$4:$AO$4,0)+62),0)</f>
        <v>0</v>
      </c>
      <c r="Z84" s="203">
        <f>VLOOKUP($D84,'7. PGE_Efficacité'!$A$6:$CY$266,(MATCH('4.2 ACE EFF WOL'!Z$4,'7. PGE_Efficacité'!$A$4:$AO$4,0)+62),0)</f>
        <v>0</v>
      </c>
      <c r="AA84" s="203">
        <f>VLOOKUP($D84,'7. PGE_Efficacité'!$A$6:$CY$266,(MATCH('4.2 ACE EFF WOL'!AA$4,'7. PGE_Efficacité'!$A$4:$AO$4,0)+62),0)</f>
        <v>0</v>
      </c>
      <c r="AB84" s="203">
        <f>VLOOKUP($D84,'7. PGE_Efficacité'!$A$6:$CY$266,(MATCH('4.2 ACE EFF WOL'!AB$4,'7. PGE_Efficacité'!$A$4:$AO$4,0)+62),0)</f>
        <v>0</v>
      </c>
      <c r="AC84" s="203">
        <f>VLOOKUP($D84,'7. PGE_Efficacité'!$A$6:$CY$266,(MATCH('4.2 ACE EFF WOL'!AC$4,'7. PGE_Efficacité'!$A$4:$AO$4,0)+62),0)</f>
        <v>0</v>
      </c>
      <c r="AD84" s="203">
        <f>VLOOKUP($D84,'7. PGE_Efficacité'!$A$6:$CY$266,(MATCH('4.2 ACE EFF WOL'!AD$4,'7. PGE_Efficacité'!$A$4:$AO$4,0)+62),0)</f>
        <v>0</v>
      </c>
      <c r="AE84" s="203">
        <f>VLOOKUP($D84,'7. PGE_Efficacité'!$A$6:$CY$266,(MATCH('4.2 ACE EFF WOL'!AE$4,'7. PGE_Efficacité'!$A$4:$AO$4,0)+62),0)</f>
        <v>0</v>
      </c>
      <c r="AF84" s="203">
        <f>VLOOKUP($D84,'7. PGE_Efficacité'!$A$6:$CY$266,(MATCH('4.2 ACE EFF WOL'!AF$4,'7. PGE_Efficacité'!$A$4:$AO$4,0)+62),0)</f>
        <v>0</v>
      </c>
      <c r="AG84" s="203">
        <f>VLOOKUP($D84,'7. PGE_Efficacité'!$A$6:$CY$266,(MATCH('4.2 ACE EFF WOL'!AG$4,'7. PGE_Efficacité'!$A$4:$AO$4,0)+62),0)</f>
        <v>0</v>
      </c>
      <c r="AH84" s="203">
        <f>VLOOKUP($D84,'7. PGE_Efficacité'!$A$6:$CY$266,(MATCH('4.2 ACE EFF WOL'!AH$4,'7. PGE_Efficacité'!$A$4:$AO$4,0)+62),0)</f>
        <v>0</v>
      </c>
      <c r="AI84" s="203">
        <f>VLOOKUP($D84,'7. PGE_Efficacité'!$A$6:$CY$266,(MATCH('4.2 ACE EFF WOL'!AI$4,'7. PGE_Efficacité'!$A$4:$AO$4,0)+62),0)</f>
        <v>0</v>
      </c>
      <c r="AJ84" s="203">
        <f>VLOOKUP($D84,'7. PGE_Efficacité'!$A$6:$CY$266,(MATCH('4.2 ACE EFF WOL'!AJ$4,'7. PGE_Efficacité'!$A$4:$AO$4,0)+62),0)</f>
        <v>0</v>
      </c>
      <c r="AK84" s="203">
        <f>VLOOKUP($D84,'7. PGE_Efficacité'!$A$6:$CY$266,(MATCH('4.2 ACE EFF WOL'!AK$4,'7. PGE_Efficacité'!$A$4:$AO$4,0)+62),0)</f>
        <v>0</v>
      </c>
      <c r="AL84" s="203">
        <f>VLOOKUP($D84,'7. PGE_Efficacité'!$A$6:$CY$266,(MATCH('4.2 ACE EFF WOL'!AL$4,'7. PGE_Efficacité'!$A$4:$AO$4,0)+62),0)</f>
        <v>0</v>
      </c>
      <c r="AM84" s="203">
        <f>VLOOKUP($D84,'7. PGE_Efficacité'!$A$6:$CY$266,(MATCH('4.2 ACE EFF WOL'!AM$4,'7. PGE_Efficacité'!$A$4:$AO$4,0)+62),0)</f>
        <v>0</v>
      </c>
      <c r="AN84" s="203">
        <f>VLOOKUP($D84,'7. PGE_Efficacité'!$A$6:$CY$266,(MATCH('4.2 ACE EFF WOL'!AN$4,'7. PGE_Efficacité'!$A$4:$AO$4,0)+62),0)</f>
        <v>0</v>
      </c>
    </row>
    <row r="85" spans="1:40" hidden="1" outlineLevel="2" x14ac:dyDescent="0.25">
      <c r="A85" s="48"/>
      <c r="B85" s="49"/>
      <c r="C85" s="48"/>
      <c r="D85" s="199" t="s">
        <v>21</v>
      </c>
      <c r="E85" s="200" t="s">
        <v>728</v>
      </c>
      <c r="F85" s="200" t="s">
        <v>1386</v>
      </c>
      <c r="G85" s="201" t="s">
        <v>1521</v>
      </c>
      <c r="H85" s="200" t="s">
        <v>1290</v>
      </c>
      <c r="I85" s="202">
        <f>332500/3</f>
        <v>110833.33333333333</v>
      </c>
      <c r="J85" s="139">
        <f>VLOOKUP($E85,'7. PGE_Efficacité'!$A$6:$CY$266,(MATCH('4.2 ACE EFF WOL'!J$4,'7. PGE_Efficacité'!$A$4:$AO$4,0)+62),0)</f>
        <v>0</v>
      </c>
      <c r="K85" s="139">
        <f>VLOOKUP($E85,'7. PGE_Efficacité'!$A$6:$CY$266,(MATCH('4.2 ACE EFF WOL'!K$4,'7. PGE_Efficacité'!$A$4:$AO$4,0)+62),0)</f>
        <v>0</v>
      </c>
      <c r="L85" s="139">
        <f>VLOOKUP($E85,'7. PGE_Efficacité'!$A$6:$CY$266,(MATCH('4.2 ACE EFF WOL'!L$4,'7. PGE_Efficacité'!$A$4:$AO$4,0)+62),0)</f>
        <v>0</v>
      </c>
      <c r="M85" s="139">
        <f>VLOOKUP($E85,'7. PGE_Efficacité'!$A$6:$CY$266,(MATCH('4.2 ACE EFF WOL'!M$4,'7. PGE_Efficacité'!$A$4:$AO$4,0)+62),0)</f>
        <v>0</v>
      </c>
      <c r="N85" s="139">
        <f>VLOOKUP($E85,'7. PGE_Efficacité'!$A$6:$CY$266,(MATCH('4.2 ACE EFF WOL'!N$4,'7. PGE_Efficacité'!$A$4:$AO$4,0)+62),0)</f>
        <v>0</v>
      </c>
      <c r="O85" s="139">
        <f>VLOOKUP($E85,'7. PGE_Efficacité'!$A$6:$CY$266,78,0)</f>
        <v>0</v>
      </c>
      <c r="P85" s="139">
        <f>VLOOKUP($E85,'7. PGE_Efficacité'!$A$6:$CY$266,(MATCH('4.2 ACE EFF WOL'!P$4,'7. PGE_Efficacité'!$A$4:$AO$4,0)+62),0)</f>
        <v>0</v>
      </c>
      <c r="Q85" s="139">
        <f>VLOOKUP($E85,'7. PGE_Efficacité'!$A$6:$CY$266,(MATCH('4.2 ACE EFF WOL'!Q$4,'7. PGE_Efficacité'!$A$4:$AO$4,0)+62),0)</f>
        <v>0</v>
      </c>
      <c r="R85" s="139">
        <f>VLOOKUP($E85,'7. PGE_Efficacité'!$A$6:$CY$266,(MATCH('4.2 ACE EFF WOL'!R$4,'7. PGE_Efficacité'!$A$4:$AO$4,0)+62),0)</f>
        <v>0</v>
      </c>
      <c r="S85" s="139">
        <f>VLOOKUP($E85,'7. PGE_Efficacité'!$A$6:$CY$266,(MATCH('4.2 ACE EFF WOL'!S$4,'7. PGE_Efficacité'!$A$4:$AO$4,0)+62),0)</f>
        <v>0</v>
      </c>
      <c r="T85" s="139">
        <f>VLOOKUP($E85,'7. PGE_Efficacité'!$A$6:$CY$266,(MATCH('4.2 ACE EFF WOL'!T$4,'7. PGE_Efficacité'!$A$4:$AO$4,0)+62),0)</f>
        <v>0</v>
      </c>
      <c r="U85" s="139">
        <f>VLOOKUP($E85,'7. PGE_Efficacité'!$A$6:$CY$266,(MATCH('4.2 ACE EFF WOL'!U$4,'7. PGE_Efficacité'!$A$4:$AO$4,0)+62),0)</f>
        <v>0</v>
      </c>
      <c r="V85" s="139">
        <f>VLOOKUP($E85,'7. PGE_Efficacité'!$A$6:$CY$266,(MATCH('4.2 ACE EFF WOL'!V$4,'7. PGE_Efficacité'!$A$4:$AO$4,0)+62),0)</f>
        <v>0</v>
      </c>
      <c r="W85" s="139">
        <f>VLOOKUP($E85,'7. PGE_Efficacité'!$A$6:$CY$266,(MATCH('4.2 ACE EFF WOL'!W$4,'7. PGE_Efficacité'!$A$4:$AO$4,0)+62),0)</f>
        <v>0</v>
      </c>
      <c r="X85" s="139">
        <f>VLOOKUP($E85,'7. PGE_Efficacité'!$A$6:$CY$266,(MATCH('4.2 ACE EFF WOL'!X$4,'7. PGE_Efficacité'!$A$4:$AO$4,0)+62),0)</f>
        <v>0</v>
      </c>
      <c r="Y85" s="139">
        <f>VLOOKUP($E85,'7. PGE_Efficacité'!$A$6:$CY$266,(MATCH('4.2 ACE EFF WOL'!Y$4,'7. PGE_Efficacité'!$A$4:$AO$4,0)+62),0)</f>
        <v>0</v>
      </c>
      <c r="Z85" s="139">
        <f>VLOOKUP($E85,'7. PGE_Efficacité'!$A$6:$CY$266,(MATCH('4.2 ACE EFF WOL'!Z$4,'7. PGE_Efficacité'!$A$4:$AO$4,0)+62),0)</f>
        <v>0</v>
      </c>
      <c r="AA85" s="139">
        <f>VLOOKUP($E85,'7. PGE_Efficacité'!$A$6:$CY$266,(MATCH('4.2 ACE EFF WOL'!AA$4,'7. PGE_Efficacité'!$A$4:$AO$4,0)+62),0)</f>
        <v>0</v>
      </c>
      <c r="AB85" s="139">
        <f>VLOOKUP($E85,'7. PGE_Efficacité'!$A$6:$CY$266,(MATCH('4.2 ACE EFF WOL'!AB$4,'7. PGE_Efficacité'!$A$4:$AO$4,0)+62),0)</f>
        <v>0</v>
      </c>
      <c r="AC85" s="139">
        <f>VLOOKUP($E85,'7. PGE_Efficacité'!$A$6:$CY$266,(MATCH('4.2 ACE EFF WOL'!AC$4,'7. PGE_Efficacité'!$A$4:$AO$4,0)+62),0)</f>
        <v>0</v>
      </c>
      <c r="AD85" s="139">
        <f>VLOOKUP($E85,'7. PGE_Efficacité'!$A$6:$CY$266,(MATCH('4.2 ACE EFF WOL'!AD$4,'7. PGE_Efficacité'!$A$4:$AO$4,0)+62),0)</f>
        <v>0</v>
      </c>
      <c r="AE85" s="139">
        <f>VLOOKUP($E85,'7. PGE_Efficacité'!$A$6:$CY$266,(MATCH('4.2 ACE EFF WOL'!AE$4,'7. PGE_Efficacité'!$A$4:$AO$4,0)+62),0)</f>
        <v>0</v>
      </c>
      <c r="AF85" s="139">
        <f>VLOOKUP($E85,'7. PGE_Efficacité'!$A$6:$CY$266,(MATCH('4.2 ACE EFF WOL'!AF$4,'7. PGE_Efficacité'!$A$4:$AO$4,0)+62),0)</f>
        <v>0</v>
      </c>
      <c r="AG85" s="139">
        <f>VLOOKUP($E85,'7. PGE_Efficacité'!$A$6:$CY$266,(MATCH('4.2 ACE EFF WOL'!AG$4,'7. PGE_Efficacité'!$A$4:$AO$4,0)+62),0)</f>
        <v>0</v>
      </c>
      <c r="AH85" s="139">
        <f>VLOOKUP($E85,'7. PGE_Efficacité'!$A$6:$CY$266,(MATCH('4.2 ACE EFF WOL'!AH$4,'7. PGE_Efficacité'!$A$4:$AO$4,0)+62),0)</f>
        <v>0</v>
      </c>
      <c r="AI85" s="139">
        <f>VLOOKUP($E85,'7. PGE_Efficacité'!$A$6:$CY$266,(MATCH('4.2 ACE EFF WOL'!AI$4,'7. PGE_Efficacité'!$A$4:$AO$4,0)+62),0)</f>
        <v>0</v>
      </c>
      <c r="AJ85" s="139">
        <f>VLOOKUP($E85,'7. PGE_Efficacité'!$A$6:$CY$266,(MATCH('4.2 ACE EFF WOL'!AJ$4,'7. PGE_Efficacité'!$A$4:$AO$4,0)+62),0)</f>
        <v>0</v>
      </c>
      <c r="AK85" s="139">
        <f>VLOOKUP($E85,'7. PGE_Efficacité'!$A$6:$CY$266,(MATCH('4.2 ACE EFF WOL'!AK$4,'7. PGE_Efficacité'!$A$4:$AO$4,0)+62),0)</f>
        <v>0</v>
      </c>
      <c r="AL85" s="139">
        <f>VLOOKUP($E85,'7. PGE_Efficacité'!$A$6:$CY$266,(MATCH('4.2 ACE EFF WOL'!AL$4,'7. PGE_Efficacité'!$A$4:$AO$4,0)+62),0)</f>
        <v>0</v>
      </c>
      <c r="AM85" s="139">
        <f>VLOOKUP($E85,'7. PGE_Efficacité'!$A$6:$CY$266,(MATCH('4.2 ACE EFF WOL'!AM$4,'7. PGE_Efficacité'!$A$4:$AO$4,0)+62),0)</f>
        <v>0</v>
      </c>
      <c r="AN85" s="139">
        <f>VLOOKUP($E85,'7. PGE_Efficacité'!$A$6:$CY$266,(MATCH('4.2 ACE EFF WOL'!AN$4,'7. PGE_Efficacité'!$A$4:$AO$4,0)+62),0)</f>
        <v>0</v>
      </c>
    </row>
    <row r="86" spans="1:40" hidden="1" outlineLevel="2" x14ac:dyDescent="0.25">
      <c r="A86" s="48" t="s">
        <v>1524</v>
      </c>
      <c r="B86" s="49">
        <v>21</v>
      </c>
      <c r="C86" s="48" t="s">
        <v>1524</v>
      </c>
      <c r="D86" s="199" t="s">
        <v>21</v>
      </c>
      <c r="E86" s="200" t="s">
        <v>730</v>
      </c>
      <c r="F86" s="200" t="s">
        <v>1388</v>
      </c>
      <c r="G86" s="201" t="s">
        <v>1521</v>
      </c>
      <c r="H86" s="200" t="s">
        <v>1290</v>
      </c>
      <c r="I86" s="202">
        <f>1292000/3</f>
        <v>430666.66666666669</v>
      </c>
      <c r="J86" s="139">
        <f>VLOOKUP($E86,'7. PGE_Efficacité'!$A$6:$CY$266,(MATCH('4.2 ACE EFF WOL'!J$4,'7. PGE_Efficacité'!$A$4:$AO$4,0)+62),0)</f>
        <v>0</v>
      </c>
      <c r="K86" s="139">
        <f>VLOOKUP($E86,'7. PGE_Efficacité'!$A$6:$CY$266,(MATCH('4.2 ACE EFF WOL'!K$4,'7. PGE_Efficacité'!$A$4:$AO$4,0)+62),0)</f>
        <v>0</v>
      </c>
      <c r="L86" s="139">
        <f>VLOOKUP($E86,'7. PGE_Efficacité'!$A$6:$CY$266,(MATCH('4.2 ACE EFF WOL'!L$4,'7. PGE_Efficacité'!$A$4:$AO$4,0)+62),0)</f>
        <v>0</v>
      </c>
      <c r="M86" s="139">
        <f>VLOOKUP($E86,'7. PGE_Efficacité'!$A$6:$CY$266,(MATCH('4.2 ACE EFF WOL'!M$4,'7. PGE_Efficacité'!$A$4:$AO$4,0)+62),0)</f>
        <v>0</v>
      </c>
      <c r="N86" s="139">
        <f>VLOOKUP($E86,'7. PGE_Efficacité'!$A$6:$CY$266,(MATCH('4.2 ACE EFF WOL'!N$4,'7. PGE_Efficacité'!$A$4:$AO$4,0)+62),0)</f>
        <v>0</v>
      </c>
      <c r="O86" s="139">
        <f>VLOOKUP($E86,'7. PGE_Efficacité'!$A$6:$CY$266,78,0)</f>
        <v>0</v>
      </c>
      <c r="P86" s="139">
        <f>VLOOKUP($E86,'7. PGE_Efficacité'!$A$6:$CY$266,(MATCH('4.2 ACE EFF WOL'!P$4,'7. PGE_Efficacité'!$A$4:$AO$4,0)+62),0)</f>
        <v>0</v>
      </c>
      <c r="Q86" s="139">
        <f>VLOOKUP($E86,'7. PGE_Efficacité'!$A$6:$CY$266,(MATCH('4.2 ACE EFF WOL'!Q$4,'7. PGE_Efficacité'!$A$4:$AO$4,0)+62),0)</f>
        <v>0</v>
      </c>
      <c r="R86" s="139">
        <f>VLOOKUP($E86,'7. PGE_Efficacité'!$A$6:$CY$266,(MATCH('4.2 ACE EFF WOL'!R$4,'7. PGE_Efficacité'!$A$4:$AO$4,0)+62),0)</f>
        <v>0</v>
      </c>
      <c r="S86" s="139">
        <f>VLOOKUP($E86,'7. PGE_Efficacité'!$A$6:$CY$266,(MATCH('4.2 ACE EFF WOL'!S$4,'7. PGE_Efficacité'!$A$4:$AO$4,0)+62),0)</f>
        <v>0</v>
      </c>
      <c r="T86" s="139">
        <f>VLOOKUP($E86,'7. PGE_Efficacité'!$A$6:$CY$266,(MATCH('4.2 ACE EFF WOL'!T$4,'7. PGE_Efficacité'!$A$4:$AO$4,0)+62),0)</f>
        <v>0</v>
      </c>
      <c r="U86" s="139">
        <f>VLOOKUP($E86,'7. PGE_Efficacité'!$A$6:$CY$266,(MATCH('4.2 ACE EFF WOL'!U$4,'7. PGE_Efficacité'!$A$4:$AO$4,0)+62),0)</f>
        <v>0</v>
      </c>
      <c r="V86" s="139">
        <f>VLOOKUP($E86,'7. PGE_Efficacité'!$A$6:$CY$266,(MATCH('4.2 ACE EFF WOL'!V$4,'7. PGE_Efficacité'!$A$4:$AO$4,0)+62),0)</f>
        <v>0</v>
      </c>
      <c r="W86" s="139">
        <f>VLOOKUP($E86,'7. PGE_Efficacité'!$A$6:$CY$266,(MATCH('4.2 ACE EFF WOL'!W$4,'7. PGE_Efficacité'!$A$4:$AO$4,0)+62),0)</f>
        <v>0</v>
      </c>
      <c r="X86" s="139">
        <f>VLOOKUP($E86,'7. PGE_Efficacité'!$A$6:$CY$266,(MATCH('4.2 ACE EFF WOL'!X$4,'7. PGE_Efficacité'!$A$4:$AO$4,0)+62),0)</f>
        <v>0</v>
      </c>
      <c r="Y86" s="139">
        <f>VLOOKUP($E86,'7. PGE_Efficacité'!$A$6:$CY$266,(MATCH('4.2 ACE EFF WOL'!Y$4,'7. PGE_Efficacité'!$A$4:$AO$4,0)+62),0)</f>
        <v>0</v>
      </c>
      <c r="Z86" s="139">
        <f>VLOOKUP($E86,'7. PGE_Efficacité'!$A$6:$CY$266,(MATCH('4.2 ACE EFF WOL'!Z$4,'7. PGE_Efficacité'!$A$4:$AO$4,0)+62),0)</f>
        <v>0</v>
      </c>
      <c r="AA86" s="139">
        <f>VLOOKUP($E86,'7. PGE_Efficacité'!$A$6:$CY$266,(MATCH('4.2 ACE EFF WOL'!AA$4,'7. PGE_Efficacité'!$A$4:$AO$4,0)+62),0)</f>
        <v>0</v>
      </c>
      <c r="AB86" s="139">
        <f>VLOOKUP($E86,'7. PGE_Efficacité'!$A$6:$CY$266,(MATCH('4.2 ACE EFF WOL'!AB$4,'7. PGE_Efficacité'!$A$4:$AO$4,0)+62),0)</f>
        <v>0</v>
      </c>
      <c r="AC86" s="139">
        <f>VLOOKUP($E86,'7. PGE_Efficacité'!$A$6:$CY$266,(MATCH('4.2 ACE EFF WOL'!AC$4,'7. PGE_Efficacité'!$A$4:$AO$4,0)+62),0)</f>
        <v>0</v>
      </c>
      <c r="AD86" s="139">
        <f>VLOOKUP($E86,'7. PGE_Efficacité'!$A$6:$CY$266,(MATCH('4.2 ACE EFF WOL'!AD$4,'7. PGE_Efficacité'!$A$4:$AO$4,0)+62),0)</f>
        <v>0</v>
      </c>
      <c r="AE86" s="139">
        <f>VLOOKUP($E86,'7. PGE_Efficacité'!$A$6:$CY$266,(MATCH('4.2 ACE EFF WOL'!AE$4,'7. PGE_Efficacité'!$A$4:$AO$4,0)+62),0)</f>
        <v>0</v>
      </c>
      <c r="AF86" s="139">
        <f>VLOOKUP($E86,'7. PGE_Efficacité'!$A$6:$CY$266,(MATCH('4.2 ACE EFF WOL'!AF$4,'7. PGE_Efficacité'!$A$4:$AO$4,0)+62),0)</f>
        <v>0</v>
      </c>
      <c r="AG86" s="139">
        <f>VLOOKUP($E86,'7. PGE_Efficacité'!$A$6:$CY$266,(MATCH('4.2 ACE EFF WOL'!AG$4,'7. PGE_Efficacité'!$A$4:$AO$4,0)+62),0)</f>
        <v>0</v>
      </c>
      <c r="AH86" s="139">
        <f>VLOOKUP($E86,'7. PGE_Efficacité'!$A$6:$CY$266,(MATCH('4.2 ACE EFF WOL'!AH$4,'7. PGE_Efficacité'!$A$4:$AO$4,0)+62),0)</f>
        <v>0</v>
      </c>
      <c r="AI86" s="139">
        <f>VLOOKUP($E86,'7. PGE_Efficacité'!$A$6:$CY$266,(MATCH('4.2 ACE EFF WOL'!AI$4,'7. PGE_Efficacité'!$A$4:$AO$4,0)+62),0)</f>
        <v>0</v>
      </c>
      <c r="AJ86" s="139">
        <f>VLOOKUP($E86,'7. PGE_Efficacité'!$A$6:$CY$266,(MATCH('4.2 ACE EFF WOL'!AJ$4,'7. PGE_Efficacité'!$A$4:$AO$4,0)+62),0)</f>
        <v>0</v>
      </c>
      <c r="AK86" s="139">
        <f>VLOOKUP($E86,'7. PGE_Efficacité'!$A$6:$CY$266,(MATCH('4.2 ACE EFF WOL'!AK$4,'7. PGE_Efficacité'!$A$4:$AO$4,0)+62),0)</f>
        <v>0</v>
      </c>
      <c r="AL86" s="139">
        <f>VLOOKUP($E86,'7. PGE_Efficacité'!$A$6:$CY$266,(MATCH('4.2 ACE EFF WOL'!AL$4,'7. PGE_Efficacité'!$A$4:$AO$4,0)+62),0)</f>
        <v>0</v>
      </c>
      <c r="AM86" s="139">
        <f>VLOOKUP($E86,'7. PGE_Efficacité'!$A$6:$CY$266,(MATCH('4.2 ACE EFF WOL'!AM$4,'7. PGE_Efficacité'!$A$4:$AO$4,0)+62),0)</f>
        <v>0</v>
      </c>
      <c r="AN86" s="139">
        <f>VLOOKUP($E86,'7. PGE_Efficacité'!$A$6:$CY$266,(MATCH('4.2 ACE EFF WOL'!AN$4,'7. PGE_Efficacité'!$A$4:$AO$4,0)+62),0)</f>
        <v>0</v>
      </c>
    </row>
    <row r="87" spans="1:40" hidden="1" outlineLevel="2" x14ac:dyDescent="0.25">
      <c r="A87" s="48" t="s">
        <v>1524</v>
      </c>
      <c r="B87" s="49">
        <v>21</v>
      </c>
      <c r="C87" s="48" t="s">
        <v>1525</v>
      </c>
      <c r="D87" s="199" t="s">
        <v>21</v>
      </c>
      <c r="E87" s="200" t="s">
        <v>731</v>
      </c>
      <c r="F87" s="200" t="s">
        <v>1389</v>
      </c>
      <c r="G87" s="201" t="s">
        <v>1521</v>
      </c>
      <c r="H87" s="200" t="s">
        <v>1290</v>
      </c>
      <c r="I87" s="202">
        <f>95000/3</f>
        <v>31666.666666666668</v>
      </c>
      <c r="J87" s="139">
        <f>VLOOKUP($E87,'7. PGE_Efficacité'!$A$6:$CY$266,(MATCH('4.2 ACE EFF WOL'!J$4,'7. PGE_Efficacité'!$A$4:$AO$4,0)+62),0)</f>
        <v>0</v>
      </c>
      <c r="K87" s="139">
        <f>VLOOKUP($E87,'7. PGE_Efficacité'!$A$6:$CY$266,(MATCH('4.2 ACE EFF WOL'!K$4,'7. PGE_Efficacité'!$A$4:$AO$4,0)+62),0)</f>
        <v>0</v>
      </c>
      <c r="L87" s="139">
        <f>VLOOKUP($E87,'7. PGE_Efficacité'!$A$6:$CY$266,(MATCH('4.2 ACE EFF WOL'!L$4,'7. PGE_Efficacité'!$A$4:$AO$4,0)+62),0)</f>
        <v>0</v>
      </c>
      <c r="M87" s="139">
        <f>VLOOKUP($E87,'7. PGE_Efficacité'!$A$6:$CY$266,(MATCH('4.2 ACE EFF WOL'!M$4,'7. PGE_Efficacité'!$A$4:$AO$4,0)+62),0)</f>
        <v>0</v>
      </c>
      <c r="N87" s="139">
        <f>VLOOKUP($E87,'7. PGE_Efficacité'!$A$6:$CY$266,(MATCH('4.2 ACE EFF WOL'!N$4,'7. PGE_Efficacité'!$A$4:$AO$4,0)+62),0)</f>
        <v>0</v>
      </c>
      <c r="O87" s="139">
        <f>VLOOKUP($E87,'7. PGE_Efficacité'!$A$6:$CY$266,78,0)</f>
        <v>0</v>
      </c>
      <c r="P87" s="139">
        <f>VLOOKUP($E87,'7. PGE_Efficacité'!$A$6:$CY$266,(MATCH('4.2 ACE EFF WOL'!P$4,'7. PGE_Efficacité'!$A$4:$AO$4,0)+62),0)</f>
        <v>0</v>
      </c>
      <c r="Q87" s="139">
        <f>VLOOKUP($E87,'7. PGE_Efficacité'!$A$6:$CY$266,(MATCH('4.2 ACE EFF WOL'!Q$4,'7. PGE_Efficacité'!$A$4:$AO$4,0)+62),0)</f>
        <v>0</v>
      </c>
      <c r="R87" s="139">
        <f>VLOOKUP($E87,'7. PGE_Efficacité'!$A$6:$CY$266,(MATCH('4.2 ACE EFF WOL'!R$4,'7. PGE_Efficacité'!$A$4:$AO$4,0)+62),0)</f>
        <v>0</v>
      </c>
      <c r="S87" s="139">
        <f>VLOOKUP($E87,'7. PGE_Efficacité'!$A$6:$CY$266,(MATCH('4.2 ACE EFF WOL'!S$4,'7. PGE_Efficacité'!$A$4:$AO$4,0)+62),0)</f>
        <v>0</v>
      </c>
      <c r="T87" s="139">
        <f>VLOOKUP($E87,'7. PGE_Efficacité'!$A$6:$CY$266,(MATCH('4.2 ACE EFF WOL'!T$4,'7. PGE_Efficacité'!$A$4:$AO$4,0)+62),0)</f>
        <v>0</v>
      </c>
      <c r="U87" s="139">
        <f>VLOOKUP($E87,'7. PGE_Efficacité'!$A$6:$CY$266,(MATCH('4.2 ACE EFF WOL'!U$4,'7. PGE_Efficacité'!$A$4:$AO$4,0)+62),0)</f>
        <v>0</v>
      </c>
      <c r="V87" s="139">
        <f>VLOOKUP($E87,'7. PGE_Efficacité'!$A$6:$CY$266,(MATCH('4.2 ACE EFF WOL'!V$4,'7. PGE_Efficacité'!$A$4:$AO$4,0)+62),0)</f>
        <v>0</v>
      </c>
      <c r="W87" s="139">
        <f>VLOOKUP($E87,'7. PGE_Efficacité'!$A$6:$CY$266,(MATCH('4.2 ACE EFF WOL'!W$4,'7. PGE_Efficacité'!$A$4:$AO$4,0)+62),0)</f>
        <v>0</v>
      </c>
      <c r="X87" s="139">
        <f>VLOOKUP($E87,'7. PGE_Efficacité'!$A$6:$CY$266,(MATCH('4.2 ACE EFF WOL'!X$4,'7. PGE_Efficacité'!$A$4:$AO$4,0)+62),0)</f>
        <v>0</v>
      </c>
      <c r="Y87" s="139">
        <f>VLOOKUP($E87,'7. PGE_Efficacité'!$A$6:$CY$266,(MATCH('4.2 ACE EFF WOL'!Y$4,'7. PGE_Efficacité'!$A$4:$AO$4,0)+62),0)</f>
        <v>0</v>
      </c>
      <c r="Z87" s="139">
        <f>VLOOKUP($E87,'7. PGE_Efficacité'!$A$6:$CY$266,(MATCH('4.2 ACE EFF WOL'!Z$4,'7. PGE_Efficacité'!$A$4:$AO$4,0)+62),0)</f>
        <v>0</v>
      </c>
      <c r="AA87" s="139">
        <f>VLOOKUP($E87,'7. PGE_Efficacité'!$A$6:$CY$266,(MATCH('4.2 ACE EFF WOL'!AA$4,'7. PGE_Efficacité'!$A$4:$AO$4,0)+62),0)</f>
        <v>0</v>
      </c>
      <c r="AB87" s="139">
        <f>VLOOKUP($E87,'7. PGE_Efficacité'!$A$6:$CY$266,(MATCH('4.2 ACE EFF WOL'!AB$4,'7. PGE_Efficacité'!$A$4:$AO$4,0)+62),0)</f>
        <v>0</v>
      </c>
      <c r="AC87" s="139">
        <f>VLOOKUP($E87,'7. PGE_Efficacité'!$A$6:$CY$266,(MATCH('4.2 ACE EFF WOL'!AC$4,'7. PGE_Efficacité'!$A$4:$AO$4,0)+62),0)</f>
        <v>0</v>
      </c>
      <c r="AD87" s="139">
        <f>VLOOKUP($E87,'7. PGE_Efficacité'!$A$6:$CY$266,(MATCH('4.2 ACE EFF WOL'!AD$4,'7. PGE_Efficacité'!$A$4:$AO$4,0)+62),0)</f>
        <v>0</v>
      </c>
      <c r="AE87" s="139">
        <f>VLOOKUP($E87,'7. PGE_Efficacité'!$A$6:$CY$266,(MATCH('4.2 ACE EFF WOL'!AE$4,'7. PGE_Efficacité'!$A$4:$AO$4,0)+62),0)</f>
        <v>0</v>
      </c>
      <c r="AF87" s="139">
        <f>VLOOKUP($E87,'7. PGE_Efficacité'!$A$6:$CY$266,(MATCH('4.2 ACE EFF WOL'!AF$4,'7. PGE_Efficacité'!$A$4:$AO$4,0)+62),0)</f>
        <v>0</v>
      </c>
      <c r="AG87" s="139">
        <f>VLOOKUP($E87,'7. PGE_Efficacité'!$A$6:$CY$266,(MATCH('4.2 ACE EFF WOL'!AG$4,'7. PGE_Efficacité'!$A$4:$AO$4,0)+62),0)</f>
        <v>0</v>
      </c>
      <c r="AH87" s="139">
        <f>VLOOKUP($E87,'7. PGE_Efficacité'!$A$6:$CY$266,(MATCH('4.2 ACE EFF WOL'!AH$4,'7. PGE_Efficacité'!$A$4:$AO$4,0)+62),0)</f>
        <v>0</v>
      </c>
      <c r="AI87" s="139">
        <f>VLOOKUP($E87,'7. PGE_Efficacité'!$A$6:$CY$266,(MATCH('4.2 ACE EFF WOL'!AI$4,'7. PGE_Efficacité'!$A$4:$AO$4,0)+62),0)</f>
        <v>0</v>
      </c>
      <c r="AJ87" s="139">
        <f>VLOOKUP($E87,'7. PGE_Efficacité'!$A$6:$CY$266,(MATCH('4.2 ACE EFF WOL'!AJ$4,'7. PGE_Efficacité'!$A$4:$AO$4,0)+62),0)</f>
        <v>0</v>
      </c>
      <c r="AK87" s="139">
        <f>VLOOKUP($E87,'7. PGE_Efficacité'!$A$6:$CY$266,(MATCH('4.2 ACE EFF WOL'!AK$4,'7. PGE_Efficacité'!$A$4:$AO$4,0)+62),0)</f>
        <v>0</v>
      </c>
      <c r="AL87" s="139">
        <f>VLOOKUP($E87,'7. PGE_Efficacité'!$A$6:$CY$266,(MATCH('4.2 ACE EFF WOL'!AL$4,'7. PGE_Efficacité'!$A$4:$AO$4,0)+62),0)</f>
        <v>0</v>
      </c>
      <c r="AM87" s="139">
        <f>VLOOKUP($E87,'7. PGE_Efficacité'!$A$6:$CY$266,(MATCH('4.2 ACE EFF WOL'!AM$4,'7. PGE_Efficacité'!$A$4:$AO$4,0)+62),0)</f>
        <v>0</v>
      </c>
      <c r="AN87" s="139">
        <f>VLOOKUP($E87,'7. PGE_Efficacité'!$A$6:$CY$266,(MATCH('4.2 ACE EFF WOL'!AN$4,'7. PGE_Efficacité'!$A$4:$AO$4,0)+62),0)</f>
        <v>0</v>
      </c>
    </row>
    <row r="88" spans="1:40" hidden="1" outlineLevel="2" x14ac:dyDescent="0.25">
      <c r="A88" s="48" t="s">
        <v>1524</v>
      </c>
      <c r="B88" s="49">
        <v>21</v>
      </c>
      <c r="C88" s="48" t="s">
        <v>1526</v>
      </c>
      <c r="D88" s="199" t="s">
        <v>21</v>
      </c>
      <c r="E88" s="200" t="s">
        <v>732</v>
      </c>
      <c r="F88" s="200" t="s">
        <v>1390</v>
      </c>
      <c r="G88" s="201" t="s">
        <v>1521</v>
      </c>
      <c r="H88" s="200" t="s">
        <v>1290</v>
      </c>
      <c r="I88" s="202">
        <f>50000/3</f>
        <v>16666.666666666668</v>
      </c>
      <c r="J88" s="139">
        <f>VLOOKUP($E88,'7. PGE_Efficacité'!$A$6:$CY$266,(MATCH('4.2 ACE EFF WOL'!J$4,'7. PGE_Efficacité'!$A$4:$AO$4,0)+62),0)</f>
        <v>0</v>
      </c>
      <c r="K88" s="139">
        <f>VLOOKUP($E88,'7. PGE_Efficacité'!$A$6:$CY$266,(MATCH('4.2 ACE EFF WOL'!K$4,'7. PGE_Efficacité'!$A$4:$AO$4,0)+62),0)</f>
        <v>0</v>
      </c>
      <c r="L88" s="139">
        <f>VLOOKUP($E88,'7. PGE_Efficacité'!$A$6:$CY$266,(MATCH('4.2 ACE EFF WOL'!L$4,'7. PGE_Efficacité'!$A$4:$AO$4,0)+62),0)</f>
        <v>0</v>
      </c>
      <c r="M88" s="139">
        <f>VLOOKUP($E88,'7. PGE_Efficacité'!$A$6:$CY$266,(MATCH('4.2 ACE EFF WOL'!M$4,'7. PGE_Efficacité'!$A$4:$AO$4,0)+62),0)</f>
        <v>0</v>
      </c>
      <c r="N88" s="139">
        <f>VLOOKUP($E88,'7. PGE_Efficacité'!$A$6:$CY$266,(MATCH('4.2 ACE EFF WOL'!N$4,'7. PGE_Efficacité'!$A$4:$AO$4,0)+62),0)</f>
        <v>0</v>
      </c>
      <c r="O88" s="139">
        <f>VLOOKUP($E88,'7. PGE_Efficacité'!$A$6:$CY$266,78,0)</f>
        <v>0</v>
      </c>
      <c r="P88" s="139">
        <f>VLOOKUP($E88,'7. PGE_Efficacité'!$A$6:$CY$266,(MATCH('4.2 ACE EFF WOL'!P$4,'7. PGE_Efficacité'!$A$4:$AO$4,0)+62),0)</f>
        <v>0</v>
      </c>
      <c r="Q88" s="139">
        <f>VLOOKUP($E88,'7. PGE_Efficacité'!$A$6:$CY$266,(MATCH('4.2 ACE EFF WOL'!Q$4,'7. PGE_Efficacité'!$A$4:$AO$4,0)+62),0)</f>
        <v>0</v>
      </c>
      <c r="R88" s="139">
        <f>VLOOKUP($E88,'7. PGE_Efficacité'!$A$6:$CY$266,(MATCH('4.2 ACE EFF WOL'!R$4,'7. PGE_Efficacité'!$A$4:$AO$4,0)+62),0)</f>
        <v>0</v>
      </c>
      <c r="S88" s="139">
        <f>VLOOKUP($E88,'7. PGE_Efficacité'!$A$6:$CY$266,(MATCH('4.2 ACE EFF WOL'!S$4,'7. PGE_Efficacité'!$A$4:$AO$4,0)+62),0)</f>
        <v>0</v>
      </c>
      <c r="T88" s="139">
        <f>VLOOKUP($E88,'7. PGE_Efficacité'!$A$6:$CY$266,(MATCH('4.2 ACE EFF WOL'!T$4,'7. PGE_Efficacité'!$A$4:$AO$4,0)+62),0)</f>
        <v>0</v>
      </c>
      <c r="U88" s="139">
        <f>VLOOKUP($E88,'7. PGE_Efficacité'!$A$6:$CY$266,(MATCH('4.2 ACE EFF WOL'!U$4,'7. PGE_Efficacité'!$A$4:$AO$4,0)+62),0)</f>
        <v>0</v>
      </c>
      <c r="V88" s="139">
        <f>VLOOKUP($E88,'7. PGE_Efficacité'!$A$6:$CY$266,(MATCH('4.2 ACE EFF WOL'!V$4,'7. PGE_Efficacité'!$A$4:$AO$4,0)+62),0)</f>
        <v>0</v>
      </c>
      <c r="W88" s="139">
        <f>VLOOKUP($E88,'7. PGE_Efficacité'!$A$6:$CY$266,(MATCH('4.2 ACE EFF WOL'!W$4,'7. PGE_Efficacité'!$A$4:$AO$4,0)+62),0)</f>
        <v>0</v>
      </c>
      <c r="X88" s="139">
        <f>VLOOKUP($E88,'7. PGE_Efficacité'!$A$6:$CY$266,(MATCH('4.2 ACE EFF WOL'!X$4,'7. PGE_Efficacité'!$A$4:$AO$4,0)+62),0)</f>
        <v>0</v>
      </c>
      <c r="Y88" s="139">
        <f>VLOOKUP($E88,'7. PGE_Efficacité'!$A$6:$CY$266,(MATCH('4.2 ACE EFF WOL'!Y$4,'7. PGE_Efficacité'!$A$4:$AO$4,0)+62),0)</f>
        <v>0</v>
      </c>
      <c r="Z88" s="139">
        <f>VLOOKUP($E88,'7. PGE_Efficacité'!$A$6:$CY$266,(MATCH('4.2 ACE EFF WOL'!Z$4,'7. PGE_Efficacité'!$A$4:$AO$4,0)+62),0)</f>
        <v>0</v>
      </c>
      <c r="AA88" s="139">
        <f>VLOOKUP($E88,'7. PGE_Efficacité'!$A$6:$CY$266,(MATCH('4.2 ACE EFF WOL'!AA$4,'7. PGE_Efficacité'!$A$4:$AO$4,0)+62),0)</f>
        <v>0</v>
      </c>
      <c r="AB88" s="139">
        <f>VLOOKUP($E88,'7. PGE_Efficacité'!$A$6:$CY$266,(MATCH('4.2 ACE EFF WOL'!AB$4,'7. PGE_Efficacité'!$A$4:$AO$4,0)+62),0)</f>
        <v>0</v>
      </c>
      <c r="AC88" s="139">
        <f>VLOOKUP($E88,'7. PGE_Efficacité'!$A$6:$CY$266,(MATCH('4.2 ACE EFF WOL'!AC$4,'7. PGE_Efficacité'!$A$4:$AO$4,0)+62),0)</f>
        <v>0</v>
      </c>
      <c r="AD88" s="139">
        <f>VLOOKUP($E88,'7. PGE_Efficacité'!$A$6:$CY$266,(MATCH('4.2 ACE EFF WOL'!AD$4,'7. PGE_Efficacité'!$A$4:$AO$4,0)+62),0)</f>
        <v>0</v>
      </c>
      <c r="AE88" s="139">
        <f>VLOOKUP($E88,'7. PGE_Efficacité'!$A$6:$CY$266,(MATCH('4.2 ACE EFF WOL'!AE$4,'7. PGE_Efficacité'!$A$4:$AO$4,0)+62),0)</f>
        <v>0</v>
      </c>
      <c r="AF88" s="139">
        <f>VLOOKUP($E88,'7. PGE_Efficacité'!$A$6:$CY$266,(MATCH('4.2 ACE EFF WOL'!AF$4,'7. PGE_Efficacité'!$A$4:$AO$4,0)+62),0)</f>
        <v>0</v>
      </c>
      <c r="AG88" s="139">
        <f>VLOOKUP($E88,'7. PGE_Efficacité'!$A$6:$CY$266,(MATCH('4.2 ACE EFF WOL'!AG$4,'7. PGE_Efficacité'!$A$4:$AO$4,0)+62),0)</f>
        <v>0</v>
      </c>
      <c r="AH88" s="139">
        <f>VLOOKUP($E88,'7. PGE_Efficacité'!$A$6:$CY$266,(MATCH('4.2 ACE EFF WOL'!AH$4,'7. PGE_Efficacité'!$A$4:$AO$4,0)+62),0)</f>
        <v>0</v>
      </c>
      <c r="AI88" s="139">
        <f>VLOOKUP($E88,'7. PGE_Efficacité'!$A$6:$CY$266,(MATCH('4.2 ACE EFF WOL'!AI$4,'7. PGE_Efficacité'!$A$4:$AO$4,0)+62),0)</f>
        <v>0</v>
      </c>
      <c r="AJ88" s="139">
        <f>VLOOKUP($E88,'7. PGE_Efficacité'!$A$6:$CY$266,(MATCH('4.2 ACE EFF WOL'!AJ$4,'7. PGE_Efficacité'!$A$4:$AO$4,0)+62),0)</f>
        <v>0</v>
      </c>
      <c r="AK88" s="139">
        <f>VLOOKUP($E88,'7. PGE_Efficacité'!$A$6:$CY$266,(MATCH('4.2 ACE EFF WOL'!AK$4,'7. PGE_Efficacité'!$A$4:$AO$4,0)+62),0)</f>
        <v>0</v>
      </c>
      <c r="AL88" s="139">
        <f>VLOOKUP($E88,'7. PGE_Efficacité'!$A$6:$CY$266,(MATCH('4.2 ACE EFF WOL'!AL$4,'7. PGE_Efficacité'!$A$4:$AO$4,0)+62),0)</f>
        <v>0</v>
      </c>
      <c r="AM88" s="139">
        <f>VLOOKUP($E88,'7. PGE_Efficacité'!$A$6:$CY$266,(MATCH('4.2 ACE EFF WOL'!AM$4,'7. PGE_Efficacité'!$A$4:$AO$4,0)+62),0)</f>
        <v>0</v>
      </c>
      <c r="AN88" s="139">
        <f>VLOOKUP($E88,'7. PGE_Efficacité'!$A$6:$CY$266,(MATCH('4.2 ACE EFF WOL'!AN$4,'7. PGE_Efficacité'!$A$4:$AO$4,0)+62),0)</f>
        <v>0</v>
      </c>
    </row>
    <row r="89" spans="1:40" hidden="1" outlineLevel="2" x14ac:dyDescent="0.25">
      <c r="A89" s="48" t="s">
        <v>1524</v>
      </c>
      <c r="B89" s="49">
        <v>21</v>
      </c>
      <c r="C89" s="48" t="s">
        <v>1527</v>
      </c>
      <c r="D89" s="199" t="s">
        <v>21</v>
      </c>
      <c r="E89" s="200" t="s">
        <v>733</v>
      </c>
      <c r="F89" s="200" t="s">
        <v>1391</v>
      </c>
      <c r="G89" s="201" t="s">
        <v>1521</v>
      </c>
      <c r="H89" s="200" t="s">
        <v>1290</v>
      </c>
      <c r="I89" s="202">
        <v>0</v>
      </c>
      <c r="J89" s="139">
        <f>VLOOKUP($E89,'7. PGE_Efficacité'!$A$6:$CY$266,(MATCH('4.2 ACE EFF WOL'!J$4,'7. PGE_Efficacité'!$A$4:$AO$4,0)+62),0)</f>
        <v>0</v>
      </c>
      <c r="K89" s="139">
        <f>VLOOKUP($E89,'7. PGE_Efficacité'!$A$6:$CY$266,(MATCH('4.2 ACE EFF WOL'!K$4,'7. PGE_Efficacité'!$A$4:$AO$4,0)+62),0)</f>
        <v>0</v>
      </c>
      <c r="L89" s="139">
        <f>VLOOKUP($E89,'7. PGE_Efficacité'!$A$6:$CY$266,(MATCH('4.2 ACE EFF WOL'!L$4,'7. PGE_Efficacité'!$A$4:$AO$4,0)+62),0)</f>
        <v>0</v>
      </c>
      <c r="M89" s="139">
        <f>VLOOKUP($E89,'7. PGE_Efficacité'!$A$6:$CY$266,(MATCH('4.2 ACE EFF WOL'!M$4,'7. PGE_Efficacité'!$A$4:$AO$4,0)+62),0)</f>
        <v>0</v>
      </c>
      <c r="N89" s="139">
        <f>VLOOKUP($E89,'7. PGE_Efficacité'!$A$6:$CY$266,(MATCH('4.2 ACE EFF WOL'!N$4,'7. PGE_Efficacité'!$A$4:$AO$4,0)+62),0)</f>
        <v>0</v>
      </c>
      <c r="O89" s="139">
        <f>VLOOKUP($E89,'7. PGE_Efficacité'!$A$6:$CY$266,78,0)</f>
        <v>0</v>
      </c>
      <c r="P89" s="139">
        <f>VLOOKUP($E89,'7. PGE_Efficacité'!$A$6:$CY$266,(MATCH('4.2 ACE EFF WOL'!P$4,'7. PGE_Efficacité'!$A$4:$AO$4,0)+62),0)</f>
        <v>0</v>
      </c>
      <c r="Q89" s="139">
        <f>VLOOKUP($E89,'7. PGE_Efficacité'!$A$6:$CY$266,(MATCH('4.2 ACE EFF WOL'!Q$4,'7. PGE_Efficacité'!$A$4:$AO$4,0)+62),0)</f>
        <v>0</v>
      </c>
      <c r="R89" s="139">
        <f>VLOOKUP($E89,'7. PGE_Efficacité'!$A$6:$CY$266,(MATCH('4.2 ACE EFF WOL'!R$4,'7. PGE_Efficacité'!$A$4:$AO$4,0)+62),0)</f>
        <v>0</v>
      </c>
      <c r="S89" s="139">
        <f>VLOOKUP($E89,'7. PGE_Efficacité'!$A$6:$CY$266,(MATCH('4.2 ACE EFF WOL'!S$4,'7. PGE_Efficacité'!$A$4:$AO$4,0)+62),0)</f>
        <v>0</v>
      </c>
      <c r="T89" s="139">
        <f>VLOOKUP($E89,'7. PGE_Efficacité'!$A$6:$CY$266,(MATCH('4.2 ACE EFF WOL'!T$4,'7. PGE_Efficacité'!$A$4:$AO$4,0)+62),0)</f>
        <v>0</v>
      </c>
      <c r="U89" s="139">
        <f>VLOOKUP($E89,'7. PGE_Efficacité'!$A$6:$CY$266,(MATCH('4.2 ACE EFF WOL'!U$4,'7. PGE_Efficacité'!$A$4:$AO$4,0)+62),0)</f>
        <v>0</v>
      </c>
      <c r="V89" s="139">
        <f>VLOOKUP($E89,'7. PGE_Efficacité'!$A$6:$CY$266,(MATCH('4.2 ACE EFF WOL'!V$4,'7. PGE_Efficacité'!$A$4:$AO$4,0)+62),0)</f>
        <v>0</v>
      </c>
      <c r="W89" s="139">
        <f>VLOOKUP($E89,'7. PGE_Efficacité'!$A$6:$CY$266,(MATCH('4.2 ACE EFF WOL'!W$4,'7. PGE_Efficacité'!$A$4:$AO$4,0)+62),0)</f>
        <v>0</v>
      </c>
      <c r="X89" s="139">
        <f>VLOOKUP($E89,'7. PGE_Efficacité'!$A$6:$CY$266,(MATCH('4.2 ACE EFF WOL'!X$4,'7. PGE_Efficacité'!$A$4:$AO$4,0)+62),0)</f>
        <v>0</v>
      </c>
      <c r="Y89" s="139">
        <f>VLOOKUP($E89,'7. PGE_Efficacité'!$A$6:$CY$266,(MATCH('4.2 ACE EFF WOL'!Y$4,'7. PGE_Efficacité'!$A$4:$AO$4,0)+62),0)</f>
        <v>0</v>
      </c>
      <c r="Z89" s="139">
        <f>VLOOKUP($E89,'7. PGE_Efficacité'!$A$6:$CY$266,(MATCH('4.2 ACE EFF WOL'!Z$4,'7. PGE_Efficacité'!$A$4:$AO$4,0)+62),0)</f>
        <v>0</v>
      </c>
      <c r="AA89" s="139">
        <f>VLOOKUP($E89,'7. PGE_Efficacité'!$A$6:$CY$266,(MATCH('4.2 ACE EFF WOL'!AA$4,'7. PGE_Efficacité'!$A$4:$AO$4,0)+62),0)</f>
        <v>0</v>
      </c>
      <c r="AB89" s="139">
        <f>VLOOKUP($E89,'7. PGE_Efficacité'!$A$6:$CY$266,(MATCH('4.2 ACE EFF WOL'!AB$4,'7. PGE_Efficacité'!$A$4:$AO$4,0)+62),0)</f>
        <v>0</v>
      </c>
      <c r="AC89" s="139">
        <f>VLOOKUP($E89,'7. PGE_Efficacité'!$A$6:$CY$266,(MATCH('4.2 ACE EFF WOL'!AC$4,'7. PGE_Efficacité'!$A$4:$AO$4,0)+62),0)</f>
        <v>0</v>
      </c>
      <c r="AD89" s="139">
        <f>VLOOKUP($E89,'7. PGE_Efficacité'!$A$6:$CY$266,(MATCH('4.2 ACE EFF WOL'!AD$4,'7. PGE_Efficacité'!$A$4:$AO$4,0)+62),0)</f>
        <v>0</v>
      </c>
      <c r="AE89" s="139">
        <f>VLOOKUP($E89,'7. PGE_Efficacité'!$A$6:$CY$266,(MATCH('4.2 ACE EFF WOL'!AE$4,'7. PGE_Efficacité'!$A$4:$AO$4,0)+62),0)</f>
        <v>0</v>
      </c>
      <c r="AF89" s="139">
        <f>VLOOKUP($E89,'7. PGE_Efficacité'!$A$6:$CY$266,(MATCH('4.2 ACE EFF WOL'!AF$4,'7. PGE_Efficacité'!$A$4:$AO$4,0)+62),0)</f>
        <v>0</v>
      </c>
      <c r="AG89" s="139">
        <f>VLOOKUP($E89,'7. PGE_Efficacité'!$A$6:$CY$266,(MATCH('4.2 ACE EFF WOL'!AG$4,'7. PGE_Efficacité'!$A$4:$AO$4,0)+62),0)</f>
        <v>0</v>
      </c>
      <c r="AH89" s="139">
        <f>VLOOKUP($E89,'7. PGE_Efficacité'!$A$6:$CY$266,(MATCH('4.2 ACE EFF WOL'!AH$4,'7. PGE_Efficacité'!$A$4:$AO$4,0)+62),0)</f>
        <v>0</v>
      </c>
      <c r="AI89" s="139">
        <f>VLOOKUP($E89,'7. PGE_Efficacité'!$A$6:$CY$266,(MATCH('4.2 ACE EFF WOL'!AI$4,'7. PGE_Efficacité'!$A$4:$AO$4,0)+62),0)</f>
        <v>0</v>
      </c>
      <c r="AJ89" s="139">
        <f>VLOOKUP($E89,'7. PGE_Efficacité'!$A$6:$CY$266,(MATCH('4.2 ACE EFF WOL'!AJ$4,'7. PGE_Efficacité'!$A$4:$AO$4,0)+62),0)</f>
        <v>0</v>
      </c>
      <c r="AK89" s="139">
        <f>VLOOKUP($E89,'7. PGE_Efficacité'!$A$6:$CY$266,(MATCH('4.2 ACE EFF WOL'!AK$4,'7. PGE_Efficacité'!$A$4:$AO$4,0)+62),0)</f>
        <v>0</v>
      </c>
      <c r="AL89" s="139">
        <f>VLOOKUP($E89,'7. PGE_Efficacité'!$A$6:$CY$266,(MATCH('4.2 ACE EFF WOL'!AL$4,'7. PGE_Efficacité'!$A$4:$AO$4,0)+62),0)</f>
        <v>0</v>
      </c>
      <c r="AM89" s="139">
        <f>VLOOKUP($E89,'7. PGE_Efficacité'!$A$6:$CY$266,(MATCH('4.2 ACE EFF WOL'!AM$4,'7. PGE_Efficacité'!$A$4:$AO$4,0)+62),0)</f>
        <v>0</v>
      </c>
      <c r="AN89" s="139">
        <f>VLOOKUP($E89,'7. PGE_Efficacité'!$A$6:$CY$266,(MATCH('4.2 ACE EFF WOL'!AN$4,'7. PGE_Efficacité'!$A$4:$AO$4,0)+62),0)</f>
        <v>0</v>
      </c>
    </row>
    <row r="90" spans="1:40" hidden="1" outlineLevel="2" x14ac:dyDescent="0.25">
      <c r="A90" s="48" t="s">
        <v>1524</v>
      </c>
      <c r="B90" s="49">
        <v>21</v>
      </c>
      <c r="C90" s="48" t="s">
        <v>410</v>
      </c>
      <c r="D90" s="199" t="s">
        <v>21</v>
      </c>
      <c r="E90" s="200" t="s">
        <v>734</v>
      </c>
      <c r="F90" s="200" t="s">
        <v>1392</v>
      </c>
      <c r="G90" s="201" t="s">
        <v>1521</v>
      </c>
      <c r="H90" s="200" t="s">
        <v>1290</v>
      </c>
      <c r="I90" s="202">
        <v>0</v>
      </c>
      <c r="J90" s="139">
        <f>VLOOKUP($E90,'7. PGE_Efficacité'!$A$6:$CY$266,(MATCH('4.2 ACE EFF WOL'!J$4,'7. PGE_Efficacité'!$A$4:$AO$4,0)+62),0)</f>
        <v>0</v>
      </c>
      <c r="K90" s="139">
        <f>VLOOKUP($E90,'7. PGE_Efficacité'!$A$6:$CY$266,(MATCH('4.2 ACE EFF WOL'!K$4,'7. PGE_Efficacité'!$A$4:$AO$4,0)+62),0)</f>
        <v>0</v>
      </c>
      <c r="L90" s="139">
        <f>VLOOKUP($E90,'7. PGE_Efficacité'!$A$6:$CY$266,(MATCH('4.2 ACE EFF WOL'!L$4,'7. PGE_Efficacité'!$A$4:$AO$4,0)+62),0)</f>
        <v>0</v>
      </c>
      <c r="M90" s="139">
        <f>VLOOKUP($E90,'7. PGE_Efficacité'!$A$6:$CY$266,(MATCH('4.2 ACE EFF WOL'!M$4,'7. PGE_Efficacité'!$A$4:$AO$4,0)+62),0)</f>
        <v>0</v>
      </c>
      <c r="N90" s="139">
        <f>VLOOKUP($E90,'7. PGE_Efficacité'!$A$6:$CY$266,(MATCH('4.2 ACE EFF WOL'!N$4,'7. PGE_Efficacité'!$A$4:$AO$4,0)+62),0)</f>
        <v>0</v>
      </c>
      <c r="O90" s="139">
        <f>VLOOKUP($E90,'7. PGE_Efficacité'!$A$6:$CY$266,78,0)</f>
        <v>0</v>
      </c>
      <c r="P90" s="139">
        <f>VLOOKUP($E90,'7. PGE_Efficacité'!$A$6:$CY$266,(MATCH('4.2 ACE EFF WOL'!P$4,'7. PGE_Efficacité'!$A$4:$AO$4,0)+62),0)</f>
        <v>0</v>
      </c>
      <c r="Q90" s="139">
        <f>VLOOKUP($E90,'7. PGE_Efficacité'!$A$6:$CY$266,(MATCH('4.2 ACE EFF WOL'!Q$4,'7. PGE_Efficacité'!$A$4:$AO$4,0)+62),0)</f>
        <v>0</v>
      </c>
      <c r="R90" s="139">
        <f>VLOOKUP($E90,'7. PGE_Efficacité'!$A$6:$CY$266,(MATCH('4.2 ACE EFF WOL'!R$4,'7. PGE_Efficacité'!$A$4:$AO$4,0)+62),0)</f>
        <v>0</v>
      </c>
      <c r="S90" s="139">
        <f>VLOOKUP($E90,'7. PGE_Efficacité'!$A$6:$CY$266,(MATCH('4.2 ACE EFF WOL'!S$4,'7. PGE_Efficacité'!$A$4:$AO$4,0)+62),0)</f>
        <v>0</v>
      </c>
      <c r="T90" s="139">
        <f>VLOOKUP($E90,'7. PGE_Efficacité'!$A$6:$CY$266,(MATCH('4.2 ACE EFF WOL'!T$4,'7. PGE_Efficacité'!$A$4:$AO$4,0)+62),0)</f>
        <v>0</v>
      </c>
      <c r="U90" s="139">
        <f>VLOOKUP($E90,'7. PGE_Efficacité'!$A$6:$CY$266,(MATCH('4.2 ACE EFF WOL'!U$4,'7. PGE_Efficacité'!$A$4:$AO$4,0)+62),0)</f>
        <v>0</v>
      </c>
      <c r="V90" s="139">
        <f>VLOOKUP($E90,'7. PGE_Efficacité'!$A$6:$CY$266,(MATCH('4.2 ACE EFF WOL'!V$4,'7. PGE_Efficacité'!$A$4:$AO$4,0)+62),0)</f>
        <v>0</v>
      </c>
      <c r="W90" s="139">
        <f>VLOOKUP($E90,'7. PGE_Efficacité'!$A$6:$CY$266,(MATCH('4.2 ACE EFF WOL'!W$4,'7. PGE_Efficacité'!$A$4:$AO$4,0)+62),0)</f>
        <v>0</v>
      </c>
      <c r="X90" s="139">
        <f>VLOOKUP($E90,'7. PGE_Efficacité'!$A$6:$CY$266,(MATCH('4.2 ACE EFF WOL'!X$4,'7. PGE_Efficacité'!$A$4:$AO$4,0)+62),0)</f>
        <v>0</v>
      </c>
      <c r="Y90" s="139">
        <f>VLOOKUP($E90,'7. PGE_Efficacité'!$A$6:$CY$266,(MATCH('4.2 ACE EFF WOL'!Y$4,'7. PGE_Efficacité'!$A$4:$AO$4,0)+62),0)</f>
        <v>0</v>
      </c>
      <c r="Z90" s="139">
        <f>VLOOKUP($E90,'7. PGE_Efficacité'!$A$6:$CY$266,(MATCH('4.2 ACE EFF WOL'!Z$4,'7. PGE_Efficacité'!$A$4:$AO$4,0)+62),0)</f>
        <v>0</v>
      </c>
      <c r="AA90" s="139">
        <f>VLOOKUP($E90,'7. PGE_Efficacité'!$A$6:$CY$266,(MATCH('4.2 ACE EFF WOL'!AA$4,'7. PGE_Efficacité'!$A$4:$AO$4,0)+62),0)</f>
        <v>0</v>
      </c>
      <c r="AB90" s="139">
        <f>VLOOKUP($E90,'7. PGE_Efficacité'!$A$6:$CY$266,(MATCH('4.2 ACE EFF WOL'!AB$4,'7. PGE_Efficacité'!$A$4:$AO$4,0)+62),0)</f>
        <v>0</v>
      </c>
      <c r="AC90" s="139">
        <f>VLOOKUP($E90,'7. PGE_Efficacité'!$A$6:$CY$266,(MATCH('4.2 ACE EFF WOL'!AC$4,'7. PGE_Efficacité'!$A$4:$AO$4,0)+62),0)</f>
        <v>0</v>
      </c>
      <c r="AD90" s="139">
        <f>VLOOKUP($E90,'7. PGE_Efficacité'!$A$6:$CY$266,(MATCH('4.2 ACE EFF WOL'!AD$4,'7. PGE_Efficacité'!$A$4:$AO$4,0)+62),0)</f>
        <v>0</v>
      </c>
      <c r="AE90" s="139">
        <f>VLOOKUP($E90,'7. PGE_Efficacité'!$A$6:$CY$266,(MATCH('4.2 ACE EFF WOL'!AE$4,'7. PGE_Efficacité'!$A$4:$AO$4,0)+62),0)</f>
        <v>0</v>
      </c>
      <c r="AF90" s="139">
        <f>VLOOKUP($E90,'7. PGE_Efficacité'!$A$6:$CY$266,(MATCH('4.2 ACE EFF WOL'!AF$4,'7. PGE_Efficacité'!$A$4:$AO$4,0)+62),0)</f>
        <v>0</v>
      </c>
      <c r="AG90" s="139">
        <f>VLOOKUP($E90,'7. PGE_Efficacité'!$A$6:$CY$266,(MATCH('4.2 ACE EFF WOL'!AG$4,'7. PGE_Efficacité'!$A$4:$AO$4,0)+62),0)</f>
        <v>0</v>
      </c>
      <c r="AH90" s="139">
        <f>VLOOKUP($E90,'7. PGE_Efficacité'!$A$6:$CY$266,(MATCH('4.2 ACE EFF WOL'!AH$4,'7. PGE_Efficacité'!$A$4:$AO$4,0)+62),0)</f>
        <v>0</v>
      </c>
      <c r="AI90" s="139">
        <f>VLOOKUP($E90,'7. PGE_Efficacité'!$A$6:$CY$266,(MATCH('4.2 ACE EFF WOL'!AI$4,'7. PGE_Efficacité'!$A$4:$AO$4,0)+62),0)</f>
        <v>0</v>
      </c>
      <c r="AJ90" s="139">
        <f>VLOOKUP($E90,'7. PGE_Efficacité'!$A$6:$CY$266,(MATCH('4.2 ACE EFF WOL'!AJ$4,'7. PGE_Efficacité'!$A$4:$AO$4,0)+62),0)</f>
        <v>0</v>
      </c>
      <c r="AK90" s="139">
        <f>VLOOKUP($E90,'7. PGE_Efficacité'!$A$6:$CY$266,(MATCH('4.2 ACE EFF WOL'!AK$4,'7. PGE_Efficacité'!$A$4:$AO$4,0)+62),0)</f>
        <v>0</v>
      </c>
      <c r="AL90" s="139">
        <f>VLOOKUP($E90,'7. PGE_Efficacité'!$A$6:$CY$266,(MATCH('4.2 ACE EFF WOL'!AL$4,'7. PGE_Efficacité'!$A$4:$AO$4,0)+62),0)</f>
        <v>0</v>
      </c>
      <c r="AM90" s="139">
        <f>VLOOKUP($E90,'7. PGE_Efficacité'!$A$6:$CY$266,(MATCH('4.2 ACE EFF WOL'!AM$4,'7. PGE_Efficacité'!$A$4:$AO$4,0)+62),0)</f>
        <v>0</v>
      </c>
      <c r="AN90" s="139">
        <f>VLOOKUP($E90,'7. PGE_Efficacité'!$A$6:$CY$266,(MATCH('4.2 ACE EFF WOL'!AN$4,'7. PGE_Efficacité'!$A$4:$AO$4,0)+62),0)</f>
        <v>0</v>
      </c>
    </row>
    <row r="91" spans="1:40" hidden="1" outlineLevel="2" x14ac:dyDescent="0.25">
      <c r="A91" s="48" t="s">
        <v>1524</v>
      </c>
      <c r="B91" s="49">
        <v>21</v>
      </c>
      <c r="C91" s="48" t="s">
        <v>1528</v>
      </c>
      <c r="D91" s="199" t="s">
        <v>21</v>
      </c>
      <c r="E91" s="200" t="s">
        <v>735</v>
      </c>
      <c r="F91" s="200" t="s">
        <v>1393</v>
      </c>
      <c r="G91" s="201" t="s">
        <v>1521</v>
      </c>
      <c r="H91" s="200" t="s">
        <v>1290</v>
      </c>
      <c r="I91" s="202">
        <v>0</v>
      </c>
      <c r="J91" s="139">
        <f>VLOOKUP($E91,'7. PGE_Efficacité'!$A$6:$CY$266,(MATCH('4.2 ACE EFF WOL'!J$4,'7. PGE_Efficacité'!$A$4:$AO$4,0)+62),0)</f>
        <v>0</v>
      </c>
      <c r="K91" s="139">
        <f>VLOOKUP($E91,'7. PGE_Efficacité'!$A$6:$CY$266,(MATCH('4.2 ACE EFF WOL'!K$4,'7. PGE_Efficacité'!$A$4:$AO$4,0)+62),0)</f>
        <v>0</v>
      </c>
      <c r="L91" s="139">
        <f>VLOOKUP($E91,'7. PGE_Efficacité'!$A$6:$CY$266,(MATCH('4.2 ACE EFF WOL'!L$4,'7. PGE_Efficacité'!$A$4:$AO$4,0)+62),0)</f>
        <v>0</v>
      </c>
      <c r="M91" s="139">
        <f>VLOOKUP($E91,'7. PGE_Efficacité'!$A$6:$CY$266,(MATCH('4.2 ACE EFF WOL'!M$4,'7. PGE_Efficacité'!$A$4:$AO$4,0)+62),0)</f>
        <v>0</v>
      </c>
      <c r="N91" s="139">
        <f>VLOOKUP($E91,'7. PGE_Efficacité'!$A$6:$CY$266,(MATCH('4.2 ACE EFF WOL'!N$4,'7. PGE_Efficacité'!$A$4:$AO$4,0)+62),0)</f>
        <v>0</v>
      </c>
      <c r="O91" s="139">
        <f>VLOOKUP($E91,'7. PGE_Efficacité'!$A$6:$CY$266,78,0)</f>
        <v>0</v>
      </c>
      <c r="P91" s="139">
        <f>VLOOKUP($E91,'7. PGE_Efficacité'!$A$6:$CY$266,(MATCH('4.2 ACE EFF WOL'!P$4,'7. PGE_Efficacité'!$A$4:$AO$4,0)+62),0)</f>
        <v>0</v>
      </c>
      <c r="Q91" s="139">
        <f>VLOOKUP($E91,'7. PGE_Efficacité'!$A$6:$CY$266,(MATCH('4.2 ACE EFF WOL'!Q$4,'7. PGE_Efficacité'!$A$4:$AO$4,0)+62),0)</f>
        <v>0</v>
      </c>
      <c r="R91" s="139">
        <f>VLOOKUP($E91,'7. PGE_Efficacité'!$A$6:$CY$266,(MATCH('4.2 ACE EFF WOL'!R$4,'7. PGE_Efficacité'!$A$4:$AO$4,0)+62),0)</f>
        <v>0</v>
      </c>
      <c r="S91" s="139">
        <f>VLOOKUP($E91,'7. PGE_Efficacité'!$A$6:$CY$266,(MATCH('4.2 ACE EFF WOL'!S$4,'7. PGE_Efficacité'!$A$4:$AO$4,0)+62),0)</f>
        <v>0</v>
      </c>
      <c r="T91" s="139">
        <f>VLOOKUP($E91,'7. PGE_Efficacité'!$A$6:$CY$266,(MATCH('4.2 ACE EFF WOL'!T$4,'7. PGE_Efficacité'!$A$4:$AO$4,0)+62),0)</f>
        <v>0</v>
      </c>
      <c r="U91" s="139">
        <f>VLOOKUP($E91,'7. PGE_Efficacité'!$A$6:$CY$266,(MATCH('4.2 ACE EFF WOL'!U$4,'7. PGE_Efficacité'!$A$4:$AO$4,0)+62),0)</f>
        <v>0</v>
      </c>
      <c r="V91" s="139">
        <f>VLOOKUP($E91,'7. PGE_Efficacité'!$A$6:$CY$266,(MATCH('4.2 ACE EFF WOL'!V$4,'7. PGE_Efficacité'!$A$4:$AO$4,0)+62),0)</f>
        <v>0</v>
      </c>
      <c r="W91" s="139">
        <f>VLOOKUP($E91,'7. PGE_Efficacité'!$A$6:$CY$266,(MATCH('4.2 ACE EFF WOL'!W$4,'7. PGE_Efficacité'!$A$4:$AO$4,0)+62),0)</f>
        <v>0</v>
      </c>
      <c r="X91" s="139">
        <f>VLOOKUP($E91,'7. PGE_Efficacité'!$A$6:$CY$266,(MATCH('4.2 ACE EFF WOL'!X$4,'7. PGE_Efficacité'!$A$4:$AO$4,0)+62),0)</f>
        <v>0</v>
      </c>
      <c r="Y91" s="139">
        <f>VLOOKUP($E91,'7. PGE_Efficacité'!$A$6:$CY$266,(MATCH('4.2 ACE EFF WOL'!Y$4,'7. PGE_Efficacité'!$A$4:$AO$4,0)+62),0)</f>
        <v>0</v>
      </c>
      <c r="Z91" s="139">
        <f>VLOOKUP($E91,'7. PGE_Efficacité'!$A$6:$CY$266,(MATCH('4.2 ACE EFF WOL'!Z$4,'7. PGE_Efficacité'!$A$4:$AO$4,0)+62),0)</f>
        <v>0</v>
      </c>
      <c r="AA91" s="139">
        <f>VLOOKUP($E91,'7. PGE_Efficacité'!$A$6:$CY$266,(MATCH('4.2 ACE EFF WOL'!AA$4,'7. PGE_Efficacité'!$A$4:$AO$4,0)+62),0)</f>
        <v>0</v>
      </c>
      <c r="AB91" s="139">
        <f>VLOOKUP($E91,'7. PGE_Efficacité'!$A$6:$CY$266,(MATCH('4.2 ACE EFF WOL'!AB$4,'7. PGE_Efficacité'!$A$4:$AO$4,0)+62),0)</f>
        <v>0</v>
      </c>
      <c r="AC91" s="139">
        <f>VLOOKUP($E91,'7. PGE_Efficacité'!$A$6:$CY$266,(MATCH('4.2 ACE EFF WOL'!AC$4,'7. PGE_Efficacité'!$A$4:$AO$4,0)+62),0)</f>
        <v>0</v>
      </c>
      <c r="AD91" s="139">
        <f>VLOOKUP($E91,'7. PGE_Efficacité'!$A$6:$CY$266,(MATCH('4.2 ACE EFF WOL'!AD$4,'7. PGE_Efficacité'!$A$4:$AO$4,0)+62),0)</f>
        <v>0</v>
      </c>
      <c r="AE91" s="139">
        <f>VLOOKUP($E91,'7. PGE_Efficacité'!$A$6:$CY$266,(MATCH('4.2 ACE EFF WOL'!AE$4,'7. PGE_Efficacité'!$A$4:$AO$4,0)+62),0)</f>
        <v>0</v>
      </c>
      <c r="AF91" s="139">
        <f>VLOOKUP($E91,'7. PGE_Efficacité'!$A$6:$CY$266,(MATCH('4.2 ACE EFF WOL'!AF$4,'7. PGE_Efficacité'!$A$4:$AO$4,0)+62),0)</f>
        <v>0</v>
      </c>
      <c r="AG91" s="139">
        <f>VLOOKUP($E91,'7. PGE_Efficacité'!$A$6:$CY$266,(MATCH('4.2 ACE EFF WOL'!AG$4,'7. PGE_Efficacité'!$A$4:$AO$4,0)+62),0)</f>
        <v>0</v>
      </c>
      <c r="AH91" s="139">
        <f>VLOOKUP($E91,'7. PGE_Efficacité'!$A$6:$CY$266,(MATCH('4.2 ACE EFF WOL'!AH$4,'7. PGE_Efficacité'!$A$4:$AO$4,0)+62),0)</f>
        <v>0</v>
      </c>
      <c r="AI91" s="139">
        <f>VLOOKUP($E91,'7. PGE_Efficacité'!$A$6:$CY$266,(MATCH('4.2 ACE EFF WOL'!AI$4,'7. PGE_Efficacité'!$A$4:$AO$4,0)+62),0)</f>
        <v>0</v>
      </c>
      <c r="AJ91" s="139">
        <f>VLOOKUP($E91,'7. PGE_Efficacité'!$A$6:$CY$266,(MATCH('4.2 ACE EFF WOL'!AJ$4,'7. PGE_Efficacité'!$A$4:$AO$4,0)+62),0)</f>
        <v>0</v>
      </c>
      <c r="AK91" s="139">
        <f>VLOOKUP($E91,'7. PGE_Efficacité'!$A$6:$CY$266,(MATCH('4.2 ACE EFF WOL'!AK$4,'7. PGE_Efficacité'!$A$4:$AO$4,0)+62),0)</f>
        <v>0</v>
      </c>
      <c r="AL91" s="139">
        <f>VLOOKUP($E91,'7. PGE_Efficacité'!$A$6:$CY$266,(MATCH('4.2 ACE EFF WOL'!AL$4,'7. PGE_Efficacité'!$A$4:$AO$4,0)+62),0)</f>
        <v>0</v>
      </c>
      <c r="AM91" s="139">
        <f>VLOOKUP($E91,'7. PGE_Efficacité'!$A$6:$CY$266,(MATCH('4.2 ACE EFF WOL'!AM$4,'7. PGE_Efficacité'!$A$4:$AO$4,0)+62),0)</f>
        <v>0</v>
      </c>
      <c r="AN91" s="139">
        <f>VLOOKUP($E91,'7. PGE_Efficacité'!$A$6:$CY$266,(MATCH('4.2 ACE EFF WOL'!AN$4,'7. PGE_Efficacité'!$A$4:$AO$4,0)+62),0)</f>
        <v>0</v>
      </c>
    </row>
    <row r="92" spans="1:40" hidden="1" outlineLevel="2" x14ac:dyDescent="0.25">
      <c r="A92" s="48" t="s">
        <v>1524</v>
      </c>
      <c r="B92" s="49">
        <v>21</v>
      </c>
      <c r="C92" s="48" t="s">
        <v>1529</v>
      </c>
      <c r="D92" s="199" t="s">
        <v>21</v>
      </c>
      <c r="E92" s="200" t="s">
        <v>736</v>
      </c>
      <c r="F92" s="200" t="s">
        <v>1394</v>
      </c>
      <c r="G92" s="201" t="s">
        <v>1521</v>
      </c>
      <c r="H92" s="200" t="s">
        <v>1290</v>
      </c>
      <c r="I92" s="202">
        <v>0</v>
      </c>
      <c r="J92" s="139">
        <f>VLOOKUP($E92,'7. PGE_Efficacité'!$A$6:$CY$266,(MATCH('4.2 ACE EFF WOL'!J$4,'7. PGE_Efficacité'!$A$4:$AO$4,0)+62),0)</f>
        <v>0</v>
      </c>
      <c r="K92" s="139">
        <f>VLOOKUP($E92,'7. PGE_Efficacité'!$A$6:$CY$266,(MATCH('4.2 ACE EFF WOL'!K$4,'7. PGE_Efficacité'!$A$4:$AO$4,0)+62),0)</f>
        <v>0</v>
      </c>
      <c r="L92" s="139">
        <f>VLOOKUP($E92,'7. PGE_Efficacité'!$A$6:$CY$266,(MATCH('4.2 ACE EFF WOL'!L$4,'7. PGE_Efficacité'!$A$4:$AO$4,0)+62),0)</f>
        <v>0</v>
      </c>
      <c r="M92" s="139">
        <f>VLOOKUP($E92,'7. PGE_Efficacité'!$A$6:$CY$266,(MATCH('4.2 ACE EFF WOL'!M$4,'7. PGE_Efficacité'!$A$4:$AO$4,0)+62),0)</f>
        <v>0</v>
      </c>
      <c r="N92" s="139">
        <f>VLOOKUP($E92,'7. PGE_Efficacité'!$A$6:$CY$266,(MATCH('4.2 ACE EFF WOL'!N$4,'7. PGE_Efficacité'!$A$4:$AO$4,0)+62),0)</f>
        <v>0</v>
      </c>
      <c r="O92" s="139">
        <f>VLOOKUP($E92,'7. PGE_Efficacité'!$A$6:$CY$266,78,0)</f>
        <v>0</v>
      </c>
      <c r="P92" s="139">
        <f>VLOOKUP($E92,'7. PGE_Efficacité'!$A$6:$CY$266,(MATCH('4.2 ACE EFF WOL'!P$4,'7. PGE_Efficacité'!$A$4:$AO$4,0)+62),0)</f>
        <v>0</v>
      </c>
      <c r="Q92" s="139">
        <f>VLOOKUP($E92,'7. PGE_Efficacité'!$A$6:$CY$266,(MATCH('4.2 ACE EFF WOL'!Q$4,'7. PGE_Efficacité'!$A$4:$AO$4,0)+62),0)</f>
        <v>0</v>
      </c>
      <c r="R92" s="139">
        <f>VLOOKUP($E92,'7. PGE_Efficacité'!$A$6:$CY$266,(MATCH('4.2 ACE EFF WOL'!R$4,'7. PGE_Efficacité'!$A$4:$AO$4,0)+62),0)</f>
        <v>0</v>
      </c>
      <c r="S92" s="139">
        <f>VLOOKUP($E92,'7. PGE_Efficacité'!$A$6:$CY$266,(MATCH('4.2 ACE EFF WOL'!S$4,'7. PGE_Efficacité'!$A$4:$AO$4,0)+62),0)</f>
        <v>0</v>
      </c>
      <c r="T92" s="139">
        <f>VLOOKUP($E92,'7. PGE_Efficacité'!$A$6:$CY$266,(MATCH('4.2 ACE EFF WOL'!T$4,'7. PGE_Efficacité'!$A$4:$AO$4,0)+62),0)</f>
        <v>0</v>
      </c>
      <c r="U92" s="139">
        <f>VLOOKUP($E92,'7. PGE_Efficacité'!$A$6:$CY$266,(MATCH('4.2 ACE EFF WOL'!U$4,'7. PGE_Efficacité'!$A$4:$AO$4,0)+62),0)</f>
        <v>0</v>
      </c>
      <c r="V92" s="139">
        <f>VLOOKUP($E92,'7. PGE_Efficacité'!$A$6:$CY$266,(MATCH('4.2 ACE EFF WOL'!V$4,'7. PGE_Efficacité'!$A$4:$AO$4,0)+62),0)</f>
        <v>0</v>
      </c>
      <c r="W92" s="139">
        <f>VLOOKUP($E92,'7. PGE_Efficacité'!$A$6:$CY$266,(MATCH('4.2 ACE EFF WOL'!W$4,'7. PGE_Efficacité'!$A$4:$AO$4,0)+62),0)</f>
        <v>0</v>
      </c>
      <c r="X92" s="139">
        <f>VLOOKUP($E92,'7. PGE_Efficacité'!$A$6:$CY$266,(MATCH('4.2 ACE EFF WOL'!X$4,'7. PGE_Efficacité'!$A$4:$AO$4,0)+62),0)</f>
        <v>0</v>
      </c>
      <c r="Y92" s="139">
        <f>VLOOKUP($E92,'7. PGE_Efficacité'!$A$6:$CY$266,(MATCH('4.2 ACE EFF WOL'!Y$4,'7. PGE_Efficacité'!$A$4:$AO$4,0)+62),0)</f>
        <v>0</v>
      </c>
      <c r="Z92" s="139">
        <f>VLOOKUP($E92,'7. PGE_Efficacité'!$A$6:$CY$266,(MATCH('4.2 ACE EFF WOL'!Z$4,'7. PGE_Efficacité'!$A$4:$AO$4,0)+62),0)</f>
        <v>0</v>
      </c>
      <c r="AA92" s="139">
        <f>VLOOKUP($E92,'7. PGE_Efficacité'!$A$6:$CY$266,(MATCH('4.2 ACE EFF WOL'!AA$4,'7. PGE_Efficacité'!$A$4:$AO$4,0)+62),0)</f>
        <v>0</v>
      </c>
      <c r="AB92" s="139">
        <f>VLOOKUP($E92,'7. PGE_Efficacité'!$A$6:$CY$266,(MATCH('4.2 ACE EFF WOL'!AB$4,'7. PGE_Efficacité'!$A$4:$AO$4,0)+62),0)</f>
        <v>0</v>
      </c>
      <c r="AC92" s="139">
        <f>VLOOKUP($E92,'7. PGE_Efficacité'!$A$6:$CY$266,(MATCH('4.2 ACE EFF WOL'!AC$4,'7. PGE_Efficacité'!$A$4:$AO$4,0)+62),0)</f>
        <v>0</v>
      </c>
      <c r="AD92" s="139">
        <f>VLOOKUP($E92,'7. PGE_Efficacité'!$A$6:$CY$266,(MATCH('4.2 ACE EFF WOL'!AD$4,'7. PGE_Efficacité'!$A$4:$AO$4,0)+62),0)</f>
        <v>0</v>
      </c>
      <c r="AE92" s="139">
        <f>VLOOKUP($E92,'7. PGE_Efficacité'!$A$6:$CY$266,(MATCH('4.2 ACE EFF WOL'!AE$4,'7. PGE_Efficacité'!$A$4:$AO$4,0)+62),0)</f>
        <v>0</v>
      </c>
      <c r="AF92" s="139">
        <f>VLOOKUP($E92,'7. PGE_Efficacité'!$A$6:$CY$266,(MATCH('4.2 ACE EFF WOL'!AF$4,'7. PGE_Efficacité'!$A$4:$AO$4,0)+62),0)</f>
        <v>0</v>
      </c>
      <c r="AG92" s="139">
        <f>VLOOKUP($E92,'7. PGE_Efficacité'!$A$6:$CY$266,(MATCH('4.2 ACE EFF WOL'!AG$4,'7. PGE_Efficacité'!$A$4:$AO$4,0)+62),0)</f>
        <v>0</v>
      </c>
      <c r="AH92" s="139">
        <f>VLOOKUP($E92,'7. PGE_Efficacité'!$A$6:$CY$266,(MATCH('4.2 ACE EFF WOL'!AH$4,'7. PGE_Efficacité'!$A$4:$AO$4,0)+62),0)</f>
        <v>0</v>
      </c>
      <c r="AI92" s="139">
        <f>VLOOKUP($E92,'7. PGE_Efficacité'!$A$6:$CY$266,(MATCH('4.2 ACE EFF WOL'!AI$4,'7. PGE_Efficacité'!$A$4:$AO$4,0)+62),0)</f>
        <v>0</v>
      </c>
      <c r="AJ92" s="139">
        <f>VLOOKUP($E92,'7. PGE_Efficacité'!$A$6:$CY$266,(MATCH('4.2 ACE EFF WOL'!AJ$4,'7. PGE_Efficacité'!$A$4:$AO$4,0)+62),0)</f>
        <v>0</v>
      </c>
      <c r="AK92" s="139">
        <f>VLOOKUP($E92,'7. PGE_Efficacité'!$A$6:$CY$266,(MATCH('4.2 ACE EFF WOL'!AK$4,'7. PGE_Efficacité'!$A$4:$AO$4,0)+62),0)</f>
        <v>0</v>
      </c>
      <c r="AL92" s="139">
        <f>VLOOKUP($E92,'7. PGE_Efficacité'!$A$6:$CY$266,(MATCH('4.2 ACE EFF WOL'!AL$4,'7. PGE_Efficacité'!$A$4:$AO$4,0)+62),0)</f>
        <v>0</v>
      </c>
      <c r="AM92" s="139">
        <f>VLOOKUP($E92,'7. PGE_Efficacité'!$A$6:$CY$266,(MATCH('4.2 ACE EFF WOL'!AM$4,'7. PGE_Efficacité'!$A$4:$AO$4,0)+62),0)</f>
        <v>0</v>
      </c>
      <c r="AN92" s="139">
        <f>VLOOKUP($E92,'7. PGE_Efficacité'!$A$6:$CY$266,(MATCH('4.2 ACE EFF WOL'!AN$4,'7. PGE_Efficacité'!$A$4:$AO$4,0)+62),0)</f>
        <v>0</v>
      </c>
    </row>
    <row r="93" spans="1:40" hidden="1" outlineLevel="2" x14ac:dyDescent="0.25">
      <c r="A93" s="48" t="s">
        <v>1524</v>
      </c>
      <c r="B93" s="49">
        <v>21</v>
      </c>
      <c r="C93" s="48" t="s">
        <v>1530</v>
      </c>
      <c r="D93" s="199" t="s">
        <v>21</v>
      </c>
      <c r="E93" s="200" t="s">
        <v>737</v>
      </c>
      <c r="F93" s="200" t="s">
        <v>1395</v>
      </c>
      <c r="G93" s="201" t="s">
        <v>1521</v>
      </c>
      <c r="H93" s="200" t="s">
        <v>1290</v>
      </c>
      <c r="I93" s="202">
        <v>0</v>
      </c>
      <c r="J93" s="139">
        <f>VLOOKUP($E93,'7. PGE_Efficacité'!$A$6:$CY$266,(MATCH('4.2 ACE EFF WOL'!J$4,'7. PGE_Efficacité'!$A$4:$AO$4,0)+62),0)</f>
        <v>0</v>
      </c>
      <c r="K93" s="139">
        <f>VLOOKUP($E93,'7. PGE_Efficacité'!$A$6:$CY$266,(MATCH('4.2 ACE EFF WOL'!K$4,'7. PGE_Efficacité'!$A$4:$AO$4,0)+62),0)</f>
        <v>0</v>
      </c>
      <c r="L93" s="139">
        <f>VLOOKUP($E93,'7. PGE_Efficacité'!$A$6:$CY$266,(MATCH('4.2 ACE EFF WOL'!L$4,'7. PGE_Efficacité'!$A$4:$AO$4,0)+62),0)</f>
        <v>0</v>
      </c>
      <c r="M93" s="139">
        <f>VLOOKUP($E93,'7. PGE_Efficacité'!$A$6:$CY$266,(MATCH('4.2 ACE EFF WOL'!M$4,'7. PGE_Efficacité'!$A$4:$AO$4,0)+62),0)</f>
        <v>0</v>
      </c>
      <c r="N93" s="139">
        <f>VLOOKUP($E93,'7. PGE_Efficacité'!$A$6:$CY$266,(MATCH('4.2 ACE EFF WOL'!N$4,'7. PGE_Efficacité'!$A$4:$AO$4,0)+62),0)</f>
        <v>0</v>
      </c>
      <c r="O93" s="139">
        <f>VLOOKUP($E93,'7. PGE_Efficacité'!$A$6:$CY$266,78,0)</f>
        <v>0</v>
      </c>
      <c r="P93" s="139">
        <f>VLOOKUP($E93,'7. PGE_Efficacité'!$A$6:$CY$266,(MATCH('4.2 ACE EFF WOL'!P$4,'7. PGE_Efficacité'!$A$4:$AO$4,0)+62),0)</f>
        <v>0</v>
      </c>
      <c r="Q93" s="139">
        <f>VLOOKUP($E93,'7. PGE_Efficacité'!$A$6:$CY$266,(MATCH('4.2 ACE EFF WOL'!Q$4,'7. PGE_Efficacité'!$A$4:$AO$4,0)+62),0)</f>
        <v>0</v>
      </c>
      <c r="R93" s="139">
        <f>VLOOKUP($E93,'7. PGE_Efficacité'!$A$6:$CY$266,(MATCH('4.2 ACE EFF WOL'!R$4,'7. PGE_Efficacité'!$A$4:$AO$4,0)+62),0)</f>
        <v>0</v>
      </c>
      <c r="S93" s="139">
        <f>VLOOKUP($E93,'7. PGE_Efficacité'!$A$6:$CY$266,(MATCH('4.2 ACE EFF WOL'!S$4,'7. PGE_Efficacité'!$A$4:$AO$4,0)+62),0)</f>
        <v>0</v>
      </c>
      <c r="T93" s="139">
        <f>VLOOKUP($E93,'7. PGE_Efficacité'!$A$6:$CY$266,(MATCH('4.2 ACE EFF WOL'!T$4,'7. PGE_Efficacité'!$A$4:$AO$4,0)+62),0)</f>
        <v>0</v>
      </c>
      <c r="U93" s="139">
        <f>VLOOKUP($E93,'7. PGE_Efficacité'!$A$6:$CY$266,(MATCH('4.2 ACE EFF WOL'!U$4,'7. PGE_Efficacité'!$A$4:$AO$4,0)+62),0)</f>
        <v>0</v>
      </c>
      <c r="V93" s="139">
        <f>VLOOKUP($E93,'7. PGE_Efficacité'!$A$6:$CY$266,(MATCH('4.2 ACE EFF WOL'!V$4,'7. PGE_Efficacité'!$A$4:$AO$4,0)+62),0)</f>
        <v>0</v>
      </c>
      <c r="W93" s="139">
        <f>VLOOKUP($E93,'7. PGE_Efficacité'!$A$6:$CY$266,(MATCH('4.2 ACE EFF WOL'!W$4,'7. PGE_Efficacité'!$A$4:$AO$4,0)+62),0)</f>
        <v>0</v>
      </c>
      <c r="X93" s="139">
        <f>VLOOKUP($E93,'7. PGE_Efficacité'!$A$6:$CY$266,(MATCH('4.2 ACE EFF WOL'!X$4,'7. PGE_Efficacité'!$A$4:$AO$4,0)+62),0)</f>
        <v>0</v>
      </c>
      <c r="Y93" s="139">
        <f>VLOOKUP($E93,'7. PGE_Efficacité'!$A$6:$CY$266,(MATCH('4.2 ACE EFF WOL'!Y$4,'7. PGE_Efficacité'!$A$4:$AO$4,0)+62),0)</f>
        <v>0</v>
      </c>
      <c r="Z93" s="139">
        <f>VLOOKUP($E93,'7. PGE_Efficacité'!$A$6:$CY$266,(MATCH('4.2 ACE EFF WOL'!Z$4,'7. PGE_Efficacité'!$A$4:$AO$4,0)+62),0)</f>
        <v>0</v>
      </c>
      <c r="AA93" s="139">
        <f>VLOOKUP($E93,'7. PGE_Efficacité'!$A$6:$CY$266,(MATCH('4.2 ACE EFF WOL'!AA$4,'7. PGE_Efficacité'!$A$4:$AO$4,0)+62),0)</f>
        <v>0</v>
      </c>
      <c r="AB93" s="139">
        <f>VLOOKUP($E93,'7. PGE_Efficacité'!$A$6:$CY$266,(MATCH('4.2 ACE EFF WOL'!AB$4,'7. PGE_Efficacité'!$A$4:$AO$4,0)+62),0)</f>
        <v>0</v>
      </c>
      <c r="AC93" s="139">
        <f>VLOOKUP($E93,'7. PGE_Efficacité'!$A$6:$CY$266,(MATCH('4.2 ACE EFF WOL'!AC$4,'7. PGE_Efficacité'!$A$4:$AO$4,0)+62),0)</f>
        <v>0</v>
      </c>
      <c r="AD93" s="139">
        <f>VLOOKUP($E93,'7. PGE_Efficacité'!$A$6:$CY$266,(MATCH('4.2 ACE EFF WOL'!AD$4,'7. PGE_Efficacité'!$A$4:$AO$4,0)+62),0)</f>
        <v>0</v>
      </c>
      <c r="AE93" s="139">
        <f>VLOOKUP($E93,'7. PGE_Efficacité'!$A$6:$CY$266,(MATCH('4.2 ACE EFF WOL'!AE$4,'7. PGE_Efficacité'!$A$4:$AO$4,0)+62),0)</f>
        <v>0</v>
      </c>
      <c r="AF93" s="139">
        <f>VLOOKUP($E93,'7. PGE_Efficacité'!$A$6:$CY$266,(MATCH('4.2 ACE EFF WOL'!AF$4,'7. PGE_Efficacité'!$A$4:$AO$4,0)+62),0)</f>
        <v>0</v>
      </c>
      <c r="AG93" s="139">
        <f>VLOOKUP($E93,'7. PGE_Efficacité'!$A$6:$CY$266,(MATCH('4.2 ACE EFF WOL'!AG$4,'7. PGE_Efficacité'!$A$4:$AO$4,0)+62),0)</f>
        <v>0</v>
      </c>
      <c r="AH93" s="139">
        <f>VLOOKUP($E93,'7. PGE_Efficacité'!$A$6:$CY$266,(MATCH('4.2 ACE EFF WOL'!AH$4,'7. PGE_Efficacité'!$A$4:$AO$4,0)+62),0)</f>
        <v>0</v>
      </c>
      <c r="AI93" s="139">
        <f>VLOOKUP($E93,'7. PGE_Efficacité'!$A$6:$CY$266,(MATCH('4.2 ACE EFF WOL'!AI$4,'7. PGE_Efficacité'!$A$4:$AO$4,0)+62),0)</f>
        <v>0</v>
      </c>
      <c r="AJ93" s="139">
        <f>VLOOKUP($E93,'7. PGE_Efficacité'!$A$6:$CY$266,(MATCH('4.2 ACE EFF WOL'!AJ$4,'7. PGE_Efficacité'!$A$4:$AO$4,0)+62),0)</f>
        <v>0</v>
      </c>
      <c r="AK93" s="139">
        <f>VLOOKUP($E93,'7. PGE_Efficacité'!$A$6:$CY$266,(MATCH('4.2 ACE EFF WOL'!AK$4,'7. PGE_Efficacité'!$A$4:$AO$4,0)+62),0)</f>
        <v>0</v>
      </c>
      <c r="AL93" s="139">
        <f>VLOOKUP($E93,'7. PGE_Efficacité'!$A$6:$CY$266,(MATCH('4.2 ACE EFF WOL'!AL$4,'7. PGE_Efficacité'!$A$4:$AO$4,0)+62),0)</f>
        <v>0</v>
      </c>
      <c r="AM93" s="139">
        <f>VLOOKUP($E93,'7. PGE_Efficacité'!$A$6:$CY$266,(MATCH('4.2 ACE EFF WOL'!AM$4,'7. PGE_Efficacité'!$A$4:$AO$4,0)+62),0)</f>
        <v>0</v>
      </c>
      <c r="AN93" s="139">
        <f>VLOOKUP($E93,'7. PGE_Efficacité'!$A$6:$CY$266,(MATCH('4.2 ACE EFF WOL'!AN$4,'7. PGE_Efficacité'!$A$4:$AO$4,0)+62),0)</f>
        <v>0</v>
      </c>
    </row>
    <row r="94" spans="1:40" hidden="1" outlineLevel="2" x14ac:dyDescent="0.25">
      <c r="A94" s="48" t="s">
        <v>1524</v>
      </c>
      <c r="B94" s="49">
        <v>21</v>
      </c>
      <c r="C94" s="48" t="s">
        <v>1531</v>
      </c>
      <c r="D94" s="199" t="s">
        <v>21</v>
      </c>
      <c r="E94" s="200" t="s">
        <v>729</v>
      </c>
      <c r="F94" s="200" t="s">
        <v>1387</v>
      </c>
      <c r="G94" s="201" t="s">
        <v>1521</v>
      </c>
      <c r="H94" s="200" t="s">
        <v>1290</v>
      </c>
      <c r="I94" s="202">
        <v>0</v>
      </c>
      <c r="J94" s="139">
        <f>VLOOKUP($E94,'7. PGE_Efficacité'!$A$6:$CY$266,(MATCH('4.2 ACE EFF WOL'!J$4,'7. PGE_Efficacité'!$A$4:$AO$4,0)+62),0)</f>
        <v>0</v>
      </c>
      <c r="K94" s="139">
        <f>VLOOKUP($E94,'7. PGE_Efficacité'!$A$6:$CY$266,(MATCH('4.2 ACE EFF WOL'!K$4,'7. PGE_Efficacité'!$A$4:$AO$4,0)+62),0)</f>
        <v>0</v>
      </c>
      <c r="L94" s="139">
        <f>VLOOKUP($E94,'7. PGE_Efficacité'!$A$6:$CY$266,(MATCH('4.2 ACE EFF WOL'!L$4,'7. PGE_Efficacité'!$A$4:$AO$4,0)+62),0)</f>
        <v>0</v>
      </c>
      <c r="M94" s="139">
        <f>VLOOKUP($E94,'7. PGE_Efficacité'!$A$6:$CY$266,(MATCH('4.2 ACE EFF WOL'!M$4,'7. PGE_Efficacité'!$A$4:$AO$4,0)+62),0)</f>
        <v>0</v>
      </c>
      <c r="N94" s="139">
        <f>VLOOKUP($E94,'7. PGE_Efficacité'!$A$6:$CY$266,(MATCH('4.2 ACE EFF WOL'!N$4,'7. PGE_Efficacité'!$A$4:$AO$4,0)+62),0)</f>
        <v>0</v>
      </c>
      <c r="O94" s="139">
        <f>VLOOKUP($E94,'7. PGE_Efficacité'!$A$6:$CY$266,78,0)</f>
        <v>0</v>
      </c>
      <c r="P94" s="139">
        <f>VLOOKUP($E94,'7. PGE_Efficacité'!$A$6:$CY$266,(MATCH('4.2 ACE EFF WOL'!P$4,'7. PGE_Efficacité'!$A$4:$AO$4,0)+62),0)</f>
        <v>0</v>
      </c>
      <c r="Q94" s="139">
        <f>VLOOKUP($E94,'7. PGE_Efficacité'!$A$6:$CY$266,(MATCH('4.2 ACE EFF WOL'!Q$4,'7. PGE_Efficacité'!$A$4:$AO$4,0)+62),0)</f>
        <v>0</v>
      </c>
      <c r="R94" s="139">
        <f>VLOOKUP($E94,'7. PGE_Efficacité'!$A$6:$CY$266,(MATCH('4.2 ACE EFF WOL'!R$4,'7. PGE_Efficacité'!$A$4:$AO$4,0)+62),0)</f>
        <v>0</v>
      </c>
      <c r="S94" s="139">
        <f>VLOOKUP($E94,'7. PGE_Efficacité'!$A$6:$CY$266,(MATCH('4.2 ACE EFF WOL'!S$4,'7. PGE_Efficacité'!$A$4:$AO$4,0)+62),0)</f>
        <v>0</v>
      </c>
      <c r="T94" s="139">
        <f>VLOOKUP($E94,'7. PGE_Efficacité'!$A$6:$CY$266,(MATCH('4.2 ACE EFF WOL'!T$4,'7. PGE_Efficacité'!$A$4:$AO$4,0)+62),0)</f>
        <v>0</v>
      </c>
      <c r="U94" s="139">
        <f>VLOOKUP($E94,'7. PGE_Efficacité'!$A$6:$CY$266,(MATCH('4.2 ACE EFF WOL'!U$4,'7. PGE_Efficacité'!$A$4:$AO$4,0)+62),0)</f>
        <v>0</v>
      </c>
      <c r="V94" s="139">
        <f>VLOOKUP($E94,'7. PGE_Efficacité'!$A$6:$CY$266,(MATCH('4.2 ACE EFF WOL'!V$4,'7. PGE_Efficacité'!$A$4:$AO$4,0)+62),0)</f>
        <v>0</v>
      </c>
      <c r="W94" s="139">
        <f>VLOOKUP($E94,'7. PGE_Efficacité'!$A$6:$CY$266,(MATCH('4.2 ACE EFF WOL'!W$4,'7. PGE_Efficacité'!$A$4:$AO$4,0)+62),0)</f>
        <v>0</v>
      </c>
      <c r="X94" s="139">
        <f>VLOOKUP($E94,'7. PGE_Efficacité'!$A$6:$CY$266,(MATCH('4.2 ACE EFF WOL'!X$4,'7. PGE_Efficacité'!$A$4:$AO$4,0)+62),0)</f>
        <v>0</v>
      </c>
      <c r="Y94" s="139">
        <f>VLOOKUP($E94,'7. PGE_Efficacité'!$A$6:$CY$266,(MATCH('4.2 ACE EFF WOL'!Y$4,'7. PGE_Efficacité'!$A$4:$AO$4,0)+62),0)</f>
        <v>0</v>
      </c>
      <c r="Z94" s="139">
        <f>VLOOKUP($E94,'7. PGE_Efficacité'!$A$6:$CY$266,(MATCH('4.2 ACE EFF WOL'!Z$4,'7. PGE_Efficacité'!$A$4:$AO$4,0)+62),0)</f>
        <v>0</v>
      </c>
      <c r="AA94" s="139">
        <f>VLOOKUP($E94,'7. PGE_Efficacité'!$A$6:$CY$266,(MATCH('4.2 ACE EFF WOL'!AA$4,'7. PGE_Efficacité'!$A$4:$AO$4,0)+62),0)</f>
        <v>0</v>
      </c>
      <c r="AB94" s="139">
        <f>VLOOKUP($E94,'7. PGE_Efficacité'!$A$6:$CY$266,(MATCH('4.2 ACE EFF WOL'!AB$4,'7. PGE_Efficacité'!$A$4:$AO$4,0)+62),0)</f>
        <v>0</v>
      </c>
      <c r="AC94" s="139">
        <f>VLOOKUP($E94,'7. PGE_Efficacité'!$A$6:$CY$266,(MATCH('4.2 ACE EFF WOL'!AC$4,'7. PGE_Efficacité'!$A$4:$AO$4,0)+62),0)</f>
        <v>0</v>
      </c>
      <c r="AD94" s="139">
        <f>VLOOKUP($E94,'7. PGE_Efficacité'!$A$6:$CY$266,(MATCH('4.2 ACE EFF WOL'!AD$4,'7. PGE_Efficacité'!$A$4:$AO$4,0)+62),0)</f>
        <v>0</v>
      </c>
      <c r="AE94" s="139">
        <f>VLOOKUP($E94,'7. PGE_Efficacité'!$A$6:$CY$266,(MATCH('4.2 ACE EFF WOL'!AE$4,'7. PGE_Efficacité'!$A$4:$AO$4,0)+62),0)</f>
        <v>0</v>
      </c>
      <c r="AF94" s="139">
        <f>VLOOKUP($E94,'7. PGE_Efficacité'!$A$6:$CY$266,(MATCH('4.2 ACE EFF WOL'!AF$4,'7. PGE_Efficacité'!$A$4:$AO$4,0)+62),0)</f>
        <v>0</v>
      </c>
      <c r="AG94" s="139">
        <f>VLOOKUP($E94,'7. PGE_Efficacité'!$A$6:$CY$266,(MATCH('4.2 ACE EFF WOL'!AG$4,'7. PGE_Efficacité'!$A$4:$AO$4,0)+62),0)</f>
        <v>0</v>
      </c>
      <c r="AH94" s="139">
        <f>VLOOKUP($E94,'7. PGE_Efficacité'!$A$6:$CY$266,(MATCH('4.2 ACE EFF WOL'!AH$4,'7. PGE_Efficacité'!$A$4:$AO$4,0)+62),0)</f>
        <v>0</v>
      </c>
      <c r="AI94" s="139">
        <f>VLOOKUP($E94,'7. PGE_Efficacité'!$A$6:$CY$266,(MATCH('4.2 ACE EFF WOL'!AI$4,'7. PGE_Efficacité'!$A$4:$AO$4,0)+62),0)</f>
        <v>0</v>
      </c>
      <c r="AJ94" s="139">
        <f>VLOOKUP($E94,'7. PGE_Efficacité'!$A$6:$CY$266,(MATCH('4.2 ACE EFF WOL'!AJ$4,'7. PGE_Efficacité'!$A$4:$AO$4,0)+62),0)</f>
        <v>0</v>
      </c>
      <c r="AK94" s="139">
        <f>VLOOKUP($E94,'7. PGE_Efficacité'!$A$6:$CY$266,(MATCH('4.2 ACE EFF WOL'!AK$4,'7. PGE_Efficacité'!$A$4:$AO$4,0)+62),0)</f>
        <v>0</v>
      </c>
      <c r="AL94" s="139">
        <f>VLOOKUP($E94,'7. PGE_Efficacité'!$A$6:$CY$266,(MATCH('4.2 ACE EFF WOL'!AL$4,'7. PGE_Efficacité'!$A$4:$AO$4,0)+62),0)</f>
        <v>0</v>
      </c>
      <c r="AM94" s="139">
        <f>VLOOKUP($E94,'7. PGE_Efficacité'!$A$6:$CY$266,(MATCH('4.2 ACE EFF WOL'!AM$4,'7. PGE_Efficacité'!$A$4:$AO$4,0)+62),0)</f>
        <v>0</v>
      </c>
      <c r="AN94" s="139">
        <f>VLOOKUP($E94,'7. PGE_Efficacité'!$A$6:$CY$266,(MATCH('4.2 ACE EFF WOL'!AN$4,'7. PGE_Efficacité'!$A$4:$AO$4,0)+62),0)</f>
        <v>0</v>
      </c>
    </row>
    <row r="95" spans="1:40" outlineLevel="1" x14ac:dyDescent="0.25">
      <c r="A95" s="48"/>
      <c r="B95" s="49"/>
      <c r="C95" s="48"/>
      <c r="D95" s="372" t="s">
        <v>22</v>
      </c>
      <c r="E95" s="195"/>
      <c r="F95" s="196" t="str">
        <f>VLOOKUP(D95,'1. Mesures'!$A$2:$B$116,2,0)</f>
        <v>Assurer et développer le réseau de monitoring qualitatif et quantitatif en continu FlowBru</v>
      </c>
      <c r="G95" s="197"/>
      <c r="H95" s="195"/>
      <c r="I95" s="198">
        <f>SUBTOTAL(9,I96:I102)</f>
        <v>929999.99999999988</v>
      </c>
      <c r="J95" s="203">
        <f>VLOOKUP($D95,'7. PGE_Efficacité'!$A$6:$CY$266,(MATCH('4.2 ACE EFF WOL'!J$4,'7. PGE_Efficacité'!$A$4:$AO$4,0)+62),0)</f>
        <v>0</v>
      </c>
      <c r="K95" s="203">
        <f>VLOOKUP($D95,'7. PGE_Efficacité'!$A$6:$CY$266,(MATCH('4.2 ACE EFF WOL'!K$4,'7. PGE_Efficacité'!$A$4:$AO$4,0)+62),0)</f>
        <v>0</v>
      </c>
      <c r="L95" s="203">
        <f>VLOOKUP($D95,'7. PGE_Efficacité'!$A$6:$CY$266,(MATCH('4.2 ACE EFF WOL'!L$4,'7. PGE_Efficacité'!$A$4:$AO$4,0)+62),0)</f>
        <v>0</v>
      </c>
      <c r="M95" s="203">
        <f>VLOOKUP($D95,'7. PGE_Efficacité'!$A$6:$CY$266,(MATCH('4.2 ACE EFF WOL'!M$4,'7. PGE_Efficacité'!$A$4:$AO$4,0)+62),0)</f>
        <v>0</v>
      </c>
      <c r="N95" s="203">
        <f>VLOOKUP($D95,'7. PGE_Efficacité'!$A$6:$CY$266,(MATCH('4.2 ACE EFF WOL'!N$4,'7. PGE_Efficacité'!$A$4:$AO$4,0)+62),0)</f>
        <v>0</v>
      </c>
      <c r="O95" s="203">
        <f>VLOOKUP($D95,'7. PGE_Efficacité'!$A$6:$CY$266,78,0)</f>
        <v>0</v>
      </c>
      <c r="P95" s="203">
        <f>VLOOKUP($D95,'7. PGE_Efficacité'!$A$6:$CY$266,(MATCH('4.2 ACE EFF WOL'!P$4,'7. PGE_Efficacité'!$A$4:$AO$4,0)+62),0)</f>
        <v>0</v>
      </c>
      <c r="Q95" s="203">
        <f>VLOOKUP($D95,'7. PGE_Efficacité'!$A$6:$CY$266,(MATCH('4.2 ACE EFF WOL'!Q$4,'7. PGE_Efficacité'!$A$4:$AO$4,0)+62),0)</f>
        <v>0</v>
      </c>
      <c r="R95" s="203">
        <f>VLOOKUP($D95,'7. PGE_Efficacité'!$A$6:$CY$266,(MATCH('4.2 ACE EFF WOL'!R$4,'7. PGE_Efficacité'!$A$4:$AO$4,0)+62),0)</f>
        <v>0</v>
      </c>
      <c r="S95" s="203">
        <f>VLOOKUP($D95,'7. PGE_Efficacité'!$A$6:$CY$266,(MATCH('4.2 ACE EFF WOL'!S$4,'7. PGE_Efficacité'!$A$4:$AO$4,0)+62),0)</f>
        <v>0</v>
      </c>
      <c r="T95" s="203">
        <f>VLOOKUP($D95,'7. PGE_Efficacité'!$A$6:$CY$266,(MATCH('4.2 ACE EFF WOL'!T$4,'7. PGE_Efficacité'!$A$4:$AO$4,0)+62),0)</f>
        <v>0</v>
      </c>
      <c r="U95" s="203">
        <f>VLOOKUP($D95,'7. PGE_Efficacité'!$A$6:$CY$266,(MATCH('4.2 ACE EFF WOL'!U$4,'7. PGE_Efficacité'!$A$4:$AO$4,0)+62),0)</f>
        <v>0</v>
      </c>
      <c r="V95" s="203">
        <f>VLOOKUP($D95,'7. PGE_Efficacité'!$A$6:$CY$266,(MATCH('4.2 ACE EFF WOL'!V$4,'7. PGE_Efficacité'!$A$4:$AO$4,0)+62),0)</f>
        <v>0</v>
      </c>
      <c r="W95" s="203">
        <f>VLOOKUP($D95,'7. PGE_Efficacité'!$A$6:$CY$266,(MATCH('4.2 ACE EFF WOL'!W$4,'7. PGE_Efficacité'!$A$4:$AO$4,0)+62),0)</f>
        <v>0</v>
      </c>
      <c r="X95" s="203">
        <f>VLOOKUP($D95,'7. PGE_Efficacité'!$A$6:$CY$266,(MATCH('4.2 ACE EFF WOL'!X$4,'7. PGE_Efficacité'!$A$4:$AO$4,0)+62),0)</f>
        <v>0</v>
      </c>
      <c r="Y95" s="203">
        <f>VLOOKUP($D95,'7. PGE_Efficacité'!$A$6:$CY$266,(MATCH('4.2 ACE EFF WOL'!Y$4,'7. PGE_Efficacité'!$A$4:$AO$4,0)+62),0)</f>
        <v>0</v>
      </c>
      <c r="Z95" s="203">
        <f>VLOOKUP($D95,'7. PGE_Efficacité'!$A$6:$CY$266,(MATCH('4.2 ACE EFF WOL'!Z$4,'7. PGE_Efficacité'!$A$4:$AO$4,0)+62),0)</f>
        <v>0</v>
      </c>
      <c r="AA95" s="203">
        <f>VLOOKUP($D95,'7. PGE_Efficacité'!$A$6:$CY$266,(MATCH('4.2 ACE EFF WOL'!AA$4,'7. PGE_Efficacité'!$A$4:$AO$4,0)+62),0)</f>
        <v>0</v>
      </c>
      <c r="AB95" s="203">
        <f>VLOOKUP($D95,'7. PGE_Efficacité'!$A$6:$CY$266,(MATCH('4.2 ACE EFF WOL'!AB$4,'7. PGE_Efficacité'!$A$4:$AO$4,0)+62),0)</f>
        <v>0</v>
      </c>
      <c r="AC95" s="203">
        <f>VLOOKUP($D95,'7. PGE_Efficacité'!$A$6:$CY$266,(MATCH('4.2 ACE EFF WOL'!AC$4,'7. PGE_Efficacité'!$A$4:$AO$4,0)+62),0)</f>
        <v>0</v>
      </c>
      <c r="AD95" s="203">
        <f>VLOOKUP($D95,'7. PGE_Efficacité'!$A$6:$CY$266,(MATCH('4.2 ACE EFF WOL'!AD$4,'7. PGE_Efficacité'!$A$4:$AO$4,0)+62),0)</f>
        <v>0</v>
      </c>
      <c r="AE95" s="203">
        <f>VLOOKUP($D95,'7. PGE_Efficacité'!$A$6:$CY$266,(MATCH('4.2 ACE EFF WOL'!AE$4,'7. PGE_Efficacité'!$A$4:$AO$4,0)+62),0)</f>
        <v>0</v>
      </c>
      <c r="AF95" s="203">
        <f>VLOOKUP($D95,'7. PGE_Efficacité'!$A$6:$CY$266,(MATCH('4.2 ACE EFF WOL'!AF$4,'7. PGE_Efficacité'!$A$4:$AO$4,0)+62),0)</f>
        <v>0</v>
      </c>
      <c r="AG95" s="203">
        <f>VLOOKUP($D95,'7. PGE_Efficacité'!$A$6:$CY$266,(MATCH('4.2 ACE EFF WOL'!AG$4,'7. PGE_Efficacité'!$A$4:$AO$4,0)+62),0)</f>
        <v>0</v>
      </c>
      <c r="AH95" s="203">
        <f>VLOOKUP($D95,'7. PGE_Efficacité'!$A$6:$CY$266,(MATCH('4.2 ACE EFF WOL'!AH$4,'7. PGE_Efficacité'!$A$4:$AO$4,0)+62),0)</f>
        <v>0</v>
      </c>
      <c r="AI95" s="203">
        <f>VLOOKUP($D95,'7. PGE_Efficacité'!$A$6:$CY$266,(MATCH('4.2 ACE EFF WOL'!AI$4,'7. PGE_Efficacité'!$A$4:$AO$4,0)+62),0)</f>
        <v>0</v>
      </c>
      <c r="AJ95" s="203">
        <f>VLOOKUP($D95,'7. PGE_Efficacité'!$A$6:$CY$266,(MATCH('4.2 ACE EFF WOL'!AJ$4,'7. PGE_Efficacité'!$A$4:$AO$4,0)+62),0)</f>
        <v>0</v>
      </c>
      <c r="AK95" s="203">
        <f>VLOOKUP($D95,'7. PGE_Efficacité'!$A$6:$CY$266,(MATCH('4.2 ACE EFF WOL'!AK$4,'7. PGE_Efficacité'!$A$4:$AO$4,0)+62),0)</f>
        <v>0</v>
      </c>
      <c r="AL95" s="203">
        <f>VLOOKUP($D95,'7. PGE_Efficacité'!$A$6:$CY$266,(MATCH('4.2 ACE EFF WOL'!AL$4,'7. PGE_Efficacité'!$A$4:$AO$4,0)+62),0)</f>
        <v>0</v>
      </c>
      <c r="AM95" s="203">
        <f>VLOOKUP($D95,'7. PGE_Efficacité'!$A$6:$CY$266,(MATCH('4.2 ACE EFF WOL'!AM$4,'7. PGE_Efficacité'!$A$4:$AO$4,0)+62),0)</f>
        <v>0</v>
      </c>
      <c r="AN95" s="203">
        <f>VLOOKUP($D95,'7. PGE_Efficacité'!$A$6:$CY$266,(MATCH('4.2 ACE EFF WOL'!AN$4,'7. PGE_Efficacité'!$A$4:$AO$4,0)+62),0)</f>
        <v>0</v>
      </c>
    </row>
    <row r="96" spans="1:40" outlineLevel="2" x14ac:dyDescent="0.25">
      <c r="A96" s="48"/>
      <c r="B96" s="49"/>
      <c r="C96" s="48"/>
      <c r="D96" s="199" t="s">
        <v>22</v>
      </c>
      <c r="E96" s="200" t="s">
        <v>738</v>
      </c>
      <c r="F96" s="200" t="s">
        <v>1396</v>
      </c>
      <c r="G96" s="201" t="s">
        <v>1521</v>
      </c>
      <c r="H96" s="200" t="s">
        <v>1290</v>
      </c>
      <c r="I96" s="202">
        <f>2000000/3</f>
        <v>666666.66666666663</v>
      </c>
      <c r="J96" s="139">
        <f>VLOOKUP($E96,'7. PGE_Efficacité'!$A$6:$CY$266,(MATCH('4.2 ACE EFF WOL'!J$4,'7. PGE_Efficacité'!$A$4:$AO$4,0)+62),0)</f>
        <v>0</v>
      </c>
      <c r="K96" s="139">
        <f>VLOOKUP($E96,'7. PGE_Efficacité'!$A$6:$CY$266,(MATCH('4.2 ACE EFF WOL'!K$4,'7. PGE_Efficacité'!$A$4:$AO$4,0)+62),0)</f>
        <v>0</v>
      </c>
      <c r="L96" s="139">
        <f>VLOOKUP($E96,'7. PGE_Efficacité'!$A$6:$CY$266,(MATCH('4.2 ACE EFF WOL'!L$4,'7. PGE_Efficacité'!$A$4:$AO$4,0)+62),0)</f>
        <v>0</v>
      </c>
      <c r="M96" s="139">
        <f>VLOOKUP($E96,'7. PGE_Efficacité'!$A$6:$CY$266,(MATCH('4.2 ACE EFF WOL'!M$4,'7. PGE_Efficacité'!$A$4:$AO$4,0)+62),0)</f>
        <v>0</v>
      </c>
      <c r="N96" s="139">
        <f>VLOOKUP($E96,'7. PGE_Efficacité'!$A$6:$CY$266,(MATCH('4.2 ACE EFF WOL'!N$4,'7. PGE_Efficacité'!$A$4:$AO$4,0)+62),0)</f>
        <v>0</v>
      </c>
      <c r="O96" s="139">
        <f>VLOOKUP($E96,'7. PGE_Efficacité'!$A$6:$CY$266,78,0)</f>
        <v>0</v>
      </c>
      <c r="P96" s="139">
        <f>VLOOKUP($E96,'7. PGE_Efficacité'!$A$6:$CY$266,(MATCH('4.2 ACE EFF WOL'!P$4,'7. PGE_Efficacité'!$A$4:$AO$4,0)+62),0)</f>
        <v>0</v>
      </c>
      <c r="Q96" s="139">
        <f>VLOOKUP($E96,'7. PGE_Efficacité'!$A$6:$CY$266,(MATCH('4.2 ACE EFF WOL'!Q$4,'7. PGE_Efficacité'!$A$4:$AO$4,0)+62),0)</f>
        <v>0</v>
      </c>
      <c r="R96" s="139">
        <f>VLOOKUP($E96,'7. PGE_Efficacité'!$A$6:$CY$266,(MATCH('4.2 ACE EFF WOL'!R$4,'7. PGE_Efficacité'!$A$4:$AO$4,0)+62),0)</f>
        <v>0</v>
      </c>
      <c r="S96" s="139">
        <f>VLOOKUP($E96,'7. PGE_Efficacité'!$A$6:$CY$266,(MATCH('4.2 ACE EFF WOL'!S$4,'7. PGE_Efficacité'!$A$4:$AO$4,0)+62),0)</f>
        <v>0</v>
      </c>
      <c r="T96" s="139">
        <f>VLOOKUP($E96,'7. PGE_Efficacité'!$A$6:$CY$266,(MATCH('4.2 ACE EFF WOL'!T$4,'7. PGE_Efficacité'!$A$4:$AO$4,0)+62),0)</f>
        <v>0</v>
      </c>
      <c r="U96" s="139">
        <f>VLOOKUP($E96,'7. PGE_Efficacité'!$A$6:$CY$266,(MATCH('4.2 ACE EFF WOL'!U$4,'7. PGE_Efficacité'!$A$4:$AO$4,0)+62),0)</f>
        <v>0</v>
      </c>
      <c r="V96" s="139">
        <f>VLOOKUP($E96,'7. PGE_Efficacité'!$A$6:$CY$266,(MATCH('4.2 ACE EFF WOL'!V$4,'7. PGE_Efficacité'!$A$4:$AO$4,0)+62),0)</f>
        <v>0</v>
      </c>
      <c r="W96" s="139">
        <f>VLOOKUP($E96,'7. PGE_Efficacité'!$A$6:$CY$266,(MATCH('4.2 ACE EFF WOL'!W$4,'7. PGE_Efficacité'!$A$4:$AO$4,0)+62),0)</f>
        <v>0</v>
      </c>
      <c r="X96" s="139">
        <f>VLOOKUP($E96,'7. PGE_Efficacité'!$A$6:$CY$266,(MATCH('4.2 ACE EFF WOL'!X$4,'7. PGE_Efficacité'!$A$4:$AO$4,0)+62),0)</f>
        <v>0</v>
      </c>
      <c r="Y96" s="139">
        <f>VLOOKUP($E96,'7. PGE_Efficacité'!$A$6:$CY$266,(MATCH('4.2 ACE EFF WOL'!Y$4,'7. PGE_Efficacité'!$A$4:$AO$4,0)+62),0)</f>
        <v>0</v>
      </c>
      <c r="Z96" s="139">
        <f>VLOOKUP($E96,'7. PGE_Efficacité'!$A$6:$CY$266,(MATCH('4.2 ACE EFF WOL'!Z$4,'7. PGE_Efficacité'!$A$4:$AO$4,0)+62),0)</f>
        <v>0</v>
      </c>
      <c r="AA96" s="139">
        <f>VLOOKUP($E96,'7. PGE_Efficacité'!$A$6:$CY$266,(MATCH('4.2 ACE EFF WOL'!AA$4,'7. PGE_Efficacité'!$A$4:$AO$4,0)+62),0)</f>
        <v>0</v>
      </c>
      <c r="AB96" s="139">
        <f>VLOOKUP($E96,'7. PGE_Efficacité'!$A$6:$CY$266,(MATCH('4.2 ACE EFF WOL'!AB$4,'7. PGE_Efficacité'!$A$4:$AO$4,0)+62),0)</f>
        <v>0</v>
      </c>
      <c r="AC96" s="139">
        <f>VLOOKUP($E96,'7. PGE_Efficacité'!$A$6:$CY$266,(MATCH('4.2 ACE EFF WOL'!AC$4,'7. PGE_Efficacité'!$A$4:$AO$4,0)+62),0)</f>
        <v>0</v>
      </c>
      <c r="AD96" s="139">
        <f>VLOOKUP($E96,'7. PGE_Efficacité'!$A$6:$CY$266,(MATCH('4.2 ACE EFF WOL'!AD$4,'7. PGE_Efficacité'!$A$4:$AO$4,0)+62),0)</f>
        <v>0</v>
      </c>
      <c r="AE96" s="139">
        <f>VLOOKUP($E96,'7. PGE_Efficacité'!$A$6:$CY$266,(MATCH('4.2 ACE EFF WOL'!AE$4,'7. PGE_Efficacité'!$A$4:$AO$4,0)+62),0)</f>
        <v>0</v>
      </c>
      <c r="AF96" s="139">
        <f>VLOOKUP($E96,'7. PGE_Efficacité'!$A$6:$CY$266,(MATCH('4.2 ACE EFF WOL'!AF$4,'7. PGE_Efficacité'!$A$4:$AO$4,0)+62),0)</f>
        <v>0</v>
      </c>
      <c r="AG96" s="139">
        <f>VLOOKUP($E96,'7. PGE_Efficacité'!$A$6:$CY$266,(MATCH('4.2 ACE EFF WOL'!AG$4,'7. PGE_Efficacité'!$A$4:$AO$4,0)+62),0)</f>
        <v>0</v>
      </c>
      <c r="AH96" s="139">
        <f>VLOOKUP($E96,'7. PGE_Efficacité'!$A$6:$CY$266,(MATCH('4.2 ACE EFF WOL'!AH$4,'7. PGE_Efficacité'!$A$4:$AO$4,0)+62),0)</f>
        <v>0</v>
      </c>
      <c r="AI96" s="139">
        <f>VLOOKUP($E96,'7. PGE_Efficacité'!$A$6:$CY$266,(MATCH('4.2 ACE EFF WOL'!AI$4,'7. PGE_Efficacité'!$A$4:$AO$4,0)+62),0)</f>
        <v>0</v>
      </c>
      <c r="AJ96" s="139">
        <f>VLOOKUP($E96,'7. PGE_Efficacité'!$A$6:$CY$266,(MATCH('4.2 ACE EFF WOL'!AJ$4,'7. PGE_Efficacité'!$A$4:$AO$4,0)+62),0)</f>
        <v>0</v>
      </c>
      <c r="AK96" s="139">
        <f>VLOOKUP($E96,'7. PGE_Efficacité'!$A$6:$CY$266,(MATCH('4.2 ACE EFF WOL'!AK$4,'7. PGE_Efficacité'!$A$4:$AO$4,0)+62),0)</f>
        <v>0</v>
      </c>
      <c r="AL96" s="139">
        <f>VLOOKUP($E96,'7. PGE_Efficacité'!$A$6:$CY$266,(MATCH('4.2 ACE EFF WOL'!AL$4,'7. PGE_Efficacité'!$A$4:$AO$4,0)+62),0)</f>
        <v>0</v>
      </c>
      <c r="AM96" s="139">
        <f>VLOOKUP($E96,'7. PGE_Efficacité'!$A$6:$CY$266,(MATCH('4.2 ACE EFF WOL'!AM$4,'7. PGE_Efficacité'!$A$4:$AO$4,0)+62),0)</f>
        <v>0</v>
      </c>
      <c r="AN96" s="139">
        <f>VLOOKUP($E96,'7. PGE_Efficacité'!$A$6:$CY$266,(MATCH('4.2 ACE EFF WOL'!AN$4,'7. PGE_Efficacité'!$A$4:$AO$4,0)+62),0)</f>
        <v>0</v>
      </c>
    </row>
    <row r="97" spans="1:40" outlineLevel="2" x14ac:dyDescent="0.25">
      <c r="A97" s="48" t="s">
        <v>1524</v>
      </c>
      <c r="B97" s="49">
        <v>22</v>
      </c>
      <c r="C97" s="48" t="s">
        <v>1524</v>
      </c>
      <c r="D97" s="199" t="s">
        <v>22</v>
      </c>
      <c r="E97" s="200" t="s">
        <v>742</v>
      </c>
      <c r="F97" s="200" t="s">
        <v>1399</v>
      </c>
      <c r="G97" s="201" t="s">
        <v>1521</v>
      </c>
      <c r="H97" s="200" t="s">
        <v>1290</v>
      </c>
      <c r="I97" s="202">
        <f>335000/3</f>
        <v>111666.66666666667</v>
      </c>
      <c r="J97" s="139">
        <f>VLOOKUP($E97,'7. PGE_Efficacité'!$A$6:$CY$266,(MATCH('4.2 ACE EFF WOL'!J$4,'7. PGE_Efficacité'!$A$4:$AO$4,0)+62),0)</f>
        <v>0</v>
      </c>
      <c r="K97" s="139">
        <f>VLOOKUP($E97,'7. PGE_Efficacité'!$A$6:$CY$266,(MATCH('4.2 ACE EFF WOL'!K$4,'7. PGE_Efficacité'!$A$4:$AO$4,0)+62),0)</f>
        <v>0</v>
      </c>
      <c r="L97" s="139">
        <f>VLOOKUP($E97,'7. PGE_Efficacité'!$A$6:$CY$266,(MATCH('4.2 ACE EFF WOL'!L$4,'7. PGE_Efficacité'!$A$4:$AO$4,0)+62),0)</f>
        <v>0</v>
      </c>
      <c r="M97" s="139">
        <f>VLOOKUP($E97,'7. PGE_Efficacité'!$A$6:$CY$266,(MATCH('4.2 ACE EFF WOL'!M$4,'7. PGE_Efficacité'!$A$4:$AO$4,0)+62),0)</f>
        <v>0</v>
      </c>
      <c r="N97" s="139">
        <f>VLOOKUP($E97,'7. PGE_Efficacité'!$A$6:$CY$266,(MATCH('4.2 ACE EFF WOL'!N$4,'7. PGE_Efficacité'!$A$4:$AO$4,0)+62),0)</f>
        <v>0</v>
      </c>
      <c r="O97" s="139">
        <f>VLOOKUP($E97,'7. PGE_Efficacité'!$A$6:$CY$266,78,0)</f>
        <v>0</v>
      </c>
      <c r="P97" s="139">
        <f>VLOOKUP($E97,'7. PGE_Efficacité'!$A$6:$CY$266,(MATCH('4.2 ACE EFF WOL'!P$4,'7. PGE_Efficacité'!$A$4:$AO$4,0)+62),0)</f>
        <v>0</v>
      </c>
      <c r="Q97" s="139">
        <f>VLOOKUP($E97,'7. PGE_Efficacité'!$A$6:$CY$266,(MATCH('4.2 ACE EFF WOL'!Q$4,'7. PGE_Efficacité'!$A$4:$AO$4,0)+62),0)</f>
        <v>0</v>
      </c>
      <c r="R97" s="139">
        <f>VLOOKUP($E97,'7. PGE_Efficacité'!$A$6:$CY$266,(MATCH('4.2 ACE EFF WOL'!R$4,'7. PGE_Efficacité'!$A$4:$AO$4,0)+62),0)</f>
        <v>0</v>
      </c>
      <c r="S97" s="139">
        <f>VLOOKUP($E97,'7. PGE_Efficacité'!$A$6:$CY$266,(MATCH('4.2 ACE EFF WOL'!S$4,'7. PGE_Efficacité'!$A$4:$AO$4,0)+62),0)</f>
        <v>0</v>
      </c>
      <c r="T97" s="139">
        <f>VLOOKUP($E97,'7. PGE_Efficacité'!$A$6:$CY$266,(MATCH('4.2 ACE EFF WOL'!T$4,'7. PGE_Efficacité'!$A$4:$AO$4,0)+62),0)</f>
        <v>0</v>
      </c>
      <c r="U97" s="139">
        <f>VLOOKUP($E97,'7. PGE_Efficacité'!$A$6:$CY$266,(MATCH('4.2 ACE EFF WOL'!U$4,'7. PGE_Efficacité'!$A$4:$AO$4,0)+62),0)</f>
        <v>0</v>
      </c>
      <c r="V97" s="139">
        <f>VLOOKUP($E97,'7. PGE_Efficacité'!$A$6:$CY$266,(MATCH('4.2 ACE EFF WOL'!V$4,'7. PGE_Efficacité'!$A$4:$AO$4,0)+62),0)</f>
        <v>0</v>
      </c>
      <c r="W97" s="139">
        <f>VLOOKUP($E97,'7. PGE_Efficacité'!$A$6:$CY$266,(MATCH('4.2 ACE EFF WOL'!W$4,'7. PGE_Efficacité'!$A$4:$AO$4,0)+62),0)</f>
        <v>0</v>
      </c>
      <c r="X97" s="139">
        <f>VLOOKUP($E97,'7. PGE_Efficacité'!$A$6:$CY$266,(MATCH('4.2 ACE EFF WOL'!X$4,'7. PGE_Efficacité'!$A$4:$AO$4,0)+62),0)</f>
        <v>0</v>
      </c>
      <c r="Y97" s="139">
        <f>VLOOKUP($E97,'7. PGE_Efficacité'!$A$6:$CY$266,(MATCH('4.2 ACE EFF WOL'!Y$4,'7. PGE_Efficacité'!$A$4:$AO$4,0)+62),0)</f>
        <v>0</v>
      </c>
      <c r="Z97" s="139">
        <f>VLOOKUP($E97,'7. PGE_Efficacité'!$A$6:$CY$266,(MATCH('4.2 ACE EFF WOL'!Z$4,'7. PGE_Efficacité'!$A$4:$AO$4,0)+62),0)</f>
        <v>0</v>
      </c>
      <c r="AA97" s="139">
        <f>VLOOKUP($E97,'7. PGE_Efficacité'!$A$6:$CY$266,(MATCH('4.2 ACE EFF WOL'!AA$4,'7. PGE_Efficacité'!$A$4:$AO$4,0)+62),0)</f>
        <v>0</v>
      </c>
      <c r="AB97" s="139">
        <f>VLOOKUP($E97,'7. PGE_Efficacité'!$A$6:$CY$266,(MATCH('4.2 ACE EFF WOL'!AB$4,'7. PGE_Efficacité'!$A$4:$AO$4,0)+62),0)</f>
        <v>0</v>
      </c>
      <c r="AC97" s="139">
        <f>VLOOKUP($E97,'7. PGE_Efficacité'!$A$6:$CY$266,(MATCH('4.2 ACE EFF WOL'!AC$4,'7. PGE_Efficacité'!$A$4:$AO$4,0)+62),0)</f>
        <v>0</v>
      </c>
      <c r="AD97" s="139">
        <f>VLOOKUP($E97,'7. PGE_Efficacité'!$A$6:$CY$266,(MATCH('4.2 ACE EFF WOL'!AD$4,'7. PGE_Efficacité'!$A$4:$AO$4,0)+62),0)</f>
        <v>0</v>
      </c>
      <c r="AE97" s="139">
        <f>VLOOKUP($E97,'7. PGE_Efficacité'!$A$6:$CY$266,(MATCH('4.2 ACE EFF WOL'!AE$4,'7. PGE_Efficacité'!$A$4:$AO$4,0)+62),0)</f>
        <v>0</v>
      </c>
      <c r="AF97" s="139">
        <f>VLOOKUP($E97,'7. PGE_Efficacité'!$A$6:$CY$266,(MATCH('4.2 ACE EFF WOL'!AF$4,'7. PGE_Efficacité'!$A$4:$AO$4,0)+62),0)</f>
        <v>0</v>
      </c>
      <c r="AG97" s="139">
        <f>VLOOKUP($E97,'7. PGE_Efficacité'!$A$6:$CY$266,(MATCH('4.2 ACE EFF WOL'!AG$4,'7. PGE_Efficacité'!$A$4:$AO$4,0)+62),0)</f>
        <v>0</v>
      </c>
      <c r="AH97" s="139">
        <f>VLOOKUP($E97,'7. PGE_Efficacité'!$A$6:$CY$266,(MATCH('4.2 ACE EFF WOL'!AH$4,'7. PGE_Efficacité'!$A$4:$AO$4,0)+62),0)</f>
        <v>0</v>
      </c>
      <c r="AI97" s="139">
        <f>VLOOKUP($E97,'7. PGE_Efficacité'!$A$6:$CY$266,(MATCH('4.2 ACE EFF WOL'!AI$4,'7. PGE_Efficacité'!$A$4:$AO$4,0)+62),0)</f>
        <v>0</v>
      </c>
      <c r="AJ97" s="139">
        <f>VLOOKUP($E97,'7. PGE_Efficacité'!$A$6:$CY$266,(MATCH('4.2 ACE EFF WOL'!AJ$4,'7. PGE_Efficacité'!$A$4:$AO$4,0)+62),0)</f>
        <v>0</v>
      </c>
      <c r="AK97" s="139">
        <f>VLOOKUP($E97,'7. PGE_Efficacité'!$A$6:$CY$266,(MATCH('4.2 ACE EFF WOL'!AK$4,'7. PGE_Efficacité'!$A$4:$AO$4,0)+62),0)</f>
        <v>0</v>
      </c>
      <c r="AL97" s="139">
        <f>VLOOKUP($E97,'7. PGE_Efficacité'!$A$6:$CY$266,(MATCH('4.2 ACE EFF WOL'!AL$4,'7. PGE_Efficacité'!$A$4:$AO$4,0)+62),0)</f>
        <v>0</v>
      </c>
      <c r="AM97" s="139">
        <f>VLOOKUP($E97,'7. PGE_Efficacité'!$A$6:$CY$266,(MATCH('4.2 ACE EFF WOL'!AM$4,'7. PGE_Efficacité'!$A$4:$AO$4,0)+62),0)</f>
        <v>0</v>
      </c>
      <c r="AN97" s="139">
        <f>VLOOKUP($E97,'7. PGE_Efficacité'!$A$6:$CY$266,(MATCH('4.2 ACE EFF WOL'!AN$4,'7. PGE_Efficacité'!$A$4:$AO$4,0)+62),0)</f>
        <v>0</v>
      </c>
    </row>
    <row r="98" spans="1:40" outlineLevel="2" x14ac:dyDescent="0.25">
      <c r="A98" s="48" t="s">
        <v>1524</v>
      </c>
      <c r="B98" s="49">
        <v>22</v>
      </c>
      <c r="C98" s="48" t="s">
        <v>1525</v>
      </c>
      <c r="D98" s="199" t="s">
        <v>22</v>
      </c>
      <c r="E98" s="200" t="s">
        <v>744</v>
      </c>
      <c r="F98" s="200" t="s">
        <v>1401</v>
      </c>
      <c r="G98" s="201" t="s">
        <v>1521</v>
      </c>
      <c r="H98" s="200" t="s">
        <v>1290</v>
      </c>
      <c r="I98" s="202">
        <f>30000/3</f>
        <v>10000</v>
      </c>
      <c r="J98" s="139">
        <f>VLOOKUP($E98,'7. PGE_Efficacité'!$A$6:$CY$266,(MATCH('4.2 ACE EFF WOL'!J$4,'7. PGE_Efficacité'!$A$4:$AO$4,0)+62),0)</f>
        <v>0</v>
      </c>
      <c r="K98" s="139">
        <f>VLOOKUP($E98,'7. PGE_Efficacité'!$A$6:$CY$266,(MATCH('4.2 ACE EFF WOL'!K$4,'7. PGE_Efficacité'!$A$4:$AO$4,0)+62),0)</f>
        <v>0</v>
      </c>
      <c r="L98" s="139">
        <f>VLOOKUP($E98,'7. PGE_Efficacité'!$A$6:$CY$266,(MATCH('4.2 ACE EFF WOL'!L$4,'7. PGE_Efficacité'!$A$4:$AO$4,0)+62),0)</f>
        <v>0</v>
      </c>
      <c r="M98" s="139">
        <f>VLOOKUP($E98,'7. PGE_Efficacité'!$A$6:$CY$266,(MATCH('4.2 ACE EFF WOL'!M$4,'7. PGE_Efficacité'!$A$4:$AO$4,0)+62),0)</f>
        <v>0</v>
      </c>
      <c r="N98" s="139">
        <f>VLOOKUP($E98,'7. PGE_Efficacité'!$A$6:$CY$266,(MATCH('4.2 ACE EFF WOL'!N$4,'7. PGE_Efficacité'!$A$4:$AO$4,0)+62),0)</f>
        <v>0</v>
      </c>
      <c r="O98" s="139">
        <f>VLOOKUP($E98,'7. PGE_Efficacité'!$A$6:$CY$266,78,0)</f>
        <v>0</v>
      </c>
      <c r="P98" s="139">
        <f>VLOOKUP($E98,'7. PGE_Efficacité'!$A$6:$CY$266,(MATCH('4.2 ACE EFF WOL'!P$4,'7. PGE_Efficacité'!$A$4:$AO$4,0)+62),0)</f>
        <v>0</v>
      </c>
      <c r="Q98" s="139">
        <f>VLOOKUP($E98,'7. PGE_Efficacité'!$A$6:$CY$266,(MATCH('4.2 ACE EFF WOL'!Q$4,'7. PGE_Efficacité'!$A$4:$AO$4,0)+62),0)</f>
        <v>0</v>
      </c>
      <c r="R98" s="139">
        <f>VLOOKUP($E98,'7. PGE_Efficacité'!$A$6:$CY$266,(MATCH('4.2 ACE EFF WOL'!R$4,'7. PGE_Efficacité'!$A$4:$AO$4,0)+62),0)</f>
        <v>0</v>
      </c>
      <c r="S98" s="139">
        <f>VLOOKUP($E98,'7. PGE_Efficacité'!$A$6:$CY$266,(MATCH('4.2 ACE EFF WOL'!S$4,'7. PGE_Efficacité'!$A$4:$AO$4,0)+62),0)</f>
        <v>0</v>
      </c>
      <c r="T98" s="139">
        <f>VLOOKUP($E98,'7. PGE_Efficacité'!$A$6:$CY$266,(MATCH('4.2 ACE EFF WOL'!T$4,'7. PGE_Efficacité'!$A$4:$AO$4,0)+62),0)</f>
        <v>0</v>
      </c>
      <c r="U98" s="139">
        <f>VLOOKUP($E98,'7. PGE_Efficacité'!$A$6:$CY$266,(MATCH('4.2 ACE EFF WOL'!U$4,'7. PGE_Efficacité'!$A$4:$AO$4,0)+62),0)</f>
        <v>0</v>
      </c>
      <c r="V98" s="139">
        <f>VLOOKUP($E98,'7. PGE_Efficacité'!$A$6:$CY$266,(MATCH('4.2 ACE EFF WOL'!V$4,'7. PGE_Efficacité'!$A$4:$AO$4,0)+62),0)</f>
        <v>0</v>
      </c>
      <c r="W98" s="139">
        <f>VLOOKUP($E98,'7. PGE_Efficacité'!$A$6:$CY$266,(MATCH('4.2 ACE EFF WOL'!W$4,'7. PGE_Efficacité'!$A$4:$AO$4,0)+62),0)</f>
        <v>0</v>
      </c>
      <c r="X98" s="139">
        <f>VLOOKUP($E98,'7. PGE_Efficacité'!$A$6:$CY$266,(MATCH('4.2 ACE EFF WOL'!X$4,'7. PGE_Efficacité'!$A$4:$AO$4,0)+62),0)</f>
        <v>0</v>
      </c>
      <c r="Y98" s="139">
        <f>VLOOKUP($E98,'7. PGE_Efficacité'!$A$6:$CY$266,(MATCH('4.2 ACE EFF WOL'!Y$4,'7. PGE_Efficacité'!$A$4:$AO$4,0)+62),0)</f>
        <v>0</v>
      </c>
      <c r="Z98" s="139">
        <f>VLOOKUP($E98,'7. PGE_Efficacité'!$A$6:$CY$266,(MATCH('4.2 ACE EFF WOL'!Z$4,'7. PGE_Efficacité'!$A$4:$AO$4,0)+62),0)</f>
        <v>0</v>
      </c>
      <c r="AA98" s="139">
        <f>VLOOKUP($E98,'7. PGE_Efficacité'!$A$6:$CY$266,(MATCH('4.2 ACE EFF WOL'!AA$4,'7. PGE_Efficacité'!$A$4:$AO$4,0)+62),0)</f>
        <v>0</v>
      </c>
      <c r="AB98" s="139">
        <f>VLOOKUP($E98,'7. PGE_Efficacité'!$A$6:$CY$266,(MATCH('4.2 ACE EFF WOL'!AB$4,'7. PGE_Efficacité'!$A$4:$AO$4,0)+62),0)</f>
        <v>0</v>
      </c>
      <c r="AC98" s="139">
        <f>VLOOKUP($E98,'7. PGE_Efficacité'!$A$6:$CY$266,(MATCH('4.2 ACE EFF WOL'!AC$4,'7. PGE_Efficacité'!$A$4:$AO$4,0)+62),0)</f>
        <v>0</v>
      </c>
      <c r="AD98" s="139">
        <f>VLOOKUP($E98,'7. PGE_Efficacité'!$A$6:$CY$266,(MATCH('4.2 ACE EFF WOL'!AD$4,'7. PGE_Efficacité'!$A$4:$AO$4,0)+62),0)</f>
        <v>0</v>
      </c>
      <c r="AE98" s="139">
        <f>VLOOKUP($E98,'7. PGE_Efficacité'!$A$6:$CY$266,(MATCH('4.2 ACE EFF WOL'!AE$4,'7. PGE_Efficacité'!$A$4:$AO$4,0)+62),0)</f>
        <v>0</v>
      </c>
      <c r="AF98" s="139">
        <f>VLOOKUP($E98,'7. PGE_Efficacité'!$A$6:$CY$266,(MATCH('4.2 ACE EFF WOL'!AF$4,'7. PGE_Efficacité'!$A$4:$AO$4,0)+62),0)</f>
        <v>0</v>
      </c>
      <c r="AG98" s="139">
        <f>VLOOKUP($E98,'7. PGE_Efficacité'!$A$6:$CY$266,(MATCH('4.2 ACE EFF WOL'!AG$4,'7. PGE_Efficacité'!$A$4:$AO$4,0)+62),0)</f>
        <v>0</v>
      </c>
      <c r="AH98" s="139">
        <f>VLOOKUP($E98,'7. PGE_Efficacité'!$A$6:$CY$266,(MATCH('4.2 ACE EFF WOL'!AH$4,'7. PGE_Efficacité'!$A$4:$AO$4,0)+62),0)</f>
        <v>0</v>
      </c>
      <c r="AI98" s="139">
        <f>VLOOKUP($E98,'7. PGE_Efficacité'!$A$6:$CY$266,(MATCH('4.2 ACE EFF WOL'!AI$4,'7. PGE_Efficacité'!$A$4:$AO$4,0)+62),0)</f>
        <v>0</v>
      </c>
      <c r="AJ98" s="139">
        <f>VLOOKUP($E98,'7. PGE_Efficacité'!$A$6:$CY$266,(MATCH('4.2 ACE EFF WOL'!AJ$4,'7. PGE_Efficacité'!$A$4:$AO$4,0)+62),0)</f>
        <v>0</v>
      </c>
      <c r="AK98" s="139">
        <f>VLOOKUP($E98,'7. PGE_Efficacité'!$A$6:$CY$266,(MATCH('4.2 ACE EFF WOL'!AK$4,'7. PGE_Efficacité'!$A$4:$AO$4,0)+62),0)</f>
        <v>0</v>
      </c>
      <c r="AL98" s="139">
        <f>VLOOKUP($E98,'7. PGE_Efficacité'!$A$6:$CY$266,(MATCH('4.2 ACE EFF WOL'!AL$4,'7. PGE_Efficacité'!$A$4:$AO$4,0)+62),0)</f>
        <v>0</v>
      </c>
      <c r="AM98" s="139">
        <f>VLOOKUP($E98,'7. PGE_Efficacité'!$A$6:$CY$266,(MATCH('4.2 ACE EFF WOL'!AM$4,'7. PGE_Efficacité'!$A$4:$AO$4,0)+62),0)</f>
        <v>0</v>
      </c>
      <c r="AN98" s="139">
        <f>VLOOKUP($E98,'7. PGE_Efficacité'!$A$6:$CY$266,(MATCH('4.2 ACE EFF WOL'!AN$4,'7. PGE_Efficacité'!$A$4:$AO$4,0)+62),0)</f>
        <v>0</v>
      </c>
    </row>
    <row r="99" spans="1:40" outlineLevel="2" x14ac:dyDescent="0.25">
      <c r="A99" s="48" t="s">
        <v>1524</v>
      </c>
      <c r="B99" s="49">
        <v>22</v>
      </c>
      <c r="C99" s="48" t="s">
        <v>1527</v>
      </c>
      <c r="D99" s="199" t="s">
        <v>22</v>
      </c>
      <c r="E99" s="200" t="s">
        <v>745</v>
      </c>
      <c r="F99" s="200" t="s">
        <v>1402</v>
      </c>
      <c r="G99" s="201" t="s">
        <v>1521</v>
      </c>
      <c r="H99" s="200" t="s">
        <v>1290</v>
      </c>
      <c r="I99" s="202">
        <f>30000/3</f>
        <v>10000</v>
      </c>
      <c r="J99" s="139">
        <f>VLOOKUP($E99,'7. PGE_Efficacité'!$A$6:$CY$266,(MATCH('4.2 ACE EFF WOL'!J$4,'7. PGE_Efficacité'!$A$4:$AO$4,0)+62),0)</f>
        <v>0</v>
      </c>
      <c r="K99" s="139">
        <f>VLOOKUP($E99,'7. PGE_Efficacité'!$A$6:$CY$266,(MATCH('4.2 ACE EFF WOL'!K$4,'7. PGE_Efficacité'!$A$4:$AO$4,0)+62),0)</f>
        <v>0</v>
      </c>
      <c r="L99" s="139">
        <f>VLOOKUP($E99,'7. PGE_Efficacité'!$A$6:$CY$266,(MATCH('4.2 ACE EFF WOL'!L$4,'7. PGE_Efficacité'!$A$4:$AO$4,0)+62),0)</f>
        <v>0</v>
      </c>
      <c r="M99" s="139">
        <f>VLOOKUP($E99,'7. PGE_Efficacité'!$A$6:$CY$266,(MATCH('4.2 ACE EFF WOL'!M$4,'7. PGE_Efficacité'!$A$4:$AO$4,0)+62),0)</f>
        <v>0</v>
      </c>
      <c r="N99" s="139">
        <f>VLOOKUP($E99,'7. PGE_Efficacité'!$A$6:$CY$266,(MATCH('4.2 ACE EFF WOL'!N$4,'7. PGE_Efficacité'!$A$4:$AO$4,0)+62),0)</f>
        <v>0</v>
      </c>
      <c r="O99" s="139">
        <f>VLOOKUP($E99,'7. PGE_Efficacité'!$A$6:$CY$266,78,0)</f>
        <v>0</v>
      </c>
      <c r="P99" s="139">
        <f>VLOOKUP($E99,'7. PGE_Efficacité'!$A$6:$CY$266,(MATCH('4.2 ACE EFF WOL'!P$4,'7. PGE_Efficacité'!$A$4:$AO$4,0)+62),0)</f>
        <v>0</v>
      </c>
      <c r="Q99" s="139">
        <f>VLOOKUP($E99,'7. PGE_Efficacité'!$A$6:$CY$266,(MATCH('4.2 ACE EFF WOL'!Q$4,'7. PGE_Efficacité'!$A$4:$AO$4,0)+62),0)</f>
        <v>0</v>
      </c>
      <c r="R99" s="139">
        <f>VLOOKUP($E99,'7. PGE_Efficacité'!$A$6:$CY$266,(MATCH('4.2 ACE EFF WOL'!R$4,'7. PGE_Efficacité'!$A$4:$AO$4,0)+62),0)</f>
        <v>0</v>
      </c>
      <c r="S99" s="139">
        <f>VLOOKUP($E99,'7. PGE_Efficacité'!$A$6:$CY$266,(MATCH('4.2 ACE EFF WOL'!S$4,'7. PGE_Efficacité'!$A$4:$AO$4,0)+62),0)</f>
        <v>0</v>
      </c>
      <c r="T99" s="139">
        <f>VLOOKUP($E99,'7. PGE_Efficacité'!$A$6:$CY$266,(MATCH('4.2 ACE EFF WOL'!T$4,'7. PGE_Efficacité'!$A$4:$AO$4,0)+62),0)</f>
        <v>0</v>
      </c>
      <c r="U99" s="139">
        <f>VLOOKUP($E99,'7. PGE_Efficacité'!$A$6:$CY$266,(MATCH('4.2 ACE EFF WOL'!U$4,'7. PGE_Efficacité'!$A$4:$AO$4,0)+62),0)</f>
        <v>0</v>
      </c>
      <c r="V99" s="139">
        <f>VLOOKUP($E99,'7. PGE_Efficacité'!$A$6:$CY$266,(MATCH('4.2 ACE EFF WOL'!V$4,'7. PGE_Efficacité'!$A$4:$AO$4,0)+62),0)</f>
        <v>0</v>
      </c>
      <c r="W99" s="139">
        <f>VLOOKUP($E99,'7. PGE_Efficacité'!$A$6:$CY$266,(MATCH('4.2 ACE EFF WOL'!W$4,'7. PGE_Efficacité'!$A$4:$AO$4,0)+62),0)</f>
        <v>0</v>
      </c>
      <c r="X99" s="139">
        <f>VLOOKUP($E99,'7. PGE_Efficacité'!$A$6:$CY$266,(MATCH('4.2 ACE EFF WOL'!X$4,'7. PGE_Efficacité'!$A$4:$AO$4,0)+62),0)</f>
        <v>0</v>
      </c>
      <c r="Y99" s="139">
        <f>VLOOKUP($E99,'7. PGE_Efficacité'!$A$6:$CY$266,(MATCH('4.2 ACE EFF WOL'!Y$4,'7. PGE_Efficacité'!$A$4:$AO$4,0)+62),0)</f>
        <v>0</v>
      </c>
      <c r="Z99" s="139">
        <f>VLOOKUP($E99,'7. PGE_Efficacité'!$A$6:$CY$266,(MATCH('4.2 ACE EFF WOL'!Z$4,'7. PGE_Efficacité'!$A$4:$AO$4,0)+62),0)</f>
        <v>0</v>
      </c>
      <c r="AA99" s="139">
        <f>VLOOKUP($E99,'7. PGE_Efficacité'!$A$6:$CY$266,(MATCH('4.2 ACE EFF WOL'!AA$4,'7. PGE_Efficacité'!$A$4:$AO$4,0)+62),0)</f>
        <v>0</v>
      </c>
      <c r="AB99" s="139">
        <f>VLOOKUP($E99,'7. PGE_Efficacité'!$A$6:$CY$266,(MATCH('4.2 ACE EFF WOL'!AB$4,'7. PGE_Efficacité'!$A$4:$AO$4,0)+62),0)</f>
        <v>0</v>
      </c>
      <c r="AC99" s="139">
        <f>VLOOKUP($E99,'7. PGE_Efficacité'!$A$6:$CY$266,(MATCH('4.2 ACE EFF WOL'!AC$4,'7. PGE_Efficacité'!$A$4:$AO$4,0)+62),0)</f>
        <v>0</v>
      </c>
      <c r="AD99" s="139">
        <f>VLOOKUP($E99,'7. PGE_Efficacité'!$A$6:$CY$266,(MATCH('4.2 ACE EFF WOL'!AD$4,'7. PGE_Efficacité'!$A$4:$AO$4,0)+62),0)</f>
        <v>0</v>
      </c>
      <c r="AE99" s="139">
        <f>VLOOKUP($E99,'7. PGE_Efficacité'!$A$6:$CY$266,(MATCH('4.2 ACE EFF WOL'!AE$4,'7. PGE_Efficacité'!$A$4:$AO$4,0)+62),0)</f>
        <v>0</v>
      </c>
      <c r="AF99" s="139">
        <f>VLOOKUP($E99,'7. PGE_Efficacité'!$A$6:$CY$266,(MATCH('4.2 ACE EFF WOL'!AF$4,'7. PGE_Efficacité'!$A$4:$AO$4,0)+62),0)</f>
        <v>0</v>
      </c>
      <c r="AG99" s="139">
        <f>VLOOKUP($E99,'7. PGE_Efficacité'!$A$6:$CY$266,(MATCH('4.2 ACE EFF WOL'!AG$4,'7. PGE_Efficacité'!$A$4:$AO$4,0)+62),0)</f>
        <v>0</v>
      </c>
      <c r="AH99" s="139">
        <f>VLOOKUP($E99,'7. PGE_Efficacité'!$A$6:$CY$266,(MATCH('4.2 ACE EFF WOL'!AH$4,'7. PGE_Efficacité'!$A$4:$AO$4,0)+62),0)</f>
        <v>0</v>
      </c>
      <c r="AI99" s="139">
        <f>VLOOKUP($E99,'7. PGE_Efficacité'!$A$6:$CY$266,(MATCH('4.2 ACE EFF WOL'!AI$4,'7. PGE_Efficacité'!$A$4:$AO$4,0)+62),0)</f>
        <v>0</v>
      </c>
      <c r="AJ99" s="139">
        <f>VLOOKUP($E99,'7. PGE_Efficacité'!$A$6:$CY$266,(MATCH('4.2 ACE EFF WOL'!AJ$4,'7. PGE_Efficacité'!$A$4:$AO$4,0)+62),0)</f>
        <v>0</v>
      </c>
      <c r="AK99" s="139">
        <f>VLOOKUP($E99,'7. PGE_Efficacité'!$A$6:$CY$266,(MATCH('4.2 ACE EFF WOL'!AK$4,'7. PGE_Efficacité'!$A$4:$AO$4,0)+62),0)</f>
        <v>0</v>
      </c>
      <c r="AL99" s="139">
        <f>VLOOKUP($E99,'7. PGE_Efficacité'!$A$6:$CY$266,(MATCH('4.2 ACE EFF WOL'!AL$4,'7. PGE_Efficacité'!$A$4:$AO$4,0)+62),0)</f>
        <v>0</v>
      </c>
      <c r="AM99" s="139">
        <f>VLOOKUP($E99,'7. PGE_Efficacité'!$A$6:$CY$266,(MATCH('4.2 ACE EFF WOL'!AM$4,'7. PGE_Efficacité'!$A$4:$AO$4,0)+62),0)</f>
        <v>0</v>
      </c>
      <c r="AN99" s="139">
        <f>VLOOKUP($E99,'7. PGE_Efficacité'!$A$6:$CY$266,(MATCH('4.2 ACE EFF WOL'!AN$4,'7. PGE_Efficacité'!$A$4:$AO$4,0)+62),0)</f>
        <v>0</v>
      </c>
    </row>
    <row r="100" spans="1:40" outlineLevel="2" x14ac:dyDescent="0.25">
      <c r="A100" s="48" t="s">
        <v>1524</v>
      </c>
      <c r="B100" s="49">
        <v>22</v>
      </c>
      <c r="C100" s="48" t="s">
        <v>410</v>
      </c>
      <c r="D100" s="199" t="s">
        <v>22</v>
      </c>
      <c r="E100" s="200" t="s">
        <v>747</v>
      </c>
      <c r="F100" s="200" t="s">
        <v>1404</v>
      </c>
      <c r="G100" s="201" t="s">
        <v>1521</v>
      </c>
      <c r="H100" s="200" t="s">
        <v>1290</v>
      </c>
      <c r="I100" s="202">
        <f>315000/3</f>
        <v>105000</v>
      </c>
      <c r="J100" s="139">
        <f>VLOOKUP($E100,'7. PGE_Efficacité'!$A$6:$CY$266,(MATCH('4.2 ACE EFF WOL'!J$4,'7. PGE_Efficacité'!$A$4:$AO$4,0)+62),0)</f>
        <v>0</v>
      </c>
      <c r="K100" s="139">
        <f>VLOOKUP($E100,'7. PGE_Efficacité'!$A$6:$CY$266,(MATCH('4.2 ACE EFF WOL'!K$4,'7. PGE_Efficacité'!$A$4:$AO$4,0)+62),0)</f>
        <v>0</v>
      </c>
      <c r="L100" s="139">
        <f>VLOOKUP($E100,'7. PGE_Efficacité'!$A$6:$CY$266,(MATCH('4.2 ACE EFF WOL'!L$4,'7. PGE_Efficacité'!$A$4:$AO$4,0)+62),0)</f>
        <v>0</v>
      </c>
      <c r="M100" s="139">
        <f>VLOOKUP($E100,'7. PGE_Efficacité'!$A$6:$CY$266,(MATCH('4.2 ACE EFF WOL'!M$4,'7. PGE_Efficacité'!$A$4:$AO$4,0)+62),0)</f>
        <v>0</v>
      </c>
      <c r="N100" s="139">
        <f>VLOOKUP($E100,'7. PGE_Efficacité'!$A$6:$CY$266,(MATCH('4.2 ACE EFF WOL'!N$4,'7. PGE_Efficacité'!$A$4:$AO$4,0)+62),0)</f>
        <v>0</v>
      </c>
      <c r="O100" s="139">
        <f>VLOOKUP($E100,'7. PGE_Efficacité'!$A$6:$CY$266,78,0)</f>
        <v>0</v>
      </c>
      <c r="P100" s="139">
        <f>VLOOKUP($E100,'7. PGE_Efficacité'!$A$6:$CY$266,(MATCH('4.2 ACE EFF WOL'!P$4,'7. PGE_Efficacité'!$A$4:$AO$4,0)+62),0)</f>
        <v>0</v>
      </c>
      <c r="Q100" s="139">
        <f>VLOOKUP($E100,'7. PGE_Efficacité'!$A$6:$CY$266,(MATCH('4.2 ACE EFF WOL'!Q$4,'7. PGE_Efficacité'!$A$4:$AO$4,0)+62),0)</f>
        <v>0</v>
      </c>
      <c r="R100" s="139">
        <f>VLOOKUP($E100,'7. PGE_Efficacité'!$A$6:$CY$266,(MATCH('4.2 ACE EFF WOL'!R$4,'7. PGE_Efficacité'!$A$4:$AO$4,0)+62),0)</f>
        <v>0</v>
      </c>
      <c r="S100" s="139">
        <f>VLOOKUP($E100,'7. PGE_Efficacité'!$A$6:$CY$266,(MATCH('4.2 ACE EFF WOL'!S$4,'7. PGE_Efficacité'!$A$4:$AO$4,0)+62),0)</f>
        <v>0</v>
      </c>
      <c r="T100" s="139">
        <f>VLOOKUP($E100,'7. PGE_Efficacité'!$A$6:$CY$266,(MATCH('4.2 ACE EFF WOL'!T$4,'7. PGE_Efficacité'!$A$4:$AO$4,0)+62),0)</f>
        <v>0</v>
      </c>
      <c r="U100" s="139">
        <f>VLOOKUP($E100,'7. PGE_Efficacité'!$A$6:$CY$266,(MATCH('4.2 ACE EFF WOL'!U$4,'7. PGE_Efficacité'!$A$4:$AO$4,0)+62),0)</f>
        <v>0</v>
      </c>
      <c r="V100" s="139">
        <f>VLOOKUP($E100,'7. PGE_Efficacité'!$A$6:$CY$266,(MATCH('4.2 ACE EFF WOL'!V$4,'7. PGE_Efficacité'!$A$4:$AO$4,0)+62),0)</f>
        <v>0</v>
      </c>
      <c r="W100" s="139">
        <f>VLOOKUP($E100,'7. PGE_Efficacité'!$A$6:$CY$266,(MATCH('4.2 ACE EFF WOL'!W$4,'7. PGE_Efficacité'!$A$4:$AO$4,0)+62),0)</f>
        <v>0</v>
      </c>
      <c r="X100" s="139">
        <f>VLOOKUP($E100,'7. PGE_Efficacité'!$A$6:$CY$266,(MATCH('4.2 ACE EFF WOL'!X$4,'7. PGE_Efficacité'!$A$4:$AO$4,0)+62),0)</f>
        <v>0</v>
      </c>
      <c r="Y100" s="139">
        <f>VLOOKUP($E100,'7. PGE_Efficacité'!$A$6:$CY$266,(MATCH('4.2 ACE EFF WOL'!Y$4,'7. PGE_Efficacité'!$A$4:$AO$4,0)+62),0)</f>
        <v>0</v>
      </c>
      <c r="Z100" s="139">
        <f>VLOOKUP($E100,'7. PGE_Efficacité'!$A$6:$CY$266,(MATCH('4.2 ACE EFF WOL'!Z$4,'7. PGE_Efficacité'!$A$4:$AO$4,0)+62),0)</f>
        <v>0</v>
      </c>
      <c r="AA100" s="139">
        <f>VLOOKUP($E100,'7. PGE_Efficacité'!$A$6:$CY$266,(MATCH('4.2 ACE EFF WOL'!AA$4,'7. PGE_Efficacité'!$A$4:$AO$4,0)+62),0)</f>
        <v>0</v>
      </c>
      <c r="AB100" s="139">
        <f>VLOOKUP($E100,'7. PGE_Efficacité'!$A$6:$CY$266,(MATCH('4.2 ACE EFF WOL'!AB$4,'7. PGE_Efficacité'!$A$4:$AO$4,0)+62),0)</f>
        <v>0</v>
      </c>
      <c r="AC100" s="139">
        <f>VLOOKUP($E100,'7. PGE_Efficacité'!$A$6:$CY$266,(MATCH('4.2 ACE EFF WOL'!AC$4,'7. PGE_Efficacité'!$A$4:$AO$4,0)+62),0)</f>
        <v>0</v>
      </c>
      <c r="AD100" s="139">
        <f>VLOOKUP($E100,'7. PGE_Efficacité'!$A$6:$CY$266,(MATCH('4.2 ACE EFF WOL'!AD$4,'7. PGE_Efficacité'!$A$4:$AO$4,0)+62),0)</f>
        <v>0</v>
      </c>
      <c r="AE100" s="139">
        <f>VLOOKUP($E100,'7. PGE_Efficacité'!$A$6:$CY$266,(MATCH('4.2 ACE EFF WOL'!AE$4,'7. PGE_Efficacité'!$A$4:$AO$4,0)+62),0)</f>
        <v>0</v>
      </c>
      <c r="AF100" s="139">
        <f>VLOOKUP($E100,'7. PGE_Efficacité'!$A$6:$CY$266,(MATCH('4.2 ACE EFF WOL'!AF$4,'7. PGE_Efficacité'!$A$4:$AO$4,0)+62),0)</f>
        <v>0</v>
      </c>
      <c r="AG100" s="139">
        <f>VLOOKUP($E100,'7. PGE_Efficacité'!$A$6:$CY$266,(MATCH('4.2 ACE EFF WOL'!AG$4,'7. PGE_Efficacité'!$A$4:$AO$4,0)+62),0)</f>
        <v>0</v>
      </c>
      <c r="AH100" s="139">
        <f>VLOOKUP($E100,'7. PGE_Efficacité'!$A$6:$CY$266,(MATCH('4.2 ACE EFF WOL'!AH$4,'7. PGE_Efficacité'!$A$4:$AO$4,0)+62),0)</f>
        <v>0</v>
      </c>
      <c r="AI100" s="139">
        <f>VLOOKUP($E100,'7. PGE_Efficacité'!$A$6:$CY$266,(MATCH('4.2 ACE EFF WOL'!AI$4,'7. PGE_Efficacité'!$A$4:$AO$4,0)+62),0)</f>
        <v>0</v>
      </c>
      <c r="AJ100" s="139">
        <f>VLOOKUP($E100,'7. PGE_Efficacité'!$A$6:$CY$266,(MATCH('4.2 ACE EFF WOL'!AJ$4,'7. PGE_Efficacité'!$A$4:$AO$4,0)+62),0)</f>
        <v>0</v>
      </c>
      <c r="AK100" s="139">
        <f>VLOOKUP($E100,'7. PGE_Efficacité'!$A$6:$CY$266,(MATCH('4.2 ACE EFF WOL'!AK$4,'7. PGE_Efficacité'!$A$4:$AO$4,0)+62),0)</f>
        <v>0</v>
      </c>
      <c r="AL100" s="139">
        <f>VLOOKUP($E100,'7. PGE_Efficacité'!$A$6:$CY$266,(MATCH('4.2 ACE EFF WOL'!AL$4,'7. PGE_Efficacité'!$A$4:$AO$4,0)+62),0)</f>
        <v>0</v>
      </c>
      <c r="AM100" s="139">
        <f>VLOOKUP($E100,'7. PGE_Efficacité'!$A$6:$CY$266,(MATCH('4.2 ACE EFF WOL'!AM$4,'7. PGE_Efficacité'!$A$4:$AO$4,0)+62),0)</f>
        <v>0</v>
      </c>
      <c r="AN100" s="139">
        <f>VLOOKUP($E100,'7. PGE_Efficacité'!$A$6:$CY$266,(MATCH('4.2 ACE EFF WOL'!AN$4,'7. PGE_Efficacité'!$A$4:$AO$4,0)+62),0)</f>
        <v>0</v>
      </c>
    </row>
    <row r="101" spans="1:40" outlineLevel="2" x14ac:dyDescent="0.25">
      <c r="A101" s="48" t="s">
        <v>1524</v>
      </c>
      <c r="B101" s="49">
        <v>22</v>
      </c>
      <c r="C101" s="48" t="s">
        <v>1529</v>
      </c>
      <c r="D101" s="199" t="s">
        <v>22</v>
      </c>
      <c r="E101" s="200" t="s">
        <v>748</v>
      </c>
      <c r="F101" s="200" t="s">
        <v>1405</v>
      </c>
      <c r="G101" s="201" t="s">
        <v>1521</v>
      </c>
      <c r="H101" s="200" t="s">
        <v>1290</v>
      </c>
      <c r="I101" s="202">
        <f>60000/3</f>
        <v>20000</v>
      </c>
      <c r="J101" s="139">
        <f>VLOOKUP($E101,'7. PGE_Efficacité'!$A$6:$CY$266,(MATCH('4.2 ACE EFF WOL'!J$4,'7. PGE_Efficacité'!$A$4:$AO$4,0)+62),0)</f>
        <v>0</v>
      </c>
      <c r="K101" s="139">
        <f>VLOOKUP($E101,'7. PGE_Efficacité'!$A$6:$CY$266,(MATCH('4.2 ACE EFF WOL'!K$4,'7. PGE_Efficacité'!$A$4:$AO$4,0)+62),0)</f>
        <v>0</v>
      </c>
      <c r="L101" s="139">
        <f>VLOOKUP($E101,'7. PGE_Efficacité'!$A$6:$CY$266,(MATCH('4.2 ACE EFF WOL'!L$4,'7. PGE_Efficacité'!$A$4:$AO$4,0)+62),0)</f>
        <v>0</v>
      </c>
      <c r="M101" s="139">
        <f>VLOOKUP($E101,'7. PGE_Efficacité'!$A$6:$CY$266,(MATCH('4.2 ACE EFF WOL'!M$4,'7. PGE_Efficacité'!$A$4:$AO$4,0)+62),0)</f>
        <v>0</v>
      </c>
      <c r="N101" s="139">
        <f>VLOOKUP($E101,'7. PGE_Efficacité'!$A$6:$CY$266,(MATCH('4.2 ACE EFF WOL'!N$4,'7. PGE_Efficacité'!$A$4:$AO$4,0)+62),0)</f>
        <v>0</v>
      </c>
      <c r="O101" s="139">
        <f>VLOOKUP($E101,'7. PGE_Efficacité'!$A$6:$CY$266,78,0)</f>
        <v>0</v>
      </c>
      <c r="P101" s="139">
        <f>VLOOKUP($E101,'7. PGE_Efficacité'!$A$6:$CY$266,(MATCH('4.2 ACE EFF WOL'!P$4,'7. PGE_Efficacité'!$A$4:$AO$4,0)+62),0)</f>
        <v>0</v>
      </c>
      <c r="Q101" s="139">
        <f>VLOOKUP($E101,'7. PGE_Efficacité'!$A$6:$CY$266,(MATCH('4.2 ACE EFF WOL'!Q$4,'7. PGE_Efficacité'!$A$4:$AO$4,0)+62),0)</f>
        <v>0</v>
      </c>
      <c r="R101" s="139">
        <f>VLOOKUP($E101,'7. PGE_Efficacité'!$A$6:$CY$266,(MATCH('4.2 ACE EFF WOL'!R$4,'7. PGE_Efficacité'!$A$4:$AO$4,0)+62),0)</f>
        <v>0</v>
      </c>
      <c r="S101" s="139">
        <f>VLOOKUP($E101,'7. PGE_Efficacité'!$A$6:$CY$266,(MATCH('4.2 ACE EFF WOL'!S$4,'7. PGE_Efficacité'!$A$4:$AO$4,0)+62),0)</f>
        <v>0</v>
      </c>
      <c r="T101" s="139">
        <f>VLOOKUP($E101,'7. PGE_Efficacité'!$A$6:$CY$266,(MATCH('4.2 ACE EFF WOL'!T$4,'7. PGE_Efficacité'!$A$4:$AO$4,0)+62),0)</f>
        <v>0</v>
      </c>
      <c r="U101" s="139">
        <f>VLOOKUP($E101,'7. PGE_Efficacité'!$A$6:$CY$266,(MATCH('4.2 ACE EFF WOL'!U$4,'7. PGE_Efficacité'!$A$4:$AO$4,0)+62),0)</f>
        <v>0</v>
      </c>
      <c r="V101" s="139">
        <f>VLOOKUP($E101,'7. PGE_Efficacité'!$A$6:$CY$266,(MATCH('4.2 ACE EFF WOL'!V$4,'7. PGE_Efficacité'!$A$4:$AO$4,0)+62),0)</f>
        <v>0</v>
      </c>
      <c r="W101" s="139">
        <f>VLOOKUP($E101,'7. PGE_Efficacité'!$A$6:$CY$266,(MATCH('4.2 ACE EFF WOL'!W$4,'7. PGE_Efficacité'!$A$4:$AO$4,0)+62),0)</f>
        <v>0</v>
      </c>
      <c r="X101" s="139">
        <f>VLOOKUP($E101,'7. PGE_Efficacité'!$A$6:$CY$266,(MATCH('4.2 ACE EFF WOL'!X$4,'7. PGE_Efficacité'!$A$4:$AO$4,0)+62),0)</f>
        <v>0</v>
      </c>
      <c r="Y101" s="139">
        <f>VLOOKUP($E101,'7. PGE_Efficacité'!$A$6:$CY$266,(MATCH('4.2 ACE EFF WOL'!Y$4,'7. PGE_Efficacité'!$A$4:$AO$4,0)+62),0)</f>
        <v>0</v>
      </c>
      <c r="Z101" s="139">
        <f>VLOOKUP($E101,'7. PGE_Efficacité'!$A$6:$CY$266,(MATCH('4.2 ACE EFF WOL'!Z$4,'7. PGE_Efficacité'!$A$4:$AO$4,0)+62),0)</f>
        <v>0</v>
      </c>
      <c r="AA101" s="139">
        <f>VLOOKUP($E101,'7. PGE_Efficacité'!$A$6:$CY$266,(MATCH('4.2 ACE EFF WOL'!AA$4,'7. PGE_Efficacité'!$A$4:$AO$4,0)+62),0)</f>
        <v>0</v>
      </c>
      <c r="AB101" s="139">
        <f>VLOOKUP($E101,'7. PGE_Efficacité'!$A$6:$CY$266,(MATCH('4.2 ACE EFF WOL'!AB$4,'7. PGE_Efficacité'!$A$4:$AO$4,0)+62),0)</f>
        <v>0</v>
      </c>
      <c r="AC101" s="139">
        <f>VLOOKUP($E101,'7. PGE_Efficacité'!$A$6:$CY$266,(MATCH('4.2 ACE EFF WOL'!AC$4,'7. PGE_Efficacité'!$A$4:$AO$4,0)+62),0)</f>
        <v>0</v>
      </c>
      <c r="AD101" s="139">
        <f>VLOOKUP($E101,'7. PGE_Efficacité'!$A$6:$CY$266,(MATCH('4.2 ACE EFF WOL'!AD$4,'7. PGE_Efficacité'!$A$4:$AO$4,0)+62),0)</f>
        <v>0</v>
      </c>
      <c r="AE101" s="139">
        <f>VLOOKUP($E101,'7. PGE_Efficacité'!$A$6:$CY$266,(MATCH('4.2 ACE EFF WOL'!AE$4,'7. PGE_Efficacité'!$A$4:$AO$4,0)+62),0)</f>
        <v>0</v>
      </c>
      <c r="AF101" s="139">
        <f>VLOOKUP($E101,'7. PGE_Efficacité'!$A$6:$CY$266,(MATCH('4.2 ACE EFF WOL'!AF$4,'7. PGE_Efficacité'!$A$4:$AO$4,0)+62),0)</f>
        <v>0</v>
      </c>
      <c r="AG101" s="139">
        <f>VLOOKUP($E101,'7. PGE_Efficacité'!$A$6:$CY$266,(MATCH('4.2 ACE EFF WOL'!AG$4,'7. PGE_Efficacité'!$A$4:$AO$4,0)+62),0)</f>
        <v>0</v>
      </c>
      <c r="AH101" s="139">
        <f>VLOOKUP($E101,'7. PGE_Efficacité'!$A$6:$CY$266,(MATCH('4.2 ACE EFF WOL'!AH$4,'7. PGE_Efficacité'!$A$4:$AO$4,0)+62),0)</f>
        <v>0</v>
      </c>
      <c r="AI101" s="139">
        <f>VLOOKUP($E101,'7. PGE_Efficacité'!$A$6:$CY$266,(MATCH('4.2 ACE EFF WOL'!AI$4,'7. PGE_Efficacité'!$A$4:$AO$4,0)+62),0)</f>
        <v>0</v>
      </c>
      <c r="AJ101" s="139">
        <f>VLOOKUP($E101,'7. PGE_Efficacité'!$A$6:$CY$266,(MATCH('4.2 ACE EFF WOL'!AJ$4,'7. PGE_Efficacité'!$A$4:$AO$4,0)+62),0)</f>
        <v>0</v>
      </c>
      <c r="AK101" s="139">
        <f>VLOOKUP($E101,'7. PGE_Efficacité'!$A$6:$CY$266,(MATCH('4.2 ACE EFF WOL'!AK$4,'7. PGE_Efficacité'!$A$4:$AO$4,0)+62),0)</f>
        <v>0</v>
      </c>
      <c r="AL101" s="139">
        <f>VLOOKUP($E101,'7. PGE_Efficacité'!$A$6:$CY$266,(MATCH('4.2 ACE EFF WOL'!AL$4,'7. PGE_Efficacité'!$A$4:$AO$4,0)+62),0)</f>
        <v>0</v>
      </c>
      <c r="AM101" s="139">
        <f>VLOOKUP($E101,'7. PGE_Efficacité'!$A$6:$CY$266,(MATCH('4.2 ACE EFF WOL'!AM$4,'7. PGE_Efficacité'!$A$4:$AO$4,0)+62),0)</f>
        <v>0</v>
      </c>
      <c r="AN101" s="139">
        <f>VLOOKUP($E101,'7. PGE_Efficacité'!$A$6:$CY$266,(MATCH('4.2 ACE EFF WOL'!AN$4,'7. PGE_Efficacité'!$A$4:$AO$4,0)+62),0)</f>
        <v>0</v>
      </c>
    </row>
    <row r="102" spans="1:40" outlineLevel="2" x14ac:dyDescent="0.25">
      <c r="A102" s="48" t="s">
        <v>1524</v>
      </c>
      <c r="B102" s="49">
        <v>22</v>
      </c>
      <c r="C102" s="48" t="s">
        <v>1530</v>
      </c>
      <c r="D102" s="199" t="s">
        <v>22</v>
      </c>
      <c r="E102" s="200" t="s">
        <v>749</v>
      </c>
      <c r="F102" s="200" t="s">
        <v>1406</v>
      </c>
      <c r="G102" s="201" t="s">
        <v>1521</v>
      </c>
      <c r="H102" s="200" t="s">
        <v>1290</v>
      </c>
      <c r="I102" s="202">
        <f>20000/3</f>
        <v>6666.666666666667</v>
      </c>
      <c r="J102" s="139">
        <f>VLOOKUP($E102,'7. PGE_Efficacité'!$A$6:$CY$266,(MATCH('4.2 ACE EFF WOL'!J$4,'7. PGE_Efficacité'!$A$4:$AO$4,0)+62),0)</f>
        <v>0</v>
      </c>
      <c r="K102" s="139">
        <f>VLOOKUP($E102,'7. PGE_Efficacité'!$A$6:$CY$266,(MATCH('4.2 ACE EFF WOL'!K$4,'7. PGE_Efficacité'!$A$4:$AO$4,0)+62),0)</f>
        <v>0</v>
      </c>
      <c r="L102" s="139">
        <f>VLOOKUP($E102,'7. PGE_Efficacité'!$A$6:$CY$266,(MATCH('4.2 ACE EFF WOL'!L$4,'7. PGE_Efficacité'!$A$4:$AO$4,0)+62),0)</f>
        <v>0</v>
      </c>
      <c r="M102" s="139">
        <f>VLOOKUP($E102,'7. PGE_Efficacité'!$A$6:$CY$266,(MATCH('4.2 ACE EFF WOL'!M$4,'7. PGE_Efficacité'!$A$4:$AO$4,0)+62),0)</f>
        <v>0</v>
      </c>
      <c r="N102" s="139">
        <f>VLOOKUP($E102,'7. PGE_Efficacité'!$A$6:$CY$266,(MATCH('4.2 ACE EFF WOL'!N$4,'7. PGE_Efficacité'!$A$4:$AO$4,0)+62),0)</f>
        <v>0</v>
      </c>
      <c r="O102" s="139">
        <f>VLOOKUP($E102,'7. PGE_Efficacité'!$A$6:$CY$266,78,0)</f>
        <v>0</v>
      </c>
      <c r="P102" s="139">
        <f>VLOOKUP($E102,'7. PGE_Efficacité'!$A$6:$CY$266,(MATCH('4.2 ACE EFF WOL'!P$4,'7. PGE_Efficacité'!$A$4:$AO$4,0)+62),0)</f>
        <v>0</v>
      </c>
      <c r="Q102" s="139">
        <f>VLOOKUP($E102,'7. PGE_Efficacité'!$A$6:$CY$266,(MATCH('4.2 ACE EFF WOL'!Q$4,'7. PGE_Efficacité'!$A$4:$AO$4,0)+62),0)</f>
        <v>0</v>
      </c>
      <c r="R102" s="139">
        <f>VLOOKUP($E102,'7. PGE_Efficacité'!$A$6:$CY$266,(MATCH('4.2 ACE EFF WOL'!R$4,'7. PGE_Efficacité'!$A$4:$AO$4,0)+62),0)</f>
        <v>0</v>
      </c>
      <c r="S102" s="139">
        <f>VLOOKUP($E102,'7. PGE_Efficacité'!$A$6:$CY$266,(MATCH('4.2 ACE EFF WOL'!S$4,'7. PGE_Efficacité'!$A$4:$AO$4,0)+62),0)</f>
        <v>0</v>
      </c>
      <c r="T102" s="139">
        <f>VLOOKUP($E102,'7. PGE_Efficacité'!$A$6:$CY$266,(MATCH('4.2 ACE EFF WOL'!T$4,'7. PGE_Efficacité'!$A$4:$AO$4,0)+62),0)</f>
        <v>0</v>
      </c>
      <c r="U102" s="139">
        <f>VLOOKUP($E102,'7. PGE_Efficacité'!$A$6:$CY$266,(MATCH('4.2 ACE EFF WOL'!U$4,'7. PGE_Efficacité'!$A$4:$AO$4,0)+62),0)</f>
        <v>0</v>
      </c>
      <c r="V102" s="139">
        <f>VLOOKUP($E102,'7. PGE_Efficacité'!$A$6:$CY$266,(MATCH('4.2 ACE EFF WOL'!V$4,'7. PGE_Efficacité'!$A$4:$AO$4,0)+62),0)</f>
        <v>0</v>
      </c>
      <c r="W102" s="139">
        <f>VLOOKUP($E102,'7. PGE_Efficacité'!$A$6:$CY$266,(MATCH('4.2 ACE EFF WOL'!W$4,'7. PGE_Efficacité'!$A$4:$AO$4,0)+62),0)</f>
        <v>0</v>
      </c>
      <c r="X102" s="139">
        <f>VLOOKUP($E102,'7. PGE_Efficacité'!$A$6:$CY$266,(MATCH('4.2 ACE EFF WOL'!X$4,'7. PGE_Efficacité'!$A$4:$AO$4,0)+62),0)</f>
        <v>0</v>
      </c>
      <c r="Y102" s="139">
        <f>VLOOKUP($E102,'7. PGE_Efficacité'!$A$6:$CY$266,(MATCH('4.2 ACE EFF WOL'!Y$4,'7. PGE_Efficacité'!$A$4:$AO$4,0)+62),0)</f>
        <v>0</v>
      </c>
      <c r="Z102" s="139">
        <f>VLOOKUP($E102,'7. PGE_Efficacité'!$A$6:$CY$266,(MATCH('4.2 ACE EFF WOL'!Z$4,'7. PGE_Efficacité'!$A$4:$AO$4,0)+62),0)</f>
        <v>0</v>
      </c>
      <c r="AA102" s="139">
        <f>VLOOKUP($E102,'7. PGE_Efficacité'!$A$6:$CY$266,(MATCH('4.2 ACE EFF WOL'!AA$4,'7. PGE_Efficacité'!$A$4:$AO$4,0)+62),0)</f>
        <v>0</v>
      </c>
      <c r="AB102" s="139">
        <f>VLOOKUP($E102,'7. PGE_Efficacité'!$A$6:$CY$266,(MATCH('4.2 ACE EFF WOL'!AB$4,'7. PGE_Efficacité'!$A$4:$AO$4,0)+62),0)</f>
        <v>0</v>
      </c>
      <c r="AC102" s="139">
        <f>VLOOKUP($E102,'7. PGE_Efficacité'!$A$6:$CY$266,(MATCH('4.2 ACE EFF WOL'!AC$4,'7. PGE_Efficacité'!$A$4:$AO$4,0)+62),0)</f>
        <v>0</v>
      </c>
      <c r="AD102" s="139">
        <f>VLOOKUP($E102,'7. PGE_Efficacité'!$A$6:$CY$266,(MATCH('4.2 ACE EFF WOL'!AD$4,'7. PGE_Efficacité'!$A$4:$AO$4,0)+62),0)</f>
        <v>0</v>
      </c>
      <c r="AE102" s="139">
        <f>VLOOKUP($E102,'7. PGE_Efficacité'!$A$6:$CY$266,(MATCH('4.2 ACE EFF WOL'!AE$4,'7. PGE_Efficacité'!$A$4:$AO$4,0)+62),0)</f>
        <v>0</v>
      </c>
      <c r="AF102" s="139">
        <f>VLOOKUP($E102,'7. PGE_Efficacité'!$A$6:$CY$266,(MATCH('4.2 ACE EFF WOL'!AF$4,'7. PGE_Efficacité'!$A$4:$AO$4,0)+62),0)</f>
        <v>0</v>
      </c>
      <c r="AG102" s="139">
        <f>VLOOKUP($E102,'7. PGE_Efficacité'!$A$6:$CY$266,(MATCH('4.2 ACE EFF WOL'!AG$4,'7. PGE_Efficacité'!$A$4:$AO$4,0)+62),0)</f>
        <v>0</v>
      </c>
      <c r="AH102" s="139">
        <f>VLOOKUP($E102,'7. PGE_Efficacité'!$A$6:$CY$266,(MATCH('4.2 ACE EFF WOL'!AH$4,'7. PGE_Efficacité'!$A$4:$AO$4,0)+62),0)</f>
        <v>0</v>
      </c>
      <c r="AI102" s="139">
        <f>VLOOKUP($E102,'7. PGE_Efficacité'!$A$6:$CY$266,(MATCH('4.2 ACE EFF WOL'!AI$4,'7. PGE_Efficacité'!$A$4:$AO$4,0)+62),0)</f>
        <v>0</v>
      </c>
      <c r="AJ102" s="139">
        <f>VLOOKUP($E102,'7. PGE_Efficacité'!$A$6:$CY$266,(MATCH('4.2 ACE EFF WOL'!AJ$4,'7. PGE_Efficacité'!$A$4:$AO$4,0)+62),0)</f>
        <v>0</v>
      </c>
      <c r="AK102" s="139">
        <f>VLOOKUP($E102,'7. PGE_Efficacité'!$A$6:$CY$266,(MATCH('4.2 ACE EFF WOL'!AK$4,'7. PGE_Efficacité'!$A$4:$AO$4,0)+62),0)</f>
        <v>0</v>
      </c>
      <c r="AL102" s="139">
        <f>VLOOKUP($E102,'7. PGE_Efficacité'!$A$6:$CY$266,(MATCH('4.2 ACE EFF WOL'!AL$4,'7. PGE_Efficacité'!$A$4:$AO$4,0)+62),0)</f>
        <v>0</v>
      </c>
      <c r="AM102" s="139">
        <f>VLOOKUP($E102,'7. PGE_Efficacité'!$A$6:$CY$266,(MATCH('4.2 ACE EFF WOL'!AM$4,'7. PGE_Efficacité'!$A$4:$AO$4,0)+62),0)</f>
        <v>0</v>
      </c>
      <c r="AN102" s="139">
        <f>VLOOKUP($E102,'7. PGE_Efficacité'!$A$6:$CY$266,(MATCH('4.2 ACE EFF WOL'!AN$4,'7. PGE_Efficacité'!$A$4:$AO$4,0)+62),0)</f>
        <v>0</v>
      </c>
    </row>
    <row r="103" spans="1:40" outlineLevel="1" x14ac:dyDescent="0.25">
      <c r="A103" s="48"/>
      <c r="B103" s="49"/>
      <c r="C103" s="48"/>
      <c r="D103" s="372" t="s">
        <v>25</v>
      </c>
      <c r="E103" s="195"/>
      <c r="F103" s="196" t="str">
        <f>VLOOKUP(D103,'1. Mesures'!$A$2:$B$116,2,0)</f>
        <v>Sensibiliser les Bruxellois.e.s à l'impact des certaines pratiques sur les eaux de surface</v>
      </c>
      <c r="G103" s="197"/>
      <c r="H103" s="195"/>
      <c r="I103" s="198">
        <f>SUBTOTAL(9,I104:I104)</f>
        <v>11200.000000000002</v>
      </c>
      <c r="J103" s="203">
        <f>VLOOKUP($D103,'7. PGE_Efficacité'!$A$6:$CY$266,(MATCH('4.2 ACE EFF WOL'!J$4,'7. PGE_Efficacité'!$A$4:$AO$4,0)+62),0)</f>
        <v>0</v>
      </c>
      <c r="K103" s="203">
        <f>VLOOKUP($D103,'7. PGE_Efficacité'!$A$6:$CY$266,(MATCH('4.2 ACE EFF WOL'!K$4,'7. PGE_Efficacité'!$A$4:$AO$4,0)+62),0)</f>
        <v>0</v>
      </c>
      <c r="L103" s="203">
        <f>VLOOKUP($D103,'7. PGE_Efficacité'!$A$6:$CY$266,(MATCH('4.2 ACE EFF WOL'!L$4,'7. PGE_Efficacité'!$A$4:$AO$4,0)+62),0)</f>
        <v>0</v>
      </c>
      <c r="M103" s="203">
        <f>VLOOKUP($D103,'7. PGE_Efficacité'!$A$6:$CY$266,(MATCH('4.2 ACE EFF WOL'!M$4,'7. PGE_Efficacité'!$A$4:$AO$4,0)+62),0)</f>
        <v>0</v>
      </c>
      <c r="N103" s="203">
        <f>VLOOKUP($D103,'7. PGE_Efficacité'!$A$6:$CY$266,(MATCH('4.2 ACE EFF WOL'!N$4,'7. PGE_Efficacité'!$A$4:$AO$4,0)+62),0)</f>
        <v>0</v>
      </c>
      <c r="O103" s="203">
        <f>VLOOKUP($D103,'7. PGE_Efficacité'!$A$6:$CY$266,78,0)</f>
        <v>0</v>
      </c>
      <c r="P103" s="203">
        <f>VLOOKUP($D103,'7. PGE_Efficacité'!$A$6:$CY$266,(MATCH('4.2 ACE EFF WOL'!P$4,'7. PGE_Efficacité'!$A$4:$AO$4,0)+62),0)</f>
        <v>0</v>
      </c>
      <c r="Q103" s="203">
        <f>VLOOKUP($D103,'7. PGE_Efficacité'!$A$6:$CY$266,(MATCH('4.2 ACE EFF WOL'!Q$4,'7. PGE_Efficacité'!$A$4:$AO$4,0)+62),0)</f>
        <v>0</v>
      </c>
      <c r="R103" s="203">
        <f>VLOOKUP($D103,'7. PGE_Efficacité'!$A$6:$CY$266,(MATCH('4.2 ACE EFF WOL'!R$4,'7. PGE_Efficacité'!$A$4:$AO$4,0)+62),0)</f>
        <v>0</v>
      </c>
      <c r="S103" s="203">
        <f>VLOOKUP($D103,'7. PGE_Efficacité'!$A$6:$CY$266,(MATCH('4.2 ACE EFF WOL'!S$4,'7. PGE_Efficacité'!$A$4:$AO$4,0)+62),0)</f>
        <v>0</v>
      </c>
      <c r="T103" s="203">
        <f>VLOOKUP($D103,'7. PGE_Efficacité'!$A$6:$CY$266,(MATCH('4.2 ACE EFF WOL'!T$4,'7. PGE_Efficacité'!$A$4:$AO$4,0)+62),0)</f>
        <v>0</v>
      </c>
      <c r="U103" s="203">
        <f>VLOOKUP($D103,'7. PGE_Efficacité'!$A$6:$CY$266,(MATCH('4.2 ACE EFF WOL'!U$4,'7. PGE_Efficacité'!$A$4:$AO$4,0)+62),0)</f>
        <v>0</v>
      </c>
      <c r="V103" s="203">
        <f>VLOOKUP($D103,'7. PGE_Efficacité'!$A$6:$CY$266,(MATCH('4.2 ACE EFF WOL'!V$4,'7. PGE_Efficacité'!$A$4:$AO$4,0)+62),0)</f>
        <v>0</v>
      </c>
      <c r="W103" s="203">
        <f>VLOOKUP($D103,'7. PGE_Efficacité'!$A$6:$CY$266,(MATCH('4.2 ACE EFF WOL'!W$4,'7. PGE_Efficacité'!$A$4:$AO$4,0)+62),0)</f>
        <v>0</v>
      </c>
      <c r="X103" s="203">
        <f>VLOOKUP($D103,'7. PGE_Efficacité'!$A$6:$CY$266,(MATCH('4.2 ACE EFF WOL'!X$4,'7. PGE_Efficacité'!$A$4:$AO$4,0)+62),0)</f>
        <v>0</v>
      </c>
      <c r="Y103" s="203">
        <f>VLOOKUP($D103,'7. PGE_Efficacité'!$A$6:$CY$266,(MATCH('4.2 ACE EFF WOL'!Y$4,'7. PGE_Efficacité'!$A$4:$AO$4,0)+62),0)</f>
        <v>0</v>
      </c>
      <c r="Z103" s="203">
        <f>VLOOKUP($D103,'7. PGE_Efficacité'!$A$6:$CY$266,(MATCH('4.2 ACE EFF WOL'!Z$4,'7. PGE_Efficacité'!$A$4:$AO$4,0)+62),0)</f>
        <v>0</v>
      </c>
      <c r="AA103" s="203">
        <f>VLOOKUP($D103,'7. PGE_Efficacité'!$A$6:$CY$266,(MATCH('4.2 ACE EFF WOL'!AA$4,'7. PGE_Efficacité'!$A$4:$AO$4,0)+62),0)</f>
        <v>0</v>
      </c>
      <c r="AB103" s="203">
        <f>VLOOKUP($D103,'7. PGE_Efficacité'!$A$6:$CY$266,(MATCH('4.2 ACE EFF WOL'!AB$4,'7. PGE_Efficacité'!$A$4:$AO$4,0)+62),0)</f>
        <v>0</v>
      </c>
      <c r="AC103" s="203">
        <f>VLOOKUP($D103,'7. PGE_Efficacité'!$A$6:$CY$266,(MATCH('4.2 ACE EFF WOL'!AC$4,'7. PGE_Efficacité'!$A$4:$AO$4,0)+62),0)</f>
        <v>0</v>
      </c>
      <c r="AD103" s="203">
        <f>VLOOKUP($D103,'7. PGE_Efficacité'!$A$6:$CY$266,(MATCH('4.2 ACE EFF WOL'!AD$4,'7. PGE_Efficacité'!$A$4:$AO$4,0)+62),0)</f>
        <v>0</v>
      </c>
      <c r="AE103" s="203">
        <f>VLOOKUP($D103,'7. PGE_Efficacité'!$A$6:$CY$266,(MATCH('4.2 ACE EFF WOL'!AE$4,'7. PGE_Efficacité'!$A$4:$AO$4,0)+62),0)</f>
        <v>0</v>
      </c>
      <c r="AF103" s="203">
        <f>VLOOKUP($D103,'7. PGE_Efficacité'!$A$6:$CY$266,(MATCH('4.2 ACE EFF WOL'!AF$4,'7. PGE_Efficacité'!$A$4:$AO$4,0)+62),0)</f>
        <v>0</v>
      </c>
      <c r="AG103" s="203">
        <f>VLOOKUP($D103,'7. PGE_Efficacité'!$A$6:$CY$266,(MATCH('4.2 ACE EFF WOL'!AG$4,'7. PGE_Efficacité'!$A$4:$AO$4,0)+62),0)</f>
        <v>0</v>
      </c>
      <c r="AH103" s="203">
        <f>VLOOKUP($D103,'7. PGE_Efficacité'!$A$6:$CY$266,(MATCH('4.2 ACE EFF WOL'!AH$4,'7. PGE_Efficacité'!$A$4:$AO$4,0)+62),0)</f>
        <v>0</v>
      </c>
      <c r="AI103" s="203">
        <f>VLOOKUP($D103,'7. PGE_Efficacité'!$A$6:$CY$266,(MATCH('4.2 ACE EFF WOL'!AI$4,'7. PGE_Efficacité'!$A$4:$AO$4,0)+62),0)</f>
        <v>0</v>
      </c>
      <c r="AJ103" s="203">
        <f>VLOOKUP($D103,'7. PGE_Efficacité'!$A$6:$CY$266,(MATCH('4.2 ACE EFF WOL'!AJ$4,'7. PGE_Efficacité'!$A$4:$AO$4,0)+62),0)</f>
        <v>0</v>
      </c>
      <c r="AK103" s="203">
        <f>VLOOKUP($D103,'7. PGE_Efficacité'!$A$6:$CY$266,(MATCH('4.2 ACE EFF WOL'!AK$4,'7. PGE_Efficacité'!$A$4:$AO$4,0)+62),0)</f>
        <v>0</v>
      </c>
      <c r="AL103" s="203">
        <f>VLOOKUP($D103,'7. PGE_Efficacité'!$A$6:$CY$266,(MATCH('4.2 ACE EFF WOL'!AL$4,'7. PGE_Efficacité'!$A$4:$AO$4,0)+62),0)</f>
        <v>0</v>
      </c>
      <c r="AM103" s="203">
        <f>VLOOKUP($D103,'7. PGE_Efficacité'!$A$6:$CY$266,(MATCH('4.2 ACE EFF WOL'!AM$4,'7. PGE_Efficacité'!$A$4:$AO$4,0)+62),0)</f>
        <v>0</v>
      </c>
      <c r="AN103" s="203">
        <f>VLOOKUP($D103,'7. PGE_Efficacité'!$A$6:$CY$266,(MATCH('4.2 ACE EFF WOL'!AN$4,'7. PGE_Efficacité'!$A$4:$AO$4,0)+62),0)</f>
        <v>0</v>
      </c>
    </row>
    <row r="104" spans="1:40" outlineLevel="2" x14ac:dyDescent="0.25">
      <c r="A104" s="48"/>
      <c r="B104" s="49"/>
      <c r="C104" s="48"/>
      <c r="D104" s="199" t="s">
        <v>25</v>
      </c>
      <c r="E104" s="200" t="s">
        <v>2603</v>
      </c>
      <c r="F104" s="200" t="s">
        <v>1998</v>
      </c>
      <c r="G104" s="201" t="s">
        <v>1521</v>
      </c>
      <c r="H104" s="200" t="s">
        <v>1290</v>
      </c>
      <c r="I104" s="202">
        <f>40000*0.28</f>
        <v>11200.000000000002</v>
      </c>
      <c r="J104" s="139">
        <f>VLOOKUP($E104,'7. PGE_Efficacité'!$A$6:$CY$266,(MATCH('4.2 ACE EFF WOL'!J$4,'7. PGE_Efficacité'!$A$4:$AO$4,0)+62),0)</f>
        <v>0</v>
      </c>
      <c r="K104" s="139">
        <f>VLOOKUP($E104,'7. PGE_Efficacité'!$A$6:$CY$266,(MATCH('4.2 ACE EFF WOL'!K$4,'7. PGE_Efficacité'!$A$4:$AO$4,0)+62),0)</f>
        <v>0</v>
      </c>
      <c r="L104" s="139">
        <f>VLOOKUP($E104,'7. PGE_Efficacité'!$A$6:$CY$266,(MATCH('4.2 ACE EFF WOL'!L$4,'7. PGE_Efficacité'!$A$4:$AO$4,0)+62),0)</f>
        <v>0</v>
      </c>
      <c r="M104" s="139">
        <f>VLOOKUP($E104,'7. PGE_Efficacité'!$A$6:$CY$266,(MATCH('4.2 ACE EFF WOL'!M$4,'7. PGE_Efficacité'!$A$4:$AO$4,0)+62),0)</f>
        <v>0</v>
      </c>
      <c r="N104" s="139">
        <f>VLOOKUP($E104,'7. PGE_Efficacité'!$A$6:$CY$266,(MATCH('4.2 ACE EFF WOL'!N$4,'7. PGE_Efficacité'!$A$4:$AO$4,0)+62),0)</f>
        <v>0</v>
      </c>
      <c r="O104" s="139">
        <f>VLOOKUP($E104,'7. PGE_Efficacité'!$A$6:$CY$266,78,0)</f>
        <v>0</v>
      </c>
      <c r="P104" s="139">
        <f>VLOOKUP($E104,'7. PGE_Efficacité'!$A$6:$CY$266,(MATCH('4.2 ACE EFF WOL'!P$4,'7. PGE_Efficacité'!$A$4:$AO$4,0)+62),0)</f>
        <v>0</v>
      </c>
      <c r="Q104" s="139">
        <f>VLOOKUP($E104,'7. PGE_Efficacité'!$A$6:$CY$266,(MATCH('4.2 ACE EFF WOL'!Q$4,'7. PGE_Efficacité'!$A$4:$AO$4,0)+62),0)</f>
        <v>0</v>
      </c>
      <c r="R104" s="139">
        <f>VLOOKUP($E104,'7. PGE_Efficacité'!$A$6:$CY$266,(MATCH('4.2 ACE EFF WOL'!R$4,'7. PGE_Efficacité'!$A$4:$AO$4,0)+62),0)</f>
        <v>0</v>
      </c>
      <c r="S104" s="139">
        <f>VLOOKUP($E104,'7. PGE_Efficacité'!$A$6:$CY$266,(MATCH('4.2 ACE EFF WOL'!S$4,'7. PGE_Efficacité'!$A$4:$AO$4,0)+62),0)</f>
        <v>0</v>
      </c>
      <c r="T104" s="139">
        <f>VLOOKUP($E104,'7. PGE_Efficacité'!$A$6:$CY$266,(MATCH('4.2 ACE EFF WOL'!T$4,'7. PGE_Efficacité'!$A$4:$AO$4,0)+62),0)</f>
        <v>0</v>
      </c>
      <c r="U104" s="139">
        <f>VLOOKUP($E104,'7. PGE_Efficacité'!$A$6:$CY$266,(MATCH('4.2 ACE EFF WOL'!U$4,'7. PGE_Efficacité'!$A$4:$AO$4,0)+62),0)</f>
        <v>0</v>
      </c>
      <c r="V104" s="139">
        <f>VLOOKUP($E104,'7. PGE_Efficacité'!$A$6:$CY$266,(MATCH('4.2 ACE EFF WOL'!V$4,'7. PGE_Efficacité'!$A$4:$AO$4,0)+62),0)</f>
        <v>0</v>
      </c>
      <c r="W104" s="139">
        <f>VLOOKUP($E104,'7. PGE_Efficacité'!$A$6:$CY$266,(MATCH('4.2 ACE EFF WOL'!W$4,'7. PGE_Efficacité'!$A$4:$AO$4,0)+62),0)</f>
        <v>0</v>
      </c>
      <c r="X104" s="139">
        <f>VLOOKUP($E104,'7. PGE_Efficacité'!$A$6:$CY$266,(MATCH('4.2 ACE EFF WOL'!X$4,'7. PGE_Efficacité'!$A$4:$AO$4,0)+62),0)</f>
        <v>0</v>
      </c>
      <c r="Y104" s="139">
        <f>VLOOKUP($E104,'7. PGE_Efficacité'!$A$6:$CY$266,(MATCH('4.2 ACE EFF WOL'!Y$4,'7. PGE_Efficacité'!$A$4:$AO$4,0)+62),0)</f>
        <v>0</v>
      </c>
      <c r="Z104" s="139">
        <f>VLOOKUP($E104,'7. PGE_Efficacité'!$A$6:$CY$266,(MATCH('4.2 ACE EFF WOL'!Z$4,'7. PGE_Efficacité'!$A$4:$AO$4,0)+62),0)</f>
        <v>0</v>
      </c>
      <c r="AA104" s="139">
        <f>VLOOKUP($E104,'7. PGE_Efficacité'!$A$6:$CY$266,(MATCH('4.2 ACE EFF WOL'!AA$4,'7. PGE_Efficacité'!$A$4:$AO$4,0)+62),0)</f>
        <v>0</v>
      </c>
      <c r="AB104" s="139">
        <f>VLOOKUP($E104,'7. PGE_Efficacité'!$A$6:$CY$266,(MATCH('4.2 ACE EFF WOL'!AB$4,'7. PGE_Efficacité'!$A$4:$AO$4,0)+62),0)</f>
        <v>0</v>
      </c>
      <c r="AC104" s="139">
        <f>VLOOKUP($E104,'7. PGE_Efficacité'!$A$6:$CY$266,(MATCH('4.2 ACE EFF WOL'!AC$4,'7. PGE_Efficacité'!$A$4:$AO$4,0)+62),0)</f>
        <v>0</v>
      </c>
      <c r="AD104" s="139">
        <f>VLOOKUP($E104,'7. PGE_Efficacité'!$A$6:$CY$266,(MATCH('4.2 ACE EFF WOL'!AD$4,'7. PGE_Efficacité'!$A$4:$AO$4,0)+62),0)</f>
        <v>0</v>
      </c>
      <c r="AE104" s="139">
        <f>VLOOKUP($E104,'7. PGE_Efficacité'!$A$6:$CY$266,(MATCH('4.2 ACE EFF WOL'!AE$4,'7. PGE_Efficacité'!$A$4:$AO$4,0)+62),0)</f>
        <v>0</v>
      </c>
      <c r="AF104" s="139">
        <f>VLOOKUP($E104,'7. PGE_Efficacité'!$A$6:$CY$266,(MATCH('4.2 ACE EFF WOL'!AF$4,'7. PGE_Efficacité'!$A$4:$AO$4,0)+62),0)</f>
        <v>0</v>
      </c>
      <c r="AG104" s="139">
        <f>VLOOKUP($E104,'7. PGE_Efficacité'!$A$6:$CY$266,(MATCH('4.2 ACE EFF WOL'!AG$4,'7. PGE_Efficacité'!$A$4:$AO$4,0)+62),0)</f>
        <v>0</v>
      </c>
      <c r="AH104" s="139">
        <f>VLOOKUP($E104,'7. PGE_Efficacité'!$A$6:$CY$266,(MATCH('4.2 ACE EFF WOL'!AH$4,'7. PGE_Efficacité'!$A$4:$AO$4,0)+62),0)</f>
        <v>0</v>
      </c>
      <c r="AI104" s="139">
        <f>VLOOKUP($E104,'7. PGE_Efficacité'!$A$6:$CY$266,(MATCH('4.2 ACE EFF WOL'!AI$4,'7. PGE_Efficacité'!$A$4:$AO$4,0)+62),0)</f>
        <v>0</v>
      </c>
      <c r="AJ104" s="139">
        <f>VLOOKUP($E104,'7. PGE_Efficacité'!$A$6:$CY$266,(MATCH('4.2 ACE EFF WOL'!AJ$4,'7. PGE_Efficacité'!$A$4:$AO$4,0)+62),0)</f>
        <v>0</v>
      </c>
      <c r="AK104" s="139">
        <f>VLOOKUP($E104,'7. PGE_Efficacité'!$A$6:$CY$266,(MATCH('4.2 ACE EFF WOL'!AK$4,'7. PGE_Efficacité'!$A$4:$AO$4,0)+62),0)</f>
        <v>0</v>
      </c>
      <c r="AL104" s="139">
        <f>VLOOKUP($E104,'7. PGE_Efficacité'!$A$6:$CY$266,(MATCH('4.2 ACE EFF WOL'!AL$4,'7. PGE_Efficacité'!$A$4:$AO$4,0)+62),0)</f>
        <v>0</v>
      </c>
      <c r="AM104" s="139">
        <f>VLOOKUP($E104,'7. PGE_Efficacité'!$A$6:$CY$266,(MATCH('4.2 ACE EFF WOL'!AM$4,'7. PGE_Efficacité'!$A$4:$AO$4,0)+62),0)</f>
        <v>0</v>
      </c>
      <c r="AN104" s="139">
        <f>VLOOKUP($E104,'7. PGE_Efficacité'!$A$6:$CY$266,(MATCH('4.2 ACE EFF WOL'!AN$4,'7. PGE_Efficacité'!$A$4:$AO$4,0)+62),0)</f>
        <v>0</v>
      </c>
    </row>
    <row r="105" spans="1:40" outlineLevel="1" x14ac:dyDescent="0.25">
      <c r="A105" s="48"/>
      <c r="B105" s="49"/>
      <c r="C105" s="48"/>
      <c r="D105" s="372" t="s">
        <v>26</v>
      </c>
      <c r="E105" s="195"/>
      <c r="F105" s="196" t="str">
        <f>VLOOKUP(D105,'1. Mesures'!$A$2:$B$116,2,0)</f>
        <v>Assurer la gestion des pollutions intra régionales et transfrontalières</v>
      </c>
      <c r="G105" s="197"/>
      <c r="H105" s="195"/>
      <c r="I105" s="198">
        <f>SUBTOTAL(9,I106:I106)</f>
        <v>6384.0000000000009</v>
      </c>
      <c r="J105" s="203">
        <f>VLOOKUP($D105,'7. PGE_Efficacité'!$A$6:$CY$266,(MATCH('4.2 ACE EFF WOL'!J$4,'7. PGE_Efficacité'!$A$4:$AO$4,0)+62),0)</f>
        <v>0</v>
      </c>
      <c r="K105" s="203">
        <f>VLOOKUP($D105,'7. PGE_Efficacité'!$A$6:$CY$266,(MATCH('4.2 ACE EFF WOL'!K$4,'7. PGE_Efficacité'!$A$4:$AO$4,0)+62),0)</f>
        <v>0</v>
      </c>
      <c r="L105" s="203">
        <f>VLOOKUP($D105,'7. PGE_Efficacité'!$A$6:$CY$266,(MATCH('4.2 ACE EFF WOL'!L$4,'7. PGE_Efficacité'!$A$4:$AO$4,0)+62),0)</f>
        <v>0</v>
      </c>
      <c r="M105" s="203" t="str">
        <f>VLOOKUP($D105,'7. PGE_Efficacité'!$A$6:$CY$266,(MATCH('4.2 ACE EFF WOL'!M$4,'7. PGE_Efficacité'!$A$4:$AO$4,0)+62),0)</f>
        <v>+</v>
      </c>
      <c r="N105" s="203" t="str">
        <f>VLOOKUP($D105,'7. PGE_Efficacité'!$A$6:$CY$266,(MATCH('4.2 ACE EFF WOL'!N$4,'7. PGE_Efficacité'!$A$4:$AO$4,0)+62),0)</f>
        <v>+</v>
      </c>
      <c r="O105" s="203" t="str">
        <f>VLOOKUP($D105,'7. PGE_Efficacité'!$A$6:$CY$266,78,0)</f>
        <v>+</v>
      </c>
      <c r="P105" s="203">
        <f>VLOOKUP($D105,'7. PGE_Efficacité'!$A$6:$CY$266,(MATCH('4.2 ACE EFF WOL'!P$4,'7. PGE_Efficacité'!$A$4:$AO$4,0)+62),0)</f>
        <v>0</v>
      </c>
      <c r="Q105" s="203">
        <f>VLOOKUP($D105,'7. PGE_Efficacité'!$A$6:$CY$266,(MATCH('4.2 ACE EFF WOL'!Q$4,'7. PGE_Efficacité'!$A$4:$AO$4,0)+62),0)</f>
        <v>0</v>
      </c>
      <c r="R105" s="203">
        <f>VLOOKUP($D105,'7. PGE_Efficacité'!$A$6:$CY$266,(MATCH('4.2 ACE EFF WOL'!R$4,'7. PGE_Efficacité'!$A$4:$AO$4,0)+62),0)</f>
        <v>0</v>
      </c>
      <c r="S105" s="203">
        <f>VLOOKUP($D105,'7. PGE_Efficacité'!$A$6:$CY$266,(MATCH('4.2 ACE EFF WOL'!S$4,'7. PGE_Efficacité'!$A$4:$AO$4,0)+62),0)</f>
        <v>0</v>
      </c>
      <c r="T105" s="203">
        <f>VLOOKUP($D105,'7. PGE_Efficacité'!$A$6:$CY$266,(MATCH('4.2 ACE EFF WOL'!T$4,'7. PGE_Efficacité'!$A$4:$AO$4,0)+62),0)</f>
        <v>0</v>
      </c>
      <c r="U105" s="203">
        <f>VLOOKUP($D105,'7. PGE_Efficacité'!$A$6:$CY$266,(MATCH('4.2 ACE EFF WOL'!U$4,'7. PGE_Efficacité'!$A$4:$AO$4,0)+62),0)</f>
        <v>0</v>
      </c>
      <c r="V105" s="203" t="str">
        <f>VLOOKUP($D105,'7. PGE_Efficacité'!$A$6:$CY$266,(MATCH('4.2 ACE EFF WOL'!V$4,'7. PGE_Efficacité'!$A$4:$AO$4,0)+62),0)</f>
        <v>+</v>
      </c>
      <c r="W105" s="203" t="str">
        <f>VLOOKUP($D105,'7. PGE_Efficacité'!$A$6:$CY$266,(MATCH('4.2 ACE EFF WOL'!W$4,'7. PGE_Efficacité'!$A$4:$AO$4,0)+62),0)</f>
        <v>+</v>
      </c>
      <c r="X105" s="203">
        <f>VLOOKUP($D105,'7. PGE_Efficacité'!$A$6:$CY$266,(MATCH('4.2 ACE EFF WOL'!X$4,'7. PGE_Efficacité'!$A$4:$AO$4,0)+62),0)</f>
        <v>0</v>
      </c>
      <c r="Y105" s="203">
        <f>VLOOKUP($D105,'7. PGE_Efficacité'!$A$6:$CY$266,(MATCH('4.2 ACE EFF WOL'!Y$4,'7. PGE_Efficacité'!$A$4:$AO$4,0)+62),0)</f>
        <v>0</v>
      </c>
      <c r="Z105" s="203">
        <f>VLOOKUP($D105,'7. PGE_Efficacité'!$A$6:$CY$266,(MATCH('4.2 ACE EFF WOL'!Z$4,'7. PGE_Efficacité'!$A$4:$AO$4,0)+62),0)</f>
        <v>0</v>
      </c>
      <c r="AA105" s="203">
        <f>VLOOKUP($D105,'7. PGE_Efficacité'!$A$6:$CY$266,(MATCH('4.2 ACE EFF WOL'!AA$4,'7. PGE_Efficacité'!$A$4:$AO$4,0)+62),0)</f>
        <v>0</v>
      </c>
      <c r="AB105" s="203">
        <f>VLOOKUP($D105,'7. PGE_Efficacité'!$A$6:$CY$266,(MATCH('4.2 ACE EFF WOL'!AB$4,'7. PGE_Efficacité'!$A$4:$AO$4,0)+62),0)</f>
        <v>0</v>
      </c>
      <c r="AC105" s="203">
        <f>VLOOKUP($D105,'7. PGE_Efficacité'!$A$6:$CY$266,(MATCH('4.2 ACE EFF WOL'!AC$4,'7. PGE_Efficacité'!$A$4:$AO$4,0)+62),0)</f>
        <v>0</v>
      </c>
      <c r="AD105" s="203">
        <f>VLOOKUP($D105,'7. PGE_Efficacité'!$A$6:$CY$266,(MATCH('4.2 ACE EFF WOL'!AD$4,'7. PGE_Efficacité'!$A$4:$AO$4,0)+62),0)</f>
        <v>0</v>
      </c>
      <c r="AE105" s="203" t="str">
        <f>VLOOKUP($D105,'7. PGE_Efficacité'!$A$6:$CY$266,(MATCH('4.2 ACE EFF WOL'!AE$4,'7. PGE_Efficacité'!$A$4:$AO$4,0)+62),0)</f>
        <v>+</v>
      </c>
      <c r="AF105" s="203">
        <f>VLOOKUP($D105,'7. PGE_Efficacité'!$A$6:$CY$266,(MATCH('4.2 ACE EFF WOL'!AF$4,'7. PGE_Efficacité'!$A$4:$AO$4,0)+62),0)</f>
        <v>0</v>
      </c>
      <c r="AG105" s="203">
        <f>VLOOKUP($D105,'7. PGE_Efficacité'!$A$6:$CY$266,(MATCH('4.2 ACE EFF WOL'!AG$4,'7. PGE_Efficacité'!$A$4:$AO$4,0)+62),0)</f>
        <v>0</v>
      </c>
      <c r="AH105" s="203">
        <f>VLOOKUP($D105,'7. PGE_Efficacité'!$A$6:$CY$266,(MATCH('4.2 ACE EFF WOL'!AH$4,'7. PGE_Efficacité'!$A$4:$AO$4,0)+62),0)</f>
        <v>0</v>
      </c>
      <c r="AI105" s="203">
        <f>VLOOKUP($D105,'7. PGE_Efficacité'!$A$6:$CY$266,(MATCH('4.2 ACE EFF WOL'!AI$4,'7. PGE_Efficacité'!$A$4:$AO$4,0)+62),0)</f>
        <v>0</v>
      </c>
      <c r="AJ105" s="203">
        <f>VLOOKUP($D105,'7. PGE_Efficacité'!$A$6:$CY$266,(MATCH('4.2 ACE EFF WOL'!AJ$4,'7. PGE_Efficacité'!$A$4:$AO$4,0)+62),0)</f>
        <v>0</v>
      </c>
      <c r="AK105" s="203" t="str">
        <f>VLOOKUP($D105,'7. PGE_Efficacité'!$A$6:$CY$266,(MATCH('4.2 ACE EFF WOL'!AK$4,'7. PGE_Efficacité'!$A$4:$AO$4,0)+62),0)</f>
        <v>+</v>
      </c>
      <c r="AL105" s="203">
        <f>VLOOKUP($D105,'7. PGE_Efficacité'!$A$6:$CY$266,(MATCH('4.2 ACE EFF WOL'!AL$4,'7. PGE_Efficacité'!$A$4:$AO$4,0)+62),0)</f>
        <v>0</v>
      </c>
      <c r="AM105" s="203" t="str">
        <f>VLOOKUP($D105,'7. PGE_Efficacité'!$A$6:$CY$266,(MATCH('4.2 ACE EFF WOL'!AM$4,'7. PGE_Efficacité'!$A$4:$AO$4,0)+62),0)</f>
        <v>+</v>
      </c>
      <c r="AN105" s="203" t="str">
        <f>VLOOKUP($D105,'7. PGE_Efficacité'!$A$6:$CY$266,(MATCH('4.2 ACE EFF WOL'!AN$4,'7. PGE_Efficacité'!$A$4:$AO$4,0)+62),0)</f>
        <v>+</v>
      </c>
    </row>
    <row r="106" spans="1:40" outlineLevel="2" x14ac:dyDescent="0.25">
      <c r="A106" s="48" t="s">
        <v>1524</v>
      </c>
      <c r="B106" s="49">
        <v>25</v>
      </c>
      <c r="C106" s="48" t="s">
        <v>1525</v>
      </c>
      <c r="D106" s="199" t="s">
        <v>26</v>
      </c>
      <c r="E106" s="200" t="s">
        <v>757</v>
      </c>
      <c r="F106" s="200" t="s">
        <v>1645</v>
      </c>
      <c r="G106" s="201" t="s">
        <v>1521</v>
      </c>
      <c r="H106" s="200" t="s">
        <v>1290</v>
      </c>
      <c r="I106" s="202">
        <f>22800*0.28</f>
        <v>6384.0000000000009</v>
      </c>
      <c r="J106" s="139">
        <f>VLOOKUP($E106,'7. PGE_Efficacité'!$A$6:$CY$266,(MATCH('4.2 ACE EFF WOL'!J$4,'7. PGE_Efficacité'!$A$4:$AO$4,0)+62),0)</f>
        <v>0</v>
      </c>
      <c r="K106" s="139">
        <f>VLOOKUP($E106,'7. PGE_Efficacité'!$A$6:$CY$266,(MATCH('4.2 ACE EFF WOL'!K$4,'7. PGE_Efficacité'!$A$4:$AO$4,0)+62),0)</f>
        <v>0</v>
      </c>
      <c r="L106" s="139">
        <f>VLOOKUP($E106,'7. PGE_Efficacité'!$A$6:$CY$266,(MATCH('4.2 ACE EFF WOL'!L$4,'7. PGE_Efficacité'!$A$4:$AO$4,0)+62),0)</f>
        <v>0</v>
      </c>
      <c r="M106" s="139">
        <f>VLOOKUP($E106,'7. PGE_Efficacité'!$A$6:$CY$266,(MATCH('4.2 ACE EFF WOL'!M$4,'7. PGE_Efficacité'!$A$4:$AO$4,0)+62),0)</f>
        <v>0</v>
      </c>
      <c r="N106" s="139">
        <f>VLOOKUP($E106,'7. PGE_Efficacité'!$A$6:$CY$266,(MATCH('4.2 ACE EFF WOL'!N$4,'7. PGE_Efficacité'!$A$4:$AO$4,0)+62),0)</f>
        <v>0</v>
      </c>
      <c r="O106" s="139">
        <f>VLOOKUP($E106,'7. PGE_Efficacité'!$A$6:$CY$266,78,0)</f>
        <v>0</v>
      </c>
      <c r="P106" s="139">
        <f>VLOOKUP($E106,'7. PGE_Efficacité'!$A$6:$CY$266,(MATCH('4.2 ACE EFF WOL'!P$4,'7. PGE_Efficacité'!$A$4:$AO$4,0)+62),0)</f>
        <v>0</v>
      </c>
      <c r="Q106" s="139">
        <f>VLOOKUP($E106,'7. PGE_Efficacité'!$A$6:$CY$266,(MATCH('4.2 ACE EFF WOL'!Q$4,'7. PGE_Efficacité'!$A$4:$AO$4,0)+62),0)</f>
        <v>0</v>
      </c>
      <c r="R106" s="139">
        <f>VLOOKUP($E106,'7. PGE_Efficacité'!$A$6:$CY$266,(MATCH('4.2 ACE EFF WOL'!R$4,'7. PGE_Efficacité'!$A$4:$AO$4,0)+62),0)</f>
        <v>0</v>
      </c>
      <c r="S106" s="139">
        <f>VLOOKUP($E106,'7. PGE_Efficacité'!$A$6:$CY$266,(MATCH('4.2 ACE EFF WOL'!S$4,'7. PGE_Efficacité'!$A$4:$AO$4,0)+62),0)</f>
        <v>0</v>
      </c>
      <c r="T106" s="139">
        <f>VLOOKUP($E106,'7. PGE_Efficacité'!$A$6:$CY$266,(MATCH('4.2 ACE EFF WOL'!T$4,'7. PGE_Efficacité'!$A$4:$AO$4,0)+62),0)</f>
        <v>0</v>
      </c>
      <c r="U106" s="139">
        <f>VLOOKUP($E106,'7. PGE_Efficacité'!$A$6:$CY$266,(MATCH('4.2 ACE EFF WOL'!U$4,'7. PGE_Efficacité'!$A$4:$AO$4,0)+62),0)</f>
        <v>0</v>
      </c>
      <c r="V106" s="139">
        <f>VLOOKUP($E106,'7. PGE_Efficacité'!$A$6:$CY$266,(MATCH('4.2 ACE EFF WOL'!V$4,'7. PGE_Efficacité'!$A$4:$AO$4,0)+62),0)</f>
        <v>0</v>
      </c>
      <c r="W106" s="139">
        <f>VLOOKUP($E106,'7. PGE_Efficacité'!$A$6:$CY$266,(MATCH('4.2 ACE EFF WOL'!W$4,'7. PGE_Efficacité'!$A$4:$AO$4,0)+62),0)</f>
        <v>0</v>
      </c>
      <c r="X106" s="139">
        <f>VLOOKUP($E106,'7. PGE_Efficacité'!$A$6:$CY$266,(MATCH('4.2 ACE EFF WOL'!X$4,'7. PGE_Efficacité'!$A$4:$AO$4,0)+62),0)</f>
        <v>0</v>
      </c>
      <c r="Y106" s="139">
        <f>VLOOKUP($E106,'7. PGE_Efficacité'!$A$6:$CY$266,(MATCH('4.2 ACE EFF WOL'!Y$4,'7. PGE_Efficacité'!$A$4:$AO$4,0)+62),0)</f>
        <v>0</v>
      </c>
      <c r="Z106" s="139">
        <f>VLOOKUP($E106,'7. PGE_Efficacité'!$A$6:$CY$266,(MATCH('4.2 ACE EFF WOL'!Z$4,'7. PGE_Efficacité'!$A$4:$AO$4,0)+62),0)</f>
        <v>0</v>
      </c>
      <c r="AA106" s="139">
        <f>VLOOKUP($E106,'7. PGE_Efficacité'!$A$6:$CY$266,(MATCH('4.2 ACE EFF WOL'!AA$4,'7. PGE_Efficacité'!$A$4:$AO$4,0)+62),0)</f>
        <v>0</v>
      </c>
      <c r="AB106" s="139">
        <f>VLOOKUP($E106,'7. PGE_Efficacité'!$A$6:$CY$266,(MATCH('4.2 ACE EFF WOL'!AB$4,'7. PGE_Efficacité'!$A$4:$AO$4,0)+62),0)</f>
        <v>0</v>
      </c>
      <c r="AC106" s="139">
        <f>VLOOKUP($E106,'7. PGE_Efficacité'!$A$6:$CY$266,(MATCH('4.2 ACE EFF WOL'!AC$4,'7. PGE_Efficacité'!$A$4:$AO$4,0)+62),0)</f>
        <v>0</v>
      </c>
      <c r="AD106" s="139">
        <f>VLOOKUP($E106,'7. PGE_Efficacité'!$A$6:$CY$266,(MATCH('4.2 ACE EFF WOL'!AD$4,'7. PGE_Efficacité'!$A$4:$AO$4,0)+62),0)</f>
        <v>0</v>
      </c>
      <c r="AE106" s="139">
        <f>VLOOKUP($E106,'7. PGE_Efficacité'!$A$6:$CY$266,(MATCH('4.2 ACE EFF WOL'!AE$4,'7. PGE_Efficacité'!$A$4:$AO$4,0)+62),0)</f>
        <v>0</v>
      </c>
      <c r="AF106" s="139">
        <f>VLOOKUP($E106,'7. PGE_Efficacité'!$A$6:$CY$266,(MATCH('4.2 ACE EFF WOL'!AF$4,'7. PGE_Efficacité'!$A$4:$AO$4,0)+62),0)</f>
        <v>0</v>
      </c>
      <c r="AG106" s="139">
        <f>VLOOKUP($E106,'7. PGE_Efficacité'!$A$6:$CY$266,(MATCH('4.2 ACE EFF WOL'!AG$4,'7. PGE_Efficacité'!$A$4:$AO$4,0)+62),0)</f>
        <v>0</v>
      </c>
      <c r="AH106" s="139">
        <f>VLOOKUP($E106,'7. PGE_Efficacité'!$A$6:$CY$266,(MATCH('4.2 ACE EFF WOL'!AH$4,'7. PGE_Efficacité'!$A$4:$AO$4,0)+62),0)</f>
        <v>0</v>
      </c>
      <c r="AI106" s="139">
        <f>VLOOKUP($E106,'7. PGE_Efficacité'!$A$6:$CY$266,(MATCH('4.2 ACE EFF WOL'!AI$4,'7. PGE_Efficacité'!$A$4:$AO$4,0)+62),0)</f>
        <v>0</v>
      </c>
      <c r="AJ106" s="139">
        <f>VLOOKUP($E106,'7. PGE_Efficacité'!$A$6:$CY$266,(MATCH('4.2 ACE EFF WOL'!AJ$4,'7. PGE_Efficacité'!$A$4:$AO$4,0)+62),0)</f>
        <v>0</v>
      </c>
      <c r="AK106" s="139">
        <f>VLOOKUP($E106,'7. PGE_Efficacité'!$A$6:$CY$266,(MATCH('4.2 ACE EFF WOL'!AK$4,'7. PGE_Efficacité'!$A$4:$AO$4,0)+62),0)</f>
        <v>0</v>
      </c>
      <c r="AL106" s="139">
        <f>VLOOKUP($E106,'7. PGE_Efficacité'!$A$6:$CY$266,(MATCH('4.2 ACE EFF WOL'!AL$4,'7. PGE_Efficacité'!$A$4:$AO$4,0)+62),0)</f>
        <v>0</v>
      </c>
      <c r="AM106" s="139">
        <f>VLOOKUP($E106,'7. PGE_Efficacité'!$A$6:$CY$266,(MATCH('4.2 ACE EFF WOL'!AM$4,'7. PGE_Efficacité'!$A$4:$AO$4,0)+62),0)</f>
        <v>0</v>
      </c>
      <c r="AN106" s="139">
        <f>VLOOKUP($E106,'7. PGE_Efficacité'!$A$6:$CY$266,(MATCH('4.2 ACE EFF WOL'!AN$4,'7. PGE_Efficacité'!$A$4:$AO$4,0)+62),0)</f>
        <v>0</v>
      </c>
    </row>
    <row r="107" spans="1:40" ht="39" outlineLevel="1" x14ac:dyDescent="0.25">
      <c r="A107" s="48"/>
      <c r="B107" s="49"/>
      <c r="C107" s="48"/>
      <c r="D107" s="372" t="s">
        <v>27</v>
      </c>
      <c r="E107" s="195"/>
      <c r="F107" s="196" t="str">
        <f>VLOOKUP(D107,'1. Mesures'!$A$2:$B$116,2,0)</f>
        <v>Identifier les opportunités de connexion au réseau hydrographique des eaux claires actuellement perdues par temps sec dans le réseau d’égouttage et définir un débit minimum écologique et une hauteur d'eau minimale pour les masses d'eau</v>
      </c>
      <c r="G107" s="197"/>
      <c r="H107" s="195"/>
      <c r="I107" s="198">
        <f>SUBTOTAL(9,I108:I108)</f>
        <v>40000</v>
      </c>
      <c r="J107" s="203">
        <f>VLOOKUP($D107,'7. PGE_Efficacité'!$A$6:$CY$266,(MATCH('4.2 ACE EFF WOL'!J$4,'7. PGE_Efficacité'!$A$4:$AO$4,0)+62),0)</f>
        <v>0</v>
      </c>
      <c r="K107" s="203">
        <f>VLOOKUP($D107,'7. PGE_Efficacité'!$A$6:$CY$266,(MATCH('4.2 ACE EFF WOL'!K$4,'7. PGE_Efficacité'!$A$4:$AO$4,0)+62),0)</f>
        <v>0</v>
      </c>
      <c r="L107" s="203">
        <f>VLOOKUP($D107,'7. PGE_Efficacité'!$A$6:$CY$266,(MATCH('4.2 ACE EFF WOL'!L$4,'7. PGE_Efficacité'!$A$4:$AO$4,0)+62),0)</f>
        <v>0</v>
      </c>
      <c r="M107" s="203" t="str">
        <f>VLOOKUP($D107,'7. PGE_Efficacité'!$A$6:$CY$266,(MATCH('4.2 ACE EFF WOL'!M$4,'7. PGE_Efficacité'!$A$4:$AO$4,0)+62),0)</f>
        <v>+</v>
      </c>
      <c r="N107" s="203" t="str">
        <f>VLOOKUP($D107,'7. PGE_Efficacité'!$A$6:$CY$266,(MATCH('4.2 ACE EFF WOL'!N$4,'7. PGE_Efficacité'!$A$4:$AO$4,0)+62),0)</f>
        <v>+</v>
      </c>
      <c r="O107" s="203" t="str">
        <f>VLOOKUP($D107,'7. PGE_Efficacité'!$A$6:$CY$266,78,0)</f>
        <v>+</v>
      </c>
      <c r="P107" s="203">
        <f>VLOOKUP($D107,'7. PGE_Efficacité'!$A$6:$CY$266,(MATCH('4.2 ACE EFF WOL'!P$4,'7. PGE_Efficacité'!$A$4:$AO$4,0)+62),0)</f>
        <v>0</v>
      </c>
      <c r="Q107" s="203">
        <f>VLOOKUP($D107,'7. PGE_Efficacité'!$A$6:$CY$266,(MATCH('4.2 ACE EFF WOL'!Q$4,'7. PGE_Efficacité'!$A$4:$AO$4,0)+62),0)</f>
        <v>0</v>
      </c>
      <c r="R107" s="203">
        <f>VLOOKUP($D107,'7. PGE_Efficacité'!$A$6:$CY$266,(MATCH('4.2 ACE EFF WOL'!R$4,'7. PGE_Efficacité'!$A$4:$AO$4,0)+62),0)</f>
        <v>0</v>
      </c>
      <c r="S107" s="203">
        <f>VLOOKUP($D107,'7. PGE_Efficacité'!$A$6:$CY$266,(MATCH('4.2 ACE EFF WOL'!S$4,'7. PGE_Efficacité'!$A$4:$AO$4,0)+62),0)</f>
        <v>0</v>
      </c>
      <c r="T107" s="203">
        <f>VLOOKUP($D107,'7. PGE_Efficacité'!$A$6:$CY$266,(MATCH('4.2 ACE EFF WOL'!T$4,'7. PGE_Efficacité'!$A$4:$AO$4,0)+62),0)</f>
        <v>0</v>
      </c>
      <c r="U107" s="203">
        <f>VLOOKUP($D107,'7. PGE_Efficacité'!$A$6:$CY$266,(MATCH('4.2 ACE EFF WOL'!U$4,'7. PGE_Efficacité'!$A$4:$AO$4,0)+62),0)</f>
        <v>0</v>
      </c>
      <c r="V107" s="203" t="str">
        <f>VLOOKUP($D107,'7. PGE_Efficacité'!$A$6:$CY$266,(MATCH('4.2 ACE EFF WOL'!V$4,'7. PGE_Efficacité'!$A$4:$AO$4,0)+62),0)</f>
        <v>+</v>
      </c>
      <c r="W107" s="203" t="str">
        <f>VLOOKUP($D107,'7. PGE_Efficacité'!$A$6:$CY$266,(MATCH('4.2 ACE EFF WOL'!W$4,'7. PGE_Efficacité'!$A$4:$AO$4,0)+62),0)</f>
        <v>+</v>
      </c>
      <c r="X107" s="203">
        <f>VLOOKUP($D107,'7. PGE_Efficacité'!$A$6:$CY$266,(MATCH('4.2 ACE EFF WOL'!X$4,'7. PGE_Efficacité'!$A$4:$AO$4,0)+62),0)</f>
        <v>0</v>
      </c>
      <c r="Y107" s="203">
        <f>VLOOKUP($D107,'7. PGE_Efficacité'!$A$6:$CY$266,(MATCH('4.2 ACE EFF WOL'!Y$4,'7. PGE_Efficacité'!$A$4:$AO$4,0)+62),0)</f>
        <v>0</v>
      </c>
      <c r="Z107" s="203">
        <f>VLOOKUP($D107,'7. PGE_Efficacité'!$A$6:$CY$266,(MATCH('4.2 ACE EFF WOL'!Z$4,'7. PGE_Efficacité'!$A$4:$AO$4,0)+62),0)</f>
        <v>0</v>
      </c>
      <c r="AA107" s="203">
        <f>VLOOKUP($D107,'7. PGE_Efficacité'!$A$6:$CY$266,(MATCH('4.2 ACE EFF WOL'!AA$4,'7. PGE_Efficacité'!$A$4:$AO$4,0)+62),0)</f>
        <v>0</v>
      </c>
      <c r="AB107" s="203">
        <f>VLOOKUP($D107,'7. PGE_Efficacité'!$A$6:$CY$266,(MATCH('4.2 ACE EFF WOL'!AB$4,'7. PGE_Efficacité'!$A$4:$AO$4,0)+62),0)</f>
        <v>0</v>
      </c>
      <c r="AC107" s="203">
        <f>VLOOKUP($D107,'7. PGE_Efficacité'!$A$6:$CY$266,(MATCH('4.2 ACE EFF WOL'!AC$4,'7. PGE_Efficacité'!$A$4:$AO$4,0)+62),0)</f>
        <v>0</v>
      </c>
      <c r="AD107" s="203">
        <f>VLOOKUP($D107,'7. PGE_Efficacité'!$A$6:$CY$266,(MATCH('4.2 ACE EFF WOL'!AD$4,'7. PGE_Efficacité'!$A$4:$AO$4,0)+62),0)</f>
        <v>0</v>
      </c>
      <c r="AE107" s="203" t="str">
        <f>VLOOKUP($D107,'7. PGE_Efficacité'!$A$6:$CY$266,(MATCH('4.2 ACE EFF WOL'!AE$4,'7. PGE_Efficacité'!$A$4:$AO$4,0)+62),0)</f>
        <v>+</v>
      </c>
      <c r="AF107" s="203">
        <f>VLOOKUP($D107,'7. PGE_Efficacité'!$A$6:$CY$266,(MATCH('4.2 ACE EFF WOL'!AF$4,'7. PGE_Efficacité'!$A$4:$AO$4,0)+62),0)</f>
        <v>0</v>
      </c>
      <c r="AG107" s="203">
        <f>VLOOKUP($D107,'7. PGE_Efficacité'!$A$6:$CY$266,(MATCH('4.2 ACE EFF WOL'!AG$4,'7. PGE_Efficacité'!$A$4:$AO$4,0)+62),0)</f>
        <v>0</v>
      </c>
      <c r="AH107" s="203">
        <f>VLOOKUP($D107,'7. PGE_Efficacité'!$A$6:$CY$266,(MATCH('4.2 ACE EFF WOL'!AH$4,'7. PGE_Efficacité'!$A$4:$AO$4,0)+62),0)</f>
        <v>0</v>
      </c>
      <c r="AI107" s="203">
        <f>VLOOKUP($D107,'7. PGE_Efficacité'!$A$6:$CY$266,(MATCH('4.2 ACE EFF WOL'!AI$4,'7. PGE_Efficacité'!$A$4:$AO$4,0)+62),0)</f>
        <v>0</v>
      </c>
      <c r="AJ107" s="203">
        <f>VLOOKUP($D107,'7. PGE_Efficacité'!$A$6:$CY$266,(MATCH('4.2 ACE EFF WOL'!AJ$4,'7. PGE_Efficacité'!$A$4:$AO$4,0)+62),0)</f>
        <v>0</v>
      </c>
      <c r="AK107" s="203" t="str">
        <f>VLOOKUP($D107,'7. PGE_Efficacité'!$A$6:$CY$266,(MATCH('4.2 ACE EFF WOL'!AK$4,'7. PGE_Efficacité'!$A$4:$AO$4,0)+62),0)</f>
        <v>+</v>
      </c>
      <c r="AL107" s="203">
        <f>VLOOKUP($D107,'7. PGE_Efficacité'!$A$6:$CY$266,(MATCH('4.2 ACE EFF WOL'!AL$4,'7. PGE_Efficacité'!$A$4:$AO$4,0)+62),0)</f>
        <v>0</v>
      </c>
      <c r="AM107" s="203" t="str">
        <f>VLOOKUP($D107,'7. PGE_Efficacité'!$A$6:$CY$266,(MATCH('4.2 ACE EFF WOL'!AM$4,'7. PGE_Efficacité'!$A$4:$AO$4,0)+62),0)</f>
        <v>+</v>
      </c>
      <c r="AN107" s="203" t="str">
        <f>VLOOKUP($D107,'7. PGE_Efficacité'!$A$6:$CY$266,(MATCH('4.2 ACE EFF WOL'!AN$4,'7. PGE_Efficacité'!$A$4:$AO$4,0)+62),0)</f>
        <v>+</v>
      </c>
    </row>
    <row r="108" spans="1:40" outlineLevel="2" x14ac:dyDescent="0.25">
      <c r="A108" s="48" t="s">
        <v>1524</v>
      </c>
      <c r="B108" s="49">
        <v>26</v>
      </c>
      <c r="C108" s="48" t="s">
        <v>1526</v>
      </c>
      <c r="D108" s="199" t="s">
        <v>27</v>
      </c>
      <c r="E108" s="200" t="s">
        <v>769</v>
      </c>
      <c r="F108" s="200" t="s">
        <v>2011</v>
      </c>
      <c r="G108" s="201" t="s">
        <v>1521</v>
      </c>
      <c r="H108" s="200" t="s">
        <v>3035</v>
      </c>
      <c r="I108" s="202">
        <v>40000</v>
      </c>
      <c r="J108" s="139">
        <f>VLOOKUP($E108,'7. PGE_Efficacité'!$A$6:$CY$266,(MATCH('4.2 ACE EFF WOL'!J$4,'7. PGE_Efficacité'!$A$4:$AO$4,0)+62),0)</f>
        <v>0</v>
      </c>
      <c r="K108" s="139">
        <f>VLOOKUP($E108,'7. PGE_Efficacité'!$A$6:$CY$266,(MATCH('4.2 ACE EFF WOL'!K$4,'7. PGE_Efficacité'!$A$4:$AO$4,0)+62),0)</f>
        <v>0</v>
      </c>
      <c r="L108" s="139">
        <f>VLOOKUP($E108,'7. PGE_Efficacité'!$A$6:$CY$266,(MATCH('4.2 ACE EFF WOL'!L$4,'7. PGE_Efficacité'!$A$4:$AO$4,0)+62),0)</f>
        <v>0</v>
      </c>
      <c r="M108" s="139">
        <f>VLOOKUP($E108,'7. PGE_Efficacité'!$A$6:$CY$266,(MATCH('4.2 ACE EFF WOL'!M$4,'7. PGE_Efficacité'!$A$4:$AO$4,0)+62),0)</f>
        <v>0</v>
      </c>
      <c r="N108" s="139">
        <f>VLOOKUP($E108,'7. PGE_Efficacité'!$A$6:$CY$266,(MATCH('4.2 ACE EFF WOL'!N$4,'7. PGE_Efficacité'!$A$4:$AO$4,0)+62),0)</f>
        <v>0</v>
      </c>
      <c r="O108" s="139">
        <f>VLOOKUP($E108,'7. PGE_Efficacité'!$A$6:$CY$266,78,0)</f>
        <v>0</v>
      </c>
      <c r="P108" s="139">
        <f>VLOOKUP($E108,'7. PGE_Efficacité'!$A$6:$CY$266,(MATCH('4.2 ACE EFF WOL'!P$4,'7. PGE_Efficacité'!$A$4:$AO$4,0)+62),0)</f>
        <v>0</v>
      </c>
      <c r="Q108" s="139">
        <f>VLOOKUP($E108,'7. PGE_Efficacité'!$A$6:$CY$266,(MATCH('4.2 ACE EFF WOL'!Q$4,'7. PGE_Efficacité'!$A$4:$AO$4,0)+62),0)</f>
        <v>0</v>
      </c>
      <c r="R108" s="139">
        <f>VLOOKUP($E108,'7. PGE_Efficacité'!$A$6:$CY$266,(MATCH('4.2 ACE EFF WOL'!R$4,'7. PGE_Efficacité'!$A$4:$AO$4,0)+62),0)</f>
        <v>0</v>
      </c>
      <c r="S108" s="139">
        <f>VLOOKUP($E108,'7. PGE_Efficacité'!$A$6:$CY$266,(MATCH('4.2 ACE EFF WOL'!S$4,'7. PGE_Efficacité'!$A$4:$AO$4,0)+62),0)</f>
        <v>0</v>
      </c>
      <c r="T108" s="139">
        <f>VLOOKUP($E108,'7. PGE_Efficacité'!$A$6:$CY$266,(MATCH('4.2 ACE EFF WOL'!T$4,'7. PGE_Efficacité'!$A$4:$AO$4,0)+62),0)</f>
        <v>0</v>
      </c>
      <c r="U108" s="139">
        <f>VLOOKUP($E108,'7. PGE_Efficacité'!$A$6:$CY$266,(MATCH('4.2 ACE EFF WOL'!U$4,'7. PGE_Efficacité'!$A$4:$AO$4,0)+62),0)</f>
        <v>0</v>
      </c>
      <c r="V108" s="139">
        <f>VLOOKUP($E108,'7. PGE_Efficacité'!$A$6:$CY$266,(MATCH('4.2 ACE EFF WOL'!V$4,'7. PGE_Efficacité'!$A$4:$AO$4,0)+62),0)</f>
        <v>0</v>
      </c>
      <c r="W108" s="139">
        <f>VLOOKUP($E108,'7. PGE_Efficacité'!$A$6:$CY$266,(MATCH('4.2 ACE EFF WOL'!W$4,'7. PGE_Efficacité'!$A$4:$AO$4,0)+62),0)</f>
        <v>0</v>
      </c>
      <c r="X108" s="139">
        <f>VLOOKUP($E108,'7. PGE_Efficacité'!$A$6:$CY$266,(MATCH('4.2 ACE EFF WOL'!X$4,'7. PGE_Efficacité'!$A$4:$AO$4,0)+62),0)</f>
        <v>0</v>
      </c>
      <c r="Y108" s="139">
        <f>VLOOKUP($E108,'7. PGE_Efficacité'!$A$6:$CY$266,(MATCH('4.2 ACE EFF WOL'!Y$4,'7. PGE_Efficacité'!$A$4:$AO$4,0)+62),0)</f>
        <v>0</v>
      </c>
      <c r="Z108" s="139">
        <f>VLOOKUP($E108,'7. PGE_Efficacité'!$A$6:$CY$266,(MATCH('4.2 ACE EFF WOL'!Z$4,'7. PGE_Efficacité'!$A$4:$AO$4,0)+62),0)</f>
        <v>0</v>
      </c>
      <c r="AA108" s="139">
        <f>VLOOKUP($E108,'7. PGE_Efficacité'!$A$6:$CY$266,(MATCH('4.2 ACE EFF WOL'!AA$4,'7. PGE_Efficacité'!$A$4:$AO$4,0)+62),0)</f>
        <v>0</v>
      </c>
      <c r="AB108" s="139">
        <f>VLOOKUP($E108,'7. PGE_Efficacité'!$A$6:$CY$266,(MATCH('4.2 ACE EFF WOL'!AB$4,'7. PGE_Efficacité'!$A$4:$AO$4,0)+62),0)</f>
        <v>0</v>
      </c>
      <c r="AC108" s="139">
        <f>VLOOKUP($E108,'7. PGE_Efficacité'!$A$6:$CY$266,(MATCH('4.2 ACE EFF WOL'!AC$4,'7. PGE_Efficacité'!$A$4:$AO$4,0)+62),0)</f>
        <v>0</v>
      </c>
      <c r="AD108" s="139">
        <f>VLOOKUP($E108,'7. PGE_Efficacité'!$A$6:$CY$266,(MATCH('4.2 ACE EFF WOL'!AD$4,'7. PGE_Efficacité'!$A$4:$AO$4,0)+62),0)</f>
        <v>0</v>
      </c>
      <c r="AE108" s="139">
        <f>VLOOKUP($E108,'7. PGE_Efficacité'!$A$6:$CY$266,(MATCH('4.2 ACE EFF WOL'!AE$4,'7. PGE_Efficacité'!$A$4:$AO$4,0)+62),0)</f>
        <v>0</v>
      </c>
      <c r="AF108" s="139">
        <f>VLOOKUP($E108,'7. PGE_Efficacité'!$A$6:$CY$266,(MATCH('4.2 ACE EFF WOL'!AF$4,'7. PGE_Efficacité'!$A$4:$AO$4,0)+62),0)</f>
        <v>0</v>
      </c>
      <c r="AG108" s="139">
        <f>VLOOKUP($E108,'7. PGE_Efficacité'!$A$6:$CY$266,(MATCH('4.2 ACE EFF WOL'!AG$4,'7. PGE_Efficacité'!$A$4:$AO$4,0)+62),0)</f>
        <v>0</v>
      </c>
      <c r="AH108" s="139">
        <f>VLOOKUP($E108,'7. PGE_Efficacité'!$A$6:$CY$266,(MATCH('4.2 ACE EFF WOL'!AH$4,'7. PGE_Efficacité'!$A$4:$AO$4,0)+62),0)</f>
        <v>0</v>
      </c>
      <c r="AI108" s="139">
        <f>VLOOKUP($E108,'7. PGE_Efficacité'!$A$6:$CY$266,(MATCH('4.2 ACE EFF WOL'!AI$4,'7. PGE_Efficacité'!$A$4:$AO$4,0)+62),0)</f>
        <v>0</v>
      </c>
      <c r="AJ108" s="139">
        <f>VLOOKUP($E108,'7. PGE_Efficacité'!$A$6:$CY$266,(MATCH('4.2 ACE EFF WOL'!AJ$4,'7. PGE_Efficacité'!$A$4:$AO$4,0)+62),0)</f>
        <v>0</v>
      </c>
      <c r="AK108" s="139">
        <f>VLOOKUP($E108,'7. PGE_Efficacité'!$A$6:$CY$266,(MATCH('4.2 ACE EFF WOL'!AK$4,'7. PGE_Efficacité'!$A$4:$AO$4,0)+62),0)</f>
        <v>0</v>
      </c>
      <c r="AL108" s="139">
        <f>VLOOKUP($E108,'7. PGE_Efficacité'!$A$6:$CY$266,(MATCH('4.2 ACE EFF WOL'!AL$4,'7. PGE_Efficacité'!$A$4:$AO$4,0)+62),0)</f>
        <v>0</v>
      </c>
      <c r="AM108" s="139">
        <f>VLOOKUP($E108,'7. PGE_Efficacité'!$A$6:$CY$266,(MATCH('4.2 ACE EFF WOL'!AM$4,'7. PGE_Efficacité'!$A$4:$AO$4,0)+62),0)</f>
        <v>0</v>
      </c>
      <c r="AN108" s="139">
        <f>VLOOKUP($E108,'7. PGE_Efficacité'!$A$6:$CY$266,(MATCH('4.2 ACE EFF WOL'!AN$4,'7. PGE_Efficacité'!$A$4:$AO$4,0)+62),0)</f>
        <v>0</v>
      </c>
    </row>
    <row r="109" spans="1:40" ht="26.25" outlineLevel="1" x14ac:dyDescent="0.25">
      <c r="A109" s="48"/>
      <c r="B109" s="49"/>
      <c r="C109" s="48"/>
      <c r="D109" s="372" t="s">
        <v>38</v>
      </c>
      <c r="E109" s="195"/>
      <c r="F109" s="196" t="str">
        <f>VLOOKUP(D109,'1. Mesures'!$A$2:$B$116,2,0)</f>
        <v xml:space="preserve">Rénover et étendre le réseau d'assainissement afin de réduire les concentrations en nitrates d’origine non agricole </v>
      </c>
      <c r="G109" s="197"/>
      <c r="H109" s="195"/>
      <c r="I109" s="198">
        <f>SUBTOTAL(9,I110:I115)</f>
        <v>7436280</v>
      </c>
      <c r="J109" s="205">
        <f>VLOOKUP($D109,'7. PGE_Efficacité'!$A$6:$CY$266,(MATCH('4.2 ACE EFF WOL'!J$4,'7. PGE_Efficacité'!$A$4:$AO$4,0)+62),0)</f>
        <v>0</v>
      </c>
      <c r="K109" s="205">
        <f>VLOOKUP($D109,'7. PGE_Efficacité'!$A$6:$CY$266,(MATCH('4.2 ACE EFF WOL'!K$4,'7. PGE_Efficacité'!$A$4:$AO$4,0)+62),0)</f>
        <v>0</v>
      </c>
      <c r="L109" s="205">
        <f>VLOOKUP($D109,'7. PGE_Efficacité'!$A$6:$CY$266,(MATCH('4.2 ACE EFF WOL'!L$4,'7. PGE_Efficacité'!$A$4:$AO$4,0)+62),0)</f>
        <v>0</v>
      </c>
      <c r="M109" s="205" t="str">
        <f>VLOOKUP($D109,'7. PGE_Efficacité'!$A$6:$CY$266,(MATCH('4.2 ACE EFF WOL'!M$4,'7. PGE_Efficacité'!$A$4:$AO$4,0)+62),0)</f>
        <v>+</v>
      </c>
      <c r="N109" s="205" t="str">
        <f>VLOOKUP($D109,'7. PGE_Efficacité'!$A$6:$CY$266,(MATCH('4.2 ACE EFF WOL'!N$4,'7. PGE_Efficacité'!$A$4:$AO$4,0)+62),0)</f>
        <v>+</v>
      </c>
      <c r="O109" s="205" t="str">
        <f>VLOOKUP($D109,'7. PGE_Efficacité'!$A$6:$CY$266,78,0)</f>
        <v>+</v>
      </c>
      <c r="P109" s="205">
        <f>VLOOKUP($D109,'7. PGE_Efficacité'!$A$6:$CY$266,(MATCH('4.2 ACE EFF WOL'!P$4,'7. PGE_Efficacité'!$A$4:$AO$4,0)+62),0)</f>
        <v>0</v>
      </c>
      <c r="Q109" s="205">
        <f>VLOOKUP($D109,'7. PGE_Efficacité'!$A$6:$CY$266,(MATCH('4.2 ACE EFF WOL'!Q$4,'7. PGE_Efficacité'!$A$4:$AO$4,0)+62),0)</f>
        <v>0</v>
      </c>
      <c r="R109" s="205">
        <f>VLOOKUP($D109,'7. PGE_Efficacité'!$A$6:$CY$266,(MATCH('4.2 ACE EFF WOL'!R$4,'7. PGE_Efficacité'!$A$4:$AO$4,0)+62),0)</f>
        <v>0</v>
      </c>
      <c r="S109" s="205">
        <f>VLOOKUP($D109,'7. PGE_Efficacité'!$A$6:$CY$266,(MATCH('4.2 ACE EFF WOL'!S$4,'7. PGE_Efficacité'!$A$4:$AO$4,0)+62),0)</f>
        <v>0</v>
      </c>
      <c r="T109" s="205">
        <f>VLOOKUP($D109,'7. PGE_Efficacité'!$A$6:$CY$266,(MATCH('4.2 ACE EFF WOL'!T$4,'7. PGE_Efficacité'!$A$4:$AO$4,0)+62),0)</f>
        <v>0</v>
      </c>
      <c r="U109" s="205">
        <f>VLOOKUP($D109,'7. PGE_Efficacité'!$A$6:$CY$266,(MATCH('4.2 ACE EFF WOL'!U$4,'7. PGE_Efficacité'!$A$4:$AO$4,0)+62),0)</f>
        <v>0</v>
      </c>
      <c r="V109" s="205" t="str">
        <f>VLOOKUP($D109,'7. PGE_Efficacité'!$A$6:$CY$266,(MATCH('4.2 ACE EFF WOL'!V$4,'7. PGE_Efficacité'!$A$4:$AO$4,0)+62),0)</f>
        <v>+</v>
      </c>
      <c r="W109" s="205" t="str">
        <f>VLOOKUP($D109,'7. PGE_Efficacité'!$A$6:$CY$266,(MATCH('4.2 ACE EFF WOL'!W$4,'7. PGE_Efficacité'!$A$4:$AO$4,0)+62),0)</f>
        <v>+</v>
      </c>
      <c r="X109" s="205">
        <f>VLOOKUP($D109,'7. PGE_Efficacité'!$A$6:$CY$266,(MATCH('4.2 ACE EFF WOL'!X$4,'7. PGE_Efficacité'!$A$4:$AO$4,0)+62),0)</f>
        <v>0</v>
      </c>
      <c r="Y109" s="205">
        <f>VLOOKUP($D109,'7. PGE_Efficacité'!$A$6:$CY$266,(MATCH('4.2 ACE EFF WOL'!Y$4,'7. PGE_Efficacité'!$A$4:$AO$4,0)+62),0)</f>
        <v>0</v>
      </c>
      <c r="Z109" s="205">
        <f>VLOOKUP($D109,'7. PGE_Efficacité'!$A$6:$CY$266,(MATCH('4.2 ACE EFF WOL'!Z$4,'7. PGE_Efficacité'!$A$4:$AO$4,0)+62),0)</f>
        <v>0</v>
      </c>
      <c r="AA109" s="205">
        <f>VLOOKUP($D109,'7. PGE_Efficacité'!$A$6:$CY$266,(MATCH('4.2 ACE EFF WOL'!AA$4,'7. PGE_Efficacité'!$A$4:$AO$4,0)+62),0)</f>
        <v>0</v>
      </c>
      <c r="AB109" s="205">
        <f>VLOOKUP($D109,'7. PGE_Efficacité'!$A$6:$CY$266,(MATCH('4.2 ACE EFF WOL'!AB$4,'7. PGE_Efficacité'!$A$4:$AO$4,0)+62),0)</f>
        <v>0</v>
      </c>
      <c r="AC109" s="205">
        <f>VLOOKUP($D109,'7. PGE_Efficacité'!$A$6:$CY$266,(MATCH('4.2 ACE EFF WOL'!AC$4,'7. PGE_Efficacité'!$A$4:$AO$4,0)+62),0)</f>
        <v>0</v>
      </c>
      <c r="AD109" s="205">
        <f>VLOOKUP($D109,'7. PGE_Efficacité'!$A$6:$CY$266,(MATCH('4.2 ACE EFF WOL'!AD$4,'7. PGE_Efficacité'!$A$4:$AO$4,0)+62),0)</f>
        <v>0</v>
      </c>
      <c r="AE109" s="205" t="str">
        <f>VLOOKUP($D109,'7. PGE_Efficacité'!$A$6:$CY$266,(MATCH('4.2 ACE EFF WOL'!AE$4,'7. PGE_Efficacité'!$A$4:$AO$4,0)+62),0)</f>
        <v>+</v>
      </c>
      <c r="AF109" s="205">
        <f>VLOOKUP($D109,'7. PGE_Efficacité'!$A$6:$CY$266,(MATCH('4.2 ACE EFF WOL'!AF$4,'7. PGE_Efficacité'!$A$4:$AO$4,0)+62),0)</f>
        <v>0</v>
      </c>
      <c r="AG109" s="205">
        <f>VLOOKUP($D109,'7. PGE_Efficacité'!$A$6:$CY$266,(MATCH('4.2 ACE EFF WOL'!AG$4,'7. PGE_Efficacité'!$A$4:$AO$4,0)+62),0)</f>
        <v>0</v>
      </c>
      <c r="AH109" s="205">
        <f>VLOOKUP($D109,'7. PGE_Efficacité'!$A$6:$CY$266,(MATCH('4.2 ACE EFF WOL'!AH$4,'7. PGE_Efficacité'!$A$4:$AO$4,0)+62),0)</f>
        <v>0</v>
      </c>
      <c r="AI109" s="205">
        <f>VLOOKUP($D109,'7. PGE_Efficacité'!$A$6:$CY$266,(MATCH('4.2 ACE EFF WOL'!AI$4,'7. PGE_Efficacité'!$A$4:$AO$4,0)+62),0)</f>
        <v>0</v>
      </c>
      <c r="AJ109" s="205">
        <f>VLOOKUP($D109,'7. PGE_Efficacité'!$A$6:$CY$266,(MATCH('4.2 ACE EFF WOL'!AJ$4,'7. PGE_Efficacité'!$A$4:$AO$4,0)+62),0)</f>
        <v>0</v>
      </c>
      <c r="AK109" s="205" t="str">
        <f>VLOOKUP($D109,'7. PGE_Efficacité'!$A$6:$CY$266,(MATCH('4.2 ACE EFF WOL'!AK$4,'7. PGE_Efficacité'!$A$4:$AO$4,0)+62),0)</f>
        <v>+</v>
      </c>
      <c r="AL109" s="205">
        <f>VLOOKUP($D109,'7. PGE_Efficacité'!$A$6:$CY$266,(MATCH('4.2 ACE EFF WOL'!AL$4,'7. PGE_Efficacité'!$A$4:$AO$4,0)+62),0)</f>
        <v>0</v>
      </c>
      <c r="AM109" s="205" t="str">
        <f>VLOOKUP($D109,'7. PGE_Efficacité'!$A$6:$CY$266,(MATCH('4.2 ACE EFF WOL'!AM$4,'7. PGE_Efficacité'!$A$4:$AO$4,0)+62),0)</f>
        <v>+</v>
      </c>
      <c r="AN109" s="205" t="str">
        <f>VLOOKUP($D109,'7. PGE_Efficacité'!$A$6:$CY$266,(MATCH('4.2 ACE EFF WOL'!AN$4,'7. PGE_Efficacité'!$A$4:$AO$4,0)+62),0)</f>
        <v>+</v>
      </c>
    </row>
    <row r="110" spans="1:40" outlineLevel="2" x14ac:dyDescent="0.25">
      <c r="A110" s="48"/>
      <c r="B110" s="49"/>
      <c r="C110" s="48"/>
      <c r="D110" s="199" t="s">
        <v>38</v>
      </c>
      <c r="E110" s="200" t="s">
        <v>892</v>
      </c>
      <c r="F110" s="200" t="s">
        <v>1482</v>
      </c>
      <c r="G110" s="201" t="s">
        <v>1522</v>
      </c>
      <c r="H110" s="200" t="s">
        <v>1290</v>
      </c>
      <c r="I110" s="202">
        <v>0</v>
      </c>
      <c r="J110" s="205">
        <f>VLOOKUP($E110,'7. PGE_Efficacité'!$A$6:$CY$266,(MATCH('4.2 ACE EFF WOL'!J$4,'7. PGE_Efficacité'!$A$4:$AO$4,0)+62),0)</f>
        <v>0</v>
      </c>
      <c r="K110" s="205">
        <f>VLOOKUP($E110,'7. PGE_Efficacité'!$A$6:$CY$266,(MATCH('4.2 ACE EFF WOL'!K$4,'7. PGE_Efficacité'!$A$4:$AO$4,0)+62),0)</f>
        <v>0</v>
      </c>
      <c r="L110" s="205">
        <f>VLOOKUP($E110,'7. PGE_Efficacité'!$A$6:$CY$266,(MATCH('4.2 ACE EFF WOL'!L$4,'7. PGE_Efficacité'!$A$4:$AO$4,0)+62),0)</f>
        <v>0</v>
      </c>
      <c r="M110" s="205">
        <f>VLOOKUP($E110,'7. PGE_Efficacité'!$A$6:$CY$266,(MATCH('4.2 ACE EFF WOL'!M$4,'7. PGE_Efficacité'!$A$4:$AO$4,0)+62),0)</f>
        <v>0</v>
      </c>
      <c r="N110" s="205">
        <f>VLOOKUP($E110,'7. PGE_Efficacité'!$A$6:$CY$266,(MATCH('4.2 ACE EFF WOL'!N$4,'7. PGE_Efficacité'!$A$4:$AO$4,0)+62),0)</f>
        <v>0</v>
      </c>
      <c r="O110" s="205">
        <f>VLOOKUP($E110,'7. PGE_Efficacité'!$A$6:$CY$266,78,0)</f>
        <v>0</v>
      </c>
      <c r="P110" s="205">
        <f>VLOOKUP($E110,'7. PGE_Efficacité'!$A$6:$CY$266,(MATCH('4.2 ACE EFF WOL'!P$4,'7. PGE_Efficacité'!$A$4:$AO$4,0)+62),0)</f>
        <v>0</v>
      </c>
      <c r="Q110" s="205">
        <f>VLOOKUP($E110,'7. PGE_Efficacité'!$A$6:$CY$266,(MATCH('4.2 ACE EFF WOL'!Q$4,'7. PGE_Efficacité'!$A$4:$AO$4,0)+62),0)</f>
        <v>0</v>
      </c>
      <c r="R110" s="205">
        <f>VLOOKUP($E110,'7. PGE_Efficacité'!$A$6:$CY$266,(MATCH('4.2 ACE EFF WOL'!R$4,'7. PGE_Efficacité'!$A$4:$AO$4,0)+62),0)</f>
        <v>0</v>
      </c>
      <c r="S110" s="205">
        <f>VLOOKUP($E110,'7. PGE_Efficacité'!$A$6:$CY$266,(MATCH('4.2 ACE EFF WOL'!S$4,'7. PGE_Efficacité'!$A$4:$AO$4,0)+62),0)</f>
        <v>0</v>
      </c>
      <c r="T110" s="205">
        <f>VLOOKUP($E110,'7. PGE_Efficacité'!$A$6:$CY$266,(MATCH('4.2 ACE EFF WOL'!T$4,'7. PGE_Efficacité'!$A$4:$AO$4,0)+62),0)</f>
        <v>0</v>
      </c>
      <c r="U110" s="205">
        <f>VLOOKUP($E110,'7. PGE_Efficacité'!$A$6:$CY$266,(MATCH('4.2 ACE EFF WOL'!U$4,'7. PGE_Efficacité'!$A$4:$AO$4,0)+62),0)</f>
        <v>0</v>
      </c>
      <c r="V110" s="205">
        <f>VLOOKUP($E110,'7. PGE_Efficacité'!$A$6:$CY$266,(MATCH('4.2 ACE EFF WOL'!V$4,'7. PGE_Efficacité'!$A$4:$AO$4,0)+62),0)</f>
        <v>0</v>
      </c>
      <c r="W110" s="205">
        <f>VLOOKUP($E110,'7. PGE_Efficacité'!$A$6:$CY$266,(MATCH('4.2 ACE EFF WOL'!W$4,'7. PGE_Efficacité'!$A$4:$AO$4,0)+62),0)</f>
        <v>0</v>
      </c>
      <c r="X110" s="205">
        <f>VLOOKUP($E110,'7. PGE_Efficacité'!$A$6:$CY$266,(MATCH('4.2 ACE EFF WOL'!X$4,'7. PGE_Efficacité'!$A$4:$AO$4,0)+62),0)</f>
        <v>0</v>
      </c>
      <c r="Y110" s="205">
        <f>VLOOKUP($E110,'7. PGE_Efficacité'!$A$6:$CY$266,(MATCH('4.2 ACE EFF WOL'!Y$4,'7. PGE_Efficacité'!$A$4:$AO$4,0)+62),0)</f>
        <v>0</v>
      </c>
      <c r="Z110" s="205">
        <f>VLOOKUP($E110,'7. PGE_Efficacité'!$A$6:$CY$266,(MATCH('4.2 ACE EFF WOL'!Z$4,'7. PGE_Efficacité'!$A$4:$AO$4,0)+62),0)</f>
        <v>0</v>
      </c>
      <c r="AA110" s="205">
        <f>VLOOKUP($E110,'7. PGE_Efficacité'!$A$6:$CY$266,(MATCH('4.2 ACE EFF WOL'!AA$4,'7. PGE_Efficacité'!$A$4:$AO$4,0)+62),0)</f>
        <v>0</v>
      </c>
      <c r="AB110" s="205">
        <f>VLOOKUP($E110,'7. PGE_Efficacité'!$A$6:$CY$266,(MATCH('4.2 ACE EFF WOL'!AB$4,'7. PGE_Efficacité'!$A$4:$AO$4,0)+62),0)</f>
        <v>0</v>
      </c>
      <c r="AC110" s="205">
        <f>VLOOKUP($E110,'7. PGE_Efficacité'!$A$6:$CY$266,(MATCH('4.2 ACE EFF WOL'!AC$4,'7. PGE_Efficacité'!$A$4:$AO$4,0)+62),0)</f>
        <v>0</v>
      </c>
      <c r="AD110" s="205">
        <f>VLOOKUP($E110,'7. PGE_Efficacité'!$A$6:$CY$266,(MATCH('4.2 ACE EFF WOL'!AD$4,'7. PGE_Efficacité'!$A$4:$AO$4,0)+62),0)</f>
        <v>0</v>
      </c>
      <c r="AE110" s="205">
        <f>VLOOKUP($E110,'7. PGE_Efficacité'!$A$6:$CY$266,(MATCH('4.2 ACE EFF WOL'!AE$4,'7. PGE_Efficacité'!$A$4:$AO$4,0)+62),0)</f>
        <v>0</v>
      </c>
      <c r="AF110" s="205">
        <f>VLOOKUP($E110,'7. PGE_Efficacité'!$A$6:$CY$266,(MATCH('4.2 ACE EFF WOL'!AF$4,'7. PGE_Efficacité'!$A$4:$AO$4,0)+62),0)</f>
        <v>0</v>
      </c>
      <c r="AG110" s="205">
        <f>VLOOKUP($E110,'7. PGE_Efficacité'!$A$6:$CY$266,(MATCH('4.2 ACE EFF WOL'!AG$4,'7. PGE_Efficacité'!$A$4:$AO$4,0)+62),0)</f>
        <v>0</v>
      </c>
      <c r="AH110" s="205">
        <f>VLOOKUP($E110,'7. PGE_Efficacité'!$A$6:$CY$266,(MATCH('4.2 ACE EFF WOL'!AH$4,'7. PGE_Efficacité'!$A$4:$AO$4,0)+62),0)</f>
        <v>0</v>
      </c>
      <c r="AI110" s="205">
        <f>VLOOKUP($E110,'7. PGE_Efficacité'!$A$6:$CY$266,(MATCH('4.2 ACE EFF WOL'!AI$4,'7. PGE_Efficacité'!$A$4:$AO$4,0)+62),0)</f>
        <v>0</v>
      </c>
      <c r="AJ110" s="205">
        <f>VLOOKUP($E110,'7. PGE_Efficacité'!$A$6:$CY$266,(MATCH('4.2 ACE EFF WOL'!AJ$4,'7. PGE_Efficacité'!$A$4:$AO$4,0)+62),0)</f>
        <v>0</v>
      </c>
      <c r="AK110" s="205">
        <f>VLOOKUP($E110,'7. PGE_Efficacité'!$A$6:$CY$266,(MATCH('4.2 ACE EFF WOL'!AK$4,'7. PGE_Efficacité'!$A$4:$AO$4,0)+62),0)</f>
        <v>0</v>
      </c>
      <c r="AL110" s="205">
        <f>VLOOKUP($E110,'7. PGE_Efficacité'!$A$6:$CY$266,(MATCH('4.2 ACE EFF WOL'!AL$4,'7. PGE_Efficacité'!$A$4:$AO$4,0)+62),0)</f>
        <v>0</v>
      </c>
      <c r="AM110" s="205">
        <f>VLOOKUP($E110,'7. PGE_Efficacité'!$A$6:$CY$266,(MATCH('4.2 ACE EFF WOL'!AM$4,'7. PGE_Efficacité'!$A$4:$AO$4,0)+62),0)</f>
        <v>0</v>
      </c>
      <c r="AN110" s="205">
        <f>VLOOKUP($E110,'7. PGE_Efficacité'!$A$6:$CY$266,(MATCH('4.2 ACE EFF WOL'!AN$4,'7. PGE_Efficacité'!$A$4:$AO$4,0)+62),0)</f>
        <v>0</v>
      </c>
    </row>
    <row r="111" spans="1:40" outlineLevel="2" x14ac:dyDescent="0.25">
      <c r="A111" s="48" t="s">
        <v>1525</v>
      </c>
      <c r="B111" s="49">
        <v>3</v>
      </c>
      <c r="C111" s="48" t="s">
        <v>1524</v>
      </c>
      <c r="D111" s="199" t="s">
        <v>38</v>
      </c>
      <c r="E111" s="200" t="s">
        <v>893</v>
      </c>
      <c r="F111" s="200" t="s">
        <v>1483</v>
      </c>
      <c r="G111" s="201" t="s">
        <v>1522</v>
      </c>
      <c r="H111" s="200" t="s">
        <v>1290</v>
      </c>
      <c r="I111" s="202">
        <f>11916800*0.05/3</f>
        <v>198613.33333333334</v>
      </c>
      <c r="J111" s="205">
        <f>VLOOKUP($E111,'7. PGE_Efficacité'!$A$6:$CY$266,(MATCH('4.2 ACE EFF WOL'!J$4,'7. PGE_Efficacité'!$A$4:$AO$4,0)+62),0)</f>
        <v>0</v>
      </c>
      <c r="K111" s="205">
        <f>VLOOKUP($E111,'7. PGE_Efficacité'!$A$6:$CY$266,(MATCH('4.2 ACE EFF WOL'!K$4,'7. PGE_Efficacité'!$A$4:$AO$4,0)+62),0)</f>
        <v>0</v>
      </c>
      <c r="L111" s="205">
        <f>VLOOKUP($E111,'7. PGE_Efficacité'!$A$6:$CY$266,(MATCH('4.2 ACE EFF WOL'!L$4,'7. PGE_Efficacité'!$A$4:$AO$4,0)+62),0)</f>
        <v>0</v>
      </c>
      <c r="M111" s="205">
        <f>VLOOKUP($E111,'7. PGE_Efficacité'!$A$6:$CY$266,(MATCH('4.2 ACE EFF WOL'!M$4,'7. PGE_Efficacité'!$A$4:$AO$4,0)+62),0)</f>
        <v>0</v>
      </c>
      <c r="N111" s="205">
        <f>VLOOKUP($E111,'7. PGE_Efficacité'!$A$6:$CY$266,(MATCH('4.2 ACE EFF WOL'!N$4,'7. PGE_Efficacité'!$A$4:$AO$4,0)+62),0)</f>
        <v>0</v>
      </c>
      <c r="O111" s="205">
        <f>VLOOKUP($E111,'7. PGE_Efficacité'!$A$6:$CY$266,78,0)</f>
        <v>0</v>
      </c>
      <c r="P111" s="205">
        <f>VLOOKUP($E111,'7. PGE_Efficacité'!$A$6:$CY$266,(MATCH('4.2 ACE EFF WOL'!P$4,'7. PGE_Efficacité'!$A$4:$AO$4,0)+62),0)</f>
        <v>0</v>
      </c>
      <c r="Q111" s="205">
        <f>VLOOKUP($E111,'7. PGE_Efficacité'!$A$6:$CY$266,(MATCH('4.2 ACE EFF WOL'!Q$4,'7. PGE_Efficacité'!$A$4:$AO$4,0)+62),0)</f>
        <v>0</v>
      </c>
      <c r="R111" s="205">
        <f>VLOOKUP($E111,'7. PGE_Efficacité'!$A$6:$CY$266,(MATCH('4.2 ACE EFF WOL'!R$4,'7. PGE_Efficacité'!$A$4:$AO$4,0)+62),0)</f>
        <v>0</v>
      </c>
      <c r="S111" s="205">
        <f>VLOOKUP($E111,'7. PGE_Efficacité'!$A$6:$CY$266,(MATCH('4.2 ACE EFF WOL'!S$4,'7. PGE_Efficacité'!$A$4:$AO$4,0)+62),0)</f>
        <v>0</v>
      </c>
      <c r="T111" s="205">
        <f>VLOOKUP($E111,'7. PGE_Efficacité'!$A$6:$CY$266,(MATCH('4.2 ACE EFF WOL'!T$4,'7. PGE_Efficacité'!$A$4:$AO$4,0)+62),0)</f>
        <v>0</v>
      </c>
      <c r="U111" s="205">
        <f>VLOOKUP($E111,'7. PGE_Efficacité'!$A$6:$CY$266,(MATCH('4.2 ACE EFF WOL'!U$4,'7. PGE_Efficacité'!$A$4:$AO$4,0)+62),0)</f>
        <v>0</v>
      </c>
      <c r="V111" s="205">
        <f>VLOOKUP($E111,'7. PGE_Efficacité'!$A$6:$CY$266,(MATCH('4.2 ACE EFF WOL'!V$4,'7. PGE_Efficacité'!$A$4:$AO$4,0)+62),0)</f>
        <v>0</v>
      </c>
      <c r="W111" s="205">
        <f>VLOOKUP($E111,'7. PGE_Efficacité'!$A$6:$CY$266,(MATCH('4.2 ACE EFF WOL'!W$4,'7. PGE_Efficacité'!$A$4:$AO$4,0)+62),0)</f>
        <v>0</v>
      </c>
      <c r="X111" s="205">
        <f>VLOOKUP($E111,'7. PGE_Efficacité'!$A$6:$CY$266,(MATCH('4.2 ACE EFF WOL'!X$4,'7. PGE_Efficacité'!$A$4:$AO$4,0)+62),0)</f>
        <v>0</v>
      </c>
      <c r="Y111" s="205">
        <f>VLOOKUP($E111,'7. PGE_Efficacité'!$A$6:$CY$266,(MATCH('4.2 ACE EFF WOL'!Y$4,'7. PGE_Efficacité'!$A$4:$AO$4,0)+62),0)</f>
        <v>0</v>
      </c>
      <c r="Z111" s="205">
        <f>VLOOKUP($E111,'7. PGE_Efficacité'!$A$6:$CY$266,(MATCH('4.2 ACE EFF WOL'!Z$4,'7. PGE_Efficacité'!$A$4:$AO$4,0)+62),0)</f>
        <v>0</v>
      </c>
      <c r="AA111" s="205">
        <f>VLOOKUP($E111,'7. PGE_Efficacité'!$A$6:$CY$266,(MATCH('4.2 ACE EFF WOL'!AA$4,'7. PGE_Efficacité'!$A$4:$AO$4,0)+62),0)</f>
        <v>0</v>
      </c>
      <c r="AB111" s="205">
        <f>VLOOKUP($E111,'7. PGE_Efficacité'!$A$6:$CY$266,(MATCH('4.2 ACE EFF WOL'!AB$4,'7. PGE_Efficacité'!$A$4:$AO$4,0)+62),0)</f>
        <v>0</v>
      </c>
      <c r="AC111" s="205">
        <f>VLOOKUP($E111,'7. PGE_Efficacité'!$A$6:$CY$266,(MATCH('4.2 ACE EFF WOL'!AC$4,'7. PGE_Efficacité'!$A$4:$AO$4,0)+62),0)</f>
        <v>0</v>
      </c>
      <c r="AD111" s="205">
        <f>VLOOKUP($E111,'7. PGE_Efficacité'!$A$6:$CY$266,(MATCH('4.2 ACE EFF WOL'!AD$4,'7. PGE_Efficacité'!$A$4:$AO$4,0)+62),0)</f>
        <v>0</v>
      </c>
      <c r="AE111" s="205">
        <f>VLOOKUP($E111,'7. PGE_Efficacité'!$A$6:$CY$266,(MATCH('4.2 ACE EFF WOL'!AE$4,'7. PGE_Efficacité'!$A$4:$AO$4,0)+62),0)</f>
        <v>0</v>
      </c>
      <c r="AF111" s="205">
        <f>VLOOKUP($E111,'7. PGE_Efficacité'!$A$6:$CY$266,(MATCH('4.2 ACE EFF WOL'!AF$4,'7. PGE_Efficacité'!$A$4:$AO$4,0)+62),0)</f>
        <v>0</v>
      </c>
      <c r="AG111" s="205">
        <f>VLOOKUP($E111,'7. PGE_Efficacité'!$A$6:$CY$266,(MATCH('4.2 ACE EFF WOL'!AG$4,'7. PGE_Efficacité'!$A$4:$AO$4,0)+62),0)</f>
        <v>0</v>
      </c>
      <c r="AH111" s="205">
        <f>VLOOKUP($E111,'7. PGE_Efficacité'!$A$6:$CY$266,(MATCH('4.2 ACE EFF WOL'!AH$4,'7. PGE_Efficacité'!$A$4:$AO$4,0)+62),0)</f>
        <v>0</v>
      </c>
      <c r="AI111" s="205">
        <f>VLOOKUP($E111,'7. PGE_Efficacité'!$A$6:$CY$266,(MATCH('4.2 ACE EFF WOL'!AI$4,'7. PGE_Efficacité'!$A$4:$AO$4,0)+62),0)</f>
        <v>0</v>
      </c>
      <c r="AJ111" s="205">
        <f>VLOOKUP($E111,'7. PGE_Efficacité'!$A$6:$CY$266,(MATCH('4.2 ACE EFF WOL'!AJ$4,'7. PGE_Efficacité'!$A$4:$AO$4,0)+62),0)</f>
        <v>0</v>
      </c>
      <c r="AK111" s="205">
        <f>VLOOKUP($E111,'7. PGE_Efficacité'!$A$6:$CY$266,(MATCH('4.2 ACE EFF WOL'!AK$4,'7. PGE_Efficacité'!$A$4:$AO$4,0)+62),0)</f>
        <v>0</v>
      </c>
      <c r="AL111" s="205">
        <f>VLOOKUP($E111,'7. PGE_Efficacité'!$A$6:$CY$266,(MATCH('4.2 ACE EFF WOL'!AL$4,'7. PGE_Efficacité'!$A$4:$AO$4,0)+62),0)</f>
        <v>0</v>
      </c>
      <c r="AM111" s="205">
        <f>VLOOKUP($E111,'7. PGE_Efficacité'!$A$6:$CY$266,(MATCH('4.2 ACE EFF WOL'!AM$4,'7. PGE_Efficacité'!$A$4:$AO$4,0)+62),0)</f>
        <v>0</v>
      </c>
      <c r="AN111" s="205">
        <f>VLOOKUP($E111,'7. PGE_Efficacité'!$A$6:$CY$266,(MATCH('4.2 ACE EFF WOL'!AN$4,'7. PGE_Efficacité'!$A$4:$AO$4,0)+62),0)</f>
        <v>0</v>
      </c>
    </row>
    <row r="112" spans="1:40" outlineLevel="2" x14ac:dyDescent="0.25">
      <c r="A112" s="48" t="s">
        <v>1525</v>
      </c>
      <c r="B112" s="49">
        <v>3</v>
      </c>
      <c r="C112" s="48" t="s">
        <v>1525</v>
      </c>
      <c r="D112" s="199" t="s">
        <v>38</v>
      </c>
      <c r="E112" s="200" t="s">
        <v>894</v>
      </c>
      <c r="F112" s="200" t="s">
        <v>1484</v>
      </c>
      <c r="G112" s="201" t="s">
        <v>1522</v>
      </c>
      <c r="H112" s="200" t="s">
        <v>1290</v>
      </c>
      <c r="I112" s="202">
        <v>0</v>
      </c>
      <c r="J112" s="205">
        <f>VLOOKUP($E112,'7. PGE_Efficacité'!$A$6:$CY$266,(MATCH('4.2 ACE EFF WOL'!J$4,'7. PGE_Efficacité'!$A$4:$AO$4,0)+62),0)</f>
        <v>0</v>
      </c>
      <c r="K112" s="205">
        <f>VLOOKUP($E112,'7. PGE_Efficacité'!$A$6:$CY$266,(MATCH('4.2 ACE EFF WOL'!K$4,'7. PGE_Efficacité'!$A$4:$AO$4,0)+62),0)</f>
        <v>0</v>
      </c>
      <c r="L112" s="205">
        <f>VLOOKUP($E112,'7. PGE_Efficacité'!$A$6:$CY$266,(MATCH('4.2 ACE EFF WOL'!L$4,'7. PGE_Efficacité'!$A$4:$AO$4,0)+62),0)</f>
        <v>0</v>
      </c>
      <c r="M112" s="205">
        <f>VLOOKUP($E112,'7. PGE_Efficacité'!$A$6:$CY$266,(MATCH('4.2 ACE EFF WOL'!M$4,'7. PGE_Efficacité'!$A$4:$AO$4,0)+62),0)</f>
        <v>0</v>
      </c>
      <c r="N112" s="205">
        <f>VLOOKUP($E112,'7. PGE_Efficacité'!$A$6:$CY$266,(MATCH('4.2 ACE EFF WOL'!N$4,'7. PGE_Efficacité'!$A$4:$AO$4,0)+62),0)</f>
        <v>0</v>
      </c>
      <c r="O112" s="205">
        <f>VLOOKUP($E112,'7. PGE_Efficacité'!$A$6:$CY$266,78,0)</f>
        <v>0</v>
      </c>
      <c r="P112" s="205">
        <f>VLOOKUP($E112,'7. PGE_Efficacité'!$A$6:$CY$266,(MATCH('4.2 ACE EFF WOL'!P$4,'7. PGE_Efficacité'!$A$4:$AO$4,0)+62),0)</f>
        <v>0</v>
      </c>
      <c r="Q112" s="205">
        <f>VLOOKUP($E112,'7. PGE_Efficacité'!$A$6:$CY$266,(MATCH('4.2 ACE EFF WOL'!Q$4,'7. PGE_Efficacité'!$A$4:$AO$4,0)+62),0)</f>
        <v>0</v>
      </c>
      <c r="R112" s="205">
        <f>VLOOKUP($E112,'7. PGE_Efficacité'!$A$6:$CY$266,(MATCH('4.2 ACE EFF WOL'!R$4,'7. PGE_Efficacité'!$A$4:$AO$4,0)+62),0)</f>
        <v>0</v>
      </c>
      <c r="S112" s="205">
        <f>VLOOKUP($E112,'7. PGE_Efficacité'!$A$6:$CY$266,(MATCH('4.2 ACE EFF WOL'!S$4,'7. PGE_Efficacité'!$A$4:$AO$4,0)+62),0)</f>
        <v>0</v>
      </c>
      <c r="T112" s="205">
        <f>VLOOKUP($E112,'7. PGE_Efficacité'!$A$6:$CY$266,(MATCH('4.2 ACE EFF WOL'!T$4,'7. PGE_Efficacité'!$A$4:$AO$4,0)+62),0)</f>
        <v>0</v>
      </c>
      <c r="U112" s="205">
        <f>VLOOKUP($E112,'7. PGE_Efficacité'!$A$6:$CY$266,(MATCH('4.2 ACE EFF WOL'!U$4,'7. PGE_Efficacité'!$A$4:$AO$4,0)+62),0)</f>
        <v>0</v>
      </c>
      <c r="V112" s="205">
        <f>VLOOKUP($E112,'7. PGE_Efficacité'!$A$6:$CY$266,(MATCH('4.2 ACE EFF WOL'!V$4,'7. PGE_Efficacité'!$A$4:$AO$4,0)+62),0)</f>
        <v>0</v>
      </c>
      <c r="W112" s="205">
        <f>VLOOKUP($E112,'7. PGE_Efficacité'!$A$6:$CY$266,(MATCH('4.2 ACE EFF WOL'!W$4,'7. PGE_Efficacité'!$A$4:$AO$4,0)+62),0)</f>
        <v>0</v>
      </c>
      <c r="X112" s="205">
        <f>VLOOKUP($E112,'7. PGE_Efficacité'!$A$6:$CY$266,(MATCH('4.2 ACE EFF WOL'!X$4,'7. PGE_Efficacité'!$A$4:$AO$4,0)+62),0)</f>
        <v>0</v>
      </c>
      <c r="Y112" s="205">
        <f>VLOOKUP($E112,'7. PGE_Efficacité'!$A$6:$CY$266,(MATCH('4.2 ACE EFF WOL'!Y$4,'7. PGE_Efficacité'!$A$4:$AO$4,0)+62),0)</f>
        <v>0</v>
      </c>
      <c r="Z112" s="205">
        <f>VLOOKUP($E112,'7. PGE_Efficacité'!$A$6:$CY$266,(MATCH('4.2 ACE EFF WOL'!Z$4,'7. PGE_Efficacité'!$A$4:$AO$4,0)+62),0)</f>
        <v>0</v>
      </c>
      <c r="AA112" s="205">
        <f>VLOOKUP($E112,'7. PGE_Efficacité'!$A$6:$CY$266,(MATCH('4.2 ACE EFF WOL'!AA$4,'7. PGE_Efficacité'!$A$4:$AO$4,0)+62),0)</f>
        <v>0</v>
      </c>
      <c r="AB112" s="205">
        <f>VLOOKUP($E112,'7. PGE_Efficacité'!$A$6:$CY$266,(MATCH('4.2 ACE EFF WOL'!AB$4,'7. PGE_Efficacité'!$A$4:$AO$4,0)+62),0)</f>
        <v>0</v>
      </c>
      <c r="AC112" s="205">
        <f>VLOOKUP($E112,'7. PGE_Efficacité'!$A$6:$CY$266,(MATCH('4.2 ACE EFF WOL'!AC$4,'7. PGE_Efficacité'!$A$4:$AO$4,0)+62),0)</f>
        <v>0</v>
      </c>
      <c r="AD112" s="205">
        <f>VLOOKUP($E112,'7. PGE_Efficacité'!$A$6:$CY$266,(MATCH('4.2 ACE EFF WOL'!AD$4,'7. PGE_Efficacité'!$A$4:$AO$4,0)+62),0)</f>
        <v>0</v>
      </c>
      <c r="AE112" s="205">
        <f>VLOOKUP($E112,'7. PGE_Efficacité'!$A$6:$CY$266,(MATCH('4.2 ACE EFF WOL'!AE$4,'7. PGE_Efficacité'!$A$4:$AO$4,0)+62),0)</f>
        <v>0</v>
      </c>
      <c r="AF112" s="205">
        <f>VLOOKUP($E112,'7. PGE_Efficacité'!$A$6:$CY$266,(MATCH('4.2 ACE EFF WOL'!AF$4,'7. PGE_Efficacité'!$A$4:$AO$4,0)+62),0)</f>
        <v>0</v>
      </c>
      <c r="AG112" s="205">
        <f>VLOOKUP($E112,'7. PGE_Efficacité'!$A$6:$CY$266,(MATCH('4.2 ACE EFF WOL'!AG$4,'7. PGE_Efficacité'!$A$4:$AO$4,0)+62),0)</f>
        <v>0</v>
      </c>
      <c r="AH112" s="205">
        <f>VLOOKUP($E112,'7. PGE_Efficacité'!$A$6:$CY$266,(MATCH('4.2 ACE EFF WOL'!AH$4,'7. PGE_Efficacité'!$A$4:$AO$4,0)+62),0)</f>
        <v>0</v>
      </c>
      <c r="AI112" s="205">
        <f>VLOOKUP($E112,'7. PGE_Efficacité'!$A$6:$CY$266,(MATCH('4.2 ACE EFF WOL'!AI$4,'7. PGE_Efficacité'!$A$4:$AO$4,0)+62),0)</f>
        <v>0</v>
      </c>
      <c r="AJ112" s="205">
        <f>VLOOKUP($E112,'7. PGE_Efficacité'!$A$6:$CY$266,(MATCH('4.2 ACE EFF WOL'!AJ$4,'7. PGE_Efficacité'!$A$4:$AO$4,0)+62),0)</f>
        <v>0</v>
      </c>
      <c r="AK112" s="205">
        <f>VLOOKUP($E112,'7. PGE_Efficacité'!$A$6:$CY$266,(MATCH('4.2 ACE EFF WOL'!AK$4,'7. PGE_Efficacité'!$A$4:$AO$4,0)+62),0)</f>
        <v>0</v>
      </c>
      <c r="AL112" s="205">
        <f>VLOOKUP($E112,'7. PGE_Efficacité'!$A$6:$CY$266,(MATCH('4.2 ACE EFF WOL'!AL$4,'7. PGE_Efficacité'!$A$4:$AO$4,0)+62),0)</f>
        <v>0</v>
      </c>
      <c r="AM112" s="205">
        <f>VLOOKUP($E112,'7. PGE_Efficacité'!$A$6:$CY$266,(MATCH('4.2 ACE EFF WOL'!AM$4,'7. PGE_Efficacité'!$A$4:$AO$4,0)+62),0)</f>
        <v>0</v>
      </c>
      <c r="AN112" s="205">
        <f>VLOOKUP($E112,'7. PGE_Efficacité'!$A$6:$CY$266,(MATCH('4.2 ACE EFF WOL'!AN$4,'7. PGE_Efficacité'!$A$4:$AO$4,0)+62),0)</f>
        <v>0</v>
      </c>
    </row>
    <row r="113" spans="1:40" outlineLevel="2" x14ac:dyDescent="0.25">
      <c r="A113" s="48" t="s">
        <v>1525</v>
      </c>
      <c r="B113" s="49">
        <v>3</v>
      </c>
      <c r="C113" s="48" t="s">
        <v>1526</v>
      </c>
      <c r="D113" s="199" t="s">
        <v>38</v>
      </c>
      <c r="E113" s="200" t="s">
        <v>895</v>
      </c>
      <c r="F113" s="200" t="s">
        <v>1485</v>
      </c>
      <c r="G113" s="201" t="s">
        <v>1522</v>
      </c>
      <c r="H113" s="200" t="s">
        <v>1290</v>
      </c>
      <c r="I113" s="202">
        <f>340480000*0.05/3</f>
        <v>5674666.666666667</v>
      </c>
      <c r="J113" s="205">
        <f>VLOOKUP($E113,'7. PGE_Efficacité'!$A$6:$CY$266,(MATCH('4.2 ACE EFF WOL'!J$4,'7. PGE_Efficacité'!$A$4:$AO$4,0)+62),0)</f>
        <v>0</v>
      </c>
      <c r="K113" s="205">
        <f>VLOOKUP($E113,'7. PGE_Efficacité'!$A$6:$CY$266,(MATCH('4.2 ACE EFF WOL'!K$4,'7. PGE_Efficacité'!$A$4:$AO$4,0)+62),0)</f>
        <v>0</v>
      </c>
      <c r="L113" s="205">
        <f>VLOOKUP($E113,'7. PGE_Efficacité'!$A$6:$CY$266,(MATCH('4.2 ACE EFF WOL'!L$4,'7. PGE_Efficacité'!$A$4:$AO$4,0)+62),0)</f>
        <v>0</v>
      </c>
      <c r="M113" s="205" t="str">
        <f>VLOOKUP($E113,'7. PGE_Efficacité'!$A$6:$CY$266,(MATCH('4.2 ACE EFF WOL'!M$4,'7. PGE_Efficacité'!$A$4:$AO$4,0)+62),0)</f>
        <v>+</v>
      </c>
      <c r="N113" s="205" t="str">
        <f>VLOOKUP($E113,'7. PGE_Efficacité'!$A$6:$CY$266,(MATCH('4.2 ACE EFF WOL'!N$4,'7. PGE_Efficacité'!$A$4:$AO$4,0)+62),0)</f>
        <v>+</v>
      </c>
      <c r="O113" s="205" t="str">
        <f>VLOOKUP($E113,'7. PGE_Efficacité'!$A$6:$CY$266,78,0)</f>
        <v>+</v>
      </c>
      <c r="P113" s="205">
        <f>VLOOKUP($E113,'7. PGE_Efficacité'!$A$6:$CY$266,(MATCH('4.2 ACE EFF WOL'!P$4,'7. PGE_Efficacité'!$A$4:$AO$4,0)+62),0)</f>
        <v>0</v>
      </c>
      <c r="Q113" s="205">
        <f>VLOOKUP($E113,'7. PGE_Efficacité'!$A$6:$CY$266,(MATCH('4.2 ACE EFF WOL'!Q$4,'7. PGE_Efficacité'!$A$4:$AO$4,0)+62),0)</f>
        <v>0</v>
      </c>
      <c r="R113" s="205">
        <f>VLOOKUP($E113,'7. PGE_Efficacité'!$A$6:$CY$266,(MATCH('4.2 ACE EFF WOL'!R$4,'7. PGE_Efficacité'!$A$4:$AO$4,0)+62),0)</f>
        <v>0</v>
      </c>
      <c r="S113" s="205">
        <f>VLOOKUP($E113,'7. PGE_Efficacité'!$A$6:$CY$266,(MATCH('4.2 ACE EFF WOL'!S$4,'7. PGE_Efficacité'!$A$4:$AO$4,0)+62),0)</f>
        <v>0</v>
      </c>
      <c r="T113" s="205">
        <f>VLOOKUP($E113,'7. PGE_Efficacité'!$A$6:$CY$266,(MATCH('4.2 ACE EFF WOL'!T$4,'7. PGE_Efficacité'!$A$4:$AO$4,0)+62),0)</f>
        <v>0</v>
      </c>
      <c r="U113" s="205">
        <f>VLOOKUP($E113,'7. PGE_Efficacité'!$A$6:$CY$266,(MATCH('4.2 ACE EFF WOL'!U$4,'7. PGE_Efficacité'!$A$4:$AO$4,0)+62),0)</f>
        <v>0</v>
      </c>
      <c r="V113" s="205" t="str">
        <f>VLOOKUP($E113,'7. PGE_Efficacité'!$A$6:$CY$266,(MATCH('4.2 ACE EFF WOL'!V$4,'7. PGE_Efficacité'!$A$4:$AO$4,0)+62),0)</f>
        <v>+</v>
      </c>
      <c r="W113" s="205" t="str">
        <f>VLOOKUP($E113,'7. PGE_Efficacité'!$A$6:$CY$266,(MATCH('4.2 ACE EFF WOL'!W$4,'7. PGE_Efficacité'!$A$4:$AO$4,0)+62),0)</f>
        <v>+</v>
      </c>
      <c r="X113" s="205">
        <f>VLOOKUP($E113,'7. PGE_Efficacité'!$A$6:$CY$266,(MATCH('4.2 ACE EFF WOL'!X$4,'7. PGE_Efficacité'!$A$4:$AO$4,0)+62),0)</f>
        <v>0</v>
      </c>
      <c r="Y113" s="205">
        <f>VLOOKUP($E113,'7. PGE_Efficacité'!$A$6:$CY$266,(MATCH('4.2 ACE EFF WOL'!Y$4,'7. PGE_Efficacité'!$A$4:$AO$4,0)+62),0)</f>
        <v>0</v>
      </c>
      <c r="Z113" s="205">
        <f>VLOOKUP($E113,'7. PGE_Efficacité'!$A$6:$CY$266,(MATCH('4.2 ACE EFF WOL'!Z$4,'7. PGE_Efficacité'!$A$4:$AO$4,0)+62),0)</f>
        <v>0</v>
      </c>
      <c r="AA113" s="205">
        <f>VLOOKUP($E113,'7. PGE_Efficacité'!$A$6:$CY$266,(MATCH('4.2 ACE EFF WOL'!AA$4,'7. PGE_Efficacité'!$A$4:$AO$4,0)+62),0)</f>
        <v>0</v>
      </c>
      <c r="AB113" s="205">
        <f>VLOOKUP($E113,'7. PGE_Efficacité'!$A$6:$CY$266,(MATCH('4.2 ACE EFF WOL'!AB$4,'7. PGE_Efficacité'!$A$4:$AO$4,0)+62),0)</f>
        <v>0</v>
      </c>
      <c r="AC113" s="205">
        <f>VLOOKUP($E113,'7. PGE_Efficacité'!$A$6:$CY$266,(MATCH('4.2 ACE EFF WOL'!AC$4,'7. PGE_Efficacité'!$A$4:$AO$4,0)+62),0)</f>
        <v>0</v>
      </c>
      <c r="AD113" s="205">
        <f>VLOOKUP($E113,'7. PGE_Efficacité'!$A$6:$CY$266,(MATCH('4.2 ACE EFF WOL'!AD$4,'7. PGE_Efficacité'!$A$4:$AO$4,0)+62),0)</f>
        <v>0</v>
      </c>
      <c r="AE113" s="205" t="str">
        <f>VLOOKUP($E113,'7. PGE_Efficacité'!$A$6:$CY$266,(MATCH('4.2 ACE EFF WOL'!AE$4,'7. PGE_Efficacité'!$A$4:$AO$4,0)+62),0)</f>
        <v>+</v>
      </c>
      <c r="AF113" s="205">
        <f>VLOOKUP($E113,'7. PGE_Efficacité'!$A$6:$CY$266,(MATCH('4.2 ACE EFF WOL'!AF$4,'7. PGE_Efficacité'!$A$4:$AO$4,0)+62),0)</f>
        <v>0</v>
      </c>
      <c r="AG113" s="205">
        <f>VLOOKUP($E113,'7. PGE_Efficacité'!$A$6:$CY$266,(MATCH('4.2 ACE EFF WOL'!AG$4,'7. PGE_Efficacité'!$A$4:$AO$4,0)+62),0)</f>
        <v>0</v>
      </c>
      <c r="AH113" s="205">
        <f>VLOOKUP($E113,'7. PGE_Efficacité'!$A$6:$CY$266,(MATCH('4.2 ACE EFF WOL'!AH$4,'7. PGE_Efficacité'!$A$4:$AO$4,0)+62),0)</f>
        <v>0</v>
      </c>
      <c r="AI113" s="205">
        <f>VLOOKUP($E113,'7. PGE_Efficacité'!$A$6:$CY$266,(MATCH('4.2 ACE EFF WOL'!AI$4,'7. PGE_Efficacité'!$A$4:$AO$4,0)+62),0)</f>
        <v>0</v>
      </c>
      <c r="AJ113" s="205">
        <f>VLOOKUP($E113,'7. PGE_Efficacité'!$A$6:$CY$266,(MATCH('4.2 ACE EFF WOL'!AJ$4,'7. PGE_Efficacité'!$A$4:$AO$4,0)+62),0)</f>
        <v>0</v>
      </c>
      <c r="AK113" s="205" t="str">
        <f>VLOOKUP($E113,'7. PGE_Efficacité'!$A$6:$CY$266,(MATCH('4.2 ACE EFF WOL'!AK$4,'7. PGE_Efficacité'!$A$4:$AO$4,0)+62),0)</f>
        <v>+</v>
      </c>
      <c r="AL113" s="205">
        <f>VLOOKUP($E113,'7. PGE_Efficacité'!$A$6:$CY$266,(MATCH('4.2 ACE EFF WOL'!AL$4,'7. PGE_Efficacité'!$A$4:$AO$4,0)+62),0)</f>
        <v>0</v>
      </c>
      <c r="AM113" s="205" t="str">
        <f>VLOOKUP($E113,'7. PGE_Efficacité'!$A$6:$CY$266,(MATCH('4.2 ACE EFF WOL'!AM$4,'7. PGE_Efficacité'!$A$4:$AO$4,0)+62),0)</f>
        <v>+</v>
      </c>
      <c r="AN113" s="205" t="str">
        <f>VLOOKUP($E113,'7. PGE_Efficacité'!$A$6:$CY$266,(MATCH('4.2 ACE EFF WOL'!AN$4,'7. PGE_Efficacité'!$A$4:$AO$4,0)+62),0)</f>
        <v>+</v>
      </c>
    </row>
    <row r="114" spans="1:40" outlineLevel="2" x14ac:dyDescent="0.25">
      <c r="A114" s="48" t="s">
        <v>1525</v>
      </c>
      <c r="B114" s="49">
        <v>3</v>
      </c>
      <c r="C114" s="48" t="s">
        <v>1527</v>
      </c>
      <c r="D114" s="199" t="s">
        <v>38</v>
      </c>
      <c r="E114" s="200" t="s">
        <v>896</v>
      </c>
      <c r="F114" s="200" t="s">
        <v>1486</v>
      </c>
      <c r="G114" s="201" t="s">
        <v>1522</v>
      </c>
      <c r="H114" s="200" t="s">
        <v>1290</v>
      </c>
      <c r="I114" s="202">
        <f>15300000*0.1</f>
        <v>1530000</v>
      </c>
      <c r="J114" s="205">
        <f>VLOOKUP($E114,'7. PGE_Efficacité'!$A$6:$CY$266,(MATCH('4.2 ACE EFF WOL'!J$4,'7. PGE_Efficacité'!$A$4:$AO$4,0)+62),0)</f>
        <v>0</v>
      </c>
      <c r="K114" s="205">
        <f>VLOOKUP($E114,'7. PGE_Efficacité'!$A$6:$CY$266,(MATCH('4.2 ACE EFF WOL'!K$4,'7. PGE_Efficacité'!$A$4:$AO$4,0)+62),0)</f>
        <v>0</v>
      </c>
      <c r="L114" s="205">
        <f>VLOOKUP($E114,'7. PGE_Efficacité'!$A$6:$CY$266,(MATCH('4.2 ACE EFF WOL'!L$4,'7. PGE_Efficacité'!$A$4:$AO$4,0)+62),0)</f>
        <v>0</v>
      </c>
      <c r="M114" s="205">
        <f>VLOOKUP($E114,'7. PGE_Efficacité'!$A$6:$CY$266,(MATCH('4.2 ACE EFF WOL'!M$4,'7. PGE_Efficacité'!$A$4:$AO$4,0)+62),0)</f>
        <v>0</v>
      </c>
      <c r="N114" s="205">
        <f>VLOOKUP($E114,'7. PGE_Efficacité'!$A$6:$CY$266,(MATCH('4.2 ACE EFF WOL'!N$4,'7. PGE_Efficacité'!$A$4:$AO$4,0)+62),0)</f>
        <v>0</v>
      </c>
      <c r="O114" s="205">
        <f>VLOOKUP($E114,'7. PGE_Efficacité'!$A$6:$CY$266,78,0)</f>
        <v>0</v>
      </c>
      <c r="P114" s="205">
        <f>VLOOKUP($E114,'7. PGE_Efficacité'!$A$6:$CY$266,(MATCH('4.2 ACE EFF WOL'!P$4,'7. PGE_Efficacité'!$A$4:$AO$4,0)+62),0)</f>
        <v>0</v>
      </c>
      <c r="Q114" s="205">
        <f>VLOOKUP($E114,'7. PGE_Efficacité'!$A$6:$CY$266,(MATCH('4.2 ACE EFF WOL'!Q$4,'7. PGE_Efficacité'!$A$4:$AO$4,0)+62),0)</f>
        <v>0</v>
      </c>
      <c r="R114" s="205">
        <f>VLOOKUP($E114,'7. PGE_Efficacité'!$A$6:$CY$266,(MATCH('4.2 ACE EFF WOL'!R$4,'7. PGE_Efficacité'!$A$4:$AO$4,0)+62),0)</f>
        <v>0</v>
      </c>
      <c r="S114" s="205">
        <f>VLOOKUP($E114,'7. PGE_Efficacité'!$A$6:$CY$266,(MATCH('4.2 ACE EFF WOL'!S$4,'7. PGE_Efficacité'!$A$4:$AO$4,0)+62),0)</f>
        <v>0</v>
      </c>
      <c r="T114" s="205">
        <f>VLOOKUP($E114,'7. PGE_Efficacité'!$A$6:$CY$266,(MATCH('4.2 ACE EFF WOL'!T$4,'7. PGE_Efficacité'!$A$4:$AO$4,0)+62),0)</f>
        <v>0</v>
      </c>
      <c r="U114" s="205">
        <f>VLOOKUP($E114,'7. PGE_Efficacité'!$A$6:$CY$266,(MATCH('4.2 ACE EFF WOL'!U$4,'7. PGE_Efficacité'!$A$4:$AO$4,0)+62),0)</f>
        <v>0</v>
      </c>
      <c r="V114" s="205">
        <f>VLOOKUP($E114,'7. PGE_Efficacité'!$A$6:$CY$266,(MATCH('4.2 ACE EFF WOL'!V$4,'7. PGE_Efficacité'!$A$4:$AO$4,0)+62),0)</f>
        <v>0</v>
      </c>
      <c r="W114" s="205">
        <f>VLOOKUP($E114,'7. PGE_Efficacité'!$A$6:$CY$266,(MATCH('4.2 ACE EFF WOL'!W$4,'7. PGE_Efficacité'!$A$4:$AO$4,0)+62),0)</f>
        <v>0</v>
      </c>
      <c r="X114" s="205">
        <f>VLOOKUP($E114,'7. PGE_Efficacité'!$A$6:$CY$266,(MATCH('4.2 ACE EFF WOL'!X$4,'7. PGE_Efficacité'!$A$4:$AO$4,0)+62),0)</f>
        <v>0</v>
      </c>
      <c r="Y114" s="205">
        <f>VLOOKUP($E114,'7. PGE_Efficacité'!$A$6:$CY$266,(MATCH('4.2 ACE EFF WOL'!Y$4,'7. PGE_Efficacité'!$A$4:$AO$4,0)+62),0)</f>
        <v>0</v>
      </c>
      <c r="Z114" s="205">
        <f>VLOOKUP($E114,'7. PGE_Efficacité'!$A$6:$CY$266,(MATCH('4.2 ACE EFF WOL'!Z$4,'7. PGE_Efficacité'!$A$4:$AO$4,0)+62),0)</f>
        <v>0</v>
      </c>
      <c r="AA114" s="205">
        <f>VLOOKUP($E114,'7. PGE_Efficacité'!$A$6:$CY$266,(MATCH('4.2 ACE EFF WOL'!AA$4,'7. PGE_Efficacité'!$A$4:$AO$4,0)+62),0)</f>
        <v>0</v>
      </c>
      <c r="AB114" s="205">
        <f>VLOOKUP($E114,'7. PGE_Efficacité'!$A$6:$CY$266,(MATCH('4.2 ACE EFF WOL'!AB$4,'7. PGE_Efficacité'!$A$4:$AO$4,0)+62),0)</f>
        <v>0</v>
      </c>
      <c r="AC114" s="205">
        <f>VLOOKUP($E114,'7. PGE_Efficacité'!$A$6:$CY$266,(MATCH('4.2 ACE EFF WOL'!AC$4,'7. PGE_Efficacité'!$A$4:$AO$4,0)+62),0)</f>
        <v>0</v>
      </c>
      <c r="AD114" s="205">
        <f>VLOOKUP($E114,'7. PGE_Efficacité'!$A$6:$CY$266,(MATCH('4.2 ACE EFF WOL'!AD$4,'7. PGE_Efficacité'!$A$4:$AO$4,0)+62),0)</f>
        <v>0</v>
      </c>
      <c r="AE114" s="205">
        <f>VLOOKUP($E114,'7. PGE_Efficacité'!$A$6:$CY$266,(MATCH('4.2 ACE EFF WOL'!AE$4,'7. PGE_Efficacité'!$A$4:$AO$4,0)+62),0)</f>
        <v>0</v>
      </c>
      <c r="AF114" s="205">
        <f>VLOOKUP($E114,'7. PGE_Efficacité'!$A$6:$CY$266,(MATCH('4.2 ACE EFF WOL'!AF$4,'7. PGE_Efficacité'!$A$4:$AO$4,0)+62),0)</f>
        <v>0</v>
      </c>
      <c r="AG114" s="205">
        <f>VLOOKUP($E114,'7. PGE_Efficacité'!$A$6:$CY$266,(MATCH('4.2 ACE EFF WOL'!AG$4,'7. PGE_Efficacité'!$A$4:$AO$4,0)+62),0)</f>
        <v>0</v>
      </c>
      <c r="AH114" s="205">
        <f>VLOOKUP($E114,'7. PGE_Efficacité'!$A$6:$CY$266,(MATCH('4.2 ACE EFF WOL'!AH$4,'7. PGE_Efficacité'!$A$4:$AO$4,0)+62),0)</f>
        <v>0</v>
      </c>
      <c r="AI114" s="205">
        <f>VLOOKUP($E114,'7. PGE_Efficacité'!$A$6:$CY$266,(MATCH('4.2 ACE EFF WOL'!AI$4,'7. PGE_Efficacité'!$A$4:$AO$4,0)+62),0)</f>
        <v>0</v>
      </c>
      <c r="AJ114" s="205">
        <f>VLOOKUP($E114,'7. PGE_Efficacité'!$A$6:$CY$266,(MATCH('4.2 ACE EFF WOL'!AJ$4,'7. PGE_Efficacité'!$A$4:$AO$4,0)+62),0)</f>
        <v>0</v>
      </c>
      <c r="AK114" s="205">
        <f>VLOOKUP($E114,'7. PGE_Efficacité'!$A$6:$CY$266,(MATCH('4.2 ACE EFF WOL'!AK$4,'7. PGE_Efficacité'!$A$4:$AO$4,0)+62),0)</f>
        <v>0</v>
      </c>
      <c r="AL114" s="205">
        <f>VLOOKUP($E114,'7. PGE_Efficacité'!$A$6:$CY$266,(MATCH('4.2 ACE EFF WOL'!AL$4,'7. PGE_Efficacité'!$A$4:$AO$4,0)+62),0)</f>
        <v>0</v>
      </c>
      <c r="AM114" s="205">
        <f>VLOOKUP($E114,'7. PGE_Efficacité'!$A$6:$CY$266,(MATCH('4.2 ACE EFF WOL'!AM$4,'7. PGE_Efficacité'!$A$4:$AO$4,0)+62),0)</f>
        <v>0</v>
      </c>
      <c r="AN114" s="205">
        <f>VLOOKUP($E114,'7. PGE_Efficacité'!$A$6:$CY$266,(MATCH('4.2 ACE EFF WOL'!AN$4,'7. PGE_Efficacité'!$A$4:$AO$4,0)+62),0)</f>
        <v>0</v>
      </c>
    </row>
    <row r="115" spans="1:40" outlineLevel="2" x14ac:dyDescent="0.25">
      <c r="A115" s="48" t="s">
        <v>1525</v>
      </c>
      <c r="B115" s="49">
        <v>3</v>
      </c>
      <c r="C115" s="48" t="s">
        <v>410</v>
      </c>
      <c r="D115" s="199" t="s">
        <v>38</v>
      </c>
      <c r="E115" s="200" t="s">
        <v>897</v>
      </c>
      <c r="F115" s="200" t="s">
        <v>1487</v>
      </c>
      <c r="G115" s="201" t="s">
        <v>1522</v>
      </c>
      <c r="H115" s="200" t="s">
        <v>1290</v>
      </c>
      <c r="I115" s="202">
        <f>1980000*0.05/3</f>
        <v>33000</v>
      </c>
      <c r="J115" s="205">
        <f>VLOOKUP($E115,'7. PGE_Efficacité'!$A$6:$CY$266,(MATCH('4.2 ACE EFF WOL'!J$4,'7. PGE_Efficacité'!$A$4:$AO$4,0)+62),0)</f>
        <v>0</v>
      </c>
      <c r="K115" s="205">
        <f>VLOOKUP($E115,'7. PGE_Efficacité'!$A$6:$CY$266,(MATCH('4.2 ACE EFF WOL'!K$4,'7. PGE_Efficacité'!$A$4:$AO$4,0)+62),0)</f>
        <v>0</v>
      </c>
      <c r="L115" s="205">
        <f>VLOOKUP($E115,'7. PGE_Efficacité'!$A$6:$CY$266,(MATCH('4.2 ACE EFF WOL'!L$4,'7. PGE_Efficacité'!$A$4:$AO$4,0)+62),0)</f>
        <v>0</v>
      </c>
      <c r="M115" s="205">
        <f>VLOOKUP($E115,'7. PGE_Efficacité'!$A$6:$CY$266,(MATCH('4.2 ACE EFF WOL'!M$4,'7. PGE_Efficacité'!$A$4:$AO$4,0)+62),0)</f>
        <v>0</v>
      </c>
      <c r="N115" s="205">
        <f>VLOOKUP($E115,'7. PGE_Efficacité'!$A$6:$CY$266,(MATCH('4.2 ACE EFF WOL'!N$4,'7. PGE_Efficacité'!$A$4:$AO$4,0)+62),0)</f>
        <v>0</v>
      </c>
      <c r="O115" s="205">
        <f>VLOOKUP($E115,'7. PGE_Efficacité'!$A$6:$CY$266,78,0)</f>
        <v>0</v>
      </c>
      <c r="P115" s="205">
        <f>VLOOKUP($E115,'7. PGE_Efficacité'!$A$6:$CY$266,(MATCH('4.2 ACE EFF WOL'!P$4,'7. PGE_Efficacité'!$A$4:$AO$4,0)+62),0)</f>
        <v>0</v>
      </c>
      <c r="Q115" s="205">
        <f>VLOOKUP($E115,'7. PGE_Efficacité'!$A$6:$CY$266,(MATCH('4.2 ACE EFF WOL'!Q$4,'7. PGE_Efficacité'!$A$4:$AO$4,0)+62),0)</f>
        <v>0</v>
      </c>
      <c r="R115" s="205">
        <f>VLOOKUP($E115,'7. PGE_Efficacité'!$A$6:$CY$266,(MATCH('4.2 ACE EFF WOL'!R$4,'7. PGE_Efficacité'!$A$4:$AO$4,0)+62),0)</f>
        <v>0</v>
      </c>
      <c r="S115" s="205">
        <f>VLOOKUP($E115,'7. PGE_Efficacité'!$A$6:$CY$266,(MATCH('4.2 ACE EFF WOL'!S$4,'7. PGE_Efficacité'!$A$4:$AO$4,0)+62),0)</f>
        <v>0</v>
      </c>
      <c r="T115" s="205">
        <f>VLOOKUP($E115,'7. PGE_Efficacité'!$A$6:$CY$266,(MATCH('4.2 ACE EFF WOL'!T$4,'7. PGE_Efficacité'!$A$4:$AO$4,0)+62),0)</f>
        <v>0</v>
      </c>
      <c r="U115" s="205">
        <f>VLOOKUP($E115,'7. PGE_Efficacité'!$A$6:$CY$266,(MATCH('4.2 ACE EFF WOL'!U$4,'7. PGE_Efficacité'!$A$4:$AO$4,0)+62),0)</f>
        <v>0</v>
      </c>
      <c r="V115" s="205">
        <f>VLOOKUP($E115,'7. PGE_Efficacité'!$A$6:$CY$266,(MATCH('4.2 ACE EFF WOL'!V$4,'7. PGE_Efficacité'!$A$4:$AO$4,0)+62),0)</f>
        <v>0</v>
      </c>
      <c r="W115" s="205">
        <f>VLOOKUP($E115,'7. PGE_Efficacité'!$A$6:$CY$266,(MATCH('4.2 ACE EFF WOL'!W$4,'7. PGE_Efficacité'!$A$4:$AO$4,0)+62),0)</f>
        <v>0</v>
      </c>
      <c r="X115" s="205">
        <f>VLOOKUP($E115,'7. PGE_Efficacité'!$A$6:$CY$266,(MATCH('4.2 ACE EFF WOL'!X$4,'7. PGE_Efficacité'!$A$4:$AO$4,0)+62),0)</f>
        <v>0</v>
      </c>
      <c r="Y115" s="205">
        <f>VLOOKUP($E115,'7. PGE_Efficacité'!$A$6:$CY$266,(MATCH('4.2 ACE EFF WOL'!Y$4,'7. PGE_Efficacité'!$A$4:$AO$4,0)+62),0)</f>
        <v>0</v>
      </c>
      <c r="Z115" s="205">
        <f>VLOOKUP($E115,'7. PGE_Efficacité'!$A$6:$CY$266,(MATCH('4.2 ACE EFF WOL'!Z$4,'7. PGE_Efficacité'!$A$4:$AO$4,0)+62),0)</f>
        <v>0</v>
      </c>
      <c r="AA115" s="205">
        <f>VLOOKUP($E115,'7. PGE_Efficacité'!$A$6:$CY$266,(MATCH('4.2 ACE EFF WOL'!AA$4,'7. PGE_Efficacité'!$A$4:$AO$4,0)+62),0)</f>
        <v>0</v>
      </c>
      <c r="AB115" s="205">
        <f>VLOOKUP($E115,'7. PGE_Efficacité'!$A$6:$CY$266,(MATCH('4.2 ACE EFF WOL'!AB$4,'7. PGE_Efficacité'!$A$4:$AO$4,0)+62),0)</f>
        <v>0</v>
      </c>
      <c r="AC115" s="205">
        <f>VLOOKUP($E115,'7. PGE_Efficacité'!$A$6:$CY$266,(MATCH('4.2 ACE EFF WOL'!AC$4,'7. PGE_Efficacité'!$A$4:$AO$4,0)+62),0)</f>
        <v>0</v>
      </c>
      <c r="AD115" s="205">
        <f>VLOOKUP($E115,'7. PGE_Efficacité'!$A$6:$CY$266,(MATCH('4.2 ACE EFF WOL'!AD$4,'7. PGE_Efficacité'!$A$4:$AO$4,0)+62),0)</f>
        <v>0</v>
      </c>
      <c r="AE115" s="205">
        <f>VLOOKUP($E115,'7. PGE_Efficacité'!$A$6:$CY$266,(MATCH('4.2 ACE EFF WOL'!AE$4,'7. PGE_Efficacité'!$A$4:$AO$4,0)+62),0)</f>
        <v>0</v>
      </c>
      <c r="AF115" s="205">
        <f>VLOOKUP($E115,'7. PGE_Efficacité'!$A$6:$CY$266,(MATCH('4.2 ACE EFF WOL'!AF$4,'7. PGE_Efficacité'!$A$4:$AO$4,0)+62),0)</f>
        <v>0</v>
      </c>
      <c r="AG115" s="205">
        <f>VLOOKUP($E115,'7. PGE_Efficacité'!$A$6:$CY$266,(MATCH('4.2 ACE EFF WOL'!AG$4,'7. PGE_Efficacité'!$A$4:$AO$4,0)+62),0)</f>
        <v>0</v>
      </c>
      <c r="AH115" s="205">
        <f>VLOOKUP($E115,'7. PGE_Efficacité'!$A$6:$CY$266,(MATCH('4.2 ACE EFF WOL'!AH$4,'7. PGE_Efficacité'!$A$4:$AO$4,0)+62),0)</f>
        <v>0</v>
      </c>
      <c r="AI115" s="205">
        <f>VLOOKUP($E115,'7. PGE_Efficacité'!$A$6:$CY$266,(MATCH('4.2 ACE EFF WOL'!AI$4,'7. PGE_Efficacité'!$A$4:$AO$4,0)+62),0)</f>
        <v>0</v>
      </c>
      <c r="AJ115" s="205">
        <f>VLOOKUP($E115,'7. PGE_Efficacité'!$A$6:$CY$266,(MATCH('4.2 ACE EFF WOL'!AJ$4,'7. PGE_Efficacité'!$A$4:$AO$4,0)+62),0)</f>
        <v>0</v>
      </c>
      <c r="AK115" s="205">
        <f>VLOOKUP($E115,'7. PGE_Efficacité'!$A$6:$CY$266,(MATCH('4.2 ACE EFF WOL'!AK$4,'7. PGE_Efficacité'!$A$4:$AO$4,0)+62),0)</f>
        <v>0</v>
      </c>
      <c r="AL115" s="205">
        <f>VLOOKUP($E115,'7. PGE_Efficacité'!$A$6:$CY$266,(MATCH('4.2 ACE EFF WOL'!AL$4,'7. PGE_Efficacité'!$A$4:$AO$4,0)+62),0)</f>
        <v>0</v>
      </c>
      <c r="AM115" s="205">
        <f>VLOOKUP($E115,'7. PGE_Efficacité'!$A$6:$CY$266,(MATCH('4.2 ACE EFF WOL'!AM$4,'7. PGE_Efficacité'!$A$4:$AO$4,0)+62),0)</f>
        <v>0</v>
      </c>
      <c r="AN115" s="205">
        <f>VLOOKUP($E115,'7. PGE_Efficacité'!$A$6:$CY$266,(MATCH('4.2 ACE EFF WOL'!AN$4,'7. PGE_Efficacité'!$A$4:$AO$4,0)+62),0)</f>
        <v>0</v>
      </c>
    </row>
    <row r="116" spans="1:40" ht="26.25" outlineLevel="1" x14ac:dyDescent="0.25">
      <c r="A116" s="48"/>
      <c r="B116" s="49"/>
      <c r="C116" s="48"/>
      <c r="D116" s="372" t="s">
        <v>79</v>
      </c>
      <c r="E116" s="195"/>
      <c r="F116" s="196" t="str">
        <f>VLOOKUP(D116,'1. Mesures'!$A$2:$B$116,2,0)</f>
        <v>Mettre en œuvre la GiEP dans l'espace public et privé, ainsi que les autres mesures de résilience climatique liées à la gestion de l’eau</v>
      </c>
      <c r="G116" s="197"/>
      <c r="H116" s="195"/>
      <c r="I116" s="198">
        <f>SUBTOTAL(9,I117:I127)</f>
        <v>280000.00000000006</v>
      </c>
      <c r="J116" s="203"/>
      <c r="K116" s="203"/>
      <c r="L116" s="203"/>
      <c r="M116" s="203" t="s">
        <v>1590</v>
      </c>
      <c r="N116" s="203" t="s">
        <v>1590</v>
      </c>
      <c r="O116" s="203" t="s">
        <v>1590</v>
      </c>
      <c r="P116" s="203"/>
      <c r="Q116" s="203"/>
      <c r="R116" s="203"/>
      <c r="S116" s="203"/>
      <c r="T116" s="203"/>
      <c r="U116" s="203"/>
      <c r="V116" s="203" t="s">
        <v>1590</v>
      </c>
      <c r="W116" s="203" t="s">
        <v>1590</v>
      </c>
      <c r="X116" s="203"/>
      <c r="Y116" s="203"/>
      <c r="Z116" s="203"/>
      <c r="AA116" s="203"/>
      <c r="AB116" s="203"/>
      <c r="AC116" s="203"/>
      <c r="AD116" s="203"/>
      <c r="AE116" s="203" t="s">
        <v>1590</v>
      </c>
      <c r="AF116" s="203"/>
      <c r="AG116" s="203" t="s">
        <v>1575</v>
      </c>
      <c r="AH116" s="203" t="s">
        <v>1575</v>
      </c>
      <c r="AI116" s="203"/>
      <c r="AJ116" s="203"/>
      <c r="AK116" s="203" t="s">
        <v>1590</v>
      </c>
      <c r="AL116" s="203"/>
      <c r="AM116" s="203" t="s">
        <v>1590</v>
      </c>
      <c r="AN116" s="203" t="s">
        <v>1590</v>
      </c>
    </row>
    <row r="117" spans="1:40" outlineLevel="2" x14ac:dyDescent="0.25">
      <c r="A117" s="48" t="s">
        <v>410</v>
      </c>
      <c r="B117" s="49">
        <v>4</v>
      </c>
      <c r="C117" s="48" t="s">
        <v>1524</v>
      </c>
      <c r="D117" s="133" t="s">
        <v>79</v>
      </c>
      <c r="E117" s="134" t="s">
        <v>417</v>
      </c>
      <c r="F117" s="134" t="s">
        <v>1293</v>
      </c>
      <c r="G117" s="135" t="s">
        <v>1520</v>
      </c>
      <c r="H117" s="134" t="s">
        <v>1290</v>
      </c>
      <c r="I117" s="137">
        <v>0</v>
      </c>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row>
    <row r="118" spans="1:40" outlineLevel="2" x14ac:dyDescent="0.25">
      <c r="A118" s="48" t="s">
        <v>410</v>
      </c>
      <c r="B118" s="49">
        <v>4</v>
      </c>
      <c r="C118" s="48" t="s">
        <v>1525</v>
      </c>
      <c r="D118" s="51" t="s">
        <v>79</v>
      </c>
      <c r="E118" s="13" t="s">
        <v>418</v>
      </c>
      <c r="F118" s="13" t="s">
        <v>1294</v>
      </c>
      <c r="G118" s="50" t="s">
        <v>1520</v>
      </c>
      <c r="H118" s="13" t="s">
        <v>1290</v>
      </c>
      <c r="I118" s="136">
        <v>0</v>
      </c>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row>
    <row r="119" spans="1:40" outlineLevel="2" x14ac:dyDescent="0.25">
      <c r="A119" s="48" t="s">
        <v>410</v>
      </c>
      <c r="B119" s="49">
        <v>4</v>
      </c>
      <c r="C119" s="48" t="s">
        <v>1526</v>
      </c>
      <c r="D119" s="51" t="s">
        <v>79</v>
      </c>
      <c r="E119" s="13" t="s">
        <v>419</v>
      </c>
      <c r="F119" s="13" t="s">
        <v>1295</v>
      </c>
      <c r="G119" s="50" t="s">
        <v>1520</v>
      </c>
      <c r="H119" s="13" t="s">
        <v>1290</v>
      </c>
      <c r="I119" s="136">
        <v>0</v>
      </c>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row>
    <row r="120" spans="1:40" outlineLevel="2" x14ac:dyDescent="0.25">
      <c r="A120" s="48" t="s">
        <v>410</v>
      </c>
      <c r="B120" s="49">
        <v>4</v>
      </c>
      <c r="C120" s="48" t="s">
        <v>1527</v>
      </c>
      <c r="D120" s="51" t="s">
        <v>79</v>
      </c>
      <c r="E120" s="13" t="s">
        <v>420</v>
      </c>
      <c r="F120" s="13" t="s">
        <v>1296</v>
      </c>
      <c r="G120" s="50" t="s">
        <v>1520</v>
      </c>
      <c r="H120" s="13" t="s">
        <v>1290</v>
      </c>
      <c r="I120" s="136">
        <v>0</v>
      </c>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c r="AJ120" s="140"/>
      <c r="AK120" s="140"/>
      <c r="AL120" s="140"/>
      <c r="AM120" s="140"/>
      <c r="AN120" s="140"/>
    </row>
    <row r="121" spans="1:40" outlineLevel="2" x14ac:dyDescent="0.25">
      <c r="A121" s="48" t="s">
        <v>410</v>
      </c>
      <c r="B121" s="49">
        <v>4</v>
      </c>
      <c r="C121" s="48" t="s">
        <v>410</v>
      </c>
      <c r="D121" s="51" t="s">
        <v>79</v>
      </c>
      <c r="E121" s="13" t="s">
        <v>421</v>
      </c>
      <c r="F121" s="13" t="s">
        <v>1297</v>
      </c>
      <c r="G121" s="50" t="s">
        <v>1520</v>
      </c>
      <c r="H121" s="13" t="s">
        <v>1290</v>
      </c>
      <c r="I121" s="136">
        <f>200000*0.28</f>
        <v>56000.000000000007</v>
      </c>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row>
    <row r="122" spans="1:40" outlineLevel="2" x14ac:dyDescent="0.25">
      <c r="A122" s="48" t="s">
        <v>410</v>
      </c>
      <c r="B122" s="49">
        <v>4</v>
      </c>
      <c r="C122" s="48" t="s">
        <v>1528</v>
      </c>
      <c r="D122" s="51" t="s">
        <v>79</v>
      </c>
      <c r="E122" s="13" t="s">
        <v>422</v>
      </c>
      <c r="F122" s="13" t="s">
        <v>1298</v>
      </c>
      <c r="G122" s="50" t="s">
        <v>1520</v>
      </c>
      <c r="H122" s="13" t="s">
        <v>1290</v>
      </c>
      <c r="I122" s="136">
        <f>800000*0.28</f>
        <v>224000.00000000003</v>
      </c>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row>
    <row r="123" spans="1:40" outlineLevel="2" x14ac:dyDescent="0.25">
      <c r="A123" s="48" t="s">
        <v>410</v>
      </c>
      <c r="B123" s="49">
        <v>4</v>
      </c>
      <c r="C123" s="48" t="s">
        <v>1529</v>
      </c>
      <c r="D123" s="51" t="s">
        <v>79</v>
      </c>
      <c r="E123" s="13" t="s">
        <v>423</v>
      </c>
      <c r="F123" s="13" t="s">
        <v>1493</v>
      </c>
      <c r="G123" s="50" t="s">
        <v>1520</v>
      </c>
      <c r="H123" s="13">
        <v>0</v>
      </c>
      <c r="I123" s="136">
        <v>0</v>
      </c>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row>
    <row r="124" spans="1:40" outlineLevel="2" x14ac:dyDescent="0.25">
      <c r="A124" s="48" t="s">
        <v>410</v>
      </c>
      <c r="B124" s="49">
        <v>4</v>
      </c>
      <c r="C124" s="48" t="s">
        <v>1532</v>
      </c>
      <c r="D124" s="51" t="s">
        <v>79</v>
      </c>
      <c r="E124" s="13" t="s">
        <v>424</v>
      </c>
      <c r="F124" s="13" t="s">
        <v>1494</v>
      </c>
      <c r="G124" s="50" t="s">
        <v>1520</v>
      </c>
      <c r="H124" s="13" t="s">
        <v>1290</v>
      </c>
      <c r="I124" s="136">
        <v>0</v>
      </c>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row>
    <row r="125" spans="1:40" outlineLevel="2" x14ac:dyDescent="0.25">
      <c r="A125" s="48" t="s">
        <v>410</v>
      </c>
      <c r="B125" s="49">
        <v>4</v>
      </c>
      <c r="C125" s="48" t="s">
        <v>1533</v>
      </c>
      <c r="D125" s="51" t="s">
        <v>79</v>
      </c>
      <c r="E125" s="13" t="s">
        <v>425</v>
      </c>
      <c r="F125" s="13" t="s">
        <v>1495</v>
      </c>
      <c r="G125" s="50" t="s">
        <v>1520</v>
      </c>
      <c r="H125" s="13">
        <v>0</v>
      </c>
      <c r="I125" s="136">
        <v>0</v>
      </c>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row>
    <row r="126" spans="1:40" outlineLevel="2" x14ac:dyDescent="0.25">
      <c r="A126" s="48" t="s">
        <v>410</v>
      </c>
      <c r="B126" s="49">
        <v>4</v>
      </c>
      <c r="C126" s="48" t="s">
        <v>1534</v>
      </c>
      <c r="D126" s="51" t="s">
        <v>79</v>
      </c>
      <c r="E126" s="13" t="s">
        <v>426</v>
      </c>
      <c r="F126" s="13" t="s">
        <v>1496</v>
      </c>
      <c r="G126" s="50" t="s">
        <v>1520</v>
      </c>
      <c r="H126" s="13" t="s">
        <v>1290</v>
      </c>
      <c r="I126" s="136">
        <v>0</v>
      </c>
      <c r="J126" s="140"/>
      <c r="K126" s="140"/>
      <c r="L126" s="140"/>
      <c r="M126" s="140"/>
      <c r="N126" s="140"/>
      <c r="O126" s="140"/>
      <c r="P126" s="140"/>
      <c r="Q126" s="140"/>
      <c r="R126" s="140"/>
      <c r="S126" s="140"/>
      <c r="T126" s="140"/>
      <c r="U126" s="140"/>
      <c r="V126" s="140"/>
      <c r="W126" s="140"/>
      <c r="X126" s="140"/>
      <c r="Y126" s="140"/>
      <c r="Z126" s="140"/>
      <c r="AA126" s="140"/>
      <c r="AB126" s="140"/>
      <c r="AC126" s="140"/>
      <c r="AD126" s="140"/>
      <c r="AE126" s="140"/>
      <c r="AF126" s="140"/>
      <c r="AG126" s="140"/>
      <c r="AH126" s="140"/>
      <c r="AI126" s="140"/>
      <c r="AJ126" s="140"/>
      <c r="AK126" s="140"/>
      <c r="AL126" s="140"/>
      <c r="AM126" s="140"/>
      <c r="AN126" s="140"/>
    </row>
    <row r="127" spans="1:40" outlineLevel="2" x14ac:dyDescent="0.25">
      <c r="A127" s="48" t="s">
        <v>410</v>
      </c>
      <c r="B127" s="49">
        <v>4</v>
      </c>
      <c r="C127" s="48" t="s">
        <v>1535</v>
      </c>
      <c r="D127" s="51" t="s">
        <v>79</v>
      </c>
      <c r="E127" s="13" t="s">
        <v>427</v>
      </c>
      <c r="F127" s="13" t="s">
        <v>1497</v>
      </c>
      <c r="G127" s="50" t="s">
        <v>1520</v>
      </c>
      <c r="H127" s="13" t="s">
        <v>1290</v>
      </c>
      <c r="I127" s="136">
        <v>0</v>
      </c>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row>
    <row r="129" spans="10:14" x14ac:dyDescent="0.25">
      <c r="J129" s="159" t="s">
        <v>1613</v>
      </c>
    </row>
    <row r="130" spans="10:14" x14ac:dyDescent="0.25">
      <c r="J130" s="187" t="s">
        <v>1614</v>
      </c>
      <c r="K130" s="18"/>
      <c r="L130" s="18"/>
      <c r="M130" s="18"/>
      <c r="N130" s="18"/>
    </row>
    <row r="131" spans="10:14" x14ac:dyDescent="0.25">
      <c r="J131" s="188" t="s">
        <v>1615</v>
      </c>
      <c r="K131" s="18"/>
      <c r="L131" s="18"/>
      <c r="M131" s="18"/>
      <c r="N131" s="18"/>
    </row>
  </sheetData>
  <autoFilter ref="D4:AN127" xr:uid="{00000000-0009-0000-0000-000007000000}"/>
  <mergeCells count="10">
    <mergeCell ref="Z2:AF2"/>
    <mergeCell ref="AG2:AI2"/>
    <mergeCell ref="J2:Y2"/>
    <mergeCell ref="AJ2:AN2"/>
    <mergeCell ref="J3:N3"/>
    <mergeCell ref="P3:Q3"/>
    <mergeCell ref="U3:Y3"/>
    <mergeCell ref="Z3:AF3"/>
    <mergeCell ref="AG3:AI3"/>
    <mergeCell ref="AJ3:AN3"/>
  </mergeCells>
  <conditionalFormatting sqref="I6 I12 I19 I27 I42 I53 I59 I65 I70 I75 I77 I82 I84 I95 I103 I105 I107 I109 I116">
    <cfRule type="cellIs" dxfId="29" priority="1" operator="greaterThan">
      <formula>10000000</formula>
    </cfRule>
    <cfRule type="cellIs" dxfId="28" priority="2" operator="lessThanOrEqual">
      <formula>1000000</formula>
    </cfRule>
    <cfRule type="cellIs" dxfId="27" priority="3" operator="between">
      <formula>1000000</formula>
      <formula>10000000</formula>
    </cfRule>
  </conditionalFormatting>
  <pageMargins left="0.7" right="0.7" top="0.75" bottom="0.75" header="0.3" footer="0.3"/>
  <ignoredErrors>
    <ignoredError sqref="J19:AI102 AJ19:AN102 P6:AN12 J12:O12 J105:AI105 AJ105:AN105 J103:AI104 AJ103:AN104 J106:AI106 AJ106:AN106 J107:AI107 AJ107:AN107 J108:AI108 AJ108:AN108 J109:AI115 AJ109:AN1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theme="8"/>
    <outlinePr summaryBelow="0"/>
  </sheetPr>
  <dimension ref="A1:AN166"/>
  <sheetViews>
    <sheetView showGridLines="0" topLeftCell="D1" zoomScale="70" zoomScaleNormal="70" workbookViewId="0">
      <pane xSplit="6" ySplit="4" topLeftCell="J70" activePane="bottomRight" state="frozen"/>
      <selection activeCell="F66" sqref="F66"/>
      <selection pane="topRight" activeCell="F66" sqref="F66"/>
      <selection pane="bottomLeft" activeCell="F66" sqref="F66"/>
      <selection pane="bottomRight" activeCell="O4" sqref="O4"/>
    </sheetView>
  </sheetViews>
  <sheetFormatPr baseColWidth="10" defaultColWidth="10.85546875" defaultRowHeight="15" outlineLevelRow="3" x14ac:dyDescent="0.25"/>
  <cols>
    <col min="1" max="3" width="0" hidden="1" customWidth="1"/>
    <col min="4" max="4" width="8.140625" customWidth="1"/>
    <col min="5" max="5" width="9.85546875" bestFit="1" customWidth="1"/>
    <col min="6" max="6" width="104.85546875" customWidth="1"/>
    <col min="7" max="7" width="11.140625" bestFit="1" customWidth="1"/>
    <col min="8" max="8" width="14.42578125" customWidth="1"/>
    <col min="9" max="9" width="16.42578125" bestFit="1" customWidth="1"/>
    <col min="10" max="10" width="6.85546875" customWidth="1"/>
    <col min="11" max="14" width="5.140625" bestFit="1" customWidth="1"/>
    <col min="15" max="15" width="7.42578125" customWidth="1"/>
    <col min="16" max="25" width="5.140625" bestFit="1" customWidth="1"/>
    <col min="26" max="26" width="6.85546875" customWidth="1"/>
    <col min="27" max="32" width="5.140625" bestFit="1" customWidth="1"/>
    <col min="33" max="33" width="10.85546875" customWidth="1"/>
    <col min="34" max="34" width="5.140625" bestFit="1" customWidth="1"/>
    <col min="35" max="35" width="5.85546875" customWidth="1"/>
    <col min="36" max="40" width="5.140625" bestFit="1" customWidth="1"/>
  </cols>
  <sheetData>
    <row r="1" spans="1:40" ht="23.25" x14ac:dyDescent="0.35">
      <c r="A1" s="154"/>
      <c r="B1" s="154"/>
      <c r="C1" s="154"/>
      <c r="D1" s="154"/>
      <c r="E1" s="154"/>
      <c r="F1" s="154"/>
      <c r="G1" s="154"/>
      <c r="H1" s="154"/>
      <c r="I1" s="154"/>
      <c r="J1" s="591" t="s">
        <v>500</v>
      </c>
      <c r="K1" s="592"/>
      <c r="L1" s="592"/>
      <c r="M1" s="592"/>
      <c r="N1" s="592"/>
      <c r="O1" s="592"/>
      <c r="P1" s="592"/>
      <c r="Q1" s="592"/>
      <c r="R1" s="592"/>
      <c r="S1" s="592"/>
      <c r="T1" s="592"/>
      <c r="U1" s="592"/>
      <c r="V1" s="592"/>
      <c r="W1" s="592"/>
      <c r="X1" s="593"/>
      <c r="Y1" s="593"/>
      <c r="Z1" s="593"/>
      <c r="AA1" s="593"/>
      <c r="AB1" s="593"/>
      <c r="AC1" s="593"/>
      <c r="AD1" s="593"/>
      <c r="AE1" s="593"/>
      <c r="AF1" s="593"/>
      <c r="AG1" s="593"/>
      <c r="AH1" s="593"/>
      <c r="AI1" s="593"/>
      <c r="AJ1" s="593"/>
      <c r="AK1" s="593"/>
      <c r="AL1" s="593"/>
      <c r="AM1" s="593"/>
      <c r="AN1" s="594"/>
    </row>
    <row r="2" spans="1:40" x14ac:dyDescent="0.25">
      <c r="A2" s="154"/>
      <c r="B2" s="154"/>
      <c r="C2" s="154"/>
      <c r="D2" s="154"/>
      <c r="E2" s="154"/>
      <c r="F2" s="154"/>
      <c r="G2" s="154"/>
      <c r="H2" s="154"/>
      <c r="I2" s="154"/>
      <c r="J2" s="588" t="s">
        <v>2594</v>
      </c>
      <c r="K2" s="589"/>
      <c r="L2" s="589"/>
      <c r="M2" s="589"/>
      <c r="N2" s="589"/>
      <c r="O2" s="589"/>
      <c r="P2" s="589"/>
      <c r="Q2" s="589"/>
      <c r="R2" s="589"/>
      <c r="S2" s="589"/>
      <c r="T2" s="589"/>
      <c r="U2" s="589"/>
      <c r="V2" s="589"/>
      <c r="W2" s="590"/>
      <c r="X2" s="387"/>
      <c r="Y2" s="388"/>
      <c r="Z2" s="142"/>
      <c r="AA2" s="142"/>
      <c r="AB2" s="142"/>
      <c r="AC2" s="142"/>
      <c r="AD2" s="142"/>
      <c r="AE2" s="142"/>
      <c r="AF2" s="142"/>
      <c r="AG2" s="142"/>
      <c r="AH2" s="142"/>
      <c r="AI2" s="142"/>
      <c r="AJ2" s="142"/>
      <c r="AK2" s="142"/>
      <c r="AL2" s="142"/>
      <c r="AM2" s="142"/>
      <c r="AN2" s="143"/>
    </row>
    <row r="3" spans="1:40" ht="72" customHeight="1" x14ac:dyDescent="0.25">
      <c r="A3" s="154"/>
      <c r="B3" s="154"/>
      <c r="C3" s="154"/>
      <c r="D3" s="154"/>
      <c r="E3" s="154"/>
      <c r="F3" s="154"/>
      <c r="G3" s="154"/>
      <c r="H3" s="154"/>
      <c r="I3" s="154"/>
      <c r="J3" s="595" t="s">
        <v>1540</v>
      </c>
      <c r="K3" s="595"/>
      <c r="L3" s="595"/>
      <c r="M3" s="595"/>
      <c r="N3" s="595"/>
      <c r="O3" s="389" t="s">
        <v>1541</v>
      </c>
      <c r="P3" s="596" t="s">
        <v>1611</v>
      </c>
      <c r="Q3" s="595"/>
      <c r="R3" s="582" t="s">
        <v>2596</v>
      </c>
      <c r="S3" s="583"/>
      <c r="T3" s="584"/>
      <c r="U3" s="585" t="s">
        <v>2593</v>
      </c>
      <c r="V3" s="586"/>
      <c r="W3" s="587"/>
      <c r="X3" s="390"/>
      <c r="Y3" s="390"/>
      <c r="Z3" s="597" t="s">
        <v>1537</v>
      </c>
      <c r="AA3" s="598"/>
      <c r="AB3" s="598"/>
      <c r="AC3" s="598"/>
      <c r="AD3" s="598"/>
      <c r="AE3" s="598"/>
      <c r="AF3" s="599"/>
      <c r="AG3" s="582" t="s">
        <v>1538</v>
      </c>
      <c r="AH3" s="583"/>
      <c r="AI3" s="584"/>
      <c r="AJ3" s="597" t="s">
        <v>1539</v>
      </c>
      <c r="AK3" s="598"/>
      <c r="AL3" s="598"/>
      <c r="AM3" s="598"/>
      <c r="AN3" s="599"/>
    </row>
    <row r="4" spans="1:40" ht="162" customHeight="1" x14ac:dyDescent="0.25">
      <c r="A4" s="154"/>
      <c r="B4" s="154"/>
      <c r="C4" s="154"/>
      <c r="D4" s="154"/>
      <c r="E4" s="154"/>
      <c r="F4" s="154"/>
      <c r="G4" s="154"/>
      <c r="H4" s="154"/>
      <c r="I4" s="154"/>
      <c r="J4" s="144" t="s">
        <v>1545</v>
      </c>
      <c r="K4" s="146" t="s">
        <v>1546</v>
      </c>
      <c r="L4" s="147" t="s">
        <v>1547</v>
      </c>
      <c r="M4" s="147" t="s">
        <v>1548</v>
      </c>
      <c r="N4" s="147" t="s">
        <v>1549</v>
      </c>
      <c r="O4" s="147" t="s">
        <v>1616</v>
      </c>
      <c r="P4" s="145" t="s">
        <v>1550</v>
      </c>
      <c r="Q4" s="147" t="s">
        <v>1551</v>
      </c>
      <c r="R4" s="374" t="s">
        <v>1552</v>
      </c>
      <c r="S4" s="145" t="s">
        <v>1553</v>
      </c>
      <c r="T4" s="147" t="s">
        <v>1554</v>
      </c>
      <c r="U4" s="147" t="s">
        <v>1555</v>
      </c>
      <c r="V4" s="147" t="s">
        <v>1556</v>
      </c>
      <c r="W4" s="147" t="s">
        <v>1557</v>
      </c>
      <c r="X4" s="145" t="s">
        <v>1558</v>
      </c>
      <c r="Y4" s="147" t="s">
        <v>1559</v>
      </c>
      <c r="Z4" s="375" t="s">
        <v>1560</v>
      </c>
      <c r="AA4" s="144" t="s">
        <v>1561</v>
      </c>
      <c r="AB4" s="144" t="s">
        <v>1562</v>
      </c>
      <c r="AC4" s="144" t="s">
        <v>1563</v>
      </c>
      <c r="AD4" s="144" t="s">
        <v>1564</v>
      </c>
      <c r="AE4" s="145" t="s">
        <v>1565</v>
      </c>
      <c r="AF4" s="145" t="s">
        <v>1566</v>
      </c>
      <c r="AG4" s="374" t="s">
        <v>1567</v>
      </c>
      <c r="AH4" s="147" t="s">
        <v>1568</v>
      </c>
      <c r="AI4" s="147" t="s">
        <v>1569</v>
      </c>
      <c r="AJ4" s="145" t="s">
        <v>514</v>
      </c>
      <c r="AK4" s="147" t="s">
        <v>1570</v>
      </c>
      <c r="AL4" s="145" t="s">
        <v>1571</v>
      </c>
      <c r="AM4" s="147" t="s">
        <v>1572</v>
      </c>
      <c r="AN4" s="147" t="s">
        <v>1573</v>
      </c>
    </row>
    <row r="5" spans="1:40" x14ac:dyDescent="0.25">
      <c r="A5" s="154" t="s">
        <v>30</v>
      </c>
      <c r="B5" s="154" t="s">
        <v>1502</v>
      </c>
      <c r="C5" s="154" t="s">
        <v>1523</v>
      </c>
      <c r="D5" s="82" t="s">
        <v>412</v>
      </c>
      <c r="E5" s="82" t="s">
        <v>413</v>
      </c>
      <c r="F5" s="82" t="s">
        <v>1519</v>
      </c>
      <c r="G5" s="82" t="s">
        <v>1500</v>
      </c>
      <c r="H5" s="82" t="s">
        <v>1501</v>
      </c>
      <c r="I5" s="82" t="s">
        <v>492</v>
      </c>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row>
    <row r="6" spans="1:40" x14ac:dyDescent="0.25">
      <c r="A6" s="154"/>
      <c r="B6" s="154"/>
      <c r="C6" s="154"/>
      <c r="D6" s="354" t="s">
        <v>411</v>
      </c>
      <c r="E6" s="355"/>
      <c r="F6" s="355"/>
      <c r="G6" s="355"/>
      <c r="H6" s="355"/>
      <c r="I6" s="356">
        <f>SUBTOTAL(9,I8:I162)</f>
        <v>339049733.33333331</v>
      </c>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row>
    <row r="7" spans="1:40" ht="26.25" outlineLevel="1" x14ac:dyDescent="0.25">
      <c r="A7" s="154"/>
      <c r="B7" s="154"/>
      <c r="C7" s="154"/>
      <c r="D7" s="360" t="s">
        <v>1</v>
      </c>
      <c r="E7" s="360"/>
      <c r="F7" s="361" t="str">
        <f>VLOOKUP(D7,'1. Mesures'!$A$2:$B$116,2,0)</f>
        <v>Améliorer la qualité des berges et des lits du réseau hydrographique, créer des méandres et aménager des zones propices au développement de la faune et de la flore aquatiques</v>
      </c>
      <c r="G7" s="360"/>
      <c r="H7" s="360"/>
      <c r="I7" s="362">
        <f>SUBTOTAL(9,I8:I13)</f>
        <v>1265000</v>
      </c>
      <c r="J7" s="363">
        <f>VLOOKUP($D7,'7. PGE_Efficacité'!$A$6:$BT$266,(MATCH('4.3 ACE EFF CAN'!J$4,'7. PGE_Efficacité'!$A$4:$AO$4,0)+31),0)</f>
        <v>0</v>
      </c>
      <c r="K7" s="363">
        <f>VLOOKUP($D7,'7. PGE_Efficacité'!$A$6:$BT$266,(MATCH('4.3 ACE EFF CAN'!K$4,'7. PGE_Efficacité'!$A$4:$AO$4,0)+31),0)</f>
        <v>0</v>
      </c>
      <c r="L7" s="363">
        <f>VLOOKUP($D7,'7. PGE_Efficacité'!$A$6:$BT$266,(MATCH('4.3 ACE EFF CAN'!L$4,'7. PGE_Efficacité'!$A$4:$AO$4,0)+31),0)</f>
        <v>0</v>
      </c>
      <c r="M7" s="363">
        <f>VLOOKUP($D7,'7. PGE_Efficacité'!$A$6:$BT$266,(MATCH('4.3 ACE EFF CAN'!M$4,'7. PGE_Efficacité'!$A$4:$AO$4,0)+31),0)</f>
        <v>0</v>
      </c>
      <c r="N7" s="363">
        <f>VLOOKUP($D7,'7. PGE_Efficacité'!$A$6:$BT$266,(MATCH('4.3 ACE EFF CAN'!N$4,'7. PGE_Efficacité'!$A$4:$AO$4,0)+31),0)</f>
        <v>0</v>
      </c>
      <c r="O7" s="363">
        <f>VLOOKUP($D7,'7. PGE_Efficacité'!$A$6:$BT$266,47,0)</f>
        <v>0</v>
      </c>
      <c r="P7" s="363">
        <f>VLOOKUP($D7,'7. PGE_Efficacité'!$A$6:$BT$266,(MATCH('4.3 ACE EFF CAN'!P$4,'7. PGE_Efficacité'!$A$4:$AO$4,0)+31),0)</f>
        <v>0</v>
      </c>
      <c r="Q7" s="363">
        <f>VLOOKUP($D7,'7. PGE_Efficacité'!$A$6:$BT$266,(MATCH('4.3 ACE EFF CAN'!Q$4,'7. PGE_Efficacité'!$A$4:$AO$4,0)+31),0)</f>
        <v>0</v>
      </c>
      <c r="R7" s="363">
        <f>VLOOKUP($D7,'7. PGE_Efficacité'!$A$6:$BT$266,(MATCH('4.3 ACE EFF CAN'!R$4,'7. PGE_Efficacité'!$A$4:$AO$4,0)+31),0)</f>
        <v>0</v>
      </c>
      <c r="S7" s="363">
        <f>VLOOKUP($D7,'7. PGE_Efficacité'!$A$6:$BT$266,(MATCH('4.3 ACE EFF CAN'!S$4,'7. PGE_Efficacité'!$A$4:$AO$4,0)+31),0)</f>
        <v>0</v>
      </c>
      <c r="T7" s="363">
        <f>VLOOKUP($D7,'7. PGE_Efficacité'!$A$6:$BT$266,(MATCH('4.3 ACE EFF CAN'!T$4,'7. PGE_Efficacité'!$A$4:$AO$4,0)+31),0)</f>
        <v>0</v>
      </c>
      <c r="U7" s="363">
        <f>VLOOKUP($D7,'7. PGE_Efficacité'!$A$6:$BT$266,(MATCH('4.3 ACE EFF CAN'!U$4,'7. PGE_Efficacité'!$A$4:$AO$4,0)+31),0)</f>
        <v>0</v>
      </c>
      <c r="V7" s="363">
        <f>VLOOKUP($D7,'7. PGE_Efficacité'!$A$6:$BT$266,(MATCH('4.3 ACE EFF CAN'!V$4,'7. PGE_Efficacité'!$A$4:$AO$4,0)+31),0)</f>
        <v>0</v>
      </c>
      <c r="W7" s="363">
        <f>VLOOKUP($D7,'7. PGE_Efficacité'!$A$6:$BT$266,(MATCH('4.3 ACE EFF CAN'!W$4,'7. PGE_Efficacité'!$A$4:$AO$4,0)+31),0)</f>
        <v>0</v>
      </c>
      <c r="X7" s="363">
        <f>VLOOKUP($D7,'7. PGE_Efficacité'!$A$6:$BT$266,(MATCH('4.3 ACE EFF CAN'!X$4,'7. PGE_Efficacité'!$A$4:$AO$4,0)+31),0)</f>
        <v>0</v>
      </c>
      <c r="Y7" s="363">
        <f>VLOOKUP($D7,'7. PGE_Efficacité'!$A$6:$BT$266,(MATCH('4.3 ACE EFF CAN'!Y$4,'7. PGE_Efficacité'!$A$4:$AO$4,0)+31),0)</f>
        <v>0</v>
      </c>
      <c r="Z7" s="363">
        <f>VLOOKUP($D7,'7. PGE_Efficacité'!$A$6:$BT$266,(MATCH('4.3 ACE EFF CAN'!Z$4,'7. PGE_Efficacité'!$A$4:$AO$4,0)+31),0)</f>
        <v>0</v>
      </c>
      <c r="AA7" s="363">
        <f>VLOOKUP($D7,'7. PGE_Efficacité'!$A$6:$BT$266,(MATCH('4.3 ACE EFF CAN'!AA$4,'7. PGE_Efficacité'!$A$4:$AO$4,0)+31),0)</f>
        <v>0</v>
      </c>
      <c r="AB7" s="363">
        <f>VLOOKUP($D7,'7. PGE_Efficacité'!$A$6:$BT$266,(MATCH('4.3 ACE EFF CAN'!AB$4,'7. PGE_Efficacité'!$A$4:$AO$4,0)+31),0)</f>
        <v>0</v>
      </c>
      <c r="AC7" s="363">
        <f>VLOOKUP($D7,'7. PGE_Efficacité'!$A$6:$BT$266,(MATCH('4.3 ACE EFF CAN'!AC$4,'7. PGE_Efficacité'!$A$4:$AO$4,0)+31),0)</f>
        <v>0</v>
      </c>
      <c r="AD7" s="363">
        <f>VLOOKUP($D7,'7. PGE_Efficacité'!$A$6:$BT$266,(MATCH('4.3 ACE EFF CAN'!AD$4,'7. PGE_Efficacité'!$A$4:$AO$4,0)+31),0)</f>
        <v>0</v>
      </c>
      <c r="AE7" s="363">
        <f>VLOOKUP($D7,'7. PGE_Efficacité'!$A$6:$BT$266,(MATCH('4.3 ACE EFF CAN'!AE$4,'7. PGE_Efficacité'!$A$4:$AO$4,0)+31),0)</f>
        <v>0</v>
      </c>
      <c r="AF7" s="363">
        <f>VLOOKUP($D7,'7. PGE_Efficacité'!$A$6:$BT$266,(MATCH('4.3 ACE EFF CAN'!AF$4,'7. PGE_Efficacité'!$A$4:$AO$4,0)+31),0)</f>
        <v>0</v>
      </c>
      <c r="AG7" s="363" t="str">
        <f>VLOOKUP($D7,'7. PGE_Efficacité'!$A$6:$BT$266,(MATCH('4.3 ACE EFF CAN'!AG$4,'7. PGE_Efficacité'!$A$4:$AO$4,0)+31),0)</f>
        <v>+++</v>
      </c>
      <c r="AH7" s="363" t="str">
        <f>VLOOKUP($D7,'7. PGE_Efficacité'!$A$6:$BT$266,(MATCH('4.3 ACE EFF CAN'!AH$4,'7. PGE_Efficacité'!$A$4:$AO$4,0)+31),0)</f>
        <v>+++</v>
      </c>
      <c r="AI7" s="363" t="str">
        <f>VLOOKUP($D7,'7. PGE_Efficacité'!$A$6:$BT$266,(MATCH('4.3 ACE EFF CAN'!AI$4,'7. PGE_Efficacité'!$A$4:$AO$4,0)+31),0)</f>
        <v>+++</v>
      </c>
      <c r="AJ7" s="363">
        <f>VLOOKUP($D7,'7. PGE_Efficacité'!$A$6:$BT$266,(MATCH('4.3 ACE EFF CAN'!AJ$4,'7. PGE_Efficacité'!$A$4:$AO$4,0)+31),0)</f>
        <v>0</v>
      </c>
      <c r="AK7" s="363" t="str">
        <f>VLOOKUP($D7,'7. PGE_Efficacité'!$A$6:$BT$266,(MATCH('4.3 ACE EFF CAN'!AK$4,'7. PGE_Efficacité'!$A$4:$AO$4,0)+31),0)</f>
        <v>++</v>
      </c>
      <c r="AL7" s="363">
        <f>VLOOKUP($D7,'7. PGE_Efficacité'!$A$6:$BT$266,(MATCH('4.3 ACE EFF CAN'!AL$4,'7. PGE_Efficacité'!$A$4:$AO$4,0)+31),0)</f>
        <v>0</v>
      </c>
      <c r="AM7" s="363" t="str">
        <f>VLOOKUP($D7,'7. PGE_Efficacité'!$A$6:$BT$266,(MATCH('4.3 ACE EFF CAN'!AM$4,'7. PGE_Efficacité'!$A$4:$AO$4,0)+31),0)</f>
        <v>+++</v>
      </c>
      <c r="AN7" s="363" t="str">
        <f>VLOOKUP($D7,'7. PGE_Efficacité'!$A$6:$BT$266,(MATCH('4.3 ACE EFF CAN'!AN$4,'7. PGE_Efficacité'!$A$4:$AO$4,0)+31),0)</f>
        <v>+++</v>
      </c>
    </row>
    <row r="8" spans="1:40" outlineLevel="2" x14ac:dyDescent="0.25">
      <c r="A8" s="154" t="s">
        <v>1524</v>
      </c>
      <c r="B8" s="154">
        <v>2</v>
      </c>
      <c r="C8" s="154" t="s">
        <v>1517</v>
      </c>
      <c r="D8" s="330" t="s">
        <v>1</v>
      </c>
      <c r="E8" s="330" t="s">
        <v>712</v>
      </c>
      <c r="F8" s="330" t="s">
        <v>1372</v>
      </c>
      <c r="G8" s="330" t="s">
        <v>1520</v>
      </c>
      <c r="H8" s="330" t="s">
        <v>414</v>
      </c>
      <c r="I8" s="364">
        <v>0</v>
      </c>
      <c r="J8" s="365">
        <f>VLOOKUP($E8,'7. PGE_Efficacité'!$A$6:$BT$266,(MATCH('4.3 ACE EFF CAN'!J$4,'7. PGE_Efficacité'!$A$4:$BU$4,0)+31),0)</f>
        <v>0</v>
      </c>
      <c r="K8" s="365">
        <f>VLOOKUP($E8,'7. PGE_Efficacité'!$A$6:$BT$266,(MATCH('4.3 ACE EFF CAN'!K$4,'7. PGE_Efficacité'!$A$4:$BU$4,0)+31),0)</f>
        <v>0</v>
      </c>
      <c r="L8" s="365">
        <f>VLOOKUP($E8,'7. PGE_Efficacité'!$A$6:$BT$266,(MATCH('4.3 ACE EFF CAN'!L$4,'7. PGE_Efficacité'!$A$4:$BU$4,0)+31),0)</f>
        <v>0</v>
      </c>
      <c r="M8" s="365">
        <f>VLOOKUP($E8,'7. PGE_Efficacité'!$A$6:$BT$266,(MATCH('4.3 ACE EFF CAN'!M$4,'7. PGE_Efficacité'!$A$4:$BU$4,0)+31),0)</f>
        <v>0</v>
      </c>
      <c r="N8" s="365">
        <f>VLOOKUP($E8,'7. PGE_Efficacité'!$A$6:$BT$266,(MATCH('4.3 ACE EFF CAN'!N$4,'7. PGE_Efficacité'!$A$4:$BU$4,0)+31),0)</f>
        <v>0</v>
      </c>
      <c r="O8" s="365">
        <f>VLOOKUP($E8,'7. PGE_Efficacité'!$A$6:$BT$300,(MATCH('4.3 ACE EFF CAN'!O$4,'7. PGE_Efficacité'!$A$4:$BU$4,0)+31),0)</f>
        <v>0</v>
      </c>
      <c r="P8" s="365">
        <f>VLOOKUP($E8,'7. PGE_Efficacité'!$A$6:$BT$266,(MATCH('4.3 ACE EFF CAN'!P$4,'7. PGE_Efficacité'!$A$4:$BU$4,0)+31),0)</f>
        <v>0</v>
      </c>
      <c r="Q8" s="365">
        <f>VLOOKUP($E8,'7. PGE_Efficacité'!$A$6:$BT$266,(MATCH('4.3 ACE EFF CAN'!Q$4,'7. PGE_Efficacité'!$A$4:$BU$4,0)+31),0)</f>
        <v>0</v>
      </c>
      <c r="R8" s="365">
        <f>VLOOKUP($E8,'7. PGE_Efficacité'!$A$6:$BT$266,(MATCH('4.3 ACE EFF CAN'!R$4,'7. PGE_Efficacité'!$A$4:$BU$4,0)+31),0)</f>
        <v>0</v>
      </c>
      <c r="S8" s="365">
        <f>VLOOKUP($E8,'7. PGE_Efficacité'!$A$6:$BT$266,(MATCH('4.3 ACE EFF CAN'!S$4,'7. PGE_Efficacité'!$A$4:$BU$4,0)+31),0)</f>
        <v>0</v>
      </c>
      <c r="T8" s="365">
        <f>VLOOKUP($E8,'7. PGE_Efficacité'!$A$6:$BT$266,(MATCH('4.3 ACE EFF CAN'!T$4,'7. PGE_Efficacité'!$A$4:$BU$4,0)+31),0)</f>
        <v>0</v>
      </c>
      <c r="U8" s="365">
        <f>VLOOKUP($E8,'7. PGE_Efficacité'!$A$6:$BT$266,(MATCH('4.3 ACE EFF CAN'!U$4,'7. PGE_Efficacité'!$A$4:$BU$4,0)+31),0)</f>
        <v>0</v>
      </c>
      <c r="V8" s="365">
        <f>VLOOKUP($E8,'7. PGE_Efficacité'!$A$6:$BT$266,(MATCH('4.3 ACE EFF CAN'!V$4,'7. PGE_Efficacité'!$A$4:$BU$4,0)+31),0)</f>
        <v>0</v>
      </c>
      <c r="W8" s="365">
        <f>VLOOKUP($E8,'7. PGE_Efficacité'!$A$6:$BT$266,(MATCH('4.3 ACE EFF CAN'!W$4,'7. PGE_Efficacité'!$A$4:$BU$4,0)+31),0)</f>
        <v>0</v>
      </c>
      <c r="X8" s="365">
        <f>VLOOKUP($E8,'7. PGE_Efficacité'!$A$6:$BT$266,(MATCH('4.3 ACE EFF CAN'!X$4,'7. PGE_Efficacité'!$A$4:$BU$4,0)+31),0)</f>
        <v>0</v>
      </c>
      <c r="Y8" s="365">
        <f>VLOOKUP($E8,'7. PGE_Efficacité'!$A$6:$BT$266,(MATCH('4.3 ACE EFF CAN'!Y$4,'7. PGE_Efficacité'!$A$4:$BU$4,0)+31),0)</f>
        <v>0</v>
      </c>
      <c r="Z8" s="365">
        <f>VLOOKUP($E8,'7. PGE_Efficacité'!$A$6:$BT$266,(MATCH('4.3 ACE EFF CAN'!Z$4,'7. PGE_Efficacité'!$A$4:$BU$4,0)+31),0)</f>
        <v>0</v>
      </c>
      <c r="AA8" s="365">
        <f>VLOOKUP($E8,'7. PGE_Efficacité'!$A$6:$BT$266,(MATCH('4.3 ACE EFF CAN'!AA$4,'7. PGE_Efficacité'!$A$4:$BU$4,0)+31),0)</f>
        <v>0</v>
      </c>
      <c r="AB8" s="365">
        <f>VLOOKUP($E8,'7. PGE_Efficacité'!$A$6:$BT$266,(MATCH('4.3 ACE EFF CAN'!AB$4,'7. PGE_Efficacité'!$A$4:$BU$4,0)+31),0)</f>
        <v>0</v>
      </c>
      <c r="AC8" s="365">
        <f>VLOOKUP($E8,'7. PGE_Efficacité'!$A$6:$BT$266,(MATCH('4.3 ACE EFF CAN'!AC$4,'7. PGE_Efficacité'!$A$4:$BU$4,0)+31),0)</f>
        <v>0</v>
      </c>
      <c r="AD8" s="365">
        <f>VLOOKUP($E8,'7. PGE_Efficacité'!$A$6:$BT$266,(MATCH('4.3 ACE EFF CAN'!AD$4,'7. PGE_Efficacité'!$A$4:$BU$4,0)+31),0)</f>
        <v>0</v>
      </c>
      <c r="AE8" s="365">
        <f>VLOOKUP($E8,'7. PGE_Efficacité'!$A$6:$BT$266,(MATCH('4.3 ACE EFF CAN'!AE$4,'7. PGE_Efficacité'!$A$4:$BU$4,0)+31),0)</f>
        <v>0</v>
      </c>
      <c r="AF8" s="365">
        <f>VLOOKUP($E8,'7. PGE_Efficacité'!$A$6:$BT$266,(MATCH('4.3 ACE EFF CAN'!AF$4,'7. PGE_Efficacité'!$A$4:$BU$4,0)+31),0)</f>
        <v>0</v>
      </c>
      <c r="AG8" s="365">
        <f>VLOOKUP($E8,'7. PGE_Efficacité'!$A$6:$BT$266,(MATCH('4.3 ACE EFF CAN'!AG$4,'7. PGE_Efficacité'!$A$4:$BU$4,0)+31),0)</f>
        <v>0</v>
      </c>
      <c r="AH8" s="365">
        <f>VLOOKUP($E8,'7. PGE_Efficacité'!$A$6:$BT$266,(MATCH('4.3 ACE EFF CAN'!AH$4,'7. PGE_Efficacité'!$A$4:$BU$4,0)+31),0)</f>
        <v>0</v>
      </c>
      <c r="AI8" s="365">
        <f>VLOOKUP($E8,'7. PGE_Efficacité'!$A$6:$BT$266,(MATCH('4.3 ACE EFF CAN'!AI$4,'7. PGE_Efficacité'!$A$4:$BU$4,0)+31),0)</f>
        <v>0</v>
      </c>
      <c r="AJ8" s="365">
        <f>VLOOKUP($E8,'7. PGE_Efficacité'!$A$6:$BT$266,(MATCH('4.3 ACE EFF CAN'!AJ$4,'7. PGE_Efficacité'!$A$4:$BU$4,0)+31),0)</f>
        <v>0</v>
      </c>
      <c r="AK8" s="365">
        <f>VLOOKUP($E8,'7. PGE_Efficacité'!$A$6:$BT$266,(MATCH('4.3 ACE EFF CAN'!AK$4,'7. PGE_Efficacité'!$A$4:$BU$4,0)+31),0)</f>
        <v>0</v>
      </c>
      <c r="AL8" s="365">
        <f>VLOOKUP($E8,'7. PGE_Efficacité'!$A$6:$BT$266,(MATCH('4.3 ACE EFF CAN'!AL$4,'7. PGE_Efficacité'!$A$4:$BU$4,0)+31),0)</f>
        <v>0</v>
      </c>
      <c r="AM8" s="365">
        <f>VLOOKUP($E8,'7. PGE_Efficacité'!$A$6:$BT$266,(MATCH('4.3 ACE EFF CAN'!AM$4,'7. PGE_Efficacité'!$A$4:$BU$4,0)+31),0)</f>
        <v>0</v>
      </c>
      <c r="AN8" s="365">
        <f>VLOOKUP($E8,'7. PGE_Efficacité'!$A$6:$BT$266,(MATCH('4.3 ACE EFF CAN'!AN$4,'7. PGE_Efficacité'!$A$4:$BU$4,0)+31),0)</f>
        <v>0</v>
      </c>
    </row>
    <row r="9" spans="1:40" outlineLevel="2" x14ac:dyDescent="0.25">
      <c r="A9" s="154" t="s">
        <v>1524</v>
      </c>
      <c r="B9" s="154">
        <v>2</v>
      </c>
      <c r="C9" s="154" t="s">
        <v>1510</v>
      </c>
      <c r="D9" s="330" t="s">
        <v>1</v>
      </c>
      <c r="E9" s="330" t="s">
        <v>713</v>
      </c>
      <c r="F9" s="330" t="s">
        <v>1373</v>
      </c>
      <c r="G9" s="330" t="s">
        <v>1520</v>
      </c>
      <c r="H9" s="330" t="s">
        <v>414</v>
      </c>
      <c r="I9" s="364">
        <v>200000</v>
      </c>
      <c r="J9" s="365">
        <f>VLOOKUP($E9,'7. PGE_Efficacité'!$A$6:$BT$266,(MATCH('4.3 ACE EFF CAN'!J$4,'7. PGE_Efficacité'!$A$4:$BU$4,0)+31),0)</f>
        <v>0</v>
      </c>
      <c r="K9" s="365">
        <f>VLOOKUP($E9,'7. PGE_Efficacité'!$A$6:$BT$266,(MATCH('4.3 ACE EFF CAN'!K$4,'7. PGE_Efficacité'!$A$4:$BU$4,0)+31),0)</f>
        <v>0</v>
      </c>
      <c r="L9" s="365">
        <f>VLOOKUP($E9,'7. PGE_Efficacité'!$A$6:$BT$266,(MATCH('4.3 ACE EFF CAN'!L$4,'7. PGE_Efficacité'!$A$4:$BU$4,0)+31),0)</f>
        <v>0</v>
      </c>
      <c r="M9" s="365">
        <f>VLOOKUP($E9,'7. PGE_Efficacité'!$A$6:$BT$266,(MATCH('4.3 ACE EFF CAN'!M$4,'7. PGE_Efficacité'!$A$4:$BU$4,0)+31),0)</f>
        <v>0</v>
      </c>
      <c r="N9" s="365">
        <f>VLOOKUP($E9,'7. PGE_Efficacité'!$A$6:$BT$266,(MATCH('4.3 ACE EFF CAN'!N$4,'7. PGE_Efficacité'!$A$4:$BU$4,0)+31),0)</f>
        <v>0</v>
      </c>
      <c r="O9" s="365">
        <f>VLOOKUP($E9,'7. PGE_Efficacité'!$A$6:$BT$266,(MATCH('4.3 ACE EFF CAN'!O$4,'7. PGE_Efficacité'!$A$4:$BU$4,0)+31),0)</f>
        <v>0</v>
      </c>
      <c r="P9" s="365">
        <f>VLOOKUP($E9,'7. PGE_Efficacité'!$A$6:$BT$266,(MATCH('4.3 ACE EFF CAN'!P$4,'7. PGE_Efficacité'!$A$4:$BU$4,0)+31),0)</f>
        <v>0</v>
      </c>
      <c r="Q9" s="365">
        <f>VLOOKUP($E9,'7. PGE_Efficacité'!$A$6:$BT$266,(MATCH('4.3 ACE EFF CAN'!Q$4,'7. PGE_Efficacité'!$A$4:$BU$4,0)+31),0)</f>
        <v>0</v>
      </c>
      <c r="R9" s="365">
        <f>VLOOKUP($E9,'7. PGE_Efficacité'!$A$6:$BT$266,(MATCH('4.3 ACE EFF CAN'!R$4,'7. PGE_Efficacité'!$A$4:$BU$4,0)+31),0)</f>
        <v>0</v>
      </c>
      <c r="S9" s="365">
        <f>VLOOKUP($E9,'7. PGE_Efficacité'!$A$6:$BT$266,(MATCH('4.3 ACE EFF CAN'!S$4,'7. PGE_Efficacité'!$A$4:$BU$4,0)+31),0)</f>
        <v>0</v>
      </c>
      <c r="T9" s="365">
        <f>VLOOKUP($E9,'7. PGE_Efficacité'!$A$6:$BT$266,(MATCH('4.3 ACE EFF CAN'!T$4,'7. PGE_Efficacité'!$A$4:$BU$4,0)+31),0)</f>
        <v>0</v>
      </c>
      <c r="U9" s="365">
        <f>VLOOKUP($E9,'7. PGE_Efficacité'!$A$6:$BT$266,(MATCH('4.3 ACE EFF CAN'!U$4,'7. PGE_Efficacité'!$A$4:$BU$4,0)+31),0)</f>
        <v>0</v>
      </c>
      <c r="V9" s="365">
        <f>VLOOKUP($E9,'7. PGE_Efficacité'!$A$6:$BT$266,(MATCH('4.3 ACE EFF CAN'!V$4,'7. PGE_Efficacité'!$A$4:$BU$4,0)+31),0)</f>
        <v>0</v>
      </c>
      <c r="W9" s="365">
        <f>VLOOKUP($E9,'7. PGE_Efficacité'!$A$6:$BT$266,(MATCH('4.3 ACE EFF CAN'!W$4,'7. PGE_Efficacité'!$A$4:$BU$4,0)+31),0)</f>
        <v>0</v>
      </c>
      <c r="X9" s="365">
        <f>VLOOKUP($E9,'7. PGE_Efficacité'!$A$6:$BT$266,(MATCH('4.3 ACE EFF CAN'!X$4,'7. PGE_Efficacité'!$A$4:$BU$4,0)+31),0)</f>
        <v>0</v>
      </c>
      <c r="Y9" s="365">
        <f>VLOOKUP($E9,'7. PGE_Efficacité'!$A$6:$BT$266,(MATCH('4.3 ACE EFF CAN'!Y$4,'7. PGE_Efficacité'!$A$4:$BU$4,0)+31),0)</f>
        <v>0</v>
      </c>
      <c r="Z9" s="365">
        <f>VLOOKUP($E9,'7. PGE_Efficacité'!$A$6:$BT$266,(MATCH('4.3 ACE EFF CAN'!Z$4,'7. PGE_Efficacité'!$A$4:$BU$4,0)+31),0)</f>
        <v>0</v>
      </c>
      <c r="AA9" s="365">
        <f>VLOOKUP($E9,'7. PGE_Efficacité'!$A$6:$BT$266,(MATCH('4.3 ACE EFF CAN'!AA$4,'7. PGE_Efficacité'!$A$4:$BU$4,0)+31),0)</f>
        <v>0</v>
      </c>
      <c r="AB9" s="365">
        <f>VLOOKUP($E9,'7. PGE_Efficacité'!$A$6:$BT$266,(MATCH('4.3 ACE EFF CAN'!AB$4,'7. PGE_Efficacité'!$A$4:$BU$4,0)+31),0)</f>
        <v>0</v>
      </c>
      <c r="AC9" s="365">
        <f>VLOOKUP($E9,'7. PGE_Efficacité'!$A$6:$BT$266,(MATCH('4.3 ACE EFF CAN'!AC$4,'7. PGE_Efficacité'!$A$4:$BU$4,0)+31),0)</f>
        <v>0</v>
      </c>
      <c r="AD9" s="365">
        <f>VLOOKUP($E9,'7. PGE_Efficacité'!$A$6:$BT$266,(MATCH('4.3 ACE EFF CAN'!AD$4,'7. PGE_Efficacité'!$A$4:$BU$4,0)+31),0)</f>
        <v>0</v>
      </c>
      <c r="AE9" s="365">
        <f>VLOOKUP($E9,'7. PGE_Efficacité'!$A$6:$BT$266,(MATCH('4.3 ACE EFF CAN'!AE$4,'7. PGE_Efficacité'!$A$4:$BU$4,0)+31),0)</f>
        <v>0</v>
      </c>
      <c r="AF9" s="365">
        <f>VLOOKUP($E9,'7. PGE_Efficacité'!$A$6:$BT$266,(MATCH('4.3 ACE EFF CAN'!AF$4,'7. PGE_Efficacité'!$A$4:$BU$4,0)+31),0)</f>
        <v>0</v>
      </c>
      <c r="AG9" s="365" t="str">
        <f>VLOOKUP($E9,'7. PGE_Efficacité'!$A$6:$BT$266,(MATCH('4.3 ACE EFF CAN'!AG$4,'7. PGE_Efficacité'!$A$4:$BU$4,0)+31),0)</f>
        <v>+</v>
      </c>
      <c r="AH9" s="365" t="str">
        <f>VLOOKUP($E9,'7. PGE_Efficacité'!$A$6:$BT$266,(MATCH('4.3 ACE EFF CAN'!AH$4,'7. PGE_Efficacité'!$A$4:$BU$4,0)+31),0)</f>
        <v>+</v>
      </c>
      <c r="AI9" s="365" t="str">
        <f>VLOOKUP($E9,'7. PGE_Efficacité'!$A$6:$BT$266,(MATCH('4.3 ACE EFF CAN'!AI$4,'7. PGE_Efficacité'!$A$4:$BU$4,0)+31),0)</f>
        <v>+</v>
      </c>
      <c r="AJ9" s="365">
        <f>VLOOKUP($E9,'7. PGE_Efficacité'!$A$6:$BT$266,(MATCH('4.3 ACE EFF CAN'!AJ$4,'7. PGE_Efficacité'!$A$4:$BU$4,0)+31),0)</f>
        <v>0</v>
      </c>
      <c r="AK9" s="365">
        <f>VLOOKUP($E9,'7. PGE_Efficacité'!$A$6:$BT$266,(MATCH('4.3 ACE EFF CAN'!AK$4,'7. PGE_Efficacité'!$A$4:$BU$4,0)+31),0)</f>
        <v>0</v>
      </c>
      <c r="AL9" s="365">
        <f>VLOOKUP($E9,'7. PGE_Efficacité'!$A$6:$BT$266,(MATCH('4.3 ACE EFF CAN'!AL$4,'7. PGE_Efficacité'!$A$4:$BU$4,0)+31),0)</f>
        <v>0</v>
      </c>
      <c r="AM9" s="365">
        <f>VLOOKUP($E9,'7. PGE_Efficacité'!$A$6:$BT$266,(MATCH('4.3 ACE EFF CAN'!AM$4,'7. PGE_Efficacité'!$A$4:$BU$4,0)+31),0)</f>
        <v>0</v>
      </c>
      <c r="AN9" s="365">
        <f>VLOOKUP($E9,'7. PGE_Efficacité'!$A$6:$BT$266,(MATCH('4.3 ACE EFF CAN'!AN$4,'7. PGE_Efficacité'!$A$4:$BU$4,0)+31),0)</f>
        <v>0</v>
      </c>
    </row>
    <row r="10" spans="1:40" outlineLevel="2" x14ac:dyDescent="0.25">
      <c r="A10" s="154" t="s">
        <v>1524</v>
      </c>
      <c r="B10" s="154">
        <v>2</v>
      </c>
      <c r="C10" s="154" t="s">
        <v>1511</v>
      </c>
      <c r="D10" s="330" t="s">
        <v>1</v>
      </c>
      <c r="E10" s="330" t="s">
        <v>714</v>
      </c>
      <c r="F10" s="330" t="s">
        <v>1374</v>
      </c>
      <c r="G10" s="330" t="s">
        <v>1520</v>
      </c>
      <c r="H10" s="330" t="s">
        <v>414</v>
      </c>
      <c r="I10" s="364">
        <v>30000</v>
      </c>
      <c r="J10" s="365">
        <f>VLOOKUP($E10,'7. PGE_Efficacité'!$A$6:$BT$266,(MATCH('4.3 ACE EFF CAN'!J$4,'7. PGE_Efficacité'!$A$4:$BU$4,0)+31),0)</f>
        <v>0</v>
      </c>
      <c r="K10" s="365">
        <f>VLOOKUP($E10,'7. PGE_Efficacité'!$A$6:$BT$266,(MATCH('4.3 ACE EFF CAN'!K$4,'7. PGE_Efficacité'!$A$4:$BU$4,0)+31),0)</f>
        <v>0</v>
      </c>
      <c r="L10" s="365">
        <f>VLOOKUP($E10,'7. PGE_Efficacité'!$A$6:$BT$266,(MATCH('4.3 ACE EFF CAN'!L$4,'7. PGE_Efficacité'!$A$4:$BU$4,0)+31),0)</f>
        <v>0</v>
      </c>
      <c r="M10" s="365">
        <f>VLOOKUP($E10,'7. PGE_Efficacité'!$A$6:$BT$266,(MATCH('4.3 ACE EFF CAN'!M$4,'7. PGE_Efficacité'!$A$4:$BU$4,0)+31),0)</f>
        <v>0</v>
      </c>
      <c r="N10" s="365">
        <f>VLOOKUP($E10,'7. PGE_Efficacité'!$A$6:$BT$266,(MATCH('4.3 ACE EFF CAN'!N$4,'7. PGE_Efficacité'!$A$4:$BU$4,0)+31),0)</f>
        <v>0</v>
      </c>
      <c r="O10" s="365">
        <f>VLOOKUP($E10,'7. PGE_Efficacité'!$A$6:$BT$266,(MATCH('4.3 ACE EFF CAN'!O$4,'7. PGE_Efficacité'!$A$4:$BU$4,0)+31),0)</f>
        <v>0</v>
      </c>
      <c r="P10" s="365">
        <f>VLOOKUP($E10,'7. PGE_Efficacité'!$A$6:$BT$266,(MATCH('4.3 ACE EFF CAN'!P$4,'7. PGE_Efficacité'!$A$4:$BU$4,0)+31),0)</f>
        <v>0</v>
      </c>
      <c r="Q10" s="365">
        <f>VLOOKUP($E10,'7. PGE_Efficacité'!$A$6:$BT$266,(MATCH('4.3 ACE EFF CAN'!Q$4,'7. PGE_Efficacité'!$A$4:$BU$4,0)+31),0)</f>
        <v>0</v>
      </c>
      <c r="R10" s="365">
        <f>VLOOKUP($E10,'7. PGE_Efficacité'!$A$6:$BT$266,(MATCH('4.3 ACE EFF CAN'!R$4,'7. PGE_Efficacité'!$A$4:$BU$4,0)+31),0)</f>
        <v>0</v>
      </c>
      <c r="S10" s="365">
        <f>VLOOKUP($E10,'7. PGE_Efficacité'!$A$6:$BT$266,(MATCH('4.3 ACE EFF CAN'!S$4,'7. PGE_Efficacité'!$A$4:$BU$4,0)+31),0)</f>
        <v>0</v>
      </c>
      <c r="T10" s="365">
        <f>VLOOKUP($E10,'7. PGE_Efficacité'!$A$6:$BT$266,(MATCH('4.3 ACE EFF CAN'!T$4,'7. PGE_Efficacité'!$A$4:$BU$4,0)+31),0)</f>
        <v>0</v>
      </c>
      <c r="U10" s="365">
        <f>VLOOKUP($E10,'7. PGE_Efficacité'!$A$6:$BT$266,(MATCH('4.3 ACE EFF CAN'!U$4,'7. PGE_Efficacité'!$A$4:$BU$4,0)+31),0)</f>
        <v>0</v>
      </c>
      <c r="V10" s="365">
        <f>VLOOKUP($E10,'7. PGE_Efficacité'!$A$6:$BT$266,(MATCH('4.3 ACE EFF CAN'!V$4,'7. PGE_Efficacité'!$A$4:$BU$4,0)+31),0)</f>
        <v>0</v>
      </c>
      <c r="W10" s="365">
        <f>VLOOKUP($E10,'7. PGE_Efficacité'!$A$6:$BT$266,(MATCH('4.3 ACE EFF CAN'!W$4,'7. PGE_Efficacité'!$A$4:$BU$4,0)+31),0)</f>
        <v>0</v>
      </c>
      <c r="X10" s="365">
        <f>VLOOKUP($E10,'7. PGE_Efficacité'!$A$6:$BT$266,(MATCH('4.3 ACE EFF CAN'!X$4,'7. PGE_Efficacité'!$A$4:$BU$4,0)+31),0)</f>
        <v>0</v>
      </c>
      <c r="Y10" s="365">
        <f>VLOOKUP($E10,'7. PGE_Efficacité'!$A$6:$BT$266,(MATCH('4.3 ACE EFF CAN'!Y$4,'7. PGE_Efficacité'!$A$4:$BU$4,0)+31),0)</f>
        <v>0</v>
      </c>
      <c r="Z10" s="365">
        <f>VLOOKUP($E10,'7. PGE_Efficacité'!$A$6:$BT$266,(MATCH('4.3 ACE EFF CAN'!Z$4,'7. PGE_Efficacité'!$A$4:$BU$4,0)+31),0)</f>
        <v>0</v>
      </c>
      <c r="AA10" s="365">
        <f>VLOOKUP($E10,'7. PGE_Efficacité'!$A$6:$BT$266,(MATCH('4.3 ACE EFF CAN'!AA$4,'7. PGE_Efficacité'!$A$4:$BU$4,0)+31),0)</f>
        <v>0</v>
      </c>
      <c r="AB10" s="365">
        <f>VLOOKUP($E10,'7. PGE_Efficacité'!$A$6:$BT$266,(MATCH('4.3 ACE EFF CAN'!AB$4,'7. PGE_Efficacité'!$A$4:$BU$4,0)+31),0)</f>
        <v>0</v>
      </c>
      <c r="AC10" s="365">
        <f>VLOOKUP($E10,'7. PGE_Efficacité'!$A$6:$BT$266,(MATCH('4.3 ACE EFF CAN'!AC$4,'7. PGE_Efficacité'!$A$4:$BU$4,0)+31),0)</f>
        <v>0</v>
      </c>
      <c r="AD10" s="365">
        <f>VLOOKUP($E10,'7. PGE_Efficacité'!$A$6:$BT$266,(MATCH('4.3 ACE EFF CAN'!AD$4,'7. PGE_Efficacité'!$A$4:$BU$4,0)+31),0)</f>
        <v>0</v>
      </c>
      <c r="AE10" s="365">
        <f>VLOOKUP($E10,'7. PGE_Efficacité'!$A$6:$BT$266,(MATCH('4.3 ACE EFF CAN'!AE$4,'7. PGE_Efficacité'!$A$4:$BU$4,0)+31),0)</f>
        <v>0</v>
      </c>
      <c r="AF10" s="365">
        <f>VLOOKUP($E10,'7. PGE_Efficacité'!$A$6:$BT$266,(MATCH('4.3 ACE EFF CAN'!AF$4,'7. PGE_Efficacité'!$A$4:$BU$4,0)+31),0)</f>
        <v>0</v>
      </c>
      <c r="AG10" s="365">
        <f>VLOOKUP($E10,'7. PGE_Efficacité'!$A$6:$BT$266,(MATCH('4.3 ACE EFF CAN'!AG$4,'7. PGE_Efficacité'!$A$4:$BU$4,0)+31),0)</f>
        <v>0</v>
      </c>
      <c r="AH10" s="365">
        <f>VLOOKUP($E10,'7. PGE_Efficacité'!$A$6:$BT$266,(MATCH('4.3 ACE EFF CAN'!AH$4,'7. PGE_Efficacité'!$A$4:$BU$4,0)+31),0)</f>
        <v>0</v>
      </c>
      <c r="AI10" s="365">
        <f>VLOOKUP($E10,'7. PGE_Efficacité'!$A$6:$BT$266,(MATCH('4.3 ACE EFF CAN'!AI$4,'7. PGE_Efficacité'!$A$4:$BU$4,0)+31),0)</f>
        <v>0</v>
      </c>
      <c r="AJ10" s="365">
        <f>VLOOKUP($E10,'7. PGE_Efficacité'!$A$6:$BT$266,(MATCH('4.3 ACE EFF CAN'!AJ$4,'7. PGE_Efficacité'!$A$4:$BU$4,0)+31),0)</f>
        <v>0</v>
      </c>
      <c r="AK10" s="365">
        <f>VLOOKUP($E10,'7. PGE_Efficacité'!$A$6:$BT$266,(MATCH('4.3 ACE EFF CAN'!AK$4,'7. PGE_Efficacité'!$A$4:$BU$4,0)+31),0)</f>
        <v>0</v>
      </c>
      <c r="AL10" s="365">
        <f>VLOOKUP($E10,'7. PGE_Efficacité'!$A$6:$BT$266,(MATCH('4.3 ACE EFF CAN'!AL$4,'7. PGE_Efficacité'!$A$4:$BU$4,0)+31),0)</f>
        <v>0</v>
      </c>
      <c r="AM10" s="365">
        <f>VLOOKUP($E10,'7. PGE_Efficacité'!$A$6:$BT$266,(MATCH('4.3 ACE EFF CAN'!AM$4,'7. PGE_Efficacité'!$A$4:$BU$4,0)+31),0)</f>
        <v>0</v>
      </c>
      <c r="AN10" s="365">
        <f>VLOOKUP($E10,'7. PGE_Efficacité'!$A$6:$BT$266,(MATCH('4.3 ACE EFF CAN'!AN$4,'7. PGE_Efficacité'!$A$4:$BU$4,0)+31),0)</f>
        <v>0</v>
      </c>
    </row>
    <row r="11" spans="1:40" outlineLevel="2" x14ac:dyDescent="0.25">
      <c r="A11" s="154" t="s">
        <v>1524</v>
      </c>
      <c r="B11" s="154">
        <v>2</v>
      </c>
      <c r="C11" s="154" t="s">
        <v>1518</v>
      </c>
      <c r="D11" s="330" t="s">
        <v>1</v>
      </c>
      <c r="E11" s="330" t="s">
        <v>715</v>
      </c>
      <c r="F11" s="330" t="s">
        <v>1375</v>
      </c>
      <c r="G11" s="330" t="s">
        <v>1520</v>
      </c>
      <c r="H11" s="330" t="s">
        <v>414</v>
      </c>
      <c r="I11" s="364">
        <v>0</v>
      </c>
      <c r="J11" s="365">
        <f>VLOOKUP($E11,'7. PGE_Efficacité'!$A$6:$BT$266,(MATCH('4.3 ACE EFF CAN'!J$4,'7. PGE_Efficacité'!$A$4:$BU$4,0)+31),0)</f>
        <v>0</v>
      </c>
      <c r="K11" s="365">
        <f>VLOOKUP($E11,'7. PGE_Efficacité'!$A$6:$BT$266,(MATCH('4.3 ACE EFF CAN'!K$4,'7. PGE_Efficacité'!$A$4:$BU$4,0)+31),0)</f>
        <v>0</v>
      </c>
      <c r="L11" s="365">
        <f>VLOOKUP($E11,'7. PGE_Efficacité'!$A$6:$BT$266,(MATCH('4.3 ACE EFF CAN'!L$4,'7. PGE_Efficacité'!$A$4:$BU$4,0)+31),0)</f>
        <v>0</v>
      </c>
      <c r="M11" s="365">
        <f>VLOOKUP($E11,'7. PGE_Efficacité'!$A$6:$BT$266,(MATCH('4.3 ACE EFF CAN'!M$4,'7. PGE_Efficacité'!$A$4:$BU$4,0)+31),0)</f>
        <v>0</v>
      </c>
      <c r="N11" s="365">
        <f>VLOOKUP($E11,'7. PGE_Efficacité'!$A$6:$BT$266,(MATCH('4.3 ACE EFF CAN'!N$4,'7. PGE_Efficacité'!$A$4:$BU$4,0)+31),0)</f>
        <v>0</v>
      </c>
      <c r="O11" s="365">
        <f>VLOOKUP($E11,'7. PGE_Efficacité'!$A$6:$BT$266,(MATCH('4.3 ACE EFF CAN'!O$4,'7. PGE_Efficacité'!$A$4:$BU$4,0)+31),0)</f>
        <v>0</v>
      </c>
      <c r="P11" s="365">
        <f>VLOOKUP($E11,'7. PGE_Efficacité'!$A$6:$BT$266,(MATCH('4.3 ACE EFF CAN'!P$4,'7. PGE_Efficacité'!$A$4:$BU$4,0)+31),0)</f>
        <v>0</v>
      </c>
      <c r="Q11" s="365">
        <f>VLOOKUP($E11,'7. PGE_Efficacité'!$A$6:$BT$266,(MATCH('4.3 ACE EFF CAN'!Q$4,'7. PGE_Efficacité'!$A$4:$BU$4,0)+31),0)</f>
        <v>0</v>
      </c>
      <c r="R11" s="365">
        <f>VLOOKUP($E11,'7. PGE_Efficacité'!$A$6:$BT$266,(MATCH('4.3 ACE EFF CAN'!R$4,'7. PGE_Efficacité'!$A$4:$BU$4,0)+31),0)</f>
        <v>0</v>
      </c>
      <c r="S11" s="365">
        <f>VLOOKUP($E11,'7. PGE_Efficacité'!$A$6:$BT$266,(MATCH('4.3 ACE EFF CAN'!S$4,'7. PGE_Efficacité'!$A$4:$BU$4,0)+31),0)</f>
        <v>0</v>
      </c>
      <c r="T11" s="365">
        <f>VLOOKUP($E11,'7. PGE_Efficacité'!$A$6:$BT$266,(MATCH('4.3 ACE EFF CAN'!T$4,'7. PGE_Efficacité'!$A$4:$BU$4,0)+31),0)</f>
        <v>0</v>
      </c>
      <c r="U11" s="365">
        <f>VLOOKUP($E11,'7. PGE_Efficacité'!$A$6:$BT$266,(MATCH('4.3 ACE EFF CAN'!U$4,'7. PGE_Efficacité'!$A$4:$BU$4,0)+31),0)</f>
        <v>0</v>
      </c>
      <c r="V11" s="365">
        <f>VLOOKUP($E11,'7. PGE_Efficacité'!$A$6:$BT$266,(MATCH('4.3 ACE EFF CAN'!V$4,'7. PGE_Efficacité'!$A$4:$BU$4,0)+31),0)</f>
        <v>0</v>
      </c>
      <c r="W11" s="365">
        <f>VLOOKUP($E11,'7. PGE_Efficacité'!$A$6:$BT$266,(MATCH('4.3 ACE EFF CAN'!W$4,'7. PGE_Efficacité'!$A$4:$BU$4,0)+31),0)</f>
        <v>0</v>
      </c>
      <c r="X11" s="365">
        <f>VLOOKUP($E11,'7. PGE_Efficacité'!$A$6:$BT$266,(MATCH('4.3 ACE EFF CAN'!X$4,'7. PGE_Efficacité'!$A$4:$BU$4,0)+31),0)</f>
        <v>0</v>
      </c>
      <c r="Y11" s="365">
        <f>VLOOKUP($E11,'7. PGE_Efficacité'!$A$6:$BT$266,(MATCH('4.3 ACE EFF CAN'!Y$4,'7. PGE_Efficacité'!$A$4:$BU$4,0)+31),0)</f>
        <v>0</v>
      </c>
      <c r="Z11" s="365">
        <f>VLOOKUP($E11,'7. PGE_Efficacité'!$A$6:$BT$266,(MATCH('4.3 ACE EFF CAN'!Z$4,'7. PGE_Efficacité'!$A$4:$BU$4,0)+31),0)</f>
        <v>0</v>
      </c>
      <c r="AA11" s="365">
        <f>VLOOKUP($E11,'7. PGE_Efficacité'!$A$6:$BT$266,(MATCH('4.3 ACE EFF CAN'!AA$4,'7. PGE_Efficacité'!$A$4:$BU$4,0)+31),0)</f>
        <v>0</v>
      </c>
      <c r="AB11" s="365">
        <f>VLOOKUP($E11,'7. PGE_Efficacité'!$A$6:$BT$266,(MATCH('4.3 ACE EFF CAN'!AB$4,'7. PGE_Efficacité'!$A$4:$BU$4,0)+31),0)</f>
        <v>0</v>
      </c>
      <c r="AC11" s="365">
        <f>VLOOKUP($E11,'7. PGE_Efficacité'!$A$6:$BT$266,(MATCH('4.3 ACE EFF CAN'!AC$4,'7. PGE_Efficacité'!$A$4:$BU$4,0)+31),0)</f>
        <v>0</v>
      </c>
      <c r="AD11" s="365">
        <f>VLOOKUP($E11,'7. PGE_Efficacité'!$A$6:$BT$266,(MATCH('4.3 ACE EFF CAN'!AD$4,'7. PGE_Efficacité'!$A$4:$BU$4,0)+31),0)</f>
        <v>0</v>
      </c>
      <c r="AE11" s="365">
        <f>VLOOKUP($E11,'7. PGE_Efficacité'!$A$6:$BT$266,(MATCH('4.3 ACE EFF CAN'!AE$4,'7. PGE_Efficacité'!$A$4:$BU$4,0)+31),0)</f>
        <v>0</v>
      </c>
      <c r="AF11" s="365">
        <f>VLOOKUP($E11,'7. PGE_Efficacité'!$A$6:$BT$266,(MATCH('4.3 ACE EFF CAN'!AF$4,'7. PGE_Efficacité'!$A$4:$BU$4,0)+31),0)</f>
        <v>0</v>
      </c>
      <c r="AG11" s="365">
        <f>VLOOKUP($E11,'7. PGE_Efficacité'!$A$6:$BT$266,(MATCH('4.3 ACE EFF CAN'!AG$4,'7. PGE_Efficacité'!$A$4:$BU$4,0)+31),0)</f>
        <v>0</v>
      </c>
      <c r="AH11" s="365">
        <f>VLOOKUP($E11,'7. PGE_Efficacité'!$A$6:$BT$266,(MATCH('4.3 ACE EFF CAN'!AH$4,'7. PGE_Efficacité'!$A$4:$BU$4,0)+31),0)</f>
        <v>0</v>
      </c>
      <c r="AI11" s="365">
        <f>VLOOKUP($E11,'7. PGE_Efficacité'!$A$6:$BT$266,(MATCH('4.3 ACE EFF CAN'!AI$4,'7. PGE_Efficacité'!$A$4:$BU$4,0)+31),0)</f>
        <v>0</v>
      </c>
      <c r="AJ11" s="365">
        <f>VLOOKUP($E11,'7. PGE_Efficacité'!$A$6:$BT$266,(MATCH('4.3 ACE EFF CAN'!AJ$4,'7. PGE_Efficacité'!$A$4:$BU$4,0)+31),0)</f>
        <v>0</v>
      </c>
      <c r="AK11" s="365">
        <f>VLOOKUP($E11,'7. PGE_Efficacité'!$A$6:$BT$266,(MATCH('4.3 ACE EFF CAN'!AK$4,'7. PGE_Efficacité'!$A$4:$BU$4,0)+31),0)</f>
        <v>0</v>
      </c>
      <c r="AL11" s="365">
        <f>VLOOKUP($E11,'7. PGE_Efficacité'!$A$6:$BT$266,(MATCH('4.3 ACE EFF CAN'!AL$4,'7. PGE_Efficacité'!$A$4:$BU$4,0)+31),0)</f>
        <v>0</v>
      </c>
      <c r="AM11" s="365">
        <f>VLOOKUP($E11,'7. PGE_Efficacité'!$A$6:$BT$266,(MATCH('4.3 ACE EFF CAN'!AM$4,'7. PGE_Efficacité'!$A$4:$BU$4,0)+31),0)</f>
        <v>0</v>
      </c>
      <c r="AN11" s="365">
        <f>VLOOKUP($E11,'7. PGE_Efficacité'!$A$6:$BT$266,(MATCH('4.3 ACE EFF CAN'!AN$4,'7. PGE_Efficacité'!$A$4:$BU$4,0)+31),0)</f>
        <v>0</v>
      </c>
    </row>
    <row r="12" spans="1:40" outlineLevel="2" x14ac:dyDescent="0.25">
      <c r="A12" s="154" t="s">
        <v>1524</v>
      </c>
      <c r="B12" s="154">
        <v>2</v>
      </c>
      <c r="C12" s="154" t="s">
        <v>1512</v>
      </c>
      <c r="D12" s="330" t="s">
        <v>1</v>
      </c>
      <c r="E12" s="330" t="s">
        <v>716</v>
      </c>
      <c r="F12" s="330" t="s">
        <v>1376</v>
      </c>
      <c r="G12" s="330" t="s">
        <v>1520</v>
      </c>
      <c r="H12" s="330" t="s">
        <v>414</v>
      </c>
      <c r="I12" s="364">
        <v>835000</v>
      </c>
      <c r="J12" s="365">
        <f>VLOOKUP($E12,'7. PGE_Efficacité'!$A$6:$BT$266,(MATCH('4.3 ACE EFF CAN'!J$4,'7. PGE_Efficacité'!$A$4:$BU$4,0)+31),0)</f>
        <v>0</v>
      </c>
      <c r="K12" s="365">
        <f>VLOOKUP($E12,'7. PGE_Efficacité'!$A$6:$BT$266,(MATCH('4.3 ACE EFF CAN'!K$4,'7. PGE_Efficacité'!$A$4:$BU$4,0)+31),0)</f>
        <v>0</v>
      </c>
      <c r="L12" s="365">
        <f>VLOOKUP($E12,'7. PGE_Efficacité'!$A$6:$BT$266,(MATCH('4.3 ACE EFF CAN'!L$4,'7. PGE_Efficacité'!$A$4:$BU$4,0)+31),0)</f>
        <v>0</v>
      </c>
      <c r="M12" s="365">
        <f>VLOOKUP($E12,'7. PGE_Efficacité'!$A$6:$BT$266,(MATCH('4.3 ACE EFF CAN'!M$4,'7. PGE_Efficacité'!$A$4:$BU$4,0)+31),0)</f>
        <v>0</v>
      </c>
      <c r="N12" s="365">
        <f>VLOOKUP($E12,'7. PGE_Efficacité'!$A$6:$BT$266,(MATCH('4.3 ACE EFF CAN'!N$4,'7. PGE_Efficacité'!$A$4:$BU$4,0)+31),0)</f>
        <v>0</v>
      </c>
      <c r="O12" s="365">
        <f>VLOOKUP($E12,'7. PGE_Efficacité'!$A$6:$BT$266,(MATCH('4.3 ACE EFF CAN'!O$4,'7. PGE_Efficacité'!$A$4:$BU$4,0)+31),0)</f>
        <v>0</v>
      </c>
      <c r="P12" s="365">
        <f>VLOOKUP($E12,'7. PGE_Efficacité'!$A$6:$BT$266,(MATCH('4.3 ACE EFF CAN'!P$4,'7. PGE_Efficacité'!$A$4:$BU$4,0)+31),0)</f>
        <v>0</v>
      </c>
      <c r="Q12" s="365">
        <f>VLOOKUP($E12,'7. PGE_Efficacité'!$A$6:$BT$266,(MATCH('4.3 ACE EFF CAN'!Q$4,'7. PGE_Efficacité'!$A$4:$BU$4,0)+31),0)</f>
        <v>0</v>
      </c>
      <c r="R12" s="365">
        <f>VLOOKUP($E12,'7. PGE_Efficacité'!$A$6:$BT$266,(MATCH('4.3 ACE EFF CAN'!R$4,'7. PGE_Efficacité'!$A$4:$BU$4,0)+31),0)</f>
        <v>0</v>
      </c>
      <c r="S12" s="365">
        <f>VLOOKUP($E12,'7. PGE_Efficacité'!$A$6:$BT$266,(MATCH('4.3 ACE EFF CAN'!S$4,'7. PGE_Efficacité'!$A$4:$BU$4,0)+31),0)</f>
        <v>0</v>
      </c>
      <c r="T12" s="365">
        <f>VLOOKUP($E12,'7. PGE_Efficacité'!$A$6:$BT$266,(MATCH('4.3 ACE EFF CAN'!T$4,'7. PGE_Efficacité'!$A$4:$BU$4,0)+31),0)</f>
        <v>0</v>
      </c>
      <c r="U12" s="365">
        <f>VLOOKUP($E12,'7. PGE_Efficacité'!$A$6:$BT$266,(MATCH('4.3 ACE EFF CAN'!U$4,'7. PGE_Efficacité'!$A$4:$BU$4,0)+31),0)</f>
        <v>0</v>
      </c>
      <c r="V12" s="365">
        <f>VLOOKUP($E12,'7. PGE_Efficacité'!$A$6:$BT$266,(MATCH('4.3 ACE EFF CAN'!V$4,'7. PGE_Efficacité'!$A$4:$BU$4,0)+31),0)</f>
        <v>0</v>
      </c>
      <c r="W12" s="365">
        <f>VLOOKUP($E12,'7. PGE_Efficacité'!$A$6:$BT$266,(MATCH('4.3 ACE EFF CAN'!W$4,'7. PGE_Efficacité'!$A$4:$BU$4,0)+31),0)</f>
        <v>0</v>
      </c>
      <c r="X12" s="365">
        <f>VLOOKUP($E12,'7. PGE_Efficacité'!$A$6:$BT$266,(MATCH('4.3 ACE EFF CAN'!X$4,'7. PGE_Efficacité'!$A$4:$BU$4,0)+31),0)</f>
        <v>0</v>
      </c>
      <c r="Y12" s="365">
        <f>VLOOKUP($E12,'7. PGE_Efficacité'!$A$6:$BT$266,(MATCH('4.3 ACE EFF CAN'!Y$4,'7. PGE_Efficacité'!$A$4:$BU$4,0)+31),0)</f>
        <v>0</v>
      </c>
      <c r="Z12" s="365">
        <f>VLOOKUP($E12,'7. PGE_Efficacité'!$A$6:$BT$266,(MATCH('4.3 ACE EFF CAN'!Z$4,'7. PGE_Efficacité'!$A$4:$BU$4,0)+31),0)</f>
        <v>0</v>
      </c>
      <c r="AA12" s="365">
        <f>VLOOKUP($E12,'7. PGE_Efficacité'!$A$6:$BT$266,(MATCH('4.3 ACE EFF CAN'!AA$4,'7. PGE_Efficacité'!$A$4:$BU$4,0)+31),0)</f>
        <v>0</v>
      </c>
      <c r="AB12" s="365">
        <f>VLOOKUP($E12,'7. PGE_Efficacité'!$A$6:$BT$266,(MATCH('4.3 ACE EFF CAN'!AB$4,'7. PGE_Efficacité'!$A$4:$BU$4,0)+31),0)</f>
        <v>0</v>
      </c>
      <c r="AC12" s="365">
        <f>VLOOKUP($E12,'7. PGE_Efficacité'!$A$6:$BT$266,(MATCH('4.3 ACE EFF CAN'!AC$4,'7. PGE_Efficacité'!$A$4:$BU$4,0)+31),0)</f>
        <v>0</v>
      </c>
      <c r="AD12" s="365">
        <f>VLOOKUP($E12,'7. PGE_Efficacité'!$A$6:$BT$266,(MATCH('4.3 ACE EFF CAN'!AD$4,'7. PGE_Efficacité'!$A$4:$BU$4,0)+31),0)</f>
        <v>0</v>
      </c>
      <c r="AE12" s="365">
        <f>VLOOKUP($E12,'7. PGE_Efficacité'!$A$6:$BT$266,(MATCH('4.3 ACE EFF CAN'!AE$4,'7. PGE_Efficacité'!$A$4:$BU$4,0)+31),0)</f>
        <v>0</v>
      </c>
      <c r="AF12" s="365">
        <f>VLOOKUP($E12,'7. PGE_Efficacité'!$A$6:$BT$266,(MATCH('4.3 ACE EFF CAN'!AF$4,'7. PGE_Efficacité'!$A$4:$BU$4,0)+31),0)</f>
        <v>0</v>
      </c>
      <c r="AG12" s="365" t="str">
        <f>VLOOKUP($E12,'7. PGE_Efficacité'!$A$6:$BT$266,(MATCH('4.3 ACE EFF CAN'!AG$4,'7. PGE_Efficacité'!$A$4:$BU$4,0)+31),0)</f>
        <v>++</v>
      </c>
      <c r="AH12" s="365" t="str">
        <f>VLOOKUP($E12,'7. PGE_Efficacité'!$A$6:$BT$266,(MATCH('4.3 ACE EFF CAN'!AH$4,'7. PGE_Efficacité'!$A$4:$BU$4,0)+31),0)</f>
        <v>++</v>
      </c>
      <c r="AI12" s="365" t="str">
        <f>VLOOKUP($E12,'7. PGE_Efficacité'!$A$6:$BT$266,(MATCH('4.3 ACE EFF CAN'!AI$4,'7. PGE_Efficacité'!$A$4:$BU$4,0)+31),0)</f>
        <v>++</v>
      </c>
      <c r="AJ12" s="365">
        <f>VLOOKUP($E12,'7. PGE_Efficacité'!$A$6:$BT$266,(MATCH('4.3 ACE EFF CAN'!AJ$4,'7. PGE_Efficacité'!$A$4:$BU$4,0)+31),0)</f>
        <v>0</v>
      </c>
      <c r="AK12" s="365">
        <f>VLOOKUP($E12,'7. PGE_Efficacité'!$A$6:$BT$266,(MATCH('4.3 ACE EFF CAN'!AK$4,'7. PGE_Efficacité'!$A$4:$BU$4,0)+31),0)</f>
        <v>0</v>
      </c>
      <c r="AL12" s="365">
        <f>VLOOKUP($E12,'7. PGE_Efficacité'!$A$6:$BT$266,(MATCH('4.3 ACE EFF CAN'!AL$4,'7. PGE_Efficacité'!$A$4:$BU$4,0)+31),0)</f>
        <v>0</v>
      </c>
      <c r="AM12" s="365">
        <f>VLOOKUP($E12,'7. PGE_Efficacité'!$A$6:$BT$266,(MATCH('4.3 ACE EFF CAN'!AM$4,'7. PGE_Efficacité'!$A$4:$BU$4,0)+31),0)</f>
        <v>0</v>
      </c>
      <c r="AN12" s="365">
        <f>VLOOKUP($E12,'7. PGE_Efficacité'!$A$6:$BT$266,(MATCH('4.3 ACE EFF CAN'!AN$4,'7. PGE_Efficacité'!$A$4:$BU$4,0)+31),0)</f>
        <v>0</v>
      </c>
    </row>
    <row r="13" spans="1:40" outlineLevel="2" x14ac:dyDescent="0.25">
      <c r="A13" s="154" t="s">
        <v>1524</v>
      </c>
      <c r="B13" s="154">
        <v>2</v>
      </c>
      <c r="C13" s="154" t="s">
        <v>1513</v>
      </c>
      <c r="D13" s="330" t="s">
        <v>1</v>
      </c>
      <c r="E13" s="330" t="s">
        <v>717</v>
      </c>
      <c r="F13" s="330" t="s">
        <v>1377</v>
      </c>
      <c r="G13" s="330" t="s">
        <v>1520</v>
      </c>
      <c r="H13" s="330" t="s">
        <v>414</v>
      </c>
      <c r="I13" s="364">
        <v>200000</v>
      </c>
      <c r="J13" s="365">
        <f>VLOOKUP($E13,'7. PGE_Efficacité'!$A$6:$BT$266,(MATCH('4.3 ACE EFF CAN'!J$4,'7. PGE_Efficacité'!$A$4:$BU$4,0)+31),0)</f>
        <v>0</v>
      </c>
      <c r="K13" s="365">
        <f>VLOOKUP($E13,'7. PGE_Efficacité'!$A$6:$BT$266,(MATCH('4.3 ACE EFF CAN'!K$4,'7. PGE_Efficacité'!$A$4:$BU$4,0)+31),0)</f>
        <v>0</v>
      </c>
      <c r="L13" s="365">
        <f>VLOOKUP($E13,'7. PGE_Efficacité'!$A$6:$BT$266,(MATCH('4.3 ACE EFF CAN'!L$4,'7. PGE_Efficacité'!$A$4:$BU$4,0)+31),0)</f>
        <v>0</v>
      </c>
      <c r="M13" s="365">
        <f>VLOOKUP($E13,'7. PGE_Efficacité'!$A$6:$BT$266,(MATCH('4.3 ACE EFF CAN'!M$4,'7. PGE_Efficacité'!$A$4:$BU$4,0)+31),0)</f>
        <v>0</v>
      </c>
      <c r="N13" s="365">
        <f>VLOOKUP($E13,'7. PGE_Efficacité'!$A$6:$BT$266,(MATCH('4.3 ACE EFF CAN'!N$4,'7. PGE_Efficacité'!$A$4:$BU$4,0)+31),0)</f>
        <v>0</v>
      </c>
      <c r="O13" s="365">
        <f>VLOOKUP($E13,'7. PGE_Efficacité'!$A$6:$BT$266,(MATCH('4.3 ACE EFF CAN'!O$4,'7. PGE_Efficacité'!$A$4:$BU$4,0)+31),0)</f>
        <v>0</v>
      </c>
      <c r="P13" s="365">
        <f>VLOOKUP($E13,'7. PGE_Efficacité'!$A$6:$BT$266,(MATCH('4.3 ACE EFF CAN'!P$4,'7. PGE_Efficacité'!$A$4:$BU$4,0)+31),0)</f>
        <v>0</v>
      </c>
      <c r="Q13" s="365">
        <f>VLOOKUP($E13,'7. PGE_Efficacité'!$A$6:$BT$266,(MATCH('4.3 ACE EFF CAN'!Q$4,'7. PGE_Efficacité'!$A$4:$BU$4,0)+31),0)</f>
        <v>0</v>
      </c>
      <c r="R13" s="365">
        <f>VLOOKUP($E13,'7. PGE_Efficacité'!$A$6:$BT$266,(MATCH('4.3 ACE EFF CAN'!R$4,'7. PGE_Efficacité'!$A$4:$BU$4,0)+31),0)</f>
        <v>0</v>
      </c>
      <c r="S13" s="365">
        <f>VLOOKUP($E13,'7. PGE_Efficacité'!$A$6:$BT$266,(MATCH('4.3 ACE EFF CAN'!S$4,'7. PGE_Efficacité'!$A$4:$BU$4,0)+31),0)</f>
        <v>0</v>
      </c>
      <c r="T13" s="365">
        <f>VLOOKUP($E13,'7. PGE_Efficacité'!$A$6:$BT$266,(MATCH('4.3 ACE EFF CAN'!T$4,'7. PGE_Efficacité'!$A$4:$BU$4,0)+31),0)</f>
        <v>0</v>
      </c>
      <c r="U13" s="365">
        <f>VLOOKUP($E13,'7. PGE_Efficacité'!$A$6:$BT$266,(MATCH('4.3 ACE EFF CAN'!U$4,'7. PGE_Efficacité'!$A$4:$BU$4,0)+31),0)</f>
        <v>0</v>
      </c>
      <c r="V13" s="365">
        <f>VLOOKUP($E13,'7. PGE_Efficacité'!$A$6:$BT$266,(MATCH('4.3 ACE EFF CAN'!V$4,'7. PGE_Efficacité'!$A$4:$BU$4,0)+31),0)</f>
        <v>0</v>
      </c>
      <c r="W13" s="365">
        <f>VLOOKUP($E13,'7. PGE_Efficacité'!$A$6:$BT$266,(MATCH('4.3 ACE EFF CAN'!W$4,'7. PGE_Efficacité'!$A$4:$BU$4,0)+31),0)</f>
        <v>0</v>
      </c>
      <c r="X13" s="365">
        <f>VLOOKUP($E13,'7. PGE_Efficacité'!$A$6:$BT$266,(MATCH('4.3 ACE EFF CAN'!X$4,'7. PGE_Efficacité'!$A$4:$BU$4,0)+31),0)</f>
        <v>0</v>
      </c>
      <c r="Y13" s="365">
        <f>VLOOKUP($E13,'7. PGE_Efficacité'!$A$6:$BT$266,(MATCH('4.3 ACE EFF CAN'!Y$4,'7. PGE_Efficacité'!$A$4:$BU$4,0)+31),0)</f>
        <v>0</v>
      </c>
      <c r="Z13" s="365">
        <f>VLOOKUP($E13,'7. PGE_Efficacité'!$A$6:$BT$266,(MATCH('4.3 ACE EFF CAN'!Z$4,'7. PGE_Efficacité'!$A$4:$BU$4,0)+31),0)</f>
        <v>0</v>
      </c>
      <c r="AA13" s="365">
        <f>VLOOKUP($E13,'7. PGE_Efficacité'!$A$6:$BT$266,(MATCH('4.3 ACE EFF CAN'!AA$4,'7. PGE_Efficacité'!$A$4:$BU$4,0)+31),0)</f>
        <v>0</v>
      </c>
      <c r="AB13" s="365">
        <f>VLOOKUP($E13,'7. PGE_Efficacité'!$A$6:$BT$266,(MATCH('4.3 ACE EFF CAN'!AB$4,'7. PGE_Efficacité'!$A$4:$BU$4,0)+31),0)</f>
        <v>0</v>
      </c>
      <c r="AC13" s="365">
        <f>VLOOKUP($E13,'7. PGE_Efficacité'!$A$6:$BT$266,(MATCH('4.3 ACE EFF CAN'!AC$4,'7. PGE_Efficacité'!$A$4:$BU$4,0)+31),0)</f>
        <v>0</v>
      </c>
      <c r="AD13" s="365">
        <f>VLOOKUP($E13,'7. PGE_Efficacité'!$A$6:$BT$266,(MATCH('4.3 ACE EFF CAN'!AD$4,'7. PGE_Efficacité'!$A$4:$BU$4,0)+31),0)</f>
        <v>0</v>
      </c>
      <c r="AE13" s="365">
        <f>VLOOKUP($E13,'7. PGE_Efficacité'!$A$6:$BT$266,(MATCH('4.3 ACE EFF CAN'!AE$4,'7. PGE_Efficacité'!$A$4:$BU$4,0)+31),0)</f>
        <v>0</v>
      </c>
      <c r="AF13" s="365">
        <f>VLOOKUP($E13,'7. PGE_Efficacité'!$A$6:$BT$266,(MATCH('4.3 ACE EFF CAN'!AF$4,'7. PGE_Efficacité'!$A$4:$BU$4,0)+31),0)</f>
        <v>0</v>
      </c>
      <c r="AG13" s="365" t="str">
        <f>VLOOKUP($E13,'7. PGE_Efficacité'!$A$6:$BT$266,(MATCH('4.3 ACE EFF CAN'!AG$4,'7. PGE_Efficacité'!$A$4:$BU$4,0)+31),0)</f>
        <v>+++</v>
      </c>
      <c r="AH13" s="365" t="str">
        <f>VLOOKUP($E13,'7. PGE_Efficacité'!$A$6:$BT$266,(MATCH('4.3 ACE EFF CAN'!AH$4,'7. PGE_Efficacité'!$A$4:$BU$4,0)+31),0)</f>
        <v>+++</v>
      </c>
      <c r="AI13" s="365" t="str">
        <f>VLOOKUP($E13,'7. PGE_Efficacité'!$A$6:$BT$266,(MATCH('4.3 ACE EFF CAN'!AI$4,'7. PGE_Efficacité'!$A$4:$BU$4,0)+31),0)</f>
        <v>+++</v>
      </c>
      <c r="AJ13" s="365">
        <f>VLOOKUP($E13,'7. PGE_Efficacité'!$A$6:$BT$266,(MATCH('4.3 ACE EFF CAN'!AJ$4,'7. PGE_Efficacité'!$A$4:$BU$4,0)+31),0)</f>
        <v>0</v>
      </c>
      <c r="AK13" s="365">
        <f>VLOOKUP($E13,'7. PGE_Efficacité'!$A$6:$BT$266,(MATCH('4.3 ACE EFF CAN'!AK$4,'7. PGE_Efficacité'!$A$4:$BU$4,0)+31),0)</f>
        <v>0</v>
      </c>
      <c r="AL13" s="365">
        <f>VLOOKUP($E13,'7. PGE_Efficacité'!$A$6:$BT$266,(MATCH('4.3 ACE EFF CAN'!AL$4,'7. PGE_Efficacité'!$A$4:$BU$4,0)+31),0)</f>
        <v>0</v>
      </c>
      <c r="AM13" s="365">
        <f>VLOOKUP($E13,'7. PGE_Efficacité'!$A$6:$BT$266,(MATCH('4.3 ACE EFF CAN'!AM$4,'7. PGE_Efficacité'!$A$4:$BU$4,0)+31),0)</f>
        <v>0</v>
      </c>
      <c r="AN13" s="365">
        <f>VLOOKUP($E13,'7. PGE_Efficacité'!$A$6:$BT$266,(MATCH('4.3 ACE EFF CAN'!AN$4,'7. PGE_Efficacité'!$A$4:$BU$4,0)+31),0)</f>
        <v>0</v>
      </c>
    </row>
    <row r="14" spans="1:40" outlineLevel="1" x14ac:dyDescent="0.25">
      <c r="A14" s="154"/>
      <c r="B14" s="154"/>
      <c r="C14" s="154"/>
      <c r="D14" s="360" t="s">
        <v>2</v>
      </c>
      <c r="E14" s="360"/>
      <c r="F14" s="361" t="str">
        <f>VLOOKUP(D14,'1. Mesures'!$A$2:$B$116,2,0)</f>
        <v>Supprimer les obstacles à la libre circulation des poissons</v>
      </c>
      <c r="G14" s="360"/>
      <c r="H14" s="360"/>
      <c r="I14" s="362">
        <f>SUBTOTAL(9,I15:I15)</f>
        <v>0</v>
      </c>
      <c r="J14" s="366">
        <f>VLOOKUP($D14,'7. PGE_Efficacité'!$A$6:$BT$266,(MATCH('4.3 ACE EFF CAN'!J$4,'7. PGE_Efficacité'!$A$4:$AO$4,0)+31),0)</f>
        <v>0</v>
      </c>
      <c r="K14" s="366">
        <f>VLOOKUP($D14,'7. PGE_Efficacité'!$A$6:$BT$266,(MATCH('4.3 ACE EFF CAN'!K$4,'7. PGE_Efficacité'!$A$4:$AO$4,0)+31),0)</f>
        <v>0</v>
      </c>
      <c r="L14" s="366">
        <f>VLOOKUP($D14,'7. PGE_Efficacité'!$A$6:$BT$266,(MATCH('4.3 ACE EFF CAN'!L$4,'7. PGE_Efficacité'!$A$4:$AO$4,0)+31),0)</f>
        <v>0</v>
      </c>
      <c r="M14" s="366">
        <f>VLOOKUP($D14,'7. PGE_Efficacité'!$A$6:$BT$266,(MATCH('4.3 ACE EFF CAN'!M$4,'7. PGE_Efficacité'!$A$4:$AO$4,0)+31),0)</f>
        <v>0</v>
      </c>
      <c r="N14" s="366">
        <f>VLOOKUP($D14,'7. PGE_Efficacité'!$A$6:$BT$266,(MATCH('4.3 ACE EFF CAN'!N$4,'7. PGE_Efficacité'!$A$4:$AO$4,0)+31),0)</f>
        <v>0</v>
      </c>
      <c r="O14" s="366">
        <f>VLOOKUP($D14,'7. PGE_Efficacité'!$A$6:$BT$266,47,0)</f>
        <v>0</v>
      </c>
      <c r="P14" s="366">
        <f>VLOOKUP($D14,'7. PGE_Efficacité'!$A$6:$BT$266,(MATCH('4.3 ACE EFF CAN'!P$4,'7. PGE_Efficacité'!$A$4:$AO$4,0)+31),0)</f>
        <v>0</v>
      </c>
      <c r="Q14" s="366">
        <f>VLOOKUP($D14,'7. PGE_Efficacité'!$A$6:$BT$266,(MATCH('4.3 ACE EFF CAN'!Q$4,'7. PGE_Efficacité'!$A$4:$AO$4,0)+31),0)</f>
        <v>0</v>
      </c>
      <c r="R14" s="366">
        <f>VLOOKUP($D14,'7. PGE_Efficacité'!$A$6:$BT$266,(MATCH('4.3 ACE EFF CAN'!R$4,'7. PGE_Efficacité'!$A$4:$AO$4,0)+31),0)</f>
        <v>0</v>
      </c>
      <c r="S14" s="366">
        <f>VLOOKUP($D14,'7. PGE_Efficacité'!$A$6:$BT$266,(MATCH('4.3 ACE EFF CAN'!S$4,'7. PGE_Efficacité'!$A$4:$AO$4,0)+31),0)</f>
        <v>0</v>
      </c>
      <c r="T14" s="366">
        <f>VLOOKUP($D14,'7. PGE_Efficacité'!$A$6:$BT$266,(MATCH('4.3 ACE EFF CAN'!T$4,'7. PGE_Efficacité'!$A$4:$AO$4,0)+31),0)</f>
        <v>0</v>
      </c>
      <c r="U14" s="366">
        <f>VLOOKUP($D14,'7. PGE_Efficacité'!$A$6:$BT$266,(MATCH('4.3 ACE EFF CAN'!U$4,'7. PGE_Efficacité'!$A$4:$AO$4,0)+31),0)</f>
        <v>0</v>
      </c>
      <c r="V14" s="366">
        <f>VLOOKUP($D14,'7. PGE_Efficacité'!$A$6:$BT$266,(MATCH('4.3 ACE EFF CAN'!V$4,'7. PGE_Efficacité'!$A$4:$AO$4,0)+31),0)</f>
        <v>0</v>
      </c>
      <c r="W14" s="366">
        <f>VLOOKUP($D14,'7. PGE_Efficacité'!$A$6:$BT$266,(MATCH('4.3 ACE EFF CAN'!W$4,'7. PGE_Efficacité'!$A$4:$AO$4,0)+31),0)</f>
        <v>0</v>
      </c>
      <c r="X14" s="366">
        <f>VLOOKUP($D14,'7. PGE_Efficacité'!$A$6:$BT$266,(MATCH('4.3 ACE EFF CAN'!X$4,'7. PGE_Efficacité'!$A$4:$AO$4,0)+31),0)</f>
        <v>0</v>
      </c>
      <c r="Y14" s="366">
        <f>VLOOKUP($D14,'7. PGE_Efficacité'!$A$6:$BT$266,(MATCH('4.3 ACE EFF CAN'!Y$4,'7. PGE_Efficacité'!$A$4:$AO$4,0)+31),0)</f>
        <v>0</v>
      </c>
      <c r="Z14" s="366">
        <f>VLOOKUP($D14,'7. PGE_Efficacité'!$A$6:$BT$266,(MATCH('4.3 ACE EFF CAN'!Z$4,'7. PGE_Efficacité'!$A$4:$AO$4,0)+31),0)</f>
        <v>0</v>
      </c>
      <c r="AA14" s="366">
        <f>VLOOKUP($D14,'7. PGE_Efficacité'!$A$6:$BT$266,(MATCH('4.3 ACE EFF CAN'!AA$4,'7. PGE_Efficacité'!$A$4:$AO$4,0)+31),0)</f>
        <v>0</v>
      </c>
      <c r="AB14" s="366">
        <f>VLOOKUP($D14,'7. PGE_Efficacité'!$A$6:$BT$266,(MATCH('4.3 ACE EFF CAN'!AB$4,'7. PGE_Efficacité'!$A$4:$AO$4,0)+31),0)</f>
        <v>0</v>
      </c>
      <c r="AC14" s="366">
        <f>VLOOKUP($D14,'7. PGE_Efficacité'!$A$6:$BT$266,(MATCH('4.3 ACE EFF CAN'!AC$4,'7. PGE_Efficacité'!$A$4:$AO$4,0)+31),0)</f>
        <v>0</v>
      </c>
      <c r="AD14" s="366">
        <f>VLOOKUP($D14,'7. PGE_Efficacité'!$A$6:$BT$266,(MATCH('4.3 ACE EFF CAN'!AD$4,'7. PGE_Efficacité'!$A$4:$AO$4,0)+31),0)</f>
        <v>0</v>
      </c>
      <c r="AE14" s="366">
        <f>VLOOKUP($D14,'7. PGE_Efficacité'!$A$6:$BT$266,(MATCH('4.3 ACE EFF CAN'!AE$4,'7. PGE_Efficacité'!$A$4:$AO$4,0)+31),0)</f>
        <v>0</v>
      </c>
      <c r="AF14" s="366">
        <f>VLOOKUP($D14,'7. PGE_Efficacité'!$A$6:$BT$266,(MATCH('4.3 ACE EFF CAN'!AF$4,'7. PGE_Efficacité'!$A$4:$AO$4,0)+31),0)</f>
        <v>0</v>
      </c>
      <c r="AG14" s="366">
        <f>VLOOKUP($D14,'7. PGE_Efficacité'!$A$6:$BT$266,(MATCH('4.3 ACE EFF CAN'!AG$4,'7. PGE_Efficacité'!$A$4:$AO$4,0)+31),0)</f>
        <v>0</v>
      </c>
      <c r="AH14" s="366">
        <f>VLOOKUP($D14,'7. PGE_Efficacité'!$A$6:$BT$266,(MATCH('4.3 ACE EFF CAN'!AH$4,'7. PGE_Efficacité'!$A$4:$AO$4,0)+31),0)</f>
        <v>0</v>
      </c>
      <c r="AI14" s="366">
        <f>VLOOKUP($D14,'7. PGE_Efficacité'!$A$6:$BT$266,(MATCH('4.3 ACE EFF CAN'!AI$4,'7. PGE_Efficacité'!$A$4:$AO$4,0)+31),0)</f>
        <v>0</v>
      </c>
      <c r="AJ14" s="366">
        <f>VLOOKUP($D14,'7. PGE_Efficacité'!$A$6:$BT$266,(MATCH('4.3 ACE EFF CAN'!AJ$4,'7. PGE_Efficacité'!$A$4:$AO$4,0)+31),0)</f>
        <v>0</v>
      </c>
      <c r="AK14" s="366">
        <f>VLOOKUP($D14,'7. PGE_Efficacité'!$A$6:$BT$266,(MATCH('4.3 ACE EFF CAN'!AK$4,'7. PGE_Efficacité'!$A$4:$AO$4,0)+31),0)</f>
        <v>0</v>
      </c>
      <c r="AL14" s="366">
        <f>VLOOKUP($D14,'7. PGE_Efficacité'!$A$6:$BT$266,(MATCH('4.3 ACE EFF CAN'!AL$4,'7. PGE_Efficacité'!$A$4:$AO$4,0)+31),0)</f>
        <v>0</v>
      </c>
      <c r="AM14" s="366">
        <f>VLOOKUP($D14,'7. PGE_Efficacité'!$A$6:$BT$266,(MATCH('4.3 ACE EFF CAN'!AM$4,'7. PGE_Efficacité'!$A$4:$AO$4,0)+31),0)</f>
        <v>0</v>
      </c>
      <c r="AN14" s="366">
        <f>VLOOKUP($D14,'7. PGE_Efficacité'!$A$6:$BT$266,(MATCH('4.3 ACE EFF CAN'!AN$4,'7. PGE_Efficacité'!$A$4:$AO$4,0)+31),0)</f>
        <v>0</v>
      </c>
    </row>
    <row r="15" spans="1:40" outlineLevel="2" x14ac:dyDescent="0.25">
      <c r="A15" s="154" t="s">
        <v>1524</v>
      </c>
      <c r="B15" s="154">
        <v>3</v>
      </c>
      <c r="C15" s="154" t="s">
        <v>1532</v>
      </c>
      <c r="D15" s="330" t="s">
        <v>2</v>
      </c>
      <c r="E15" s="330" t="s">
        <v>783</v>
      </c>
      <c r="F15" s="330" t="s">
        <v>1421</v>
      </c>
      <c r="G15" s="330" t="s">
        <v>1520</v>
      </c>
      <c r="H15" s="330" t="s">
        <v>414</v>
      </c>
      <c r="I15" s="364">
        <v>0</v>
      </c>
      <c r="J15" s="365">
        <f>VLOOKUP($E15,'7. PGE_Efficacité'!$A$6:$BT$266,(MATCH('4.3 ACE EFF CAN'!J$4,'7. PGE_Efficacité'!$A$4:$BU$4,0)+31),0)</f>
        <v>0</v>
      </c>
      <c r="K15" s="365">
        <f>VLOOKUP($E15,'7. PGE_Efficacité'!$A$6:$BT$266,(MATCH('4.3 ACE EFF CAN'!K$4,'7. PGE_Efficacité'!$A$4:$BU$4,0)+31),0)</f>
        <v>0</v>
      </c>
      <c r="L15" s="365">
        <f>VLOOKUP($E15,'7. PGE_Efficacité'!$A$6:$BT$266,(MATCH('4.3 ACE EFF CAN'!L$4,'7. PGE_Efficacité'!$A$4:$BU$4,0)+31),0)</f>
        <v>0</v>
      </c>
      <c r="M15" s="365">
        <f>VLOOKUP($E15,'7. PGE_Efficacité'!$A$6:$BT$266,(MATCH('4.3 ACE EFF CAN'!M$4,'7. PGE_Efficacité'!$A$4:$BU$4,0)+31),0)</f>
        <v>0</v>
      </c>
      <c r="N15" s="365">
        <f>VLOOKUP($E15,'7. PGE_Efficacité'!$A$6:$BT$266,(MATCH('4.3 ACE EFF CAN'!N$4,'7. PGE_Efficacité'!$A$4:$BU$4,0)+31),0)</f>
        <v>0</v>
      </c>
      <c r="O15" s="365">
        <f>VLOOKUP($E15,'7. PGE_Efficacité'!$A$6:$BT$266,(MATCH('4.3 ACE EFF CAN'!O$4,'7. PGE_Efficacité'!$A$4:$BU$4,0)+31),0)</f>
        <v>0</v>
      </c>
      <c r="P15" s="365">
        <f>VLOOKUP($E15,'7. PGE_Efficacité'!$A$6:$BT$266,(MATCH('4.3 ACE EFF CAN'!P$4,'7. PGE_Efficacité'!$A$4:$BU$4,0)+31),0)</f>
        <v>0</v>
      </c>
      <c r="Q15" s="365">
        <f>VLOOKUP($E15,'7. PGE_Efficacité'!$A$6:$BT$266,(MATCH('4.3 ACE EFF CAN'!Q$4,'7. PGE_Efficacité'!$A$4:$BU$4,0)+31),0)</f>
        <v>0</v>
      </c>
      <c r="R15" s="365">
        <f>VLOOKUP($E15,'7. PGE_Efficacité'!$A$6:$BT$266,(MATCH('4.3 ACE EFF CAN'!R$4,'7. PGE_Efficacité'!$A$4:$BU$4,0)+31),0)</f>
        <v>0</v>
      </c>
      <c r="S15" s="365">
        <f>VLOOKUP($E15,'7. PGE_Efficacité'!$A$6:$BT$266,(MATCH('4.3 ACE EFF CAN'!S$4,'7. PGE_Efficacité'!$A$4:$BU$4,0)+31),0)</f>
        <v>0</v>
      </c>
      <c r="T15" s="365">
        <f>VLOOKUP($E15,'7. PGE_Efficacité'!$A$6:$BT$266,(MATCH('4.3 ACE EFF CAN'!T$4,'7. PGE_Efficacité'!$A$4:$BU$4,0)+31),0)</f>
        <v>0</v>
      </c>
      <c r="U15" s="365">
        <f>VLOOKUP($E15,'7. PGE_Efficacité'!$A$6:$BT$266,(MATCH('4.3 ACE EFF CAN'!U$4,'7. PGE_Efficacité'!$A$4:$BU$4,0)+31),0)</f>
        <v>0</v>
      </c>
      <c r="V15" s="365">
        <f>VLOOKUP($E15,'7. PGE_Efficacité'!$A$6:$BT$266,(MATCH('4.3 ACE EFF CAN'!V$4,'7. PGE_Efficacité'!$A$4:$BU$4,0)+31),0)</f>
        <v>0</v>
      </c>
      <c r="W15" s="365">
        <f>VLOOKUP($E15,'7. PGE_Efficacité'!$A$6:$BT$266,(MATCH('4.3 ACE EFF CAN'!W$4,'7. PGE_Efficacité'!$A$4:$BU$4,0)+31),0)</f>
        <v>0</v>
      </c>
      <c r="X15" s="365">
        <f>VLOOKUP($E15,'7. PGE_Efficacité'!$A$6:$BT$266,(MATCH('4.3 ACE EFF CAN'!X$4,'7. PGE_Efficacité'!$A$4:$BU$4,0)+31),0)</f>
        <v>0</v>
      </c>
      <c r="Y15" s="366">
        <f>VLOOKUP($E15,'7. PGE_Efficacité'!$A$6:$BT$266,(MATCH('4.3 ACE EFF CAN'!Y$4,'7. PGE_Efficacité'!$A$4:$BU$4,0)+31),0)</f>
        <v>0</v>
      </c>
      <c r="Z15" s="366">
        <f>VLOOKUP($E15,'7. PGE_Efficacité'!$A$6:$BT$266,(MATCH('4.3 ACE EFF CAN'!Z$4,'7. PGE_Efficacité'!$A$4:$BU$4,0)+31),0)</f>
        <v>0</v>
      </c>
      <c r="AA15" s="366">
        <f>VLOOKUP($E15,'7. PGE_Efficacité'!$A$6:$BT$266,(MATCH('4.3 ACE EFF CAN'!AA$4,'7. PGE_Efficacité'!$A$4:$BU$4,0)+31),0)</f>
        <v>0</v>
      </c>
      <c r="AB15" s="366">
        <f>VLOOKUP($E15,'7. PGE_Efficacité'!$A$6:$BT$266,(MATCH('4.3 ACE EFF CAN'!AB$4,'7. PGE_Efficacité'!$A$4:$BU$4,0)+31),0)</f>
        <v>0</v>
      </c>
      <c r="AC15" s="366">
        <f>VLOOKUP($E15,'7. PGE_Efficacité'!$A$6:$BT$266,(MATCH('4.3 ACE EFF CAN'!AC$4,'7. PGE_Efficacité'!$A$4:$BU$4,0)+31),0)</f>
        <v>0</v>
      </c>
      <c r="AD15" s="366">
        <f>VLOOKUP($E15,'7. PGE_Efficacité'!$A$6:$BT$266,(MATCH('4.3 ACE EFF CAN'!AD$4,'7. PGE_Efficacité'!$A$4:$BU$4,0)+31),0)</f>
        <v>0</v>
      </c>
      <c r="AE15" s="366">
        <f>VLOOKUP($E15,'7. PGE_Efficacité'!$A$6:$BT$266,(MATCH('4.3 ACE EFF CAN'!AE$4,'7. PGE_Efficacité'!$A$4:$BU$4,0)+31),0)</f>
        <v>0</v>
      </c>
      <c r="AF15" s="366">
        <f>VLOOKUP($E15,'7. PGE_Efficacité'!$A$6:$BT$266,(MATCH('4.3 ACE EFF CAN'!AF$4,'7. PGE_Efficacité'!$A$4:$BU$4,0)+31),0)</f>
        <v>0</v>
      </c>
      <c r="AG15" s="366" t="str">
        <f>VLOOKUP($E15,'7. PGE_Efficacité'!$A$6:$BT$266,(MATCH('4.3 ACE EFF CAN'!AG$4,'7. PGE_Efficacité'!$A$4:$BU$4,0)+31),0)</f>
        <v>++</v>
      </c>
      <c r="AH15" s="366">
        <f>VLOOKUP($E15,'7. PGE_Efficacité'!$A$6:$BT$266,(MATCH('4.3 ACE EFF CAN'!AH$4,'7. PGE_Efficacité'!$A$4:$BU$4,0)+31),0)</f>
        <v>0</v>
      </c>
      <c r="AI15" s="366">
        <f>VLOOKUP($E15,'7. PGE_Efficacité'!$A$6:$BT$266,(MATCH('4.3 ACE EFF CAN'!AI$4,'7. PGE_Efficacité'!$A$4:$BU$4,0)+31),0)</f>
        <v>0</v>
      </c>
      <c r="AJ15" s="366">
        <f>VLOOKUP($E15,'7. PGE_Efficacité'!$A$6:$BT$266,(MATCH('4.3 ACE EFF CAN'!AJ$4,'7. PGE_Efficacité'!$A$4:$BU$4,0)+31),0)</f>
        <v>0</v>
      </c>
      <c r="AK15" s="366">
        <f>VLOOKUP($E15,'7. PGE_Efficacité'!$A$6:$BT$266,(MATCH('4.3 ACE EFF CAN'!AK$4,'7. PGE_Efficacité'!$A$4:$BU$4,0)+31),0)</f>
        <v>0</v>
      </c>
      <c r="AL15" s="366">
        <f>VLOOKUP($E15,'7. PGE_Efficacité'!$A$6:$BT$266,(MATCH('4.3 ACE EFF CAN'!AL$4,'7. PGE_Efficacité'!$A$4:$BU$4,0)+31),0)</f>
        <v>0</v>
      </c>
      <c r="AM15" s="366">
        <f>VLOOKUP($E15,'7. PGE_Efficacité'!$A$6:$BT$266,(MATCH('4.3 ACE EFF CAN'!AM$4,'7. PGE_Efficacité'!$A$4:$BU$4,0)+31),0)</f>
        <v>0</v>
      </c>
      <c r="AN15" s="366" t="str">
        <f>VLOOKUP($E15,'7. PGE_Efficacité'!$A$6:$BT$266,(MATCH('4.3 ACE EFF CAN'!AN$4,'7. PGE_Efficacité'!$A$4:$BU$4,0)+31),0)</f>
        <v>++</v>
      </c>
    </row>
    <row r="16" spans="1:40" ht="26.25" outlineLevel="1" x14ac:dyDescent="0.25">
      <c r="A16" s="154"/>
      <c r="B16" s="154"/>
      <c r="C16" s="154"/>
      <c r="D16" s="360" t="s">
        <v>3</v>
      </c>
      <c r="E16" s="360"/>
      <c r="F16" s="361" t="str">
        <f>VLOOKUP(D16,'1. Mesures'!$A$2:$B$116,2,0)</f>
        <v>Lutter contre les espèces exotiques envahissantes qui portent atteinte ou présentent un risque pour le bon potentiel écologique des masses d'eau de surface</v>
      </c>
      <c r="G16" s="360"/>
      <c r="H16" s="360"/>
      <c r="I16" s="362">
        <f>SUBTOTAL(9,I17:I30)</f>
        <v>110000</v>
      </c>
      <c r="J16" s="366">
        <f>VLOOKUP($D16,'7. PGE_Efficacité'!$A$6:$BT$266,(MATCH('4.3 ACE EFF CAN'!J$4,'7. PGE_Efficacité'!$A$4:$AO$4,0)+31),0)</f>
        <v>0</v>
      </c>
      <c r="K16" s="366">
        <f>VLOOKUP($D16,'7. PGE_Efficacité'!$A$6:$BT$266,(MATCH('4.3 ACE EFF CAN'!K$4,'7. PGE_Efficacité'!$A$4:$AO$4,0)+31),0)</f>
        <v>0</v>
      </c>
      <c r="L16" s="366">
        <f>VLOOKUP($D16,'7. PGE_Efficacité'!$A$6:$BT$266,(MATCH('4.3 ACE EFF CAN'!L$4,'7. PGE_Efficacité'!$A$4:$AO$4,0)+31),0)</f>
        <v>0</v>
      </c>
      <c r="M16" s="366">
        <f>VLOOKUP($D16,'7. PGE_Efficacité'!$A$6:$BT$266,(MATCH('4.3 ACE EFF CAN'!M$4,'7. PGE_Efficacité'!$A$4:$AO$4,0)+31),0)</f>
        <v>0</v>
      </c>
      <c r="N16" s="366">
        <f>VLOOKUP($D16,'7. PGE_Efficacité'!$A$6:$BT$266,(MATCH('4.3 ACE EFF CAN'!N$4,'7. PGE_Efficacité'!$A$4:$AO$4,0)+31),0)</f>
        <v>0</v>
      </c>
      <c r="O16" s="366">
        <f>VLOOKUP($D16,'7. PGE_Efficacité'!$A$6:$BT$266,47,0)</f>
        <v>0</v>
      </c>
      <c r="P16" s="366">
        <f>VLOOKUP($D16,'7. PGE_Efficacité'!$A$6:$BT$266,(MATCH('4.3 ACE EFF CAN'!P$4,'7. PGE_Efficacité'!$A$4:$AO$4,0)+31),0)</f>
        <v>0</v>
      </c>
      <c r="Q16" s="366">
        <f>VLOOKUP($D16,'7. PGE_Efficacité'!$A$6:$BT$266,(MATCH('4.3 ACE EFF CAN'!Q$4,'7. PGE_Efficacité'!$A$4:$AO$4,0)+31),0)</f>
        <v>0</v>
      </c>
      <c r="R16" s="366">
        <f>VLOOKUP($D16,'7. PGE_Efficacité'!$A$6:$BT$266,(MATCH('4.3 ACE EFF CAN'!R$4,'7. PGE_Efficacité'!$A$4:$AO$4,0)+31),0)</f>
        <v>0</v>
      </c>
      <c r="S16" s="366">
        <f>VLOOKUP($D16,'7. PGE_Efficacité'!$A$6:$BT$266,(MATCH('4.3 ACE EFF CAN'!S$4,'7. PGE_Efficacité'!$A$4:$AO$4,0)+31),0)</f>
        <v>0</v>
      </c>
      <c r="T16" s="366">
        <f>VLOOKUP($D16,'7. PGE_Efficacité'!$A$6:$BT$266,(MATCH('4.3 ACE EFF CAN'!T$4,'7. PGE_Efficacité'!$A$4:$AO$4,0)+31),0)</f>
        <v>0</v>
      </c>
      <c r="U16" s="366">
        <f>VLOOKUP($D16,'7. PGE_Efficacité'!$A$6:$BT$266,(MATCH('4.3 ACE EFF CAN'!U$4,'7. PGE_Efficacité'!$A$4:$AO$4,0)+31),0)</f>
        <v>0</v>
      </c>
      <c r="V16" s="366">
        <f>VLOOKUP($D16,'7. PGE_Efficacité'!$A$6:$BT$266,(MATCH('4.3 ACE EFF CAN'!V$4,'7. PGE_Efficacité'!$A$4:$AO$4,0)+31),0)</f>
        <v>0</v>
      </c>
      <c r="W16" s="366">
        <f>VLOOKUP($D16,'7. PGE_Efficacité'!$A$6:$BT$266,(MATCH('4.3 ACE EFF CAN'!W$4,'7. PGE_Efficacité'!$A$4:$AO$4,0)+31),0)</f>
        <v>0</v>
      </c>
      <c r="X16" s="366">
        <f>VLOOKUP($D16,'7. PGE_Efficacité'!$A$6:$BT$266,(MATCH('4.3 ACE EFF CAN'!X$4,'7. PGE_Efficacité'!$A$4:$AO$4,0)+31),0)</f>
        <v>0</v>
      </c>
      <c r="Y16" s="366">
        <f>VLOOKUP($D16,'7. PGE_Efficacité'!$A$6:$BT$266,(MATCH('4.3 ACE EFF CAN'!Y$4,'7. PGE_Efficacité'!$A$4:$AO$4,0)+31),0)</f>
        <v>0</v>
      </c>
      <c r="Z16" s="366">
        <f>VLOOKUP($D16,'7. PGE_Efficacité'!$A$6:$BT$266,(MATCH('4.3 ACE EFF CAN'!Z$4,'7. PGE_Efficacité'!$A$4:$AO$4,0)+31),0)</f>
        <v>0</v>
      </c>
      <c r="AA16" s="366">
        <f>VLOOKUP($D16,'7. PGE_Efficacité'!$A$6:$BT$266,(MATCH('4.3 ACE EFF CAN'!AA$4,'7. PGE_Efficacité'!$A$4:$AO$4,0)+31),0)</f>
        <v>0</v>
      </c>
      <c r="AB16" s="366">
        <f>VLOOKUP($D16,'7. PGE_Efficacité'!$A$6:$BT$266,(MATCH('4.3 ACE EFF CAN'!AB$4,'7. PGE_Efficacité'!$A$4:$AO$4,0)+31),0)</f>
        <v>0</v>
      </c>
      <c r="AC16" s="366">
        <f>VLOOKUP($D16,'7. PGE_Efficacité'!$A$6:$BT$266,(MATCH('4.3 ACE EFF CAN'!AC$4,'7. PGE_Efficacité'!$A$4:$AO$4,0)+31),0)</f>
        <v>0</v>
      </c>
      <c r="AD16" s="366">
        <f>VLOOKUP($D16,'7. PGE_Efficacité'!$A$6:$BT$266,(MATCH('4.3 ACE EFF CAN'!AD$4,'7. PGE_Efficacité'!$A$4:$AO$4,0)+31),0)</f>
        <v>0</v>
      </c>
      <c r="AE16" s="366">
        <f>VLOOKUP($D16,'7. PGE_Efficacité'!$A$6:$BT$266,(MATCH('4.3 ACE EFF CAN'!AE$4,'7. PGE_Efficacité'!$A$4:$AO$4,0)+31),0)</f>
        <v>0</v>
      </c>
      <c r="AF16" s="366">
        <f>VLOOKUP($D16,'7. PGE_Efficacité'!$A$6:$BT$266,(MATCH('4.3 ACE EFF CAN'!AF$4,'7. PGE_Efficacité'!$A$4:$AO$4,0)+31),0)</f>
        <v>0</v>
      </c>
      <c r="AG16" s="366">
        <f>VLOOKUP($D16,'7. PGE_Efficacité'!$A$6:$BT$266,(MATCH('4.3 ACE EFF CAN'!AG$4,'7. PGE_Efficacité'!$A$4:$AO$4,0)+31),0)</f>
        <v>0</v>
      </c>
      <c r="AH16" s="366">
        <f>VLOOKUP($D16,'7. PGE_Efficacité'!$A$6:$BT$266,(MATCH('4.3 ACE EFF CAN'!AH$4,'7. PGE_Efficacité'!$A$4:$AO$4,0)+31),0)</f>
        <v>0</v>
      </c>
      <c r="AI16" s="366">
        <f>VLOOKUP($D16,'7. PGE_Efficacité'!$A$6:$BT$266,(MATCH('4.3 ACE EFF CAN'!AI$4,'7. PGE_Efficacité'!$A$4:$AO$4,0)+31),0)</f>
        <v>0</v>
      </c>
      <c r="AJ16" s="366">
        <f>VLOOKUP($D16,'7. PGE_Efficacité'!$A$6:$BT$266,(MATCH('4.3 ACE EFF CAN'!AJ$4,'7. PGE_Efficacité'!$A$4:$AO$4,0)+31),0)</f>
        <v>0</v>
      </c>
      <c r="AK16" s="366">
        <f>VLOOKUP($D16,'7. PGE_Efficacité'!$A$6:$BT$266,(MATCH('4.3 ACE EFF CAN'!AK$4,'7. PGE_Efficacité'!$A$4:$AO$4,0)+31),0)</f>
        <v>0</v>
      </c>
      <c r="AL16" s="366">
        <f>VLOOKUP($D16,'7. PGE_Efficacité'!$A$6:$BT$266,(MATCH('4.3 ACE EFF CAN'!AL$4,'7. PGE_Efficacité'!$A$4:$AO$4,0)+31),0)</f>
        <v>0</v>
      </c>
      <c r="AM16" s="366">
        <f>VLOOKUP($D16,'7. PGE_Efficacité'!$A$6:$BT$266,(MATCH('4.3 ACE EFF CAN'!AM$4,'7. PGE_Efficacité'!$A$4:$AO$4,0)+31),0)</f>
        <v>0</v>
      </c>
      <c r="AN16" s="366">
        <f>VLOOKUP($D16,'7. PGE_Efficacité'!$A$6:$BT$266,(MATCH('4.3 ACE EFF CAN'!AN$4,'7. PGE_Efficacité'!$A$4:$AO$4,0)+31),0)</f>
        <v>0</v>
      </c>
    </row>
    <row r="17" spans="1:40" outlineLevel="2" x14ac:dyDescent="0.25">
      <c r="A17" s="154" t="s">
        <v>1524</v>
      </c>
      <c r="B17" s="154">
        <v>4</v>
      </c>
      <c r="C17" s="154" t="s">
        <v>1524</v>
      </c>
      <c r="D17" s="330" t="s">
        <v>3</v>
      </c>
      <c r="E17" s="330" t="s">
        <v>784</v>
      </c>
      <c r="F17" s="330" t="s">
        <v>1422</v>
      </c>
      <c r="G17" s="330" t="s">
        <v>1520</v>
      </c>
      <c r="H17" s="330" t="s">
        <v>1290</v>
      </c>
      <c r="I17" s="364">
        <v>0</v>
      </c>
      <c r="J17" s="365">
        <f>VLOOKUP($E17,'7. PGE_Efficacité'!$A$6:$BT$266,(MATCH('4.3 ACE EFF CAN'!J$4,'7. PGE_Efficacité'!$A$4:$BU$4,0)+31),0)</f>
        <v>0</v>
      </c>
      <c r="K17" s="365">
        <f>VLOOKUP($E17,'7. PGE_Efficacité'!$A$6:$BT$266,(MATCH('4.3 ACE EFF CAN'!K$4,'7. PGE_Efficacité'!$A$4:$BU$4,0)+31),0)</f>
        <v>0</v>
      </c>
      <c r="L17" s="365">
        <f>VLOOKUP($E17,'7. PGE_Efficacité'!$A$6:$BT$266,(MATCH('4.3 ACE EFF CAN'!L$4,'7. PGE_Efficacité'!$A$4:$BU$4,0)+31),0)</f>
        <v>0</v>
      </c>
      <c r="M17" s="365">
        <f>VLOOKUP($E17,'7. PGE_Efficacité'!$A$6:$BT$266,(MATCH('4.3 ACE EFF CAN'!M$4,'7. PGE_Efficacité'!$A$4:$BU$4,0)+31),0)</f>
        <v>0</v>
      </c>
      <c r="N17" s="365">
        <f>VLOOKUP($E17,'7. PGE_Efficacité'!$A$6:$BT$266,(MATCH('4.3 ACE EFF CAN'!N$4,'7. PGE_Efficacité'!$A$4:$BU$4,0)+31),0)</f>
        <v>0</v>
      </c>
      <c r="O17" s="365">
        <f>VLOOKUP($E17,'7. PGE_Efficacité'!$A$6:$BT$266,(MATCH('4.3 ACE EFF CAN'!O$4,'7. PGE_Efficacité'!$A$4:$BU$4,0)+31),0)</f>
        <v>0</v>
      </c>
      <c r="P17" s="365">
        <f>VLOOKUP($E17,'7. PGE_Efficacité'!$A$6:$BT$266,(MATCH('4.3 ACE EFF CAN'!P$4,'7. PGE_Efficacité'!$A$4:$BU$4,0)+31),0)</f>
        <v>0</v>
      </c>
      <c r="Q17" s="365">
        <f>VLOOKUP($E17,'7. PGE_Efficacité'!$A$6:$BT$266,(MATCH('4.3 ACE EFF CAN'!Q$4,'7. PGE_Efficacité'!$A$4:$BU$4,0)+31),0)</f>
        <v>0</v>
      </c>
      <c r="R17" s="365">
        <f>VLOOKUP($E17,'7. PGE_Efficacité'!$A$6:$BT$266,(MATCH('4.3 ACE EFF CAN'!R$4,'7. PGE_Efficacité'!$A$4:$BU$4,0)+31),0)</f>
        <v>0</v>
      </c>
      <c r="S17" s="365">
        <f>VLOOKUP($E17,'7. PGE_Efficacité'!$A$6:$BT$266,(MATCH('4.3 ACE EFF CAN'!S$4,'7. PGE_Efficacité'!$A$4:$BU$4,0)+31),0)</f>
        <v>0</v>
      </c>
      <c r="T17" s="365">
        <f>VLOOKUP($E17,'7. PGE_Efficacité'!$A$6:$BT$266,(MATCH('4.3 ACE EFF CAN'!T$4,'7. PGE_Efficacité'!$A$4:$BU$4,0)+31),0)</f>
        <v>0</v>
      </c>
      <c r="U17" s="365">
        <f>VLOOKUP($E17,'7. PGE_Efficacité'!$A$6:$BT$266,(MATCH('4.3 ACE EFF CAN'!U$4,'7. PGE_Efficacité'!$A$4:$BU$4,0)+31),0)</f>
        <v>0</v>
      </c>
      <c r="V17" s="365">
        <f>VLOOKUP($E17,'7. PGE_Efficacité'!$A$6:$BT$266,(MATCH('4.3 ACE EFF CAN'!V$4,'7. PGE_Efficacité'!$A$4:$BU$4,0)+31),0)</f>
        <v>0</v>
      </c>
      <c r="W17" s="365">
        <f>VLOOKUP($E17,'7. PGE_Efficacité'!$A$6:$BT$266,(MATCH('4.3 ACE EFF CAN'!W$4,'7. PGE_Efficacité'!$A$4:$BU$4,0)+31),0)</f>
        <v>0</v>
      </c>
      <c r="X17" s="365">
        <f>VLOOKUP($E17,'7. PGE_Efficacité'!$A$6:$BT$266,(MATCH('4.3 ACE EFF CAN'!X$4,'7. PGE_Efficacité'!$A$4:$BU$4,0)+31),0)</f>
        <v>0</v>
      </c>
      <c r="Y17" s="366">
        <f>VLOOKUP($E17,'7. PGE_Efficacité'!$A$6:$BT$266,(MATCH('4.3 ACE EFF CAN'!Y$4,'7. PGE_Efficacité'!$A$4:$BU$4,0)+31),0)</f>
        <v>0</v>
      </c>
      <c r="Z17" s="366">
        <f>VLOOKUP($E17,'7. PGE_Efficacité'!$A$6:$BT$266,(MATCH('4.3 ACE EFF CAN'!Z$4,'7. PGE_Efficacité'!$A$4:$BU$4,0)+31),0)</f>
        <v>0</v>
      </c>
      <c r="AA17" s="366">
        <f>VLOOKUP($E17,'7. PGE_Efficacité'!$A$6:$BT$266,(MATCH('4.3 ACE EFF CAN'!AA$4,'7. PGE_Efficacité'!$A$4:$BU$4,0)+31),0)</f>
        <v>0</v>
      </c>
      <c r="AB17" s="366">
        <f>VLOOKUP($E17,'7. PGE_Efficacité'!$A$6:$BT$266,(MATCH('4.3 ACE EFF CAN'!AB$4,'7. PGE_Efficacité'!$A$4:$BU$4,0)+31),0)</f>
        <v>0</v>
      </c>
      <c r="AC17" s="366">
        <f>VLOOKUP($E17,'7. PGE_Efficacité'!$A$6:$BT$266,(MATCH('4.3 ACE EFF CAN'!AC$4,'7. PGE_Efficacité'!$A$4:$BU$4,0)+31),0)</f>
        <v>0</v>
      </c>
      <c r="AD17" s="366">
        <f>VLOOKUP($E17,'7. PGE_Efficacité'!$A$6:$BT$266,(MATCH('4.3 ACE EFF CAN'!AD$4,'7. PGE_Efficacité'!$A$4:$BU$4,0)+31),0)</f>
        <v>0</v>
      </c>
      <c r="AE17" s="366">
        <f>VLOOKUP($E17,'7. PGE_Efficacité'!$A$6:$BT$266,(MATCH('4.3 ACE EFF CAN'!AE$4,'7. PGE_Efficacité'!$A$4:$BU$4,0)+31),0)</f>
        <v>0</v>
      </c>
      <c r="AF17" s="366">
        <f>VLOOKUP($E17,'7. PGE_Efficacité'!$A$6:$BT$266,(MATCH('4.3 ACE EFF CAN'!AF$4,'7. PGE_Efficacité'!$A$4:$BU$4,0)+31),0)</f>
        <v>0</v>
      </c>
      <c r="AG17" s="366">
        <f>VLOOKUP($E17,'7. PGE_Efficacité'!$A$6:$BT$266,(MATCH('4.3 ACE EFF CAN'!AG$4,'7. PGE_Efficacité'!$A$4:$BU$4,0)+31),0)</f>
        <v>0</v>
      </c>
      <c r="AH17" s="366">
        <f>VLOOKUP($E17,'7. PGE_Efficacité'!$A$6:$BT$266,(MATCH('4.3 ACE EFF CAN'!AH$4,'7. PGE_Efficacité'!$A$4:$BU$4,0)+31),0)</f>
        <v>0</v>
      </c>
      <c r="AI17" s="366">
        <f>VLOOKUP($E17,'7. PGE_Efficacité'!$A$6:$BT$266,(MATCH('4.3 ACE EFF CAN'!AI$4,'7. PGE_Efficacité'!$A$4:$BU$4,0)+31),0)</f>
        <v>0</v>
      </c>
      <c r="AJ17" s="366">
        <f>VLOOKUP($E17,'7. PGE_Efficacité'!$A$6:$BT$266,(MATCH('4.3 ACE EFF CAN'!AJ$4,'7. PGE_Efficacité'!$A$4:$BU$4,0)+31),0)</f>
        <v>0</v>
      </c>
      <c r="AK17" s="366">
        <f>VLOOKUP($E17,'7. PGE_Efficacité'!$A$6:$BT$266,(MATCH('4.3 ACE EFF CAN'!AK$4,'7. PGE_Efficacité'!$A$4:$BU$4,0)+31),0)</f>
        <v>0</v>
      </c>
      <c r="AL17" s="366">
        <f>VLOOKUP($E17,'7. PGE_Efficacité'!$A$6:$BT$266,(MATCH('4.3 ACE EFF CAN'!AL$4,'7. PGE_Efficacité'!$A$4:$BU$4,0)+31),0)</f>
        <v>0</v>
      </c>
      <c r="AM17" s="366">
        <f>VLOOKUP($E17,'7. PGE_Efficacité'!$A$6:$BT$266,(MATCH('4.3 ACE EFF CAN'!AM$4,'7. PGE_Efficacité'!$A$4:$BU$4,0)+31),0)</f>
        <v>0</v>
      </c>
      <c r="AN17" s="366">
        <f>VLOOKUP($E17,'7. PGE_Efficacité'!$A$6:$BT$266,(MATCH('4.3 ACE EFF CAN'!AN$4,'7. PGE_Efficacité'!$A$4:$BU$4,0)+31),0)</f>
        <v>0</v>
      </c>
    </row>
    <row r="18" spans="1:40" outlineLevel="2" x14ac:dyDescent="0.25">
      <c r="A18" s="154" t="s">
        <v>1524</v>
      </c>
      <c r="B18" s="154">
        <v>4</v>
      </c>
      <c r="C18" s="154" t="s">
        <v>1525</v>
      </c>
      <c r="D18" s="330" t="s">
        <v>3</v>
      </c>
      <c r="E18" s="330" t="s">
        <v>789</v>
      </c>
      <c r="F18" s="330" t="s">
        <v>1427</v>
      </c>
      <c r="G18" s="330" t="s">
        <v>1520</v>
      </c>
      <c r="H18" s="330" t="s">
        <v>1290</v>
      </c>
      <c r="I18" s="364">
        <v>0</v>
      </c>
      <c r="J18" s="365">
        <f>VLOOKUP($E18,'7. PGE_Efficacité'!$A$6:$BT$266,(MATCH('4.3 ACE EFF CAN'!J$4,'7. PGE_Efficacité'!$A$4:$BU$4,0)+31),0)</f>
        <v>0</v>
      </c>
      <c r="K18" s="365">
        <f>VLOOKUP($E18,'7. PGE_Efficacité'!$A$6:$BT$266,(MATCH('4.3 ACE EFF CAN'!K$4,'7. PGE_Efficacité'!$A$4:$BU$4,0)+31),0)</f>
        <v>0</v>
      </c>
      <c r="L18" s="365">
        <f>VLOOKUP($E18,'7. PGE_Efficacité'!$A$6:$BT$266,(MATCH('4.3 ACE EFF CAN'!L$4,'7. PGE_Efficacité'!$A$4:$BU$4,0)+31),0)</f>
        <v>0</v>
      </c>
      <c r="M18" s="365">
        <f>VLOOKUP($E18,'7. PGE_Efficacité'!$A$6:$BT$266,(MATCH('4.3 ACE EFF CAN'!M$4,'7. PGE_Efficacité'!$A$4:$BU$4,0)+31),0)</f>
        <v>0</v>
      </c>
      <c r="N18" s="365">
        <f>VLOOKUP($E18,'7. PGE_Efficacité'!$A$6:$BT$266,(MATCH('4.3 ACE EFF CAN'!N$4,'7. PGE_Efficacité'!$A$4:$BU$4,0)+31),0)</f>
        <v>0</v>
      </c>
      <c r="O18" s="365">
        <f>VLOOKUP($E18,'7. PGE_Efficacité'!$A$6:$BT$266,(MATCH('4.3 ACE EFF CAN'!O$4,'7. PGE_Efficacité'!$A$4:$BU$4,0)+31),0)</f>
        <v>0</v>
      </c>
      <c r="P18" s="365">
        <f>VLOOKUP($E18,'7. PGE_Efficacité'!$A$6:$BT$266,(MATCH('4.3 ACE EFF CAN'!P$4,'7. PGE_Efficacité'!$A$4:$BU$4,0)+31),0)</f>
        <v>0</v>
      </c>
      <c r="Q18" s="365">
        <f>VLOOKUP($E18,'7. PGE_Efficacité'!$A$6:$BT$266,(MATCH('4.3 ACE EFF CAN'!Q$4,'7. PGE_Efficacité'!$A$4:$BU$4,0)+31),0)</f>
        <v>0</v>
      </c>
      <c r="R18" s="365">
        <f>VLOOKUP($E18,'7. PGE_Efficacité'!$A$6:$BT$266,(MATCH('4.3 ACE EFF CAN'!R$4,'7. PGE_Efficacité'!$A$4:$BU$4,0)+31),0)</f>
        <v>0</v>
      </c>
      <c r="S18" s="365">
        <f>VLOOKUP($E18,'7. PGE_Efficacité'!$A$6:$BT$266,(MATCH('4.3 ACE EFF CAN'!S$4,'7. PGE_Efficacité'!$A$4:$BU$4,0)+31),0)</f>
        <v>0</v>
      </c>
      <c r="T18" s="365">
        <f>VLOOKUP($E18,'7. PGE_Efficacité'!$A$6:$BT$266,(MATCH('4.3 ACE EFF CAN'!T$4,'7. PGE_Efficacité'!$A$4:$BU$4,0)+31),0)</f>
        <v>0</v>
      </c>
      <c r="U18" s="365">
        <f>VLOOKUP($E18,'7. PGE_Efficacité'!$A$6:$BT$266,(MATCH('4.3 ACE EFF CAN'!U$4,'7. PGE_Efficacité'!$A$4:$BU$4,0)+31),0)</f>
        <v>0</v>
      </c>
      <c r="V18" s="365">
        <f>VLOOKUP($E18,'7. PGE_Efficacité'!$A$6:$BT$266,(MATCH('4.3 ACE EFF CAN'!V$4,'7. PGE_Efficacité'!$A$4:$BU$4,0)+31),0)</f>
        <v>0</v>
      </c>
      <c r="W18" s="365">
        <f>VLOOKUP($E18,'7. PGE_Efficacité'!$A$6:$BT$266,(MATCH('4.3 ACE EFF CAN'!W$4,'7. PGE_Efficacité'!$A$4:$BU$4,0)+31),0)</f>
        <v>0</v>
      </c>
      <c r="X18" s="365">
        <f>VLOOKUP($E18,'7. PGE_Efficacité'!$A$6:$BT$266,(MATCH('4.3 ACE EFF CAN'!X$4,'7. PGE_Efficacité'!$A$4:$BU$4,0)+31),0)</f>
        <v>0</v>
      </c>
      <c r="Y18" s="366">
        <f>VLOOKUP($E18,'7. PGE_Efficacité'!$A$6:$BT$266,(MATCH('4.3 ACE EFF CAN'!Y$4,'7. PGE_Efficacité'!$A$4:$BU$4,0)+31),0)</f>
        <v>0</v>
      </c>
      <c r="Z18" s="366">
        <f>VLOOKUP($E18,'7. PGE_Efficacité'!$A$6:$BT$266,(MATCH('4.3 ACE EFF CAN'!Z$4,'7. PGE_Efficacité'!$A$4:$BU$4,0)+31),0)</f>
        <v>0</v>
      </c>
      <c r="AA18" s="366">
        <f>VLOOKUP($E18,'7. PGE_Efficacité'!$A$6:$BT$266,(MATCH('4.3 ACE EFF CAN'!AA$4,'7. PGE_Efficacité'!$A$4:$BU$4,0)+31),0)</f>
        <v>0</v>
      </c>
      <c r="AB18" s="366">
        <f>VLOOKUP($E18,'7. PGE_Efficacité'!$A$6:$BT$266,(MATCH('4.3 ACE EFF CAN'!AB$4,'7. PGE_Efficacité'!$A$4:$BU$4,0)+31),0)</f>
        <v>0</v>
      </c>
      <c r="AC18" s="366">
        <f>VLOOKUP($E18,'7. PGE_Efficacité'!$A$6:$BT$266,(MATCH('4.3 ACE EFF CAN'!AC$4,'7. PGE_Efficacité'!$A$4:$BU$4,0)+31),0)</f>
        <v>0</v>
      </c>
      <c r="AD18" s="366">
        <f>VLOOKUP($E18,'7. PGE_Efficacité'!$A$6:$BT$266,(MATCH('4.3 ACE EFF CAN'!AD$4,'7. PGE_Efficacité'!$A$4:$BU$4,0)+31),0)</f>
        <v>0</v>
      </c>
      <c r="AE18" s="366">
        <f>VLOOKUP($E18,'7. PGE_Efficacité'!$A$6:$BT$266,(MATCH('4.3 ACE EFF CAN'!AE$4,'7. PGE_Efficacité'!$A$4:$BU$4,0)+31),0)</f>
        <v>0</v>
      </c>
      <c r="AF18" s="366">
        <f>VLOOKUP($E18,'7. PGE_Efficacité'!$A$6:$BT$266,(MATCH('4.3 ACE EFF CAN'!AF$4,'7. PGE_Efficacité'!$A$4:$BU$4,0)+31),0)</f>
        <v>0</v>
      </c>
      <c r="AG18" s="366">
        <f>VLOOKUP($E18,'7. PGE_Efficacité'!$A$6:$BT$266,(MATCH('4.3 ACE EFF CAN'!AG$4,'7. PGE_Efficacité'!$A$4:$BU$4,0)+31),0)</f>
        <v>0</v>
      </c>
      <c r="AH18" s="366">
        <f>VLOOKUP($E18,'7. PGE_Efficacité'!$A$6:$BT$266,(MATCH('4.3 ACE EFF CAN'!AH$4,'7. PGE_Efficacité'!$A$4:$BU$4,0)+31),0)</f>
        <v>0</v>
      </c>
      <c r="AI18" s="366">
        <f>VLOOKUP($E18,'7. PGE_Efficacité'!$A$6:$BT$266,(MATCH('4.3 ACE EFF CAN'!AI$4,'7. PGE_Efficacité'!$A$4:$BU$4,0)+31),0)</f>
        <v>0</v>
      </c>
      <c r="AJ18" s="366">
        <f>VLOOKUP($E18,'7. PGE_Efficacité'!$A$6:$BT$266,(MATCH('4.3 ACE EFF CAN'!AJ$4,'7. PGE_Efficacité'!$A$4:$BU$4,0)+31),0)</f>
        <v>0</v>
      </c>
      <c r="AK18" s="366">
        <f>VLOOKUP($E18,'7. PGE_Efficacité'!$A$6:$BT$266,(MATCH('4.3 ACE EFF CAN'!AK$4,'7. PGE_Efficacité'!$A$4:$BU$4,0)+31),0)</f>
        <v>0</v>
      </c>
      <c r="AL18" s="366">
        <f>VLOOKUP($E18,'7. PGE_Efficacité'!$A$6:$BT$266,(MATCH('4.3 ACE EFF CAN'!AL$4,'7. PGE_Efficacité'!$A$4:$BU$4,0)+31),0)</f>
        <v>0</v>
      </c>
      <c r="AM18" s="366">
        <f>VLOOKUP($E18,'7. PGE_Efficacité'!$A$6:$BT$266,(MATCH('4.3 ACE EFF CAN'!AM$4,'7. PGE_Efficacité'!$A$4:$BU$4,0)+31),0)</f>
        <v>0</v>
      </c>
      <c r="AN18" s="366">
        <f>VLOOKUP($E18,'7. PGE_Efficacité'!$A$6:$BT$266,(MATCH('4.3 ACE EFF CAN'!AN$4,'7. PGE_Efficacité'!$A$4:$BU$4,0)+31),0)</f>
        <v>0</v>
      </c>
    </row>
    <row r="19" spans="1:40" outlineLevel="2" x14ac:dyDescent="0.25">
      <c r="A19" s="154" t="s">
        <v>1524</v>
      </c>
      <c r="B19" s="154">
        <v>4</v>
      </c>
      <c r="C19" s="154" t="s">
        <v>1526</v>
      </c>
      <c r="D19" s="330" t="s">
        <v>3</v>
      </c>
      <c r="E19" s="330" t="s">
        <v>790</v>
      </c>
      <c r="F19" s="330" t="s">
        <v>1428</v>
      </c>
      <c r="G19" s="330" t="s">
        <v>1520</v>
      </c>
      <c r="H19" s="330" t="s">
        <v>1290</v>
      </c>
      <c r="I19" s="364">
        <v>0</v>
      </c>
      <c r="J19" s="365">
        <f>VLOOKUP($E19,'7. PGE_Efficacité'!$A$6:$BT$266,(MATCH('4.3 ACE EFF CAN'!J$4,'7. PGE_Efficacité'!$A$4:$BU$4,0)+31),0)</f>
        <v>0</v>
      </c>
      <c r="K19" s="365">
        <f>VLOOKUP($E19,'7. PGE_Efficacité'!$A$6:$BT$266,(MATCH('4.3 ACE EFF CAN'!K$4,'7. PGE_Efficacité'!$A$4:$BU$4,0)+31),0)</f>
        <v>0</v>
      </c>
      <c r="L19" s="365">
        <f>VLOOKUP($E19,'7. PGE_Efficacité'!$A$6:$BT$266,(MATCH('4.3 ACE EFF CAN'!L$4,'7. PGE_Efficacité'!$A$4:$BU$4,0)+31),0)</f>
        <v>0</v>
      </c>
      <c r="M19" s="365">
        <f>VLOOKUP($E19,'7. PGE_Efficacité'!$A$6:$BT$266,(MATCH('4.3 ACE EFF CAN'!M$4,'7. PGE_Efficacité'!$A$4:$BU$4,0)+31),0)</f>
        <v>0</v>
      </c>
      <c r="N19" s="365">
        <f>VLOOKUP($E19,'7. PGE_Efficacité'!$A$6:$BT$266,(MATCH('4.3 ACE EFF CAN'!N$4,'7. PGE_Efficacité'!$A$4:$BU$4,0)+31),0)</f>
        <v>0</v>
      </c>
      <c r="O19" s="365">
        <f>VLOOKUP($E19,'7. PGE_Efficacité'!$A$6:$BT$266,(MATCH('4.3 ACE EFF CAN'!O$4,'7. PGE_Efficacité'!$A$4:$BU$4,0)+31),0)</f>
        <v>0</v>
      </c>
      <c r="P19" s="365">
        <f>VLOOKUP($E19,'7. PGE_Efficacité'!$A$6:$BT$266,(MATCH('4.3 ACE EFF CAN'!P$4,'7. PGE_Efficacité'!$A$4:$BU$4,0)+31),0)</f>
        <v>0</v>
      </c>
      <c r="Q19" s="365">
        <f>VLOOKUP($E19,'7. PGE_Efficacité'!$A$6:$BT$266,(MATCH('4.3 ACE EFF CAN'!Q$4,'7. PGE_Efficacité'!$A$4:$BU$4,0)+31),0)</f>
        <v>0</v>
      </c>
      <c r="R19" s="365">
        <f>VLOOKUP($E19,'7. PGE_Efficacité'!$A$6:$BT$266,(MATCH('4.3 ACE EFF CAN'!R$4,'7. PGE_Efficacité'!$A$4:$BU$4,0)+31),0)</f>
        <v>0</v>
      </c>
      <c r="S19" s="365">
        <f>VLOOKUP($E19,'7. PGE_Efficacité'!$A$6:$BT$266,(MATCH('4.3 ACE EFF CAN'!S$4,'7. PGE_Efficacité'!$A$4:$BU$4,0)+31),0)</f>
        <v>0</v>
      </c>
      <c r="T19" s="365">
        <f>VLOOKUP($E19,'7. PGE_Efficacité'!$A$6:$BT$266,(MATCH('4.3 ACE EFF CAN'!T$4,'7. PGE_Efficacité'!$A$4:$BU$4,0)+31),0)</f>
        <v>0</v>
      </c>
      <c r="U19" s="365">
        <f>VLOOKUP($E19,'7. PGE_Efficacité'!$A$6:$BT$266,(MATCH('4.3 ACE EFF CAN'!U$4,'7. PGE_Efficacité'!$A$4:$BU$4,0)+31),0)</f>
        <v>0</v>
      </c>
      <c r="V19" s="365">
        <f>VLOOKUP($E19,'7. PGE_Efficacité'!$A$6:$BT$266,(MATCH('4.3 ACE EFF CAN'!V$4,'7. PGE_Efficacité'!$A$4:$BU$4,0)+31),0)</f>
        <v>0</v>
      </c>
      <c r="W19" s="365">
        <f>VLOOKUP($E19,'7. PGE_Efficacité'!$A$6:$BT$266,(MATCH('4.3 ACE EFF CAN'!W$4,'7. PGE_Efficacité'!$A$4:$BU$4,0)+31),0)</f>
        <v>0</v>
      </c>
      <c r="X19" s="365">
        <f>VLOOKUP($E19,'7. PGE_Efficacité'!$A$6:$BT$266,(MATCH('4.3 ACE EFF CAN'!X$4,'7. PGE_Efficacité'!$A$4:$BU$4,0)+31),0)</f>
        <v>0</v>
      </c>
      <c r="Y19" s="366">
        <f>VLOOKUP($E19,'7. PGE_Efficacité'!$A$6:$BT$266,(MATCH('4.3 ACE EFF CAN'!Y$4,'7. PGE_Efficacité'!$A$4:$BU$4,0)+31),0)</f>
        <v>0</v>
      </c>
      <c r="Z19" s="366">
        <f>VLOOKUP($E19,'7. PGE_Efficacité'!$A$6:$BT$266,(MATCH('4.3 ACE EFF CAN'!Z$4,'7. PGE_Efficacité'!$A$4:$BU$4,0)+31),0)</f>
        <v>0</v>
      </c>
      <c r="AA19" s="366">
        <f>VLOOKUP($E19,'7. PGE_Efficacité'!$A$6:$BT$266,(MATCH('4.3 ACE EFF CAN'!AA$4,'7. PGE_Efficacité'!$A$4:$BU$4,0)+31),0)</f>
        <v>0</v>
      </c>
      <c r="AB19" s="366">
        <f>VLOOKUP($E19,'7. PGE_Efficacité'!$A$6:$BT$266,(MATCH('4.3 ACE EFF CAN'!AB$4,'7. PGE_Efficacité'!$A$4:$BU$4,0)+31),0)</f>
        <v>0</v>
      </c>
      <c r="AC19" s="366">
        <f>VLOOKUP($E19,'7. PGE_Efficacité'!$A$6:$BT$266,(MATCH('4.3 ACE EFF CAN'!AC$4,'7. PGE_Efficacité'!$A$4:$BU$4,0)+31),0)</f>
        <v>0</v>
      </c>
      <c r="AD19" s="366">
        <f>VLOOKUP($E19,'7. PGE_Efficacité'!$A$6:$BT$266,(MATCH('4.3 ACE EFF CAN'!AD$4,'7. PGE_Efficacité'!$A$4:$BU$4,0)+31),0)</f>
        <v>0</v>
      </c>
      <c r="AE19" s="366">
        <f>VLOOKUP($E19,'7. PGE_Efficacité'!$A$6:$BT$266,(MATCH('4.3 ACE EFF CAN'!AE$4,'7. PGE_Efficacité'!$A$4:$BU$4,0)+31),0)</f>
        <v>0</v>
      </c>
      <c r="AF19" s="366">
        <f>VLOOKUP($E19,'7. PGE_Efficacité'!$A$6:$BT$266,(MATCH('4.3 ACE EFF CAN'!AF$4,'7. PGE_Efficacité'!$A$4:$BU$4,0)+31),0)</f>
        <v>0</v>
      </c>
      <c r="AG19" s="366">
        <f>VLOOKUP($E19,'7. PGE_Efficacité'!$A$6:$BT$266,(MATCH('4.3 ACE EFF CAN'!AG$4,'7. PGE_Efficacité'!$A$4:$BU$4,0)+31),0)</f>
        <v>0</v>
      </c>
      <c r="AH19" s="366">
        <f>VLOOKUP($E19,'7. PGE_Efficacité'!$A$6:$BT$266,(MATCH('4.3 ACE EFF CAN'!AH$4,'7. PGE_Efficacité'!$A$4:$BU$4,0)+31),0)</f>
        <v>0</v>
      </c>
      <c r="AI19" s="366">
        <f>VLOOKUP($E19,'7. PGE_Efficacité'!$A$6:$BT$266,(MATCH('4.3 ACE EFF CAN'!AI$4,'7. PGE_Efficacité'!$A$4:$BU$4,0)+31),0)</f>
        <v>0</v>
      </c>
      <c r="AJ19" s="366">
        <f>VLOOKUP($E19,'7. PGE_Efficacité'!$A$6:$BT$266,(MATCH('4.3 ACE EFF CAN'!AJ$4,'7. PGE_Efficacité'!$A$4:$BU$4,0)+31),0)</f>
        <v>0</v>
      </c>
      <c r="AK19" s="366">
        <f>VLOOKUP($E19,'7. PGE_Efficacité'!$A$6:$BT$266,(MATCH('4.3 ACE EFF CAN'!AK$4,'7. PGE_Efficacité'!$A$4:$BU$4,0)+31),0)</f>
        <v>0</v>
      </c>
      <c r="AL19" s="366">
        <f>VLOOKUP($E19,'7. PGE_Efficacité'!$A$6:$BT$266,(MATCH('4.3 ACE EFF CAN'!AL$4,'7. PGE_Efficacité'!$A$4:$BU$4,0)+31),0)</f>
        <v>0</v>
      </c>
      <c r="AM19" s="366">
        <f>VLOOKUP($E19,'7. PGE_Efficacité'!$A$6:$BT$266,(MATCH('4.3 ACE EFF CAN'!AM$4,'7. PGE_Efficacité'!$A$4:$BU$4,0)+31),0)</f>
        <v>0</v>
      </c>
      <c r="AN19" s="366">
        <f>VLOOKUP($E19,'7. PGE_Efficacité'!$A$6:$BT$266,(MATCH('4.3 ACE EFF CAN'!AN$4,'7. PGE_Efficacité'!$A$4:$BU$4,0)+31),0)</f>
        <v>0</v>
      </c>
    </row>
    <row r="20" spans="1:40" outlineLevel="2" x14ac:dyDescent="0.25">
      <c r="A20" s="154" t="s">
        <v>1524</v>
      </c>
      <c r="B20" s="154">
        <v>4</v>
      </c>
      <c r="C20" s="154" t="s">
        <v>1527</v>
      </c>
      <c r="D20" s="330" t="s">
        <v>3</v>
      </c>
      <c r="E20" s="330" t="s">
        <v>791</v>
      </c>
      <c r="F20" s="330" t="s">
        <v>1429</v>
      </c>
      <c r="G20" s="330" t="s">
        <v>1520</v>
      </c>
      <c r="H20" s="330" t="s">
        <v>1290</v>
      </c>
      <c r="I20" s="364">
        <v>0</v>
      </c>
      <c r="J20" s="365">
        <f>VLOOKUP($E20,'7. PGE_Efficacité'!$A$6:$BT$266,(MATCH('4.3 ACE EFF CAN'!J$4,'7. PGE_Efficacité'!$A$4:$BU$4,0)+31),0)</f>
        <v>0</v>
      </c>
      <c r="K20" s="365">
        <f>VLOOKUP($E20,'7. PGE_Efficacité'!$A$6:$BT$266,(MATCH('4.3 ACE EFF CAN'!K$4,'7. PGE_Efficacité'!$A$4:$BU$4,0)+31),0)</f>
        <v>0</v>
      </c>
      <c r="L20" s="365">
        <f>VLOOKUP($E20,'7. PGE_Efficacité'!$A$6:$BT$266,(MATCH('4.3 ACE EFF CAN'!L$4,'7. PGE_Efficacité'!$A$4:$BU$4,0)+31),0)</f>
        <v>0</v>
      </c>
      <c r="M20" s="365">
        <f>VLOOKUP($E20,'7. PGE_Efficacité'!$A$6:$BT$266,(MATCH('4.3 ACE EFF CAN'!M$4,'7. PGE_Efficacité'!$A$4:$BU$4,0)+31),0)</f>
        <v>0</v>
      </c>
      <c r="N20" s="365">
        <f>VLOOKUP($E20,'7. PGE_Efficacité'!$A$6:$BT$266,(MATCH('4.3 ACE EFF CAN'!N$4,'7. PGE_Efficacité'!$A$4:$BU$4,0)+31),0)</f>
        <v>0</v>
      </c>
      <c r="O20" s="365">
        <f>VLOOKUP($E20,'7. PGE_Efficacité'!$A$6:$BT$266,(MATCH('4.3 ACE EFF CAN'!O$4,'7. PGE_Efficacité'!$A$4:$BU$4,0)+31),0)</f>
        <v>0</v>
      </c>
      <c r="P20" s="365">
        <f>VLOOKUP($E20,'7. PGE_Efficacité'!$A$6:$BT$266,(MATCH('4.3 ACE EFF CAN'!P$4,'7. PGE_Efficacité'!$A$4:$BU$4,0)+31),0)</f>
        <v>0</v>
      </c>
      <c r="Q20" s="365">
        <f>VLOOKUP($E20,'7. PGE_Efficacité'!$A$6:$BT$266,(MATCH('4.3 ACE EFF CAN'!Q$4,'7. PGE_Efficacité'!$A$4:$BU$4,0)+31),0)</f>
        <v>0</v>
      </c>
      <c r="R20" s="365">
        <f>VLOOKUP($E20,'7. PGE_Efficacité'!$A$6:$BT$266,(MATCH('4.3 ACE EFF CAN'!R$4,'7. PGE_Efficacité'!$A$4:$BU$4,0)+31),0)</f>
        <v>0</v>
      </c>
      <c r="S20" s="365">
        <f>VLOOKUP($E20,'7. PGE_Efficacité'!$A$6:$BT$266,(MATCH('4.3 ACE EFF CAN'!S$4,'7. PGE_Efficacité'!$A$4:$BU$4,0)+31),0)</f>
        <v>0</v>
      </c>
      <c r="T20" s="365">
        <f>VLOOKUP($E20,'7. PGE_Efficacité'!$A$6:$BT$266,(MATCH('4.3 ACE EFF CAN'!T$4,'7. PGE_Efficacité'!$A$4:$BU$4,0)+31),0)</f>
        <v>0</v>
      </c>
      <c r="U20" s="365">
        <f>VLOOKUP($E20,'7. PGE_Efficacité'!$A$6:$BT$266,(MATCH('4.3 ACE EFF CAN'!U$4,'7. PGE_Efficacité'!$A$4:$BU$4,0)+31),0)</f>
        <v>0</v>
      </c>
      <c r="V20" s="365">
        <f>VLOOKUP($E20,'7. PGE_Efficacité'!$A$6:$BT$266,(MATCH('4.3 ACE EFF CAN'!V$4,'7. PGE_Efficacité'!$A$4:$BU$4,0)+31),0)</f>
        <v>0</v>
      </c>
      <c r="W20" s="365">
        <f>VLOOKUP($E20,'7. PGE_Efficacité'!$A$6:$BT$266,(MATCH('4.3 ACE EFF CAN'!W$4,'7. PGE_Efficacité'!$A$4:$BU$4,0)+31),0)</f>
        <v>0</v>
      </c>
      <c r="X20" s="365">
        <f>VLOOKUP($E20,'7. PGE_Efficacité'!$A$6:$BT$266,(MATCH('4.3 ACE EFF CAN'!X$4,'7. PGE_Efficacité'!$A$4:$BU$4,0)+31),0)</f>
        <v>0</v>
      </c>
      <c r="Y20" s="366">
        <f>VLOOKUP($E20,'7. PGE_Efficacité'!$A$6:$BT$266,(MATCH('4.3 ACE EFF CAN'!Y$4,'7. PGE_Efficacité'!$A$4:$BU$4,0)+31),0)</f>
        <v>0</v>
      </c>
      <c r="Z20" s="366">
        <f>VLOOKUP($E20,'7. PGE_Efficacité'!$A$6:$BT$266,(MATCH('4.3 ACE EFF CAN'!Z$4,'7. PGE_Efficacité'!$A$4:$BU$4,0)+31),0)</f>
        <v>0</v>
      </c>
      <c r="AA20" s="366">
        <f>VLOOKUP($E20,'7. PGE_Efficacité'!$A$6:$BT$266,(MATCH('4.3 ACE EFF CAN'!AA$4,'7. PGE_Efficacité'!$A$4:$BU$4,0)+31),0)</f>
        <v>0</v>
      </c>
      <c r="AB20" s="366">
        <f>VLOOKUP($E20,'7. PGE_Efficacité'!$A$6:$BT$266,(MATCH('4.3 ACE EFF CAN'!AB$4,'7. PGE_Efficacité'!$A$4:$BU$4,0)+31),0)</f>
        <v>0</v>
      </c>
      <c r="AC20" s="366">
        <f>VLOOKUP($E20,'7. PGE_Efficacité'!$A$6:$BT$266,(MATCH('4.3 ACE EFF CAN'!AC$4,'7. PGE_Efficacité'!$A$4:$BU$4,0)+31),0)</f>
        <v>0</v>
      </c>
      <c r="AD20" s="366">
        <f>VLOOKUP($E20,'7. PGE_Efficacité'!$A$6:$BT$266,(MATCH('4.3 ACE EFF CAN'!AD$4,'7. PGE_Efficacité'!$A$4:$BU$4,0)+31),0)</f>
        <v>0</v>
      </c>
      <c r="AE20" s="366">
        <f>VLOOKUP($E20,'7. PGE_Efficacité'!$A$6:$BT$266,(MATCH('4.3 ACE EFF CAN'!AE$4,'7. PGE_Efficacité'!$A$4:$BU$4,0)+31),0)</f>
        <v>0</v>
      </c>
      <c r="AF20" s="366">
        <f>VLOOKUP($E20,'7. PGE_Efficacité'!$A$6:$BT$266,(MATCH('4.3 ACE EFF CAN'!AF$4,'7. PGE_Efficacité'!$A$4:$BU$4,0)+31),0)</f>
        <v>0</v>
      </c>
      <c r="AG20" s="366">
        <f>VLOOKUP($E20,'7. PGE_Efficacité'!$A$6:$BT$266,(MATCH('4.3 ACE EFF CAN'!AG$4,'7. PGE_Efficacité'!$A$4:$BU$4,0)+31),0)</f>
        <v>0</v>
      </c>
      <c r="AH20" s="366">
        <f>VLOOKUP($E20,'7. PGE_Efficacité'!$A$6:$BT$266,(MATCH('4.3 ACE EFF CAN'!AH$4,'7. PGE_Efficacité'!$A$4:$BU$4,0)+31),0)</f>
        <v>0</v>
      </c>
      <c r="AI20" s="366">
        <f>VLOOKUP($E20,'7. PGE_Efficacité'!$A$6:$BT$266,(MATCH('4.3 ACE EFF CAN'!AI$4,'7. PGE_Efficacité'!$A$4:$BU$4,0)+31),0)</f>
        <v>0</v>
      </c>
      <c r="AJ20" s="366">
        <f>VLOOKUP($E20,'7. PGE_Efficacité'!$A$6:$BT$266,(MATCH('4.3 ACE EFF CAN'!AJ$4,'7. PGE_Efficacité'!$A$4:$BU$4,0)+31),0)</f>
        <v>0</v>
      </c>
      <c r="AK20" s="366">
        <f>VLOOKUP($E20,'7. PGE_Efficacité'!$A$6:$BT$266,(MATCH('4.3 ACE EFF CAN'!AK$4,'7. PGE_Efficacité'!$A$4:$BU$4,0)+31),0)</f>
        <v>0</v>
      </c>
      <c r="AL20" s="366">
        <f>VLOOKUP($E20,'7. PGE_Efficacité'!$A$6:$BT$266,(MATCH('4.3 ACE EFF CAN'!AL$4,'7. PGE_Efficacité'!$A$4:$BU$4,0)+31),0)</f>
        <v>0</v>
      </c>
      <c r="AM20" s="366">
        <f>VLOOKUP($E20,'7. PGE_Efficacité'!$A$6:$BT$266,(MATCH('4.3 ACE EFF CAN'!AM$4,'7. PGE_Efficacité'!$A$4:$BU$4,0)+31),0)</f>
        <v>0</v>
      </c>
      <c r="AN20" s="366">
        <f>VLOOKUP($E20,'7. PGE_Efficacité'!$A$6:$BT$266,(MATCH('4.3 ACE EFF CAN'!AN$4,'7. PGE_Efficacité'!$A$4:$BU$4,0)+31),0)</f>
        <v>0</v>
      </c>
    </row>
    <row r="21" spans="1:40" outlineLevel="2" x14ac:dyDescent="0.25">
      <c r="A21" s="154" t="s">
        <v>1524</v>
      </c>
      <c r="B21" s="154">
        <v>4</v>
      </c>
      <c r="C21" s="154" t="s">
        <v>410</v>
      </c>
      <c r="D21" s="330" t="s">
        <v>3</v>
      </c>
      <c r="E21" s="330" t="s">
        <v>792</v>
      </c>
      <c r="F21" s="330" t="s">
        <v>1430</v>
      </c>
      <c r="G21" s="330" t="s">
        <v>1520</v>
      </c>
      <c r="H21" s="330" t="s">
        <v>1290</v>
      </c>
      <c r="I21" s="364">
        <v>0</v>
      </c>
      <c r="J21" s="365">
        <f>VLOOKUP($E21,'7. PGE_Efficacité'!$A$6:$BT$266,(MATCH('4.3 ACE EFF CAN'!J$4,'7. PGE_Efficacité'!$A$4:$BU$4,0)+31),0)</f>
        <v>0</v>
      </c>
      <c r="K21" s="365">
        <f>VLOOKUP($E21,'7. PGE_Efficacité'!$A$6:$BT$266,(MATCH('4.3 ACE EFF CAN'!K$4,'7. PGE_Efficacité'!$A$4:$BU$4,0)+31),0)</f>
        <v>0</v>
      </c>
      <c r="L21" s="365">
        <f>VLOOKUP($E21,'7. PGE_Efficacité'!$A$6:$BT$266,(MATCH('4.3 ACE EFF CAN'!L$4,'7. PGE_Efficacité'!$A$4:$BU$4,0)+31),0)</f>
        <v>0</v>
      </c>
      <c r="M21" s="365">
        <f>VLOOKUP($E21,'7. PGE_Efficacité'!$A$6:$BT$266,(MATCH('4.3 ACE EFF CAN'!M$4,'7. PGE_Efficacité'!$A$4:$BU$4,0)+31),0)</f>
        <v>0</v>
      </c>
      <c r="N21" s="365">
        <f>VLOOKUP($E21,'7. PGE_Efficacité'!$A$6:$BT$266,(MATCH('4.3 ACE EFF CAN'!N$4,'7. PGE_Efficacité'!$A$4:$BU$4,0)+31),0)</f>
        <v>0</v>
      </c>
      <c r="O21" s="365">
        <f>VLOOKUP($E21,'7. PGE_Efficacité'!$A$6:$BT$266,(MATCH('4.3 ACE EFF CAN'!O$4,'7. PGE_Efficacité'!$A$4:$BU$4,0)+31),0)</f>
        <v>0</v>
      </c>
      <c r="P21" s="365">
        <f>VLOOKUP($E21,'7. PGE_Efficacité'!$A$6:$BT$266,(MATCH('4.3 ACE EFF CAN'!P$4,'7. PGE_Efficacité'!$A$4:$BU$4,0)+31),0)</f>
        <v>0</v>
      </c>
      <c r="Q21" s="365">
        <f>VLOOKUP($E21,'7. PGE_Efficacité'!$A$6:$BT$266,(MATCH('4.3 ACE EFF CAN'!Q$4,'7. PGE_Efficacité'!$A$4:$BU$4,0)+31),0)</f>
        <v>0</v>
      </c>
      <c r="R21" s="365">
        <f>VLOOKUP($E21,'7. PGE_Efficacité'!$A$6:$BT$266,(MATCH('4.3 ACE EFF CAN'!R$4,'7. PGE_Efficacité'!$A$4:$BU$4,0)+31),0)</f>
        <v>0</v>
      </c>
      <c r="S21" s="365">
        <f>VLOOKUP($E21,'7. PGE_Efficacité'!$A$6:$BT$266,(MATCH('4.3 ACE EFF CAN'!S$4,'7. PGE_Efficacité'!$A$4:$BU$4,0)+31),0)</f>
        <v>0</v>
      </c>
      <c r="T21" s="365">
        <f>VLOOKUP($E21,'7. PGE_Efficacité'!$A$6:$BT$266,(MATCH('4.3 ACE EFF CAN'!T$4,'7. PGE_Efficacité'!$A$4:$BU$4,0)+31),0)</f>
        <v>0</v>
      </c>
      <c r="U21" s="365">
        <f>VLOOKUP($E21,'7. PGE_Efficacité'!$A$6:$BT$266,(MATCH('4.3 ACE EFF CAN'!U$4,'7. PGE_Efficacité'!$A$4:$BU$4,0)+31),0)</f>
        <v>0</v>
      </c>
      <c r="V21" s="365">
        <f>VLOOKUP($E21,'7. PGE_Efficacité'!$A$6:$BT$266,(MATCH('4.3 ACE EFF CAN'!V$4,'7. PGE_Efficacité'!$A$4:$BU$4,0)+31),0)</f>
        <v>0</v>
      </c>
      <c r="W21" s="365">
        <f>VLOOKUP($E21,'7. PGE_Efficacité'!$A$6:$BT$266,(MATCH('4.3 ACE EFF CAN'!W$4,'7. PGE_Efficacité'!$A$4:$BU$4,0)+31),0)</f>
        <v>0</v>
      </c>
      <c r="X21" s="365">
        <f>VLOOKUP($E21,'7. PGE_Efficacité'!$A$6:$BT$266,(MATCH('4.3 ACE EFF CAN'!X$4,'7. PGE_Efficacité'!$A$4:$BU$4,0)+31),0)</f>
        <v>0</v>
      </c>
      <c r="Y21" s="366">
        <f>VLOOKUP($E21,'7. PGE_Efficacité'!$A$6:$BT$266,(MATCH('4.3 ACE EFF CAN'!Y$4,'7. PGE_Efficacité'!$A$4:$BU$4,0)+31),0)</f>
        <v>0</v>
      </c>
      <c r="Z21" s="366">
        <f>VLOOKUP($E21,'7. PGE_Efficacité'!$A$6:$BT$266,(MATCH('4.3 ACE EFF CAN'!Z$4,'7. PGE_Efficacité'!$A$4:$BU$4,0)+31),0)</f>
        <v>0</v>
      </c>
      <c r="AA21" s="366">
        <f>VLOOKUP($E21,'7. PGE_Efficacité'!$A$6:$BT$266,(MATCH('4.3 ACE EFF CAN'!AA$4,'7. PGE_Efficacité'!$A$4:$BU$4,0)+31),0)</f>
        <v>0</v>
      </c>
      <c r="AB21" s="366">
        <f>VLOOKUP($E21,'7. PGE_Efficacité'!$A$6:$BT$266,(MATCH('4.3 ACE EFF CAN'!AB$4,'7. PGE_Efficacité'!$A$4:$BU$4,0)+31),0)</f>
        <v>0</v>
      </c>
      <c r="AC21" s="366">
        <f>VLOOKUP($E21,'7. PGE_Efficacité'!$A$6:$BT$266,(MATCH('4.3 ACE EFF CAN'!AC$4,'7. PGE_Efficacité'!$A$4:$BU$4,0)+31),0)</f>
        <v>0</v>
      </c>
      <c r="AD21" s="366">
        <f>VLOOKUP($E21,'7. PGE_Efficacité'!$A$6:$BT$266,(MATCH('4.3 ACE EFF CAN'!AD$4,'7. PGE_Efficacité'!$A$4:$BU$4,0)+31),0)</f>
        <v>0</v>
      </c>
      <c r="AE21" s="366">
        <f>VLOOKUP($E21,'7. PGE_Efficacité'!$A$6:$BT$266,(MATCH('4.3 ACE EFF CAN'!AE$4,'7. PGE_Efficacité'!$A$4:$BU$4,0)+31),0)</f>
        <v>0</v>
      </c>
      <c r="AF21" s="366">
        <f>VLOOKUP($E21,'7. PGE_Efficacité'!$A$6:$BT$266,(MATCH('4.3 ACE EFF CAN'!AF$4,'7. PGE_Efficacité'!$A$4:$BU$4,0)+31),0)</f>
        <v>0</v>
      </c>
      <c r="AG21" s="366">
        <f>VLOOKUP($E21,'7. PGE_Efficacité'!$A$6:$BT$266,(MATCH('4.3 ACE EFF CAN'!AG$4,'7. PGE_Efficacité'!$A$4:$BU$4,0)+31),0)</f>
        <v>0</v>
      </c>
      <c r="AH21" s="366">
        <f>VLOOKUP($E21,'7. PGE_Efficacité'!$A$6:$BT$266,(MATCH('4.3 ACE EFF CAN'!AH$4,'7. PGE_Efficacité'!$A$4:$BU$4,0)+31),0)</f>
        <v>0</v>
      </c>
      <c r="AI21" s="366">
        <f>VLOOKUP($E21,'7. PGE_Efficacité'!$A$6:$BT$266,(MATCH('4.3 ACE EFF CAN'!AI$4,'7. PGE_Efficacité'!$A$4:$BU$4,0)+31),0)</f>
        <v>0</v>
      </c>
      <c r="AJ21" s="366">
        <f>VLOOKUP($E21,'7. PGE_Efficacité'!$A$6:$BT$266,(MATCH('4.3 ACE EFF CAN'!AJ$4,'7. PGE_Efficacité'!$A$4:$BU$4,0)+31),0)</f>
        <v>0</v>
      </c>
      <c r="AK21" s="366">
        <f>VLOOKUP($E21,'7. PGE_Efficacité'!$A$6:$BT$266,(MATCH('4.3 ACE EFF CAN'!AK$4,'7. PGE_Efficacité'!$A$4:$BU$4,0)+31),0)</f>
        <v>0</v>
      </c>
      <c r="AL21" s="366">
        <f>VLOOKUP($E21,'7. PGE_Efficacité'!$A$6:$BT$266,(MATCH('4.3 ACE EFF CAN'!AL$4,'7. PGE_Efficacité'!$A$4:$BU$4,0)+31),0)</f>
        <v>0</v>
      </c>
      <c r="AM21" s="366">
        <f>VLOOKUP($E21,'7. PGE_Efficacité'!$A$6:$BT$266,(MATCH('4.3 ACE EFF CAN'!AM$4,'7. PGE_Efficacité'!$A$4:$BU$4,0)+31),0)</f>
        <v>0</v>
      </c>
      <c r="AN21" s="366">
        <f>VLOOKUP($E21,'7. PGE_Efficacité'!$A$6:$BT$266,(MATCH('4.3 ACE EFF CAN'!AN$4,'7. PGE_Efficacité'!$A$4:$BU$4,0)+31),0)</f>
        <v>0</v>
      </c>
    </row>
    <row r="22" spans="1:40" outlineLevel="2" x14ac:dyDescent="0.25">
      <c r="A22" s="154" t="s">
        <v>1524</v>
      </c>
      <c r="B22" s="154">
        <v>4</v>
      </c>
      <c r="C22" s="154" t="s">
        <v>1528</v>
      </c>
      <c r="D22" s="330" t="s">
        <v>3</v>
      </c>
      <c r="E22" s="330" t="s">
        <v>793</v>
      </c>
      <c r="F22" s="330" t="s">
        <v>1431</v>
      </c>
      <c r="G22" s="330" t="s">
        <v>1520</v>
      </c>
      <c r="H22" s="330" t="s">
        <v>1290</v>
      </c>
      <c r="I22" s="364">
        <v>0</v>
      </c>
      <c r="J22" s="365">
        <f>VLOOKUP($E22,'7. PGE_Efficacité'!$A$6:$BT$266,(MATCH('4.3 ACE EFF CAN'!J$4,'7. PGE_Efficacité'!$A$4:$BU$4,0)+31),0)</f>
        <v>0</v>
      </c>
      <c r="K22" s="365">
        <f>VLOOKUP($E22,'7. PGE_Efficacité'!$A$6:$BT$266,(MATCH('4.3 ACE EFF CAN'!K$4,'7. PGE_Efficacité'!$A$4:$BU$4,0)+31),0)</f>
        <v>0</v>
      </c>
      <c r="L22" s="365">
        <f>VLOOKUP($E22,'7. PGE_Efficacité'!$A$6:$BT$266,(MATCH('4.3 ACE EFF CAN'!L$4,'7. PGE_Efficacité'!$A$4:$BU$4,0)+31),0)</f>
        <v>0</v>
      </c>
      <c r="M22" s="365">
        <f>VLOOKUP($E22,'7. PGE_Efficacité'!$A$6:$BT$266,(MATCH('4.3 ACE EFF CAN'!M$4,'7. PGE_Efficacité'!$A$4:$BU$4,0)+31),0)</f>
        <v>0</v>
      </c>
      <c r="N22" s="365">
        <f>VLOOKUP($E22,'7. PGE_Efficacité'!$A$6:$BT$266,(MATCH('4.3 ACE EFF CAN'!N$4,'7. PGE_Efficacité'!$A$4:$BU$4,0)+31),0)</f>
        <v>0</v>
      </c>
      <c r="O22" s="365">
        <f>VLOOKUP($E22,'7. PGE_Efficacité'!$A$6:$BT$266,(MATCH('4.3 ACE EFF CAN'!O$4,'7. PGE_Efficacité'!$A$4:$BU$4,0)+31),0)</f>
        <v>0</v>
      </c>
      <c r="P22" s="365">
        <f>VLOOKUP($E22,'7. PGE_Efficacité'!$A$6:$BT$266,(MATCH('4.3 ACE EFF CAN'!P$4,'7. PGE_Efficacité'!$A$4:$BU$4,0)+31),0)</f>
        <v>0</v>
      </c>
      <c r="Q22" s="365">
        <f>VLOOKUP($E22,'7. PGE_Efficacité'!$A$6:$BT$266,(MATCH('4.3 ACE EFF CAN'!Q$4,'7. PGE_Efficacité'!$A$4:$BU$4,0)+31),0)</f>
        <v>0</v>
      </c>
      <c r="R22" s="365">
        <f>VLOOKUP($E22,'7. PGE_Efficacité'!$A$6:$BT$266,(MATCH('4.3 ACE EFF CAN'!R$4,'7. PGE_Efficacité'!$A$4:$BU$4,0)+31),0)</f>
        <v>0</v>
      </c>
      <c r="S22" s="365">
        <f>VLOOKUP($E22,'7. PGE_Efficacité'!$A$6:$BT$266,(MATCH('4.3 ACE EFF CAN'!S$4,'7. PGE_Efficacité'!$A$4:$BU$4,0)+31),0)</f>
        <v>0</v>
      </c>
      <c r="T22" s="365">
        <f>VLOOKUP($E22,'7. PGE_Efficacité'!$A$6:$BT$266,(MATCH('4.3 ACE EFF CAN'!T$4,'7. PGE_Efficacité'!$A$4:$BU$4,0)+31),0)</f>
        <v>0</v>
      </c>
      <c r="U22" s="365">
        <f>VLOOKUP($E22,'7. PGE_Efficacité'!$A$6:$BT$266,(MATCH('4.3 ACE EFF CAN'!U$4,'7. PGE_Efficacité'!$A$4:$BU$4,0)+31),0)</f>
        <v>0</v>
      </c>
      <c r="V22" s="365">
        <f>VLOOKUP($E22,'7. PGE_Efficacité'!$A$6:$BT$266,(MATCH('4.3 ACE EFF CAN'!V$4,'7. PGE_Efficacité'!$A$4:$BU$4,0)+31),0)</f>
        <v>0</v>
      </c>
      <c r="W22" s="365">
        <f>VLOOKUP($E22,'7. PGE_Efficacité'!$A$6:$BT$266,(MATCH('4.3 ACE EFF CAN'!W$4,'7. PGE_Efficacité'!$A$4:$BU$4,0)+31),0)</f>
        <v>0</v>
      </c>
      <c r="X22" s="365">
        <f>VLOOKUP($E22,'7. PGE_Efficacité'!$A$6:$BT$266,(MATCH('4.3 ACE EFF CAN'!X$4,'7. PGE_Efficacité'!$A$4:$BU$4,0)+31),0)</f>
        <v>0</v>
      </c>
      <c r="Y22" s="366">
        <f>VLOOKUP($E22,'7. PGE_Efficacité'!$A$6:$BT$266,(MATCH('4.3 ACE EFF CAN'!Y$4,'7. PGE_Efficacité'!$A$4:$BU$4,0)+31),0)</f>
        <v>0</v>
      </c>
      <c r="Z22" s="366">
        <f>VLOOKUP($E22,'7. PGE_Efficacité'!$A$6:$BT$266,(MATCH('4.3 ACE EFF CAN'!Z$4,'7. PGE_Efficacité'!$A$4:$BU$4,0)+31),0)</f>
        <v>0</v>
      </c>
      <c r="AA22" s="366">
        <f>VLOOKUP($E22,'7. PGE_Efficacité'!$A$6:$BT$266,(MATCH('4.3 ACE EFF CAN'!AA$4,'7. PGE_Efficacité'!$A$4:$BU$4,0)+31),0)</f>
        <v>0</v>
      </c>
      <c r="AB22" s="366">
        <f>VLOOKUP($E22,'7. PGE_Efficacité'!$A$6:$BT$266,(MATCH('4.3 ACE EFF CAN'!AB$4,'7. PGE_Efficacité'!$A$4:$BU$4,0)+31),0)</f>
        <v>0</v>
      </c>
      <c r="AC22" s="366">
        <f>VLOOKUP($E22,'7. PGE_Efficacité'!$A$6:$BT$266,(MATCH('4.3 ACE EFF CAN'!AC$4,'7. PGE_Efficacité'!$A$4:$BU$4,0)+31),0)</f>
        <v>0</v>
      </c>
      <c r="AD22" s="366">
        <f>VLOOKUP($E22,'7. PGE_Efficacité'!$A$6:$BT$266,(MATCH('4.3 ACE EFF CAN'!AD$4,'7. PGE_Efficacité'!$A$4:$BU$4,0)+31),0)</f>
        <v>0</v>
      </c>
      <c r="AE22" s="366">
        <f>VLOOKUP($E22,'7. PGE_Efficacité'!$A$6:$BT$266,(MATCH('4.3 ACE EFF CAN'!AE$4,'7. PGE_Efficacité'!$A$4:$BU$4,0)+31),0)</f>
        <v>0</v>
      </c>
      <c r="AF22" s="366">
        <f>VLOOKUP($E22,'7. PGE_Efficacité'!$A$6:$BT$266,(MATCH('4.3 ACE EFF CAN'!AF$4,'7. PGE_Efficacité'!$A$4:$BU$4,0)+31),0)</f>
        <v>0</v>
      </c>
      <c r="AG22" s="366">
        <f>VLOOKUP($E22,'7. PGE_Efficacité'!$A$6:$BT$266,(MATCH('4.3 ACE EFF CAN'!AG$4,'7. PGE_Efficacité'!$A$4:$BU$4,0)+31),0)</f>
        <v>0</v>
      </c>
      <c r="AH22" s="366">
        <f>VLOOKUP($E22,'7. PGE_Efficacité'!$A$6:$BT$266,(MATCH('4.3 ACE EFF CAN'!AH$4,'7. PGE_Efficacité'!$A$4:$BU$4,0)+31),0)</f>
        <v>0</v>
      </c>
      <c r="AI22" s="366">
        <f>VLOOKUP($E22,'7. PGE_Efficacité'!$A$6:$BT$266,(MATCH('4.3 ACE EFF CAN'!AI$4,'7. PGE_Efficacité'!$A$4:$BU$4,0)+31),0)</f>
        <v>0</v>
      </c>
      <c r="AJ22" s="366">
        <f>VLOOKUP($E22,'7. PGE_Efficacité'!$A$6:$BT$266,(MATCH('4.3 ACE EFF CAN'!AJ$4,'7. PGE_Efficacité'!$A$4:$BU$4,0)+31),0)</f>
        <v>0</v>
      </c>
      <c r="AK22" s="366">
        <f>VLOOKUP($E22,'7. PGE_Efficacité'!$A$6:$BT$266,(MATCH('4.3 ACE EFF CAN'!AK$4,'7. PGE_Efficacité'!$A$4:$BU$4,0)+31),0)</f>
        <v>0</v>
      </c>
      <c r="AL22" s="366">
        <f>VLOOKUP($E22,'7. PGE_Efficacité'!$A$6:$BT$266,(MATCH('4.3 ACE EFF CAN'!AL$4,'7. PGE_Efficacité'!$A$4:$BU$4,0)+31),0)</f>
        <v>0</v>
      </c>
      <c r="AM22" s="366">
        <f>VLOOKUP($E22,'7. PGE_Efficacité'!$A$6:$BT$266,(MATCH('4.3 ACE EFF CAN'!AM$4,'7. PGE_Efficacité'!$A$4:$BU$4,0)+31),0)</f>
        <v>0</v>
      </c>
      <c r="AN22" s="366">
        <f>VLOOKUP($E22,'7. PGE_Efficacité'!$A$6:$BT$266,(MATCH('4.3 ACE EFF CAN'!AN$4,'7. PGE_Efficacité'!$A$4:$BU$4,0)+31),0)</f>
        <v>0</v>
      </c>
    </row>
    <row r="23" spans="1:40" outlineLevel="2" x14ac:dyDescent="0.25">
      <c r="A23" s="154" t="s">
        <v>1524</v>
      </c>
      <c r="B23" s="154">
        <v>4</v>
      </c>
      <c r="C23" s="154" t="s">
        <v>1529</v>
      </c>
      <c r="D23" s="330" t="s">
        <v>3</v>
      </c>
      <c r="E23" s="330" t="s">
        <v>794</v>
      </c>
      <c r="F23" s="330" t="s">
        <v>1432</v>
      </c>
      <c r="G23" s="330" t="s">
        <v>1520</v>
      </c>
      <c r="H23" s="330" t="s">
        <v>1290</v>
      </c>
      <c r="I23" s="364">
        <v>0</v>
      </c>
      <c r="J23" s="365">
        <f>VLOOKUP($E23,'7. PGE_Efficacité'!$A$6:$BT$266,(MATCH('4.3 ACE EFF CAN'!J$4,'7. PGE_Efficacité'!$A$4:$BU$4,0)+31),0)</f>
        <v>0</v>
      </c>
      <c r="K23" s="365">
        <f>VLOOKUP($E23,'7. PGE_Efficacité'!$A$6:$BT$266,(MATCH('4.3 ACE EFF CAN'!K$4,'7. PGE_Efficacité'!$A$4:$BU$4,0)+31),0)</f>
        <v>0</v>
      </c>
      <c r="L23" s="365">
        <f>VLOOKUP($E23,'7. PGE_Efficacité'!$A$6:$BT$266,(MATCH('4.3 ACE EFF CAN'!L$4,'7. PGE_Efficacité'!$A$4:$BU$4,0)+31),0)</f>
        <v>0</v>
      </c>
      <c r="M23" s="365">
        <f>VLOOKUP($E23,'7. PGE_Efficacité'!$A$6:$BT$266,(MATCH('4.3 ACE EFF CAN'!M$4,'7. PGE_Efficacité'!$A$4:$BU$4,0)+31),0)</f>
        <v>0</v>
      </c>
      <c r="N23" s="365">
        <f>VLOOKUP($E23,'7. PGE_Efficacité'!$A$6:$BT$266,(MATCH('4.3 ACE EFF CAN'!N$4,'7. PGE_Efficacité'!$A$4:$BU$4,0)+31),0)</f>
        <v>0</v>
      </c>
      <c r="O23" s="365">
        <f>VLOOKUP($E23,'7. PGE_Efficacité'!$A$6:$BT$266,(MATCH('4.3 ACE EFF CAN'!O$4,'7. PGE_Efficacité'!$A$4:$BU$4,0)+31),0)</f>
        <v>0</v>
      </c>
      <c r="P23" s="365">
        <f>VLOOKUP($E23,'7. PGE_Efficacité'!$A$6:$BT$266,(MATCH('4.3 ACE EFF CAN'!P$4,'7. PGE_Efficacité'!$A$4:$BU$4,0)+31),0)</f>
        <v>0</v>
      </c>
      <c r="Q23" s="365">
        <f>VLOOKUP($E23,'7. PGE_Efficacité'!$A$6:$BT$266,(MATCH('4.3 ACE EFF CAN'!Q$4,'7. PGE_Efficacité'!$A$4:$BU$4,0)+31),0)</f>
        <v>0</v>
      </c>
      <c r="R23" s="365">
        <f>VLOOKUP($E23,'7. PGE_Efficacité'!$A$6:$BT$266,(MATCH('4.3 ACE EFF CAN'!R$4,'7. PGE_Efficacité'!$A$4:$BU$4,0)+31),0)</f>
        <v>0</v>
      </c>
      <c r="S23" s="365">
        <f>VLOOKUP($E23,'7. PGE_Efficacité'!$A$6:$BT$266,(MATCH('4.3 ACE EFF CAN'!S$4,'7. PGE_Efficacité'!$A$4:$BU$4,0)+31),0)</f>
        <v>0</v>
      </c>
      <c r="T23" s="365">
        <f>VLOOKUP($E23,'7. PGE_Efficacité'!$A$6:$BT$266,(MATCH('4.3 ACE EFF CAN'!T$4,'7. PGE_Efficacité'!$A$4:$BU$4,0)+31),0)</f>
        <v>0</v>
      </c>
      <c r="U23" s="365">
        <f>VLOOKUP($E23,'7. PGE_Efficacité'!$A$6:$BT$266,(MATCH('4.3 ACE EFF CAN'!U$4,'7. PGE_Efficacité'!$A$4:$BU$4,0)+31),0)</f>
        <v>0</v>
      </c>
      <c r="V23" s="365">
        <f>VLOOKUP($E23,'7. PGE_Efficacité'!$A$6:$BT$266,(MATCH('4.3 ACE EFF CAN'!V$4,'7. PGE_Efficacité'!$A$4:$BU$4,0)+31),0)</f>
        <v>0</v>
      </c>
      <c r="W23" s="365">
        <f>VLOOKUP($E23,'7. PGE_Efficacité'!$A$6:$BT$266,(MATCH('4.3 ACE EFF CAN'!W$4,'7. PGE_Efficacité'!$A$4:$BU$4,0)+31),0)</f>
        <v>0</v>
      </c>
      <c r="X23" s="365">
        <f>VLOOKUP($E23,'7. PGE_Efficacité'!$A$6:$BT$266,(MATCH('4.3 ACE EFF CAN'!X$4,'7. PGE_Efficacité'!$A$4:$BU$4,0)+31),0)</f>
        <v>0</v>
      </c>
      <c r="Y23" s="366">
        <f>VLOOKUP($E23,'7. PGE_Efficacité'!$A$6:$BT$266,(MATCH('4.3 ACE EFF CAN'!Y$4,'7. PGE_Efficacité'!$A$4:$BU$4,0)+31),0)</f>
        <v>0</v>
      </c>
      <c r="Z23" s="366">
        <f>VLOOKUP($E23,'7. PGE_Efficacité'!$A$6:$BT$266,(MATCH('4.3 ACE EFF CAN'!Z$4,'7. PGE_Efficacité'!$A$4:$BU$4,0)+31),0)</f>
        <v>0</v>
      </c>
      <c r="AA23" s="366">
        <f>VLOOKUP($E23,'7. PGE_Efficacité'!$A$6:$BT$266,(MATCH('4.3 ACE EFF CAN'!AA$4,'7. PGE_Efficacité'!$A$4:$BU$4,0)+31),0)</f>
        <v>0</v>
      </c>
      <c r="AB23" s="366">
        <f>VLOOKUP($E23,'7. PGE_Efficacité'!$A$6:$BT$266,(MATCH('4.3 ACE EFF CAN'!AB$4,'7. PGE_Efficacité'!$A$4:$BU$4,0)+31),0)</f>
        <v>0</v>
      </c>
      <c r="AC23" s="366">
        <f>VLOOKUP($E23,'7. PGE_Efficacité'!$A$6:$BT$266,(MATCH('4.3 ACE EFF CAN'!AC$4,'7. PGE_Efficacité'!$A$4:$BU$4,0)+31),0)</f>
        <v>0</v>
      </c>
      <c r="AD23" s="366">
        <f>VLOOKUP($E23,'7. PGE_Efficacité'!$A$6:$BT$266,(MATCH('4.3 ACE EFF CAN'!AD$4,'7. PGE_Efficacité'!$A$4:$BU$4,0)+31),0)</f>
        <v>0</v>
      </c>
      <c r="AE23" s="366">
        <f>VLOOKUP($E23,'7. PGE_Efficacité'!$A$6:$BT$266,(MATCH('4.3 ACE EFF CAN'!AE$4,'7. PGE_Efficacité'!$A$4:$BU$4,0)+31),0)</f>
        <v>0</v>
      </c>
      <c r="AF23" s="366">
        <f>VLOOKUP($E23,'7. PGE_Efficacité'!$A$6:$BT$266,(MATCH('4.3 ACE EFF CAN'!AF$4,'7. PGE_Efficacité'!$A$4:$BU$4,0)+31),0)</f>
        <v>0</v>
      </c>
      <c r="AG23" s="366">
        <f>VLOOKUP($E23,'7. PGE_Efficacité'!$A$6:$BT$266,(MATCH('4.3 ACE EFF CAN'!AG$4,'7. PGE_Efficacité'!$A$4:$BU$4,0)+31),0)</f>
        <v>0</v>
      </c>
      <c r="AH23" s="366">
        <f>VLOOKUP($E23,'7. PGE_Efficacité'!$A$6:$BT$266,(MATCH('4.3 ACE EFF CAN'!AH$4,'7. PGE_Efficacité'!$A$4:$BU$4,0)+31),0)</f>
        <v>0</v>
      </c>
      <c r="AI23" s="366">
        <f>VLOOKUP($E23,'7. PGE_Efficacité'!$A$6:$BT$266,(MATCH('4.3 ACE EFF CAN'!AI$4,'7. PGE_Efficacité'!$A$4:$BU$4,0)+31),0)</f>
        <v>0</v>
      </c>
      <c r="AJ23" s="366">
        <f>VLOOKUP($E23,'7. PGE_Efficacité'!$A$6:$BT$266,(MATCH('4.3 ACE EFF CAN'!AJ$4,'7. PGE_Efficacité'!$A$4:$BU$4,0)+31),0)</f>
        <v>0</v>
      </c>
      <c r="AK23" s="366">
        <f>VLOOKUP($E23,'7. PGE_Efficacité'!$A$6:$BT$266,(MATCH('4.3 ACE EFF CAN'!AK$4,'7. PGE_Efficacité'!$A$4:$BU$4,0)+31),0)</f>
        <v>0</v>
      </c>
      <c r="AL23" s="366">
        <f>VLOOKUP($E23,'7. PGE_Efficacité'!$A$6:$BT$266,(MATCH('4.3 ACE EFF CAN'!AL$4,'7. PGE_Efficacité'!$A$4:$BU$4,0)+31),0)</f>
        <v>0</v>
      </c>
      <c r="AM23" s="366">
        <f>VLOOKUP($E23,'7. PGE_Efficacité'!$A$6:$BT$266,(MATCH('4.3 ACE EFF CAN'!AM$4,'7. PGE_Efficacité'!$A$4:$BU$4,0)+31),0)</f>
        <v>0</v>
      </c>
      <c r="AN23" s="366">
        <f>VLOOKUP($E23,'7. PGE_Efficacité'!$A$6:$BT$266,(MATCH('4.3 ACE EFF CAN'!AN$4,'7. PGE_Efficacité'!$A$4:$BU$4,0)+31),0)</f>
        <v>0</v>
      </c>
    </row>
    <row r="24" spans="1:40" outlineLevel="2" x14ac:dyDescent="0.25">
      <c r="A24" s="154" t="s">
        <v>1524</v>
      </c>
      <c r="B24" s="154">
        <v>4</v>
      </c>
      <c r="C24" s="154" t="s">
        <v>1530</v>
      </c>
      <c r="D24" s="330" t="s">
        <v>3</v>
      </c>
      <c r="E24" s="330" t="s">
        <v>795</v>
      </c>
      <c r="F24" s="330" t="s">
        <v>1433</v>
      </c>
      <c r="G24" s="330" t="s">
        <v>1520</v>
      </c>
      <c r="H24" s="330" t="s">
        <v>1290</v>
      </c>
      <c r="I24" s="364">
        <f>165000/3</f>
        <v>55000</v>
      </c>
      <c r="J24" s="365">
        <f>VLOOKUP($E24,'7. PGE_Efficacité'!$A$6:$BT$266,(MATCH('4.3 ACE EFF CAN'!J$4,'7. PGE_Efficacité'!$A$4:$BU$4,0)+31),0)</f>
        <v>0</v>
      </c>
      <c r="K24" s="365">
        <f>VLOOKUP($E24,'7. PGE_Efficacité'!$A$6:$BT$266,(MATCH('4.3 ACE EFF CAN'!K$4,'7. PGE_Efficacité'!$A$4:$BU$4,0)+31),0)</f>
        <v>0</v>
      </c>
      <c r="L24" s="365">
        <f>VLOOKUP($E24,'7. PGE_Efficacité'!$A$6:$BT$266,(MATCH('4.3 ACE EFF CAN'!L$4,'7. PGE_Efficacité'!$A$4:$BU$4,0)+31),0)</f>
        <v>0</v>
      </c>
      <c r="M24" s="365">
        <f>VLOOKUP($E24,'7. PGE_Efficacité'!$A$6:$BT$266,(MATCH('4.3 ACE EFF CAN'!M$4,'7. PGE_Efficacité'!$A$4:$BU$4,0)+31),0)</f>
        <v>0</v>
      </c>
      <c r="N24" s="365">
        <f>VLOOKUP($E24,'7. PGE_Efficacité'!$A$6:$BT$266,(MATCH('4.3 ACE EFF CAN'!N$4,'7. PGE_Efficacité'!$A$4:$BU$4,0)+31),0)</f>
        <v>0</v>
      </c>
      <c r="O24" s="365">
        <f>VLOOKUP($E24,'7. PGE_Efficacité'!$A$6:$BT$266,(MATCH('4.3 ACE EFF CAN'!O$4,'7. PGE_Efficacité'!$A$4:$BU$4,0)+31),0)</f>
        <v>0</v>
      </c>
      <c r="P24" s="365">
        <f>VLOOKUP($E24,'7. PGE_Efficacité'!$A$6:$BT$266,(MATCH('4.3 ACE EFF CAN'!P$4,'7. PGE_Efficacité'!$A$4:$BU$4,0)+31),0)</f>
        <v>0</v>
      </c>
      <c r="Q24" s="365">
        <f>VLOOKUP($E24,'7. PGE_Efficacité'!$A$6:$BT$266,(MATCH('4.3 ACE EFF CAN'!Q$4,'7. PGE_Efficacité'!$A$4:$BU$4,0)+31),0)</f>
        <v>0</v>
      </c>
      <c r="R24" s="365">
        <f>VLOOKUP($E24,'7. PGE_Efficacité'!$A$6:$BT$266,(MATCH('4.3 ACE EFF CAN'!R$4,'7. PGE_Efficacité'!$A$4:$BU$4,0)+31),0)</f>
        <v>0</v>
      </c>
      <c r="S24" s="365">
        <f>VLOOKUP($E24,'7. PGE_Efficacité'!$A$6:$BT$266,(MATCH('4.3 ACE EFF CAN'!S$4,'7. PGE_Efficacité'!$A$4:$BU$4,0)+31),0)</f>
        <v>0</v>
      </c>
      <c r="T24" s="365">
        <f>VLOOKUP($E24,'7. PGE_Efficacité'!$A$6:$BT$266,(MATCH('4.3 ACE EFF CAN'!T$4,'7. PGE_Efficacité'!$A$4:$BU$4,0)+31),0)</f>
        <v>0</v>
      </c>
      <c r="U24" s="365">
        <f>VLOOKUP($E24,'7. PGE_Efficacité'!$A$6:$BT$266,(MATCH('4.3 ACE EFF CAN'!U$4,'7. PGE_Efficacité'!$A$4:$BU$4,0)+31),0)</f>
        <v>0</v>
      </c>
      <c r="V24" s="365">
        <f>VLOOKUP($E24,'7. PGE_Efficacité'!$A$6:$BT$266,(MATCH('4.3 ACE EFF CAN'!V$4,'7. PGE_Efficacité'!$A$4:$BU$4,0)+31),0)</f>
        <v>0</v>
      </c>
      <c r="W24" s="365">
        <f>VLOOKUP($E24,'7. PGE_Efficacité'!$A$6:$BT$266,(MATCH('4.3 ACE EFF CAN'!W$4,'7. PGE_Efficacité'!$A$4:$BU$4,0)+31),0)</f>
        <v>0</v>
      </c>
      <c r="X24" s="365">
        <f>VLOOKUP($E24,'7. PGE_Efficacité'!$A$6:$BT$266,(MATCH('4.3 ACE EFF CAN'!X$4,'7. PGE_Efficacité'!$A$4:$BU$4,0)+31),0)</f>
        <v>0</v>
      </c>
      <c r="Y24" s="366">
        <f>VLOOKUP($E24,'7. PGE_Efficacité'!$A$6:$BT$266,(MATCH('4.3 ACE EFF CAN'!Y$4,'7. PGE_Efficacité'!$A$4:$BU$4,0)+31),0)</f>
        <v>0</v>
      </c>
      <c r="Z24" s="366">
        <f>VLOOKUP($E24,'7. PGE_Efficacité'!$A$6:$BT$266,(MATCH('4.3 ACE EFF CAN'!Z$4,'7. PGE_Efficacité'!$A$4:$BU$4,0)+31),0)</f>
        <v>0</v>
      </c>
      <c r="AA24" s="366">
        <f>VLOOKUP($E24,'7. PGE_Efficacité'!$A$6:$BT$266,(MATCH('4.3 ACE EFF CAN'!AA$4,'7. PGE_Efficacité'!$A$4:$BU$4,0)+31),0)</f>
        <v>0</v>
      </c>
      <c r="AB24" s="366">
        <f>VLOOKUP($E24,'7. PGE_Efficacité'!$A$6:$BT$266,(MATCH('4.3 ACE EFF CAN'!AB$4,'7. PGE_Efficacité'!$A$4:$BU$4,0)+31),0)</f>
        <v>0</v>
      </c>
      <c r="AC24" s="366">
        <f>VLOOKUP($E24,'7. PGE_Efficacité'!$A$6:$BT$266,(MATCH('4.3 ACE EFF CAN'!AC$4,'7. PGE_Efficacité'!$A$4:$BU$4,0)+31),0)</f>
        <v>0</v>
      </c>
      <c r="AD24" s="366">
        <f>VLOOKUP($E24,'7. PGE_Efficacité'!$A$6:$BT$266,(MATCH('4.3 ACE EFF CAN'!AD$4,'7. PGE_Efficacité'!$A$4:$BU$4,0)+31),0)</f>
        <v>0</v>
      </c>
      <c r="AE24" s="366">
        <f>VLOOKUP($E24,'7. PGE_Efficacité'!$A$6:$BT$266,(MATCH('4.3 ACE EFF CAN'!AE$4,'7. PGE_Efficacité'!$A$4:$BU$4,0)+31),0)</f>
        <v>0</v>
      </c>
      <c r="AF24" s="366">
        <f>VLOOKUP($E24,'7. PGE_Efficacité'!$A$6:$BT$266,(MATCH('4.3 ACE EFF CAN'!AF$4,'7. PGE_Efficacité'!$A$4:$BU$4,0)+31),0)</f>
        <v>0</v>
      </c>
      <c r="AG24" s="366">
        <f>VLOOKUP($E24,'7. PGE_Efficacité'!$A$6:$BT$266,(MATCH('4.3 ACE EFF CAN'!AG$4,'7. PGE_Efficacité'!$A$4:$BU$4,0)+31),0)</f>
        <v>0</v>
      </c>
      <c r="AH24" s="366">
        <f>VLOOKUP($E24,'7. PGE_Efficacité'!$A$6:$BT$266,(MATCH('4.3 ACE EFF CAN'!AH$4,'7. PGE_Efficacité'!$A$4:$BU$4,0)+31),0)</f>
        <v>0</v>
      </c>
      <c r="AI24" s="366">
        <f>VLOOKUP($E24,'7. PGE_Efficacité'!$A$6:$BT$266,(MATCH('4.3 ACE EFF CAN'!AI$4,'7. PGE_Efficacité'!$A$4:$BU$4,0)+31),0)</f>
        <v>0</v>
      </c>
      <c r="AJ24" s="366">
        <f>VLOOKUP($E24,'7. PGE_Efficacité'!$A$6:$BT$266,(MATCH('4.3 ACE EFF CAN'!AJ$4,'7. PGE_Efficacité'!$A$4:$BU$4,0)+31),0)</f>
        <v>0</v>
      </c>
      <c r="AK24" s="366">
        <f>VLOOKUP($E24,'7. PGE_Efficacité'!$A$6:$BT$266,(MATCH('4.3 ACE EFF CAN'!AK$4,'7. PGE_Efficacité'!$A$4:$BU$4,0)+31),0)</f>
        <v>0</v>
      </c>
      <c r="AL24" s="366">
        <f>VLOOKUP($E24,'7. PGE_Efficacité'!$A$6:$BT$266,(MATCH('4.3 ACE EFF CAN'!AL$4,'7. PGE_Efficacité'!$A$4:$BU$4,0)+31),0)</f>
        <v>0</v>
      </c>
      <c r="AM24" s="366">
        <f>VLOOKUP($E24,'7. PGE_Efficacité'!$A$6:$BT$266,(MATCH('4.3 ACE EFF CAN'!AM$4,'7. PGE_Efficacité'!$A$4:$BU$4,0)+31),0)</f>
        <v>0</v>
      </c>
      <c r="AN24" s="366">
        <f>VLOOKUP($E24,'7. PGE_Efficacité'!$A$6:$BT$266,(MATCH('4.3 ACE EFF CAN'!AN$4,'7. PGE_Efficacité'!$A$4:$BU$4,0)+31),0)</f>
        <v>0</v>
      </c>
    </row>
    <row r="25" spans="1:40" outlineLevel="2" x14ac:dyDescent="0.25">
      <c r="A25" s="154" t="s">
        <v>1524</v>
      </c>
      <c r="B25" s="154">
        <v>4</v>
      </c>
      <c r="C25" s="154" t="s">
        <v>1531</v>
      </c>
      <c r="D25" s="330" t="s">
        <v>3</v>
      </c>
      <c r="E25" s="330" t="s">
        <v>796</v>
      </c>
      <c r="F25" s="330" t="s">
        <v>1434</v>
      </c>
      <c r="G25" s="330" t="s">
        <v>1520</v>
      </c>
      <c r="H25" s="330" t="s">
        <v>1290</v>
      </c>
      <c r="I25" s="364">
        <v>0</v>
      </c>
      <c r="J25" s="365">
        <f>VLOOKUP($E25,'7. PGE_Efficacité'!$A$6:$BT$266,(MATCH('4.3 ACE EFF CAN'!J$4,'7. PGE_Efficacité'!$A$4:$BU$4,0)+31),0)</f>
        <v>0</v>
      </c>
      <c r="K25" s="365">
        <f>VLOOKUP($E25,'7. PGE_Efficacité'!$A$6:$BT$266,(MATCH('4.3 ACE EFF CAN'!K$4,'7. PGE_Efficacité'!$A$4:$BU$4,0)+31),0)</f>
        <v>0</v>
      </c>
      <c r="L25" s="365">
        <f>VLOOKUP($E25,'7. PGE_Efficacité'!$A$6:$BT$266,(MATCH('4.3 ACE EFF CAN'!L$4,'7. PGE_Efficacité'!$A$4:$BU$4,0)+31),0)</f>
        <v>0</v>
      </c>
      <c r="M25" s="365">
        <f>VLOOKUP($E25,'7. PGE_Efficacité'!$A$6:$BT$266,(MATCH('4.3 ACE EFF CAN'!M$4,'7. PGE_Efficacité'!$A$4:$BU$4,0)+31),0)</f>
        <v>0</v>
      </c>
      <c r="N25" s="365">
        <f>VLOOKUP($E25,'7. PGE_Efficacité'!$A$6:$BT$266,(MATCH('4.3 ACE EFF CAN'!N$4,'7. PGE_Efficacité'!$A$4:$BU$4,0)+31),0)</f>
        <v>0</v>
      </c>
      <c r="O25" s="365">
        <f>VLOOKUP($E25,'7. PGE_Efficacité'!$A$6:$BT$266,(MATCH('4.3 ACE EFF CAN'!O$4,'7. PGE_Efficacité'!$A$4:$BU$4,0)+31),0)</f>
        <v>0</v>
      </c>
      <c r="P25" s="365">
        <f>VLOOKUP($E25,'7. PGE_Efficacité'!$A$6:$BT$266,(MATCH('4.3 ACE EFF CAN'!P$4,'7. PGE_Efficacité'!$A$4:$BU$4,0)+31),0)</f>
        <v>0</v>
      </c>
      <c r="Q25" s="365">
        <f>VLOOKUP($E25,'7. PGE_Efficacité'!$A$6:$BT$266,(MATCH('4.3 ACE EFF CAN'!Q$4,'7. PGE_Efficacité'!$A$4:$BU$4,0)+31),0)</f>
        <v>0</v>
      </c>
      <c r="R25" s="365">
        <f>VLOOKUP($E25,'7. PGE_Efficacité'!$A$6:$BT$266,(MATCH('4.3 ACE EFF CAN'!R$4,'7. PGE_Efficacité'!$A$4:$BU$4,0)+31),0)</f>
        <v>0</v>
      </c>
      <c r="S25" s="365">
        <f>VLOOKUP($E25,'7. PGE_Efficacité'!$A$6:$BT$266,(MATCH('4.3 ACE EFF CAN'!S$4,'7. PGE_Efficacité'!$A$4:$BU$4,0)+31),0)</f>
        <v>0</v>
      </c>
      <c r="T25" s="365">
        <f>VLOOKUP($E25,'7. PGE_Efficacité'!$A$6:$BT$266,(MATCH('4.3 ACE EFF CAN'!T$4,'7. PGE_Efficacité'!$A$4:$BU$4,0)+31),0)</f>
        <v>0</v>
      </c>
      <c r="U25" s="365">
        <f>VLOOKUP($E25,'7. PGE_Efficacité'!$A$6:$BT$266,(MATCH('4.3 ACE EFF CAN'!U$4,'7. PGE_Efficacité'!$A$4:$BU$4,0)+31),0)</f>
        <v>0</v>
      </c>
      <c r="V25" s="365">
        <f>VLOOKUP($E25,'7. PGE_Efficacité'!$A$6:$BT$266,(MATCH('4.3 ACE EFF CAN'!V$4,'7. PGE_Efficacité'!$A$4:$BU$4,0)+31),0)</f>
        <v>0</v>
      </c>
      <c r="W25" s="365">
        <f>VLOOKUP($E25,'7. PGE_Efficacité'!$A$6:$BT$266,(MATCH('4.3 ACE EFF CAN'!W$4,'7. PGE_Efficacité'!$A$4:$BU$4,0)+31),0)</f>
        <v>0</v>
      </c>
      <c r="X25" s="365">
        <f>VLOOKUP($E25,'7. PGE_Efficacité'!$A$6:$BT$266,(MATCH('4.3 ACE EFF CAN'!X$4,'7. PGE_Efficacité'!$A$4:$BU$4,0)+31),0)</f>
        <v>0</v>
      </c>
      <c r="Y25" s="366">
        <f>VLOOKUP($E25,'7. PGE_Efficacité'!$A$6:$BT$266,(MATCH('4.3 ACE EFF CAN'!Y$4,'7. PGE_Efficacité'!$A$4:$BU$4,0)+31),0)</f>
        <v>0</v>
      </c>
      <c r="Z25" s="366">
        <f>VLOOKUP($E25,'7. PGE_Efficacité'!$A$6:$BT$266,(MATCH('4.3 ACE EFF CAN'!Z$4,'7. PGE_Efficacité'!$A$4:$BU$4,0)+31),0)</f>
        <v>0</v>
      </c>
      <c r="AA25" s="366">
        <f>VLOOKUP($E25,'7. PGE_Efficacité'!$A$6:$BT$266,(MATCH('4.3 ACE EFF CAN'!AA$4,'7. PGE_Efficacité'!$A$4:$BU$4,0)+31),0)</f>
        <v>0</v>
      </c>
      <c r="AB25" s="366">
        <f>VLOOKUP($E25,'7. PGE_Efficacité'!$A$6:$BT$266,(MATCH('4.3 ACE EFF CAN'!AB$4,'7. PGE_Efficacité'!$A$4:$BU$4,0)+31),0)</f>
        <v>0</v>
      </c>
      <c r="AC25" s="366">
        <f>VLOOKUP($E25,'7. PGE_Efficacité'!$A$6:$BT$266,(MATCH('4.3 ACE EFF CAN'!AC$4,'7. PGE_Efficacité'!$A$4:$BU$4,0)+31),0)</f>
        <v>0</v>
      </c>
      <c r="AD25" s="366">
        <f>VLOOKUP($E25,'7. PGE_Efficacité'!$A$6:$BT$266,(MATCH('4.3 ACE EFF CAN'!AD$4,'7. PGE_Efficacité'!$A$4:$BU$4,0)+31),0)</f>
        <v>0</v>
      </c>
      <c r="AE25" s="366">
        <f>VLOOKUP($E25,'7. PGE_Efficacité'!$A$6:$BT$266,(MATCH('4.3 ACE EFF CAN'!AE$4,'7. PGE_Efficacité'!$A$4:$BU$4,0)+31),0)</f>
        <v>0</v>
      </c>
      <c r="AF25" s="366">
        <f>VLOOKUP($E25,'7. PGE_Efficacité'!$A$6:$BT$266,(MATCH('4.3 ACE EFF CAN'!AF$4,'7. PGE_Efficacité'!$A$4:$BU$4,0)+31),0)</f>
        <v>0</v>
      </c>
      <c r="AG25" s="366">
        <f>VLOOKUP($E25,'7. PGE_Efficacité'!$A$6:$BT$266,(MATCH('4.3 ACE EFF CAN'!AG$4,'7. PGE_Efficacité'!$A$4:$BU$4,0)+31),0)</f>
        <v>0</v>
      </c>
      <c r="AH25" s="366">
        <f>VLOOKUP($E25,'7. PGE_Efficacité'!$A$6:$BT$266,(MATCH('4.3 ACE EFF CAN'!AH$4,'7. PGE_Efficacité'!$A$4:$BU$4,0)+31),0)</f>
        <v>0</v>
      </c>
      <c r="AI25" s="366">
        <f>VLOOKUP($E25,'7. PGE_Efficacité'!$A$6:$BT$266,(MATCH('4.3 ACE EFF CAN'!AI$4,'7. PGE_Efficacité'!$A$4:$BU$4,0)+31),0)</f>
        <v>0</v>
      </c>
      <c r="AJ25" s="366">
        <f>VLOOKUP($E25,'7. PGE_Efficacité'!$A$6:$BT$266,(MATCH('4.3 ACE EFF CAN'!AJ$4,'7. PGE_Efficacité'!$A$4:$BU$4,0)+31),0)</f>
        <v>0</v>
      </c>
      <c r="AK25" s="366">
        <f>VLOOKUP($E25,'7. PGE_Efficacité'!$A$6:$BT$266,(MATCH('4.3 ACE EFF CAN'!AK$4,'7. PGE_Efficacité'!$A$4:$BU$4,0)+31),0)</f>
        <v>0</v>
      </c>
      <c r="AL25" s="366">
        <f>VLOOKUP($E25,'7. PGE_Efficacité'!$A$6:$BT$266,(MATCH('4.3 ACE EFF CAN'!AL$4,'7. PGE_Efficacité'!$A$4:$BU$4,0)+31),0)</f>
        <v>0</v>
      </c>
      <c r="AM25" s="366">
        <f>VLOOKUP($E25,'7. PGE_Efficacité'!$A$6:$BT$266,(MATCH('4.3 ACE EFF CAN'!AM$4,'7. PGE_Efficacité'!$A$4:$BU$4,0)+31),0)</f>
        <v>0</v>
      </c>
      <c r="AN25" s="366">
        <f>VLOOKUP($E25,'7. PGE_Efficacité'!$A$6:$BT$266,(MATCH('4.3 ACE EFF CAN'!AN$4,'7. PGE_Efficacité'!$A$4:$BU$4,0)+31),0)</f>
        <v>0</v>
      </c>
    </row>
    <row r="26" spans="1:40" outlineLevel="2" x14ac:dyDescent="0.25">
      <c r="A26" s="154" t="s">
        <v>1524</v>
      </c>
      <c r="B26" s="154">
        <v>4</v>
      </c>
      <c r="C26" s="154" t="s">
        <v>1503</v>
      </c>
      <c r="D26" s="330" t="s">
        <v>3</v>
      </c>
      <c r="E26" s="330" t="s">
        <v>785</v>
      </c>
      <c r="F26" s="330" t="s">
        <v>1423</v>
      </c>
      <c r="G26" s="330" t="s">
        <v>1520</v>
      </c>
      <c r="H26" s="330" t="s">
        <v>1290</v>
      </c>
      <c r="I26" s="364">
        <v>0</v>
      </c>
      <c r="J26" s="365">
        <f>VLOOKUP($E26,'7. PGE_Efficacité'!$A$6:$BT$266,(MATCH('4.3 ACE EFF CAN'!J$4,'7. PGE_Efficacité'!$A$4:$BU$4,0)+31),0)</f>
        <v>0</v>
      </c>
      <c r="K26" s="365">
        <f>VLOOKUP($E26,'7. PGE_Efficacité'!$A$6:$BT$266,(MATCH('4.3 ACE EFF CAN'!K$4,'7. PGE_Efficacité'!$A$4:$BU$4,0)+31),0)</f>
        <v>0</v>
      </c>
      <c r="L26" s="365">
        <f>VLOOKUP($E26,'7. PGE_Efficacité'!$A$6:$BT$266,(MATCH('4.3 ACE EFF CAN'!L$4,'7. PGE_Efficacité'!$A$4:$BU$4,0)+31),0)</f>
        <v>0</v>
      </c>
      <c r="M26" s="365">
        <f>VLOOKUP($E26,'7. PGE_Efficacité'!$A$6:$BT$266,(MATCH('4.3 ACE EFF CAN'!M$4,'7. PGE_Efficacité'!$A$4:$BU$4,0)+31),0)</f>
        <v>0</v>
      </c>
      <c r="N26" s="365">
        <f>VLOOKUP($E26,'7. PGE_Efficacité'!$A$6:$BT$266,(MATCH('4.3 ACE EFF CAN'!N$4,'7. PGE_Efficacité'!$A$4:$BU$4,0)+31),0)</f>
        <v>0</v>
      </c>
      <c r="O26" s="365">
        <f>VLOOKUP($E26,'7. PGE_Efficacité'!$A$6:$BT$266,(MATCH('4.3 ACE EFF CAN'!O$4,'7. PGE_Efficacité'!$A$4:$BU$4,0)+31),0)</f>
        <v>0</v>
      </c>
      <c r="P26" s="365">
        <f>VLOOKUP($E26,'7. PGE_Efficacité'!$A$6:$BT$266,(MATCH('4.3 ACE EFF CAN'!P$4,'7. PGE_Efficacité'!$A$4:$BU$4,0)+31),0)</f>
        <v>0</v>
      </c>
      <c r="Q26" s="365">
        <f>VLOOKUP($E26,'7. PGE_Efficacité'!$A$6:$BT$266,(MATCH('4.3 ACE EFF CAN'!Q$4,'7. PGE_Efficacité'!$A$4:$BU$4,0)+31),0)</f>
        <v>0</v>
      </c>
      <c r="R26" s="365">
        <f>VLOOKUP($E26,'7. PGE_Efficacité'!$A$6:$BT$266,(MATCH('4.3 ACE EFF CAN'!R$4,'7. PGE_Efficacité'!$A$4:$BU$4,0)+31),0)</f>
        <v>0</v>
      </c>
      <c r="S26" s="365">
        <f>VLOOKUP($E26,'7. PGE_Efficacité'!$A$6:$BT$266,(MATCH('4.3 ACE EFF CAN'!S$4,'7. PGE_Efficacité'!$A$4:$BU$4,0)+31),0)</f>
        <v>0</v>
      </c>
      <c r="T26" s="365">
        <f>VLOOKUP($E26,'7. PGE_Efficacité'!$A$6:$BT$266,(MATCH('4.3 ACE EFF CAN'!T$4,'7. PGE_Efficacité'!$A$4:$BU$4,0)+31),0)</f>
        <v>0</v>
      </c>
      <c r="U26" s="365">
        <f>VLOOKUP($E26,'7. PGE_Efficacité'!$A$6:$BT$266,(MATCH('4.3 ACE EFF CAN'!U$4,'7. PGE_Efficacité'!$A$4:$BU$4,0)+31),0)</f>
        <v>0</v>
      </c>
      <c r="V26" s="365">
        <f>VLOOKUP($E26,'7. PGE_Efficacité'!$A$6:$BT$266,(MATCH('4.3 ACE EFF CAN'!V$4,'7. PGE_Efficacité'!$A$4:$BU$4,0)+31),0)</f>
        <v>0</v>
      </c>
      <c r="W26" s="365">
        <f>VLOOKUP($E26,'7. PGE_Efficacité'!$A$6:$BT$266,(MATCH('4.3 ACE EFF CAN'!W$4,'7. PGE_Efficacité'!$A$4:$BU$4,0)+31),0)</f>
        <v>0</v>
      </c>
      <c r="X26" s="365">
        <f>VLOOKUP($E26,'7. PGE_Efficacité'!$A$6:$BT$266,(MATCH('4.3 ACE EFF CAN'!X$4,'7. PGE_Efficacité'!$A$4:$BU$4,0)+31),0)</f>
        <v>0</v>
      </c>
      <c r="Y26" s="366">
        <f>VLOOKUP($E26,'7. PGE_Efficacité'!$A$6:$BT$266,(MATCH('4.3 ACE EFF CAN'!Y$4,'7. PGE_Efficacité'!$A$4:$BU$4,0)+31),0)</f>
        <v>0</v>
      </c>
      <c r="Z26" s="366">
        <f>VLOOKUP($E26,'7. PGE_Efficacité'!$A$6:$BT$266,(MATCH('4.3 ACE EFF CAN'!Z$4,'7. PGE_Efficacité'!$A$4:$BU$4,0)+31),0)</f>
        <v>0</v>
      </c>
      <c r="AA26" s="366">
        <f>VLOOKUP($E26,'7. PGE_Efficacité'!$A$6:$BT$266,(MATCH('4.3 ACE EFF CAN'!AA$4,'7. PGE_Efficacité'!$A$4:$BU$4,0)+31),0)</f>
        <v>0</v>
      </c>
      <c r="AB26" s="366">
        <f>VLOOKUP($E26,'7. PGE_Efficacité'!$A$6:$BT$266,(MATCH('4.3 ACE EFF CAN'!AB$4,'7. PGE_Efficacité'!$A$4:$BU$4,0)+31),0)</f>
        <v>0</v>
      </c>
      <c r="AC26" s="366">
        <f>VLOOKUP($E26,'7. PGE_Efficacité'!$A$6:$BT$266,(MATCH('4.3 ACE EFF CAN'!AC$4,'7. PGE_Efficacité'!$A$4:$BU$4,0)+31),0)</f>
        <v>0</v>
      </c>
      <c r="AD26" s="366">
        <f>VLOOKUP($E26,'7. PGE_Efficacité'!$A$6:$BT$266,(MATCH('4.3 ACE EFF CAN'!AD$4,'7. PGE_Efficacité'!$A$4:$BU$4,0)+31),0)</f>
        <v>0</v>
      </c>
      <c r="AE26" s="366">
        <f>VLOOKUP($E26,'7. PGE_Efficacité'!$A$6:$BT$266,(MATCH('4.3 ACE EFF CAN'!AE$4,'7. PGE_Efficacité'!$A$4:$BU$4,0)+31),0)</f>
        <v>0</v>
      </c>
      <c r="AF26" s="366">
        <f>VLOOKUP($E26,'7. PGE_Efficacité'!$A$6:$BT$266,(MATCH('4.3 ACE EFF CAN'!AF$4,'7. PGE_Efficacité'!$A$4:$BU$4,0)+31),0)</f>
        <v>0</v>
      </c>
      <c r="AG26" s="366">
        <f>VLOOKUP($E26,'7. PGE_Efficacité'!$A$6:$BT$266,(MATCH('4.3 ACE EFF CAN'!AG$4,'7. PGE_Efficacité'!$A$4:$BU$4,0)+31),0)</f>
        <v>0</v>
      </c>
      <c r="AH26" s="366">
        <f>VLOOKUP($E26,'7. PGE_Efficacité'!$A$6:$BT$266,(MATCH('4.3 ACE EFF CAN'!AH$4,'7. PGE_Efficacité'!$A$4:$BU$4,0)+31),0)</f>
        <v>0</v>
      </c>
      <c r="AI26" s="366">
        <f>VLOOKUP($E26,'7. PGE_Efficacité'!$A$6:$BT$266,(MATCH('4.3 ACE EFF CAN'!AI$4,'7. PGE_Efficacité'!$A$4:$BU$4,0)+31),0)</f>
        <v>0</v>
      </c>
      <c r="AJ26" s="366">
        <f>VLOOKUP($E26,'7. PGE_Efficacité'!$A$6:$BT$266,(MATCH('4.3 ACE EFF CAN'!AJ$4,'7. PGE_Efficacité'!$A$4:$BU$4,0)+31),0)</f>
        <v>0</v>
      </c>
      <c r="AK26" s="366">
        <f>VLOOKUP($E26,'7. PGE_Efficacité'!$A$6:$BT$266,(MATCH('4.3 ACE EFF CAN'!AK$4,'7. PGE_Efficacité'!$A$4:$BU$4,0)+31),0)</f>
        <v>0</v>
      </c>
      <c r="AL26" s="366">
        <f>VLOOKUP($E26,'7. PGE_Efficacité'!$A$6:$BT$266,(MATCH('4.3 ACE EFF CAN'!AL$4,'7. PGE_Efficacité'!$A$4:$BU$4,0)+31),0)</f>
        <v>0</v>
      </c>
      <c r="AM26" s="366">
        <f>VLOOKUP($E26,'7. PGE_Efficacité'!$A$6:$BT$266,(MATCH('4.3 ACE EFF CAN'!AM$4,'7. PGE_Efficacité'!$A$4:$BU$4,0)+31),0)</f>
        <v>0</v>
      </c>
      <c r="AN26" s="366">
        <f>VLOOKUP($E26,'7. PGE_Efficacité'!$A$6:$BT$266,(MATCH('4.3 ACE EFF CAN'!AN$4,'7. PGE_Efficacité'!$A$4:$BU$4,0)+31),0)</f>
        <v>0</v>
      </c>
    </row>
    <row r="27" spans="1:40" outlineLevel="2" x14ac:dyDescent="0.25">
      <c r="A27" s="154" t="s">
        <v>1524</v>
      </c>
      <c r="B27" s="154">
        <v>4</v>
      </c>
      <c r="C27" s="154" t="s">
        <v>1504</v>
      </c>
      <c r="D27" s="330" t="s">
        <v>3</v>
      </c>
      <c r="E27" s="330" t="s">
        <v>786</v>
      </c>
      <c r="F27" s="330" t="s">
        <v>1424</v>
      </c>
      <c r="G27" s="330" t="s">
        <v>1520</v>
      </c>
      <c r="H27" s="330" t="s">
        <v>1290</v>
      </c>
      <c r="I27" s="364">
        <v>0</v>
      </c>
      <c r="J27" s="365">
        <f>VLOOKUP($E27,'7. PGE_Efficacité'!$A$6:$BT$266,(MATCH('4.3 ACE EFF CAN'!J$4,'7. PGE_Efficacité'!$A$4:$BU$4,0)+31),0)</f>
        <v>0</v>
      </c>
      <c r="K27" s="365">
        <f>VLOOKUP($E27,'7. PGE_Efficacité'!$A$6:$BT$266,(MATCH('4.3 ACE EFF CAN'!K$4,'7. PGE_Efficacité'!$A$4:$BU$4,0)+31),0)</f>
        <v>0</v>
      </c>
      <c r="L27" s="365">
        <f>VLOOKUP($E27,'7. PGE_Efficacité'!$A$6:$BT$266,(MATCH('4.3 ACE EFF CAN'!L$4,'7. PGE_Efficacité'!$A$4:$BU$4,0)+31),0)</f>
        <v>0</v>
      </c>
      <c r="M27" s="365">
        <f>VLOOKUP($E27,'7. PGE_Efficacité'!$A$6:$BT$266,(MATCH('4.3 ACE EFF CAN'!M$4,'7. PGE_Efficacité'!$A$4:$BU$4,0)+31),0)</f>
        <v>0</v>
      </c>
      <c r="N27" s="365">
        <f>VLOOKUP($E27,'7. PGE_Efficacité'!$A$6:$BT$266,(MATCH('4.3 ACE EFF CAN'!N$4,'7. PGE_Efficacité'!$A$4:$BU$4,0)+31),0)</f>
        <v>0</v>
      </c>
      <c r="O27" s="365">
        <f>VLOOKUP($E27,'7. PGE_Efficacité'!$A$6:$BT$266,(MATCH('4.3 ACE EFF CAN'!O$4,'7. PGE_Efficacité'!$A$4:$BU$4,0)+31),0)</f>
        <v>0</v>
      </c>
      <c r="P27" s="365">
        <f>VLOOKUP($E27,'7. PGE_Efficacité'!$A$6:$BT$266,(MATCH('4.3 ACE EFF CAN'!P$4,'7. PGE_Efficacité'!$A$4:$BU$4,0)+31),0)</f>
        <v>0</v>
      </c>
      <c r="Q27" s="365">
        <f>VLOOKUP($E27,'7. PGE_Efficacité'!$A$6:$BT$266,(MATCH('4.3 ACE EFF CAN'!Q$4,'7. PGE_Efficacité'!$A$4:$BU$4,0)+31),0)</f>
        <v>0</v>
      </c>
      <c r="R27" s="365">
        <f>VLOOKUP($E27,'7. PGE_Efficacité'!$A$6:$BT$266,(MATCH('4.3 ACE EFF CAN'!R$4,'7. PGE_Efficacité'!$A$4:$BU$4,0)+31),0)</f>
        <v>0</v>
      </c>
      <c r="S27" s="365">
        <f>VLOOKUP($E27,'7. PGE_Efficacité'!$A$6:$BT$266,(MATCH('4.3 ACE EFF CAN'!S$4,'7. PGE_Efficacité'!$A$4:$BU$4,0)+31),0)</f>
        <v>0</v>
      </c>
      <c r="T27" s="365">
        <f>VLOOKUP($E27,'7. PGE_Efficacité'!$A$6:$BT$266,(MATCH('4.3 ACE EFF CAN'!T$4,'7. PGE_Efficacité'!$A$4:$BU$4,0)+31),0)</f>
        <v>0</v>
      </c>
      <c r="U27" s="365">
        <f>VLOOKUP($E27,'7. PGE_Efficacité'!$A$6:$BT$266,(MATCH('4.3 ACE EFF CAN'!U$4,'7. PGE_Efficacité'!$A$4:$BU$4,0)+31),0)</f>
        <v>0</v>
      </c>
      <c r="V27" s="365">
        <f>VLOOKUP($E27,'7. PGE_Efficacité'!$A$6:$BT$266,(MATCH('4.3 ACE EFF CAN'!V$4,'7. PGE_Efficacité'!$A$4:$BU$4,0)+31),0)</f>
        <v>0</v>
      </c>
      <c r="W27" s="365">
        <f>VLOOKUP($E27,'7. PGE_Efficacité'!$A$6:$BT$266,(MATCH('4.3 ACE EFF CAN'!W$4,'7. PGE_Efficacité'!$A$4:$BU$4,0)+31),0)</f>
        <v>0</v>
      </c>
      <c r="X27" s="365">
        <f>VLOOKUP($E27,'7. PGE_Efficacité'!$A$6:$BT$266,(MATCH('4.3 ACE EFF CAN'!X$4,'7. PGE_Efficacité'!$A$4:$BU$4,0)+31),0)</f>
        <v>0</v>
      </c>
      <c r="Y27" s="366">
        <f>VLOOKUP($E27,'7. PGE_Efficacité'!$A$6:$BT$266,(MATCH('4.3 ACE EFF CAN'!Y$4,'7. PGE_Efficacité'!$A$4:$BU$4,0)+31),0)</f>
        <v>0</v>
      </c>
      <c r="Z27" s="366">
        <f>VLOOKUP($E27,'7. PGE_Efficacité'!$A$6:$BT$266,(MATCH('4.3 ACE EFF CAN'!Z$4,'7. PGE_Efficacité'!$A$4:$BU$4,0)+31),0)</f>
        <v>0</v>
      </c>
      <c r="AA27" s="366">
        <f>VLOOKUP($E27,'7. PGE_Efficacité'!$A$6:$BT$266,(MATCH('4.3 ACE EFF CAN'!AA$4,'7. PGE_Efficacité'!$A$4:$BU$4,0)+31),0)</f>
        <v>0</v>
      </c>
      <c r="AB27" s="366">
        <f>VLOOKUP($E27,'7. PGE_Efficacité'!$A$6:$BT$266,(MATCH('4.3 ACE EFF CAN'!AB$4,'7. PGE_Efficacité'!$A$4:$BU$4,0)+31),0)</f>
        <v>0</v>
      </c>
      <c r="AC27" s="366">
        <f>VLOOKUP($E27,'7. PGE_Efficacité'!$A$6:$BT$266,(MATCH('4.3 ACE EFF CAN'!AC$4,'7. PGE_Efficacité'!$A$4:$BU$4,0)+31),0)</f>
        <v>0</v>
      </c>
      <c r="AD27" s="366">
        <f>VLOOKUP($E27,'7. PGE_Efficacité'!$A$6:$BT$266,(MATCH('4.3 ACE EFF CAN'!AD$4,'7. PGE_Efficacité'!$A$4:$BU$4,0)+31),0)</f>
        <v>0</v>
      </c>
      <c r="AE27" s="366">
        <f>VLOOKUP($E27,'7. PGE_Efficacité'!$A$6:$BT$266,(MATCH('4.3 ACE EFF CAN'!AE$4,'7. PGE_Efficacité'!$A$4:$BU$4,0)+31),0)</f>
        <v>0</v>
      </c>
      <c r="AF27" s="366">
        <f>VLOOKUP($E27,'7. PGE_Efficacité'!$A$6:$BT$266,(MATCH('4.3 ACE EFF CAN'!AF$4,'7. PGE_Efficacité'!$A$4:$BU$4,0)+31),0)</f>
        <v>0</v>
      </c>
      <c r="AG27" s="366">
        <f>VLOOKUP($E27,'7. PGE_Efficacité'!$A$6:$BT$266,(MATCH('4.3 ACE EFF CAN'!AG$4,'7. PGE_Efficacité'!$A$4:$BU$4,0)+31),0)</f>
        <v>0</v>
      </c>
      <c r="AH27" s="366">
        <f>VLOOKUP($E27,'7. PGE_Efficacité'!$A$6:$BT$266,(MATCH('4.3 ACE EFF CAN'!AH$4,'7. PGE_Efficacité'!$A$4:$BU$4,0)+31),0)</f>
        <v>0</v>
      </c>
      <c r="AI27" s="366">
        <f>VLOOKUP($E27,'7. PGE_Efficacité'!$A$6:$BT$266,(MATCH('4.3 ACE EFF CAN'!AI$4,'7. PGE_Efficacité'!$A$4:$BU$4,0)+31),0)</f>
        <v>0</v>
      </c>
      <c r="AJ27" s="366">
        <f>VLOOKUP($E27,'7. PGE_Efficacité'!$A$6:$BT$266,(MATCH('4.3 ACE EFF CAN'!AJ$4,'7. PGE_Efficacité'!$A$4:$BU$4,0)+31),0)</f>
        <v>0</v>
      </c>
      <c r="AK27" s="366">
        <f>VLOOKUP($E27,'7. PGE_Efficacité'!$A$6:$BT$266,(MATCH('4.3 ACE EFF CAN'!AK$4,'7. PGE_Efficacité'!$A$4:$BU$4,0)+31),0)</f>
        <v>0</v>
      </c>
      <c r="AL27" s="366">
        <f>VLOOKUP($E27,'7. PGE_Efficacité'!$A$6:$BT$266,(MATCH('4.3 ACE EFF CAN'!AL$4,'7. PGE_Efficacité'!$A$4:$BU$4,0)+31),0)</f>
        <v>0</v>
      </c>
      <c r="AM27" s="366">
        <f>VLOOKUP($E27,'7. PGE_Efficacité'!$A$6:$BT$266,(MATCH('4.3 ACE EFF CAN'!AM$4,'7. PGE_Efficacité'!$A$4:$BU$4,0)+31),0)</f>
        <v>0</v>
      </c>
      <c r="AN27" s="366">
        <f>VLOOKUP($E27,'7. PGE_Efficacité'!$A$6:$BT$266,(MATCH('4.3 ACE EFF CAN'!AN$4,'7. PGE_Efficacité'!$A$4:$BU$4,0)+31),0)</f>
        <v>0</v>
      </c>
    </row>
    <row r="28" spans="1:40" outlineLevel="2" x14ac:dyDescent="0.25">
      <c r="A28" s="154" t="s">
        <v>1524</v>
      </c>
      <c r="B28" s="154">
        <v>4</v>
      </c>
      <c r="C28" s="154" t="s">
        <v>1505</v>
      </c>
      <c r="D28" s="330" t="s">
        <v>3</v>
      </c>
      <c r="E28" s="330" t="s">
        <v>787</v>
      </c>
      <c r="F28" s="330" t="s">
        <v>1425</v>
      </c>
      <c r="G28" s="330" t="s">
        <v>1520</v>
      </c>
      <c r="H28" s="330" t="s">
        <v>1290</v>
      </c>
      <c r="I28" s="364">
        <v>0</v>
      </c>
      <c r="J28" s="365">
        <f>VLOOKUP($E28,'7. PGE_Efficacité'!$A$6:$BT$266,(MATCH('4.3 ACE EFF CAN'!J$4,'7. PGE_Efficacité'!$A$4:$BU$4,0)+31),0)</f>
        <v>0</v>
      </c>
      <c r="K28" s="365">
        <f>VLOOKUP($E28,'7. PGE_Efficacité'!$A$6:$BT$266,(MATCH('4.3 ACE EFF CAN'!K$4,'7. PGE_Efficacité'!$A$4:$BU$4,0)+31),0)</f>
        <v>0</v>
      </c>
      <c r="L28" s="365">
        <f>VLOOKUP($E28,'7. PGE_Efficacité'!$A$6:$BT$266,(MATCH('4.3 ACE EFF CAN'!L$4,'7. PGE_Efficacité'!$A$4:$BU$4,0)+31),0)</f>
        <v>0</v>
      </c>
      <c r="M28" s="365">
        <f>VLOOKUP($E28,'7. PGE_Efficacité'!$A$6:$BT$266,(MATCH('4.3 ACE EFF CAN'!M$4,'7. PGE_Efficacité'!$A$4:$BU$4,0)+31),0)</f>
        <v>0</v>
      </c>
      <c r="N28" s="365">
        <f>VLOOKUP($E28,'7. PGE_Efficacité'!$A$6:$BT$266,(MATCH('4.3 ACE EFF CAN'!N$4,'7. PGE_Efficacité'!$A$4:$BU$4,0)+31),0)</f>
        <v>0</v>
      </c>
      <c r="O28" s="365">
        <f>VLOOKUP($E28,'7. PGE_Efficacité'!$A$6:$BT$266,(MATCH('4.3 ACE EFF CAN'!O$4,'7. PGE_Efficacité'!$A$4:$BU$4,0)+31),0)</f>
        <v>0</v>
      </c>
      <c r="P28" s="365">
        <f>VLOOKUP($E28,'7. PGE_Efficacité'!$A$6:$BT$266,(MATCH('4.3 ACE EFF CAN'!P$4,'7. PGE_Efficacité'!$A$4:$BU$4,0)+31),0)</f>
        <v>0</v>
      </c>
      <c r="Q28" s="365">
        <f>VLOOKUP($E28,'7. PGE_Efficacité'!$A$6:$BT$266,(MATCH('4.3 ACE EFF CAN'!Q$4,'7. PGE_Efficacité'!$A$4:$BU$4,0)+31),0)</f>
        <v>0</v>
      </c>
      <c r="R28" s="365">
        <f>VLOOKUP($E28,'7. PGE_Efficacité'!$A$6:$BT$266,(MATCH('4.3 ACE EFF CAN'!R$4,'7. PGE_Efficacité'!$A$4:$BU$4,0)+31),0)</f>
        <v>0</v>
      </c>
      <c r="S28" s="365">
        <f>VLOOKUP($E28,'7. PGE_Efficacité'!$A$6:$BT$266,(MATCH('4.3 ACE EFF CAN'!S$4,'7. PGE_Efficacité'!$A$4:$BU$4,0)+31),0)</f>
        <v>0</v>
      </c>
      <c r="T28" s="365">
        <f>VLOOKUP($E28,'7. PGE_Efficacité'!$A$6:$BT$266,(MATCH('4.3 ACE EFF CAN'!T$4,'7. PGE_Efficacité'!$A$4:$BU$4,0)+31),0)</f>
        <v>0</v>
      </c>
      <c r="U28" s="365">
        <f>VLOOKUP($E28,'7. PGE_Efficacité'!$A$6:$BT$266,(MATCH('4.3 ACE EFF CAN'!U$4,'7. PGE_Efficacité'!$A$4:$BU$4,0)+31),0)</f>
        <v>0</v>
      </c>
      <c r="V28" s="365">
        <f>VLOOKUP($E28,'7. PGE_Efficacité'!$A$6:$BT$266,(MATCH('4.3 ACE EFF CAN'!V$4,'7. PGE_Efficacité'!$A$4:$BU$4,0)+31),0)</f>
        <v>0</v>
      </c>
      <c r="W28" s="365">
        <f>VLOOKUP($E28,'7. PGE_Efficacité'!$A$6:$BT$266,(MATCH('4.3 ACE EFF CAN'!W$4,'7. PGE_Efficacité'!$A$4:$BU$4,0)+31),0)</f>
        <v>0</v>
      </c>
      <c r="X28" s="365">
        <f>VLOOKUP($E28,'7. PGE_Efficacité'!$A$6:$BT$266,(MATCH('4.3 ACE EFF CAN'!X$4,'7. PGE_Efficacité'!$A$4:$BU$4,0)+31),0)</f>
        <v>0</v>
      </c>
      <c r="Y28" s="366">
        <f>VLOOKUP($E28,'7. PGE_Efficacité'!$A$6:$BT$266,(MATCH('4.3 ACE EFF CAN'!Y$4,'7. PGE_Efficacité'!$A$4:$BU$4,0)+31),0)</f>
        <v>0</v>
      </c>
      <c r="Z28" s="366">
        <f>VLOOKUP($E28,'7. PGE_Efficacité'!$A$6:$BT$266,(MATCH('4.3 ACE EFF CAN'!Z$4,'7. PGE_Efficacité'!$A$4:$BU$4,0)+31),0)</f>
        <v>0</v>
      </c>
      <c r="AA28" s="366">
        <f>VLOOKUP($E28,'7. PGE_Efficacité'!$A$6:$BT$266,(MATCH('4.3 ACE EFF CAN'!AA$4,'7. PGE_Efficacité'!$A$4:$BU$4,0)+31),0)</f>
        <v>0</v>
      </c>
      <c r="AB28" s="366">
        <f>VLOOKUP($E28,'7. PGE_Efficacité'!$A$6:$BT$266,(MATCH('4.3 ACE EFF CAN'!AB$4,'7. PGE_Efficacité'!$A$4:$BU$4,0)+31),0)</f>
        <v>0</v>
      </c>
      <c r="AC28" s="366">
        <f>VLOOKUP($E28,'7. PGE_Efficacité'!$A$6:$BT$266,(MATCH('4.3 ACE EFF CAN'!AC$4,'7. PGE_Efficacité'!$A$4:$BU$4,0)+31),0)</f>
        <v>0</v>
      </c>
      <c r="AD28" s="366">
        <f>VLOOKUP($E28,'7. PGE_Efficacité'!$A$6:$BT$266,(MATCH('4.3 ACE EFF CAN'!AD$4,'7. PGE_Efficacité'!$A$4:$BU$4,0)+31),0)</f>
        <v>0</v>
      </c>
      <c r="AE28" s="366">
        <f>VLOOKUP($E28,'7. PGE_Efficacité'!$A$6:$BT$266,(MATCH('4.3 ACE EFF CAN'!AE$4,'7. PGE_Efficacité'!$A$4:$BU$4,0)+31),0)</f>
        <v>0</v>
      </c>
      <c r="AF28" s="366">
        <f>VLOOKUP($E28,'7. PGE_Efficacité'!$A$6:$BT$266,(MATCH('4.3 ACE EFF CAN'!AF$4,'7. PGE_Efficacité'!$A$4:$BU$4,0)+31),0)</f>
        <v>0</v>
      </c>
      <c r="AG28" s="366">
        <f>VLOOKUP($E28,'7. PGE_Efficacité'!$A$6:$BT$266,(MATCH('4.3 ACE EFF CAN'!AG$4,'7. PGE_Efficacité'!$A$4:$BU$4,0)+31),0)</f>
        <v>0</v>
      </c>
      <c r="AH28" s="366">
        <f>VLOOKUP($E28,'7. PGE_Efficacité'!$A$6:$BT$266,(MATCH('4.3 ACE EFF CAN'!AH$4,'7. PGE_Efficacité'!$A$4:$BU$4,0)+31),0)</f>
        <v>0</v>
      </c>
      <c r="AI28" s="366">
        <f>VLOOKUP($E28,'7. PGE_Efficacité'!$A$6:$BT$266,(MATCH('4.3 ACE EFF CAN'!AI$4,'7. PGE_Efficacité'!$A$4:$BU$4,0)+31),0)</f>
        <v>0</v>
      </c>
      <c r="AJ28" s="366">
        <f>VLOOKUP($E28,'7. PGE_Efficacité'!$A$6:$BT$266,(MATCH('4.3 ACE EFF CAN'!AJ$4,'7. PGE_Efficacité'!$A$4:$BU$4,0)+31),0)</f>
        <v>0</v>
      </c>
      <c r="AK28" s="366">
        <f>VLOOKUP($E28,'7. PGE_Efficacité'!$A$6:$BT$266,(MATCH('4.3 ACE EFF CAN'!AK$4,'7. PGE_Efficacité'!$A$4:$BU$4,0)+31),0)</f>
        <v>0</v>
      </c>
      <c r="AL28" s="366">
        <f>VLOOKUP($E28,'7. PGE_Efficacité'!$A$6:$BT$266,(MATCH('4.3 ACE EFF CAN'!AL$4,'7. PGE_Efficacité'!$A$4:$BU$4,0)+31),0)</f>
        <v>0</v>
      </c>
      <c r="AM28" s="366">
        <f>VLOOKUP($E28,'7. PGE_Efficacité'!$A$6:$BT$266,(MATCH('4.3 ACE EFF CAN'!AM$4,'7. PGE_Efficacité'!$A$4:$BU$4,0)+31),0)</f>
        <v>0</v>
      </c>
      <c r="AN28" s="366">
        <f>VLOOKUP($E28,'7. PGE_Efficacité'!$A$6:$BT$266,(MATCH('4.3 ACE EFF CAN'!AN$4,'7. PGE_Efficacité'!$A$4:$BU$4,0)+31),0)</f>
        <v>0</v>
      </c>
    </row>
    <row r="29" spans="1:40" outlineLevel="2" x14ac:dyDescent="0.25">
      <c r="A29" s="154" t="s">
        <v>1524</v>
      </c>
      <c r="B29" s="154">
        <v>4</v>
      </c>
      <c r="C29" s="154" t="s">
        <v>1514</v>
      </c>
      <c r="D29" s="330" t="s">
        <v>3</v>
      </c>
      <c r="E29" s="330" t="s">
        <v>788</v>
      </c>
      <c r="F29" s="330" t="s">
        <v>1426</v>
      </c>
      <c r="G29" s="330" t="s">
        <v>1520</v>
      </c>
      <c r="H29" s="330" t="s">
        <v>1290</v>
      </c>
      <c r="I29" s="364">
        <f>165000/3</f>
        <v>55000</v>
      </c>
      <c r="J29" s="365">
        <f>VLOOKUP($E29,'7. PGE_Efficacité'!$A$6:$BT$266,(MATCH('4.3 ACE EFF CAN'!J$4,'7. PGE_Efficacité'!$A$4:$BU$4,0)+31),0)</f>
        <v>0</v>
      </c>
      <c r="K29" s="365">
        <f>VLOOKUP($E29,'7. PGE_Efficacité'!$A$6:$BT$266,(MATCH('4.3 ACE EFF CAN'!K$4,'7. PGE_Efficacité'!$A$4:$BU$4,0)+31),0)</f>
        <v>0</v>
      </c>
      <c r="L29" s="365">
        <f>VLOOKUP($E29,'7. PGE_Efficacité'!$A$6:$BT$266,(MATCH('4.3 ACE EFF CAN'!L$4,'7. PGE_Efficacité'!$A$4:$BU$4,0)+31),0)</f>
        <v>0</v>
      </c>
      <c r="M29" s="365">
        <f>VLOOKUP($E29,'7. PGE_Efficacité'!$A$6:$BT$266,(MATCH('4.3 ACE EFF CAN'!M$4,'7. PGE_Efficacité'!$A$4:$BU$4,0)+31),0)</f>
        <v>0</v>
      </c>
      <c r="N29" s="365">
        <f>VLOOKUP($E29,'7. PGE_Efficacité'!$A$6:$BT$266,(MATCH('4.3 ACE EFF CAN'!N$4,'7. PGE_Efficacité'!$A$4:$BU$4,0)+31),0)</f>
        <v>0</v>
      </c>
      <c r="O29" s="365">
        <f>VLOOKUP($E29,'7. PGE_Efficacité'!$A$6:$BT$266,(MATCH('4.3 ACE EFF CAN'!O$4,'7. PGE_Efficacité'!$A$4:$BU$4,0)+31),0)</f>
        <v>0</v>
      </c>
      <c r="P29" s="365">
        <f>VLOOKUP($E29,'7. PGE_Efficacité'!$A$6:$BT$266,(MATCH('4.3 ACE EFF CAN'!P$4,'7. PGE_Efficacité'!$A$4:$BU$4,0)+31),0)</f>
        <v>0</v>
      </c>
      <c r="Q29" s="365">
        <f>VLOOKUP($E29,'7. PGE_Efficacité'!$A$6:$BT$266,(MATCH('4.3 ACE EFF CAN'!Q$4,'7. PGE_Efficacité'!$A$4:$BU$4,0)+31),0)</f>
        <v>0</v>
      </c>
      <c r="R29" s="365">
        <f>VLOOKUP($E29,'7. PGE_Efficacité'!$A$6:$BT$266,(MATCH('4.3 ACE EFF CAN'!R$4,'7. PGE_Efficacité'!$A$4:$BU$4,0)+31),0)</f>
        <v>0</v>
      </c>
      <c r="S29" s="365">
        <f>VLOOKUP($E29,'7. PGE_Efficacité'!$A$6:$BT$266,(MATCH('4.3 ACE EFF CAN'!S$4,'7. PGE_Efficacité'!$A$4:$BU$4,0)+31),0)</f>
        <v>0</v>
      </c>
      <c r="T29" s="365">
        <f>VLOOKUP($E29,'7. PGE_Efficacité'!$A$6:$BT$266,(MATCH('4.3 ACE EFF CAN'!T$4,'7. PGE_Efficacité'!$A$4:$BU$4,0)+31),0)</f>
        <v>0</v>
      </c>
      <c r="U29" s="365">
        <f>VLOOKUP($E29,'7. PGE_Efficacité'!$A$6:$BT$266,(MATCH('4.3 ACE EFF CAN'!U$4,'7. PGE_Efficacité'!$A$4:$BU$4,0)+31),0)</f>
        <v>0</v>
      </c>
      <c r="V29" s="365">
        <f>VLOOKUP($E29,'7. PGE_Efficacité'!$A$6:$BT$266,(MATCH('4.3 ACE EFF CAN'!V$4,'7. PGE_Efficacité'!$A$4:$BU$4,0)+31),0)</f>
        <v>0</v>
      </c>
      <c r="W29" s="365">
        <f>VLOOKUP($E29,'7. PGE_Efficacité'!$A$6:$BT$266,(MATCH('4.3 ACE EFF CAN'!W$4,'7. PGE_Efficacité'!$A$4:$BU$4,0)+31),0)</f>
        <v>0</v>
      </c>
      <c r="X29" s="365">
        <f>VLOOKUP($E29,'7. PGE_Efficacité'!$A$6:$BT$266,(MATCH('4.3 ACE EFF CAN'!X$4,'7. PGE_Efficacité'!$A$4:$BU$4,0)+31),0)</f>
        <v>0</v>
      </c>
      <c r="Y29" s="366">
        <f>VLOOKUP($E29,'7. PGE_Efficacité'!$A$6:$BT$266,(MATCH('4.3 ACE EFF CAN'!Y$4,'7. PGE_Efficacité'!$A$4:$BU$4,0)+31),0)</f>
        <v>0</v>
      </c>
      <c r="Z29" s="366">
        <f>VLOOKUP($E29,'7. PGE_Efficacité'!$A$6:$BT$266,(MATCH('4.3 ACE EFF CAN'!Z$4,'7. PGE_Efficacité'!$A$4:$BU$4,0)+31),0)</f>
        <v>0</v>
      </c>
      <c r="AA29" s="366">
        <f>VLOOKUP($E29,'7. PGE_Efficacité'!$A$6:$BT$266,(MATCH('4.3 ACE EFF CAN'!AA$4,'7. PGE_Efficacité'!$A$4:$BU$4,0)+31),0)</f>
        <v>0</v>
      </c>
      <c r="AB29" s="366">
        <f>VLOOKUP($E29,'7. PGE_Efficacité'!$A$6:$BT$266,(MATCH('4.3 ACE EFF CAN'!AB$4,'7. PGE_Efficacité'!$A$4:$BU$4,0)+31),0)</f>
        <v>0</v>
      </c>
      <c r="AC29" s="366">
        <f>VLOOKUP($E29,'7. PGE_Efficacité'!$A$6:$BT$266,(MATCH('4.3 ACE EFF CAN'!AC$4,'7. PGE_Efficacité'!$A$4:$BU$4,0)+31),0)</f>
        <v>0</v>
      </c>
      <c r="AD29" s="366">
        <f>VLOOKUP($E29,'7. PGE_Efficacité'!$A$6:$BT$266,(MATCH('4.3 ACE EFF CAN'!AD$4,'7. PGE_Efficacité'!$A$4:$BU$4,0)+31),0)</f>
        <v>0</v>
      </c>
      <c r="AE29" s="366">
        <f>VLOOKUP($E29,'7. PGE_Efficacité'!$A$6:$BT$266,(MATCH('4.3 ACE EFF CAN'!AE$4,'7. PGE_Efficacité'!$A$4:$BU$4,0)+31),0)</f>
        <v>0</v>
      </c>
      <c r="AF29" s="366">
        <f>VLOOKUP($E29,'7. PGE_Efficacité'!$A$6:$BT$266,(MATCH('4.3 ACE EFF CAN'!AF$4,'7. PGE_Efficacité'!$A$4:$BU$4,0)+31),0)</f>
        <v>0</v>
      </c>
      <c r="AG29" s="366">
        <f>VLOOKUP($E29,'7. PGE_Efficacité'!$A$6:$BT$266,(MATCH('4.3 ACE EFF CAN'!AG$4,'7. PGE_Efficacité'!$A$4:$BU$4,0)+31),0)</f>
        <v>0</v>
      </c>
      <c r="AH29" s="366">
        <f>VLOOKUP($E29,'7. PGE_Efficacité'!$A$6:$BT$266,(MATCH('4.3 ACE EFF CAN'!AH$4,'7. PGE_Efficacité'!$A$4:$BU$4,0)+31),0)</f>
        <v>0</v>
      </c>
      <c r="AI29" s="366">
        <f>VLOOKUP($E29,'7. PGE_Efficacité'!$A$6:$BT$266,(MATCH('4.3 ACE EFF CAN'!AI$4,'7. PGE_Efficacité'!$A$4:$BU$4,0)+31),0)</f>
        <v>0</v>
      </c>
      <c r="AJ29" s="366">
        <f>VLOOKUP($E29,'7. PGE_Efficacité'!$A$6:$BT$266,(MATCH('4.3 ACE EFF CAN'!AJ$4,'7. PGE_Efficacité'!$A$4:$BU$4,0)+31),0)</f>
        <v>0</v>
      </c>
      <c r="AK29" s="366">
        <f>VLOOKUP($E29,'7. PGE_Efficacité'!$A$6:$BT$266,(MATCH('4.3 ACE EFF CAN'!AK$4,'7. PGE_Efficacité'!$A$4:$BU$4,0)+31),0)</f>
        <v>0</v>
      </c>
      <c r="AL29" s="366">
        <f>VLOOKUP($E29,'7. PGE_Efficacité'!$A$6:$BT$266,(MATCH('4.3 ACE EFF CAN'!AL$4,'7. PGE_Efficacité'!$A$4:$BU$4,0)+31),0)</f>
        <v>0</v>
      </c>
      <c r="AM29" s="366">
        <f>VLOOKUP($E29,'7. PGE_Efficacité'!$A$6:$BT$266,(MATCH('4.3 ACE EFF CAN'!AM$4,'7. PGE_Efficacité'!$A$4:$BU$4,0)+31),0)</f>
        <v>0</v>
      </c>
      <c r="AN29" s="366">
        <f>VLOOKUP($E29,'7. PGE_Efficacité'!$A$6:$BT$266,(MATCH('4.3 ACE EFF CAN'!AN$4,'7. PGE_Efficacité'!$A$4:$BU$4,0)+31),0)</f>
        <v>0</v>
      </c>
    </row>
    <row r="30" spans="1:40" outlineLevel="2" x14ac:dyDescent="0.25">
      <c r="A30" s="154" t="s">
        <v>1524</v>
      </c>
      <c r="B30" s="154">
        <v>4</v>
      </c>
      <c r="C30" s="154" t="s">
        <v>1532</v>
      </c>
      <c r="D30" s="330" t="s">
        <v>3</v>
      </c>
      <c r="E30" s="330" t="s">
        <v>797</v>
      </c>
      <c r="F30" s="330" t="s">
        <v>1435</v>
      </c>
      <c r="G30" s="330" t="s">
        <v>1520</v>
      </c>
      <c r="H30" s="330" t="s">
        <v>1290</v>
      </c>
      <c r="I30" s="364">
        <v>0</v>
      </c>
      <c r="J30" s="365">
        <f>VLOOKUP($E30,'7. PGE_Efficacité'!$A$6:$BT$266,(MATCH('4.3 ACE EFF CAN'!J$4,'7. PGE_Efficacité'!$A$4:$BU$4,0)+31),0)</f>
        <v>0</v>
      </c>
      <c r="K30" s="365">
        <f>VLOOKUP($E30,'7. PGE_Efficacité'!$A$6:$BT$266,(MATCH('4.3 ACE EFF CAN'!K$4,'7. PGE_Efficacité'!$A$4:$BU$4,0)+31),0)</f>
        <v>0</v>
      </c>
      <c r="L30" s="365">
        <f>VLOOKUP($E30,'7. PGE_Efficacité'!$A$6:$BT$266,(MATCH('4.3 ACE EFF CAN'!L$4,'7. PGE_Efficacité'!$A$4:$BU$4,0)+31),0)</f>
        <v>0</v>
      </c>
      <c r="M30" s="365">
        <f>VLOOKUP($E30,'7. PGE_Efficacité'!$A$6:$BT$266,(MATCH('4.3 ACE EFF CAN'!M$4,'7. PGE_Efficacité'!$A$4:$BU$4,0)+31),0)</f>
        <v>0</v>
      </c>
      <c r="N30" s="365">
        <f>VLOOKUP($E30,'7. PGE_Efficacité'!$A$6:$BT$266,(MATCH('4.3 ACE EFF CAN'!N$4,'7. PGE_Efficacité'!$A$4:$BU$4,0)+31),0)</f>
        <v>0</v>
      </c>
      <c r="O30" s="365">
        <f>VLOOKUP($E30,'7. PGE_Efficacité'!$A$6:$BT$266,(MATCH('4.3 ACE EFF CAN'!O$4,'7. PGE_Efficacité'!$A$4:$BU$4,0)+31),0)</f>
        <v>0</v>
      </c>
      <c r="P30" s="365">
        <f>VLOOKUP($E30,'7. PGE_Efficacité'!$A$6:$BT$266,(MATCH('4.3 ACE EFF CAN'!P$4,'7. PGE_Efficacité'!$A$4:$BU$4,0)+31),0)</f>
        <v>0</v>
      </c>
      <c r="Q30" s="365">
        <f>VLOOKUP($E30,'7. PGE_Efficacité'!$A$6:$BT$266,(MATCH('4.3 ACE EFF CAN'!Q$4,'7. PGE_Efficacité'!$A$4:$BU$4,0)+31),0)</f>
        <v>0</v>
      </c>
      <c r="R30" s="365">
        <f>VLOOKUP($E30,'7. PGE_Efficacité'!$A$6:$BT$266,(MATCH('4.3 ACE EFF CAN'!R$4,'7. PGE_Efficacité'!$A$4:$BU$4,0)+31),0)</f>
        <v>0</v>
      </c>
      <c r="S30" s="365">
        <f>VLOOKUP($E30,'7. PGE_Efficacité'!$A$6:$BT$266,(MATCH('4.3 ACE EFF CAN'!S$4,'7. PGE_Efficacité'!$A$4:$BU$4,0)+31),0)</f>
        <v>0</v>
      </c>
      <c r="T30" s="365">
        <f>VLOOKUP($E30,'7. PGE_Efficacité'!$A$6:$BT$266,(MATCH('4.3 ACE EFF CAN'!T$4,'7. PGE_Efficacité'!$A$4:$BU$4,0)+31),0)</f>
        <v>0</v>
      </c>
      <c r="U30" s="365">
        <f>VLOOKUP($E30,'7. PGE_Efficacité'!$A$6:$BT$266,(MATCH('4.3 ACE EFF CAN'!U$4,'7. PGE_Efficacité'!$A$4:$BU$4,0)+31),0)</f>
        <v>0</v>
      </c>
      <c r="V30" s="365">
        <f>VLOOKUP($E30,'7. PGE_Efficacité'!$A$6:$BT$266,(MATCH('4.3 ACE EFF CAN'!V$4,'7. PGE_Efficacité'!$A$4:$BU$4,0)+31),0)</f>
        <v>0</v>
      </c>
      <c r="W30" s="365">
        <f>VLOOKUP($E30,'7. PGE_Efficacité'!$A$6:$BT$266,(MATCH('4.3 ACE EFF CAN'!W$4,'7. PGE_Efficacité'!$A$4:$BU$4,0)+31),0)</f>
        <v>0</v>
      </c>
      <c r="X30" s="365">
        <f>VLOOKUP($E30,'7. PGE_Efficacité'!$A$6:$BT$266,(MATCH('4.3 ACE EFF CAN'!X$4,'7. PGE_Efficacité'!$A$4:$BU$4,0)+31),0)</f>
        <v>0</v>
      </c>
      <c r="Y30" s="366">
        <f>VLOOKUP($E30,'7. PGE_Efficacité'!$A$6:$BT$266,(MATCH('4.3 ACE EFF CAN'!Y$4,'7. PGE_Efficacité'!$A$4:$BU$4,0)+31),0)</f>
        <v>0</v>
      </c>
      <c r="Z30" s="366">
        <f>VLOOKUP($E30,'7. PGE_Efficacité'!$A$6:$BT$266,(MATCH('4.3 ACE EFF CAN'!Z$4,'7. PGE_Efficacité'!$A$4:$BU$4,0)+31),0)</f>
        <v>0</v>
      </c>
      <c r="AA30" s="366">
        <f>VLOOKUP($E30,'7. PGE_Efficacité'!$A$6:$BT$266,(MATCH('4.3 ACE EFF CAN'!AA$4,'7. PGE_Efficacité'!$A$4:$BU$4,0)+31),0)</f>
        <v>0</v>
      </c>
      <c r="AB30" s="366">
        <f>VLOOKUP($E30,'7. PGE_Efficacité'!$A$6:$BT$266,(MATCH('4.3 ACE EFF CAN'!AB$4,'7. PGE_Efficacité'!$A$4:$BU$4,0)+31),0)</f>
        <v>0</v>
      </c>
      <c r="AC30" s="366">
        <f>VLOOKUP($E30,'7. PGE_Efficacité'!$A$6:$BT$266,(MATCH('4.3 ACE EFF CAN'!AC$4,'7. PGE_Efficacité'!$A$4:$BU$4,0)+31),0)</f>
        <v>0</v>
      </c>
      <c r="AD30" s="366">
        <f>VLOOKUP($E30,'7. PGE_Efficacité'!$A$6:$BT$266,(MATCH('4.3 ACE EFF CAN'!AD$4,'7. PGE_Efficacité'!$A$4:$BU$4,0)+31),0)</f>
        <v>0</v>
      </c>
      <c r="AE30" s="366">
        <f>VLOOKUP($E30,'7. PGE_Efficacité'!$A$6:$BT$266,(MATCH('4.3 ACE EFF CAN'!AE$4,'7. PGE_Efficacité'!$A$4:$BU$4,0)+31),0)</f>
        <v>0</v>
      </c>
      <c r="AF30" s="366">
        <f>VLOOKUP($E30,'7. PGE_Efficacité'!$A$6:$BT$266,(MATCH('4.3 ACE EFF CAN'!AF$4,'7. PGE_Efficacité'!$A$4:$BU$4,0)+31),0)</f>
        <v>0</v>
      </c>
      <c r="AG30" s="366">
        <f>VLOOKUP($E30,'7. PGE_Efficacité'!$A$6:$BT$266,(MATCH('4.3 ACE EFF CAN'!AG$4,'7. PGE_Efficacité'!$A$4:$BU$4,0)+31),0)</f>
        <v>0</v>
      </c>
      <c r="AH30" s="366">
        <f>VLOOKUP($E30,'7. PGE_Efficacité'!$A$6:$BT$266,(MATCH('4.3 ACE EFF CAN'!AH$4,'7. PGE_Efficacité'!$A$4:$BU$4,0)+31),0)</f>
        <v>0</v>
      </c>
      <c r="AI30" s="366">
        <f>VLOOKUP($E30,'7. PGE_Efficacité'!$A$6:$BT$266,(MATCH('4.3 ACE EFF CAN'!AI$4,'7. PGE_Efficacité'!$A$4:$BU$4,0)+31),0)</f>
        <v>0</v>
      </c>
      <c r="AJ30" s="366">
        <f>VLOOKUP($E30,'7. PGE_Efficacité'!$A$6:$BT$266,(MATCH('4.3 ACE EFF CAN'!AJ$4,'7. PGE_Efficacité'!$A$4:$BU$4,0)+31),0)</f>
        <v>0</v>
      </c>
      <c r="AK30" s="366">
        <f>VLOOKUP($E30,'7. PGE_Efficacité'!$A$6:$BT$266,(MATCH('4.3 ACE EFF CAN'!AK$4,'7. PGE_Efficacité'!$A$4:$BU$4,0)+31),0)</f>
        <v>0</v>
      </c>
      <c r="AL30" s="366">
        <f>VLOOKUP($E30,'7. PGE_Efficacité'!$A$6:$BT$266,(MATCH('4.3 ACE EFF CAN'!AL$4,'7. PGE_Efficacité'!$A$4:$BU$4,0)+31),0)</f>
        <v>0</v>
      </c>
      <c r="AM30" s="366">
        <f>VLOOKUP($E30,'7. PGE_Efficacité'!$A$6:$BT$266,(MATCH('4.3 ACE EFF CAN'!AM$4,'7. PGE_Efficacité'!$A$4:$BU$4,0)+31),0)</f>
        <v>0</v>
      </c>
      <c r="AN30" s="366">
        <f>VLOOKUP($E30,'7. PGE_Efficacité'!$A$6:$BT$266,(MATCH('4.3 ACE EFF CAN'!AN$4,'7. PGE_Efficacité'!$A$4:$BU$4,0)+31),0)</f>
        <v>0</v>
      </c>
    </row>
    <row r="31" spans="1:40" outlineLevel="1" x14ac:dyDescent="0.25">
      <c r="A31" s="154"/>
      <c r="B31" s="154"/>
      <c r="C31" s="154"/>
      <c r="D31" s="360" t="s">
        <v>4</v>
      </c>
      <c r="E31" s="360"/>
      <c r="F31" s="361" t="str">
        <f>VLOOKUP(D31,'1. Mesures'!$A$2:$B$116,2,0)</f>
        <v xml:space="preserve">Inventorier les rejets directs dans une base de données dynamique </v>
      </c>
      <c r="G31" s="360"/>
      <c r="H31" s="360"/>
      <c r="I31" s="362">
        <f>SUBTOTAL(9,I32:I44)</f>
        <v>42000</v>
      </c>
      <c r="J31" s="366">
        <f>VLOOKUP($D31,'7. PGE_Efficacité'!$A$6:$BT$266,(MATCH('4.3 ACE EFF CAN'!J$4,'7. PGE_Efficacité'!$A$4:$AO$4,0)+31),0)</f>
        <v>0</v>
      </c>
      <c r="K31" s="366">
        <f>VLOOKUP($D31,'7. PGE_Efficacité'!$A$6:$BT$266,(MATCH('4.3 ACE EFF CAN'!K$4,'7. PGE_Efficacité'!$A$4:$AO$4,0)+31),0)</f>
        <v>0</v>
      </c>
      <c r="L31" s="366">
        <f>VLOOKUP($D31,'7. PGE_Efficacité'!$A$6:$BT$266,(MATCH('4.3 ACE EFF CAN'!L$4,'7. PGE_Efficacité'!$A$4:$AO$4,0)+31),0)</f>
        <v>0</v>
      </c>
      <c r="M31" s="366">
        <f>VLOOKUP($D31,'7. PGE_Efficacité'!$A$6:$BT$266,(MATCH('4.3 ACE EFF CAN'!M$4,'7. PGE_Efficacité'!$A$4:$AO$4,0)+31),0)</f>
        <v>0</v>
      </c>
      <c r="N31" s="366">
        <f>VLOOKUP($D31,'7. PGE_Efficacité'!$A$6:$BT$266,(MATCH('4.3 ACE EFF CAN'!N$4,'7. PGE_Efficacité'!$A$4:$AO$4,0)+31),0)</f>
        <v>0</v>
      </c>
      <c r="O31" s="366">
        <f>VLOOKUP($D31,'7. PGE_Efficacité'!$A$6:$BT$266,47,0)</f>
        <v>0</v>
      </c>
      <c r="P31" s="366">
        <f>VLOOKUP($D31,'7. PGE_Efficacité'!$A$6:$BT$266,(MATCH('4.3 ACE EFF CAN'!P$4,'7. PGE_Efficacité'!$A$4:$AO$4,0)+31),0)</f>
        <v>0</v>
      </c>
      <c r="Q31" s="366">
        <f>VLOOKUP($D31,'7. PGE_Efficacité'!$A$6:$BT$266,(MATCH('4.3 ACE EFF CAN'!Q$4,'7. PGE_Efficacité'!$A$4:$AO$4,0)+31),0)</f>
        <v>0</v>
      </c>
      <c r="R31" s="366">
        <f>VLOOKUP($D31,'7. PGE_Efficacité'!$A$6:$BT$266,(MATCH('4.3 ACE EFF CAN'!R$4,'7. PGE_Efficacité'!$A$4:$AO$4,0)+31),0)</f>
        <v>0</v>
      </c>
      <c r="S31" s="366">
        <f>VLOOKUP($D31,'7. PGE_Efficacité'!$A$6:$BT$266,(MATCH('4.3 ACE EFF CAN'!S$4,'7. PGE_Efficacité'!$A$4:$AO$4,0)+31),0)</f>
        <v>0</v>
      </c>
      <c r="T31" s="366">
        <f>VLOOKUP($D31,'7. PGE_Efficacité'!$A$6:$BT$266,(MATCH('4.3 ACE EFF CAN'!T$4,'7. PGE_Efficacité'!$A$4:$AO$4,0)+31),0)</f>
        <v>0</v>
      </c>
      <c r="U31" s="366">
        <f>VLOOKUP($D31,'7. PGE_Efficacité'!$A$6:$BT$266,(MATCH('4.3 ACE EFF CAN'!U$4,'7. PGE_Efficacité'!$A$4:$AO$4,0)+31),0)</f>
        <v>0</v>
      </c>
      <c r="V31" s="366">
        <f>VLOOKUP($D31,'7. PGE_Efficacité'!$A$6:$BT$266,(MATCH('4.3 ACE EFF CAN'!V$4,'7. PGE_Efficacité'!$A$4:$AO$4,0)+31),0)</f>
        <v>0</v>
      </c>
      <c r="W31" s="366">
        <f>VLOOKUP($D31,'7. PGE_Efficacité'!$A$6:$BT$266,(MATCH('4.3 ACE EFF CAN'!W$4,'7. PGE_Efficacité'!$A$4:$AO$4,0)+31),0)</f>
        <v>0</v>
      </c>
      <c r="X31" s="366">
        <f>VLOOKUP($D31,'7. PGE_Efficacité'!$A$6:$BT$266,(MATCH('4.3 ACE EFF CAN'!X$4,'7. PGE_Efficacité'!$A$4:$AO$4,0)+31),0)</f>
        <v>0</v>
      </c>
      <c r="Y31" s="366">
        <f>VLOOKUP($D31,'7. PGE_Efficacité'!$A$6:$BT$266,(MATCH('4.3 ACE EFF CAN'!Y$4,'7. PGE_Efficacité'!$A$4:$AO$4,0)+31),0)</f>
        <v>0</v>
      </c>
      <c r="Z31" s="366">
        <f>VLOOKUP($D31,'7. PGE_Efficacité'!$A$6:$BT$266,(MATCH('4.3 ACE EFF CAN'!Z$4,'7. PGE_Efficacité'!$A$4:$AO$4,0)+31),0)</f>
        <v>0</v>
      </c>
      <c r="AA31" s="366">
        <f>VLOOKUP($D31,'7. PGE_Efficacité'!$A$6:$BT$266,(MATCH('4.3 ACE EFF CAN'!AA$4,'7. PGE_Efficacité'!$A$4:$AO$4,0)+31),0)</f>
        <v>0</v>
      </c>
      <c r="AB31" s="366">
        <f>VLOOKUP($D31,'7. PGE_Efficacité'!$A$6:$BT$266,(MATCH('4.3 ACE EFF CAN'!AB$4,'7. PGE_Efficacité'!$A$4:$AO$4,0)+31),0)</f>
        <v>0</v>
      </c>
      <c r="AC31" s="366">
        <f>VLOOKUP($D31,'7. PGE_Efficacité'!$A$6:$BT$266,(MATCH('4.3 ACE EFF CAN'!AC$4,'7. PGE_Efficacité'!$A$4:$AO$4,0)+31),0)</f>
        <v>0</v>
      </c>
      <c r="AD31" s="366">
        <f>VLOOKUP($D31,'7. PGE_Efficacité'!$A$6:$BT$266,(MATCH('4.3 ACE EFF CAN'!AD$4,'7. PGE_Efficacité'!$A$4:$AO$4,0)+31),0)</f>
        <v>0</v>
      </c>
      <c r="AE31" s="366">
        <f>VLOOKUP($D31,'7. PGE_Efficacité'!$A$6:$BT$266,(MATCH('4.3 ACE EFF CAN'!AE$4,'7. PGE_Efficacité'!$A$4:$AO$4,0)+31),0)</f>
        <v>0</v>
      </c>
      <c r="AF31" s="366">
        <f>VLOOKUP($D31,'7. PGE_Efficacité'!$A$6:$BT$266,(MATCH('4.3 ACE EFF CAN'!AF$4,'7. PGE_Efficacité'!$A$4:$AO$4,0)+31),0)</f>
        <v>0</v>
      </c>
      <c r="AG31" s="366">
        <f>VLOOKUP($D31,'7. PGE_Efficacité'!$A$6:$BT$266,(MATCH('4.3 ACE EFF CAN'!AG$4,'7. PGE_Efficacité'!$A$4:$AO$4,0)+31),0)</f>
        <v>0</v>
      </c>
      <c r="AH31" s="366">
        <f>VLOOKUP($D31,'7. PGE_Efficacité'!$A$6:$BT$266,(MATCH('4.3 ACE EFF CAN'!AH$4,'7. PGE_Efficacité'!$A$4:$AO$4,0)+31),0)</f>
        <v>0</v>
      </c>
      <c r="AI31" s="366">
        <f>VLOOKUP($D31,'7. PGE_Efficacité'!$A$6:$BT$266,(MATCH('4.3 ACE EFF CAN'!AI$4,'7. PGE_Efficacité'!$A$4:$AO$4,0)+31),0)</f>
        <v>0</v>
      </c>
      <c r="AJ31" s="366">
        <f>VLOOKUP($D31,'7. PGE_Efficacité'!$A$6:$BT$266,(MATCH('4.3 ACE EFF CAN'!AJ$4,'7. PGE_Efficacité'!$A$4:$AO$4,0)+31),0)</f>
        <v>0</v>
      </c>
      <c r="AK31" s="366">
        <f>VLOOKUP($D31,'7. PGE_Efficacité'!$A$6:$BT$266,(MATCH('4.3 ACE EFF CAN'!AK$4,'7. PGE_Efficacité'!$A$4:$AO$4,0)+31),0)</f>
        <v>0</v>
      </c>
      <c r="AL31" s="366">
        <f>VLOOKUP($D31,'7. PGE_Efficacité'!$A$6:$BT$266,(MATCH('4.3 ACE EFF CAN'!AL$4,'7. PGE_Efficacité'!$A$4:$AO$4,0)+31),0)</f>
        <v>0</v>
      </c>
      <c r="AM31" s="366">
        <f>VLOOKUP($D31,'7. PGE_Efficacité'!$A$6:$BT$266,(MATCH('4.3 ACE EFF CAN'!AM$4,'7. PGE_Efficacité'!$A$4:$AO$4,0)+31),0)</f>
        <v>0</v>
      </c>
      <c r="AN31" s="366">
        <f>VLOOKUP($D31,'7. PGE_Efficacité'!$A$6:$BT$266,(MATCH('4.3 ACE EFF CAN'!AN$4,'7. PGE_Efficacité'!$A$4:$AO$4,0)+31),0)</f>
        <v>0</v>
      </c>
    </row>
    <row r="32" spans="1:40" outlineLevel="2" x14ac:dyDescent="0.25">
      <c r="A32" s="154" t="s">
        <v>1524</v>
      </c>
      <c r="B32" s="154">
        <v>5</v>
      </c>
      <c r="C32" s="154" t="s">
        <v>1524</v>
      </c>
      <c r="D32" s="330" t="s">
        <v>4</v>
      </c>
      <c r="E32" s="330" t="s">
        <v>798</v>
      </c>
      <c r="F32" s="330" t="s">
        <v>1436</v>
      </c>
      <c r="G32" s="330" t="s">
        <v>1521</v>
      </c>
      <c r="H32" s="330" t="s">
        <v>1290</v>
      </c>
      <c r="I32" s="364">
        <v>0</v>
      </c>
      <c r="J32" s="365">
        <f>VLOOKUP($E32,'7. PGE_Efficacité'!$A$6:$BT$266,(MATCH('4.3 ACE EFF CAN'!J$4,'7. PGE_Efficacité'!$A$4:$BU$4,0)+31),0)</f>
        <v>0</v>
      </c>
      <c r="K32" s="365">
        <f>VLOOKUP($E32,'7. PGE_Efficacité'!$A$6:$BT$266,(MATCH('4.3 ACE EFF CAN'!K$4,'7. PGE_Efficacité'!$A$4:$BU$4,0)+31),0)</f>
        <v>0</v>
      </c>
      <c r="L32" s="365">
        <f>VLOOKUP($E32,'7. PGE_Efficacité'!$A$6:$BT$266,(MATCH('4.3 ACE EFF CAN'!L$4,'7. PGE_Efficacité'!$A$4:$BU$4,0)+31),0)</f>
        <v>0</v>
      </c>
      <c r="M32" s="365">
        <f>VLOOKUP($E32,'7. PGE_Efficacité'!$A$6:$BT$266,(MATCH('4.3 ACE EFF CAN'!M$4,'7. PGE_Efficacité'!$A$4:$BU$4,0)+31),0)</f>
        <v>0</v>
      </c>
      <c r="N32" s="365">
        <f>VLOOKUP($E32,'7. PGE_Efficacité'!$A$6:$BT$266,(MATCH('4.3 ACE EFF CAN'!N$4,'7. PGE_Efficacité'!$A$4:$BU$4,0)+31),0)</f>
        <v>0</v>
      </c>
      <c r="O32" s="365">
        <f>VLOOKUP($E32,'7. PGE_Efficacité'!$A$6:$BT$266,(MATCH('4.3 ACE EFF CAN'!O$4,'7. PGE_Efficacité'!$A$4:$BU$4,0)+31),0)</f>
        <v>0</v>
      </c>
      <c r="P32" s="365">
        <f>VLOOKUP($E32,'7. PGE_Efficacité'!$A$6:$BT$266,(MATCH('4.3 ACE EFF CAN'!P$4,'7. PGE_Efficacité'!$A$4:$BU$4,0)+31),0)</f>
        <v>0</v>
      </c>
      <c r="Q32" s="365">
        <f>VLOOKUP($E32,'7. PGE_Efficacité'!$A$6:$BT$266,(MATCH('4.3 ACE EFF CAN'!Q$4,'7. PGE_Efficacité'!$A$4:$BU$4,0)+31),0)</f>
        <v>0</v>
      </c>
      <c r="R32" s="365">
        <f>VLOOKUP($E32,'7. PGE_Efficacité'!$A$6:$BT$266,(MATCH('4.3 ACE EFF CAN'!R$4,'7. PGE_Efficacité'!$A$4:$BU$4,0)+31),0)</f>
        <v>0</v>
      </c>
      <c r="S32" s="365">
        <f>VLOOKUP($E32,'7. PGE_Efficacité'!$A$6:$BT$266,(MATCH('4.3 ACE EFF CAN'!S$4,'7. PGE_Efficacité'!$A$4:$BU$4,0)+31),0)</f>
        <v>0</v>
      </c>
      <c r="T32" s="365">
        <f>VLOOKUP($E32,'7. PGE_Efficacité'!$A$6:$BT$266,(MATCH('4.3 ACE EFF CAN'!T$4,'7. PGE_Efficacité'!$A$4:$BU$4,0)+31),0)</f>
        <v>0</v>
      </c>
      <c r="U32" s="365">
        <f>VLOOKUP($E32,'7. PGE_Efficacité'!$A$6:$BT$266,(MATCH('4.3 ACE EFF CAN'!U$4,'7. PGE_Efficacité'!$A$4:$BU$4,0)+31),0)</f>
        <v>0</v>
      </c>
      <c r="V32" s="365">
        <f>VLOOKUP($E32,'7. PGE_Efficacité'!$A$6:$BT$266,(MATCH('4.3 ACE EFF CAN'!V$4,'7. PGE_Efficacité'!$A$4:$BU$4,0)+31),0)</f>
        <v>0</v>
      </c>
      <c r="W32" s="365">
        <f>VLOOKUP($E32,'7. PGE_Efficacité'!$A$6:$BT$266,(MATCH('4.3 ACE EFF CAN'!W$4,'7. PGE_Efficacité'!$A$4:$BU$4,0)+31),0)</f>
        <v>0</v>
      </c>
      <c r="X32" s="365">
        <f>VLOOKUP($E32,'7. PGE_Efficacité'!$A$6:$BT$266,(MATCH('4.3 ACE EFF CAN'!X$4,'7. PGE_Efficacité'!$A$4:$BU$4,0)+31),0)</f>
        <v>0</v>
      </c>
      <c r="Y32" s="366">
        <f>VLOOKUP($E32,'7. PGE_Efficacité'!$A$6:$BT$266,(MATCH('4.3 ACE EFF CAN'!Y$4,'7. PGE_Efficacité'!$A$4:$BU$4,0)+31),0)</f>
        <v>0</v>
      </c>
      <c r="Z32" s="366">
        <f>VLOOKUP($E32,'7. PGE_Efficacité'!$A$6:$BT$266,(MATCH('4.3 ACE EFF CAN'!Z$4,'7. PGE_Efficacité'!$A$4:$BU$4,0)+31),0)</f>
        <v>0</v>
      </c>
      <c r="AA32" s="366">
        <f>VLOOKUP($E32,'7. PGE_Efficacité'!$A$6:$BT$266,(MATCH('4.3 ACE EFF CAN'!AA$4,'7. PGE_Efficacité'!$A$4:$BU$4,0)+31),0)</f>
        <v>0</v>
      </c>
      <c r="AB32" s="366">
        <f>VLOOKUP($E32,'7. PGE_Efficacité'!$A$6:$BT$266,(MATCH('4.3 ACE EFF CAN'!AB$4,'7. PGE_Efficacité'!$A$4:$BU$4,0)+31),0)</f>
        <v>0</v>
      </c>
      <c r="AC32" s="366">
        <f>VLOOKUP($E32,'7. PGE_Efficacité'!$A$6:$BT$266,(MATCH('4.3 ACE EFF CAN'!AC$4,'7. PGE_Efficacité'!$A$4:$BU$4,0)+31),0)</f>
        <v>0</v>
      </c>
      <c r="AD32" s="366">
        <f>VLOOKUP($E32,'7. PGE_Efficacité'!$A$6:$BT$266,(MATCH('4.3 ACE EFF CAN'!AD$4,'7. PGE_Efficacité'!$A$4:$BU$4,0)+31),0)</f>
        <v>0</v>
      </c>
      <c r="AE32" s="366">
        <f>VLOOKUP($E32,'7. PGE_Efficacité'!$A$6:$BT$266,(MATCH('4.3 ACE EFF CAN'!AE$4,'7. PGE_Efficacité'!$A$4:$BU$4,0)+31),0)</f>
        <v>0</v>
      </c>
      <c r="AF32" s="366">
        <f>VLOOKUP($E32,'7. PGE_Efficacité'!$A$6:$BT$266,(MATCH('4.3 ACE EFF CAN'!AF$4,'7. PGE_Efficacité'!$A$4:$BU$4,0)+31),0)</f>
        <v>0</v>
      </c>
      <c r="AG32" s="366">
        <f>VLOOKUP($E32,'7. PGE_Efficacité'!$A$6:$BT$266,(MATCH('4.3 ACE EFF CAN'!AG$4,'7. PGE_Efficacité'!$A$4:$BU$4,0)+31),0)</f>
        <v>0</v>
      </c>
      <c r="AH32" s="366">
        <f>VLOOKUP($E32,'7. PGE_Efficacité'!$A$6:$BT$266,(MATCH('4.3 ACE EFF CAN'!AH$4,'7. PGE_Efficacité'!$A$4:$BU$4,0)+31),0)</f>
        <v>0</v>
      </c>
      <c r="AI32" s="366">
        <f>VLOOKUP($E32,'7. PGE_Efficacité'!$A$6:$BT$266,(MATCH('4.3 ACE EFF CAN'!AI$4,'7. PGE_Efficacité'!$A$4:$BU$4,0)+31),0)</f>
        <v>0</v>
      </c>
      <c r="AJ32" s="366">
        <f>VLOOKUP($E32,'7. PGE_Efficacité'!$A$6:$BT$266,(MATCH('4.3 ACE EFF CAN'!AJ$4,'7. PGE_Efficacité'!$A$4:$BU$4,0)+31),0)</f>
        <v>0</v>
      </c>
      <c r="AK32" s="366">
        <f>VLOOKUP($E32,'7. PGE_Efficacité'!$A$6:$BT$266,(MATCH('4.3 ACE EFF CAN'!AK$4,'7. PGE_Efficacité'!$A$4:$BU$4,0)+31),0)</f>
        <v>0</v>
      </c>
      <c r="AL32" s="366">
        <f>VLOOKUP($E32,'7. PGE_Efficacité'!$A$6:$BT$266,(MATCH('4.3 ACE EFF CAN'!AL$4,'7. PGE_Efficacité'!$A$4:$BU$4,0)+31),0)</f>
        <v>0</v>
      </c>
      <c r="AM32" s="366">
        <f>VLOOKUP($E32,'7. PGE_Efficacité'!$A$6:$BT$266,(MATCH('4.3 ACE EFF CAN'!AM$4,'7. PGE_Efficacité'!$A$4:$BU$4,0)+31),0)</f>
        <v>0</v>
      </c>
      <c r="AN32" s="366">
        <f>VLOOKUP($E32,'7. PGE_Efficacité'!$A$6:$BT$266,(MATCH('4.3 ACE EFF CAN'!AN$4,'7. PGE_Efficacité'!$A$4:$BU$4,0)+31),0)</f>
        <v>0</v>
      </c>
    </row>
    <row r="33" spans="1:40" outlineLevel="2" x14ac:dyDescent="0.25">
      <c r="A33" s="154" t="s">
        <v>1524</v>
      </c>
      <c r="B33" s="154">
        <v>5</v>
      </c>
      <c r="C33" s="154" t="s">
        <v>1525</v>
      </c>
      <c r="D33" s="330" t="s">
        <v>4</v>
      </c>
      <c r="E33" s="330" t="s">
        <v>809</v>
      </c>
      <c r="F33" s="330" t="s">
        <v>1440</v>
      </c>
      <c r="G33" s="330" t="s">
        <v>1521</v>
      </c>
      <c r="H33" s="330" t="s">
        <v>1290</v>
      </c>
      <c r="I33" s="364">
        <v>0</v>
      </c>
      <c r="J33" s="365">
        <f>VLOOKUP($E33,'7. PGE_Efficacité'!$A$6:$BT$266,(MATCH('4.3 ACE EFF CAN'!J$4,'7. PGE_Efficacité'!$A$4:$BU$4,0)+31),0)</f>
        <v>0</v>
      </c>
      <c r="K33" s="365">
        <f>VLOOKUP($E33,'7. PGE_Efficacité'!$A$6:$BT$266,(MATCH('4.3 ACE EFF CAN'!K$4,'7. PGE_Efficacité'!$A$4:$BU$4,0)+31),0)</f>
        <v>0</v>
      </c>
      <c r="L33" s="365">
        <f>VLOOKUP($E33,'7. PGE_Efficacité'!$A$6:$BT$266,(MATCH('4.3 ACE EFF CAN'!L$4,'7. PGE_Efficacité'!$A$4:$BU$4,0)+31),0)</f>
        <v>0</v>
      </c>
      <c r="M33" s="365">
        <f>VLOOKUP($E33,'7. PGE_Efficacité'!$A$6:$BT$266,(MATCH('4.3 ACE EFF CAN'!M$4,'7. PGE_Efficacité'!$A$4:$BU$4,0)+31),0)</f>
        <v>0</v>
      </c>
      <c r="N33" s="365">
        <f>VLOOKUP($E33,'7. PGE_Efficacité'!$A$6:$BT$266,(MATCH('4.3 ACE EFF CAN'!N$4,'7. PGE_Efficacité'!$A$4:$BU$4,0)+31),0)</f>
        <v>0</v>
      </c>
      <c r="O33" s="365">
        <f>VLOOKUP($E33,'7. PGE_Efficacité'!$A$6:$BT$266,(MATCH('4.3 ACE EFF CAN'!O$4,'7. PGE_Efficacité'!$A$4:$BU$4,0)+31),0)</f>
        <v>0</v>
      </c>
      <c r="P33" s="365">
        <f>VLOOKUP($E33,'7. PGE_Efficacité'!$A$6:$BT$266,(MATCH('4.3 ACE EFF CAN'!P$4,'7. PGE_Efficacité'!$A$4:$BU$4,0)+31),0)</f>
        <v>0</v>
      </c>
      <c r="Q33" s="365">
        <f>VLOOKUP($E33,'7. PGE_Efficacité'!$A$6:$BT$266,(MATCH('4.3 ACE EFF CAN'!Q$4,'7. PGE_Efficacité'!$A$4:$BU$4,0)+31),0)</f>
        <v>0</v>
      </c>
      <c r="R33" s="365">
        <f>VLOOKUP($E33,'7. PGE_Efficacité'!$A$6:$BT$266,(MATCH('4.3 ACE EFF CAN'!R$4,'7. PGE_Efficacité'!$A$4:$BU$4,0)+31),0)</f>
        <v>0</v>
      </c>
      <c r="S33" s="365">
        <f>VLOOKUP($E33,'7. PGE_Efficacité'!$A$6:$BT$266,(MATCH('4.3 ACE EFF CAN'!S$4,'7. PGE_Efficacité'!$A$4:$BU$4,0)+31),0)</f>
        <v>0</v>
      </c>
      <c r="T33" s="365">
        <f>VLOOKUP($E33,'7. PGE_Efficacité'!$A$6:$BT$266,(MATCH('4.3 ACE EFF CAN'!T$4,'7. PGE_Efficacité'!$A$4:$BU$4,0)+31),0)</f>
        <v>0</v>
      </c>
      <c r="U33" s="365">
        <f>VLOOKUP($E33,'7. PGE_Efficacité'!$A$6:$BT$266,(MATCH('4.3 ACE EFF CAN'!U$4,'7. PGE_Efficacité'!$A$4:$BU$4,0)+31),0)</f>
        <v>0</v>
      </c>
      <c r="V33" s="365">
        <f>VLOOKUP($E33,'7. PGE_Efficacité'!$A$6:$BT$266,(MATCH('4.3 ACE EFF CAN'!V$4,'7. PGE_Efficacité'!$A$4:$BU$4,0)+31),0)</f>
        <v>0</v>
      </c>
      <c r="W33" s="365">
        <f>VLOOKUP($E33,'7. PGE_Efficacité'!$A$6:$BT$266,(MATCH('4.3 ACE EFF CAN'!W$4,'7. PGE_Efficacité'!$A$4:$BU$4,0)+31),0)</f>
        <v>0</v>
      </c>
      <c r="X33" s="365">
        <f>VLOOKUP($E33,'7. PGE_Efficacité'!$A$6:$BT$266,(MATCH('4.3 ACE EFF CAN'!X$4,'7. PGE_Efficacité'!$A$4:$BU$4,0)+31),0)</f>
        <v>0</v>
      </c>
      <c r="Y33" s="366">
        <f>VLOOKUP($E33,'7. PGE_Efficacité'!$A$6:$BT$266,(MATCH('4.3 ACE EFF CAN'!Y$4,'7. PGE_Efficacité'!$A$4:$BU$4,0)+31),0)</f>
        <v>0</v>
      </c>
      <c r="Z33" s="366">
        <f>VLOOKUP($E33,'7. PGE_Efficacité'!$A$6:$BT$266,(MATCH('4.3 ACE EFF CAN'!Z$4,'7. PGE_Efficacité'!$A$4:$BU$4,0)+31),0)</f>
        <v>0</v>
      </c>
      <c r="AA33" s="366">
        <f>VLOOKUP($E33,'7. PGE_Efficacité'!$A$6:$BT$266,(MATCH('4.3 ACE EFF CAN'!AA$4,'7. PGE_Efficacité'!$A$4:$BU$4,0)+31),0)</f>
        <v>0</v>
      </c>
      <c r="AB33" s="366">
        <f>VLOOKUP($E33,'7. PGE_Efficacité'!$A$6:$BT$266,(MATCH('4.3 ACE EFF CAN'!AB$4,'7. PGE_Efficacité'!$A$4:$BU$4,0)+31),0)</f>
        <v>0</v>
      </c>
      <c r="AC33" s="366">
        <f>VLOOKUP($E33,'7. PGE_Efficacité'!$A$6:$BT$266,(MATCH('4.3 ACE EFF CAN'!AC$4,'7. PGE_Efficacité'!$A$4:$BU$4,0)+31),0)</f>
        <v>0</v>
      </c>
      <c r="AD33" s="366">
        <f>VLOOKUP($E33,'7. PGE_Efficacité'!$A$6:$BT$266,(MATCH('4.3 ACE EFF CAN'!AD$4,'7. PGE_Efficacité'!$A$4:$BU$4,0)+31),0)</f>
        <v>0</v>
      </c>
      <c r="AE33" s="366">
        <f>VLOOKUP($E33,'7. PGE_Efficacité'!$A$6:$BT$266,(MATCH('4.3 ACE EFF CAN'!AE$4,'7. PGE_Efficacité'!$A$4:$BU$4,0)+31),0)</f>
        <v>0</v>
      </c>
      <c r="AF33" s="366">
        <f>VLOOKUP($E33,'7. PGE_Efficacité'!$A$6:$BT$266,(MATCH('4.3 ACE EFF CAN'!AF$4,'7. PGE_Efficacité'!$A$4:$BU$4,0)+31),0)</f>
        <v>0</v>
      </c>
      <c r="AG33" s="366">
        <f>VLOOKUP($E33,'7. PGE_Efficacité'!$A$6:$BT$266,(MATCH('4.3 ACE EFF CAN'!AG$4,'7. PGE_Efficacité'!$A$4:$BU$4,0)+31),0)</f>
        <v>0</v>
      </c>
      <c r="AH33" s="366">
        <f>VLOOKUP($E33,'7. PGE_Efficacité'!$A$6:$BT$266,(MATCH('4.3 ACE EFF CAN'!AH$4,'7. PGE_Efficacité'!$A$4:$BU$4,0)+31),0)</f>
        <v>0</v>
      </c>
      <c r="AI33" s="366">
        <f>VLOOKUP($E33,'7. PGE_Efficacité'!$A$6:$BT$266,(MATCH('4.3 ACE EFF CAN'!AI$4,'7. PGE_Efficacité'!$A$4:$BU$4,0)+31),0)</f>
        <v>0</v>
      </c>
      <c r="AJ33" s="366">
        <f>VLOOKUP($E33,'7. PGE_Efficacité'!$A$6:$BT$266,(MATCH('4.3 ACE EFF CAN'!AJ$4,'7. PGE_Efficacité'!$A$4:$BU$4,0)+31),0)</f>
        <v>0</v>
      </c>
      <c r="AK33" s="366">
        <f>VLOOKUP($E33,'7. PGE_Efficacité'!$A$6:$BT$266,(MATCH('4.3 ACE EFF CAN'!AK$4,'7. PGE_Efficacité'!$A$4:$BU$4,0)+31),0)</f>
        <v>0</v>
      </c>
      <c r="AL33" s="366">
        <f>VLOOKUP($E33,'7. PGE_Efficacité'!$A$6:$BT$266,(MATCH('4.3 ACE EFF CAN'!AL$4,'7. PGE_Efficacité'!$A$4:$BU$4,0)+31),0)</f>
        <v>0</v>
      </c>
      <c r="AM33" s="366">
        <f>VLOOKUP($E33,'7. PGE_Efficacité'!$A$6:$BT$266,(MATCH('4.3 ACE EFF CAN'!AM$4,'7. PGE_Efficacité'!$A$4:$BU$4,0)+31),0)</f>
        <v>0</v>
      </c>
      <c r="AN33" s="366">
        <f>VLOOKUP($E33,'7. PGE_Efficacité'!$A$6:$BT$266,(MATCH('4.3 ACE EFF CAN'!AN$4,'7. PGE_Efficacité'!$A$4:$BU$4,0)+31),0)</f>
        <v>0</v>
      </c>
    </row>
    <row r="34" spans="1:40" outlineLevel="2" x14ac:dyDescent="0.25">
      <c r="A34" s="154" t="s">
        <v>1524</v>
      </c>
      <c r="B34" s="154">
        <v>5</v>
      </c>
      <c r="C34" s="154" t="s">
        <v>1526</v>
      </c>
      <c r="D34" s="330" t="s">
        <v>4</v>
      </c>
      <c r="E34" s="330" t="s">
        <v>814</v>
      </c>
      <c r="F34" s="330" t="s">
        <v>1445</v>
      </c>
      <c r="G34" s="330" t="s">
        <v>1521</v>
      </c>
      <c r="H34" s="330" t="s">
        <v>1290</v>
      </c>
      <c r="I34" s="364">
        <v>0</v>
      </c>
      <c r="J34" s="365">
        <f>VLOOKUP($E34,'7. PGE_Efficacité'!$A$6:$BT$266,(MATCH('4.3 ACE EFF CAN'!J$4,'7. PGE_Efficacité'!$A$4:$BU$4,0)+31),0)</f>
        <v>0</v>
      </c>
      <c r="K34" s="365">
        <f>VLOOKUP($E34,'7. PGE_Efficacité'!$A$6:$BT$266,(MATCH('4.3 ACE EFF CAN'!K$4,'7. PGE_Efficacité'!$A$4:$BU$4,0)+31),0)</f>
        <v>0</v>
      </c>
      <c r="L34" s="365">
        <f>VLOOKUP($E34,'7. PGE_Efficacité'!$A$6:$BT$266,(MATCH('4.3 ACE EFF CAN'!L$4,'7. PGE_Efficacité'!$A$4:$BU$4,0)+31),0)</f>
        <v>0</v>
      </c>
      <c r="M34" s="365">
        <f>VLOOKUP($E34,'7. PGE_Efficacité'!$A$6:$BT$266,(MATCH('4.3 ACE EFF CAN'!M$4,'7. PGE_Efficacité'!$A$4:$BU$4,0)+31),0)</f>
        <v>0</v>
      </c>
      <c r="N34" s="365">
        <f>VLOOKUP($E34,'7. PGE_Efficacité'!$A$6:$BT$266,(MATCH('4.3 ACE EFF CAN'!N$4,'7. PGE_Efficacité'!$A$4:$BU$4,0)+31),0)</f>
        <v>0</v>
      </c>
      <c r="O34" s="365">
        <f>VLOOKUP($E34,'7. PGE_Efficacité'!$A$6:$BT$266,(MATCH('4.3 ACE EFF CAN'!O$4,'7. PGE_Efficacité'!$A$4:$BU$4,0)+31),0)</f>
        <v>0</v>
      </c>
      <c r="P34" s="365">
        <f>VLOOKUP($E34,'7. PGE_Efficacité'!$A$6:$BT$266,(MATCH('4.3 ACE EFF CAN'!P$4,'7. PGE_Efficacité'!$A$4:$BU$4,0)+31),0)</f>
        <v>0</v>
      </c>
      <c r="Q34" s="365">
        <f>VLOOKUP($E34,'7. PGE_Efficacité'!$A$6:$BT$266,(MATCH('4.3 ACE EFF CAN'!Q$4,'7. PGE_Efficacité'!$A$4:$BU$4,0)+31),0)</f>
        <v>0</v>
      </c>
      <c r="R34" s="365">
        <f>VLOOKUP($E34,'7. PGE_Efficacité'!$A$6:$BT$266,(MATCH('4.3 ACE EFF CAN'!R$4,'7. PGE_Efficacité'!$A$4:$BU$4,0)+31),0)</f>
        <v>0</v>
      </c>
      <c r="S34" s="365">
        <f>VLOOKUP($E34,'7. PGE_Efficacité'!$A$6:$BT$266,(MATCH('4.3 ACE EFF CAN'!S$4,'7. PGE_Efficacité'!$A$4:$BU$4,0)+31),0)</f>
        <v>0</v>
      </c>
      <c r="T34" s="365">
        <f>VLOOKUP($E34,'7. PGE_Efficacité'!$A$6:$BT$266,(MATCH('4.3 ACE EFF CAN'!T$4,'7. PGE_Efficacité'!$A$4:$BU$4,0)+31),0)</f>
        <v>0</v>
      </c>
      <c r="U34" s="365">
        <f>VLOOKUP($E34,'7. PGE_Efficacité'!$A$6:$BT$266,(MATCH('4.3 ACE EFF CAN'!U$4,'7. PGE_Efficacité'!$A$4:$BU$4,0)+31),0)</f>
        <v>0</v>
      </c>
      <c r="V34" s="365">
        <f>VLOOKUP($E34,'7. PGE_Efficacité'!$A$6:$BT$266,(MATCH('4.3 ACE EFF CAN'!V$4,'7. PGE_Efficacité'!$A$4:$BU$4,0)+31),0)</f>
        <v>0</v>
      </c>
      <c r="W34" s="365">
        <f>VLOOKUP($E34,'7. PGE_Efficacité'!$A$6:$BT$266,(MATCH('4.3 ACE EFF CAN'!W$4,'7. PGE_Efficacité'!$A$4:$BU$4,0)+31),0)</f>
        <v>0</v>
      </c>
      <c r="X34" s="365">
        <f>VLOOKUP($E34,'7. PGE_Efficacité'!$A$6:$BT$266,(MATCH('4.3 ACE EFF CAN'!X$4,'7. PGE_Efficacité'!$A$4:$BU$4,0)+31),0)</f>
        <v>0</v>
      </c>
      <c r="Y34" s="366">
        <f>VLOOKUP($E34,'7. PGE_Efficacité'!$A$6:$BT$266,(MATCH('4.3 ACE EFF CAN'!Y$4,'7. PGE_Efficacité'!$A$4:$BU$4,0)+31),0)</f>
        <v>0</v>
      </c>
      <c r="Z34" s="366">
        <f>VLOOKUP($E34,'7. PGE_Efficacité'!$A$6:$BT$266,(MATCH('4.3 ACE EFF CAN'!Z$4,'7. PGE_Efficacité'!$A$4:$BU$4,0)+31),0)</f>
        <v>0</v>
      </c>
      <c r="AA34" s="366">
        <f>VLOOKUP($E34,'7. PGE_Efficacité'!$A$6:$BT$266,(MATCH('4.3 ACE EFF CAN'!AA$4,'7. PGE_Efficacité'!$A$4:$BU$4,0)+31),0)</f>
        <v>0</v>
      </c>
      <c r="AB34" s="366">
        <f>VLOOKUP($E34,'7. PGE_Efficacité'!$A$6:$BT$266,(MATCH('4.3 ACE EFF CAN'!AB$4,'7. PGE_Efficacité'!$A$4:$BU$4,0)+31),0)</f>
        <v>0</v>
      </c>
      <c r="AC34" s="366">
        <f>VLOOKUP($E34,'7. PGE_Efficacité'!$A$6:$BT$266,(MATCH('4.3 ACE EFF CAN'!AC$4,'7. PGE_Efficacité'!$A$4:$BU$4,0)+31),0)</f>
        <v>0</v>
      </c>
      <c r="AD34" s="366">
        <f>VLOOKUP($E34,'7. PGE_Efficacité'!$A$6:$BT$266,(MATCH('4.3 ACE EFF CAN'!AD$4,'7. PGE_Efficacité'!$A$4:$BU$4,0)+31),0)</f>
        <v>0</v>
      </c>
      <c r="AE34" s="366">
        <f>VLOOKUP($E34,'7. PGE_Efficacité'!$A$6:$BT$266,(MATCH('4.3 ACE EFF CAN'!AE$4,'7. PGE_Efficacité'!$A$4:$BU$4,0)+31),0)</f>
        <v>0</v>
      </c>
      <c r="AF34" s="366">
        <f>VLOOKUP($E34,'7. PGE_Efficacité'!$A$6:$BT$266,(MATCH('4.3 ACE EFF CAN'!AF$4,'7. PGE_Efficacité'!$A$4:$BU$4,0)+31),0)</f>
        <v>0</v>
      </c>
      <c r="AG34" s="366">
        <f>VLOOKUP($E34,'7. PGE_Efficacité'!$A$6:$BT$266,(MATCH('4.3 ACE EFF CAN'!AG$4,'7. PGE_Efficacité'!$A$4:$BU$4,0)+31),0)</f>
        <v>0</v>
      </c>
      <c r="AH34" s="366">
        <f>VLOOKUP($E34,'7. PGE_Efficacité'!$A$6:$BT$266,(MATCH('4.3 ACE EFF CAN'!AH$4,'7. PGE_Efficacité'!$A$4:$BU$4,0)+31),0)</f>
        <v>0</v>
      </c>
      <c r="AI34" s="366">
        <f>VLOOKUP($E34,'7. PGE_Efficacité'!$A$6:$BT$266,(MATCH('4.3 ACE EFF CAN'!AI$4,'7. PGE_Efficacité'!$A$4:$BU$4,0)+31),0)</f>
        <v>0</v>
      </c>
      <c r="AJ34" s="366">
        <f>VLOOKUP($E34,'7. PGE_Efficacité'!$A$6:$BT$266,(MATCH('4.3 ACE EFF CAN'!AJ$4,'7. PGE_Efficacité'!$A$4:$BU$4,0)+31),0)</f>
        <v>0</v>
      </c>
      <c r="AK34" s="366">
        <f>VLOOKUP($E34,'7. PGE_Efficacité'!$A$6:$BT$266,(MATCH('4.3 ACE EFF CAN'!AK$4,'7. PGE_Efficacité'!$A$4:$BU$4,0)+31),0)</f>
        <v>0</v>
      </c>
      <c r="AL34" s="366">
        <f>VLOOKUP($E34,'7. PGE_Efficacité'!$A$6:$BT$266,(MATCH('4.3 ACE EFF CAN'!AL$4,'7. PGE_Efficacité'!$A$4:$BU$4,0)+31),0)</f>
        <v>0</v>
      </c>
      <c r="AM34" s="366">
        <f>VLOOKUP($E34,'7. PGE_Efficacité'!$A$6:$BT$266,(MATCH('4.3 ACE EFF CAN'!AM$4,'7. PGE_Efficacité'!$A$4:$BU$4,0)+31),0)</f>
        <v>0</v>
      </c>
      <c r="AN34" s="366">
        <f>VLOOKUP($E34,'7. PGE_Efficacité'!$A$6:$BT$266,(MATCH('4.3 ACE EFF CAN'!AN$4,'7. PGE_Efficacité'!$A$4:$BU$4,0)+31),0)</f>
        <v>0</v>
      </c>
    </row>
    <row r="35" spans="1:40" outlineLevel="2" x14ac:dyDescent="0.25">
      <c r="A35" s="154" t="s">
        <v>1524</v>
      </c>
      <c r="B35" s="154">
        <v>5</v>
      </c>
      <c r="C35" s="154" t="s">
        <v>1527</v>
      </c>
      <c r="D35" s="330" t="s">
        <v>4</v>
      </c>
      <c r="E35" s="330" t="s">
        <v>815</v>
      </c>
      <c r="F35" s="330" t="s">
        <v>1446</v>
      </c>
      <c r="G35" s="330" t="s">
        <v>1521</v>
      </c>
      <c r="H35" s="330" t="s">
        <v>1290</v>
      </c>
      <c r="I35" s="364">
        <v>0</v>
      </c>
      <c r="J35" s="365">
        <f>VLOOKUP($E35,'7. PGE_Efficacité'!$A$6:$BT$266,(MATCH('4.3 ACE EFF CAN'!J$4,'7. PGE_Efficacité'!$A$4:$BU$4,0)+31),0)</f>
        <v>0</v>
      </c>
      <c r="K35" s="365">
        <f>VLOOKUP($E35,'7. PGE_Efficacité'!$A$6:$BT$266,(MATCH('4.3 ACE EFF CAN'!K$4,'7. PGE_Efficacité'!$A$4:$BU$4,0)+31),0)</f>
        <v>0</v>
      </c>
      <c r="L35" s="365">
        <f>VLOOKUP($E35,'7. PGE_Efficacité'!$A$6:$BT$266,(MATCH('4.3 ACE EFF CAN'!L$4,'7. PGE_Efficacité'!$A$4:$BU$4,0)+31),0)</f>
        <v>0</v>
      </c>
      <c r="M35" s="365">
        <f>VLOOKUP($E35,'7. PGE_Efficacité'!$A$6:$BT$266,(MATCH('4.3 ACE EFF CAN'!M$4,'7. PGE_Efficacité'!$A$4:$BU$4,0)+31),0)</f>
        <v>0</v>
      </c>
      <c r="N35" s="365">
        <f>VLOOKUP($E35,'7. PGE_Efficacité'!$A$6:$BT$266,(MATCH('4.3 ACE EFF CAN'!N$4,'7. PGE_Efficacité'!$A$4:$BU$4,0)+31),0)</f>
        <v>0</v>
      </c>
      <c r="O35" s="365">
        <f>VLOOKUP($E35,'7. PGE_Efficacité'!$A$6:$BT$266,(MATCH('4.3 ACE EFF CAN'!O$4,'7. PGE_Efficacité'!$A$4:$BU$4,0)+31),0)</f>
        <v>0</v>
      </c>
      <c r="P35" s="365">
        <f>VLOOKUP($E35,'7. PGE_Efficacité'!$A$6:$BT$266,(MATCH('4.3 ACE EFF CAN'!P$4,'7. PGE_Efficacité'!$A$4:$BU$4,0)+31),0)</f>
        <v>0</v>
      </c>
      <c r="Q35" s="365">
        <f>VLOOKUP($E35,'7. PGE_Efficacité'!$A$6:$BT$266,(MATCH('4.3 ACE EFF CAN'!Q$4,'7. PGE_Efficacité'!$A$4:$BU$4,0)+31),0)</f>
        <v>0</v>
      </c>
      <c r="R35" s="365">
        <f>VLOOKUP($E35,'7. PGE_Efficacité'!$A$6:$BT$266,(MATCH('4.3 ACE EFF CAN'!R$4,'7. PGE_Efficacité'!$A$4:$BU$4,0)+31),0)</f>
        <v>0</v>
      </c>
      <c r="S35" s="365">
        <f>VLOOKUP($E35,'7. PGE_Efficacité'!$A$6:$BT$266,(MATCH('4.3 ACE EFF CAN'!S$4,'7. PGE_Efficacité'!$A$4:$BU$4,0)+31),0)</f>
        <v>0</v>
      </c>
      <c r="T35" s="365">
        <f>VLOOKUP($E35,'7. PGE_Efficacité'!$A$6:$BT$266,(MATCH('4.3 ACE EFF CAN'!T$4,'7. PGE_Efficacité'!$A$4:$BU$4,0)+31),0)</f>
        <v>0</v>
      </c>
      <c r="U35" s="365">
        <f>VLOOKUP($E35,'7. PGE_Efficacité'!$A$6:$BT$266,(MATCH('4.3 ACE EFF CAN'!U$4,'7. PGE_Efficacité'!$A$4:$BU$4,0)+31),0)</f>
        <v>0</v>
      </c>
      <c r="V35" s="365">
        <f>VLOOKUP($E35,'7. PGE_Efficacité'!$A$6:$BT$266,(MATCH('4.3 ACE EFF CAN'!V$4,'7. PGE_Efficacité'!$A$4:$BU$4,0)+31),0)</f>
        <v>0</v>
      </c>
      <c r="W35" s="365">
        <f>VLOOKUP($E35,'7. PGE_Efficacité'!$A$6:$BT$266,(MATCH('4.3 ACE EFF CAN'!W$4,'7. PGE_Efficacité'!$A$4:$BU$4,0)+31),0)</f>
        <v>0</v>
      </c>
      <c r="X35" s="365">
        <f>VLOOKUP($E35,'7. PGE_Efficacité'!$A$6:$BT$266,(MATCH('4.3 ACE EFF CAN'!X$4,'7. PGE_Efficacité'!$A$4:$BU$4,0)+31),0)</f>
        <v>0</v>
      </c>
      <c r="Y35" s="366">
        <f>VLOOKUP($E35,'7. PGE_Efficacité'!$A$6:$BT$266,(MATCH('4.3 ACE EFF CAN'!Y$4,'7. PGE_Efficacité'!$A$4:$BU$4,0)+31),0)</f>
        <v>0</v>
      </c>
      <c r="Z35" s="366">
        <f>VLOOKUP($E35,'7. PGE_Efficacité'!$A$6:$BT$266,(MATCH('4.3 ACE EFF CAN'!Z$4,'7. PGE_Efficacité'!$A$4:$BU$4,0)+31),0)</f>
        <v>0</v>
      </c>
      <c r="AA35" s="366">
        <f>VLOOKUP($E35,'7. PGE_Efficacité'!$A$6:$BT$266,(MATCH('4.3 ACE EFF CAN'!AA$4,'7. PGE_Efficacité'!$A$4:$BU$4,0)+31),0)</f>
        <v>0</v>
      </c>
      <c r="AB35" s="366">
        <f>VLOOKUP($E35,'7. PGE_Efficacité'!$A$6:$BT$266,(MATCH('4.3 ACE EFF CAN'!AB$4,'7. PGE_Efficacité'!$A$4:$BU$4,0)+31),0)</f>
        <v>0</v>
      </c>
      <c r="AC35" s="366">
        <f>VLOOKUP($E35,'7. PGE_Efficacité'!$A$6:$BT$266,(MATCH('4.3 ACE EFF CAN'!AC$4,'7. PGE_Efficacité'!$A$4:$BU$4,0)+31),0)</f>
        <v>0</v>
      </c>
      <c r="AD35" s="366">
        <f>VLOOKUP($E35,'7. PGE_Efficacité'!$A$6:$BT$266,(MATCH('4.3 ACE EFF CAN'!AD$4,'7. PGE_Efficacité'!$A$4:$BU$4,0)+31),0)</f>
        <v>0</v>
      </c>
      <c r="AE35" s="366">
        <f>VLOOKUP($E35,'7. PGE_Efficacité'!$A$6:$BT$266,(MATCH('4.3 ACE EFF CAN'!AE$4,'7. PGE_Efficacité'!$A$4:$BU$4,0)+31),0)</f>
        <v>0</v>
      </c>
      <c r="AF35" s="366">
        <f>VLOOKUP($E35,'7. PGE_Efficacité'!$A$6:$BT$266,(MATCH('4.3 ACE EFF CAN'!AF$4,'7. PGE_Efficacité'!$A$4:$BU$4,0)+31),0)</f>
        <v>0</v>
      </c>
      <c r="AG35" s="366">
        <f>VLOOKUP($E35,'7. PGE_Efficacité'!$A$6:$BT$266,(MATCH('4.3 ACE EFF CAN'!AG$4,'7. PGE_Efficacité'!$A$4:$BU$4,0)+31),0)</f>
        <v>0</v>
      </c>
      <c r="AH35" s="366">
        <f>VLOOKUP($E35,'7. PGE_Efficacité'!$A$6:$BT$266,(MATCH('4.3 ACE EFF CAN'!AH$4,'7. PGE_Efficacité'!$A$4:$BU$4,0)+31),0)</f>
        <v>0</v>
      </c>
      <c r="AI35" s="366">
        <f>VLOOKUP($E35,'7. PGE_Efficacité'!$A$6:$BT$266,(MATCH('4.3 ACE EFF CAN'!AI$4,'7. PGE_Efficacité'!$A$4:$BU$4,0)+31),0)</f>
        <v>0</v>
      </c>
      <c r="AJ35" s="366">
        <f>VLOOKUP($E35,'7. PGE_Efficacité'!$A$6:$BT$266,(MATCH('4.3 ACE EFF CAN'!AJ$4,'7. PGE_Efficacité'!$A$4:$BU$4,0)+31),0)</f>
        <v>0</v>
      </c>
      <c r="AK35" s="366">
        <f>VLOOKUP($E35,'7. PGE_Efficacité'!$A$6:$BT$266,(MATCH('4.3 ACE EFF CAN'!AK$4,'7. PGE_Efficacité'!$A$4:$BU$4,0)+31),0)</f>
        <v>0</v>
      </c>
      <c r="AL35" s="366">
        <f>VLOOKUP($E35,'7. PGE_Efficacité'!$A$6:$BT$266,(MATCH('4.3 ACE EFF CAN'!AL$4,'7. PGE_Efficacité'!$A$4:$BU$4,0)+31),0)</f>
        <v>0</v>
      </c>
      <c r="AM35" s="366">
        <f>VLOOKUP($E35,'7. PGE_Efficacité'!$A$6:$BT$266,(MATCH('4.3 ACE EFF CAN'!AM$4,'7. PGE_Efficacité'!$A$4:$BU$4,0)+31),0)</f>
        <v>0</v>
      </c>
      <c r="AN35" s="366">
        <f>VLOOKUP($E35,'7. PGE_Efficacité'!$A$6:$BT$266,(MATCH('4.3 ACE EFF CAN'!AN$4,'7. PGE_Efficacité'!$A$4:$BU$4,0)+31),0)</f>
        <v>0</v>
      </c>
    </row>
    <row r="36" spans="1:40" outlineLevel="2" x14ac:dyDescent="0.25">
      <c r="A36" s="154" t="s">
        <v>1524</v>
      </c>
      <c r="B36" s="154">
        <v>5</v>
      </c>
      <c r="C36" s="154" t="s">
        <v>410</v>
      </c>
      <c r="D36" s="330" t="s">
        <v>4</v>
      </c>
      <c r="E36" s="330" t="s">
        <v>816</v>
      </c>
      <c r="F36" s="330" t="s">
        <v>1447</v>
      </c>
      <c r="G36" s="330" t="s">
        <v>1521</v>
      </c>
      <c r="H36" s="330" t="s">
        <v>1290</v>
      </c>
      <c r="I36" s="364">
        <v>0</v>
      </c>
      <c r="J36" s="365">
        <f>VLOOKUP($E36,'7. PGE_Efficacité'!$A$6:$BT$266,(MATCH('4.3 ACE EFF CAN'!J$4,'7. PGE_Efficacité'!$A$4:$BU$4,0)+31),0)</f>
        <v>0</v>
      </c>
      <c r="K36" s="365">
        <f>VLOOKUP($E36,'7. PGE_Efficacité'!$A$6:$BT$266,(MATCH('4.3 ACE EFF CAN'!K$4,'7. PGE_Efficacité'!$A$4:$BU$4,0)+31),0)</f>
        <v>0</v>
      </c>
      <c r="L36" s="365">
        <f>VLOOKUP($E36,'7. PGE_Efficacité'!$A$6:$BT$266,(MATCH('4.3 ACE EFF CAN'!L$4,'7. PGE_Efficacité'!$A$4:$BU$4,0)+31),0)</f>
        <v>0</v>
      </c>
      <c r="M36" s="365">
        <f>VLOOKUP($E36,'7. PGE_Efficacité'!$A$6:$BT$266,(MATCH('4.3 ACE EFF CAN'!M$4,'7. PGE_Efficacité'!$A$4:$BU$4,0)+31),0)</f>
        <v>0</v>
      </c>
      <c r="N36" s="365">
        <f>VLOOKUP($E36,'7. PGE_Efficacité'!$A$6:$BT$266,(MATCH('4.3 ACE EFF CAN'!N$4,'7. PGE_Efficacité'!$A$4:$BU$4,0)+31),0)</f>
        <v>0</v>
      </c>
      <c r="O36" s="365">
        <f>VLOOKUP($E36,'7. PGE_Efficacité'!$A$6:$BT$266,(MATCH('4.3 ACE EFF CAN'!O$4,'7. PGE_Efficacité'!$A$4:$BU$4,0)+31),0)</f>
        <v>0</v>
      </c>
      <c r="P36" s="365">
        <f>VLOOKUP($E36,'7. PGE_Efficacité'!$A$6:$BT$266,(MATCH('4.3 ACE EFF CAN'!P$4,'7. PGE_Efficacité'!$A$4:$BU$4,0)+31),0)</f>
        <v>0</v>
      </c>
      <c r="Q36" s="365">
        <f>VLOOKUP($E36,'7. PGE_Efficacité'!$A$6:$BT$266,(MATCH('4.3 ACE EFF CAN'!Q$4,'7. PGE_Efficacité'!$A$4:$BU$4,0)+31),0)</f>
        <v>0</v>
      </c>
      <c r="R36" s="365">
        <f>VLOOKUP($E36,'7. PGE_Efficacité'!$A$6:$BT$266,(MATCH('4.3 ACE EFF CAN'!R$4,'7. PGE_Efficacité'!$A$4:$BU$4,0)+31),0)</f>
        <v>0</v>
      </c>
      <c r="S36" s="365">
        <f>VLOOKUP($E36,'7. PGE_Efficacité'!$A$6:$BT$266,(MATCH('4.3 ACE EFF CAN'!S$4,'7. PGE_Efficacité'!$A$4:$BU$4,0)+31),0)</f>
        <v>0</v>
      </c>
      <c r="T36" s="365">
        <f>VLOOKUP($E36,'7. PGE_Efficacité'!$A$6:$BT$266,(MATCH('4.3 ACE EFF CAN'!T$4,'7. PGE_Efficacité'!$A$4:$BU$4,0)+31),0)</f>
        <v>0</v>
      </c>
      <c r="U36" s="365">
        <f>VLOOKUP($E36,'7. PGE_Efficacité'!$A$6:$BT$266,(MATCH('4.3 ACE EFF CAN'!U$4,'7. PGE_Efficacité'!$A$4:$BU$4,0)+31),0)</f>
        <v>0</v>
      </c>
      <c r="V36" s="365">
        <f>VLOOKUP($E36,'7. PGE_Efficacité'!$A$6:$BT$266,(MATCH('4.3 ACE EFF CAN'!V$4,'7. PGE_Efficacité'!$A$4:$BU$4,0)+31),0)</f>
        <v>0</v>
      </c>
      <c r="W36" s="365">
        <f>VLOOKUP($E36,'7. PGE_Efficacité'!$A$6:$BT$266,(MATCH('4.3 ACE EFF CAN'!W$4,'7. PGE_Efficacité'!$A$4:$BU$4,0)+31),0)</f>
        <v>0</v>
      </c>
      <c r="X36" s="365">
        <f>VLOOKUP($E36,'7. PGE_Efficacité'!$A$6:$BT$266,(MATCH('4.3 ACE EFF CAN'!X$4,'7. PGE_Efficacité'!$A$4:$BU$4,0)+31),0)</f>
        <v>0</v>
      </c>
      <c r="Y36" s="366">
        <f>VLOOKUP($E36,'7. PGE_Efficacité'!$A$6:$BT$266,(MATCH('4.3 ACE EFF CAN'!Y$4,'7. PGE_Efficacité'!$A$4:$BU$4,0)+31),0)</f>
        <v>0</v>
      </c>
      <c r="Z36" s="366">
        <f>VLOOKUP($E36,'7. PGE_Efficacité'!$A$6:$BT$266,(MATCH('4.3 ACE EFF CAN'!Z$4,'7. PGE_Efficacité'!$A$4:$BU$4,0)+31),0)</f>
        <v>0</v>
      </c>
      <c r="AA36" s="366">
        <f>VLOOKUP($E36,'7. PGE_Efficacité'!$A$6:$BT$266,(MATCH('4.3 ACE EFF CAN'!AA$4,'7. PGE_Efficacité'!$A$4:$BU$4,0)+31),0)</f>
        <v>0</v>
      </c>
      <c r="AB36" s="366">
        <f>VLOOKUP($E36,'7. PGE_Efficacité'!$A$6:$BT$266,(MATCH('4.3 ACE EFF CAN'!AB$4,'7. PGE_Efficacité'!$A$4:$BU$4,0)+31),0)</f>
        <v>0</v>
      </c>
      <c r="AC36" s="366">
        <f>VLOOKUP($E36,'7. PGE_Efficacité'!$A$6:$BT$266,(MATCH('4.3 ACE EFF CAN'!AC$4,'7. PGE_Efficacité'!$A$4:$BU$4,0)+31),0)</f>
        <v>0</v>
      </c>
      <c r="AD36" s="366">
        <f>VLOOKUP($E36,'7. PGE_Efficacité'!$A$6:$BT$266,(MATCH('4.3 ACE EFF CAN'!AD$4,'7. PGE_Efficacité'!$A$4:$BU$4,0)+31),0)</f>
        <v>0</v>
      </c>
      <c r="AE36" s="366">
        <f>VLOOKUP($E36,'7. PGE_Efficacité'!$A$6:$BT$266,(MATCH('4.3 ACE EFF CAN'!AE$4,'7. PGE_Efficacité'!$A$4:$BU$4,0)+31),0)</f>
        <v>0</v>
      </c>
      <c r="AF36" s="366">
        <f>VLOOKUP($E36,'7. PGE_Efficacité'!$A$6:$BT$266,(MATCH('4.3 ACE EFF CAN'!AF$4,'7. PGE_Efficacité'!$A$4:$BU$4,0)+31),0)</f>
        <v>0</v>
      </c>
      <c r="AG36" s="366">
        <f>VLOOKUP($E36,'7. PGE_Efficacité'!$A$6:$BT$266,(MATCH('4.3 ACE EFF CAN'!AG$4,'7. PGE_Efficacité'!$A$4:$BU$4,0)+31),0)</f>
        <v>0</v>
      </c>
      <c r="AH36" s="366">
        <f>VLOOKUP($E36,'7. PGE_Efficacité'!$A$6:$BT$266,(MATCH('4.3 ACE EFF CAN'!AH$4,'7. PGE_Efficacité'!$A$4:$BU$4,0)+31),0)</f>
        <v>0</v>
      </c>
      <c r="AI36" s="366">
        <f>VLOOKUP($E36,'7. PGE_Efficacité'!$A$6:$BT$266,(MATCH('4.3 ACE EFF CAN'!AI$4,'7. PGE_Efficacité'!$A$4:$BU$4,0)+31),0)</f>
        <v>0</v>
      </c>
      <c r="AJ36" s="366">
        <f>VLOOKUP($E36,'7. PGE_Efficacité'!$A$6:$BT$266,(MATCH('4.3 ACE EFF CAN'!AJ$4,'7. PGE_Efficacité'!$A$4:$BU$4,0)+31),0)</f>
        <v>0</v>
      </c>
      <c r="AK36" s="366">
        <f>VLOOKUP($E36,'7. PGE_Efficacité'!$A$6:$BT$266,(MATCH('4.3 ACE EFF CAN'!AK$4,'7. PGE_Efficacité'!$A$4:$BU$4,0)+31),0)</f>
        <v>0</v>
      </c>
      <c r="AL36" s="366">
        <f>VLOOKUP($E36,'7. PGE_Efficacité'!$A$6:$BT$266,(MATCH('4.3 ACE EFF CAN'!AL$4,'7. PGE_Efficacité'!$A$4:$BU$4,0)+31),0)</f>
        <v>0</v>
      </c>
      <c r="AM36" s="366">
        <f>VLOOKUP($E36,'7. PGE_Efficacité'!$A$6:$BT$266,(MATCH('4.3 ACE EFF CAN'!AM$4,'7. PGE_Efficacité'!$A$4:$BU$4,0)+31),0)</f>
        <v>0</v>
      </c>
      <c r="AN36" s="366">
        <f>VLOOKUP($E36,'7. PGE_Efficacité'!$A$6:$BT$266,(MATCH('4.3 ACE EFF CAN'!AN$4,'7. PGE_Efficacité'!$A$4:$BU$4,0)+31),0)</f>
        <v>0</v>
      </c>
    </row>
    <row r="37" spans="1:40" outlineLevel="2" x14ac:dyDescent="0.25">
      <c r="A37" s="154" t="s">
        <v>1524</v>
      </c>
      <c r="B37" s="154">
        <v>5</v>
      </c>
      <c r="C37" s="154" t="s">
        <v>1528</v>
      </c>
      <c r="D37" s="330" t="s">
        <v>4</v>
      </c>
      <c r="E37" s="330" t="s">
        <v>817</v>
      </c>
      <c r="F37" s="330" t="s">
        <v>1448</v>
      </c>
      <c r="G37" s="330" t="s">
        <v>1521</v>
      </c>
      <c r="H37" s="330" t="s">
        <v>1290</v>
      </c>
      <c r="I37" s="364">
        <v>0</v>
      </c>
      <c r="J37" s="365">
        <f>VLOOKUP($E37,'7. PGE_Efficacité'!$A$6:$BT$266,(MATCH('4.3 ACE EFF CAN'!J$4,'7. PGE_Efficacité'!$A$4:$BU$4,0)+31),0)</f>
        <v>0</v>
      </c>
      <c r="K37" s="365">
        <f>VLOOKUP($E37,'7. PGE_Efficacité'!$A$6:$BT$266,(MATCH('4.3 ACE EFF CAN'!K$4,'7. PGE_Efficacité'!$A$4:$BU$4,0)+31),0)</f>
        <v>0</v>
      </c>
      <c r="L37" s="365">
        <f>VLOOKUP($E37,'7. PGE_Efficacité'!$A$6:$BT$266,(MATCH('4.3 ACE EFF CAN'!L$4,'7. PGE_Efficacité'!$A$4:$BU$4,0)+31),0)</f>
        <v>0</v>
      </c>
      <c r="M37" s="365">
        <f>VLOOKUP($E37,'7. PGE_Efficacité'!$A$6:$BT$266,(MATCH('4.3 ACE EFF CAN'!M$4,'7. PGE_Efficacité'!$A$4:$BU$4,0)+31),0)</f>
        <v>0</v>
      </c>
      <c r="N37" s="365">
        <f>VLOOKUP($E37,'7. PGE_Efficacité'!$A$6:$BT$266,(MATCH('4.3 ACE EFF CAN'!N$4,'7. PGE_Efficacité'!$A$4:$BU$4,0)+31),0)</f>
        <v>0</v>
      </c>
      <c r="O37" s="365">
        <f>VLOOKUP($E37,'7. PGE_Efficacité'!$A$6:$BT$266,(MATCH('4.3 ACE EFF CAN'!O$4,'7. PGE_Efficacité'!$A$4:$BU$4,0)+31),0)</f>
        <v>0</v>
      </c>
      <c r="P37" s="365">
        <f>VLOOKUP($E37,'7. PGE_Efficacité'!$A$6:$BT$266,(MATCH('4.3 ACE EFF CAN'!P$4,'7. PGE_Efficacité'!$A$4:$BU$4,0)+31),0)</f>
        <v>0</v>
      </c>
      <c r="Q37" s="365">
        <f>VLOOKUP($E37,'7. PGE_Efficacité'!$A$6:$BT$266,(MATCH('4.3 ACE EFF CAN'!Q$4,'7. PGE_Efficacité'!$A$4:$BU$4,0)+31),0)</f>
        <v>0</v>
      </c>
      <c r="R37" s="365">
        <f>VLOOKUP($E37,'7. PGE_Efficacité'!$A$6:$BT$266,(MATCH('4.3 ACE EFF CAN'!R$4,'7. PGE_Efficacité'!$A$4:$BU$4,0)+31),0)</f>
        <v>0</v>
      </c>
      <c r="S37" s="365">
        <f>VLOOKUP($E37,'7. PGE_Efficacité'!$A$6:$BT$266,(MATCH('4.3 ACE EFF CAN'!S$4,'7. PGE_Efficacité'!$A$4:$BU$4,0)+31),0)</f>
        <v>0</v>
      </c>
      <c r="T37" s="365">
        <f>VLOOKUP($E37,'7. PGE_Efficacité'!$A$6:$BT$266,(MATCH('4.3 ACE EFF CAN'!T$4,'7. PGE_Efficacité'!$A$4:$BU$4,0)+31),0)</f>
        <v>0</v>
      </c>
      <c r="U37" s="365">
        <f>VLOOKUP($E37,'7. PGE_Efficacité'!$A$6:$BT$266,(MATCH('4.3 ACE EFF CAN'!U$4,'7. PGE_Efficacité'!$A$4:$BU$4,0)+31),0)</f>
        <v>0</v>
      </c>
      <c r="V37" s="365">
        <f>VLOOKUP($E37,'7. PGE_Efficacité'!$A$6:$BT$266,(MATCH('4.3 ACE EFF CAN'!V$4,'7. PGE_Efficacité'!$A$4:$BU$4,0)+31),0)</f>
        <v>0</v>
      </c>
      <c r="W37" s="365">
        <f>VLOOKUP($E37,'7. PGE_Efficacité'!$A$6:$BT$266,(MATCH('4.3 ACE EFF CAN'!W$4,'7. PGE_Efficacité'!$A$4:$BU$4,0)+31),0)</f>
        <v>0</v>
      </c>
      <c r="X37" s="365">
        <f>VLOOKUP($E37,'7. PGE_Efficacité'!$A$6:$BT$266,(MATCH('4.3 ACE EFF CAN'!X$4,'7. PGE_Efficacité'!$A$4:$BU$4,0)+31),0)</f>
        <v>0</v>
      </c>
      <c r="Y37" s="366">
        <f>VLOOKUP($E37,'7. PGE_Efficacité'!$A$6:$BT$266,(MATCH('4.3 ACE EFF CAN'!Y$4,'7. PGE_Efficacité'!$A$4:$BU$4,0)+31),0)</f>
        <v>0</v>
      </c>
      <c r="Z37" s="366">
        <f>VLOOKUP($E37,'7. PGE_Efficacité'!$A$6:$BT$266,(MATCH('4.3 ACE EFF CAN'!Z$4,'7. PGE_Efficacité'!$A$4:$BU$4,0)+31),0)</f>
        <v>0</v>
      </c>
      <c r="AA37" s="366">
        <f>VLOOKUP($E37,'7. PGE_Efficacité'!$A$6:$BT$266,(MATCH('4.3 ACE EFF CAN'!AA$4,'7. PGE_Efficacité'!$A$4:$BU$4,0)+31),0)</f>
        <v>0</v>
      </c>
      <c r="AB37" s="366">
        <f>VLOOKUP($E37,'7. PGE_Efficacité'!$A$6:$BT$266,(MATCH('4.3 ACE EFF CAN'!AB$4,'7. PGE_Efficacité'!$A$4:$BU$4,0)+31),0)</f>
        <v>0</v>
      </c>
      <c r="AC37" s="366">
        <f>VLOOKUP($E37,'7. PGE_Efficacité'!$A$6:$BT$266,(MATCH('4.3 ACE EFF CAN'!AC$4,'7. PGE_Efficacité'!$A$4:$BU$4,0)+31),0)</f>
        <v>0</v>
      </c>
      <c r="AD37" s="366">
        <f>VLOOKUP($E37,'7. PGE_Efficacité'!$A$6:$BT$266,(MATCH('4.3 ACE EFF CAN'!AD$4,'7. PGE_Efficacité'!$A$4:$BU$4,0)+31),0)</f>
        <v>0</v>
      </c>
      <c r="AE37" s="366">
        <f>VLOOKUP($E37,'7. PGE_Efficacité'!$A$6:$BT$266,(MATCH('4.3 ACE EFF CAN'!AE$4,'7. PGE_Efficacité'!$A$4:$BU$4,0)+31),0)</f>
        <v>0</v>
      </c>
      <c r="AF37" s="366">
        <f>VLOOKUP($E37,'7. PGE_Efficacité'!$A$6:$BT$266,(MATCH('4.3 ACE EFF CAN'!AF$4,'7. PGE_Efficacité'!$A$4:$BU$4,0)+31),0)</f>
        <v>0</v>
      </c>
      <c r="AG37" s="366">
        <f>VLOOKUP($E37,'7. PGE_Efficacité'!$A$6:$BT$266,(MATCH('4.3 ACE EFF CAN'!AG$4,'7. PGE_Efficacité'!$A$4:$BU$4,0)+31),0)</f>
        <v>0</v>
      </c>
      <c r="AH37" s="366">
        <f>VLOOKUP($E37,'7. PGE_Efficacité'!$A$6:$BT$266,(MATCH('4.3 ACE EFF CAN'!AH$4,'7. PGE_Efficacité'!$A$4:$BU$4,0)+31),0)</f>
        <v>0</v>
      </c>
      <c r="AI37" s="366">
        <f>VLOOKUP($E37,'7. PGE_Efficacité'!$A$6:$BT$266,(MATCH('4.3 ACE EFF CAN'!AI$4,'7. PGE_Efficacité'!$A$4:$BU$4,0)+31),0)</f>
        <v>0</v>
      </c>
      <c r="AJ37" s="366">
        <f>VLOOKUP($E37,'7. PGE_Efficacité'!$A$6:$BT$266,(MATCH('4.3 ACE EFF CAN'!AJ$4,'7. PGE_Efficacité'!$A$4:$BU$4,0)+31),0)</f>
        <v>0</v>
      </c>
      <c r="AK37" s="366">
        <f>VLOOKUP($E37,'7. PGE_Efficacité'!$A$6:$BT$266,(MATCH('4.3 ACE EFF CAN'!AK$4,'7. PGE_Efficacité'!$A$4:$BU$4,0)+31),0)</f>
        <v>0</v>
      </c>
      <c r="AL37" s="366">
        <f>VLOOKUP($E37,'7. PGE_Efficacité'!$A$6:$BT$266,(MATCH('4.3 ACE EFF CAN'!AL$4,'7. PGE_Efficacité'!$A$4:$BU$4,0)+31),0)</f>
        <v>0</v>
      </c>
      <c r="AM37" s="366">
        <f>VLOOKUP($E37,'7. PGE_Efficacité'!$A$6:$BT$266,(MATCH('4.3 ACE EFF CAN'!AM$4,'7. PGE_Efficacité'!$A$4:$BU$4,0)+31),0)</f>
        <v>0</v>
      </c>
      <c r="AN37" s="366">
        <f>VLOOKUP($E37,'7. PGE_Efficacité'!$A$6:$BT$266,(MATCH('4.3 ACE EFF CAN'!AN$4,'7. PGE_Efficacité'!$A$4:$BU$4,0)+31),0)</f>
        <v>0</v>
      </c>
    </row>
    <row r="38" spans="1:40" outlineLevel="2" x14ac:dyDescent="0.25">
      <c r="A38" s="154" t="s">
        <v>1524</v>
      </c>
      <c r="B38" s="154">
        <v>5</v>
      </c>
      <c r="C38" s="154" t="s">
        <v>1529</v>
      </c>
      <c r="D38" s="330" t="s">
        <v>4</v>
      </c>
      <c r="E38" s="330" t="s">
        <v>818</v>
      </c>
      <c r="F38" s="330" t="s">
        <v>1449</v>
      </c>
      <c r="G38" s="330" t="s">
        <v>1521</v>
      </c>
      <c r="H38" s="330" t="s">
        <v>1290</v>
      </c>
      <c r="I38" s="364">
        <v>0</v>
      </c>
      <c r="J38" s="365">
        <f>VLOOKUP($E38,'7. PGE_Efficacité'!$A$6:$BT$266,(MATCH('4.3 ACE EFF CAN'!J$4,'7. PGE_Efficacité'!$A$4:$BU$4,0)+31),0)</f>
        <v>0</v>
      </c>
      <c r="K38" s="365">
        <f>VLOOKUP($E38,'7. PGE_Efficacité'!$A$6:$BT$266,(MATCH('4.3 ACE EFF CAN'!K$4,'7. PGE_Efficacité'!$A$4:$BU$4,0)+31),0)</f>
        <v>0</v>
      </c>
      <c r="L38" s="365">
        <f>VLOOKUP($E38,'7. PGE_Efficacité'!$A$6:$BT$266,(MATCH('4.3 ACE EFF CAN'!L$4,'7. PGE_Efficacité'!$A$4:$BU$4,0)+31),0)</f>
        <v>0</v>
      </c>
      <c r="M38" s="365">
        <f>VLOOKUP($E38,'7. PGE_Efficacité'!$A$6:$BT$266,(MATCH('4.3 ACE EFF CAN'!M$4,'7. PGE_Efficacité'!$A$4:$BU$4,0)+31),0)</f>
        <v>0</v>
      </c>
      <c r="N38" s="365">
        <f>VLOOKUP($E38,'7. PGE_Efficacité'!$A$6:$BT$266,(MATCH('4.3 ACE EFF CAN'!N$4,'7. PGE_Efficacité'!$A$4:$BU$4,0)+31),0)</f>
        <v>0</v>
      </c>
      <c r="O38" s="365">
        <f>VLOOKUP($E38,'7. PGE_Efficacité'!$A$6:$BT$266,(MATCH('4.3 ACE EFF CAN'!O$4,'7. PGE_Efficacité'!$A$4:$BU$4,0)+31),0)</f>
        <v>0</v>
      </c>
      <c r="P38" s="365">
        <f>VLOOKUP($E38,'7. PGE_Efficacité'!$A$6:$BT$266,(MATCH('4.3 ACE EFF CAN'!P$4,'7. PGE_Efficacité'!$A$4:$BU$4,0)+31),0)</f>
        <v>0</v>
      </c>
      <c r="Q38" s="365">
        <f>VLOOKUP($E38,'7. PGE_Efficacité'!$A$6:$BT$266,(MATCH('4.3 ACE EFF CAN'!Q$4,'7. PGE_Efficacité'!$A$4:$BU$4,0)+31),0)</f>
        <v>0</v>
      </c>
      <c r="R38" s="365">
        <f>VLOOKUP($E38,'7. PGE_Efficacité'!$A$6:$BT$266,(MATCH('4.3 ACE EFF CAN'!R$4,'7. PGE_Efficacité'!$A$4:$BU$4,0)+31),0)</f>
        <v>0</v>
      </c>
      <c r="S38" s="365">
        <f>VLOOKUP($E38,'7. PGE_Efficacité'!$A$6:$BT$266,(MATCH('4.3 ACE EFF CAN'!S$4,'7. PGE_Efficacité'!$A$4:$BU$4,0)+31),0)</f>
        <v>0</v>
      </c>
      <c r="T38" s="365">
        <f>VLOOKUP($E38,'7. PGE_Efficacité'!$A$6:$BT$266,(MATCH('4.3 ACE EFF CAN'!T$4,'7. PGE_Efficacité'!$A$4:$BU$4,0)+31),0)</f>
        <v>0</v>
      </c>
      <c r="U38" s="365">
        <f>VLOOKUP($E38,'7. PGE_Efficacité'!$A$6:$BT$266,(MATCH('4.3 ACE EFF CAN'!U$4,'7. PGE_Efficacité'!$A$4:$BU$4,0)+31),0)</f>
        <v>0</v>
      </c>
      <c r="V38" s="365">
        <f>VLOOKUP($E38,'7. PGE_Efficacité'!$A$6:$BT$266,(MATCH('4.3 ACE EFF CAN'!V$4,'7. PGE_Efficacité'!$A$4:$BU$4,0)+31),0)</f>
        <v>0</v>
      </c>
      <c r="W38" s="365">
        <f>VLOOKUP($E38,'7. PGE_Efficacité'!$A$6:$BT$266,(MATCH('4.3 ACE EFF CAN'!W$4,'7. PGE_Efficacité'!$A$4:$BU$4,0)+31),0)</f>
        <v>0</v>
      </c>
      <c r="X38" s="365">
        <f>VLOOKUP($E38,'7. PGE_Efficacité'!$A$6:$BT$266,(MATCH('4.3 ACE EFF CAN'!X$4,'7. PGE_Efficacité'!$A$4:$BU$4,0)+31),0)</f>
        <v>0</v>
      </c>
      <c r="Y38" s="366">
        <f>VLOOKUP($E38,'7. PGE_Efficacité'!$A$6:$BT$266,(MATCH('4.3 ACE EFF CAN'!Y$4,'7. PGE_Efficacité'!$A$4:$BU$4,0)+31),0)</f>
        <v>0</v>
      </c>
      <c r="Z38" s="366">
        <f>VLOOKUP($E38,'7. PGE_Efficacité'!$A$6:$BT$266,(MATCH('4.3 ACE EFF CAN'!Z$4,'7. PGE_Efficacité'!$A$4:$BU$4,0)+31),0)</f>
        <v>0</v>
      </c>
      <c r="AA38" s="366">
        <f>VLOOKUP($E38,'7. PGE_Efficacité'!$A$6:$BT$266,(MATCH('4.3 ACE EFF CAN'!AA$4,'7. PGE_Efficacité'!$A$4:$BU$4,0)+31),0)</f>
        <v>0</v>
      </c>
      <c r="AB38" s="366">
        <f>VLOOKUP($E38,'7. PGE_Efficacité'!$A$6:$BT$266,(MATCH('4.3 ACE EFF CAN'!AB$4,'7. PGE_Efficacité'!$A$4:$BU$4,0)+31),0)</f>
        <v>0</v>
      </c>
      <c r="AC38" s="366">
        <f>VLOOKUP($E38,'7. PGE_Efficacité'!$A$6:$BT$266,(MATCH('4.3 ACE EFF CAN'!AC$4,'7. PGE_Efficacité'!$A$4:$BU$4,0)+31),0)</f>
        <v>0</v>
      </c>
      <c r="AD38" s="366">
        <f>VLOOKUP($E38,'7. PGE_Efficacité'!$A$6:$BT$266,(MATCH('4.3 ACE EFF CAN'!AD$4,'7. PGE_Efficacité'!$A$4:$BU$4,0)+31),0)</f>
        <v>0</v>
      </c>
      <c r="AE38" s="366">
        <f>VLOOKUP($E38,'7. PGE_Efficacité'!$A$6:$BT$266,(MATCH('4.3 ACE EFF CAN'!AE$4,'7. PGE_Efficacité'!$A$4:$BU$4,0)+31),0)</f>
        <v>0</v>
      </c>
      <c r="AF38" s="366">
        <f>VLOOKUP($E38,'7. PGE_Efficacité'!$A$6:$BT$266,(MATCH('4.3 ACE EFF CAN'!AF$4,'7. PGE_Efficacité'!$A$4:$BU$4,0)+31),0)</f>
        <v>0</v>
      </c>
      <c r="AG38" s="366">
        <f>VLOOKUP($E38,'7. PGE_Efficacité'!$A$6:$BT$266,(MATCH('4.3 ACE EFF CAN'!AG$4,'7. PGE_Efficacité'!$A$4:$BU$4,0)+31),0)</f>
        <v>0</v>
      </c>
      <c r="AH38" s="366">
        <f>VLOOKUP($E38,'7. PGE_Efficacité'!$A$6:$BT$266,(MATCH('4.3 ACE EFF CAN'!AH$4,'7. PGE_Efficacité'!$A$4:$BU$4,0)+31),0)</f>
        <v>0</v>
      </c>
      <c r="AI38" s="366">
        <f>VLOOKUP($E38,'7. PGE_Efficacité'!$A$6:$BT$266,(MATCH('4.3 ACE EFF CAN'!AI$4,'7. PGE_Efficacité'!$A$4:$BU$4,0)+31),0)</f>
        <v>0</v>
      </c>
      <c r="AJ38" s="366">
        <f>VLOOKUP($E38,'7. PGE_Efficacité'!$A$6:$BT$266,(MATCH('4.3 ACE EFF CAN'!AJ$4,'7. PGE_Efficacité'!$A$4:$BU$4,0)+31),0)</f>
        <v>0</v>
      </c>
      <c r="AK38" s="366">
        <f>VLOOKUP($E38,'7. PGE_Efficacité'!$A$6:$BT$266,(MATCH('4.3 ACE EFF CAN'!AK$4,'7. PGE_Efficacité'!$A$4:$BU$4,0)+31),0)</f>
        <v>0</v>
      </c>
      <c r="AL38" s="366">
        <f>VLOOKUP($E38,'7. PGE_Efficacité'!$A$6:$BT$266,(MATCH('4.3 ACE EFF CAN'!AL$4,'7. PGE_Efficacité'!$A$4:$BU$4,0)+31),0)</f>
        <v>0</v>
      </c>
      <c r="AM38" s="366">
        <f>VLOOKUP($E38,'7. PGE_Efficacité'!$A$6:$BT$266,(MATCH('4.3 ACE EFF CAN'!AM$4,'7. PGE_Efficacité'!$A$4:$BU$4,0)+31),0)</f>
        <v>0</v>
      </c>
      <c r="AN38" s="366">
        <f>VLOOKUP($E38,'7. PGE_Efficacité'!$A$6:$BT$266,(MATCH('4.3 ACE EFF CAN'!AN$4,'7. PGE_Efficacité'!$A$4:$BU$4,0)+31),0)</f>
        <v>0</v>
      </c>
    </row>
    <row r="39" spans="1:40" outlineLevel="2" x14ac:dyDescent="0.25">
      <c r="A39" s="154" t="s">
        <v>1524</v>
      </c>
      <c r="B39" s="154">
        <v>5</v>
      </c>
      <c r="C39" s="154" t="s">
        <v>1530</v>
      </c>
      <c r="D39" s="330" t="s">
        <v>4</v>
      </c>
      <c r="E39" s="330" t="s">
        <v>819</v>
      </c>
      <c r="F39" s="330" t="s">
        <v>1450</v>
      </c>
      <c r="G39" s="330" t="s">
        <v>1521</v>
      </c>
      <c r="H39" s="330" t="s">
        <v>1290</v>
      </c>
      <c r="I39" s="364">
        <v>0</v>
      </c>
      <c r="J39" s="365">
        <f>VLOOKUP($E39,'7. PGE_Efficacité'!$A$6:$BT$266,(MATCH('4.3 ACE EFF CAN'!J$4,'7. PGE_Efficacité'!$A$4:$BU$4,0)+31),0)</f>
        <v>0</v>
      </c>
      <c r="K39" s="365">
        <f>VLOOKUP($E39,'7. PGE_Efficacité'!$A$6:$BT$266,(MATCH('4.3 ACE EFF CAN'!K$4,'7. PGE_Efficacité'!$A$4:$BU$4,0)+31),0)</f>
        <v>0</v>
      </c>
      <c r="L39" s="365">
        <f>VLOOKUP($E39,'7. PGE_Efficacité'!$A$6:$BT$266,(MATCH('4.3 ACE EFF CAN'!L$4,'7. PGE_Efficacité'!$A$4:$BU$4,0)+31),0)</f>
        <v>0</v>
      </c>
      <c r="M39" s="365">
        <f>VLOOKUP($E39,'7. PGE_Efficacité'!$A$6:$BT$266,(MATCH('4.3 ACE EFF CAN'!M$4,'7. PGE_Efficacité'!$A$4:$BU$4,0)+31),0)</f>
        <v>0</v>
      </c>
      <c r="N39" s="365">
        <f>VLOOKUP($E39,'7. PGE_Efficacité'!$A$6:$BT$266,(MATCH('4.3 ACE EFF CAN'!N$4,'7. PGE_Efficacité'!$A$4:$BU$4,0)+31),0)</f>
        <v>0</v>
      </c>
      <c r="O39" s="365">
        <f>VLOOKUP($E39,'7. PGE_Efficacité'!$A$6:$BT$266,(MATCH('4.3 ACE EFF CAN'!O$4,'7. PGE_Efficacité'!$A$4:$BU$4,0)+31),0)</f>
        <v>0</v>
      </c>
      <c r="P39" s="365">
        <f>VLOOKUP($E39,'7. PGE_Efficacité'!$A$6:$BT$266,(MATCH('4.3 ACE EFF CAN'!P$4,'7. PGE_Efficacité'!$A$4:$BU$4,0)+31),0)</f>
        <v>0</v>
      </c>
      <c r="Q39" s="365">
        <f>VLOOKUP($E39,'7. PGE_Efficacité'!$A$6:$BT$266,(MATCH('4.3 ACE EFF CAN'!Q$4,'7. PGE_Efficacité'!$A$4:$BU$4,0)+31),0)</f>
        <v>0</v>
      </c>
      <c r="R39" s="365">
        <f>VLOOKUP($E39,'7. PGE_Efficacité'!$A$6:$BT$266,(MATCH('4.3 ACE EFF CAN'!R$4,'7. PGE_Efficacité'!$A$4:$BU$4,0)+31),0)</f>
        <v>0</v>
      </c>
      <c r="S39" s="365">
        <f>VLOOKUP($E39,'7. PGE_Efficacité'!$A$6:$BT$266,(MATCH('4.3 ACE EFF CAN'!S$4,'7. PGE_Efficacité'!$A$4:$BU$4,0)+31),0)</f>
        <v>0</v>
      </c>
      <c r="T39" s="365">
        <f>VLOOKUP($E39,'7. PGE_Efficacité'!$A$6:$BT$266,(MATCH('4.3 ACE EFF CAN'!T$4,'7. PGE_Efficacité'!$A$4:$BU$4,0)+31),0)</f>
        <v>0</v>
      </c>
      <c r="U39" s="365">
        <f>VLOOKUP($E39,'7. PGE_Efficacité'!$A$6:$BT$266,(MATCH('4.3 ACE EFF CAN'!U$4,'7. PGE_Efficacité'!$A$4:$BU$4,0)+31),0)</f>
        <v>0</v>
      </c>
      <c r="V39" s="365">
        <f>VLOOKUP($E39,'7. PGE_Efficacité'!$A$6:$BT$266,(MATCH('4.3 ACE EFF CAN'!V$4,'7. PGE_Efficacité'!$A$4:$BU$4,0)+31),0)</f>
        <v>0</v>
      </c>
      <c r="W39" s="365">
        <f>VLOOKUP($E39,'7. PGE_Efficacité'!$A$6:$BT$266,(MATCH('4.3 ACE EFF CAN'!W$4,'7. PGE_Efficacité'!$A$4:$BU$4,0)+31),0)</f>
        <v>0</v>
      </c>
      <c r="X39" s="365">
        <f>VLOOKUP($E39,'7. PGE_Efficacité'!$A$6:$BT$266,(MATCH('4.3 ACE EFF CAN'!X$4,'7. PGE_Efficacité'!$A$4:$BU$4,0)+31),0)</f>
        <v>0</v>
      </c>
      <c r="Y39" s="366">
        <f>VLOOKUP($E39,'7. PGE_Efficacité'!$A$6:$BT$266,(MATCH('4.3 ACE EFF CAN'!Y$4,'7. PGE_Efficacité'!$A$4:$BU$4,0)+31),0)</f>
        <v>0</v>
      </c>
      <c r="Z39" s="366">
        <f>VLOOKUP($E39,'7. PGE_Efficacité'!$A$6:$BT$266,(MATCH('4.3 ACE EFF CAN'!Z$4,'7. PGE_Efficacité'!$A$4:$BU$4,0)+31),0)</f>
        <v>0</v>
      </c>
      <c r="AA39" s="366">
        <f>VLOOKUP($E39,'7. PGE_Efficacité'!$A$6:$BT$266,(MATCH('4.3 ACE EFF CAN'!AA$4,'7. PGE_Efficacité'!$A$4:$BU$4,0)+31),0)</f>
        <v>0</v>
      </c>
      <c r="AB39" s="366">
        <f>VLOOKUP($E39,'7. PGE_Efficacité'!$A$6:$BT$266,(MATCH('4.3 ACE EFF CAN'!AB$4,'7. PGE_Efficacité'!$A$4:$BU$4,0)+31),0)</f>
        <v>0</v>
      </c>
      <c r="AC39" s="366">
        <f>VLOOKUP($E39,'7. PGE_Efficacité'!$A$6:$BT$266,(MATCH('4.3 ACE EFF CAN'!AC$4,'7. PGE_Efficacité'!$A$4:$BU$4,0)+31),0)</f>
        <v>0</v>
      </c>
      <c r="AD39" s="366">
        <f>VLOOKUP($E39,'7. PGE_Efficacité'!$A$6:$BT$266,(MATCH('4.3 ACE EFF CAN'!AD$4,'7. PGE_Efficacité'!$A$4:$BU$4,0)+31),0)</f>
        <v>0</v>
      </c>
      <c r="AE39" s="366">
        <f>VLOOKUP($E39,'7. PGE_Efficacité'!$A$6:$BT$266,(MATCH('4.3 ACE EFF CAN'!AE$4,'7. PGE_Efficacité'!$A$4:$BU$4,0)+31),0)</f>
        <v>0</v>
      </c>
      <c r="AF39" s="366">
        <f>VLOOKUP($E39,'7. PGE_Efficacité'!$A$6:$BT$266,(MATCH('4.3 ACE EFF CAN'!AF$4,'7. PGE_Efficacité'!$A$4:$BU$4,0)+31),0)</f>
        <v>0</v>
      </c>
      <c r="AG39" s="366">
        <f>VLOOKUP($E39,'7. PGE_Efficacité'!$A$6:$BT$266,(MATCH('4.3 ACE EFF CAN'!AG$4,'7. PGE_Efficacité'!$A$4:$BU$4,0)+31),0)</f>
        <v>0</v>
      </c>
      <c r="AH39" s="366">
        <f>VLOOKUP($E39,'7. PGE_Efficacité'!$A$6:$BT$266,(MATCH('4.3 ACE EFF CAN'!AH$4,'7. PGE_Efficacité'!$A$4:$BU$4,0)+31),0)</f>
        <v>0</v>
      </c>
      <c r="AI39" s="366">
        <f>VLOOKUP($E39,'7. PGE_Efficacité'!$A$6:$BT$266,(MATCH('4.3 ACE EFF CAN'!AI$4,'7. PGE_Efficacité'!$A$4:$BU$4,0)+31),0)</f>
        <v>0</v>
      </c>
      <c r="AJ39" s="366">
        <f>VLOOKUP($E39,'7. PGE_Efficacité'!$A$6:$BT$266,(MATCH('4.3 ACE EFF CAN'!AJ$4,'7. PGE_Efficacité'!$A$4:$BU$4,0)+31),0)</f>
        <v>0</v>
      </c>
      <c r="AK39" s="366">
        <f>VLOOKUP($E39,'7. PGE_Efficacité'!$A$6:$BT$266,(MATCH('4.3 ACE EFF CAN'!AK$4,'7. PGE_Efficacité'!$A$4:$BU$4,0)+31),0)</f>
        <v>0</v>
      </c>
      <c r="AL39" s="366">
        <f>VLOOKUP($E39,'7. PGE_Efficacité'!$A$6:$BT$266,(MATCH('4.3 ACE EFF CAN'!AL$4,'7. PGE_Efficacité'!$A$4:$BU$4,0)+31),0)</f>
        <v>0</v>
      </c>
      <c r="AM39" s="366">
        <f>VLOOKUP($E39,'7. PGE_Efficacité'!$A$6:$BT$266,(MATCH('4.3 ACE EFF CAN'!AM$4,'7. PGE_Efficacité'!$A$4:$BU$4,0)+31),0)</f>
        <v>0</v>
      </c>
      <c r="AN39" s="366">
        <f>VLOOKUP($E39,'7. PGE_Efficacité'!$A$6:$BT$266,(MATCH('4.3 ACE EFF CAN'!AN$4,'7. PGE_Efficacité'!$A$4:$BU$4,0)+31),0)</f>
        <v>0</v>
      </c>
    </row>
    <row r="40" spans="1:40" outlineLevel="2" x14ac:dyDescent="0.25">
      <c r="A40" s="154" t="s">
        <v>1524</v>
      </c>
      <c r="B40" s="154">
        <v>5</v>
      </c>
      <c r="C40" s="154" t="s">
        <v>1508</v>
      </c>
      <c r="D40" s="330" t="s">
        <v>4</v>
      </c>
      <c r="E40" s="330" t="s">
        <v>806</v>
      </c>
      <c r="F40" s="330" t="s">
        <v>1437</v>
      </c>
      <c r="G40" s="330" t="s">
        <v>1521</v>
      </c>
      <c r="H40" s="330" t="s">
        <v>414</v>
      </c>
      <c r="I40" s="364">
        <v>17000</v>
      </c>
      <c r="J40" s="365">
        <f>VLOOKUP($E40,'7. PGE_Efficacité'!$A$6:$BT$266,(MATCH('4.3 ACE EFF CAN'!J$4,'7. PGE_Efficacité'!$A$4:$BU$4,0)+31),0)</f>
        <v>0</v>
      </c>
      <c r="K40" s="365">
        <f>VLOOKUP($E40,'7. PGE_Efficacité'!$A$6:$BT$266,(MATCH('4.3 ACE EFF CAN'!K$4,'7. PGE_Efficacité'!$A$4:$BU$4,0)+31),0)</f>
        <v>0</v>
      </c>
      <c r="L40" s="365">
        <f>VLOOKUP($E40,'7. PGE_Efficacité'!$A$6:$BT$266,(MATCH('4.3 ACE EFF CAN'!L$4,'7. PGE_Efficacité'!$A$4:$BU$4,0)+31),0)</f>
        <v>0</v>
      </c>
      <c r="M40" s="365">
        <f>VLOOKUP($E40,'7. PGE_Efficacité'!$A$6:$BT$266,(MATCH('4.3 ACE EFF CAN'!M$4,'7. PGE_Efficacité'!$A$4:$BU$4,0)+31),0)</f>
        <v>0</v>
      </c>
      <c r="N40" s="365">
        <f>VLOOKUP($E40,'7. PGE_Efficacité'!$A$6:$BT$266,(MATCH('4.3 ACE EFF CAN'!N$4,'7. PGE_Efficacité'!$A$4:$BU$4,0)+31),0)</f>
        <v>0</v>
      </c>
      <c r="O40" s="365">
        <f>VLOOKUP($E40,'7. PGE_Efficacité'!$A$6:$BT$266,(MATCH('4.3 ACE EFF CAN'!O$4,'7. PGE_Efficacité'!$A$4:$BU$4,0)+31),0)</f>
        <v>0</v>
      </c>
      <c r="P40" s="365">
        <f>VLOOKUP($E40,'7. PGE_Efficacité'!$A$6:$BT$266,(MATCH('4.3 ACE EFF CAN'!P$4,'7. PGE_Efficacité'!$A$4:$BU$4,0)+31),0)</f>
        <v>0</v>
      </c>
      <c r="Q40" s="365">
        <f>VLOOKUP($E40,'7. PGE_Efficacité'!$A$6:$BT$266,(MATCH('4.3 ACE EFF CAN'!Q$4,'7. PGE_Efficacité'!$A$4:$BU$4,0)+31),0)</f>
        <v>0</v>
      </c>
      <c r="R40" s="365">
        <f>VLOOKUP($E40,'7. PGE_Efficacité'!$A$6:$BT$266,(MATCH('4.3 ACE EFF CAN'!R$4,'7. PGE_Efficacité'!$A$4:$BU$4,0)+31),0)</f>
        <v>0</v>
      </c>
      <c r="S40" s="365">
        <f>VLOOKUP($E40,'7. PGE_Efficacité'!$A$6:$BT$266,(MATCH('4.3 ACE EFF CAN'!S$4,'7. PGE_Efficacité'!$A$4:$BU$4,0)+31),0)</f>
        <v>0</v>
      </c>
      <c r="T40" s="365">
        <f>VLOOKUP($E40,'7. PGE_Efficacité'!$A$6:$BT$266,(MATCH('4.3 ACE EFF CAN'!T$4,'7. PGE_Efficacité'!$A$4:$BU$4,0)+31),0)</f>
        <v>0</v>
      </c>
      <c r="U40" s="365">
        <f>VLOOKUP($E40,'7. PGE_Efficacité'!$A$6:$BT$266,(MATCH('4.3 ACE EFF CAN'!U$4,'7. PGE_Efficacité'!$A$4:$BU$4,0)+31),0)</f>
        <v>0</v>
      </c>
      <c r="V40" s="365">
        <f>VLOOKUP($E40,'7. PGE_Efficacité'!$A$6:$BT$266,(MATCH('4.3 ACE EFF CAN'!V$4,'7. PGE_Efficacité'!$A$4:$BU$4,0)+31),0)</f>
        <v>0</v>
      </c>
      <c r="W40" s="365">
        <f>VLOOKUP($E40,'7. PGE_Efficacité'!$A$6:$BT$266,(MATCH('4.3 ACE EFF CAN'!W$4,'7. PGE_Efficacité'!$A$4:$BU$4,0)+31),0)</f>
        <v>0</v>
      </c>
      <c r="X40" s="365">
        <f>VLOOKUP($E40,'7. PGE_Efficacité'!$A$6:$BT$266,(MATCH('4.3 ACE EFF CAN'!X$4,'7. PGE_Efficacité'!$A$4:$BU$4,0)+31),0)</f>
        <v>0</v>
      </c>
      <c r="Y40" s="366">
        <f>VLOOKUP($E40,'7. PGE_Efficacité'!$A$6:$BT$266,(MATCH('4.3 ACE EFF CAN'!Y$4,'7. PGE_Efficacité'!$A$4:$BU$4,0)+31),0)</f>
        <v>0</v>
      </c>
      <c r="Z40" s="366">
        <f>VLOOKUP($E40,'7. PGE_Efficacité'!$A$6:$BT$266,(MATCH('4.3 ACE EFF CAN'!Z$4,'7. PGE_Efficacité'!$A$4:$BU$4,0)+31),0)</f>
        <v>0</v>
      </c>
      <c r="AA40" s="366">
        <f>VLOOKUP($E40,'7. PGE_Efficacité'!$A$6:$BT$266,(MATCH('4.3 ACE EFF CAN'!AA$4,'7. PGE_Efficacité'!$A$4:$BU$4,0)+31),0)</f>
        <v>0</v>
      </c>
      <c r="AB40" s="366">
        <f>VLOOKUP($E40,'7. PGE_Efficacité'!$A$6:$BT$266,(MATCH('4.3 ACE EFF CAN'!AB$4,'7. PGE_Efficacité'!$A$4:$BU$4,0)+31),0)</f>
        <v>0</v>
      </c>
      <c r="AC40" s="366">
        <f>VLOOKUP($E40,'7. PGE_Efficacité'!$A$6:$BT$266,(MATCH('4.3 ACE EFF CAN'!AC$4,'7. PGE_Efficacité'!$A$4:$BU$4,0)+31),0)</f>
        <v>0</v>
      </c>
      <c r="AD40" s="366">
        <f>VLOOKUP($E40,'7. PGE_Efficacité'!$A$6:$BT$266,(MATCH('4.3 ACE EFF CAN'!AD$4,'7. PGE_Efficacité'!$A$4:$BU$4,0)+31),0)</f>
        <v>0</v>
      </c>
      <c r="AE40" s="366">
        <f>VLOOKUP($E40,'7. PGE_Efficacité'!$A$6:$BT$266,(MATCH('4.3 ACE EFF CAN'!AE$4,'7. PGE_Efficacité'!$A$4:$BU$4,0)+31),0)</f>
        <v>0</v>
      </c>
      <c r="AF40" s="366">
        <f>VLOOKUP($E40,'7. PGE_Efficacité'!$A$6:$BT$266,(MATCH('4.3 ACE EFF CAN'!AF$4,'7. PGE_Efficacité'!$A$4:$BU$4,0)+31),0)</f>
        <v>0</v>
      </c>
      <c r="AG40" s="366">
        <f>VLOOKUP($E40,'7. PGE_Efficacité'!$A$6:$BT$266,(MATCH('4.3 ACE EFF CAN'!AG$4,'7. PGE_Efficacité'!$A$4:$BU$4,0)+31),0)</f>
        <v>0</v>
      </c>
      <c r="AH40" s="366">
        <f>VLOOKUP($E40,'7. PGE_Efficacité'!$A$6:$BT$266,(MATCH('4.3 ACE EFF CAN'!AH$4,'7. PGE_Efficacité'!$A$4:$BU$4,0)+31),0)</f>
        <v>0</v>
      </c>
      <c r="AI40" s="366">
        <f>VLOOKUP($E40,'7. PGE_Efficacité'!$A$6:$BT$266,(MATCH('4.3 ACE EFF CAN'!AI$4,'7. PGE_Efficacité'!$A$4:$BU$4,0)+31),0)</f>
        <v>0</v>
      </c>
      <c r="AJ40" s="366">
        <f>VLOOKUP($E40,'7. PGE_Efficacité'!$A$6:$BT$266,(MATCH('4.3 ACE EFF CAN'!AJ$4,'7. PGE_Efficacité'!$A$4:$BU$4,0)+31),0)</f>
        <v>0</v>
      </c>
      <c r="AK40" s="366">
        <f>VLOOKUP($E40,'7. PGE_Efficacité'!$A$6:$BT$266,(MATCH('4.3 ACE EFF CAN'!AK$4,'7. PGE_Efficacité'!$A$4:$BU$4,0)+31),0)</f>
        <v>0</v>
      </c>
      <c r="AL40" s="366">
        <f>VLOOKUP($E40,'7. PGE_Efficacité'!$A$6:$BT$266,(MATCH('4.3 ACE EFF CAN'!AL$4,'7. PGE_Efficacité'!$A$4:$BU$4,0)+31),0)</f>
        <v>0</v>
      </c>
      <c r="AM40" s="366">
        <f>VLOOKUP($E40,'7. PGE_Efficacité'!$A$6:$BT$266,(MATCH('4.3 ACE EFF CAN'!AM$4,'7. PGE_Efficacité'!$A$4:$BU$4,0)+31),0)</f>
        <v>0</v>
      </c>
      <c r="AN40" s="366">
        <f>VLOOKUP($E40,'7. PGE_Efficacité'!$A$6:$BT$266,(MATCH('4.3 ACE EFF CAN'!AN$4,'7. PGE_Efficacité'!$A$4:$BU$4,0)+31),0)</f>
        <v>0</v>
      </c>
    </row>
    <row r="41" spans="1:40" outlineLevel="2" x14ac:dyDescent="0.25">
      <c r="A41" s="154" t="s">
        <v>1524</v>
      </c>
      <c r="B41" s="154">
        <v>5</v>
      </c>
      <c r="C41" s="154" t="s">
        <v>1509</v>
      </c>
      <c r="D41" s="330" t="s">
        <v>4</v>
      </c>
      <c r="E41" s="330" t="s">
        <v>807</v>
      </c>
      <c r="F41" s="330" t="s">
        <v>1438</v>
      </c>
      <c r="G41" s="330" t="s">
        <v>1521</v>
      </c>
      <c r="H41" s="330" t="s">
        <v>414</v>
      </c>
      <c r="I41" s="364">
        <v>0</v>
      </c>
      <c r="J41" s="365">
        <f>VLOOKUP($E41,'7. PGE_Efficacité'!$A$6:$BT$266,(MATCH('4.3 ACE EFF CAN'!J$4,'7. PGE_Efficacité'!$A$4:$BU$4,0)+31),0)</f>
        <v>0</v>
      </c>
      <c r="K41" s="365">
        <f>VLOOKUP($E41,'7. PGE_Efficacité'!$A$6:$BT$266,(MATCH('4.3 ACE EFF CAN'!K$4,'7. PGE_Efficacité'!$A$4:$BU$4,0)+31),0)</f>
        <v>0</v>
      </c>
      <c r="L41" s="365">
        <f>VLOOKUP($E41,'7. PGE_Efficacité'!$A$6:$BT$266,(MATCH('4.3 ACE EFF CAN'!L$4,'7. PGE_Efficacité'!$A$4:$BU$4,0)+31),0)</f>
        <v>0</v>
      </c>
      <c r="M41" s="365">
        <f>VLOOKUP($E41,'7. PGE_Efficacité'!$A$6:$BT$266,(MATCH('4.3 ACE EFF CAN'!M$4,'7. PGE_Efficacité'!$A$4:$BU$4,0)+31),0)</f>
        <v>0</v>
      </c>
      <c r="N41" s="365">
        <f>VLOOKUP($E41,'7. PGE_Efficacité'!$A$6:$BT$266,(MATCH('4.3 ACE EFF CAN'!N$4,'7. PGE_Efficacité'!$A$4:$BU$4,0)+31),0)</f>
        <v>0</v>
      </c>
      <c r="O41" s="365">
        <f>VLOOKUP($E41,'7. PGE_Efficacité'!$A$6:$BT$266,(MATCH('4.3 ACE EFF CAN'!O$4,'7. PGE_Efficacité'!$A$4:$BU$4,0)+31),0)</f>
        <v>0</v>
      </c>
      <c r="P41" s="365">
        <f>VLOOKUP($E41,'7. PGE_Efficacité'!$A$6:$BT$266,(MATCH('4.3 ACE EFF CAN'!P$4,'7. PGE_Efficacité'!$A$4:$BU$4,0)+31),0)</f>
        <v>0</v>
      </c>
      <c r="Q41" s="365">
        <f>VLOOKUP($E41,'7. PGE_Efficacité'!$A$6:$BT$266,(MATCH('4.3 ACE EFF CAN'!Q$4,'7. PGE_Efficacité'!$A$4:$BU$4,0)+31),0)</f>
        <v>0</v>
      </c>
      <c r="R41" s="365">
        <f>VLOOKUP($E41,'7. PGE_Efficacité'!$A$6:$BT$266,(MATCH('4.3 ACE EFF CAN'!R$4,'7. PGE_Efficacité'!$A$4:$BU$4,0)+31),0)</f>
        <v>0</v>
      </c>
      <c r="S41" s="365">
        <f>VLOOKUP($E41,'7. PGE_Efficacité'!$A$6:$BT$266,(MATCH('4.3 ACE EFF CAN'!S$4,'7. PGE_Efficacité'!$A$4:$BU$4,0)+31),0)</f>
        <v>0</v>
      </c>
      <c r="T41" s="365">
        <f>VLOOKUP($E41,'7. PGE_Efficacité'!$A$6:$BT$266,(MATCH('4.3 ACE EFF CAN'!T$4,'7. PGE_Efficacité'!$A$4:$BU$4,0)+31),0)</f>
        <v>0</v>
      </c>
      <c r="U41" s="365">
        <f>VLOOKUP($E41,'7. PGE_Efficacité'!$A$6:$BT$266,(MATCH('4.3 ACE EFF CAN'!U$4,'7. PGE_Efficacité'!$A$4:$BU$4,0)+31),0)</f>
        <v>0</v>
      </c>
      <c r="V41" s="365">
        <f>VLOOKUP($E41,'7. PGE_Efficacité'!$A$6:$BT$266,(MATCH('4.3 ACE EFF CAN'!V$4,'7. PGE_Efficacité'!$A$4:$BU$4,0)+31),0)</f>
        <v>0</v>
      </c>
      <c r="W41" s="365">
        <f>VLOOKUP($E41,'7. PGE_Efficacité'!$A$6:$BT$266,(MATCH('4.3 ACE EFF CAN'!W$4,'7. PGE_Efficacité'!$A$4:$BU$4,0)+31),0)</f>
        <v>0</v>
      </c>
      <c r="X41" s="365">
        <f>VLOOKUP($E41,'7. PGE_Efficacité'!$A$6:$BT$266,(MATCH('4.3 ACE EFF CAN'!X$4,'7. PGE_Efficacité'!$A$4:$BU$4,0)+31),0)</f>
        <v>0</v>
      </c>
      <c r="Y41" s="366">
        <f>VLOOKUP($E41,'7. PGE_Efficacité'!$A$6:$BT$266,(MATCH('4.3 ACE EFF CAN'!Y$4,'7. PGE_Efficacité'!$A$4:$BU$4,0)+31),0)</f>
        <v>0</v>
      </c>
      <c r="Z41" s="366">
        <f>VLOOKUP($E41,'7. PGE_Efficacité'!$A$6:$BT$266,(MATCH('4.3 ACE EFF CAN'!Z$4,'7. PGE_Efficacité'!$A$4:$BU$4,0)+31),0)</f>
        <v>0</v>
      </c>
      <c r="AA41" s="366">
        <f>VLOOKUP($E41,'7. PGE_Efficacité'!$A$6:$BT$266,(MATCH('4.3 ACE EFF CAN'!AA$4,'7. PGE_Efficacité'!$A$4:$BU$4,0)+31),0)</f>
        <v>0</v>
      </c>
      <c r="AB41" s="366">
        <f>VLOOKUP($E41,'7. PGE_Efficacité'!$A$6:$BT$266,(MATCH('4.3 ACE EFF CAN'!AB$4,'7. PGE_Efficacité'!$A$4:$BU$4,0)+31),0)</f>
        <v>0</v>
      </c>
      <c r="AC41" s="366">
        <f>VLOOKUP($E41,'7. PGE_Efficacité'!$A$6:$BT$266,(MATCH('4.3 ACE EFF CAN'!AC$4,'7. PGE_Efficacité'!$A$4:$BU$4,0)+31),0)</f>
        <v>0</v>
      </c>
      <c r="AD41" s="366">
        <f>VLOOKUP($E41,'7. PGE_Efficacité'!$A$6:$BT$266,(MATCH('4.3 ACE EFF CAN'!AD$4,'7. PGE_Efficacité'!$A$4:$BU$4,0)+31),0)</f>
        <v>0</v>
      </c>
      <c r="AE41" s="366">
        <f>VLOOKUP($E41,'7. PGE_Efficacité'!$A$6:$BT$266,(MATCH('4.3 ACE EFF CAN'!AE$4,'7. PGE_Efficacité'!$A$4:$BU$4,0)+31),0)</f>
        <v>0</v>
      </c>
      <c r="AF41" s="366">
        <f>VLOOKUP($E41,'7. PGE_Efficacité'!$A$6:$BT$266,(MATCH('4.3 ACE EFF CAN'!AF$4,'7. PGE_Efficacité'!$A$4:$BU$4,0)+31),0)</f>
        <v>0</v>
      </c>
      <c r="AG41" s="366">
        <f>VLOOKUP($E41,'7. PGE_Efficacité'!$A$6:$BT$266,(MATCH('4.3 ACE EFF CAN'!AG$4,'7. PGE_Efficacité'!$A$4:$BU$4,0)+31),0)</f>
        <v>0</v>
      </c>
      <c r="AH41" s="366">
        <f>VLOOKUP($E41,'7. PGE_Efficacité'!$A$6:$BT$266,(MATCH('4.3 ACE EFF CAN'!AH$4,'7. PGE_Efficacité'!$A$4:$BU$4,0)+31),0)</f>
        <v>0</v>
      </c>
      <c r="AI41" s="366">
        <f>VLOOKUP($E41,'7. PGE_Efficacité'!$A$6:$BT$266,(MATCH('4.3 ACE EFF CAN'!AI$4,'7. PGE_Efficacité'!$A$4:$BU$4,0)+31),0)</f>
        <v>0</v>
      </c>
      <c r="AJ41" s="366">
        <f>VLOOKUP($E41,'7. PGE_Efficacité'!$A$6:$BT$266,(MATCH('4.3 ACE EFF CAN'!AJ$4,'7. PGE_Efficacité'!$A$4:$BU$4,0)+31),0)</f>
        <v>0</v>
      </c>
      <c r="AK41" s="366">
        <f>VLOOKUP($E41,'7. PGE_Efficacité'!$A$6:$BT$266,(MATCH('4.3 ACE EFF CAN'!AK$4,'7. PGE_Efficacité'!$A$4:$BU$4,0)+31),0)</f>
        <v>0</v>
      </c>
      <c r="AL41" s="366">
        <f>VLOOKUP($E41,'7. PGE_Efficacité'!$A$6:$BT$266,(MATCH('4.3 ACE EFF CAN'!AL$4,'7. PGE_Efficacité'!$A$4:$BU$4,0)+31),0)</f>
        <v>0</v>
      </c>
      <c r="AM41" s="366">
        <f>VLOOKUP($E41,'7. PGE_Efficacité'!$A$6:$BT$266,(MATCH('4.3 ACE EFF CAN'!AM$4,'7. PGE_Efficacité'!$A$4:$BU$4,0)+31),0)</f>
        <v>0</v>
      </c>
      <c r="AN41" s="366">
        <f>VLOOKUP($E41,'7. PGE_Efficacité'!$A$6:$BT$266,(MATCH('4.3 ACE EFF CAN'!AN$4,'7. PGE_Efficacité'!$A$4:$BU$4,0)+31),0)</f>
        <v>0</v>
      </c>
    </row>
    <row r="42" spans="1:40" outlineLevel="2" x14ac:dyDescent="0.25">
      <c r="A42" s="154" t="s">
        <v>1524</v>
      </c>
      <c r="B42" s="154">
        <v>5</v>
      </c>
      <c r="C42" s="154" t="s">
        <v>1516</v>
      </c>
      <c r="D42" s="330" t="s">
        <v>4</v>
      </c>
      <c r="E42" s="330" t="s">
        <v>808</v>
      </c>
      <c r="F42" s="330" t="s">
        <v>1439</v>
      </c>
      <c r="G42" s="330" t="s">
        <v>1521</v>
      </c>
      <c r="H42" s="330" t="s">
        <v>414</v>
      </c>
      <c r="I42" s="364">
        <v>25000</v>
      </c>
      <c r="J42" s="365">
        <f>VLOOKUP($E42,'7. PGE_Efficacité'!$A$6:$BT$266,(MATCH('4.3 ACE EFF CAN'!J$4,'7. PGE_Efficacité'!$A$4:$BU$4,0)+31),0)</f>
        <v>0</v>
      </c>
      <c r="K42" s="365">
        <f>VLOOKUP($E42,'7. PGE_Efficacité'!$A$6:$BT$266,(MATCH('4.3 ACE EFF CAN'!K$4,'7. PGE_Efficacité'!$A$4:$BU$4,0)+31),0)</f>
        <v>0</v>
      </c>
      <c r="L42" s="365">
        <f>VLOOKUP($E42,'7. PGE_Efficacité'!$A$6:$BT$266,(MATCH('4.3 ACE EFF CAN'!L$4,'7. PGE_Efficacité'!$A$4:$BU$4,0)+31),0)</f>
        <v>0</v>
      </c>
      <c r="M42" s="365">
        <f>VLOOKUP($E42,'7. PGE_Efficacité'!$A$6:$BT$266,(MATCH('4.3 ACE EFF CAN'!M$4,'7. PGE_Efficacité'!$A$4:$BU$4,0)+31),0)</f>
        <v>0</v>
      </c>
      <c r="N42" s="365">
        <f>VLOOKUP($E42,'7. PGE_Efficacité'!$A$6:$BT$266,(MATCH('4.3 ACE EFF CAN'!N$4,'7. PGE_Efficacité'!$A$4:$BU$4,0)+31),0)</f>
        <v>0</v>
      </c>
      <c r="O42" s="365">
        <f>VLOOKUP($E42,'7. PGE_Efficacité'!$A$6:$BT$266,(MATCH('4.3 ACE EFF CAN'!O$4,'7. PGE_Efficacité'!$A$4:$BU$4,0)+31),0)</f>
        <v>0</v>
      </c>
      <c r="P42" s="365">
        <f>VLOOKUP($E42,'7. PGE_Efficacité'!$A$6:$BT$266,(MATCH('4.3 ACE EFF CAN'!P$4,'7. PGE_Efficacité'!$A$4:$BU$4,0)+31),0)</f>
        <v>0</v>
      </c>
      <c r="Q42" s="365">
        <f>VLOOKUP($E42,'7. PGE_Efficacité'!$A$6:$BT$266,(MATCH('4.3 ACE EFF CAN'!Q$4,'7. PGE_Efficacité'!$A$4:$BU$4,0)+31),0)</f>
        <v>0</v>
      </c>
      <c r="R42" s="365">
        <f>VLOOKUP($E42,'7. PGE_Efficacité'!$A$6:$BT$266,(MATCH('4.3 ACE EFF CAN'!R$4,'7. PGE_Efficacité'!$A$4:$BU$4,0)+31),0)</f>
        <v>0</v>
      </c>
      <c r="S42" s="365">
        <f>VLOOKUP($E42,'7. PGE_Efficacité'!$A$6:$BT$266,(MATCH('4.3 ACE EFF CAN'!S$4,'7. PGE_Efficacité'!$A$4:$BU$4,0)+31),0)</f>
        <v>0</v>
      </c>
      <c r="T42" s="365">
        <f>VLOOKUP($E42,'7. PGE_Efficacité'!$A$6:$BT$266,(MATCH('4.3 ACE EFF CAN'!T$4,'7. PGE_Efficacité'!$A$4:$BU$4,0)+31),0)</f>
        <v>0</v>
      </c>
      <c r="U42" s="365">
        <f>VLOOKUP($E42,'7. PGE_Efficacité'!$A$6:$BT$266,(MATCH('4.3 ACE EFF CAN'!U$4,'7. PGE_Efficacité'!$A$4:$BU$4,0)+31),0)</f>
        <v>0</v>
      </c>
      <c r="V42" s="365">
        <f>VLOOKUP($E42,'7. PGE_Efficacité'!$A$6:$BT$266,(MATCH('4.3 ACE EFF CAN'!V$4,'7. PGE_Efficacité'!$A$4:$BU$4,0)+31),0)</f>
        <v>0</v>
      </c>
      <c r="W42" s="365">
        <f>VLOOKUP($E42,'7. PGE_Efficacité'!$A$6:$BT$266,(MATCH('4.3 ACE EFF CAN'!W$4,'7. PGE_Efficacité'!$A$4:$BU$4,0)+31),0)</f>
        <v>0</v>
      </c>
      <c r="X42" s="365">
        <f>VLOOKUP($E42,'7. PGE_Efficacité'!$A$6:$BT$266,(MATCH('4.3 ACE EFF CAN'!X$4,'7. PGE_Efficacité'!$A$4:$BU$4,0)+31),0)</f>
        <v>0</v>
      </c>
      <c r="Y42" s="366">
        <f>VLOOKUP($E42,'7. PGE_Efficacité'!$A$6:$BT$266,(MATCH('4.3 ACE EFF CAN'!Y$4,'7. PGE_Efficacité'!$A$4:$BU$4,0)+31),0)</f>
        <v>0</v>
      </c>
      <c r="Z42" s="366">
        <f>VLOOKUP($E42,'7. PGE_Efficacité'!$A$6:$BT$266,(MATCH('4.3 ACE EFF CAN'!Z$4,'7. PGE_Efficacité'!$A$4:$BU$4,0)+31),0)</f>
        <v>0</v>
      </c>
      <c r="AA42" s="366">
        <f>VLOOKUP($E42,'7. PGE_Efficacité'!$A$6:$BT$266,(MATCH('4.3 ACE EFF CAN'!AA$4,'7. PGE_Efficacité'!$A$4:$BU$4,0)+31),0)</f>
        <v>0</v>
      </c>
      <c r="AB42" s="366">
        <f>VLOOKUP($E42,'7. PGE_Efficacité'!$A$6:$BT$266,(MATCH('4.3 ACE EFF CAN'!AB$4,'7. PGE_Efficacité'!$A$4:$BU$4,0)+31),0)</f>
        <v>0</v>
      </c>
      <c r="AC42" s="366">
        <f>VLOOKUP($E42,'7. PGE_Efficacité'!$A$6:$BT$266,(MATCH('4.3 ACE EFF CAN'!AC$4,'7. PGE_Efficacité'!$A$4:$BU$4,0)+31),0)</f>
        <v>0</v>
      </c>
      <c r="AD42" s="366">
        <f>VLOOKUP($E42,'7. PGE_Efficacité'!$A$6:$BT$266,(MATCH('4.3 ACE EFF CAN'!AD$4,'7. PGE_Efficacité'!$A$4:$BU$4,0)+31),0)</f>
        <v>0</v>
      </c>
      <c r="AE42" s="366">
        <f>VLOOKUP($E42,'7. PGE_Efficacité'!$A$6:$BT$266,(MATCH('4.3 ACE EFF CAN'!AE$4,'7. PGE_Efficacité'!$A$4:$BU$4,0)+31),0)</f>
        <v>0</v>
      </c>
      <c r="AF42" s="366">
        <f>VLOOKUP($E42,'7. PGE_Efficacité'!$A$6:$BT$266,(MATCH('4.3 ACE EFF CAN'!AF$4,'7. PGE_Efficacité'!$A$4:$BU$4,0)+31),0)</f>
        <v>0</v>
      </c>
      <c r="AG42" s="366">
        <f>VLOOKUP($E42,'7. PGE_Efficacité'!$A$6:$BT$266,(MATCH('4.3 ACE EFF CAN'!AG$4,'7. PGE_Efficacité'!$A$4:$BU$4,0)+31),0)</f>
        <v>0</v>
      </c>
      <c r="AH42" s="366">
        <f>VLOOKUP($E42,'7. PGE_Efficacité'!$A$6:$BT$266,(MATCH('4.3 ACE EFF CAN'!AH$4,'7. PGE_Efficacité'!$A$4:$BU$4,0)+31),0)</f>
        <v>0</v>
      </c>
      <c r="AI42" s="366">
        <f>VLOOKUP($E42,'7. PGE_Efficacité'!$A$6:$BT$266,(MATCH('4.3 ACE EFF CAN'!AI$4,'7. PGE_Efficacité'!$A$4:$BU$4,0)+31),0)</f>
        <v>0</v>
      </c>
      <c r="AJ42" s="366">
        <f>VLOOKUP($E42,'7. PGE_Efficacité'!$A$6:$BT$266,(MATCH('4.3 ACE EFF CAN'!AJ$4,'7. PGE_Efficacité'!$A$4:$BU$4,0)+31),0)</f>
        <v>0</v>
      </c>
      <c r="AK42" s="366">
        <f>VLOOKUP($E42,'7. PGE_Efficacité'!$A$6:$BT$266,(MATCH('4.3 ACE EFF CAN'!AK$4,'7. PGE_Efficacité'!$A$4:$BU$4,0)+31),0)</f>
        <v>0</v>
      </c>
      <c r="AL42" s="366">
        <f>VLOOKUP($E42,'7. PGE_Efficacité'!$A$6:$BT$266,(MATCH('4.3 ACE EFF CAN'!AL$4,'7. PGE_Efficacité'!$A$4:$BU$4,0)+31),0)</f>
        <v>0</v>
      </c>
      <c r="AM42" s="366">
        <f>VLOOKUP($E42,'7. PGE_Efficacité'!$A$6:$BT$266,(MATCH('4.3 ACE EFF CAN'!AM$4,'7. PGE_Efficacité'!$A$4:$BU$4,0)+31),0)</f>
        <v>0</v>
      </c>
      <c r="AN42" s="366">
        <f>VLOOKUP($E42,'7. PGE_Efficacité'!$A$6:$BT$266,(MATCH('4.3 ACE EFF CAN'!AN$4,'7. PGE_Efficacité'!$A$4:$BU$4,0)+31),0)</f>
        <v>0</v>
      </c>
    </row>
    <row r="43" spans="1:40" outlineLevel="2" x14ac:dyDescent="0.25">
      <c r="A43" s="154" t="s">
        <v>1524</v>
      </c>
      <c r="B43" s="154">
        <v>5</v>
      </c>
      <c r="C43" s="154" t="s">
        <v>1517</v>
      </c>
      <c r="D43" s="330" t="s">
        <v>4</v>
      </c>
      <c r="E43" s="330" t="s">
        <v>810</v>
      </c>
      <c r="F43" s="330" t="s">
        <v>1441</v>
      </c>
      <c r="G43" s="330" t="s">
        <v>1521</v>
      </c>
      <c r="H43" s="330" t="s">
        <v>414</v>
      </c>
      <c r="I43" s="364">
        <v>0</v>
      </c>
      <c r="J43" s="365">
        <f>VLOOKUP($E43,'7. PGE_Efficacité'!$A$6:$BT$266,(MATCH('4.3 ACE EFF CAN'!J$4,'7. PGE_Efficacité'!$A$4:$BU$4,0)+31),0)</f>
        <v>0</v>
      </c>
      <c r="K43" s="365">
        <f>VLOOKUP($E43,'7. PGE_Efficacité'!$A$6:$BT$266,(MATCH('4.3 ACE EFF CAN'!K$4,'7. PGE_Efficacité'!$A$4:$BU$4,0)+31),0)</f>
        <v>0</v>
      </c>
      <c r="L43" s="365">
        <f>VLOOKUP($E43,'7. PGE_Efficacité'!$A$6:$BT$266,(MATCH('4.3 ACE EFF CAN'!L$4,'7. PGE_Efficacité'!$A$4:$BU$4,0)+31),0)</f>
        <v>0</v>
      </c>
      <c r="M43" s="365">
        <f>VLOOKUP($E43,'7. PGE_Efficacité'!$A$6:$BT$266,(MATCH('4.3 ACE EFF CAN'!M$4,'7. PGE_Efficacité'!$A$4:$BU$4,0)+31),0)</f>
        <v>0</v>
      </c>
      <c r="N43" s="365">
        <f>VLOOKUP($E43,'7. PGE_Efficacité'!$A$6:$BT$266,(MATCH('4.3 ACE EFF CAN'!N$4,'7. PGE_Efficacité'!$A$4:$BU$4,0)+31),0)</f>
        <v>0</v>
      </c>
      <c r="O43" s="365">
        <f>VLOOKUP($E43,'7. PGE_Efficacité'!$A$6:$BT$266,(MATCH('4.3 ACE EFF CAN'!O$4,'7. PGE_Efficacité'!$A$4:$BU$4,0)+31),0)</f>
        <v>0</v>
      </c>
      <c r="P43" s="365">
        <f>VLOOKUP($E43,'7. PGE_Efficacité'!$A$6:$BT$266,(MATCH('4.3 ACE EFF CAN'!P$4,'7. PGE_Efficacité'!$A$4:$BU$4,0)+31),0)</f>
        <v>0</v>
      </c>
      <c r="Q43" s="365">
        <f>VLOOKUP($E43,'7. PGE_Efficacité'!$A$6:$BT$266,(MATCH('4.3 ACE EFF CAN'!Q$4,'7. PGE_Efficacité'!$A$4:$BU$4,0)+31),0)</f>
        <v>0</v>
      </c>
      <c r="R43" s="365">
        <f>VLOOKUP($E43,'7. PGE_Efficacité'!$A$6:$BT$266,(MATCH('4.3 ACE EFF CAN'!R$4,'7. PGE_Efficacité'!$A$4:$BU$4,0)+31),0)</f>
        <v>0</v>
      </c>
      <c r="S43" s="365">
        <f>VLOOKUP($E43,'7. PGE_Efficacité'!$A$6:$BT$266,(MATCH('4.3 ACE EFF CAN'!S$4,'7. PGE_Efficacité'!$A$4:$BU$4,0)+31),0)</f>
        <v>0</v>
      </c>
      <c r="T43" s="365">
        <f>VLOOKUP($E43,'7. PGE_Efficacité'!$A$6:$BT$266,(MATCH('4.3 ACE EFF CAN'!T$4,'7. PGE_Efficacité'!$A$4:$BU$4,0)+31),0)</f>
        <v>0</v>
      </c>
      <c r="U43" s="365">
        <f>VLOOKUP($E43,'7. PGE_Efficacité'!$A$6:$BT$266,(MATCH('4.3 ACE EFF CAN'!U$4,'7. PGE_Efficacité'!$A$4:$BU$4,0)+31),0)</f>
        <v>0</v>
      </c>
      <c r="V43" s="365">
        <f>VLOOKUP($E43,'7. PGE_Efficacité'!$A$6:$BT$266,(MATCH('4.3 ACE EFF CAN'!V$4,'7. PGE_Efficacité'!$A$4:$BU$4,0)+31),0)</f>
        <v>0</v>
      </c>
      <c r="W43" s="365">
        <f>VLOOKUP($E43,'7. PGE_Efficacité'!$A$6:$BT$266,(MATCH('4.3 ACE EFF CAN'!W$4,'7. PGE_Efficacité'!$A$4:$BU$4,0)+31),0)</f>
        <v>0</v>
      </c>
      <c r="X43" s="365">
        <f>VLOOKUP($E43,'7. PGE_Efficacité'!$A$6:$BT$266,(MATCH('4.3 ACE EFF CAN'!X$4,'7. PGE_Efficacité'!$A$4:$BU$4,0)+31),0)</f>
        <v>0</v>
      </c>
      <c r="Y43" s="366">
        <f>VLOOKUP($E43,'7. PGE_Efficacité'!$A$6:$BT$266,(MATCH('4.3 ACE EFF CAN'!Y$4,'7. PGE_Efficacité'!$A$4:$BU$4,0)+31),0)</f>
        <v>0</v>
      </c>
      <c r="Z43" s="366">
        <f>VLOOKUP($E43,'7. PGE_Efficacité'!$A$6:$BT$266,(MATCH('4.3 ACE EFF CAN'!Z$4,'7. PGE_Efficacité'!$A$4:$BU$4,0)+31),0)</f>
        <v>0</v>
      </c>
      <c r="AA43" s="366">
        <f>VLOOKUP($E43,'7. PGE_Efficacité'!$A$6:$BT$266,(MATCH('4.3 ACE EFF CAN'!AA$4,'7. PGE_Efficacité'!$A$4:$BU$4,0)+31),0)</f>
        <v>0</v>
      </c>
      <c r="AB43" s="366">
        <f>VLOOKUP($E43,'7. PGE_Efficacité'!$A$6:$BT$266,(MATCH('4.3 ACE EFF CAN'!AB$4,'7. PGE_Efficacité'!$A$4:$BU$4,0)+31),0)</f>
        <v>0</v>
      </c>
      <c r="AC43" s="366">
        <f>VLOOKUP($E43,'7. PGE_Efficacité'!$A$6:$BT$266,(MATCH('4.3 ACE EFF CAN'!AC$4,'7. PGE_Efficacité'!$A$4:$BU$4,0)+31),0)</f>
        <v>0</v>
      </c>
      <c r="AD43" s="366">
        <f>VLOOKUP($E43,'7. PGE_Efficacité'!$A$6:$BT$266,(MATCH('4.3 ACE EFF CAN'!AD$4,'7. PGE_Efficacité'!$A$4:$BU$4,0)+31),0)</f>
        <v>0</v>
      </c>
      <c r="AE43" s="366">
        <f>VLOOKUP($E43,'7. PGE_Efficacité'!$A$6:$BT$266,(MATCH('4.3 ACE EFF CAN'!AE$4,'7. PGE_Efficacité'!$A$4:$BU$4,0)+31),0)</f>
        <v>0</v>
      </c>
      <c r="AF43" s="366">
        <f>VLOOKUP($E43,'7. PGE_Efficacité'!$A$6:$BT$266,(MATCH('4.3 ACE EFF CAN'!AF$4,'7. PGE_Efficacité'!$A$4:$BU$4,0)+31),0)</f>
        <v>0</v>
      </c>
      <c r="AG43" s="366">
        <f>VLOOKUP($E43,'7. PGE_Efficacité'!$A$6:$BT$266,(MATCH('4.3 ACE EFF CAN'!AG$4,'7. PGE_Efficacité'!$A$4:$BU$4,0)+31),0)</f>
        <v>0</v>
      </c>
      <c r="AH43" s="366">
        <f>VLOOKUP($E43,'7. PGE_Efficacité'!$A$6:$BT$266,(MATCH('4.3 ACE EFF CAN'!AH$4,'7. PGE_Efficacité'!$A$4:$BU$4,0)+31),0)</f>
        <v>0</v>
      </c>
      <c r="AI43" s="366">
        <f>VLOOKUP($E43,'7. PGE_Efficacité'!$A$6:$BT$266,(MATCH('4.3 ACE EFF CAN'!AI$4,'7. PGE_Efficacité'!$A$4:$BU$4,0)+31),0)</f>
        <v>0</v>
      </c>
      <c r="AJ43" s="366">
        <f>VLOOKUP($E43,'7. PGE_Efficacité'!$A$6:$BT$266,(MATCH('4.3 ACE EFF CAN'!AJ$4,'7. PGE_Efficacité'!$A$4:$BU$4,0)+31),0)</f>
        <v>0</v>
      </c>
      <c r="AK43" s="366">
        <f>VLOOKUP($E43,'7. PGE_Efficacité'!$A$6:$BT$266,(MATCH('4.3 ACE EFF CAN'!AK$4,'7. PGE_Efficacité'!$A$4:$BU$4,0)+31),0)</f>
        <v>0</v>
      </c>
      <c r="AL43" s="366">
        <f>VLOOKUP($E43,'7. PGE_Efficacité'!$A$6:$BT$266,(MATCH('4.3 ACE EFF CAN'!AL$4,'7. PGE_Efficacité'!$A$4:$BU$4,0)+31),0)</f>
        <v>0</v>
      </c>
      <c r="AM43" s="366">
        <f>VLOOKUP($E43,'7. PGE_Efficacité'!$A$6:$BT$266,(MATCH('4.3 ACE EFF CAN'!AM$4,'7. PGE_Efficacité'!$A$4:$BU$4,0)+31),0)</f>
        <v>0</v>
      </c>
      <c r="AN43" s="366">
        <f>VLOOKUP($E43,'7. PGE_Efficacité'!$A$6:$BT$266,(MATCH('4.3 ACE EFF CAN'!AN$4,'7. PGE_Efficacité'!$A$4:$BU$4,0)+31),0)</f>
        <v>0</v>
      </c>
    </row>
    <row r="44" spans="1:40" outlineLevel="2" x14ac:dyDescent="0.25">
      <c r="A44" s="154" t="s">
        <v>1524</v>
      </c>
      <c r="B44" s="154">
        <v>5</v>
      </c>
      <c r="C44" s="154" t="s">
        <v>1510</v>
      </c>
      <c r="D44" s="330" t="s">
        <v>4</v>
      </c>
      <c r="E44" s="330" t="s">
        <v>811</v>
      </c>
      <c r="F44" s="330" t="s">
        <v>1442</v>
      </c>
      <c r="G44" s="330" t="s">
        <v>1521</v>
      </c>
      <c r="H44" s="330" t="s">
        <v>414</v>
      </c>
      <c r="I44" s="364">
        <v>0</v>
      </c>
      <c r="J44" s="365">
        <f>VLOOKUP($E44,'7. PGE_Efficacité'!$A$6:$BT$266,(MATCH('4.3 ACE EFF CAN'!J$4,'7. PGE_Efficacité'!$A$4:$BU$4,0)+31),0)</f>
        <v>0</v>
      </c>
      <c r="K44" s="365">
        <f>VLOOKUP($E44,'7. PGE_Efficacité'!$A$6:$BT$266,(MATCH('4.3 ACE EFF CAN'!K$4,'7. PGE_Efficacité'!$A$4:$BU$4,0)+31),0)</f>
        <v>0</v>
      </c>
      <c r="L44" s="365">
        <f>VLOOKUP($E44,'7. PGE_Efficacité'!$A$6:$BT$266,(MATCH('4.3 ACE EFF CAN'!L$4,'7. PGE_Efficacité'!$A$4:$BU$4,0)+31),0)</f>
        <v>0</v>
      </c>
      <c r="M44" s="365">
        <f>VLOOKUP($E44,'7. PGE_Efficacité'!$A$6:$BT$266,(MATCH('4.3 ACE EFF CAN'!M$4,'7. PGE_Efficacité'!$A$4:$BU$4,0)+31),0)</f>
        <v>0</v>
      </c>
      <c r="N44" s="365">
        <f>VLOOKUP($E44,'7. PGE_Efficacité'!$A$6:$BT$266,(MATCH('4.3 ACE EFF CAN'!N$4,'7. PGE_Efficacité'!$A$4:$BU$4,0)+31),0)</f>
        <v>0</v>
      </c>
      <c r="O44" s="365">
        <f>VLOOKUP($E44,'7. PGE_Efficacité'!$A$6:$BT$266,(MATCH('4.3 ACE EFF CAN'!O$4,'7. PGE_Efficacité'!$A$4:$BU$4,0)+31),0)</f>
        <v>0</v>
      </c>
      <c r="P44" s="365">
        <f>VLOOKUP($E44,'7. PGE_Efficacité'!$A$6:$BT$266,(MATCH('4.3 ACE EFF CAN'!P$4,'7. PGE_Efficacité'!$A$4:$BU$4,0)+31),0)</f>
        <v>0</v>
      </c>
      <c r="Q44" s="365">
        <f>VLOOKUP($E44,'7. PGE_Efficacité'!$A$6:$BT$266,(MATCH('4.3 ACE EFF CAN'!Q$4,'7. PGE_Efficacité'!$A$4:$BU$4,0)+31),0)</f>
        <v>0</v>
      </c>
      <c r="R44" s="365">
        <f>VLOOKUP($E44,'7. PGE_Efficacité'!$A$6:$BT$266,(MATCH('4.3 ACE EFF CAN'!R$4,'7. PGE_Efficacité'!$A$4:$BU$4,0)+31),0)</f>
        <v>0</v>
      </c>
      <c r="S44" s="365">
        <f>VLOOKUP($E44,'7. PGE_Efficacité'!$A$6:$BT$266,(MATCH('4.3 ACE EFF CAN'!S$4,'7. PGE_Efficacité'!$A$4:$BU$4,0)+31),0)</f>
        <v>0</v>
      </c>
      <c r="T44" s="365">
        <f>VLOOKUP($E44,'7. PGE_Efficacité'!$A$6:$BT$266,(MATCH('4.3 ACE EFF CAN'!T$4,'7. PGE_Efficacité'!$A$4:$BU$4,0)+31),0)</f>
        <v>0</v>
      </c>
      <c r="U44" s="365">
        <f>VLOOKUP($E44,'7. PGE_Efficacité'!$A$6:$BT$266,(MATCH('4.3 ACE EFF CAN'!U$4,'7. PGE_Efficacité'!$A$4:$BU$4,0)+31),0)</f>
        <v>0</v>
      </c>
      <c r="V44" s="365">
        <f>VLOOKUP($E44,'7. PGE_Efficacité'!$A$6:$BT$266,(MATCH('4.3 ACE EFF CAN'!V$4,'7. PGE_Efficacité'!$A$4:$BU$4,0)+31),0)</f>
        <v>0</v>
      </c>
      <c r="W44" s="365">
        <f>VLOOKUP($E44,'7. PGE_Efficacité'!$A$6:$BT$266,(MATCH('4.3 ACE EFF CAN'!W$4,'7. PGE_Efficacité'!$A$4:$BU$4,0)+31),0)</f>
        <v>0</v>
      </c>
      <c r="X44" s="365">
        <f>VLOOKUP($E44,'7. PGE_Efficacité'!$A$6:$BT$266,(MATCH('4.3 ACE EFF CAN'!X$4,'7. PGE_Efficacité'!$A$4:$BU$4,0)+31),0)</f>
        <v>0</v>
      </c>
      <c r="Y44" s="366">
        <f>VLOOKUP($E44,'7. PGE_Efficacité'!$A$6:$BT$266,(MATCH('4.3 ACE EFF CAN'!Y$4,'7. PGE_Efficacité'!$A$4:$BU$4,0)+31),0)</f>
        <v>0</v>
      </c>
      <c r="Z44" s="366">
        <f>VLOOKUP($E44,'7. PGE_Efficacité'!$A$6:$BT$266,(MATCH('4.3 ACE EFF CAN'!Z$4,'7. PGE_Efficacité'!$A$4:$BU$4,0)+31),0)</f>
        <v>0</v>
      </c>
      <c r="AA44" s="366">
        <f>VLOOKUP($E44,'7. PGE_Efficacité'!$A$6:$BT$266,(MATCH('4.3 ACE EFF CAN'!AA$4,'7. PGE_Efficacité'!$A$4:$BU$4,0)+31),0)</f>
        <v>0</v>
      </c>
      <c r="AB44" s="366">
        <f>VLOOKUP($E44,'7. PGE_Efficacité'!$A$6:$BT$266,(MATCH('4.3 ACE EFF CAN'!AB$4,'7. PGE_Efficacité'!$A$4:$BU$4,0)+31),0)</f>
        <v>0</v>
      </c>
      <c r="AC44" s="366">
        <f>VLOOKUP($E44,'7. PGE_Efficacité'!$A$6:$BT$266,(MATCH('4.3 ACE EFF CAN'!AC$4,'7. PGE_Efficacité'!$A$4:$BU$4,0)+31),0)</f>
        <v>0</v>
      </c>
      <c r="AD44" s="366">
        <f>VLOOKUP($E44,'7. PGE_Efficacité'!$A$6:$BT$266,(MATCH('4.3 ACE EFF CAN'!AD$4,'7. PGE_Efficacité'!$A$4:$BU$4,0)+31),0)</f>
        <v>0</v>
      </c>
      <c r="AE44" s="366">
        <f>VLOOKUP($E44,'7. PGE_Efficacité'!$A$6:$BT$266,(MATCH('4.3 ACE EFF CAN'!AE$4,'7. PGE_Efficacité'!$A$4:$BU$4,0)+31),0)</f>
        <v>0</v>
      </c>
      <c r="AF44" s="366">
        <f>VLOOKUP($E44,'7. PGE_Efficacité'!$A$6:$BT$266,(MATCH('4.3 ACE EFF CAN'!AF$4,'7. PGE_Efficacité'!$A$4:$BU$4,0)+31),0)</f>
        <v>0</v>
      </c>
      <c r="AG44" s="366">
        <f>VLOOKUP($E44,'7. PGE_Efficacité'!$A$6:$BT$266,(MATCH('4.3 ACE EFF CAN'!AG$4,'7. PGE_Efficacité'!$A$4:$BU$4,0)+31),0)</f>
        <v>0</v>
      </c>
      <c r="AH44" s="366">
        <f>VLOOKUP($E44,'7. PGE_Efficacité'!$A$6:$BT$266,(MATCH('4.3 ACE EFF CAN'!AH$4,'7. PGE_Efficacité'!$A$4:$BU$4,0)+31),0)</f>
        <v>0</v>
      </c>
      <c r="AI44" s="366">
        <f>VLOOKUP($E44,'7. PGE_Efficacité'!$A$6:$BT$266,(MATCH('4.3 ACE EFF CAN'!AI$4,'7. PGE_Efficacité'!$A$4:$BU$4,0)+31),0)</f>
        <v>0</v>
      </c>
      <c r="AJ44" s="366">
        <f>VLOOKUP($E44,'7. PGE_Efficacité'!$A$6:$BT$266,(MATCH('4.3 ACE EFF CAN'!AJ$4,'7. PGE_Efficacité'!$A$4:$BU$4,0)+31),0)</f>
        <v>0</v>
      </c>
      <c r="AK44" s="366">
        <f>VLOOKUP($E44,'7. PGE_Efficacité'!$A$6:$BT$266,(MATCH('4.3 ACE EFF CAN'!AK$4,'7. PGE_Efficacité'!$A$4:$BU$4,0)+31),0)</f>
        <v>0</v>
      </c>
      <c r="AL44" s="366">
        <f>VLOOKUP($E44,'7. PGE_Efficacité'!$A$6:$BT$266,(MATCH('4.3 ACE EFF CAN'!AL$4,'7. PGE_Efficacité'!$A$4:$BU$4,0)+31),0)</f>
        <v>0</v>
      </c>
      <c r="AM44" s="366">
        <f>VLOOKUP($E44,'7. PGE_Efficacité'!$A$6:$BT$266,(MATCH('4.3 ACE EFF CAN'!AM$4,'7. PGE_Efficacité'!$A$4:$BU$4,0)+31),0)</f>
        <v>0</v>
      </c>
      <c r="AN44" s="366">
        <f>VLOOKUP($E44,'7. PGE_Efficacité'!$A$6:$BT$266,(MATCH('4.3 ACE EFF CAN'!AN$4,'7. PGE_Efficacité'!$A$4:$BU$4,0)+31),0)</f>
        <v>0</v>
      </c>
    </row>
    <row r="45" spans="1:40" ht="26.25" outlineLevel="1" x14ac:dyDescent="0.25">
      <c r="A45" s="154"/>
      <c r="B45" s="154"/>
      <c r="C45" s="154"/>
      <c r="D45" s="360" t="s">
        <v>5</v>
      </c>
      <c r="E45" s="360"/>
      <c r="F45" s="361" t="str">
        <f>VLOOKUP(D45,'1. Mesures'!$A$2:$B$116,2,0)</f>
        <v xml:space="preserve">Assurer le raccordement effectif des points de rejet d’eaux usées domestiques et non domestiques vers le réseau d’égouttage </v>
      </c>
      <c r="G45" s="360"/>
      <c r="H45" s="360"/>
      <c r="I45" s="362">
        <f>SUBTOTAL(9,I46:I52)</f>
        <v>200000</v>
      </c>
      <c r="J45" s="366">
        <f>VLOOKUP($D45,'7. PGE_Efficacité'!$A$6:$BT$266,(MATCH('4.3 ACE EFF CAN'!J$4,'7. PGE_Efficacité'!$A$4:$AO$4,0)+31),0)</f>
        <v>0</v>
      </c>
      <c r="K45" s="366" t="str">
        <f>VLOOKUP($D45,'7. PGE_Efficacité'!$A$6:$BT$266,(MATCH('4.3 ACE EFF CAN'!K$4,'7. PGE_Efficacité'!$A$4:$AO$4,0)+31),0)</f>
        <v>++</v>
      </c>
      <c r="L45" s="366" t="str">
        <f>VLOOKUP($D45,'7. PGE_Efficacité'!$A$6:$BT$266,(MATCH('4.3 ACE EFF CAN'!L$4,'7. PGE_Efficacité'!$A$4:$AO$4,0)+31),0)</f>
        <v>++</v>
      </c>
      <c r="M45" s="366" t="str">
        <f>VLOOKUP($D45,'7. PGE_Efficacité'!$A$6:$BT$266,(MATCH('4.3 ACE EFF CAN'!M$4,'7. PGE_Efficacité'!$A$4:$AO$4,0)+31),0)</f>
        <v>++</v>
      </c>
      <c r="N45" s="366" t="str">
        <f>VLOOKUP($D45,'7. PGE_Efficacité'!$A$6:$BT$266,(MATCH('4.3 ACE EFF CAN'!N$4,'7. PGE_Efficacité'!$A$4:$AO$4,0)+31),0)</f>
        <v>++</v>
      </c>
      <c r="O45" s="366" t="str">
        <f>VLOOKUP($D45,'7. PGE_Efficacité'!$A$6:$BT$266,47,0)</f>
        <v>++</v>
      </c>
      <c r="P45" s="366">
        <f>VLOOKUP($D45,'7. PGE_Efficacité'!$A$6:$BT$266,(MATCH('4.3 ACE EFF CAN'!P$4,'7. PGE_Efficacité'!$A$4:$AO$4,0)+31),0)</f>
        <v>0</v>
      </c>
      <c r="Q45" s="366" t="str">
        <f>VLOOKUP($D45,'7. PGE_Efficacité'!$A$6:$BT$266,(MATCH('4.3 ACE EFF CAN'!Q$4,'7. PGE_Efficacité'!$A$4:$AO$4,0)+31),0)</f>
        <v>++</v>
      </c>
      <c r="R45" s="366" t="str">
        <f>VLOOKUP($D45,'7. PGE_Efficacité'!$A$6:$BT$266,(MATCH('4.3 ACE EFF CAN'!R$4,'7. PGE_Efficacité'!$A$4:$AO$4,0)+31),0)</f>
        <v>+</v>
      </c>
      <c r="S45" s="366">
        <f>VLOOKUP($D45,'7. PGE_Efficacité'!$A$6:$BT$266,(MATCH('4.3 ACE EFF CAN'!S$4,'7. PGE_Efficacité'!$A$4:$AO$4,0)+31),0)</f>
        <v>0</v>
      </c>
      <c r="T45" s="366">
        <f>VLOOKUP($D45,'7. PGE_Efficacité'!$A$6:$BT$266,(MATCH('4.3 ACE EFF CAN'!T$4,'7. PGE_Efficacité'!$A$4:$AO$4,0)+31),0)</f>
        <v>0</v>
      </c>
      <c r="U45" s="366" t="str">
        <f>VLOOKUP($D45,'7. PGE_Efficacité'!$A$6:$BT$266,(MATCH('4.3 ACE EFF CAN'!U$4,'7. PGE_Efficacité'!$A$4:$AO$4,0)+31),0)</f>
        <v>+</v>
      </c>
      <c r="V45" s="366" t="str">
        <f>VLOOKUP($D45,'7. PGE_Efficacité'!$A$6:$BT$266,(MATCH('4.3 ACE EFF CAN'!V$4,'7. PGE_Efficacité'!$A$4:$AO$4,0)+31),0)</f>
        <v>+</v>
      </c>
      <c r="W45" s="366" t="str">
        <f>VLOOKUP($D45,'7. PGE_Efficacité'!$A$6:$BT$266,(MATCH('4.3 ACE EFF CAN'!W$4,'7. PGE_Efficacité'!$A$4:$AO$4,0)+31),0)</f>
        <v>++</v>
      </c>
      <c r="X45" s="366">
        <f>VLOOKUP($D45,'7. PGE_Efficacité'!$A$6:$BT$266,(MATCH('4.3 ACE EFF CAN'!X$4,'7. PGE_Efficacité'!$A$4:$AO$4,0)+31),0)</f>
        <v>0</v>
      </c>
      <c r="Y45" s="366" t="str">
        <f>VLOOKUP($D45,'7. PGE_Efficacité'!$A$6:$BT$266,(MATCH('4.3 ACE EFF CAN'!Y$4,'7. PGE_Efficacité'!$A$4:$AO$4,0)+31),0)</f>
        <v>++</v>
      </c>
      <c r="Z45" s="366" t="str">
        <f>VLOOKUP($D45,'7. PGE_Efficacité'!$A$6:$BT$266,(MATCH('4.3 ACE EFF CAN'!Z$4,'7. PGE_Efficacité'!$A$4:$AO$4,0)+31),0)</f>
        <v>++</v>
      </c>
      <c r="AA45" s="366">
        <f>VLOOKUP($D45,'7. PGE_Efficacité'!$A$6:$BT$266,(MATCH('4.3 ACE EFF CAN'!AA$4,'7. PGE_Efficacité'!$A$4:$AO$4,0)+31),0)</f>
        <v>0</v>
      </c>
      <c r="AB45" s="366">
        <f>VLOOKUP($D45,'7. PGE_Efficacité'!$A$6:$BT$266,(MATCH('4.3 ACE EFF CAN'!AB$4,'7. PGE_Efficacité'!$A$4:$AO$4,0)+31),0)</f>
        <v>0</v>
      </c>
      <c r="AC45" s="366">
        <f>VLOOKUP($D45,'7. PGE_Efficacité'!$A$6:$BT$266,(MATCH('4.3 ACE EFF CAN'!AC$4,'7. PGE_Efficacité'!$A$4:$AO$4,0)+31),0)</f>
        <v>0</v>
      </c>
      <c r="AD45" s="366">
        <f>VLOOKUP($D45,'7. PGE_Efficacité'!$A$6:$BT$266,(MATCH('4.3 ACE EFF CAN'!AD$4,'7. PGE_Efficacité'!$A$4:$AO$4,0)+31),0)</f>
        <v>0</v>
      </c>
      <c r="AE45" s="366">
        <f>VLOOKUP($D45,'7. PGE_Efficacité'!$A$6:$BT$266,(MATCH('4.3 ACE EFF CAN'!AE$4,'7. PGE_Efficacité'!$A$4:$AO$4,0)+31),0)</f>
        <v>0</v>
      </c>
      <c r="AF45" s="366">
        <f>VLOOKUP($D45,'7. PGE_Efficacité'!$A$6:$BT$266,(MATCH('4.3 ACE EFF CAN'!AF$4,'7. PGE_Efficacité'!$A$4:$AO$4,0)+31),0)</f>
        <v>0</v>
      </c>
      <c r="AG45" s="366">
        <f>VLOOKUP($D45,'7. PGE_Efficacité'!$A$6:$BT$266,(MATCH('4.3 ACE EFF CAN'!AG$4,'7. PGE_Efficacité'!$A$4:$AO$4,0)+31),0)</f>
        <v>0</v>
      </c>
      <c r="AH45" s="366">
        <f>VLOOKUP($D45,'7. PGE_Efficacité'!$A$6:$BT$266,(MATCH('4.3 ACE EFF CAN'!AH$4,'7. PGE_Efficacité'!$A$4:$AO$4,0)+31),0)</f>
        <v>0</v>
      </c>
      <c r="AI45" s="366">
        <f>VLOOKUP($D45,'7. PGE_Efficacité'!$A$6:$BT$266,(MATCH('4.3 ACE EFF CAN'!AI$4,'7. PGE_Efficacité'!$A$4:$AO$4,0)+31),0)</f>
        <v>0</v>
      </c>
      <c r="AJ45" s="366">
        <f>VLOOKUP($D45,'7. PGE_Efficacité'!$A$6:$BT$266,(MATCH('4.3 ACE EFF CAN'!AJ$4,'7. PGE_Efficacité'!$A$4:$AO$4,0)+31),0)</f>
        <v>0</v>
      </c>
      <c r="AK45" s="366" t="str">
        <f>VLOOKUP($D45,'7. PGE_Efficacité'!$A$6:$BT$266,(MATCH('4.3 ACE EFF CAN'!AK$4,'7. PGE_Efficacité'!$A$4:$AO$4,0)+31),0)</f>
        <v>++</v>
      </c>
      <c r="AL45" s="366">
        <f>VLOOKUP($D45,'7. PGE_Efficacité'!$A$6:$BT$266,(MATCH('4.3 ACE EFF CAN'!AL$4,'7. PGE_Efficacité'!$A$4:$AO$4,0)+31),0)</f>
        <v>0</v>
      </c>
      <c r="AM45" s="366" t="str">
        <f>VLOOKUP($D45,'7. PGE_Efficacité'!$A$6:$BT$266,(MATCH('4.3 ACE EFF CAN'!AM$4,'7. PGE_Efficacité'!$A$4:$AO$4,0)+31),0)</f>
        <v>++</v>
      </c>
      <c r="AN45" s="366" t="str">
        <f>VLOOKUP($D45,'7. PGE_Efficacité'!$A$6:$BT$266,(MATCH('4.3 ACE EFF CAN'!AN$4,'7. PGE_Efficacité'!$A$4:$AO$4,0)+31),0)</f>
        <v>++</v>
      </c>
    </row>
    <row r="46" spans="1:40" outlineLevel="2" x14ac:dyDescent="0.25">
      <c r="A46" s="154" t="s">
        <v>1524</v>
      </c>
      <c r="B46" s="154">
        <v>6</v>
      </c>
      <c r="C46" s="154" t="s">
        <v>1524</v>
      </c>
      <c r="D46" s="330" t="s">
        <v>5</v>
      </c>
      <c r="E46" s="330" t="s">
        <v>821</v>
      </c>
      <c r="F46" s="330" t="s">
        <v>1451</v>
      </c>
      <c r="G46" s="330" t="s">
        <v>1522</v>
      </c>
      <c r="H46" s="330" t="s">
        <v>1290</v>
      </c>
      <c r="I46" s="364">
        <v>0</v>
      </c>
      <c r="J46" s="365">
        <f>VLOOKUP($E46,'7. PGE_Efficacité'!$A$6:$BT$266,(MATCH('4.3 ACE EFF CAN'!J$4,'7. PGE_Efficacité'!$A$4:$BU$4,0)+31),0)</f>
        <v>0</v>
      </c>
      <c r="K46" s="365">
        <f>VLOOKUP($E46,'7. PGE_Efficacité'!$A$6:$BT$266,(MATCH('4.3 ACE EFF CAN'!K$4,'7. PGE_Efficacité'!$A$4:$BU$4,0)+31),0)</f>
        <v>0</v>
      </c>
      <c r="L46" s="365">
        <f>VLOOKUP($E46,'7. PGE_Efficacité'!$A$6:$BT$266,(MATCH('4.3 ACE EFF CAN'!L$4,'7. PGE_Efficacité'!$A$4:$BU$4,0)+31),0)</f>
        <v>0</v>
      </c>
      <c r="M46" s="365">
        <f>VLOOKUP($E46,'7. PGE_Efficacité'!$A$6:$BT$266,(MATCH('4.3 ACE EFF CAN'!M$4,'7. PGE_Efficacité'!$A$4:$BU$4,0)+31),0)</f>
        <v>0</v>
      </c>
      <c r="N46" s="365">
        <f>VLOOKUP($E46,'7. PGE_Efficacité'!$A$6:$BT$266,(MATCH('4.3 ACE EFF CAN'!N$4,'7. PGE_Efficacité'!$A$4:$BU$4,0)+31),0)</f>
        <v>0</v>
      </c>
      <c r="O46" s="365">
        <f>VLOOKUP($E46,'7. PGE_Efficacité'!$A$6:$BT$266,(MATCH('4.3 ACE EFF CAN'!O$4,'7. PGE_Efficacité'!$A$4:$BU$4,0)+31),0)</f>
        <v>0</v>
      </c>
      <c r="P46" s="365">
        <f>VLOOKUP($E46,'7. PGE_Efficacité'!$A$6:$BT$266,(MATCH('4.3 ACE EFF CAN'!P$4,'7. PGE_Efficacité'!$A$4:$BU$4,0)+31),0)</f>
        <v>0</v>
      </c>
      <c r="Q46" s="365">
        <f>VLOOKUP($E46,'7. PGE_Efficacité'!$A$6:$BT$266,(MATCH('4.3 ACE EFF CAN'!Q$4,'7. PGE_Efficacité'!$A$4:$BU$4,0)+31),0)</f>
        <v>0</v>
      </c>
      <c r="R46" s="365">
        <f>VLOOKUP($E46,'7. PGE_Efficacité'!$A$6:$BT$266,(MATCH('4.3 ACE EFF CAN'!R$4,'7. PGE_Efficacité'!$A$4:$BU$4,0)+31),0)</f>
        <v>0</v>
      </c>
      <c r="S46" s="365">
        <f>VLOOKUP($E46,'7. PGE_Efficacité'!$A$6:$BT$266,(MATCH('4.3 ACE EFF CAN'!S$4,'7. PGE_Efficacité'!$A$4:$BU$4,0)+31),0)</f>
        <v>0</v>
      </c>
      <c r="T46" s="365">
        <f>VLOOKUP($E46,'7. PGE_Efficacité'!$A$6:$BT$266,(MATCH('4.3 ACE EFF CAN'!T$4,'7. PGE_Efficacité'!$A$4:$BU$4,0)+31),0)</f>
        <v>0</v>
      </c>
      <c r="U46" s="365">
        <f>VLOOKUP($E46,'7. PGE_Efficacité'!$A$6:$BT$266,(MATCH('4.3 ACE EFF CAN'!U$4,'7. PGE_Efficacité'!$A$4:$BU$4,0)+31),0)</f>
        <v>0</v>
      </c>
      <c r="V46" s="365">
        <f>VLOOKUP($E46,'7. PGE_Efficacité'!$A$6:$BT$266,(MATCH('4.3 ACE EFF CAN'!V$4,'7. PGE_Efficacité'!$A$4:$BU$4,0)+31),0)</f>
        <v>0</v>
      </c>
      <c r="W46" s="365">
        <f>VLOOKUP($E46,'7. PGE_Efficacité'!$A$6:$BT$266,(MATCH('4.3 ACE EFF CAN'!W$4,'7. PGE_Efficacité'!$A$4:$BU$4,0)+31),0)</f>
        <v>0</v>
      </c>
      <c r="X46" s="365">
        <f>VLOOKUP($E46,'7. PGE_Efficacité'!$A$6:$BT$266,(MATCH('4.3 ACE EFF CAN'!X$4,'7. PGE_Efficacité'!$A$4:$BU$4,0)+31),0)</f>
        <v>0</v>
      </c>
      <c r="Y46" s="366">
        <f>VLOOKUP($E46,'7. PGE_Efficacité'!$A$6:$BT$266,(MATCH('4.3 ACE EFF CAN'!Y$4,'7. PGE_Efficacité'!$A$4:$BU$4,0)+31),0)</f>
        <v>0</v>
      </c>
      <c r="Z46" s="366">
        <f>VLOOKUP($E46,'7. PGE_Efficacité'!$A$6:$BT$266,(MATCH('4.3 ACE EFF CAN'!Z$4,'7. PGE_Efficacité'!$A$4:$BU$4,0)+31),0)</f>
        <v>0</v>
      </c>
      <c r="AA46" s="366">
        <f>VLOOKUP($E46,'7. PGE_Efficacité'!$A$6:$BT$266,(MATCH('4.3 ACE EFF CAN'!AA$4,'7. PGE_Efficacité'!$A$4:$BU$4,0)+31),0)</f>
        <v>0</v>
      </c>
      <c r="AB46" s="366">
        <f>VLOOKUP($E46,'7. PGE_Efficacité'!$A$6:$BT$266,(MATCH('4.3 ACE EFF CAN'!AB$4,'7. PGE_Efficacité'!$A$4:$BU$4,0)+31),0)</f>
        <v>0</v>
      </c>
      <c r="AC46" s="366">
        <f>VLOOKUP($E46,'7. PGE_Efficacité'!$A$6:$BT$266,(MATCH('4.3 ACE EFF CAN'!AC$4,'7. PGE_Efficacité'!$A$4:$BU$4,0)+31),0)</f>
        <v>0</v>
      </c>
      <c r="AD46" s="366">
        <f>VLOOKUP($E46,'7. PGE_Efficacité'!$A$6:$BT$266,(MATCH('4.3 ACE EFF CAN'!AD$4,'7. PGE_Efficacité'!$A$4:$BU$4,0)+31),0)</f>
        <v>0</v>
      </c>
      <c r="AE46" s="366">
        <f>VLOOKUP($E46,'7. PGE_Efficacité'!$A$6:$BT$266,(MATCH('4.3 ACE EFF CAN'!AE$4,'7. PGE_Efficacité'!$A$4:$BU$4,0)+31),0)</f>
        <v>0</v>
      </c>
      <c r="AF46" s="366">
        <f>VLOOKUP($E46,'7. PGE_Efficacité'!$A$6:$BT$266,(MATCH('4.3 ACE EFF CAN'!AF$4,'7. PGE_Efficacité'!$A$4:$BU$4,0)+31),0)</f>
        <v>0</v>
      </c>
      <c r="AG46" s="366">
        <f>VLOOKUP($E46,'7. PGE_Efficacité'!$A$6:$BT$266,(MATCH('4.3 ACE EFF CAN'!AG$4,'7. PGE_Efficacité'!$A$4:$BU$4,0)+31),0)</f>
        <v>0</v>
      </c>
      <c r="AH46" s="366">
        <f>VLOOKUP($E46,'7. PGE_Efficacité'!$A$6:$BT$266,(MATCH('4.3 ACE EFF CAN'!AH$4,'7. PGE_Efficacité'!$A$4:$BU$4,0)+31),0)</f>
        <v>0</v>
      </c>
      <c r="AI46" s="366">
        <f>VLOOKUP($E46,'7. PGE_Efficacité'!$A$6:$BT$266,(MATCH('4.3 ACE EFF CAN'!AI$4,'7. PGE_Efficacité'!$A$4:$BU$4,0)+31),0)</f>
        <v>0</v>
      </c>
      <c r="AJ46" s="366">
        <f>VLOOKUP($E46,'7. PGE_Efficacité'!$A$6:$BT$266,(MATCH('4.3 ACE EFF CAN'!AJ$4,'7. PGE_Efficacité'!$A$4:$BU$4,0)+31),0)</f>
        <v>0</v>
      </c>
      <c r="AK46" s="366">
        <f>VLOOKUP($E46,'7. PGE_Efficacité'!$A$6:$BT$266,(MATCH('4.3 ACE EFF CAN'!AK$4,'7. PGE_Efficacité'!$A$4:$BU$4,0)+31),0)</f>
        <v>0</v>
      </c>
      <c r="AL46" s="366">
        <f>VLOOKUP($E46,'7. PGE_Efficacité'!$A$6:$BT$266,(MATCH('4.3 ACE EFF CAN'!AL$4,'7. PGE_Efficacité'!$A$4:$BU$4,0)+31),0)</f>
        <v>0</v>
      </c>
      <c r="AM46" s="366">
        <f>VLOOKUP($E46,'7. PGE_Efficacité'!$A$6:$BT$266,(MATCH('4.3 ACE EFF CAN'!AM$4,'7. PGE_Efficacité'!$A$4:$BU$4,0)+31),0)</f>
        <v>0</v>
      </c>
      <c r="AN46" s="366">
        <f>VLOOKUP($E46,'7. PGE_Efficacité'!$A$6:$BT$266,(MATCH('4.3 ACE EFF CAN'!AN$4,'7. PGE_Efficacité'!$A$4:$BU$4,0)+31),0)</f>
        <v>0</v>
      </c>
    </row>
    <row r="47" spans="1:40" outlineLevel="2" x14ac:dyDescent="0.25">
      <c r="A47" s="154" t="s">
        <v>1524</v>
      </c>
      <c r="B47" s="154">
        <v>6</v>
      </c>
      <c r="C47" s="154" t="s">
        <v>1525</v>
      </c>
      <c r="D47" s="330" t="s">
        <v>5</v>
      </c>
      <c r="E47" s="330" t="s">
        <v>822</v>
      </c>
      <c r="F47" s="330" t="s">
        <v>1452</v>
      </c>
      <c r="G47" s="330" t="s">
        <v>1522</v>
      </c>
      <c r="H47" s="330" t="s">
        <v>414</v>
      </c>
      <c r="I47" s="364">
        <v>200000</v>
      </c>
      <c r="J47" s="365">
        <f>VLOOKUP($E47,'7. PGE_Efficacité'!$A$6:$BT$266,(MATCH('4.3 ACE EFF CAN'!J$4,'7. PGE_Efficacité'!$A$4:$BU$4,0)+31),0)</f>
        <v>0</v>
      </c>
      <c r="K47" s="365">
        <f>VLOOKUP($E47,'7. PGE_Efficacité'!$A$6:$BT$266,(MATCH('4.3 ACE EFF CAN'!K$4,'7. PGE_Efficacité'!$A$4:$BU$4,0)+31),0)</f>
        <v>0</v>
      </c>
      <c r="L47" s="365">
        <f>VLOOKUP($E47,'7. PGE_Efficacité'!$A$6:$BT$266,(MATCH('4.3 ACE EFF CAN'!L$4,'7. PGE_Efficacité'!$A$4:$BU$4,0)+31),0)</f>
        <v>0</v>
      </c>
      <c r="M47" s="365">
        <f>VLOOKUP($E47,'7. PGE_Efficacité'!$A$6:$BT$266,(MATCH('4.3 ACE EFF CAN'!M$4,'7. PGE_Efficacité'!$A$4:$BU$4,0)+31),0)</f>
        <v>0</v>
      </c>
      <c r="N47" s="365">
        <f>VLOOKUP($E47,'7. PGE_Efficacité'!$A$6:$BT$266,(MATCH('4.3 ACE EFF CAN'!N$4,'7. PGE_Efficacité'!$A$4:$BU$4,0)+31),0)</f>
        <v>0</v>
      </c>
      <c r="O47" s="365">
        <f>VLOOKUP($E47,'7. PGE_Efficacité'!$A$6:$BT$266,(MATCH('4.3 ACE EFF CAN'!O$4,'7. PGE_Efficacité'!$A$4:$BU$4,0)+31),0)</f>
        <v>0</v>
      </c>
      <c r="P47" s="365">
        <f>VLOOKUP($E47,'7. PGE_Efficacité'!$A$6:$BT$266,(MATCH('4.3 ACE EFF CAN'!P$4,'7. PGE_Efficacité'!$A$4:$BU$4,0)+31),0)</f>
        <v>0</v>
      </c>
      <c r="Q47" s="365">
        <f>VLOOKUP($E47,'7. PGE_Efficacité'!$A$6:$BT$266,(MATCH('4.3 ACE EFF CAN'!Q$4,'7. PGE_Efficacité'!$A$4:$BU$4,0)+31),0)</f>
        <v>0</v>
      </c>
      <c r="R47" s="365">
        <f>VLOOKUP($E47,'7. PGE_Efficacité'!$A$6:$BT$266,(MATCH('4.3 ACE EFF CAN'!R$4,'7. PGE_Efficacité'!$A$4:$BU$4,0)+31),0)</f>
        <v>0</v>
      </c>
      <c r="S47" s="365">
        <f>VLOOKUP($E47,'7. PGE_Efficacité'!$A$6:$BT$266,(MATCH('4.3 ACE EFF CAN'!S$4,'7. PGE_Efficacité'!$A$4:$BU$4,0)+31),0)</f>
        <v>0</v>
      </c>
      <c r="T47" s="365">
        <f>VLOOKUP($E47,'7. PGE_Efficacité'!$A$6:$BT$266,(MATCH('4.3 ACE EFF CAN'!T$4,'7. PGE_Efficacité'!$A$4:$BU$4,0)+31),0)</f>
        <v>0</v>
      </c>
      <c r="U47" s="365">
        <f>VLOOKUP($E47,'7. PGE_Efficacité'!$A$6:$BT$266,(MATCH('4.3 ACE EFF CAN'!U$4,'7. PGE_Efficacité'!$A$4:$BU$4,0)+31),0)</f>
        <v>0</v>
      </c>
      <c r="V47" s="365">
        <f>VLOOKUP($E47,'7. PGE_Efficacité'!$A$6:$BT$266,(MATCH('4.3 ACE EFF CAN'!V$4,'7. PGE_Efficacité'!$A$4:$BU$4,0)+31),0)</f>
        <v>0</v>
      </c>
      <c r="W47" s="365">
        <f>VLOOKUP($E47,'7. PGE_Efficacité'!$A$6:$BT$266,(MATCH('4.3 ACE EFF CAN'!W$4,'7. PGE_Efficacité'!$A$4:$BU$4,0)+31),0)</f>
        <v>0</v>
      </c>
      <c r="X47" s="365">
        <f>VLOOKUP($E47,'7. PGE_Efficacité'!$A$6:$BT$266,(MATCH('4.3 ACE EFF CAN'!X$4,'7. PGE_Efficacité'!$A$4:$BU$4,0)+31),0)</f>
        <v>0</v>
      </c>
      <c r="Y47" s="366">
        <f>VLOOKUP($E47,'7. PGE_Efficacité'!$A$6:$BT$266,(MATCH('4.3 ACE EFF CAN'!Y$4,'7. PGE_Efficacité'!$A$4:$BU$4,0)+31),0)</f>
        <v>0</v>
      </c>
      <c r="Z47" s="366">
        <f>VLOOKUP($E47,'7. PGE_Efficacité'!$A$6:$BT$266,(MATCH('4.3 ACE EFF CAN'!Z$4,'7. PGE_Efficacité'!$A$4:$BU$4,0)+31),0)</f>
        <v>0</v>
      </c>
      <c r="AA47" s="366">
        <f>VLOOKUP($E47,'7. PGE_Efficacité'!$A$6:$BT$266,(MATCH('4.3 ACE EFF CAN'!AA$4,'7. PGE_Efficacité'!$A$4:$BU$4,0)+31),0)</f>
        <v>0</v>
      </c>
      <c r="AB47" s="366">
        <f>VLOOKUP($E47,'7. PGE_Efficacité'!$A$6:$BT$266,(MATCH('4.3 ACE EFF CAN'!AB$4,'7. PGE_Efficacité'!$A$4:$BU$4,0)+31),0)</f>
        <v>0</v>
      </c>
      <c r="AC47" s="366">
        <f>VLOOKUP($E47,'7. PGE_Efficacité'!$A$6:$BT$266,(MATCH('4.3 ACE EFF CAN'!AC$4,'7. PGE_Efficacité'!$A$4:$BU$4,0)+31),0)</f>
        <v>0</v>
      </c>
      <c r="AD47" s="366">
        <f>VLOOKUP($E47,'7. PGE_Efficacité'!$A$6:$BT$266,(MATCH('4.3 ACE EFF CAN'!AD$4,'7. PGE_Efficacité'!$A$4:$BU$4,0)+31),0)</f>
        <v>0</v>
      </c>
      <c r="AE47" s="366">
        <f>VLOOKUP($E47,'7. PGE_Efficacité'!$A$6:$BT$266,(MATCH('4.3 ACE EFF CAN'!AE$4,'7. PGE_Efficacité'!$A$4:$BU$4,0)+31),0)</f>
        <v>0</v>
      </c>
      <c r="AF47" s="366">
        <f>VLOOKUP($E47,'7. PGE_Efficacité'!$A$6:$BT$266,(MATCH('4.3 ACE EFF CAN'!AF$4,'7. PGE_Efficacité'!$A$4:$BU$4,0)+31),0)</f>
        <v>0</v>
      </c>
      <c r="AG47" s="366">
        <f>VLOOKUP($E47,'7. PGE_Efficacité'!$A$6:$BT$266,(MATCH('4.3 ACE EFF CAN'!AG$4,'7. PGE_Efficacité'!$A$4:$BU$4,0)+31),0)</f>
        <v>0</v>
      </c>
      <c r="AH47" s="366">
        <f>VLOOKUP($E47,'7. PGE_Efficacité'!$A$6:$BT$266,(MATCH('4.3 ACE EFF CAN'!AH$4,'7. PGE_Efficacité'!$A$4:$BU$4,0)+31),0)</f>
        <v>0</v>
      </c>
      <c r="AI47" s="366">
        <f>VLOOKUP($E47,'7. PGE_Efficacité'!$A$6:$BT$266,(MATCH('4.3 ACE EFF CAN'!AI$4,'7. PGE_Efficacité'!$A$4:$BU$4,0)+31),0)</f>
        <v>0</v>
      </c>
      <c r="AJ47" s="366">
        <f>VLOOKUP($E47,'7. PGE_Efficacité'!$A$6:$BT$266,(MATCH('4.3 ACE EFF CAN'!AJ$4,'7. PGE_Efficacité'!$A$4:$BU$4,0)+31),0)</f>
        <v>0</v>
      </c>
      <c r="AK47" s="366">
        <f>VLOOKUP($E47,'7. PGE_Efficacité'!$A$6:$BT$266,(MATCH('4.3 ACE EFF CAN'!AK$4,'7. PGE_Efficacité'!$A$4:$BU$4,0)+31),0)</f>
        <v>0</v>
      </c>
      <c r="AL47" s="366">
        <f>VLOOKUP($E47,'7. PGE_Efficacité'!$A$6:$BT$266,(MATCH('4.3 ACE EFF CAN'!AL$4,'7. PGE_Efficacité'!$A$4:$BU$4,0)+31),0)</f>
        <v>0</v>
      </c>
      <c r="AM47" s="366">
        <f>VLOOKUP($E47,'7. PGE_Efficacité'!$A$6:$BT$266,(MATCH('4.3 ACE EFF CAN'!AM$4,'7. PGE_Efficacité'!$A$4:$BU$4,0)+31),0)</f>
        <v>0</v>
      </c>
      <c r="AN47" s="366">
        <f>VLOOKUP($E47,'7. PGE_Efficacité'!$A$6:$BT$266,(MATCH('4.3 ACE EFF CAN'!AN$4,'7. PGE_Efficacité'!$A$4:$BU$4,0)+31),0)</f>
        <v>0</v>
      </c>
    </row>
    <row r="48" spans="1:40" outlineLevel="2" x14ac:dyDescent="0.25">
      <c r="A48" s="154" t="s">
        <v>1524</v>
      </c>
      <c r="B48" s="154">
        <v>6</v>
      </c>
      <c r="C48" s="154" t="s">
        <v>1526</v>
      </c>
      <c r="D48" s="330" t="s">
        <v>5</v>
      </c>
      <c r="E48" s="330" t="s">
        <v>823</v>
      </c>
      <c r="F48" s="330" t="s">
        <v>1453</v>
      </c>
      <c r="G48" s="330" t="s">
        <v>1522</v>
      </c>
      <c r="H48" s="330" t="s">
        <v>1290</v>
      </c>
      <c r="I48" s="364">
        <v>0</v>
      </c>
      <c r="J48" s="365">
        <f>VLOOKUP($E48,'7. PGE_Efficacité'!$A$6:$BT$266,(MATCH('4.3 ACE EFF CAN'!J$4,'7. PGE_Efficacité'!$A$4:$BU$4,0)+31),0)</f>
        <v>0</v>
      </c>
      <c r="K48" s="365">
        <f>VLOOKUP($E48,'7. PGE_Efficacité'!$A$6:$BT$266,(MATCH('4.3 ACE EFF CAN'!K$4,'7. PGE_Efficacité'!$A$4:$BU$4,0)+31),0)</f>
        <v>0</v>
      </c>
      <c r="L48" s="365">
        <f>VLOOKUP($E48,'7. PGE_Efficacité'!$A$6:$BT$266,(MATCH('4.3 ACE EFF CAN'!L$4,'7. PGE_Efficacité'!$A$4:$BU$4,0)+31),0)</f>
        <v>0</v>
      </c>
      <c r="M48" s="365">
        <f>VLOOKUP($E48,'7. PGE_Efficacité'!$A$6:$BT$266,(MATCH('4.3 ACE EFF CAN'!M$4,'7. PGE_Efficacité'!$A$4:$BU$4,0)+31),0)</f>
        <v>0</v>
      </c>
      <c r="N48" s="365">
        <f>VLOOKUP($E48,'7. PGE_Efficacité'!$A$6:$BT$266,(MATCH('4.3 ACE EFF CAN'!N$4,'7. PGE_Efficacité'!$A$4:$BU$4,0)+31),0)</f>
        <v>0</v>
      </c>
      <c r="O48" s="365">
        <f>VLOOKUP($E48,'7. PGE_Efficacité'!$A$6:$BT$266,(MATCH('4.3 ACE EFF CAN'!O$4,'7. PGE_Efficacité'!$A$4:$BU$4,0)+31),0)</f>
        <v>0</v>
      </c>
      <c r="P48" s="365">
        <f>VLOOKUP($E48,'7. PGE_Efficacité'!$A$6:$BT$266,(MATCH('4.3 ACE EFF CAN'!P$4,'7. PGE_Efficacité'!$A$4:$BU$4,0)+31),0)</f>
        <v>0</v>
      </c>
      <c r="Q48" s="365">
        <f>VLOOKUP($E48,'7. PGE_Efficacité'!$A$6:$BT$266,(MATCH('4.3 ACE EFF CAN'!Q$4,'7. PGE_Efficacité'!$A$4:$BU$4,0)+31),0)</f>
        <v>0</v>
      </c>
      <c r="R48" s="365">
        <f>VLOOKUP($E48,'7. PGE_Efficacité'!$A$6:$BT$266,(MATCH('4.3 ACE EFF CAN'!R$4,'7. PGE_Efficacité'!$A$4:$BU$4,0)+31),0)</f>
        <v>0</v>
      </c>
      <c r="S48" s="365">
        <f>VLOOKUP($E48,'7. PGE_Efficacité'!$A$6:$BT$266,(MATCH('4.3 ACE EFF CAN'!S$4,'7. PGE_Efficacité'!$A$4:$BU$4,0)+31),0)</f>
        <v>0</v>
      </c>
      <c r="T48" s="365">
        <f>VLOOKUP($E48,'7. PGE_Efficacité'!$A$6:$BT$266,(MATCH('4.3 ACE EFF CAN'!T$4,'7. PGE_Efficacité'!$A$4:$BU$4,0)+31),0)</f>
        <v>0</v>
      </c>
      <c r="U48" s="365">
        <f>VLOOKUP($E48,'7. PGE_Efficacité'!$A$6:$BT$266,(MATCH('4.3 ACE EFF CAN'!U$4,'7. PGE_Efficacité'!$A$4:$BU$4,0)+31),0)</f>
        <v>0</v>
      </c>
      <c r="V48" s="365">
        <f>VLOOKUP($E48,'7. PGE_Efficacité'!$A$6:$BT$266,(MATCH('4.3 ACE EFF CAN'!V$4,'7. PGE_Efficacité'!$A$4:$BU$4,0)+31),0)</f>
        <v>0</v>
      </c>
      <c r="W48" s="365">
        <f>VLOOKUP($E48,'7. PGE_Efficacité'!$A$6:$BT$266,(MATCH('4.3 ACE EFF CAN'!W$4,'7. PGE_Efficacité'!$A$4:$BU$4,0)+31),0)</f>
        <v>0</v>
      </c>
      <c r="X48" s="365">
        <f>VLOOKUP($E48,'7. PGE_Efficacité'!$A$6:$BT$266,(MATCH('4.3 ACE EFF CAN'!X$4,'7. PGE_Efficacité'!$A$4:$BU$4,0)+31),0)</f>
        <v>0</v>
      </c>
      <c r="Y48" s="366">
        <f>VLOOKUP($E48,'7. PGE_Efficacité'!$A$6:$BT$266,(MATCH('4.3 ACE EFF CAN'!Y$4,'7. PGE_Efficacité'!$A$4:$BU$4,0)+31),0)</f>
        <v>0</v>
      </c>
      <c r="Z48" s="366">
        <f>VLOOKUP($E48,'7. PGE_Efficacité'!$A$6:$BT$266,(MATCH('4.3 ACE EFF CAN'!Z$4,'7. PGE_Efficacité'!$A$4:$BU$4,0)+31),0)</f>
        <v>0</v>
      </c>
      <c r="AA48" s="366">
        <f>VLOOKUP($E48,'7. PGE_Efficacité'!$A$6:$BT$266,(MATCH('4.3 ACE EFF CAN'!AA$4,'7. PGE_Efficacité'!$A$4:$BU$4,0)+31),0)</f>
        <v>0</v>
      </c>
      <c r="AB48" s="366">
        <f>VLOOKUP($E48,'7. PGE_Efficacité'!$A$6:$BT$266,(MATCH('4.3 ACE EFF CAN'!AB$4,'7. PGE_Efficacité'!$A$4:$BU$4,0)+31),0)</f>
        <v>0</v>
      </c>
      <c r="AC48" s="366">
        <f>VLOOKUP($E48,'7. PGE_Efficacité'!$A$6:$BT$266,(MATCH('4.3 ACE EFF CAN'!AC$4,'7. PGE_Efficacité'!$A$4:$BU$4,0)+31),0)</f>
        <v>0</v>
      </c>
      <c r="AD48" s="366">
        <f>VLOOKUP($E48,'7. PGE_Efficacité'!$A$6:$BT$266,(MATCH('4.3 ACE EFF CAN'!AD$4,'7. PGE_Efficacité'!$A$4:$BU$4,0)+31),0)</f>
        <v>0</v>
      </c>
      <c r="AE48" s="366">
        <f>VLOOKUP($E48,'7. PGE_Efficacité'!$A$6:$BT$266,(MATCH('4.3 ACE EFF CAN'!AE$4,'7. PGE_Efficacité'!$A$4:$BU$4,0)+31),0)</f>
        <v>0</v>
      </c>
      <c r="AF48" s="366">
        <f>VLOOKUP($E48,'7. PGE_Efficacité'!$A$6:$BT$266,(MATCH('4.3 ACE EFF CAN'!AF$4,'7. PGE_Efficacité'!$A$4:$BU$4,0)+31),0)</f>
        <v>0</v>
      </c>
      <c r="AG48" s="366">
        <f>VLOOKUP($E48,'7. PGE_Efficacité'!$A$6:$BT$266,(MATCH('4.3 ACE EFF CAN'!AG$4,'7. PGE_Efficacité'!$A$4:$BU$4,0)+31),0)</f>
        <v>0</v>
      </c>
      <c r="AH48" s="366">
        <f>VLOOKUP($E48,'7. PGE_Efficacité'!$A$6:$BT$266,(MATCH('4.3 ACE EFF CAN'!AH$4,'7. PGE_Efficacité'!$A$4:$BU$4,0)+31),0)</f>
        <v>0</v>
      </c>
      <c r="AI48" s="366">
        <f>VLOOKUP($E48,'7. PGE_Efficacité'!$A$6:$BT$266,(MATCH('4.3 ACE EFF CAN'!AI$4,'7. PGE_Efficacité'!$A$4:$BU$4,0)+31),0)</f>
        <v>0</v>
      </c>
      <c r="AJ48" s="366">
        <f>VLOOKUP($E48,'7. PGE_Efficacité'!$A$6:$BT$266,(MATCH('4.3 ACE EFF CAN'!AJ$4,'7. PGE_Efficacité'!$A$4:$BU$4,0)+31),0)</f>
        <v>0</v>
      </c>
      <c r="AK48" s="366">
        <f>VLOOKUP($E48,'7. PGE_Efficacité'!$A$6:$BT$266,(MATCH('4.3 ACE EFF CAN'!AK$4,'7. PGE_Efficacité'!$A$4:$BU$4,0)+31),0)</f>
        <v>0</v>
      </c>
      <c r="AL48" s="366">
        <f>VLOOKUP($E48,'7. PGE_Efficacité'!$A$6:$BT$266,(MATCH('4.3 ACE EFF CAN'!AL$4,'7. PGE_Efficacité'!$A$4:$BU$4,0)+31),0)</f>
        <v>0</v>
      </c>
      <c r="AM48" s="366">
        <f>VLOOKUP($E48,'7. PGE_Efficacité'!$A$6:$BT$266,(MATCH('4.3 ACE EFF CAN'!AM$4,'7. PGE_Efficacité'!$A$4:$BU$4,0)+31),0)</f>
        <v>0</v>
      </c>
      <c r="AN48" s="366">
        <f>VLOOKUP($E48,'7. PGE_Efficacité'!$A$6:$BT$266,(MATCH('4.3 ACE EFF CAN'!AN$4,'7. PGE_Efficacité'!$A$4:$BU$4,0)+31),0)</f>
        <v>0</v>
      </c>
    </row>
    <row r="49" spans="1:40" outlineLevel="2" x14ac:dyDescent="0.25">
      <c r="A49" s="154" t="s">
        <v>1524</v>
      </c>
      <c r="B49" s="154">
        <v>6</v>
      </c>
      <c r="C49" s="154" t="s">
        <v>1527</v>
      </c>
      <c r="D49" s="330" t="s">
        <v>5</v>
      </c>
      <c r="E49" s="330" t="s">
        <v>824</v>
      </c>
      <c r="F49" s="330" t="s">
        <v>1454</v>
      </c>
      <c r="G49" s="330" t="s">
        <v>1522</v>
      </c>
      <c r="H49" s="330" t="s">
        <v>1290</v>
      </c>
      <c r="I49" s="364">
        <v>0</v>
      </c>
      <c r="J49" s="365">
        <f>VLOOKUP($E49,'7. PGE_Efficacité'!$A$6:$BT$266,(MATCH('4.3 ACE EFF CAN'!J$4,'7. PGE_Efficacité'!$A$4:$BU$4,0)+31),0)</f>
        <v>0</v>
      </c>
      <c r="K49" s="365">
        <f>VLOOKUP($E49,'7. PGE_Efficacité'!$A$6:$BT$266,(MATCH('4.3 ACE EFF CAN'!K$4,'7. PGE_Efficacité'!$A$4:$BU$4,0)+31),0)</f>
        <v>0</v>
      </c>
      <c r="L49" s="365">
        <f>VLOOKUP($E49,'7. PGE_Efficacité'!$A$6:$BT$266,(MATCH('4.3 ACE EFF CAN'!L$4,'7. PGE_Efficacité'!$A$4:$BU$4,0)+31),0)</f>
        <v>0</v>
      </c>
      <c r="M49" s="365">
        <f>VLOOKUP($E49,'7. PGE_Efficacité'!$A$6:$BT$266,(MATCH('4.3 ACE EFF CAN'!M$4,'7. PGE_Efficacité'!$A$4:$BU$4,0)+31),0)</f>
        <v>0</v>
      </c>
      <c r="N49" s="365">
        <f>VLOOKUP($E49,'7. PGE_Efficacité'!$A$6:$BT$266,(MATCH('4.3 ACE EFF CAN'!N$4,'7. PGE_Efficacité'!$A$4:$BU$4,0)+31),0)</f>
        <v>0</v>
      </c>
      <c r="O49" s="365">
        <f>VLOOKUP($E49,'7. PGE_Efficacité'!$A$6:$BT$266,(MATCH('4.3 ACE EFF CAN'!O$4,'7. PGE_Efficacité'!$A$4:$BU$4,0)+31),0)</f>
        <v>0</v>
      </c>
      <c r="P49" s="365">
        <f>VLOOKUP($E49,'7. PGE_Efficacité'!$A$6:$BT$266,(MATCH('4.3 ACE EFF CAN'!P$4,'7. PGE_Efficacité'!$A$4:$BU$4,0)+31),0)</f>
        <v>0</v>
      </c>
      <c r="Q49" s="365">
        <f>VLOOKUP($E49,'7. PGE_Efficacité'!$A$6:$BT$266,(MATCH('4.3 ACE EFF CAN'!Q$4,'7. PGE_Efficacité'!$A$4:$BU$4,0)+31),0)</f>
        <v>0</v>
      </c>
      <c r="R49" s="365">
        <f>VLOOKUP($E49,'7. PGE_Efficacité'!$A$6:$BT$266,(MATCH('4.3 ACE EFF CAN'!R$4,'7. PGE_Efficacité'!$A$4:$BU$4,0)+31),0)</f>
        <v>0</v>
      </c>
      <c r="S49" s="365">
        <f>VLOOKUP($E49,'7. PGE_Efficacité'!$A$6:$BT$266,(MATCH('4.3 ACE EFF CAN'!S$4,'7. PGE_Efficacité'!$A$4:$BU$4,0)+31),0)</f>
        <v>0</v>
      </c>
      <c r="T49" s="365">
        <f>VLOOKUP($E49,'7. PGE_Efficacité'!$A$6:$BT$266,(MATCH('4.3 ACE EFF CAN'!T$4,'7. PGE_Efficacité'!$A$4:$BU$4,0)+31),0)</f>
        <v>0</v>
      </c>
      <c r="U49" s="365">
        <f>VLOOKUP($E49,'7. PGE_Efficacité'!$A$6:$BT$266,(MATCH('4.3 ACE EFF CAN'!U$4,'7. PGE_Efficacité'!$A$4:$BU$4,0)+31),0)</f>
        <v>0</v>
      </c>
      <c r="V49" s="365">
        <f>VLOOKUP($E49,'7. PGE_Efficacité'!$A$6:$BT$266,(MATCH('4.3 ACE EFF CAN'!V$4,'7. PGE_Efficacité'!$A$4:$BU$4,0)+31),0)</f>
        <v>0</v>
      </c>
      <c r="W49" s="365">
        <f>VLOOKUP($E49,'7. PGE_Efficacité'!$A$6:$BT$266,(MATCH('4.3 ACE EFF CAN'!W$4,'7. PGE_Efficacité'!$A$4:$BU$4,0)+31),0)</f>
        <v>0</v>
      </c>
      <c r="X49" s="365">
        <f>VLOOKUP($E49,'7. PGE_Efficacité'!$A$6:$BT$266,(MATCH('4.3 ACE EFF CAN'!X$4,'7. PGE_Efficacité'!$A$4:$BU$4,0)+31),0)</f>
        <v>0</v>
      </c>
      <c r="Y49" s="366">
        <f>VLOOKUP($E49,'7. PGE_Efficacité'!$A$6:$BT$266,(MATCH('4.3 ACE EFF CAN'!Y$4,'7. PGE_Efficacité'!$A$4:$BU$4,0)+31),0)</f>
        <v>0</v>
      </c>
      <c r="Z49" s="366">
        <f>VLOOKUP($E49,'7. PGE_Efficacité'!$A$6:$BT$266,(MATCH('4.3 ACE EFF CAN'!Z$4,'7. PGE_Efficacité'!$A$4:$BU$4,0)+31),0)</f>
        <v>0</v>
      </c>
      <c r="AA49" s="366">
        <f>VLOOKUP($E49,'7. PGE_Efficacité'!$A$6:$BT$266,(MATCH('4.3 ACE EFF CAN'!AA$4,'7. PGE_Efficacité'!$A$4:$BU$4,0)+31),0)</f>
        <v>0</v>
      </c>
      <c r="AB49" s="366">
        <f>VLOOKUP($E49,'7. PGE_Efficacité'!$A$6:$BT$266,(MATCH('4.3 ACE EFF CAN'!AB$4,'7. PGE_Efficacité'!$A$4:$BU$4,0)+31),0)</f>
        <v>0</v>
      </c>
      <c r="AC49" s="366">
        <f>VLOOKUP($E49,'7. PGE_Efficacité'!$A$6:$BT$266,(MATCH('4.3 ACE EFF CAN'!AC$4,'7. PGE_Efficacité'!$A$4:$BU$4,0)+31),0)</f>
        <v>0</v>
      </c>
      <c r="AD49" s="366">
        <f>VLOOKUP($E49,'7. PGE_Efficacité'!$A$6:$BT$266,(MATCH('4.3 ACE EFF CAN'!AD$4,'7. PGE_Efficacité'!$A$4:$BU$4,0)+31),0)</f>
        <v>0</v>
      </c>
      <c r="AE49" s="366">
        <f>VLOOKUP($E49,'7. PGE_Efficacité'!$A$6:$BT$266,(MATCH('4.3 ACE EFF CAN'!AE$4,'7. PGE_Efficacité'!$A$4:$BU$4,0)+31),0)</f>
        <v>0</v>
      </c>
      <c r="AF49" s="366">
        <f>VLOOKUP($E49,'7. PGE_Efficacité'!$A$6:$BT$266,(MATCH('4.3 ACE EFF CAN'!AF$4,'7. PGE_Efficacité'!$A$4:$BU$4,0)+31),0)</f>
        <v>0</v>
      </c>
      <c r="AG49" s="366">
        <f>VLOOKUP($E49,'7. PGE_Efficacité'!$A$6:$BT$266,(MATCH('4.3 ACE EFF CAN'!AG$4,'7. PGE_Efficacité'!$A$4:$BU$4,0)+31),0)</f>
        <v>0</v>
      </c>
      <c r="AH49" s="366">
        <f>VLOOKUP($E49,'7. PGE_Efficacité'!$A$6:$BT$266,(MATCH('4.3 ACE EFF CAN'!AH$4,'7. PGE_Efficacité'!$A$4:$BU$4,0)+31),0)</f>
        <v>0</v>
      </c>
      <c r="AI49" s="366">
        <f>VLOOKUP($E49,'7. PGE_Efficacité'!$A$6:$BT$266,(MATCH('4.3 ACE EFF CAN'!AI$4,'7. PGE_Efficacité'!$A$4:$BU$4,0)+31),0)</f>
        <v>0</v>
      </c>
      <c r="AJ49" s="366">
        <f>VLOOKUP($E49,'7. PGE_Efficacité'!$A$6:$BT$266,(MATCH('4.3 ACE EFF CAN'!AJ$4,'7. PGE_Efficacité'!$A$4:$BU$4,0)+31),0)</f>
        <v>0</v>
      </c>
      <c r="AK49" s="366">
        <f>VLOOKUP($E49,'7. PGE_Efficacité'!$A$6:$BT$266,(MATCH('4.3 ACE EFF CAN'!AK$4,'7. PGE_Efficacité'!$A$4:$BU$4,0)+31),0)</f>
        <v>0</v>
      </c>
      <c r="AL49" s="366">
        <f>VLOOKUP($E49,'7. PGE_Efficacité'!$A$6:$BT$266,(MATCH('4.3 ACE EFF CAN'!AL$4,'7. PGE_Efficacité'!$A$4:$BU$4,0)+31),0)</f>
        <v>0</v>
      </c>
      <c r="AM49" s="366">
        <f>VLOOKUP($E49,'7. PGE_Efficacité'!$A$6:$BT$266,(MATCH('4.3 ACE EFF CAN'!AM$4,'7. PGE_Efficacité'!$A$4:$BU$4,0)+31),0)</f>
        <v>0</v>
      </c>
      <c r="AN49" s="366">
        <f>VLOOKUP($E49,'7. PGE_Efficacité'!$A$6:$BT$266,(MATCH('4.3 ACE EFF CAN'!AN$4,'7. PGE_Efficacité'!$A$4:$BU$4,0)+31),0)</f>
        <v>0</v>
      </c>
    </row>
    <row r="50" spans="1:40" outlineLevel="2" x14ac:dyDescent="0.25">
      <c r="A50" s="154" t="s">
        <v>1524</v>
      </c>
      <c r="B50" s="154">
        <v>6</v>
      </c>
      <c r="C50" s="154" t="s">
        <v>410</v>
      </c>
      <c r="D50" s="330" t="s">
        <v>5</v>
      </c>
      <c r="E50" s="330" t="s">
        <v>825</v>
      </c>
      <c r="F50" s="330" t="s">
        <v>1455</v>
      </c>
      <c r="G50" s="330" t="s">
        <v>1522</v>
      </c>
      <c r="H50" s="330" t="s">
        <v>1287</v>
      </c>
      <c r="I50" s="364">
        <v>0</v>
      </c>
      <c r="J50" s="365">
        <f>VLOOKUP($E50,'7. PGE_Efficacité'!$A$6:$BT$266,(MATCH('4.3 ACE EFF CAN'!J$4,'7. PGE_Efficacité'!$A$4:$BU$4,0)+31),0)</f>
        <v>0</v>
      </c>
      <c r="K50" s="365">
        <f>VLOOKUP($E50,'7. PGE_Efficacité'!$A$6:$BT$266,(MATCH('4.3 ACE EFF CAN'!K$4,'7. PGE_Efficacité'!$A$4:$BU$4,0)+31),0)</f>
        <v>0</v>
      </c>
      <c r="L50" s="365">
        <f>VLOOKUP($E50,'7. PGE_Efficacité'!$A$6:$BT$266,(MATCH('4.3 ACE EFF CAN'!L$4,'7. PGE_Efficacité'!$A$4:$BU$4,0)+31),0)</f>
        <v>0</v>
      </c>
      <c r="M50" s="365">
        <f>VLOOKUP($E50,'7. PGE_Efficacité'!$A$6:$BT$266,(MATCH('4.3 ACE EFF CAN'!M$4,'7. PGE_Efficacité'!$A$4:$BU$4,0)+31),0)</f>
        <v>0</v>
      </c>
      <c r="N50" s="365">
        <f>VLOOKUP($E50,'7. PGE_Efficacité'!$A$6:$BT$266,(MATCH('4.3 ACE EFF CAN'!N$4,'7. PGE_Efficacité'!$A$4:$BU$4,0)+31),0)</f>
        <v>0</v>
      </c>
      <c r="O50" s="365">
        <f>VLOOKUP($E50,'7. PGE_Efficacité'!$A$6:$BT$266,(MATCH('4.3 ACE EFF CAN'!O$4,'7. PGE_Efficacité'!$A$4:$BU$4,0)+31),0)</f>
        <v>0</v>
      </c>
      <c r="P50" s="365">
        <f>VLOOKUP($E50,'7. PGE_Efficacité'!$A$6:$BT$266,(MATCH('4.3 ACE EFF CAN'!P$4,'7. PGE_Efficacité'!$A$4:$BU$4,0)+31),0)</f>
        <v>0</v>
      </c>
      <c r="Q50" s="365">
        <f>VLOOKUP($E50,'7. PGE_Efficacité'!$A$6:$BT$266,(MATCH('4.3 ACE EFF CAN'!Q$4,'7. PGE_Efficacité'!$A$4:$BU$4,0)+31),0)</f>
        <v>0</v>
      </c>
      <c r="R50" s="365">
        <f>VLOOKUP($E50,'7. PGE_Efficacité'!$A$6:$BT$266,(MATCH('4.3 ACE EFF CAN'!R$4,'7. PGE_Efficacité'!$A$4:$BU$4,0)+31),0)</f>
        <v>0</v>
      </c>
      <c r="S50" s="365">
        <f>VLOOKUP($E50,'7. PGE_Efficacité'!$A$6:$BT$266,(MATCH('4.3 ACE EFF CAN'!S$4,'7. PGE_Efficacité'!$A$4:$BU$4,0)+31),0)</f>
        <v>0</v>
      </c>
      <c r="T50" s="365">
        <f>VLOOKUP($E50,'7. PGE_Efficacité'!$A$6:$BT$266,(MATCH('4.3 ACE EFF CAN'!T$4,'7. PGE_Efficacité'!$A$4:$BU$4,0)+31),0)</f>
        <v>0</v>
      </c>
      <c r="U50" s="365">
        <f>VLOOKUP($E50,'7. PGE_Efficacité'!$A$6:$BT$266,(MATCH('4.3 ACE EFF CAN'!U$4,'7. PGE_Efficacité'!$A$4:$BU$4,0)+31),0)</f>
        <v>0</v>
      </c>
      <c r="V50" s="365">
        <f>VLOOKUP($E50,'7. PGE_Efficacité'!$A$6:$BT$266,(MATCH('4.3 ACE EFF CAN'!V$4,'7. PGE_Efficacité'!$A$4:$BU$4,0)+31),0)</f>
        <v>0</v>
      </c>
      <c r="W50" s="365">
        <f>VLOOKUP($E50,'7. PGE_Efficacité'!$A$6:$BT$266,(MATCH('4.3 ACE EFF CAN'!W$4,'7. PGE_Efficacité'!$A$4:$BU$4,0)+31),0)</f>
        <v>0</v>
      </c>
      <c r="X50" s="365">
        <f>VLOOKUP($E50,'7. PGE_Efficacité'!$A$6:$BT$266,(MATCH('4.3 ACE EFF CAN'!X$4,'7. PGE_Efficacité'!$A$4:$BU$4,0)+31),0)</f>
        <v>0</v>
      </c>
      <c r="Y50" s="366">
        <f>VLOOKUP($E50,'7. PGE_Efficacité'!$A$6:$BT$266,(MATCH('4.3 ACE EFF CAN'!Y$4,'7. PGE_Efficacité'!$A$4:$BU$4,0)+31),0)</f>
        <v>0</v>
      </c>
      <c r="Z50" s="366">
        <f>VLOOKUP($E50,'7. PGE_Efficacité'!$A$6:$BT$266,(MATCH('4.3 ACE EFF CAN'!Z$4,'7. PGE_Efficacité'!$A$4:$BU$4,0)+31),0)</f>
        <v>0</v>
      </c>
      <c r="AA50" s="366">
        <f>VLOOKUP($E50,'7. PGE_Efficacité'!$A$6:$BT$266,(MATCH('4.3 ACE EFF CAN'!AA$4,'7. PGE_Efficacité'!$A$4:$BU$4,0)+31),0)</f>
        <v>0</v>
      </c>
      <c r="AB50" s="366">
        <f>VLOOKUP($E50,'7. PGE_Efficacité'!$A$6:$BT$266,(MATCH('4.3 ACE EFF CAN'!AB$4,'7. PGE_Efficacité'!$A$4:$BU$4,0)+31),0)</f>
        <v>0</v>
      </c>
      <c r="AC50" s="366">
        <f>VLOOKUP($E50,'7. PGE_Efficacité'!$A$6:$BT$266,(MATCH('4.3 ACE EFF CAN'!AC$4,'7. PGE_Efficacité'!$A$4:$BU$4,0)+31),0)</f>
        <v>0</v>
      </c>
      <c r="AD50" s="366">
        <f>VLOOKUP($E50,'7. PGE_Efficacité'!$A$6:$BT$266,(MATCH('4.3 ACE EFF CAN'!AD$4,'7. PGE_Efficacité'!$A$4:$BU$4,0)+31),0)</f>
        <v>0</v>
      </c>
      <c r="AE50" s="366">
        <f>VLOOKUP($E50,'7. PGE_Efficacité'!$A$6:$BT$266,(MATCH('4.3 ACE EFF CAN'!AE$4,'7. PGE_Efficacité'!$A$4:$BU$4,0)+31),0)</f>
        <v>0</v>
      </c>
      <c r="AF50" s="366">
        <f>VLOOKUP($E50,'7. PGE_Efficacité'!$A$6:$BT$266,(MATCH('4.3 ACE EFF CAN'!AF$4,'7. PGE_Efficacité'!$A$4:$BU$4,0)+31),0)</f>
        <v>0</v>
      </c>
      <c r="AG50" s="366">
        <f>VLOOKUP($E50,'7. PGE_Efficacité'!$A$6:$BT$266,(MATCH('4.3 ACE EFF CAN'!AG$4,'7. PGE_Efficacité'!$A$4:$BU$4,0)+31),0)</f>
        <v>0</v>
      </c>
      <c r="AH50" s="366">
        <f>VLOOKUP($E50,'7. PGE_Efficacité'!$A$6:$BT$266,(MATCH('4.3 ACE EFF CAN'!AH$4,'7. PGE_Efficacité'!$A$4:$BU$4,0)+31),0)</f>
        <v>0</v>
      </c>
      <c r="AI50" s="366">
        <f>VLOOKUP($E50,'7. PGE_Efficacité'!$A$6:$BT$266,(MATCH('4.3 ACE EFF CAN'!AI$4,'7. PGE_Efficacité'!$A$4:$BU$4,0)+31),0)</f>
        <v>0</v>
      </c>
      <c r="AJ50" s="366">
        <f>VLOOKUP($E50,'7. PGE_Efficacité'!$A$6:$BT$266,(MATCH('4.3 ACE EFF CAN'!AJ$4,'7. PGE_Efficacité'!$A$4:$BU$4,0)+31),0)</f>
        <v>0</v>
      </c>
      <c r="AK50" s="366">
        <f>VLOOKUP($E50,'7. PGE_Efficacité'!$A$6:$BT$266,(MATCH('4.3 ACE EFF CAN'!AK$4,'7. PGE_Efficacité'!$A$4:$BU$4,0)+31),0)</f>
        <v>0</v>
      </c>
      <c r="AL50" s="366">
        <f>VLOOKUP($E50,'7. PGE_Efficacité'!$A$6:$BT$266,(MATCH('4.3 ACE EFF CAN'!AL$4,'7. PGE_Efficacité'!$A$4:$BU$4,0)+31),0)</f>
        <v>0</v>
      </c>
      <c r="AM50" s="366">
        <f>VLOOKUP($E50,'7. PGE_Efficacité'!$A$6:$BT$266,(MATCH('4.3 ACE EFF CAN'!AM$4,'7. PGE_Efficacité'!$A$4:$BU$4,0)+31),0)</f>
        <v>0</v>
      </c>
      <c r="AN50" s="366">
        <f>VLOOKUP($E50,'7. PGE_Efficacité'!$A$6:$BT$266,(MATCH('4.3 ACE EFF CAN'!AN$4,'7. PGE_Efficacité'!$A$4:$BU$4,0)+31),0)</f>
        <v>0</v>
      </c>
    </row>
    <row r="51" spans="1:40" outlineLevel="2" x14ac:dyDescent="0.25">
      <c r="A51" s="154" t="s">
        <v>1524</v>
      </c>
      <c r="B51" s="154">
        <v>6</v>
      </c>
      <c r="C51" s="154" t="s">
        <v>1528</v>
      </c>
      <c r="D51" s="330" t="s">
        <v>5</v>
      </c>
      <c r="E51" s="330" t="s">
        <v>826</v>
      </c>
      <c r="F51" s="330" t="s">
        <v>1456</v>
      </c>
      <c r="G51" s="330" t="s">
        <v>1522</v>
      </c>
      <c r="H51" s="330" t="s">
        <v>1290</v>
      </c>
      <c r="I51" s="364">
        <v>0</v>
      </c>
      <c r="J51" s="365">
        <f>VLOOKUP($E51,'7. PGE_Efficacité'!$A$6:$BT$266,(MATCH('4.3 ACE EFF CAN'!J$4,'7. PGE_Efficacité'!$A$4:$BU$4,0)+31),0)</f>
        <v>0</v>
      </c>
      <c r="K51" s="365">
        <f>VLOOKUP($E51,'7. PGE_Efficacité'!$A$6:$BT$266,(MATCH('4.3 ACE EFF CAN'!K$4,'7. PGE_Efficacité'!$A$4:$BU$4,0)+31),0)</f>
        <v>0</v>
      </c>
      <c r="L51" s="365">
        <f>VLOOKUP($E51,'7. PGE_Efficacité'!$A$6:$BT$266,(MATCH('4.3 ACE EFF CAN'!L$4,'7. PGE_Efficacité'!$A$4:$BU$4,0)+31),0)</f>
        <v>0</v>
      </c>
      <c r="M51" s="365">
        <f>VLOOKUP($E51,'7. PGE_Efficacité'!$A$6:$BT$266,(MATCH('4.3 ACE EFF CAN'!M$4,'7. PGE_Efficacité'!$A$4:$BU$4,0)+31),0)</f>
        <v>0</v>
      </c>
      <c r="N51" s="365">
        <f>VLOOKUP($E51,'7. PGE_Efficacité'!$A$6:$BT$266,(MATCH('4.3 ACE EFF CAN'!N$4,'7. PGE_Efficacité'!$A$4:$BU$4,0)+31),0)</f>
        <v>0</v>
      </c>
      <c r="O51" s="365">
        <f>VLOOKUP($E51,'7. PGE_Efficacité'!$A$6:$BT$266,(MATCH('4.3 ACE EFF CAN'!O$4,'7. PGE_Efficacité'!$A$4:$BU$4,0)+31),0)</f>
        <v>0</v>
      </c>
      <c r="P51" s="365">
        <f>VLOOKUP($E51,'7. PGE_Efficacité'!$A$6:$BT$266,(MATCH('4.3 ACE EFF CAN'!P$4,'7. PGE_Efficacité'!$A$4:$BU$4,0)+31),0)</f>
        <v>0</v>
      </c>
      <c r="Q51" s="365">
        <f>VLOOKUP($E51,'7. PGE_Efficacité'!$A$6:$BT$266,(MATCH('4.3 ACE EFF CAN'!Q$4,'7. PGE_Efficacité'!$A$4:$BU$4,0)+31),0)</f>
        <v>0</v>
      </c>
      <c r="R51" s="365">
        <f>VLOOKUP($E51,'7. PGE_Efficacité'!$A$6:$BT$266,(MATCH('4.3 ACE EFF CAN'!R$4,'7. PGE_Efficacité'!$A$4:$BU$4,0)+31),0)</f>
        <v>0</v>
      </c>
      <c r="S51" s="365">
        <f>VLOOKUP($E51,'7. PGE_Efficacité'!$A$6:$BT$266,(MATCH('4.3 ACE EFF CAN'!S$4,'7. PGE_Efficacité'!$A$4:$BU$4,0)+31),0)</f>
        <v>0</v>
      </c>
      <c r="T51" s="365">
        <f>VLOOKUP($E51,'7. PGE_Efficacité'!$A$6:$BT$266,(MATCH('4.3 ACE EFF CAN'!T$4,'7. PGE_Efficacité'!$A$4:$BU$4,0)+31),0)</f>
        <v>0</v>
      </c>
      <c r="U51" s="365">
        <f>VLOOKUP($E51,'7. PGE_Efficacité'!$A$6:$BT$266,(MATCH('4.3 ACE EFF CAN'!U$4,'7. PGE_Efficacité'!$A$4:$BU$4,0)+31),0)</f>
        <v>0</v>
      </c>
      <c r="V51" s="365">
        <f>VLOOKUP($E51,'7. PGE_Efficacité'!$A$6:$BT$266,(MATCH('4.3 ACE EFF CAN'!V$4,'7. PGE_Efficacité'!$A$4:$BU$4,0)+31),0)</f>
        <v>0</v>
      </c>
      <c r="W51" s="365">
        <f>VLOOKUP($E51,'7. PGE_Efficacité'!$A$6:$BT$266,(MATCH('4.3 ACE EFF CAN'!W$4,'7. PGE_Efficacité'!$A$4:$BU$4,0)+31),0)</f>
        <v>0</v>
      </c>
      <c r="X51" s="365">
        <f>VLOOKUP($E51,'7. PGE_Efficacité'!$A$6:$BT$266,(MATCH('4.3 ACE EFF CAN'!X$4,'7. PGE_Efficacité'!$A$4:$BU$4,0)+31),0)</f>
        <v>0</v>
      </c>
      <c r="Y51" s="366">
        <f>VLOOKUP($E51,'7. PGE_Efficacité'!$A$6:$BT$266,(MATCH('4.3 ACE EFF CAN'!Y$4,'7. PGE_Efficacité'!$A$4:$BU$4,0)+31),0)</f>
        <v>0</v>
      </c>
      <c r="Z51" s="366">
        <f>VLOOKUP($E51,'7. PGE_Efficacité'!$A$6:$BT$266,(MATCH('4.3 ACE EFF CAN'!Z$4,'7. PGE_Efficacité'!$A$4:$BU$4,0)+31),0)</f>
        <v>0</v>
      </c>
      <c r="AA51" s="366">
        <f>VLOOKUP($E51,'7. PGE_Efficacité'!$A$6:$BT$266,(MATCH('4.3 ACE EFF CAN'!AA$4,'7. PGE_Efficacité'!$A$4:$BU$4,0)+31),0)</f>
        <v>0</v>
      </c>
      <c r="AB51" s="366">
        <f>VLOOKUP($E51,'7. PGE_Efficacité'!$A$6:$BT$266,(MATCH('4.3 ACE EFF CAN'!AB$4,'7. PGE_Efficacité'!$A$4:$BU$4,0)+31),0)</f>
        <v>0</v>
      </c>
      <c r="AC51" s="366">
        <f>VLOOKUP($E51,'7. PGE_Efficacité'!$A$6:$BT$266,(MATCH('4.3 ACE EFF CAN'!AC$4,'7. PGE_Efficacité'!$A$4:$BU$4,0)+31),0)</f>
        <v>0</v>
      </c>
      <c r="AD51" s="366">
        <f>VLOOKUP($E51,'7. PGE_Efficacité'!$A$6:$BT$266,(MATCH('4.3 ACE EFF CAN'!AD$4,'7. PGE_Efficacité'!$A$4:$BU$4,0)+31),0)</f>
        <v>0</v>
      </c>
      <c r="AE51" s="366">
        <f>VLOOKUP($E51,'7. PGE_Efficacité'!$A$6:$BT$266,(MATCH('4.3 ACE EFF CAN'!AE$4,'7. PGE_Efficacité'!$A$4:$BU$4,0)+31),0)</f>
        <v>0</v>
      </c>
      <c r="AF51" s="366">
        <f>VLOOKUP($E51,'7. PGE_Efficacité'!$A$6:$BT$266,(MATCH('4.3 ACE EFF CAN'!AF$4,'7. PGE_Efficacité'!$A$4:$BU$4,0)+31),0)</f>
        <v>0</v>
      </c>
      <c r="AG51" s="366">
        <f>VLOOKUP($E51,'7. PGE_Efficacité'!$A$6:$BT$266,(MATCH('4.3 ACE EFF CAN'!AG$4,'7. PGE_Efficacité'!$A$4:$BU$4,0)+31),0)</f>
        <v>0</v>
      </c>
      <c r="AH51" s="366">
        <f>VLOOKUP($E51,'7. PGE_Efficacité'!$A$6:$BT$266,(MATCH('4.3 ACE EFF CAN'!AH$4,'7. PGE_Efficacité'!$A$4:$BU$4,0)+31),0)</f>
        <v>0</v>
      </c>
      <c r="AI51" s="366">
        <f>VLOOKUP($E51,'7. PGE_Efficacité'!$A$6:$BT$266,(MATCH('4.3 ACE EFF CAN'!AI$4,'7. PGE_Efficacité'!$A$4:$BU$4,0)+31),0)</f>
        <v>0</v>
      </c>
      <c r="AJ51" s="366">
        <f>VLOOKUP($E51,'7. PGE_Efficacité'!$A$6:$BT$266,(MATCH('4.3 ACE EFF CAN'!AJ$4,'7. PGE_Efficacité'!$A$4:$BU$4,0)+31),0)</f>
        <v>0</v>
      </c>
      <c r="AK51" s="366">
        <f>VLOOKUP($E51,'7. PGE_Efficacité'!$A$6:$BT$266,(MATCH('4.3 ACE EFF CAN'!AK$4,'7. PGE_Efficacité'!$A$4:$BU$4,0)+31),0)</f>
        <v>0</v>
      </c>
      <c r="AL51" s="366">
        <f>VLOOKUP($E51,'7. PGE_Efficacité'!$A$6:$BT$266,(MATCH('4.3 ACE EFF CAN'!AL$4,'7. PGE_Efficacité'!$A$4:$BU$4,0)+31),0)</f>
        <v>0</v>
      </c>
      <c r="AM51" s="366">
        <f>VLOOKUP($E51,'7. PGE_Efficacité'!$A$6:$BT$266,(MATCH('4.3 ACE EFF CAN'!AM$4,'7. PGE_Efficacité'!$A$4:$BU$4,0)+31),0)</f>
        <v>0</v>
      </c>
      <c r="AN51" s="366">
        <f>VLOOKUP($E51,'7. PGE_Efficacité'!$A$6:$BT$266,(MATCH('4.3 ACE EFF CAN'!AN$4,'7. PGE_Efficacité'!$A$4:$BU$4,0)+31),0)</f>
        <v>0</v>
      </c>
    </row>
    <row r="52" spans="1:40" outlineLevel="2" x14ac:dyDescent="0.25">
      <c r="A52" s="154" t="s">
        <v>1524</v>
      </c>
      <c r="B52" s="154">
        <v>6</v>
      </c>
      <c r="C52" s="154" t="s">
        <v>1529</v>
      </c>
      <c r="D52" s="330" t="s">
        <v>5</v>
      </c>
      <c r="E52" s="330" t="s">
        <v>827</v>
      </c>
      <c r="F52" s="330" t="s">
        <v>1457</v>
      </c>
      <c r="G52" s="330" t="s">
        <v>1522</v>
      </c>
      <c r="H52" s="330" t="s">
        <v>1290</v>
      </c>
      <c r="I52" s="364">
        <v>0</v>
      </c>
      <c r="J52" s="365">
        <f>VLOOKUP($E52,'7. PGE_Efficacité'!$A$6:$BT$266,(MATCH('4.3 ACE EFF CAN'!J$4,'7. PGE_Efficacité'!$A$4:$BU$4,0)+31),0)</f>
        <v>0</v>
      </c>
      <c r="K52" s="365">
        <f>VLOOKUP($E52,'7. PGE_Efficacité'!$A$6:$BT$266,(MATCH('4.3 ACE EFF CAN'!K$4,'7. PGE_Efficacité'!$A$4:$BU$4,0)+31),0)</f>
        <v>0</v>
      </c>
      <c r="L52" s="365">
        <f>VLOOKUP($E52,'7. PGE_Efficacité'!$A$6:$BT$266,(MATCH('4.3 ACE EFF CAN'!L$4,'7. PGE_Efficacité'!$A$4:$BU$4,0)+31),0)</f>
        <v>0</v>
      </c>
      <c r="M52" s="365">
        <f>VLOOKUP($E52,'7. PGE_Efficacité'!$A$6:$BT$266,(MATCH('4.3 ACE EFF CAN'!M$4,'7. PGE_Efficacité'!$A$4:$BU$4,0)+31),0)</f>
        <v>0</v>
      </c>
      <c r="N52" s="365">
        <f>VLOOKUP($E52,'7. PGE_Efficacité'!$A$6:$BT$266,(MATCH('4.3 ACE EFF CAN'!N$4,'7. PGE_Efficacité'!$A$4:$BU$4,0)+31),0)</f>
        <v>0</v>
      </c>
      <c r="O52" s="365">
        <f>VLOOKUP($E52,'7. PGE_Efficacité'!$A$6:$BT$266,(MATCH('4.3 ACE EFF CAN'!O$4,'7. PGE_Efficacité'!$A$4:$BU$4,0)+31),0)</f>
        <v>0</v>
      </c>
      <c r="P52" s="365">
        <f>VLOOKUP($E52,'7. PGE_Efficacité'!$A$6:$BT$266,(MATCH('4.3 ACE EFF CAN'!P$4,'7. PGE_Efficacité'!$A$4:$BU$4,0)+31),0)</f>
        <v>0</v>
      </c>
      <c r="Q52" s="365">
        <f>VLOOKUP($E52,'7. PGE_Efficacité'!$A$6:$BT$266,(MATCH('4.3 ACE EFF CAN'!Q$4,'7. PGE_Efficacité'!$A$4:$BU$4,0)+31),0)</f>
        <v>0</v>
      </c>
      <c r="R52" s="365">
        <f>VLOOKUP($E52,'7. PGE_Efficacité'!$A$6:$BT$266,(MATCH('4.3 ACE EFF CAN'!R$4,'7. PGE_Efficacité'!$A$4:$BU$4,0)+31),0)</f>
        <v>0</v>
      </c>
      <c r="S52" s="365">
        <f>VLOOKUP($E52,'7. PGE_Efficacité'!$A$6:$BT$266,(MATCH('4.3 ACE EFF CAN'!S$4,'7. PGE_Efficacité'!$A$4:$BU$4,0)+31),0)</f>
        <v>0</v>
      </c>
      <c r="T52" s="365">
        <f>VLOOKUP($E52,'7. PGE_Efficacité'!$A$6:$BT$266,(MATCH('4.3 ACE EFF CAN'!T$4,'7. PGE_Efficacité'!$A$4:$BU$4,0)+31),0)</f>
        <v>0</v>
      </c>
      <c r="U52" s="365">
        <f>VLOOKUP($E52,'7. PGE_Efficacité'!$A$6:$BT$266,(MATCH('4.3 ACE EFF CAN'!U$4,'7. PGE_Efficacité'!$A$4:$BU$4,0)+31),0)</f>
        <v>0</v>
      </c>
      <c r="V52" s="365">
        <f>VLOOKUP($E52,'7. PGE_Efficacité'!$A$6:$BT$266,(MATCH('4.3 ACE EFF CAN'!V$4,'7. PGE_Efficacité'!$A$4:$BU$4,0)+31),0)</f>
        <v>0</v>
      </c>
      <c r="W52" s="365">
        <f>VLOOKUP($E52,'7. PGE_Efficacité'!$A$6:$BT$266,(MATCH('4.3 ACE EFF CAN'!W$4,'7. PGE_Efficacité'!$A$4:$BU$4,0)+31),0)</f>
        <v>0</v>
      </c>
      <c r="X52" s="365">
        <f>VLOOKUP($E52,'7. PGE_Efficacité'!$A$6:$BT$266,(MATCH('4.3 ACE EFF CAN'!X$4,'7. PGE_Efficacité'!$A$4:$BU$4,0)+31),0)</f>
        <v>0</v>
      </c>
      <c r="Y52" s="366">
        <f>VLOOKUP($E52,'7. PGE_Efficacité'!$A$6:$BT$266,(MATCH('4.3 ACE EFF CAN'!Y$4,'7. PGE_Efficacité'!$A$4:$BU$4,0)+31),0)</f>
        <v>0</v>
      </c>
      <c r="Z52" s="366">
        <f>VLOOKUP($E52,'7. PGE_Efficacité'!$A$6:$BT$266,(MATCH('4.3 ACE EFF CAN'!Z$4,'7. PGE_Efficacité'!$A$4:$BU$4,0)+31),0)</f>
        <v>0</v>
      </c>
      <c r="AA52" s="366">
        <f>VLOOKUP($E52,'7. PGE_Efficacité'!$A$6:$BT$266,(MATCH('4.3 ACE EFF CAN'!AA$4,'7. PGE_Efficacité'!$A$4:$BU$4,0)+31),0)</f>
        <v>0</v>
      </c>
      <c r="AB52" s="366">
        <f>VLOOKUP($E52,'7. PGE_Efficacité'!$A$6:$BT$266,(MATCH('4.3 ACE EFF CAN'!AB$4,'7. PGE_Efficacité'!$A$4:$BU$4,0)+31),0)</f>
        <v>0</v>
      </c>
      <c r="AC52" s="366">
        <f>VLOOKUP($E52,'7. PGE_Efficacité'!$A$6:$BT$266,(MATCH('4.3 ACE EFF CAN'!AC$4,'7. PGE_Efficacité'!$A$4:$BU$4,0)+31),0)</f>
        <v>0</v>
      </c>
      <c r="AD52" s="366">
        <f>VLOOKUP($E52,'7. PGE_Efficacité'!$A$6:$BT$266,(MATCH('4.3 ACE EFF CAN'!AD$4,'7. PGE_Efficacité'!$A$4:$BU$4,0)+31),0)</f>
        <v>0</v>
      </c>
      <c r="AE52" s="366">
        <f>VLOOKUP($E52,'7. PGE_Efficacité'!$A$6:$BT$266,(MATCH('4.3 ACE EFF CAN'!AE$4,'7. PGE_Efficacité'!$A$4:$BU$4,0)+31),0)</f>
        <v>0</v>
      </c>
      <c r="AF52" s="366">
        <f>VLOOKUP($E52,'7. PGE_Efficacité'!$A$6:$BT$266,(MATCH('4.3 ACE EFF CAN'!AF$4,'7. PGE_Efficacité'!$A$4:$BU$4,0)+31),0)</f>
        <v>0</v>
      </c>
      <c r="AG52" s="366">
        <f>VLOOKUP($E52,'7. PGE_Efficacité'!$A$6:$BT$266,(MATCH('4.3 ACE EFF CAN'!AG$4,'7. PGE_Efficacité'!$A$4:$BU$4,0)+31),0)</f>
        <v>0</v>
      </c>
      <c r="AH52" s="366">
        <f>VLOOKUP($E52,'7. PGE_Efficacité'!$A$6:$BT$266,(MATCH('4.3 ACE EFF CAN'!AH$4,'7. PGE_Efficacité'!$A$4:$BU$4,0)+31),0)</f>
        <v>0</v>
      </c>
      <c r="AI52" s="366">
        <f>VLOOKUP($E52,'7. PGE_Efficacité'!$A$6:$BT$266,(MATCH('4.3 ACE EFF CAN'!AI$4,'7. PGE_Efficacité'!$A$4:$BU$4,0)+31),0)</f>
        <v>0</v>
      </c>
      <c r="AJ52" s="366">
        <f>VLOOKUP($E52,'7. PGE_Efficacité'!$A$6:$BT$266,(MATCH('4.3 ACE EFF CAN'!AJ$4,'7. PGE_Efficacité'!$A$4:$BU$4,0)+31),0)</f>
        <v>0</v>
      </c>
      <c r="AK52" s="366">
        <f>VLOOKUP($E52,'7. PGE_Efficacité'!$A$6:$BT$266,(MATCH('4.3 ACE EFF CAN'!AK$4,'7. PGE_Efficacité'!$A$4:$BU$4,0)+31),0)</f>
        <v>0</v>
      </c>
      <c r="AL52" s="366">
        <f>VLOOKUP($E52,'7. PGE_Efficacité'!$A$6:$BT$266,(MATCH('4.3 ACE EFF CAN'!AL$4,'7. PGE_Efficacité'!$A$4:$BU$4,0)+31),0)</f>
        <v>0</v>
      </c>
      <c r="AM52" s="366">
        <f>VLOOKUP($E52,'7. PGE_Efficacité'!$A$6:$BT$266,(MATCH('4.3 ACE EFF CAN'!AM$4,'7. PGE_Efficacité'!$A$4:$BU$4,0)+31),0)</f>
        <v>0</v>
      </c>
      <c r="AN52" s="366">
        <f>VLOOKUP($E52,'7. PGE_Efficacité'!$A$6:$BT$266,(MATCH('4.3 ACE EFF CAN'!AN$4,'7. PGE_Efficacité'!$A$4:$BU$4,0)+31),0)</f>
        <v>0</v>
      </c>
    </row>
    <row r="53" spans="1:40" outlineLevel="1" x14ac:dyDescent="0.25">
      <c r="A53" s="154"/>
      <c r="B53" s="154"/>
      <c r="C53" s="154"/>
      <c r="D53" s="360" t="s">
        <v>6</v>
      </c>
      <c r="E53" s="360"/>
      <c r="F53" s="361" t="str">
        <f>VLOOKUP(D53,'1. Mesures'!$A$2:$B$116,2,0)</f>
        <v>Gérer les rejets d'eaux usées non raccordables aux stations d'épuration collectives</v>
      </c>
      <c r="G53" s="360"/>
      <c r="H53" s="360"/>
      <c r="I53" s="362">
        <f>SUBTOTAL(9,I54:I59)</f>
        <v>75000</v>
      </c>
      <c r="J53" s="366">
        <f>VLOOKUP($D53,'7. PGE_Efficacité'!$A$6:$BT$266,(MATCH('4.3 ACE EFF CAN'!J$4,'7. PGE_Efficacité'!$A$4:$AO$4,0)+31),0)</f>
        <v>0</v>
      </c>
      <c r="K53" s="366" t="str">
        <f>VLOOKUP($D53,'7. PGE_Efficacité'!$A$6:$BT$266,(MATCH('4.3 ACE EFF CAN'!K$4,'7. PGE_Efficacité'!$A$4:$AO$4,0)+31),0)</f>
        <v>+</v>
      </c>
      <c r="L53" s="366" t="str">
        <f>VLOOKUP($D53,'7. PGE_Efficacité'!$A$6:$BT$266,(MATCH('4.3 ACE EFF CAN'!L$4,'7. PGE_Efficacité'!$A$4:$AO$4,0)+31),0)</f>
        <v>+</v>
      </c>
      <c r="M53" s="366" t="str">
        <f>VLOOKUP($D53,'7. PGE_Efficacité'!$A$6:$BT$266,(MATCH('4.3 ACE EFF CAN'!M$4,'7. PGE_Efficacité'!$A$4:$AO$4,0)+31),0)</f>
        <v>+</v>
      </c>
      <c r="N53" s="366" t="str">
        <f>VLOOKUP($D53,'7. PGE_Efficacité'!$A$6:$BT$266,(MATCH('4.3 ACE EFF CAN'!N$4,'7. PGE_Efficacité'!$A$4:$AO$4,0)+31),0)</f>
        <v>+</v>
      </c>
      <c r="O53" s="366" t="str">
        <f>VLOOKUP($D53,'7. PGE_Efficacité'!$A$6:$BT$266,47,0)</f>
        <v>+</v>
      </c>
      <c r="P53" s="366">
        <f>VLOOKUP($D53,'7. PGE_Efficacité'!$A$6:$BT$266,(MATCH('4.3 ACE EFF CAN'!P$4,'7. PGE_Efficacité'!$A$4:$AO$4,0)+31),0)</f>
        <v>0</v>
      </c>
      <c r="Q53" s="366" t="str">
        <f>VLOOKUP($D53,'7. PGE_Efficacité'!$A$6:$BT$266,(MATCH('4.3 ACE EFF CAN'!Q$4,'7. PGE_Efficacité'!$A$4:$AO$4,0)+31),0)</f>
        <v>+</v>
      </c>
      <c r="R53" s="366" t="str">
        <f>VLOOKUP($D53,'7. PGE_Efficacité'!$A$6:$BT$266,(MATCH('4.3 ACE EFF CAN'!R$4,'7. PGE_Efficacité'!$A$4:$AO$4,0)+31),0)</f>
        <v>+</v>
      </c>
      <c r="S53" s="366">
        <f>VLOOKUP($D53,'7. PGE_Efficacité'!$A$6:$BT$266,(MATCH('4.3 ACE EFF CAN'!S$4,'7. PGE_Efficacité'!$A$4:$AO$4,0)+31),0)</f>
        <v>0</v>
      </c>
      <c r="T53" s="366">
        <f>VLOOKUP($D53,'7. PGE_Efficacité'!$A$6:$BT$266,(MATCH('4.3 ACE EFF CAN'!T$4,'7. PGE_Efficacité'!$A$4:$AO$4,0)+31),0)</f>
        <v>0</v>
      </c>
      <c r="U53" s="366" t="str">
        <f>VLOOKUP($D53,'7. PGE_Efficacité'!$A$6:$BT$266,(MATCH('4.3 ACE EFF CAN'!U$4,'7. PGE_Efficacité'!$A$4:$AO$4,0)+31),0)</f>
        <v>+</v>
      </c>
      <c r="V53" s="366" t="str">
        <f>VLOOKUP($D53,'7. PGE_Efficacité'!$A$6:$BT$266,(MATCH('4.3 ACE EFF CAN'!V$4,'7. PGE_Efficacité'!$A$4:$AO$4,0)+31),0)</f>
        <v>+</v>
      </c>
      <c r="W53" s="366" t="str">
        <f>VLOOKUP($D53,'7. PGE_Efficacité'!$A$6:$BT$266,(MATCH('4.3 ACE EFF CAN'!W$4,'7. PGE_Efficacité'!$A$4:$AO$4,0)+31),0)</f>
        <v>+</v>
      </c>
      <c r="X53" s="366">
        <f>VLOOKUP($D53,'7. PGE_Efficacité'!$A$6:$BT$266,(MATCH('4.3 ACE EFF CAN'!X$4,'7. PGE_Efficacité'!$A$4:$AO$4,0)+31),0)</f>
        <v>0</v>
      </c>
      <c r="Y53" s="366" t="str">
        <f>VLOOKUP($D53,'7. PGE_Efficacité'!$A$6:$BT$266,(MATCH('4.3 ACE EFF CAN'!Y$4,'7. PGE_Efficacité'!$A$4:$AO$4,0)+31),0)</f>
        <v>+</v>
      </c>
      <c r="Z53" s="366" t="str">
        <f>VLOOKUP($D53,'7. PGE_Efficacité'!$A$6:$BT$266,(MATCH('4.3 ACE EFF CAN'!Z$4,'7. PGE_Efficacité'!$A$4:$AO$4,0)+31),0)</f>
        <v>+</v>
      </c>
      <c r="AA53" s="366">
        <f>VLOOKUP($D53,'7. PGE_Efficacité'!$A$6:$BT$266,(MATCH('4.3 ACE EFF CAN'!AA$4,'7. PGE_Efficacité'!$A$4:$AO$4,0)+31),0)</f>
        <v>0</v>
      </c>
      <c r="AB53" s="366">
        <f>VLOOKUP($D53,'7. PGE_Efficacité'!$A$6:$BT$266,(MATCH('4.3 ACE EFF CAN'!AB$4,'7. PGE_Efficacité'!$A$4:$AO$4,0)+31),0)</f>
        <v>0</v>
      </c>
      <c r="AC53" s="366">
        <f>VLOOKUP($D53,'7. PGE_Efficacité'!$A$6:$BT$266,(MATCH('4.3 ACE EFF CAN'!AC$4,'7. PGE_Efficacité'!$A$4:$AO$4,0)+31),0)</f>
        <v>0</v>
      </c>
      <c r="AD53" s="366">
        <f>VLOOKUP($D53,'7. PGE_Efficacité'!$A$6:$BT$266,(MATCH('4.3 ACE EFF CAN'!AD$4,'7. PGE_Efficacité'!$A$4:$AO$4,0)+31),0)</f>
        <v>0</v>
      </c>
      <c r="AE53" s="366">
        <f>VLOOKUP($D53,'7. PGE_Efficacité'!$A$6:$BT$266,(MATCH('4.3 ACE EFF CAN'!AE$4,'7. PGE_Efficacité'!$A$4:$AO$4,0)+31),0)</f>
        <v>0</v>
      </c>
      <c r="AF53" s="366">
        <f>VLOOKUP($D53,'7. PGE_Efficacité'!$A$6:$BT$266,(MATCH('4.3 ACE EFF CAN'!AF$4,'7. PGE_Efficacité'!$A$4:$AO$4,0)+31),0)</f>
        <v>0</v>
      </c>
      <c r="AG53" s="366">
        <f>VLOOKUP($D53,'7. PGE_Efficacité'!$A$6:$BT$266,(MATCH('4.3 ACE EFF CAN'!AG$4,'7. PGE_Efficacité'!$A$4:$AO$4,0)+31),0)</f>
        <v>0</v>
      </c>
      <c r="AH53" s="366">
        <f>VLOOKUP($D53,'7. PGE_Efficacité'!$A$6:$BT$266,(MATCH('4.3 ACE EFF CAN'!AH$4,'7. PGE_Efficacité'!$A$4:$AO$4,0)+31),0)</f>
        <v>0</v>
      </c>
      <c r="AI53" s="366">
        <f>VLOOKUP($D53,'7. PGE_Efficacité'!$A$6:$BT$266,(MATCH('4.3 ACE EFF CAN'!AI$4,'7. PGE_Efficacité'!$A$4:$AO$4,0)+31),0)</f>
        <v>0</v>
      </c>
      <c r="AJ53" s="366">
        <f>VLOOKUP($D53,'7. PGE_Efficacité'!$A$6:$BT$266,(MATCH('4.3 ACE EFF CAN'!AJ$4,'7. PGE_Efficacité'!$A$4:$AO$4,0)+31),0)</f>
        <v>0</v>
      </c>
      <c r="AK53" s="366" t="str">
        <f>VLOOKUP($D53,'7. PGE_Efficacité'!$A$6:$BT$266,(MATCH('4.3 ACE EFF CAN'!AK$4,'7. PGE_Efficacité'!$A$4:$AO$4,0)+31),0)</f>
        <v>+</v>
      </c>
      <c r="AL53" s="366">
        <f>VLOOKUP($D53,'7. PGE_Efficacité'!$A$6:$BT$266,(MATCH('4.3 ACE EFF CAN'!AL$4,'7. PGE_Efficacité'!$A$4:$AO$4,0)+31),0)</f>
        <v>0</v>
      </c>
      <c r="AM53" s="366" t="str">
        <f>VLOOKUP($D53,'7. PGE_Efficacité'!$A$6:$BT$266,(MATCH('4.3 ACE EFF CAN'!AM$4,'7. PGE_Efficacité'!$A$4:$AO$4,0)+31),0)</f>
        <v>+</v>
      </c>
      <c r="AN53" s="366" t="str">
        <f>VLOOKUP($D53,'7. PGE_Efficacité'!$A$6:$BT$266,(MATCH('4.3 ACE EFF CAN'!AN$4,'7. PGE_Efficacité'!$A$4:$AO$4,0)+31),0)</f>
        <v>+</v>
      </c>
    </row>
    <row r="54" spans="1:40" outlineLevel="2" x14ac:dyDescent="0.25">
      <c r="A54" s="154" t="s">
        <v>1524</v>
      </c>
      <c r="B54" s="154">
        <v>7</v>
      </c>
      <c r="C54" s="154" t="s">
        <v>1524</v>
      </c>
      <c r="D54" s="330" t="s">
        <v>6</v>
      </c>
      <c r="E54" s="330" t="s">
        <v>828</v>
      </c>
      <c r="F54" s="330" t="s">
        <v>1458</v>
      </c>
      <c r="G54" s="330" t="s">
        <v>1522</v>
      </c>
      <c r="H54" s="330" t="s">
        <v>1290</v>
      </c>
      <c r="I54" s="364">
        <v>0</v>
      </c>
      <c r="J54" s="365">
        <f>VLOOKUP($E54,'7. PGE_Efficacité'!$A$6:$BT$266,(MATCH('4.3 ACE EFF CAN'!J$4,'7. PGE_Efficacité'!$A$4:$BU$4,0)+31),0)</f>
        <v>0</v>
      </c>
      <c r="K54" s="365">
        <f>VLOOKUP($E54,'7. PGE_Efficacité'!$A$6:$BT$266,(MATCH('4.3 ACE EFF CAN'!K$4,'7. PGE_Efficacité'!$A$4:$BU$4,0)+31),0)</f>
        <v>0</v>
      </c>
      <c r="L54" s="365">
        <f>VLOOKUP($E54,'7. PGE_Efficacité'!$A$6:$BT$266,(MATCH('4.3 ACE EFF CAN'!L$4,'7. PGE_Efficacité'!$A$4:$BU$4,0)+31),0)</f>
        <v>0</v>
      </c>
      <c r="M54" s="365">
        <f>VLOOKUP($E54,'7. PGE_Efficacité'!$A$6:$BT$266,(MATCH('4.3 ACE EFF CAN'!M$4,'7. PGE_Efficacité'!$A$4:$BU$4,0)+31),0)</f>
        <v>0</v>
      </c>
      <c r="N54" s="365">
        <f>VLOOKUP($E54,'7. PGE_Efficacité'!$A$6:$BT$266,(MATCH('4.3 ACE EFF CAN'!N$4,'7. PGE_Efficacité'!$A$4:$BU$4,0)+31),0)</f>
        <v>0</v>
      </c>
      <c r="O54" s="365">
        <f>VLOOKUP($E54,'7. PGE_Efficacité'!$A$6:$BT$266,(MATCH('4.3 ACE EFF CAN'!O$4,'7. PGE_Efficacité'!$A$4:$BU$4,0)+31),0)</f>
        <v>0</v>
      </c>
      <c r="P54" s="365">
        <f>VLOOKUP($E54,'7. PGE_Efficacité'!$A$6:$BT$266,(MATCH('4.3 ACE EFF CAN'!P$4,'7. PGE_Efficacité'!$A$4:$BU$4,0)+31),0)</f>
        <v>0</v>
      </c>
      <c r="Q54" s="365">
        <f>VLOOKUP($E54,'7. PGE_Efficacité'!$A$6:$BT$266,(MATCH('4.3 ACE EFF CAN'!Q$4,'7. PGE_Efficacité'!$A$4:$BU$4,0)+31),0)</f>
        <v>0</v>
      </c>
      <c r="R54" s="365">
        <f>VLOOKUP($E54,'7. PGE_Efficacité'!$A$6:$BT$266,(MATCH('4.3 ACE EFF CAN'!R$4,'7. PGE_Efficacité'!$A$4:$BU$4,0)+31),0)</f>
        <v>0</v>
      </c>
      <c r="S54" s="365">
        <f>VLOOKUP($E54,'7. PGE_Efficacité'!$A$6:$BT$266,(MATCH('4.3 ACE EFF CAN'!S$4,'7. PGE_Efficacité'!$A$4:$BU$4,0)+31),0)</f>
        <v>0</v>
      </c>
      <c r="T54" s="365">
        <f>VLOOKUP($E54,'7. PGE_Efficacité'!$A$6:$BT$266,(MATCH('4.3 ACE EFF CAN'!T$4,'7. PGE_Efficacité'!$A$4:$BU$4,0)+31),0)</f>
        <v>0</v>
      </c>
      <c r="U54" s="365">
        <f>VLOOKUP($E54,'7. PGE_Efficacité'!$A$6:$BT$266,(MATCH('4.3 ACE EFF CAN'!U$4,'7. PGE_Efficacité'!$A$4:$BU$4,0)+31),0)</f>
        <v>0</v>
      </c>
      <c r="V54" s="365">
        <f>VLOOKUP($E54,'7. PGE_Efficacité'!$A$6:$BT$266,(MATCH('4.3 ACE EFF CAN'!V$4,'7. PGE_Efficacité'!$A$4:$BU$4,0)+31),0)</f>
        <v>0</v>
      </c>
      <c r="W54" s="365">
        <f>VLOOKUP($E54,'7. PGE_Efficacité'!$A$6:$BT$266,(MATCH('4.3 ACE EFF CAN'!W$4,'7. PGE_Efficacité'!$A$4:$BU$4,0)+31),0)</f>
        <v>0</v>
      </c>
      <c r="X54" s="365">
        <f>VLOOKUP($E54,'7. PGE_Efficacité'!$A$6:$BT$266,(MATCH('4.3 ACE EFF CAN'!X$4,'7. PGE_Efficacité'!$A$4:$BU$4,0)+31),0)</f>
        <v>0</v>
      </c>
      <c r="Y54" s="366">
        <f>VLOOKUP($E54,'7. PGE_Efficacité'!$A$6:$BT$266,(MATCH('4.3 ACE EFF CAN'!Y$4,'7. PGE_Efficacité'!$A$4:$BU$4,0)+31),0)</f>
        <v>0</v>
      </c>
      <c r="Z54" s="366">
        <f>VLOOKUP($E54,'7. PGE_Efficacité'!$A$6:$BT$266,(MATCH('4.3 ACE EFF CAN'!Z$4,'7. PGE_Efficacité'!$A$4:$BU$4,0)+31),0)</f>
        <v>0</v>
      </c>
      <c r="AA54" s="366">
        <f>VLOOKUP($E54,'7. PGE_Efficacité'!$A$6:$BT$266,(MATCH('4.3 ACE EFF CAN'!AA$4,'7. PGE_Efficacité'!$A$4:$BU$4,0)+31),0)</f>
        <v>0</v>
      </c>
      <c r="AB54" s="366">
        <f>VLOOKUP($E54,'7. PGE_Efficacité'!$A$6:$BT$266,(MATCH('4.3 ACE EFF CAN'!AB$4,'7. PGE_Efficacité'!$A$4:$BU$4,0)+31),0)</f>
        <v>0</v>
      </c>
      <c r="AC54" s="366">
        <f>VLOOKUP($E54,'7. PGE_Efficacité'!$A$6:$BT$266,(MATCH('4.3 ACE EFF CAN'!AC$4,'7. PGE_Efficacité'!$A$4:$BU$4,0)+31),0)</f>
        <v>0</v>
      </c>
      <c r="AD54" s="366">
        <f>VLOOKUP($E54,'7. PGE_Efficacité'!$A$6:$BT$266,(MATCH('4.3 ACE EFF CAN'!AD$4,'7. PGE_Efficacité'!$A$4:$BU$4,0)+31),0)</f>
        <v>0</v>
      </c>
      <c r="AE54" s="366">
        <f>VLOOKUP($E54,'7. PGE_Efficacité'!$A$6:$BT$266,(MATCH('4.3 ACE EFF CAN'!AE$4,'7. PGE_Efficacité'!$A$4:$BU$4,0)+31),0)</f>
        <v>0</v>
      </c>
      <c r="AF54" s="366">
        <f>VLOOKUP($E54,'7. PGE_Efficacité'!$A$6:$BT$266,(MATCH('4.3 ACE EFF CAN'!AF$4,'7. PGE_Efficacité'!$A$4:$BU$4,0)+31),0)</f>
        <v>0</v>
      </c>
      <c r="AG54" s="366">
        <f>VLOOKUP($E54,'7. PGE_Efficacité'!$A$6:$BT$266,(MATCH('4.3 ACE EFF CAN'!AG$4,'7. PGE_Efficacité'!$A$4:$BU$4,0)+31),0)</f>
        <v>0</v>
      </c>
      <c r="AH54" s="366">
        <f>VLOOKUP($E54,'7. PGE_Efficacité'!$A$6:$BT$266,(MATCH('4.3 ACE EFF CAN'!AH$4,'7. PGE_Efficacité'!$A$4:$BU$4,0)+31),0)</f>
        <v>0</v>
      </c>
      <c r="AI54" s="366">
        <f>VLOOKUP($E54,'7. PGE_Efficacité'!$A$6:$BT$266,(MATCH('4.3 ACE EFF CAN'!AI$4,'7. PGE_Efficacité'!$A$4:$BU$4,0)+31),0)</f>
        <v>0</v>
      </c>
      <c r="AJ54" s="366">
        <f>VLOOKUP($E54,'7. PGE_Efficacité'!$A$6:$BT$266,(MATCH('4.3 ACE EFF CAN'!AJ$4,'7. PGE_Efficacité'!$A$4:$BU$4,0)+31),0)</f>
        <v>0</v>
      </c>
      <c r="AK54" s="366">
        <f>VLOOKUP($E54,'7. PGE_Efficacité'!$A$6:$BT$266,(MATCH('4.3 ACE EFF CAN'!AK$4,'7. PGE_Efficacité'!$A$4:$BU$4,0)+31),0)</f>
        <v>0</v>
      </c>
      <c r="AL54" s="366">
        <f>VLOOKUP($E54,'7. PGE_Efficacité'!$A$6:$BT$266,(MATCH('4.3 ACE EFF CAN'!AL$4,'7. PGE_Efficacité'!$A$4:$BU$4,0)+31),0)</f>
        <v>0</v>
      </c>
      <c r="AM54" s="366">
        <f>VLOOKUP($E54,'7. PGE_Efficacité'!$A$6:$BT$266,(MATCH('4.3 ACE EFF CAN'!AM$4,'7. PGE_Efficacité'!$A$4:$BU$4,0)+31),0)</f>
        <v>0</v>
      </c>
      <c r="AN54" s="366">
        <f>VLOOKUP($E54,'7. PGE_Efficacité'!$A$6:$BT$266,(MATCH('4.3 ACE EFF CAN'!AN$4,'7. PGE_Efficacité'!$A$4:$BU$4,0)+31),0)</f>
        <v>0</v>
      </c>
    </row>
    <row r="55" spans="1:40" outlineLevel="2" x14ac:dyDescent="0.25">
      <c r="A55" s="154" t="s">
        <v>1524</v>
      </c>
      <c r="B55" s="154">
        <v>7</v>
      </c>
      <c r="C55" s="154" t="s">
        <v>1525</v>
      </c>
      <c r="D55" s="330" t="s">
        <v>6</v>
      </c>
      <c r="E55" s="330" t="s">
        <v>829</v>
      </c>
      <c r="F55" s="330" t="s">
        <v>1459</v>
      </c>
      <c r="G55" s="330" t="s">
        <v>1522</v>
      </c>
      <c r="H55" s="330" t="s">
        <v>1290</v>
      </c>
      <c r="I55" s="364">
        <v>0</v>
      </c>
      <c r="J55" s="365">
        <f>VLOOKUP($E55,'7. PGE_Efficacité'!$A$6:$BT$266,(MATCH('4.3 ACE EFF CAN'!J$4,'7. PGE_Efficacité'!$A$4:$BU$4,0)+31),0)</f>
        <v>0</v>
      </c>
      <c r="K55" s="365">
        <f>VLOOKUP($E55,'7. PGE_Efficacité'!$A$6:$BT$266,(MATCH('4.3 ACE EFF CAN'!K$4,'7. PGE_Efficacité'!$A$4:$BU$4,0)+31),0)</f>
        <v>0</v>
      </c>
      <c r="L55" s="365">
        <f>VLOOKUP($E55,'7. PGE_Efficacité'!$A$6:$BT$266,(MATCH('4.3 ACE EFF CAN'!L$4,'7. PGE_Efficacité'!$A$4:$BU$4,0)+31),0)</f>
        <v>0</v>
      </c>
      <c r="M55" s="365">
        <f>VLOOKUP($E55,'7. PGE_Efficacité'!$A$6:$BT$266,(MATCH('4.3 ACE EFF CAN'!M$4,'7. PGE_Efficacité'!$A$4:$BU$4,0)+31),0)</f>
        <v>0</v>
      </c>
      <c r="N55" s="365">
        <f>VLOOKUP($E55,'7. PGE_Efficacité'!$A$6:$BT$266,(MATCH('4.3 ACE EFF CAN'!N$4,'7. PGE_Efficacité'!$A$4:$BU$4,0)+31),0)</f>
        <v>0</v>
      </c>
      <c r="O55" s="365">
        <f>VLOOKUP($E55,'7. PGE_Efficacité'!$A$6:$BT$266,(MATCH('4.3 ACE EFF CAN'!O$4,'7. PGE_Efficacité'!$A$4:$BU$4,0)+31),0)</f>
        <v>0</v>
      </c>
      <c r="P55" s="365">
        <f>VLOOKUP($E55,'7. PGE_Efficacité'!$A$6:$BT$266,(MATCH('4.3 ACE EFF CAN'!P$4,'7. PGE_Efficacité'!$A$4:$BU$4,0)+31),0)</f>
        <v>0</v>
      </c>
      <c r="Q55" s="365">
        <f>VLOOKUP($E55,'7. PGE_Efficacité'!$A$6:$BT$266,(MATCH('4.3 ACE EFF CAN'!Q$4,'7. PGE_Efficacité'!$A$4:$BU$4,0)+31),0)</f>
        <v>0</v>
      </c>
      <c r="R55" s="365">
        <f>VLOOKUP($E55,'7. PGE_Efficacité'!$A$6:$BT$266,(MATCH('4.3 ACE EFF CAN'!R$4,'7. PGE_Efficacité'!$A$4:$BU$4,0)+31),0)</f>
        <v>0</v>
      </c>
      <c r="S55" s="365">
        <f>VLOOKUP($E55,'7. PGE_Efficacité'!$A$6:$BT$266,(MATCH('4.3 ACE EFF CAN'!S$4,'7. PGE_Efficacité'!$A$4:$BU$4,0)+31),0)</f>
        <v>0</v>
      </c>
      <c r="T55" s="365">
        <f>VLOOKUP($E55,'7. PGE_Efficacité'!$A$6:$BT$266,(MATCH('4.3 ACE EFF CAN'!T$4,'7. PGE_Efficacité'!$A$4:$BU$4,0)+31),0)</f>
        <v>0</v>
      </c>
      <c r="U55" s="365">
        <f>VLOOKUP($E55,'7. PGE_Efficacité'!$A$6:$BT$266,(MATCH('4.3 ACE EFF CAN'!U$4,'7. PGE_Efficacité'!$A$4:$BU$4,0)+31),0)</f>
        <v>0</v>
      </c>
      <c r="V55" s="365">
        <f>VLOOKUP($E55,'7. PGE_Efficacité'!$A$6:$BT$266,(MATCH('4.3 ACE EFF CAN'!V$4,'7. PGE_Efficacité'!$A$4:$BU$4,0)+31),0)</f>
        <v>0</v>
      </c>
      <c r="W55" s="365">
        <f>VLOOKUP($E55,'7. PGE_Efficacité'!$A$6:$BT$266,(MATCH('4.3 ACE EFF CAN'!W$4,'7. PGE_Efficacité'!$A$4:$BU$4,0)+31),0)</f>
        <v>0</v>
      </c>
      <c r="X55" s="365">
        <f>VLOOKUP($E55,'7. PGE_Efficacité'!$A$6:$BT$266,(MATCH('4.3 ACE EFF CAN'!X$4,'7. PGE_Efficacité'!$A$4:$BU$4,0)+31),0)</f>
        <v>0</v>
      </c>
      <c r="Y55" s="366">
        <f>VLOOKUP($E55,'7. PGE_Efficacité'!$A$6:$BT$266,(MATCH('4.3 ACE EFF CAN'!Y$4,'7. PGE_Efficacité'!$A$4:$BU$4,0)+31),0)</f>
        <v>0</v>
      </c>
      <c r="Z55" s="366">
        <f>VLOOKUP($E55,'7. PGE_Efficacité'!$A$6:$BT$266,(MATCH('4.3 ACE EFF CAN'!Z$4,'7. PGE_Efficacité'!$A$4:$BU$4,0)+31),0)</f>
        <v>0</v>
      </c>
      <c r="AA55" s="366">
        <f>VLOOKUP($E55,'7. PGE_Efficacité'!$A$6:$BT$266,(MATCH('4.3 ACE EFF CAN'!AA$4,'7. PGE_Efficacité'!$A$4:$BU$4,0)+31),0)</f>
        <v>0</v>
      </c>
      <c r="AB55" s="366">
        <f>VLOOKUP($E55,'7. PGE_Efficacité'!$A$6:$BT$266,(MATCH('4.3 ACE EFF CAN'!AB$4,'7. PGE_Efficacité'!$A$4:$BU$4,0)+31),0)</f>
        <v>0</v>
      </c>
      <c r="AC55" s="366">
        <f>VLOOKUP($E55,'7. PGE_Efficacité'!$A$6:$BT$266,(MATCH('4.3 ACE EFF CAN'!AC$4,'7. PGE_Efficacité'!$A$4:$BU$4,0)+31),0)</f>
        <v>0</v>
      </c>
      <c r="AD55" s="366">
        <f>VLOOKUP($E55,'7. PGE_Efficacité'!$A$6:$BT$266,(MATCH('4.3 ACE EFF CAN'!AD$4,'7. PGE_Efficacité'!$A$4:$BU$4,0)+31),0)</f>
        <v>0</v>
      </c>
      <c r="AE55" s="366">
        <f>VLOOKUP($E55,'7. PGE_Efficacité'!$A$6:$BT$266,(MATCH('4.3 ACE EFF CAN'!AE$4,'7. PGE_Efficacité'!$A$4:$BU$4,0)+31),0)</f>
        <v>0</v>
      </c>
      <c r="AF55" s="366">
        <f>VLOOKUP($E55,'7. PGE_Efficacité'!$A$6:$BT$266,(MATCH('4.3 ACE EFF CAN'!AF$4,'7. PGE_Efficacité'!$A$4:$BU$4,0)+31),0)</f>
        <v>0</v>
      </c>
      <c r="AG55" s="366">
        <f>VLOOKUP($E55,'7. PGE_Efficacité'!$A$6:$BT$266,(MATCH('4.3 ACE EFF CAN'!AG$4,'7. PGE_Efficacité'!$A$4:$BU$4,0)+31),0)</f>
        <v>0</v>
      </c>
      <c r="AH55" s="366">
        <f>VLOOKUP($E55,'7. PGE_Efficacité'!$A$6:$BT$266,(MATCH('4.3 ACE EFF CAN'!AH$4,'7. PGE_Efficacité'!$A$4:$BU$4,0)+31),0)</f>
        <v>0</v>
      </c>
      <c r="AI55" s="366">
        <f>VLOOKUP($E55,'7. PGE_Efficacité'!$A$6:$BT$266,(MATCH('4.3 ACE EFF CAN'!AI$4,'7. PGE_Efficacité'!$A$4:$BU$4,0)+31),0)</f>
        <v>0</v>
      </c>
      <c r="AJ55" s="366">
        <f>VLOOKUP($E55,'7. PGE_Efficacité'!$A$6:$BT$266,(MATCH('4.3 ACE EFF CAN'!AJ$4,'7. PGE_Efficacité'!$A$4:$BU$4,0)+31),0)</f>
        <v>0</v>
      </c>
      <c r="AK55" s="366">
        <f>VLOOKUP($E55,'7. PGE_Efficacité'!$A$6:$BT$266,(MATCH('4.3 ACE EFF CAN'!AK$4,'7. PGE_Efficacité'!$A$4:$BU$4,0)+31),0)</f>
        <v>0</v>
      </c>
      <c r="AL55" s="366">
        <f>VLOOKUP($E55,'7. PGE_Efficacité'!$A$6:$BT$266,(MATCH('4.3 ACE EFF CAN'!AL$4,'7. PGE_Efficacité'!$A$4:$BU$4,0)+31),0)</f>
        <v>0</v>
      </c>
      <c r="AM55" s="366">
        <f>VLOOKUP($E55,'7. PGE_Efficacité'!$A$6:$BT$266,(MATCH('4.3 ACE EFF CAN'!AM$4,'7. PGE_Efficacité'!$A$4:$BU$4,0)+31),0)</f>
        <v>0</v>
      </c>
      <c r="AN55" s="366">
        <f>VLOOKUP($E55,'7. PGE_Efficacité'!$A$6:$BT$266,(MATCH('4.3 ACE EFF CAN'!AN$4,'7. PGE_Efficacité'!$A$4:$BU$4,0)+31),0)</f>
        <v>0</v>
      </c>
    </row>
    <row r="56" spans="1:40" outlineLevel="2" x14ac:dyDescent="0.25">
      <c r="A56" s="154" t="s">
        <v>1524</v>
      </c>
      <c r="B56" s="154">
        <v>7</v>
      </c>
      <c r="C56" s="154" t="s">
        <v>1526</v>
      </c>
      <c r="D56" s="330" t="s">
        <v>6</v>
      </c>
      <c r="E56" s="330" t="s">
        <v>830</v>
      </c>
      <c r="F56" s="330" t="s">
        <v>1460</v>
      </c>
      <c r="G56" s="330" t="s">
        <v>1522</v>
      </c>
      <c r="H56" s="330" t="s">
        <v>1290</v>
      </c>
      <c r="I56" s="364">
        <v>0</v>
      </c>
      <c r="J56" s="365">
        <f>VLOOKUP($E56,'7. PGE_Efficacité'!$A$6:$BT$266,(MATCH('4.3 ACE EFF CAN'!J$4,'7. PGE_Efficacité'!$A$4:$BU$4,0)+31),0)</f>
        <v>0</v>
      </c>
      <c r="K56" s="365">
        <f>VLOOKUP($E56,'7. PGE_Efficacité'!$A$6:$BT$266,(MATCH('4.3 ACE EFF CAN'!K$4,'7. PGE_Efficacité'!$A$4:$BU$4,0)+31),0)</f>
        <v>0</v>
      </c>
      <c r="L56" s="365">
        <f>VLOOKUP($E56,'7. PGE_Efficacité'!$A$6:$BT$266,(MATCH('4.3 ACE EFF CAN'!L$4,'7. PGE_Efficacité'!$A$4:$BU$4,0)+31),0)</f>
        <v>0</v>
      </c>
      <c r="M56" s="365">
        <f>VLOOKUP($E56,'7. PGE_Efficacité'!$A$6:$BT$266,(MATCH('4.3 ACE EFF CAN'!M$4,'7. PGE_Efficacité'!$A$4:$BU$4,0)+31),0)</f>
        <v>0</v>
      </c>
      <c r="N56" s="365">
        <f>VLOOKUP($E56,'7. PGE_Efficacité'!$A$6:$BT$266,(MATCH('4.3 ACE EFF CAN'!N$4,'7. PGE_Efficacité'!$A$4:$BU$4,0)+31),0)</f>
        <v>0</v>
      </c>
      <c r="O56" s="365">
        <f>VLOOKUP($E56,'7. PGE_Efficacité'!$A$6:$BT$266,(MATCH('4.3 ACE EFF CAN'!O$4,'7. PGE_Efficacité'!$A$4:$BU$4,0)+31),0)</f>
        <v>0</v>
      </c>
      <c r="P56" s="365">
        <f>VLOOKUP($E56,'7. PGE_Efficacité'!$A$6:$BT$266,(MATCH('4.3 ACE EFF CAN'!P$4,'7. PGE_Efficacité'!$A$4:$BU$4,0)+31),0)</f>
        <v>0</v>
      </c>
      <c r="Q56" s="365">
        <f>VLOOKUP($E56,'7. PGE_Efficacité'!$A$6:$BT$266,(MATCH('4.3 ACE EFF CAN'!Q$4,'7. PGE_Efficacité'!$A$4:$BU$4,0)+31),0)</f>
        <v>0</v>
      </c>
      <c r="R56" s="365">
        <f>VLOOKUP($E56,'7. PGE_Efficacité'!$A$6:$BT$266,(MATCH('4.3 ACE EFF CAN'!R$4,'7. PGE_Efficacité'!$A$4:$BU$4,0)+31),0)</f>
        <v>0</v>
      </c>
      <c r="S56" s="365">
        <f>VLOOKUP($E56,'7. PGE_Efficacité'!$A$6:$BT$266,(MATCH('4.3 ACE EFF CAN'!S$4,'7. PGE_Efficacité'!$A$4:$BU$4,0)+31),0)</f>
        <v>0</v>
      </c>
      <c r="T56" s="365">
        <f>VLOOKUP($E56,'7. PGE_Efficacité'!$A$6:$BT$266,(MATCH('4.3 ACE EFF CAN'!T$4,'7. PGE_Efficacité'!$A$4:$BU$4,0)+31),0)</f>
        <v>0</v>
      </c>
      <c r="U56" s="365">
        <f>VLOOKUP($E56,'7. PGE_Efficacité'!$A$6:$BT$266,(MATCH('4.3 ACE EFF CAN'!U$4,'7. PGE_Efficacité'!$A$4:$BU$4,0)+31),0)</f>
        <v>0</v>
      </c>
      <c r="V56" s="365">
        <f>VLOOKUP($E56,'7. PGE_Efficacité'!$A$6:$BT$266,(MATCH('4.3 ACE EFF CAN'!V$4,'7. PGE_Efficacité'!$A$4:$BU$4,0)+31),0)</f>
        <v>0</v>
      </c>
      <c r="W56" s="365">
        <f>VLOOKUP($E56,'7. PGE_Efficacité'!$A$6:$BT$266,(MATCH('4.3 ACE EFF CAN'!W$4,'7. PGE_Efficacité'!$A$4:$BU$4,0)+31),0)</f>
        <v>0</v>
      </c>
      <c r="X56" s="365">
        <f>VLOOKUP($E56,'7. PGE_Efficacité'!$A$6:$BT$266,(MATCH('4.3 ACE EFF CAN'!X$4,'7. PGE_Efficacité'!$A$4:$BU$4,0)+31),0)</f>
        <v>0</v>
      </c>
      <c r="Y56" s="366">
        <f>VLOOKUP($E56,'7. PGE_Efficacité'!$A$6:$BT$266,(MATCH('4.3 ACE EFF CAN'!Y$4,'7. PGE_Efficacité'!$A$4:$BU$4,0)+31),0)</f>
        <v>0</v>
      </c>
      <c r="Z56" s="366">
        <f>VLOOKUP($E56,'7. PGE_Efficacité'!$A$6:$BT$266,(MATCH('4.3 ACE EFF CAN'!Z$4,'7. PGE_Efficacité'!$A$4:$BU$4,0)+31),0)</f>
        <v>0</v>
      </c>
      <c r="AA56" s="366">
        <f>VLOOKUP($E56,'7. PGE_Efficacité'!$A$6:$BT$266,(MATCH('4.3 ACE EFF CAN'!AA$4,'7. PGE_Efficacité'!$A$4:$BU$4,0)+31),0)</f>
        <v>0</v>
      </c>
      <c r="AB56" s="366">
        <f>VLOOKUP($E56,'7. PGE_Efficacité'!$A$6:$BT$266,(MATCH('4.3 ACE EFF CAN'!AB$4,'7. PGE_Efficacité'!$A$4:$BU$4,0)+31),0)</f>
        <v>0</v>
      </c>
      <c r="AC56" s="366">
        <f>VLOOKUP($E56,'7. PGE_Efficacité'!$A$6:$BT$266,(MATCH('4.3 ACE EFF CAN'!AC$4,'7. PGE_Efficacité'!$A$4:$BU$4,0)+31),0)</f>
        <v>0</v>
      </c>
      <c r="AD56" s="366">
        <f>VLOOKUP($E56,'7. PGE_Efficacité'!$A$6:$BT$266,(MATCH('4.3 ACE EFF CAN'!AD$4,'7. PGE_Efficacité'!$A$4:$BU$4,0)+31),0)</f>
        <v>0</v>
      </c>
      <c r="AE56" s="366">
        <f>VLOOKUP($E56,'7. PGE_Efficacité'!$A$6:$BT$266,(MATCH('4.3 ACE EFF CAN'!AE$4,'7. PGE_Efficacité'!$A$4:$BU$4,0)+31),0)</f>
        <v>0</v>
      </c>
      <c r="AF56" s="366">
        <f>VLOOKUP($E56,'7. PGE_Efficacité'!$A$6:$BT$266,(MATCH('4.3 ACE EFF CAN'!AF$4,'7. PGE_Efficacité'!$A$4:$BU$4,0)+31),0)</f>
        <v>0</v>
      </c>
      <c r="AG56" s="366">
        <f>VLOOKUP($E56,'7. PGE_Efficacité'!$A$6:$BT$266,(MATCH('4.3 ACE EFF CAN'!AG$4,'7. PGE_Efficacité'!$A$4:$BU$4,0)+31),0)</f>
        <v>0</v>
      </c>
      <c r="AH56" s="366">
        <f>VLOOKUP($E56,'7. PGE_Efficacité'!$A$6:$BT$266,(MATCH('4.3 ACE EFF CAN'!AH$4,'7. PGE_Efficacité'!$A$4:$BU$4,0)+31),0)</f>
        <v>0</v>
      </c>
      <c r="AI56" s="366">
        <f>VLOOKUP($E56,'7. PGE_Efficacité'!$A$6:$BT$266,(MATCH('4.3 ACE EFF CAN'!AI$4,'7. PGE_Efficacité'!$A$4:$BU$4,0)+31),0)</f>
        <v>0</v>
      </c>
      <c r="AJ56" s="366">
        <f>VLOOKUP($E56,'7. PGE_Efficacité'!$A$6:$BT$266,(MATCH('4.3 ACE EFF CAN'!AJ$4,'7. PGE_Efficacité'!$A$4:$BU$4,0)+31),0)</f>
        <v>0</v>
      </c>
      <c r="AK56" s="366">
        <f>VLOOKUP($E56,'7. PGE_Efficacité'!$A$6:$BT$266,(MATCH('4.3 ACE EFF CAN'!AK$4,'7. PGE_Efficacité'!$A$4:$BU$4,0)+31),0)</f>
        <v>0</v>
      </c>
      <c r="AL56" s="366">
        <f>VLOOKUP($E56,'7. PGE_Efficacité'!$A$6:$BT$266,(MATCH('4.3 ACE EFF CAN'!AL$4,'7. PGE_Efficacité'!$A$4:$BU$4,0)+31),0)</f>
        <v>0</v>
      </c>
      <c r="AM56" s="366">
        <f>VLOOKUP($E56,'7. PGE_Efficacité'!$A$6:$BT$266,(MATCH('4.3 ACE EFF CAN'!AM$4,'7. PGE_Efficacité'!$A$4:$BU$4,0)+31),0)</f>
        <v>0</v>
      </c>
      <c r="AN56" s="366">
        <f>VLOOKUP($E56,'7. PGE_Efficacité'!$A$6:$BT$266,(MATCH('4.3 ACE EFF CAN'!AN$4,'7. PGE_Efficacité'!$A$4:$BU$4,0)+31),0)</f>
        <v>0</v>
      </c>
    </row>
    <row r="57" spans="1:40" outlineLevel="2" x14ac:dyDescent="0.25">
      <c r="A57" s="154" t="s">
        <v>1524</v>
      </c>
      <c r="B57" s="154">
        <v>7</v>
      </c>
      <c r="C57" s="154" t="s">
        <v>1527</v>
      </c>
      <c r="D57" s="330" t="s">
        <v>6</v>
      </c>
      <c r="E57" s="330" t="s">
        <v>831</v>
      </c>
      <c r="F57" s="330" t="s">
        <v>1461</v>
      </c>
      <c r="G57" s="330" t="s">
        <v>1522</v>
      </c>
      <c r="H57" s="330" t="s">
        <v>1290</v>
      </c>
      <c r="I57" s="364">
        <v>0</v>
      </c>
      <c r="J57" s="365">
        <f>VLOOKUP($E57,'7. PGE_Efficacité'!$A$6:$BT$266,(MATCH('4.3 ACE EFF CAN'!J$4,'7. PGE_Efficacité'!$A$4:$BU$4,0)+31),0)</f>
        <v>0</v>
      </c>
      <c r="K57" s="365">
        <f>VLOOKUP($E57,'7. PGE_Efficacité'!$A$6:$BT$266,(MATCH('4.3 ACE EFF CAN'!K$4,'7. PGE_Efficacité'!$A$4:$BU$4,0)+31),0)</f>
        <v>0</v>
      </c>
      <c r="L57" s="365">
        <f>VLOOKUP($E57,'7. PGE_Efficacité'!$A$6:$BT$266,(MATCH('4.3 ACE EFF CAN'!L$4,'7. PGE_Efficacité'!$A$4:$BU$4,0)+31),0)</f>
        <v>0</v>
      </c>
      <c r="M57" s="365">
        <f>VLOOKUP($E57,'7. PGE_Efficacité'!$A$6:$BT$266,(MATCH('4.3 ACE EFF CAN'!M$4,'7. PGE_Efficacité'!$A$4:$BU$4,0)+31),0)</f>
        <v>0</v>
      </c>
      <c r="N57" s="365">
        <f>VLOOKUP($E57,'7. PGE_Efficacité'!$A$6:$BT$266,(MATCH('4.3 ACE EFF CAN'!N$4,'7. PGE_Efficacité'!$A$4:$BU$4,0)+31),0)</f>
        <v>0</v>
      </c>
      <c r="O57" s="365">
        <f>VLOOKUP($E57,'7. PGE_Efficacité'!$A$6:$BT$266,(MATCH('4.3 ACE EFF CAN'!O$4,'7. PGE_Efficacité'!$A$4:$BU$4,0)+31),0)</f>
        <v>0</v>
      </c>
      <c r="P57" s="365">
        <f>VLOOKUP($E57,'7. PGE_Efficacité'!$A$6:$BT$266,(MATCH('4.3 ACE EFF CAN'!P$4,'7. PGE_Efficacité'!$A$4:$BU$4,0)+31),0)</f>
        <v>0</v>
      </c>
      <c r="Q57" s="365">
        <f>VLOOKUP($E57,'7. PGE_Efficacité'!$A$6:$BT$266,(MATCH('4.3 ACE EFF CAN'!Q$4,'7. PGE_Efficacité'!$A$4:$BU$4,0)+31),0)</f>
        <v>0</v>
      </c>
      <c r="R57" s="365">
        <f>VLOOKUP($E57,'7. PGE_Efficacité'!$A$6:$BT$266,(MATCH('4.3 ACE EFF CAN'!R$4,'7. PGE_Efficacité'!$A$4:$BU$4,0)+31),0)</f>
        <v>0</v>
      </c>
      <c r="S57" s="365">
        <f>VLOOKUP($E57,'7. PGE_Efficacité'!$A$6:$BT$266,(MATCH('4.3 ACE EFF CAN'!S$4,'7. PGE_Efficacité'!$A$4:$BU$4,0)+31),0)</f>
        <v>0</v>
      </c>
      <c r="T57" s="365">
        <f>VLOOKUP($E57,'7. PGE_Efficacité'!$A$6:$BT$266,(MATCH('4.3 ACE EFF CAN'!T$4,'7. PGE_Efficacité'!$A$4:$BU$4,0)+31),0)</f>
        <v>0</v>
      </c>
      <c r="U57" s="365">
        <f>VLOOKUP($E57,'7. PGE_Efficacité'!$A$6:$BT$266,(MATCH('4.3 ACE EFF CAN'!U$4,'7. PGE_Efficacité'!$A$4:$BU$4,0)+31),0)</f>
        <v>0</v>
      </c>
      <c r="V57" s="365">
        <f>VLOOKUP($E57,'7. PGE_Efficacité'!$A$6:$BT$266,(MATCH('4.3 ACE EFF CAN'!V$4,'7. PGE_Efficacité'!$A$4:$BU$4,0)+31),0)</f>
        <v>0</v>
      </c>
      <c r="W57" s="365">
        <f>VLOOKUP($E57,'7. PGE_Efficacité'!$A$6:$BT$266,(MATCH('4.3 ACE EFF CAN'!W$4,'7. PGE_Efficacité'!$A$4:$BU$4,0)+31),0)</f>
        <v>0</v>
      </c>
      <c r="X57" s="365">
        <f>VLOOKUP($E57,'7. PGE_Efficacité'!$A$6:$BT$266,(MATCH('4.3 ACE EFF CAN'!X$4,'7. PGE_Efficacité'!$A$4:$BU$4,0)+31),0)</f>
        <v>0</v>
      </c>
      <c r="Y57" s="366">
        <f>VLOOKUP($E57,'7. PGE_Efficacité'!$A$6:$BT$266,(MATCH('4.3 ACE EFF CAN'!Y$4,'7. PGE_Efficacité'!$A$4:$BU$4,0)+31),0)</f>
        <v>0</v>
      </c>
      <c r="Z57" s="366">
        <f>VLOOKUP($E57,'7. PGE_Efficacité'!$A$6:$BT$266,(MATCH('4.3 ACE EFF CAN'!Z$4,'7. PGE_Efficacité'!$A$4:$BU$4,0)+31),0)</f>
        <v>0</v>
      </c>
      <c r="AA57" s="366">
        <f>VLOOKUP($E57,'7. PGE_Efficacité'!$A$6:$BT$266,(MATCH('4.3 ACE EFF CAN'!AA$4,'7. PGE_Efficacité'!$A$4:$BU$4,0)+31),0)</f>
        <v>0</v>
      </c>
      <c r="AB57" s="366">
        <f>VLOOKUP($E57,'7. PGE_Efficacité'!$A$6:$BT$266,(MATCH('4.3 ACE EFF CAN'!AB$4,'7. PGE_Efficacité'!$A$4:$BU$4,0)+31),0)</f>
        <v>0</v>
      </c>
      <c r="AC57" s="366">
        <f>VLOOKUP($E57,'7. PGE_Efficacité'!$A$6:$BT$266,(MATCH('4.3 ACE EFF CAN'!AC$4,'7. PGE_Efficacité'!$A$4:$BU$4,0)+31),0)</f>
        <v>0</v>
      </c>
      <c r="AD57" s="366">
        <f>VLOOKUP($E57,'7. PGE_Efficacité'!$A$6:$BT$266,(MATCH('4.3 ACE EFF CAN'!AD$4,'7. PGE_Efficacité'!$A$4:$BU$4,0)+31),0)</f>
        <v>0</v>
      </c>
      <c r="AE57" s="366">
        <f>VLOOKUP($E57,'7. PGE_Efficacité'!$A$6:$BT$266,(MATCH('4.3 ACE EFF CAN'!AE$4,'7. PGE_Efficacité'!$A$4:$BU$4,0)+31),0)</f>
        <v>0</v>
      </c>
      <c r="AF57" s="366">
        <f>VLOOKUP($E57,'7. PGE_Efficacité'!$A$6:$BT$266,(MATCH('4.3 ACE EFF CAN'!AF$4,'7. PGE_Efficacité'!$A$4:$BU$4,0)+31),0)</f>
        <v>0</v>
      </c>
      <c r="AG57" s="366">
        <f>VLOOKUP($E57,'7. PGE_Efficacité'!$A$6:$BT$266,(MATCH('4.3 ACE EFF CAN'!AG$4,'7. PGE_Efficacité'!$A$4:$BU$4,0)+31),0)</f>
        <v>0</v>
      </c>
      <c r="AH57" s="366">
        <f>VLOOKUP($E57,'7. PGE_Efficacité'!$A$6:$BT$266,(MATCH('4.3 ACE EFF CAN'!AH$4,'7. PGE_Efficacité'!$A$4:$BU$4,0)+31),0)</f>
        <v>0</v>
      </c>
      <c r="AI57" s="366">
        <f>VLOOKUP($E57,'7. PGE_Efficacité'!$A$6:$BT$266,(MATCH('4.3 ACE EFF CAN'!AI$4,'7. PGE_Efficacité'!$A$4:$BU$4,0)+31),0)</f>
        <v>0</v>
      </c>
      <c r="AJ57" s="366">
        <f>VLOOKUP($E57,'7. PGE_Efficacité'!$A$6:$BT$266,(MATCH('4.3 ACE EFF CAN'!AJ$4,'7. PGE_Efficacité'!$A$4:$BU$4,0)+31),0)</f>
        <v>0</v>
      </c>
      <c r="AK57" s="366">
        <f>VLOOKUP($E57,'7. PGE_Efficacité'!$A$6:$BT$266,(MATCH('4.3 ACE EFF CAN'!AK$4,'7. PGE_Efficacité'!$A$4:$BU$4,0)+31),0)</f>
        <v>0</v>
      </c>
      <c r="AL57" s="366">
        <f>VLOOKUP($E57,'7. PGE_Efficacité'!$A$6:$BT$266,(MATCH('4.3 ACE EFF CAN'!AL$4,'7. PGE_Efficacité'!$A$4:$BU$4,0)+31),0)</f>
        <v>0</v>
      </c>
      <c r="AM57" s="366">
        <f>VLOOKUP($E57,'7. PGE_Efficacité'!$A$6:$BT$266,(MATCH('4.3 ACE EFF CAN'!AM$4,'7. PGE_Efficacité'!$A$4:$BU$4,0)+31),0)</f>
        <v>0</v>
      </c>
      <c r="AN57" s="366">
        <f>VLOOKUP($E57,'7. PGE_Efficacité'!$A$6:$BT$266,(MATCH('4.3 ACE EFF CAN'!AN$4,'7. PGE_Efficacité'!$A$4:$BU$4,0)+31),0)</f>
        <v>0</v>
      </c>
    </row>
    <row r="58" spans="1:40" outlineLevel="2" x14ac:dyDescent="0.25">
      <c r="A58" s="154" t="s">
        <v>1524</v>
      </c>
      <c r="B58" s="154">
        <v>7</v>
      </c>
      <c r="C58" s="154" t="s">
        <v>410</v>
      </c>
      <c r="D58" s="330" t="s">
        <v>6</v>
      </c>
      <c r="E58" s="330" t="s">
        <v>832</v>
      </c>
      <c r="F58" s="330" t="s">
        <v>1462</v>
      </c>
      <c r="G58" s="330" t="s">
        <v>1522</v>
      </c>
      <c r="H58" s="330" t="s">
        <v>414</v>
      </c>
      <c r="I58" s="364">
        <v>75000</v>
      </c>
      <c r="J58" s="365">
        <f>VLOOKUP($E58,'7. PGE_Efficacité'!$A$6:$BT$266,(MATCH('4.3 ACE EFF CAN'!J$4,'7. PGE_Efficacité'!$A$4:$BU$4,0)+31),0)</f>
        <v>0</v>
      </c>
      <c r="K58" s="365">
        <f>VLOOKUP($E58,'7. PGE_Efficacité'!$A$6:$BT$266,(MATCH('4.3 ACE EFF CAN'!K$4,'7. PGE_Efficacité'!$A$4:$BU$4,0)+31),0)</f>
        <v>0</v>
      </c>
      <c r="L58" s="365">
        <f>VLOOKUP($E58,'7. PGE_Efficacité'!$A$6:$BT$266,(MATCH('4.3 ACE EFF CAN'!L$4,'7. PGE_Efficacité'!$A$4:$BU$4,0)+31),0)</f>
        <v>0</v>
      </c>
      <c r="M58" s="365">
        <f>VLOOKUP($E58,'7. PGE_Efficacité'!$A$6:$BT$266,(MATCH('4.3 ACE EFF CAN'!M$4,'7. PGE_Efficacité'!$A$4:$BU$4,0)+31),0)</f>
        <v>0</v>
      </c>
      <c r="N58" s="365">
        <f>VLOOKUP($E58,'7. PGE_Efficacité'!$A$6:$BT$266,(MATCH('4.3 ACE EFF CAN'!N$4,'7. PGE_Efficacité'!$A$4:$BU$4,0)+31),0)</f>
        <v>0</v>
      </c>
      <c r="O58" s="365">
        <f>VLOOKUP($E58,'7. PGE_Efficacité'!$A$6:$BT$266,(MATCH('4.3 ACE EFF CAN'!O$4,'7. PGE_Efficacité'!$A$4:$BU$4,0)+31),0)</f>
        <v>0</v>
      </c>
      <c r="P58" s="365">
        <f>VLOOKUP($E58,'7. PGE_Efficacité'!$A$6:$BT$266,(MATCH('4.3 ACE EFF CAN'!P$4,'7. PGE_Efficacité'!$A$4:$BU$4,0)+31),0)</f>
        <v>0</v>
      </c>
      <c r="Q58" s="365">
        <f>VLOOKUP($E58,'7. PGE_Efficacité'!$A$6:$BT$266,(MATCH('4.3 ACE EFF CAN'!Q$4,'7. PGE_Efficacité'!$A$4:$BU$4,0)+31),0)</f>
        <v>0</v>
      </c>
      <c r="R58" s="365">
        <f>VLOOKUP($E58,'7. PGE_Efficacité'!$A$6:$BT$266,(MATCH('4.3 ACE EFF CAN'!R$4,'7. PGE_Efficacité'!$A$4:$BU$4,0)+31),0)</f>
        <v>0</v>
      </c>
      <c r="S58" s="365">
        <f>VLOOKUP($E58,'7. PGE_Efficacité'!$A$6:$BT$266,(MATCH('4.3 ACE EFF CAN'!S$4,'7. PGE_Efficacité'!$A$4:$BU$4,0)+31),0)</f>
        <v>0</v>
      </c>
      <c r="T58" s="365">
        <f>VLOOKUP($E58,'7. PGE_Efficacité'!$A$6:$BT$266,(MATCH('4.3 ACE EFF CAN'!T$4,'7. PGE_Efficacité'!$A$4:$BU$4,0)+31),0)</f>
        <v>0</v>
      </c>
      <c r="U58" s="365">
        <f>VLOOKUP($E58,'7. PGE_Efficacité'!$A$6:$BT$266,(MATCH('4.3 ACE EFF CAN'!U$4,'7. PGE_Efficacité'!$A$4:$BU$4,0)+31),0)</f>
        <v>0</v>
      </c>
      <c r="V58" s="365">
        <f>VLOOKUP($E58,'7. PGE_Efficacité'!$A$6:$BT$266,(MATCH('4.3 ACE EFF CAN'!V$4,'7. PGE_Efficacité'!$A$4:$BU$4,0)+31),0)</f>
        <v>0</v>
      </c>
      <c r="W58" s="365">
        <f>VLOOKUP($E58,'7. PGE_Efficacité'!$A$6:$BT$266,(MATCH('4.3 ACE EFF CAN'!W$4,'7. PGE_Efficacité'!$A$4:$BU$4,0)+31),0)</f>
        <v>0</v>
      </c>
      <c r="X58" s="365">
        <f>VLOOKUP($E58,'7. PGE_Efficacité'!$A$6:$BT$266,(MATCH('4.3 ACE EFF CAN'!X$4,'7. PGE_Efficacité'!$A$4:$BU$4,0)+31),0)</f>
        <v>0</v>
      </c>
      <c r="Y58" s="366">
        <f>VLOOKUP($E58,'7. PGE_Efficacité'!$A$6:$BT$266,(MATCH('4.3 ACE EFF CAN'!Y$4,'7. PGE_Efficacité'!$A$4:$BU$4,0)+31),0)</f>
        <v>0</v>
      </c>
      <c r="Z58" s="366">
        <f>VLOOKUP($E58,'7. PGE_Efficacité'!$A$6:$BT$266,(MATCH('4.3 ACE EFF CAN'!Z$4,'7. PGE_Efficacité'!$A$4:$BU$4,0)+31),0)</f>
        <v>0</v>
      </c>
      <c r="AA58" s="366">
        <f>VLOOKUP($E58,'7. PGE_Efficacité'!$A$6:$BT$266,(MATCH('4.3 ACE EFF CAN'!AA$4,'7. PGE_Efficacité'!$A$4:$BU$4,0)+31),0)</f>
        <v>0</v>
      </c>
      <c r="AB58" s="366">
        <f>VLOOKUP($E58,'7. PGE_Efficacité'!$A$6:$BT$266,(MATCH('4.3 ACE EFF CAN'!AB$4,'7. PGE_Efficacité'!$A$4:$BU$4,0)+31),0)</f>
        <v>0</v>
      </c>
      <c r="AC58" s="366">
        <f>VLOOKUP($E58,'7. PGE_Efficacité'!$A$6:$BT$266,(MATCH('4.3 ACE EFF CAN'!AC$4,'7. PGE_Efficacité'!$A$4:$BU$4,0)+31),0)</f>
        <v>0</v>
      </c>
      <c r="AD58" s="366">
        <f>VLOOKUP($E58,'7. PGE_Efficacité'!$A$6:$BT$266,(MATCH('4.3 ACE EFF CAN'!AD$4,'7. PGE_Efficacité'!$A$4:$BU$4,0)+31),0)</f>
        <v>0</v>
      </c>
      <c r="AE58" s="366">
        <f>VLOOKUP($E58,'7. PGE_Efficacité'!$A$6:$BT$266,(MATCH('4.3 ACE EFF CAN'!AE$4,'7. PGE_Efficacité'!$A$4:$BU$4,0)+31),0)</f>
        <v>0</v>
      </c>
      <c r="AF58" s="366">
        <f>VLOOKUP($E58,'7. PGE_Efficacité'!$A$6:$BT$266,(MATCH('4.3 ACE EFF CAN'!AF$4,'7. PGE_Efficacité'!$A$4:$BU$4,0)+31),0)</f>
        <v>0</v>
      </c>
      <c r="AG58" s="366">
        <f>VLOOKUP($E58,'7. PGE_Efficacité'!$A$6:$BT$266,(MATCH('4.3 ACE EFF CAN'!AG$4,'7. PGE_Efficacité'!$A$4:$BU$4,0)+31),0)</f>
        <v>0</v>
      </c>
      <c r="AH58" s="366">
        <f>VLOOKUP($E58,'7. PGE_Efficacité'!$A$6:$BT$266,(MATCH('4.3 ACE EFF CAN'!AH$4,'7. PGE_Efficacité'!$A$4:$BU$4,0)+31),0)</f>
        <v>0</v>
      </c>
      <c r="AI58" s="366">
        <f>VLOOKUP($E58,'7. PGE_Efficacité'!$A$6:$BT$266,(MATCH('4.3 ACE EFF CAN'!AI$4,'7. PGE_Efficacité'!$A$4:$BU$4,0)+31),0)</f>
        <v>0</v>
      </c>
      <c r="AJ58" s="366">
        <f>VLOOKUP($E58,'7. PGE_Efficacité'!$A$6:$BT$266,(MATCH('4.3 ACE EFF CAN'!AJ$4,'7. PGE_Efficacité'!$A$4:$BU$4,0)+31),0)</f>
        <v>0</v>
      </c>
      <c r="AK58" s="366">
        <f>VLOOKUP($E58,'7. PGE_Efficacité'!$A$6:$BT$266,(MATCH('4.3 ACE EFF CAN'!AK$4,'7. PGE_Efficacité'!$A$4:$BU$4,0)+31),0)</f>
        <v>0</v>
      </c>
      <c r="AL58" s="366">
        <f>VLOOKUP($E58,'7. PGE_Efficacité'!$A$6:$BT$266,(MATCH('4.3 ACE EFF CAN'!AL$4,'7. PGE_Efficacité'!$A$4:$BU$4,0)+31),0)</f>
        <v>0</v>
      </c>
      <c r="AM58" s="366">
        <f>VLOOKUP($E58,'7. PGE_Efficacité'!$A$6:$BT$266,(MATCH('4.3 ACE EFF CAN'!AM$4,'7. PGE_Efficacité'!$A$4:$BU$4,0)+31),0)</f>
        <v>0</v>
      </c>
      <c r="AN58" s="366">
        <f>VLOOKUP($E58,'7. PGE_Efficacité'!$A$6:$BT$266,(MATCH('4.3 ACE EFF CAN'!AN$4,'7. PGE_Efficacité'!$A$4:$BU$4,0)+31),0)</f>
        <v>0</v>
      </c>
    </row>
    <row r="59" spans="1:40" outlineLevel="2" x14ac:dyDescent="0.25">
      <c r="A59" s="154" t="s">
        <v>1524</v>
      </c>
      <c r="B59" s="154">
        <v>7</v>
      </c>
      <c r="C59" s="154" t="s">
        <v>1528</v>
      </c>
      <c r="D59" s="330" t="s">
        <v>6</v>
      </c>
      <c r="E59" s="330" t="s">
        <v>833</v>
      </c>
      <c r="F59" s="330" t="s">
        <v>1463</v>
      </c>
      <c r="G59" s="330" t="s">
        <v>1522</v>
      </c>
      <c r="H59" s="330" t="s">
        <v>1290</v>
      </c>
      <c r="I59" s="364">
        <v>0</v>
      </c>
      <c r="J59" s="365">
        <f>VLOOKUP($E59,'7. PGE_Efficacité'!$A$6:$BT$266,(MATCH('4.3 ACE EFF CAN'!J$4,'7. PGE_Efficacité'!$A$4:$BU$4,0)+31),0)</f>
        <v>0</v>
      </c>
      <c r="K59" s="365">
        <f>VLOOKUP($E59,'7. PGE_Efficacité'!$A$6:$BT$266,(MATCH('4.3 ACE EFF CAN'!K$4,'7. PGE_Efficacité'!$A$4:$BU$4,0)+31),0)</f>
        <v>0</v>
      </c>
      <c r="L59" s="365">
        <f>VLOOKUP($E59,'7. PGE_Efficacité'!$A$6:$BT$266,(MATCH('4.3 ACE EFF CAN'!L$4,'7. PGE_Efficacité'!$A$4:$BU$4,0)+31),0)</f>
        <v>0</v>
      </c>
      <c r="M59" s="365">
        <f>VLOOKUP($E59,'7. PGE_Efficacité'!$A$6:$BT$266,(MATCH('4.3 ACE EFF CAN'!M$4,'7. PGE_Efficacité'!$A$4:$BU$4,0)+31),0)</f>
        <v>0</v>
      </c>
      <c r="N59" s="365">
        <f>VLOOKUP($E59,'7. PGE_Efficacité'!$A$6:$BT$266,(MATCH('4.3 ACE EFF CAN'!N$4,'7. PGE_Efficacité'!$A$4:$BU$4,0)+31),0)</f>
        <v>0</v>
      </c>
      <c r="O59" s="365">
        <f>VLOOKUP($E59,'7. PGE_Efficacité'!$A$6:$BT$266,(MATCH('4.3 ACE EFF CAN'!O$4,'7. PGE_Efficacité'!$A$4:$BU$4,0)+31),0)</f>
        <v>0</v>
      </c>
      <c r="P59" s="365">
        <f>VLOOKUP($E59,'7. PGE_Efficacité'!$A$6:$BT$266,(MATCH('4.3 ACE EFF CAN'!P$4,'7. PGE_Efficacité'!$A$4:$BU$4,0)+31),0)</f>
        <v>0</v>
      </c>
      <c r="Q59" s="365">
        <f>VLOOKUP($E59,'7. PGE_Efficacité'!$A$6:$BT$266,(MATCH('4.3 ACE EFF CAN'!Q$4,'7. PGE_Efficacité'!$A$4:$BU$4,0)+31),0)</f>
        <v>0</v>
      </c>
      <c r="R59" s="365">
        <f>VLOOKUP($E59,'7. PGE_Efficacité'!$A$6:$BT$266,(MATCH('4.3 ACE EFF CAN'!R$4,'7. PGE_Efficacité'!$A$4:$BU$4,0)+31),0)</f>
        <v>0</v>
      </c>
      <c r="S59" s="365">
        <f>VLOOKUP($E59,'7. PGE_Efficacité'!$A$6:$BT$266,(MATCH('4.3 ACE EFF CAN'!S$4,'7. PGE_Efficacité'!$A$4:$BU$4,0)+31),0)</f>
        <v>0</v>
      </c>
      <c r="T59" s="365">
        <f>VLOOKUP($E59,'7. PGE_Efficacité'!$A$6:$BT$266,(MATCH('4.3 ACE EFF CAN'!T$4,'7. PGE_Efficacité'!$A$4:$BU$4,0)+31),0)</f>
        <v>0</v>
      </c>
      <c r="U59" s="365">
        <f>VLOOKUP($E59,'7. PGE_Efficacité'!$A$6:$BT$266,(MATCH('4.3 ACE EFF CAN'!U$4,'7. PGE_Efficacité'!$A$4:$BU$4,0)+31),0)</f>
        <v>0</v>
      </c>
      <c r="V59" s="365">
        <f>VLOOKUP($E59,'7. PGE_Efficacité'!$A$6:$BT$266,(MATCH('4.3 ACE EFF CAN'!V$4,'7. PGE_Efficacité'!$A$4:$BU$4,0)+31),0)</f>
        <v>0</v>
      </c>
      <c r="W59" s="365">
        <f>VLOOKUP($E59,'7. PGE_Efficacité'!$A$6:$BT$266,(MATCH('4.3 ACE EFF CAN'!W$4,'7. PGE_Efficacité'!$A$4:$BU$4,0)+31),0)</f>
        <v>0</v>
      </c>
      <c r="X59" s="365">
        <f>VLOOKUP($E59,'7. PGE_Efficacité'!$A$6:$BT$266,(MATCH('4.3 ACE EFF CAN'!X$4,'7. PGE_Efficacité'!$A$4:$BU$4,0)+31),0)</f>
        <v>0</v>
      </c>
      <c r="Y59" s="366">
        <f>VLOOKUP($E59,'7. PGE_Efficacité'!$A$6:$BT$266,(MATCH('4.3 ACE EFF CAN'!Y$4,'7. PGE_Efficacité'!$A$4:$BU$4,0)+31),0)</f>
        <v>0</v>
      </c>
      <c r="Z59" s="366">
        <f>VLOOKUP($E59,'7. PGE_Efficacité'!$A$6:$BT$266,(MATCH('4.3 ACE EFF CAN'!Z$4,'7. PGE_Efficacité'!$A$4:$BU$4,0)+31),0)</f>
        <v>0</v>
      </c>
      <c r="AA59" s="366">
        <f>VLOOKUP($E59,'7. PGE_Efficacité'!$A$6:$BT$266,(MATCH('4.3 ACE EFF CAN'!AA$4,'7. PGE_Efficacité'!$A$4:$BU$4,0)+31),0)</f>
        <v>0</v>
      </c>
      <c r="AB59" s="366">
        <f>VLOOKUP($E59,'7. PGE_Efficacité'!$A$6:$BT$266,(MATCH('4.3 ACE EFF CAN'!AB$4,'7. PGE_Efficacité'!$A$4:$BU$4,0)+31),0)</f>
        <v>0</v>
      </c>
      <c r="AC59" s="366">
        <f>VLOOKUP($E59,'7. PGE_Efficacité'!$A$6:$BT$266,(MATCH('4.3 ACE EFF CAN'!AC$4,'7. PGE_Efficacité'!$A$4:$BU$4,0)+31),0)</f>
        <v>0</v>
      </c>
      <c r="AD59" s="366">
        <f>VLOOKUP($E59,'7. PGE_Efficacité'!$A$6:$BT$266,(MATCH('4.3 ACE EFF CAN'!AD$4,'7. PGE_Efficacité'!$A$4:$BU$4,0)+31),0)</f>
        <v>0</v>
      </c>
      <c r="AE59" s="366">
        <f>VLOOKUP($E59,'7. PGE_Efficacité'!$A$6:$BT$266,(MATCH('4.3 ACE EFF CAN'!AE$4,'7. PGE_Efficacité'!$A$4:$BU$4,0)+31),0)</f>
        <v>0</v>
      </c>
      <c r="AF59" s="366">
        <f>VLOOKUP($E59,'7. PGE_Efficacité'!$A$6:$BT$266,(MATCH('4.3 ACE EFF CAN'!AF$4,'7. PGE_Efficacité'!$A$4:$BU$4,0)+31),0)</f>
        <v>0</v>
      </c>
      <c r="AG59" s="366">
        <f>VLOOKUP($E59,'7. PGE_Efficacité'!$A$6:$BT$266,(MATCH('4.3 ACE EFF CAN'!AG$4,'7. PGE_Efficacité'!$A$4:$BU$4,0)+31),0)</f>
        <v>0</v>
      </c>
      <c r="AH59" s="366">
        <f>VLOOKUP($E59,'7. PGE_Efficacité'!$A$6:$BT$266,(MATCH('4.3 ACE EFF CAN'!AH$4,'7. PGE_Efficacité'!$A$4:$BU$4,0)+31),0)</f>
        <v>0</v>
      </c>
      <c r="AI59" s="366">
        <f>VLOOKUP($E59,'7. PGE_Efficacité'!$A$6:$BT$266,(MATCH('4.3 ACE EFF CAN'!AI$4,'7. PGE_Efficacité'!$A$4:$BU$4,0)+31),0)</f>
        <v>0</v>
      </c>
      <c r="AJ59" s="366">
        <f>VLOOKUP($E59,'7. PGE_Efficacité'!$A$6:$BT$266,(MATCH('4.3 ACE EFF CAN'!AJ$4,'7. PGE_Efficacité'!$A$4:$BU$4,0)+31),0)</f>
        <v>0</v>
      </c>
      <c r="AK59" s="366">
        <f>VLOOKUP($E59,'7. PGE_Efficacité'!$A$6:$BT$266,(MATCH('4.3 ACE EFF CAN'!AK$4,'7. PGE_Efficacité'!$A$4:$BU$4,0)+31),0)</f>
        <v>0</v>
      </c>
      <c r="AL59" s="366">
        <f>VLOOKUP($E59,'7. PGE_Efficacité'!$A$6:$BT$266,(MATCH('4.3 ACE EFF CAN'!AL$4,'7. PGE_Efficacité'!$A$4:$BU$4,0)+31),0)</f>
        <v>0</v>
      </c>
      <c r="AM59" s="366">
        <f>VLOOKUP($E59,'7. PGE_Efficacité'!$A$6:$BT$266,(MATCH('4.3 ACE EFF CAN'!AM$4,'7. PGE_Efficacité'!$A$4:$BU$4,0)+31),0)</f>
        <v>0</v>
      </c>
      <c r="AN59" s="366">
        <f>VLOOKUP($E59,'7. PGE_Efficacité'!$A$6:$BT$266,(MATCH('4.3 ACE EFF CAN'!AN$4,'7. PGE_Efficacité'!$A$4:$BU$4,0)+31),0)</f>
        <v>0</v>
      </c>
    </row>
    <row r="60" spans="1:40" ht="26.25" outlineLevel="1" x14ac:dyDescent="0.25">
      <c r="A60" s="154"/>
      <c r="B60" s="154"/>
      <c r="C60" s="154"/>
      <c r="D60" s="360" t="s">
        <v>7</v>
      </c>
      <c r="E60" s="360"/>
      <c r="F60" s="361" t="str">
        <f>VLOOKUP(D60,'1. Mesures'!$A$2:$B$116,2,0)</f>
        <v>Réaliser l'état de l'art des déversoirs d'orages actuels et optimaliser leur conception pour réduire le transfert de polluants vers les masses d’eau de surface</v>
      </c>
      <c r="G60" s="360"/>
      <c r="H60" s="360"/>
      <c r="I60" s="362">
        <f>SUBTOTAL(9,I61:I65)</f>
        <v>10000</v>
      </c>
      <c r="J60" s="366">
        <f>VLOOKUP($D60,'7. PGE_Efficacité'!$A$6:$BT$266,(MATCH('4.3 ACE EFF CAN'!J$4,'7. PGE_Efficacité'!$A$4:$AO$4,0)+31),0)</f>
        <v>0</v>
      </c>
      <c r="K60" s="366" t="str">
        <f>VLOOKUP($D60,'7. PGE_Efficacité'!$A$6:$BT$266,(MATCH('4.3 ACE EFF CAN'!K$4,'7. PGE_Efficacité'!$A$4:$AO$4,0)+31),0)</f>
        <v>++</v>
      </c>
      <c r="L60" s="366" t="str">
        <f>VLOOKUP($D60,'7. PGE_Efficacité'!$A$6:$BT$266,(MATCH('4.3 ACE EFF CAN'!L$4,'7. PGE_Efficacité'!$A$4:$AO$4,0)+31),0)</f>
        <v>++</v>
      </c>
      <c r="M60" s="366" t="str">
        <f>VLOOKUP($D60,'7. PGE_Efficacité'!$A$6:$BT$266,(MATCH('4.3 ACE EFF CAN'!M$4,'7. PGE_Efficacité'!$A$4:$AO$4,0)+31),0)</f>
        <v>++</v>
      </c>
      <c r="N60" s="366" t="str">
        <f>VLOOKUP($D60,'7. PGE_Efficacité'!$A$6:$BT$266,(MATCH('4.3 ACE EFF CAN'!N$4,'7. PGE_Efficacité'!$A$4:$AO$4,0)+31),0)</f>
        <v>++</v>
      </c>
      <c r="O60" s="366" t="str">
        <f>VLOOKUP($D60,'7. PGE_Efficacité'!$A$6:$BT$266,47,0)</f>
        <v>++</v>
      </c>
      <c r="P60" s="366">
        <f>VLOOKUP($D60,'7. PGE_Efficacité'!$A$6:$BT$266,(MATCH('4.3 ACE EFF CAN'!P$4,'7. PGE_Efficacité'!$A$4:$AO$4,0)+31),0)</f>
        <v>0</v>
      </c>
      <c r="Q60" s="366" t="str">
        <f>VLOOKUP($D60,'7. PGE_Efficacité'!$A$6:$BT$266,(MATCH('4.3 ACE EFF CAN'!Q$4,'7. PGE_Efficacité'!$A$4:$AO$4,0)+31),0)</f>
        <v>++</v>
      </c>
      <c r="R60" s="366" t="str">
        <f>VLOOKUP($D60,'7. PGE_Efficacité'!$A$6:$BT$266,(MATCH('4.3 ACE EFF CAN'!R$4,'7. PGE_Efficacité'!$A$4:$AO$4,0)+31),0)</f>
        <v>+</v>
      </c>
      <c r="S60" s="366">
        <f>VLOOKUP($D60,'7. PGE_Efficacité'!$A$6:$BT$266,(MATCH('4.3 ACE EFF CAN'!S$4,'7. PGE_Efficacité'!$A$4:$AO$4,0)+31),0)</f>
        <v>0</v>
      </c>
      <c r="T60" s="366" t="str">
        <f>VLOOKUP($D60,'7. PGE_Efficacité'!$A$6:$BT$266,(MATCH('4.3 ACE EFF CAN'!T$4,'7. PGE_Efficacité'!$A$4:$AO$4,0)+31),0)</f>
        <v>+</v>
      </c>
      <c r="U60" s="366" t="str">
        <f>VLOOKUP($D60,'7. PGE_Efficacité'!$A$6:$BT$266,(MATCH('4.3 ACE EFF CAN'!U$4,'7. PGE_Efficacité'!$A$4:$AO$4,0)+31),0)</f>
        <v>+</v>
      </c>
      <c r="V60" s="366" t="str">
        <f>VLOOKUP($D60,'7. PGE_Efficacité'!$A$6:$BT$266,(MATCH('4.3 ACE EFF CAN'!V$4,'7. PGE_Efficacité'!$A$4:$AO$4,0)+31),0)</f>
        <v>+</v>
      </c>
      <c r="W60" s="366" t="str">
        <f>VLOOKUP($D60,'7. PGE_Efficacité'!$A$6:$BT$266,(MATCH('4.3 ACE EFF CAN'!W$4,'7. PGE_Efficacité'!$A$4:$AO$4,0)+31),0)</f>
        <v>++</v>
      </c>
      <c r="X60" s="366">
        <f>VLOOKUP($D60,'7. PGE_Efficacité'!$A$6:$BT$266,(MATCH('4.3 ACE EFF CAN'!X$4,'7. PGE_Efficacité'!$A$4:$AO$4,0)+31),0)</f>
        <v>0</v>
      </c>
      <c r="Y60" s="366" t="str">
        <f>VLOOKUP($D60,'7. PGE_Efficacité'!$A$6:$BT$266,(MATCH('4.3 ACE EFF CAN'!Y$4,'7. PGE_Efficacité'!$A$4:$AO$4,0)+31),0)</f>
        <v>++</v>
      </c>
      <c r="Z60" s="366" t="str">
        <f>VLOOKUP($D60,'7. PGE_Efficacité'!$A$6:$BT$266,(MATCH('4.3 ACE EFF CAN'!Z$4,'7. PGE_Efficacité'!$A$4:$AO$4,0)+31),0)</f>
        <v>++</v>
      </c>
      <c r="AA60" s="366">
        <f>VLOOKUP($D60,'7. PGE_Efficacité'!$A$6:$BT$266,(MATCH('4.3 ACE EFF CAN'!AA$4,'7. PGE_Efficacité'!$A$4:$AO$4,0)+31),0)</f>
        <v>0</v>
      </c>
      <c r="AB60" s="366">
        <f>VLOOKUP($D60,'7. PGE_Efficacité'!$A$6:$BT$266,(MATCH('4.3 ACE EFF CAN'!AB$4,'7. PGE_Efficacité'!$A$4:$AO$4,0)+31),0)</f>
        <v>0</v>
      </c>
      <c r="AC60" s="366">
        <f>VLOOKUP($D60,'7. PGE_Efficacité'!$A$6:$BT$266,(MATCH('4.3 ACE EFF CAN'!AC$4,'7. PGE_Efficacité'!$A$4:$AO$4,0)+31),0)</f>
        <v>0</v>
      </c>
      <c r="AD60" s="366">
        <f>VLOOKUP($D60,'7. PGE_Efficacité'!$A$6:$BT$266,(MATCH('4.3 ACE EFF CAN'!AD$4,'7. PGE_Efficacité'!$A$4:$AO$4,0)+31),0)</f>
        <v>0</v>
      </c>
      <c r="AE60" s="366">
        <f>VLOOKUP($D60,'7. PGE_Efficacité'!$A$6:$BT$266,(MATCH('4.3 ACE EFF CAN'!AE$4,'7. PGE_Efficacité'!$A$4:$AO$4,0)+31),0)</f>
        <v>0</v>
      </c>
      <c r="AF60" s="366">
        <f>VLOOKUP($D60,'7. PGE_Efficacité'!$A$6:$BT$266,(MATCH('4.3 ACE EFF CAN'!AF$4,'7. PGE_Efficacité'!$A$4:$AO$4,0)+31),0)</f>
        <v>0</v>
      </c>
      <c r="AG60" s="366">
        <f>VLOOKUP($D60,'7. PGE_Efficacité'!$A$6:$BT$266,(MATCH('4.3 ACE EFF CAN'!AG$4,'7. PGE_Efficacité'!$A$4:$AO$4,0)+31),0)</f>
        <v>0</v>
      </c>
      <c r="AH60" s="366">
        <f>VLOOKUP($D60,'7. PGE_Efficacité'!$A$6:$BT$266,(MATCH('4.3 ACE EFF CAN'!AH$4,'7. PGE_Efficacité'!$A$4:$AO$4,0)+31),0)</f>
        <v>0</v>
      </c>
      <c r="AI60" s="366">
        <f>VLOOKUP($D60,'7. PGE_Efficacité'!$A$6:$BT$266,(MATCH('4.3 ACE EFF CAN'!AI$4,'7. PGE_Efficacité'!$A$4:$AO$4,0)+31),0)</f>
        <v>0</v>
      </c>
      <c r="AJ60" s="366">
        <f>VLOOKUP($D60,'7. PGE_Efficacité'!$A$6:$BT$266,(MATCH('4.3 ACE EFF CAN'!AJ$4,'7. PGE_Efficacité'!$A$4:$AO$4,0)+31),0)</f>
        <v>0</v>
      </c>
      <c r="AK60" s="366" t="str">
        <f>VLOOKUP($D60,'7. PGE_Efficacité'!$A$6:$BT$266,(MATCH('4.3 ACE EFF CAN'!AK$4,'7. PGE_Efficacité'!$A$4:$AO$4,0)+31),0)</f>
        <v>++</v>
      </c>
      <c r="AL60" s="366">
        <f>VLOOKUP($D60,'7. PGE_Efficacité'!$A$6:$BT$266,(MATCH('4.3 ACE EFF CAN'!AL$4,'7. PGE_Efficacité'!$A$4:$AO$4,0)+31),0)</f>
        <v>0</v>
      </c>
      <c r="AM60" s="366" t="str">
        <f>VLOOKUP($D60,'7. PGE_Efficacité'!$A$6:$BT$266,(MATCH('4.3 ACE EFF CAN'!AM$4,'7. PGE_Efficacité'!$A$4:$AO$4,0)+31),0)</f>
        <v>++</v>
      </c>
      <c r="AN60" s="366" t="str">
        <f>VLOOKUP($D60,'7. PGE_Efficacité'!$A$6:$BT$266,(MATCH('4.3 ACE EFF CAN'!AN$4,'7. PGE_Efficacité'!$A$4:$AO$4,0)+31),0)</f>
        <v>++</v>
      </c>
    </row>
    <row r="61" spans="1:40" outlineLevel="2" x14ac:dyDescent="0.25">
      <c r="A61" s="154" t="s">
        <v>1524</v>
      </c>
      <c r="B61" s="154">
        <v>8</v>
      </c>
      <c r="C61" s="154" t="s">
        <v>1524</v>
      </c>
      <c r="D61" s="330" t="s">
        <v>7</v>
      </c>
      <c r="E61" s="330" t="s">
        <v>834</v>
      </c>
      <c r="F61" s="330" t="s">
        <v>1464</v>
      </c>
      <c r="G61" s="330" t="s">
        <v>1522</v>
      </c>
      <c r="H61" s="330" t="s">
        <v>1290</v>
      </c>
      <c r="I61" s="364">
        <f>15000/3</f>
        <v>5000</v>
      </c>
      <c r="J61" s="365">
        <f>VLOOKUP($E61,'7. PGE_Efficacité'!$A$6:$BT$266,(MATCH('4.3 ACE EFF CAN'!J$4,'7. PGE_Efficacité'!$A$4:$BU$4,0)+31),0)</f>
        <v>0</v>
      </c>
      <c r="K61" s="365">
        <f>VLOOKUP($E61,'7. PGE_Efficacité'!$A$6:$BT$266,(MATCH('4.3 ACE EFF CAN'!K$4,'7. PGE_Efficacité'!$A$4:$BU$4,0)+31),0)</f>
        <v>0</v>
      </c>
      <c r="L61" s="365">
        <f>VLOOKUP($E61,'7. PGE_Efficacité'!$A$6:$BT$266,(MATCH('4.3 ACE EFF CAN'!L$4,'7. PGE_Efficacité'!$A$4:$BU$4,0)+31),0)</f>
        <v>0</v>
      </c>
      <c r="M61" s="365">
        <f>VLOOKUP($E61,'7. PGE_Efficacité'!$A$6:$BT$266,(MATCH('4.3 ACE EFF CAN'!M$4,'7. PGE_Efficacité'!$A$4:$BU$4,0)+31),0)</f>
        <v>0</v>
      </c>
      <c r="N61" s="365">
        <f>VLOOKUP($E61,'7. PGE_Efficacité'!$A$6:$BT$266,(MATCH('4.3 ACE EFF CAN'!N$4,'7. PGE_Efficacité'!$A$4:$BU$4,0)+31),0)</f>
        <v>0</v>
      </c>
      <c r="O61" s="365">
        <f>VLOOKUP($E61,'7. PGE_Efficacité'!$A$6:$BT$266,(MATCH('4.3 ACE EFF CAN'!O$4,'7. PGE_Efficacité'!$A$4:$BU$4,0)+31),0)</f>
        <v>0</v>
      </c>
      <c r="P61" s="365">
        <f>VLOOKUP($E61,'7. PGE_Efficacité'!$A$6:$BT$266,(MATCH('4.3 ACE EFF CAN'!P$4,'7. PGE_Efficacité'!$A$4:$BU$4,0)+31),0)</f>
        <v>0</v>
      </c>
      <c r="Q61" s="365">
        <f>VLOOKUP($E61,'7. PGE_Efficacité'!$A$6:$BT$266,(MATCH('4.3 ACE EFF CAN'!Q$4,'7. PGE_Efficacité'!$A$4:$BU$4,0)+31),0)</f>
        <v>0</v>
      </c>
      <c r="R61" s="365">
        <f>VLOOKUP($E61,'7. PGE_Efficacité'!$A$6:$BT$266,(MATCH('4.3 ACE EFF CAN'!R$4,'7. PGE_Efficacité'!$A$4:$BU$4,0)+31),0)</f>
        <v>0</v>
      </c>
      <c r="S61" s="365">
        <f>VLOOKUP($E61,'7. PGE_Efficacité'!$A$6:$BT$266,(MATCH('4.3 ACE EFF CAN'!S$4,'7. PGE_Efficacité'!$A$4:$BU$4,0)+31),0)</f>
        <v>0</v>
      </c>
      <c r="T61" s="365">
        <f>VLOOKUP($E61,'7. PGE_Efficacité'!$A$6:$BT$266,(MATCH('4.3 ACE EFF CAN'!T$4,'7. PGE_Efficacité'!$A$4:$BU$4,0)+31),0)</f>
        <v>0</v>
      </c>
      <c r="U61" s="365">
        <f>VLOOKUP($E61,'7. PGE_Efficacité'!$A$6:$BT$266,(MATCH('4.3 ACE EFF CAN'!U$4,'7. PGE_Efficacité'!$A$4:$BU$4,0)+31),0)</f>
        <v>0</v>
      </c>
      <c r="V61" s="365">
        <f>VLOOKUP($E61,'7. PGE_Efficacité'!$A$6:$BT$266,(MATCH('4.3 ACE EFF CAN'!V$4,'7. PGE_Efficacité'!$A$4:$BU$4,0)+31),0)</f>
        <v>0</v>
      </c>
      <c r="W61" s="365">
        <f>VLOOKUP($E61,'7. PGE_Efficacité'!$A$6:$BT$266,(MATCH('4.3 ACE EFF CAN'!W$4,'7. PGE_Efficacité'!$A$4:$BU$4,0)+31),0)</f>
        <v>0</v>
      </c>
      <c r="X61" s="365">
        <f>VLOOKUP($E61,'7. PGE_Efficacité'!$A$6:$BT$266,(MATCH('4.3 ACE EFF CAN'!X$4,'7. PGE_Efficacité'!$A$4:$BU$4,0)+31),0)</f>
        <v>0</v>
      </c>
      <c r="Y61" s="366">
        <f>VLOOKUP($E61,'7. PGE_Efficacité'!$A$6:$BT$266,(MATCH('4.3 ACE EFF CAN'!Y$4,'7. PGE_Efficacité'!$A$4:$BU$4,0)+31),0)</f>
        <v>0</v>
      </c>
      <c r="Z61" s="366">
        <f>VLOOKUP($E61,'7. PGE_Efficacité'!$A$6:$BT$266,(MATCH('4.3 ACE EFF CAN'!Z$4,'7. PGE_Efficacité'!$A$4:$BU$4,0)+31),0)</f>
        <v>0</v>
      </c>
      <c r="AA61" s="366">
        <f>VLOOKUP($E61,'7. PGE_Efficacité'!$A$6:$BT$266,(MATCH('4.3 ACE EFF CAN'!AA$4,'7. PGE_Efficacité'!$A$4:$BU$4,0)+31),0)</f>
        <v>0</v>
      </c>
      <c r="AB61" s="366">
        <f>VLOOKUP($E61,'7. PGE_Efficacité'!$A$6:$BT$266,(MATCH('4.3 ACE EFF CAN'!AB$4,'7. PGE_Efficacité'!$A$4:$BU$4,0)+31),0)</f>
        <v>0</v>
      </c>
      <c r="AC61" s="366">
        <f>VLOOKUP($E61,'7. PGE_Efficacité'!$A$6:$BT$266,(MATCH('4.3 ACE EFF CAN'!AC$4,'7. PGE_Efficacité'!$A$4:$BU$4,0)+31),0)</f>
        <v>0</v>
      </c>
      <c r="AD61" s="366">
        <f>VLOOKUP($E61,'7. PGE_Efficacité'!$A$6:$BT$266,(MATCH('4.3 ACE EFF CAN'!AD$4,'7. PGE_Efficacité'!$A$4:$BU$4,0)+31),0)</f>
        <v>0</v>
      </c>
      <c r="AE61" s="366">
        <f>VLOOKUP($E61,'7. PGE_Efficacité'!$A$6:$BT$266,(MATCH('4.3 ACE EFF CAN'!AE$4,'7. PGE_Efficacité'!$A$4:$BU$4,0)+31),0)</f>
        <v>0</v>
      </c>
      <c r="AF61" s="366">
        <f>VLOOKUP($E61,'7. PGE_Efficacité'!$A$6:$BT$266,(MATCH('4.3 ACE EFF CAN'!AF$4,'7. PGE_Efficacité'!$A$4:$BU$4,0)+31),0)</f>
        <v>0</v>
      </c>
      <c r="AG61" s="366">
        <f>VLOOKUP($E61,'7. PGE_Efficacité'!$A$6:$BT$266,(MATCH('4.3 ACE EFF CAN'!AG$4,'7. PGE_Efficacité'!$A$4:$BU$4,0)+31),0)</f>
        <v>0</v>
      </c>
      <c r="AH61" s="366">
        <f>VLOOKUP($E61,'7. PGE_Efficacité'!$A$6:$BT$266,(MATCH('4.3 ACE EFF CAN'!AH$4,'7. PGE_Efficacité'!$A$4:$BU$4,0)+31),0)</f>
        <v>0</v>
      </c>
      <c r="AI61" s="366">
        <f>VLOOKUP($E61,'7. PGE_Efficacité'!$A$6:$BT$266,(MATCH('4.3 ACE EFF CAN'!AI$4,'7. PGE_Efficacité'!$A$4:$BU$4,0)+31),0)</f>
        <v>0</v>
      </c>
      <c r="AJ61" s="366">
        <f>VLOOKUP($E61,'7. PGE_Efficacité'!$A$6:$BT$266,(MATCH('4.3 ACE EFF CAN'!AJ$4,'7. PGE_Efficacité'!$A$4:$BU$4,0)+31),0)</f>
        <v>0</v>
      </c>
      <c r="AK61" s="366">
        <f>VLOOKUP($E61,'7. PGE_Efficacité'!$A$6:$BT$266,(MATCH('4.3 ACE EFF CAN'!AK$4,'7. PGE_Efficacité'!$A$4:$BU$4,0)+31),0)</f>
        <v>0</v>
      </c>
      <c r="AL61" s="366">
        <f>VLOOKUP($E61,'7. PGE_Efficacité'!$A$6:$BT$266,(MATCH('4.3 ACE EFF CAN'!AL$4,'7. PGE_Efficacité'!$A$4:$BU$4,0)+31),0)</f>
        <v>0</v>
      </c>
      <c r="AM61" s="366">
        <f>VLOOKUP($E61,'7. PGE_Efficacité'!$A$6:$BT$266,(MATCH('4.3 ACE EFF CAN'!AM$4,'7. PGE_Efficacité'!$A$4:$BU$4,0)+31),0)</f>
        <v>0</v>
      </c>
      <c r="AN61" s="366">
        <f>VLOOKUP($E61,'7. PGE_Efficacité'!$A$6:$BT$266,(MATCH('4.3 ACE EFF CAN'!AN$4,'7. PGE_Efficacité'!$A$4:$BU$4,0)+31),0)</f>
        <v>0</v>
      </c>
    </row>
    <row r="62" spans="1:40" outlineLevel="2" x14ac:dyDescent="0.25">
      <c r="A62" s="154" t="s">
        <v>1524</v>
      </c>
      <c r="B62" s="154">
        <v>8</v>
      </c>
      <c r="C62" s="154" t="s">
        <v>1525</v>
      </c>
      <c r="D62" s="330" t="s">
        <v>7</v>
      </c>
      <c r="E62" s="330" t="s">
        <v>835</v>
      </c>
      <c r="F62" s="330" t="s">
        <v>1465</v>
      </c>
      <c r="G62" s="330" t="s">
        <v>1522</v>
      </c>
      <c r="H62" s="330" t="s">
        <v>1290</v>
      </c>
      <c r="I62" s="364">
        <f>15000/3</f>
        <v>5000</v>
      </c>
      <c r="J62" s="365">
        <f>VLOOKUP($E62,'7. PGE_Efficacité'!$A$6:$BT$266,(MATCH('4.3 ACE EFF CAN'!J$4,'7. PGE_Efficacité'!$A$4:$BU$4,0)+31),0)</f>
        <v>0</v>
      </c>
      <c r="K62" s="365">
        <f>VLOOKUP($E62,'7. PGE_Efficacité'!$A$6:$BT$266,(MATCH('4.3 ACE EFF CAN'!K$4,'7. PGE_Efficacité'!$A$4:$BU$4,0)+31),0)</f>
        <v>0</v>
      </c>
      <c r="L62" s="365">
        <f>VLOOKUP($E62,'7. PGE_Efficacité'!$A$6:$BT$266,(MATCH('4.3 ACE EFF CAN'!L$4,'7. PGE_Efficacité'!$A$4:$BU$4,0)+31),0)</f>
        <v>0</v>
      </c>
      <c r="M62" s="365">
        <f>VLOOKUP($E62,'7. PGE_Efficacité'!$A$6:$BT$266,(MATCH('4.3 ACE EFF CAN'!M$4,'7. PGE_Efficacité'!$A$4:$BU$4,0)+31),0)</f>
        <v>0</v>
      </c>
      <c r="N62" s="365">
        <f>VLOOKUP($E62,'7. PGE_Efficacité'!$A$6:$BT$266,(MATCH('4.3 ACE EFF CAN'!N$4,'7. PGE_Efficacité'!$A$4:$BU$4,0)+31),0)</f>
        <v>0</v>
      </c>
      <c r="O62" s="365">
        <f>VLOOKUP($E62,'7. PGE_Efficacité'!$A$6:$BT$266,(MATCH('4.3 ACE EFF CAN'!O$4,'7. PGE_Efficacité'!$A$4:$BU$4,0)+31),0)</f>
        <v>0</v>
      </c>
      <c r="P62" s="365">
        <f>VLOOKUP($E62,'7. PGE_Efficacité'!$A$6:$BT$266,(MATCH('4.3 ACE EFF CAN'!P$4,'7. PGE_Efficacité'!$A$4:$BU$4,0)+31),0)</f>
        <v>0</v>
      </c>
      <c r="Q62" s="365">
        <f>VLOOKUP($E62,'7. PGE_Efficacité'!$A$6:$BT$266,(MATCH('4.3 ACE EFF CAN'!Q$4,'7. PGE_Efficacité'!$A$4:$BU$4,0)+31),0)</f>
        <v>0</v>
      </c>
      <c r="R62" s="365">
        <f>VLOOKUP($E62,'7. PGE_Efficacité'!$A$6:$BT$266,(MATCH('4.3 ACE EFF CAN'!R$4,'7. PGE_Efficacité'!$A$4:$BU$4,0)+31),0)</f>
        <v>0</v>
      </c>
      <c r="S62" s="365">
        <f>VLOOKUP($E62,'7. PGE_Efficacité'!$A$6:$BT$266,(MATCH('4.3 ACE EFF CAN'!S$4,'7. PGE_Efficacité'!$A$4:$BU$4,0)+31),0)</f>
        <v>0</v>
      </c>
      <c r="T62" s="365">
        <f>VLOOKUP($E62,'7. PGE_Efficacité'!$A$6:$BT$266,(MATCH('4.3 ACE EFF CAN'!T$4,'7. PGE_Efficacité'!$A$4:$BU$4,0)+31),0)</f>
        <v>0</v>
      </c>
      <c r="U62" s="365">
        <f>VLOOKUP($E62,'7. PGE_Efficacité'!$A$6:$BT$266,(MATCH('4.3 ACE EFF CAN'!U$4,'7. PGE_Efficacité'!$A$4:$BU$4,0)+31),0)</f>
        <v>0</v>
      </c>
      <c r="V62" s="365">
        <f>VLOOKUP($E62,'7. PGE_Efficacité'!$A$6:$BT$266,(MATCH('4.3 ACE EFF CAN'!V$4,'7. PGE_Efficacité'!$A$4:$BU$4,0)+31),0)</f>
        <v>0</v>
      </c>
      <c r="W62" s="365">
        <f>VLOOKUP($E62,'7. PGE_Efficacité'!$A$6:$BT$266,(MATCH('4.3 ACE EFF CAN'!W$4,'7. PGE_Efficacité'!$A$4:$BU$4,0)+31),0)</f>
        <v>0</v>
      </c>
      <c r="X62" s="365">
        <f>VLOOKUP($E62,'7. PGE_Efficacité'!$A$6:$BT$266,(MATCH('4.3 ACE EFF CAN'!X$4,'7. PGE_Efficacité'!$A$4:$BU$4,0)+31),0)</f>
        <v>0</v>
      </c>
      <c r="Y62" s="366">
        <f>VLOOKUP($E62,'7. PGE_Efficacité'!$A$6:$BT$266,(MATCH('4.3 ACE EFF CAN'!Y$4,'7. PGE_Efficacité'!$A$4:$BU$4,0)+31),0)</f>
        <v>0</v>
      </c>
      <c r="Z62" s="366">
        <f>VLOOKUP($E62,'7. PGE_Efficacité'!$A$6:$BT$266,(MATCH('4.3 ACE EFF CAN'!Z$4,'7. PGE_Efficacité'!$A$4:$BU$4,0)+31),0)</f>
        <v>0</v>
      </c>
      <c r="AA62" s="366">
        <f>VLOOKUP($E62,'7. PGE_Efficacité'!$A$6:$BT$266,(MATCH('4.3 ACE EFF CAN'!AA$4,'7. PGE_Efficacité'!$A$4:$BU$4,0)+31),0)</f>
        <v>0</v>
      </c>
      <c r="AB62" s="366">
        <f>VLOOKUP($E62,'7. PGE_Efficacité'!$A$6:$BT$266,(MATCH('4.3 ACE EFF CAN'!AB$4,'7. PGE_Efficacité'!$A$4:$BU$4,0)+31),0)</f>
        <v>0</v>
      </c>
      <c r="AC62" s="366">
        <f>VLOOKUP($E62,'7. PGE_Efficacité'!$A$6:$BT$266,(MATCH('4.3 ACE EFF CAN'!AC$4,'7. PGE_Efficacité'!$A$4:$BU$4,0)+31),0)</f>
        <v>0</v>
      </c>
      <c r="AD62" s="366">
        <f>VLOOKUP($E62,'7. PGE_Efficacité'!$A$6:$BT$266,(MATCH('4.3 ACE EFF CAN'!AD$4,'7. PGE_Efficacité'!$A$4:$BU$4,0)+31),0)</f>
        <v>0</v>
      </c>
      <c r="AE62" s="366">
        <f>VLOOKUP($E62,'7. PGE_Efficacité'!$A$6:$BT$266,(MATCH('4.3 ACE EFF CAN'!AE$4,'7. PGE_Efficacité'!$A$4:$BU$4,0)+31),0)</f>
        <v>0</v>
      </c>
      <c r="AF62" s="366">
        <f>VLOOKUP($E62,'7. PGE_Efficacité'!$A$6:$BT$266,(MATCH('4.3 ACE EFF CAN'!AF$4,'7. PGE_Efficacité'!$A$4:$BU$4,0)+31),0)</f>
        <v>0</v>
      </c>
      <c r="AG62" s="366">
        <f>VLOOKUP($E62,'7. PGE_Efficacité'!$A$6:$BT$266,(MATCH('4.3 ACE EFF CAN'!AG$4,'7. PGE_Efficacité'!$A$4:$BU$4,0)+31),0)</f>
        <v>0</v>
      </c>
      <c r="AH62" s="366">
        <f>VLOOKUP($E62,'7. PGE_Efficacité'!$A$6:$BT$266,(MATCH('4.3 ACE EFF CAN'!AH$4,'7. PGE_Efficacité'!$A$4:$BU$4,0)+31),0)</f>
        <v>0</v>
      </c>
      <c r="AI62" s="366">
        <f>VLOOKUP($E62,'7. PGE_Efficacité'!$A$6:$BT$266,(MATCH('4.3 ACE EFF CAN'!AI$4,'7. PGE_Efficacité'!$A$4:$BU$4,0)+31),0)</f>
        <v>0</v>
      </c>
      <c r="AJ62" s="366">
        <f>VLOOKUP($E62,'7. PGE_Efficacité'!$A$6:$BT$266,(MATCH('4.3 ACE EFF CAN'!AJ$4,'7. PGE_Efficacité'!$A$4:$BU$4,0)+31),0)</f>
        <v>0</v>
      </c>
      <c r="AK62" s="366">
        <f>VLOOKUP($E62,'7. PGE_Efficacité'!$A$6:$BT$266,(MATCH('4.3 ACE EFF CAN'!AK$4,'7. PGE_Efficacité'!$A$4:$BU$4,0)+31),0)</f>
        <v>0</v>
      </c>
      <c r="AL62" s="366">
        <f>VLOOKUP($E62,'7. PGE_Efficacité'!$A$6:$BT$266,(MATCH('4.3 ACE EFF CAN'!AL$4,'7. PGE_Efficacité'!$A$4:$BU$4,0)+31),0)</f>
        <v>0</v>
      </c>
      <c r="AM62" s="366">
        <f>VLOOKUP($E62,'7. PGE_Efficacité'!$A$6:$BT$266,(MATCH('4.3 ACE EFF CAN'!AM$4,'7. PGE_Efficacité'!$A$4:$BU$4,0)+31),0)</f>
        <v>0</v>
      </c>
      <c r="AN62" s="366">
        <f>VLOOKUP($E62,'7. PGE_Efficacité'!$A$6:$BT$266,(MATCH('4.3 ACE EFF CAN'!AN$4,'7. PGE_Efficacité'!$A$4:$BU$4,0)+31),0)</f>
        <v>0</v>
      </c>
    </row>
    <row r="63" spans="1:40" outlineLevel="2" x14ac:dyDescent="0.25">
      <c r="A63" s="154" t="s">
        <v>1524</v>
      </c>
      <c r="B63" s="154">
        <v>8</v>
      </c>
      <c r="C63" s="154" t="s">
        <v>1526</v>
      </c>
      <c r="D63" s="330" t="s">
        <v>7</v>
      </c>
      <c r="E63" s="330" t="s">
        <v>836</v>
      </c>
      <c r="F63" s="330" t="s">
        <v>1466</v>
      </c>
      <c r="G63" s="330" t="s">
        <v>1522</v>
      </c>
      <c r="H63" s="330" t="s">
        <v>1290</v>
      </c>
      <c r="I63" s="364">
        <v>0</v>
      </c>
      <c r="J63" s="365">
        <f>VLOOKUP($E63,'7. PGE_Efficacité'!$A$6:$BT$266,(MATCH('4.3 ACE EFF CAN'!J$4,'7. PGE_Efficacité'!$A$4:$BU$4,0)+31),0)</f>
        <v>0</v>
      </c>
      <c r="K63" s="365">
        <f>VLOOKUP($E63,'7. PGE_Efficacité'!$A$6:$BT$266,(MATCH('4.3 ACE EFF CAN'!K$4,'7. PGE_Efficacité'!$A$4:$BU$4,0)+31),0)</f>
        <v>0</v>
      </c>
      <c r="L63" s="365">
        <f>VLOOKUP($E63,'7. PGE_Efficacité'!$A$6:$BT$266,(MATCH('4.3 ACE EFF CAN'!L$4,'7. PGE_Efficacité'!$A$4:$BU$4,0)+31),0)</f>
        <v>0</v>
      </c>
      <c r="M63" s="365">
        <f>VLOOKUP($E63,'7. PGE_Efficacité'!$A$6:$BT$266,(MATCH('4.3 ACE EFF CAN'!M$4,'7. PGE_Efficacité'!$A$4:$BU$4,0)+31),0)</f>
        <v>0</v>
      </c>
      <c r="N63" s="365">
        <f>VLOOKUP($E63,'7. PGE_Efficacité'!$A$6:$BT$266,(MATCH('4.3 ACE EFF CAN'!N$4,'7. PGE_Efficacité'!$A$4:$BU$4,0)+31),0)</f>
        <v>0</v>
      </c>
      <c r="O63" s="365">
        <f>VLOOKUP($E63,'7. PGE_Efficacité'!$A$6:$BT$266,(MATCH('4.3 ACE EFF CAN'!O$4,'7. PGE_Efficacité'!$A$4:$BU$4,0)+31),0)</f>
        <v>0</v>
      </c>
      <c r="P63" s="365">
        <f>VLOOKUP($E63,'7. PGE_Efficacité'!$A$6:$BT$266,(MATCH('4.3 ACE EFF CAN'!P$4,'7. PGE_Efficacité'!$A$4:$BU$4,0)+31),0)</f>
        <v>0</v>
      </c>
      <c r="Q63" s="365">
        <f>VLOOKUP($E63,'7. PGE_Efficacité'!$A$6:$BT$266,(MATCH('4.3 ACE EFF CAN'!Q$4,'7. PGE_Efficacité'!$A$4:$BU$4,0)+31),0)</f>
        <v>0</v>
      </c>
      <c r="R63" s="365">
        <f>VLOOKUP($E63,'7. PGE_Efficacité'!$A$6:$BT$266,(MATCH('4.3 ACE EFF CAN'!R$4,'7. PGE_Efficacité'!$A$4:$BU$4,0)+31),0)</f>
        <v>0</v>
      </c>
      <c r="S63" s="365">
        <f>VLOOKUP($E63,'7. PGE_Efficacité'!$A$6:$BT$266,(MATCH('4.3 ACE EFF CAN'!S$4,'7. PGE_Efficacité'!$A$4:$BU$4,0)+31),0)</f>
        <v>0</v>
      </c>
      <c r="T63" s="365">
        <f>VLOOKUP($E63,'7. PGE_Efficacité'!$A$6:$BT$266,(MATCH('4.3 ACE EFF CAN'!T$4,'7. PGE_Efficacité'!$A$4:$BU$4,0)+31),0)</f>
        <v>0</v>
      </c>
      <c r="U63" s="365">
        <f>VLOOKUP($E63,'7. PGE_Efficacité'!$A$6:$BT$266,(MATCH('4.3 ACE EFF CAN'!U$4,'7. PGE_Efficacité'!$A$4:$BU$4,0)+31),0)</f>
        <v>0</v>
      </c>
      <c r="V63" s="365">
        <f>VLOOKUP($E63,'7. PGE_Efficacité'!$A$6:$BT$266,(MATCH('4.3 ACE EFF CAN'!V$4,'7. PGE_Efficacité'!$A$4:$BU$4,0)+31),0)</f>
        <v>0</v>
      </c>
      <c r="W63" s="365">
        <f>VLOOKUP($E63,'7. PGE_Efficacité'!$A$6:$BT$266,(MATCH('4.3 ACE EFF CAN'!W$4,'7. PGE_Efficacité'!$A$4:$BU$4,0)+31),0)</f>
        <v>0</v>
      </c>
      <c r="X63" s="365">
        <f>VLOOKUP($E63,'7. PGE_Efficacité'!$A$6:$BT$266,(MATCH('4.3 ACE EFF CAN'!X$4,'7. PGE_Efficacité'!$A$4:$BU$4,0)+31),0)</f>
        <v>0</v>
      </c>
      <c r="Y63" s="366">
        <f>VLOOKUP($E63,'7. PGE_Efficacité'!$A$6:$BT$266,(MATCH('4.3 ACE EFF CAN'!Y$4,'7. PGE_Efficacité'!$A$4:$BU$4,0)+31),0)</f>
        <v>0</v>
      </c>
      <c r="Z63" s="366">
        <f>VLOOKUP($E63,'7. PGE_Efficacité'!$A$6:$BT$266,(MATCH('4.3 ACE EFF CAN'!Z$4,'7. PGE_Efficacité'!$A$4:$BU$4,0)+31),0)</f>
        <v>0</v>
      </c>
      <c r="AA63" s="366">
        <f>VLOOKUP($E63,'7. PGE_Efficacité'!$A$6:$BT$266,(MATCH('4.3 ACE EFF CAN'!AA$4,'7. PGE_Efficacité'!$A$4:$BU$4,0)+31),0)</f>
        <v>0</v>
      </c>
      <c r="AB63" s="366">
        <f>VLOOKUP($E63,'7. PGE_Efficacité'!$A$6:$BT$266,(MATCH('4.3 ACE EFF CAN'!AB$4,'7. PGE_Efficacité'!$A$4:$BU$4,0)+31),0)</f>
        <v>0</v>
      </c>
      <c r="AC63" s="366">
        <f>VLOOKUP($E63,'7. PGE_Efficacité'!$A$6:$BT$266,(MATCH('4.3 ACE EFF CAN'!AC$4,'7. PGE_Efficacité'!$A$4:$BU$4,0)+31),0)</f>
        <v>0</v>
      </c>
      <c r="AD63" s="366">
        <f>VLOOKUP($E63,'7. PGE_Efficacité'!$A$6:$BT$266,(MATCH('4.3 ACE EFF CAN'!AD$4,'7. PGE_Efficacité'!$A$4:$BU$4,0)+31),0)</f>
        <v>0</v>
      </c>
      <c r="AE63" s="366">
        <f>VLOOKUP($E63,'7. PGE_Efficacité'!$A$6:$BT$266,(MATCH('4.3 ACE EFF CAN'!AE$4,'7. PGE_Efficacité'!$A$4:$BU$4,0)+31),0)</f>
        <v>0</v>
      </c>
      <c r="AF63" s="366">
        <f>VLOOKUP($E63,'7. PGE_Efficacité'!$A$6:$BT$266,(MATCH('4.3 ACE EFF CAN'!AF$4,'7. PGE_Efficacité'!$A$4:$BU$4,0)+31),0)</f>
        <v>0</v>
      </c>
      <c r="AG63" s="366">
        <f>VLOOKUP($E63,'7. PGE_Efficacité'!$A$6:$BT$266,(MATCH('4.3 ACE EFF CAN'!AG$4,'7. PGE_Efficacité'!$A$4:$BU$4,0)+31),0)</f>
        <v>0</v>
      </c>
      <c r="AH63" s="366">
        <f>VLOOKUP($E63,'7. PGE_Efficacité'!$A$6:$BT$266,(MATCH('4.3 ACE EFF CAN'!AH$4,'7. PGE_Efficacité'!$A$4:$BU$4,0)+31),0)</f>
        <v>0</v>
      </c>
      <c r="AI63" s="366">
        <f>VLOOKUP($E63,'7. PGE_Efficacité'!$A$6:$BT$266,(MATCH('4.3 ACE EFF CAN'!AI$4,'7. PGE_Efficacité'!$A$4:$BU$4,0)+31),0)</f>
        <v>0</v>
      </c>
      <c r="AJ63" s="366">
        <f>VLOOKUP($E63,'7. PGE_Efficacité'!$A$6:$BT$266,(MATCH('4.3 ACE EFF CAN'!AJ$4,'7. PGE_Efficacité'!$A$4:$BU$4,0)+31),0)</f>
        <v>0</v>
      </c>
      <c r="AK63" s="366">
        <f>VLOOKUP($E63,'7. PGE_Efficacité'!$A$6:$BT$266,(MATCH('4.3 ACE EFF CAN'!AK$4,'7. PGE_Efficacité'!$A$4:$BU$4,0)+31),0)</f>
        <v>0</v>
      </c>
      <c r="AL63" s="366">
        <f>VLOOKUP($E63,'7. PGE_Efficacité'!$A$6:$BT$266,(MATCH('4.3 ACE EFF CAN'!AL$4,'7. PGE_Efficacité'!$A$4:$BU$4,0)+31),0)</f>
        <v>0</v>
      </c>
      <c r="AM63" s="366">
        <f>VLOOKUP($E63,'7. PGE_Efficacité'!$A$6:$BT$266,(MATCH('4.3 ACE EFF CAN'!AM$4,'7. PGE_Efficacité'!$A$4:$BU$4,0)+31),0)</f>
        <v>0</v>
      </c>
      <c r="AN63" s="366">
        <f>VLOOKUP($E63,'7. PGE_Efficacité'!$A$6:$BT$266,(MATCH('4.3 ACE EFF CAN'!AN$4,'7. PGE_Efficacité'!$A$4:$BU$4,0)+31),0)</f>
        <v>0</v>
      </c>
    </row>
    <row r="64" spans="1:40" outlineLevel="2" x14ac:dyDescent="0.25">
      <c r="A64" s="154" t="s">
        <v>1524</v>
      </c>
      <c r="B64" s="154">
        <v>8</v>
      </c>
      <c r="C64" s="154" t="s">
        <v>1527</v>
      </c>
      <c r="D64" s="330" t="s">
        <v>7</v>
      </c>
      <c r="E64" s="330" t="s">
        <v>837</v>
      </c>
      <c r="F64" s="330" t="s">
        <v>1467</v>
      </c>
      <c r="G64" s="330" t="s">
        <v>1522</v>
      </c>
      <c r="H64" s="330" t="s">
        <v>1290</v>
      </c>
      <c r="I64" s="364"/>
      <c r="J64" s="365">
        <f>VLOOKUP($E64,'7. PGE_Efficacité'!$A$6:$BT$266,(MATCH('4.3 ACE EFF CAN'!J$4,'7. PGE_Efficacité'!$A$4:$BU$4,0)+31),0)</f>
        <v>0</v>
      </c>
      <c r="K64" s="365">
        <f>VLOOKUP($E64,'7. PGE_Efficacité'!$A$6:$BT$266,(MATCH('4.3 ACE EFF CAN'!K$4,'7. PGE_Efficacité'!$A$4:$BU$4,0)+31),0)</f>
        <v>0</v>
      </c>
      <c r="L64" s="365">
        <f>VLOOKUP($E64,'7. PGE_Efficacité'!$A$6:$BT$266,(MATCH('4.3 ACE EFF CAN'!L$4,'7. PGE_Efficacité'!$A$4:$BU$4,0)+31),0)</f>
        <v>0</v>
      </c>
      <c r="M64" s="365">
        <f>VLOOKUP($E64,'7. PGE_Efficacité'!$A$6:$BT$266,(MATCH('4.3 ACE EFF CAN'!M$4,'7. PGE_Efficacité'!$A$4:$BU$4,0)+31),0)</f>
        <v>0</v>
      </c>
      <c r="N64" s="365">
        <f>VLOOKUP($E64,'7. PGE_Efficacité'!$A$6:$BT$266,(MATCH('4.3 ACE EFF CAN'!N$4,'7. PGE_Efficacité'!$A$4:$BU$4,0)+31),0)</f>
        <v>0</v>
      </c>
      <c r="O64" s="365">
        <f>VLOOKUP($E64,'7. PGE_Efficacité'!$A$6:$BT$266,(MATCH('4.3 ACE EFF CAN'!O$4,'7. PGE_Efficacité'!$A$4:$BU$4,0)+31),0)</f>
        <v>0</v>
      </c>
      <c r="P64" s="365">
        <f>VLOOKUP($E64,'7. PGE_Efficacité'!$A$6:$BT$266,(MATCH('4.3 ACE EFF CAN'!P$4,'7. PGE_Efficacité'!$A$4:$BU$4,0)+31),0)</f>
        <v>0</v>
      </c>
      <c r="Q64" s="365">
        <f>VLOOKUP($E64,'7. PGE_Efficacité'!$A$6:$BT$266,(MATCH('4.3 ACE EFF CAN'!Q$4,'7. PGE_Efficacité'!$A$4:$BU$4,0)+31),0)</f>
        <v>0</v>
      </c>
      <c r="R64" s="365">
        <f>VLOOKUP($E64,'7. PGE_Efficacité'!$A$6:$BT$266,(MATCH('4.3 ACE EFF CAN'!R$4,'7. PGE_Efficacité'!$A$4:$BU$4,0)+31),0)</f>
        <v>0</v>
      </c>
      <c r="S64" s="365">
        <f>VLOOKUP($E64,'7. PGE_Efficacité'!$A$6:$BT$266,(MATCH('4.3 ACE EFF CAN'!S$4,'7. PGE_Efficacité'!$A$4:$BU$4,0)+31),0)</f>
        <v>0</v>
      </c>
      <c r="T64" s="365">
        <f>VLOOKUP($E64,'7. PGE_Efficacité'!$A$6:$BT$266,(MATCH('4.3 ACE EFF CAN'!T$4,'7. PGE_Efficacité'!$A$4:$BU$4,0)+31),0)</f>
        <v>0</v>
      </c>
      <c r="U64" s="365">
        <f>VLOOKUP($E64,'7. PGE_Efficacité'!$A$6:$BT$266,(MATCH('4.3 ACE EFF CAN'!U$4,'7. PGE_Efficacité'!$A$4:$BU$4,0)+31),0)</f>
        <v>0</v>
      </c>
      <c r="V64" s="365">
        <f>VLOOKUP($E64,'7. PGE_Efficacité'!$A$6:$BT$266,(MATCH('4.3 ACE EFF CAN'!V$4,'7. PGE_Efficacité'!$A$4:$BU$4,0)+31),0)</f>
        <v>0</v>
      </c>
      <c r="W64" s="365">
        <f>VLOOKUP($E64,'7. PGE_Efficacité'!$A$6:$BT$266,(MATCH('4.3 ACE EFF CAN'!W$4,'7. PGE_Efficacité'!$A$4:$BU$4,0)+31),0)</f>
        <v>0</v>
      </c>
      <c r="X64" s="365">
        <f>VLOOKUP($E64,'7. PGE_Efficacité'!$A$6:$BT$266,(MATCH('4.3 ACE EFF CAN'!X$4,'7. PGE_Efficacité'!$A$4:$BU$4,0)+31),0)</f>
        <v>0</v>
      </c>
      <c r="Y64" s="366">
        <f>VLOOKUP($E64,'7. PGE_Efficacité'!$A$6:$BT$266,(MATCH('4.3 ACE EFF CAN'!Y$4,'7. PGE_Efficacité'!$A$4:$BU$4,0)+31),0)</f>
        <v>0</v>
      </c>
      <c r="Z64" s="366">
        <f>VLOOKUP($E64,'7. PGE_Efficacité'!$A$6:$BT$266,(MATCH('4.3 ACE EFF CAN'!Z$4,'7. PGE_Efficacité'!$A$4:$BU$4,0)+31),0)</f>
        <v>0</v>
      </c>
      <c r="AA64" s="366">
        <f>VLOOKUP($E64,'7. PGE_Efficacité'!$A$6:$BT$266,(MATCH('4.3 ACE EFF CAN'!AA$4,'7. PGE_Efficacité'!$A$4:$BU$4,0)+31),0)</f>
        <v>0</v>
      </c>
      <c r="AB64" s="366">
        <f>VLOOKUP($E64,'7. PGE_Efficacité'!$A$6:$BT$266,(MATCH('4.3 ACE EFF CAN'!AB$4,'7. PGE_Efficacité'!$A$4:$BU$4,0)+31),0)</f>
        <v>0</v>
      </c>
      <c r="AC64" s="366">
        <f>VLOOKUP($E64,'7. PGE_Efficacité'!$A$6:$BT$266,(MATCH('4.3 ACE EFF CAN'!AC$4,'7. PGE_Efficacité'!$A$4:$BU$4,0)+31),0)</f>
        <v>0</v>
      </c>
      <c r="AD64" s="366">
        <f>VLOOKUP($E64,'7. PGE_Efficacité'!$A$6:$BT$266,(MATCH('4.3 ACE EFF CAN'!AD$4,'7. PGE_Efficacité'!$A$4:$BU$4,0)+31),0)</f>
        <v>0</v>
      </c>
      <c r="AE64" s="366">
        <f>VLOOKUP($E64,'7. PGE_Efficacité'!$A$6:$BT$266,(MATCH('4.3 ACE EFF CAN'!AE$4,'7. PGE_Efficacité'!$A$4:$BU$4,0)+31),0)</f>
        <v>0</v>
      </c>
      <c r="AF64" s="366">
        <f>VLOOKUP($E64,'7. PGE_Efficacité'!$A$6:$BT$266,(MATCH('4.3 ACE EFF CAN'!AF$4,'7. PGE_Efficacité'!$A$4:$BU$4,0)+31),0)</f>
        <v>0</v>
      </c>
      <c r="AG64" s="366">
        <f>VLOOKUP($E64,'7. PGE_Efficacité'!$A$6:$BT$266,(MATCH('4.3 ACE EFF CAN'!AG$4,'7. PGE_Efficacité'!$A$4:$BU$4,0)+31),0)</f>
        <v>0</v>
      </c>
      <c r="AH64" s="366">
        <f>VLOOKUP($E64,'7. PGE_Efficacité'!$A$6:$BT$266,(MATCH('4.3 ACE EFF CAN'!AH$4,'7. PGE_Efficacité'!$A$4:$BU$4,0)+31),0)</f>
        <v>0</v>
      </c>
      <c r="AI64" s="366">
        <f>VLOOKUP($E64,'7. PGE_Efficacité'!$A$6:$BT$266,(MATCH('4.3 ACE EFF CAN'!AI$4,'7. PGE_Efficacité'!$A$4:$BU$4,0)+31),0)</f>
        <v>0</v>
      </c>
      <c r="AJ64" s="366">
        <f>VLOOKUP($E64,'7. PGE_Efficacité'!$A$6:$BT$266,(MATCH('4.3 ACE EFF CAN'!AJ$4,'7. PGE_Efficacité'!$A$4:$BU$4,0)+31),0)</f>
        <v>0</v>
      </c>
      <c r="AK64" s="366">
        <f>VLOOKUP($E64,'7. PGE_Efficacité'!$A$6:$BT$266,(MATCH('4.3 ACE EFF CAN'!AK$4,'7. PGE_Efficacité'!$A$4:$BU$4,0)+31),0)</f>
        <v>0</v>
      </c>
      <c r="AL64" s="366">
        <f>VLOOKUP($E64,'7. PGE_Efficacité'!$A$6:$BT$266,(MATCH('4.3 ACE EFF CAN'!AL$4,'7. PGE_Efficacité'!$A$4:$BU$4,0)+31),0)</f>
        <v>0</v>
      </c>
      <c r="AM64" s="366">
        <f>VLOOKUP($E64,'7. PGE_Efficacité'!$A$6:$BT$266,(MATCH('4.3 ACE EFF CAN'!AM$4,'7. PGE_Efficacité'!$A$4:$BU$4,0)+31),0)</f>
        <v>0</v>
      </c>
      <c r="AN64" s="366">
        <f>VLOOKUP($E64,'7. PGE_Efficacité'!$A$6:$BT$266,(MATCH('4.3 ACE EFF CAN'!AN$4,'7. PGE_Efficacité'!$A$4:$BU$4,0)+31),0)</f>
        <v>0</v>
      </c>
    </row>
    <row r="65" spans="1:40" outlineLevel="2" x14ac:dyDescent="0.25">
      <c r="A65" s="154" t="s">
        <v>1524</v>
      </c>
      <c r="B65" s="154">
        <v>8</v>
      </c>
      <c r="C65" s="154" t="s">
        <v>1532</v>
      </c>
      <c r="D65" s="330" t="s">
        <v>7</v>
      </c>
      <c r="E65" s="330" t="s">
        <v>842</v>
      </c>
      <c r="F65" s="330" t="s">
        <v>1472</v>
      </c>
      <c r="G65" s="330" t="s">
        <v>1522</v>
      </c>
      <c r="H65" s="330" t="s">
        <v>1287</v>
      </c>
      <c r="I65" s="364"/>
      <c r="J65" s="365">
        <f>VLOOKUP($E65,'7. PGE_Efficacité'!$A$6:$BT$266,(MATCH('4.3 ACE EFF CAN'!J$4,'7. PGE_Efficacité'!$A$4:$BU$4,0)+31),0)</f>
        <v>0</v>
      </c>
      <c r="K65" s="365">
        <f>VLOOKUP($E65,'7. PGE_Efficacité'!$A$6:$BT$266,(MATCH('4.3 ACE EFF CAN'!K$4,'7. PGE_Efficacité'!$A$4:$BU$4,0)+31),0)</f>
        <v>0</v>
      </c>
      <c r="L65" s="365">
        <f>VLOOKUP($E65,'7. PGE_Efficacité'!$A$6:$BT$266,(MATCH('4.3 ACE EFF CAN'!L$4,'7. PGE_Efficacité'!$A$4:$BU$4,0)+31),0)</f>
        <v>0</v>
      </c>
      <c r="M65" s="365">
        <f>VLOOKUP($E65,'7. PGE_Efficacité'!$A$6:$BT$266,(MATCH('4.3 ACE EFF CAN'!M$4,'7. PGE_Efficacité'!$A$4:$BU$4,0)+31),0)</f>
        <v>0</v>
      </c>
      <c r="N65" s="365">
        <f>VLOOKUP($E65,'7. PGE_Efficacité'!$A$6:$BT$266,(MATCH('4.3 ACE EFF CAN'!N$4,'7. PGE_Efficacité'!$A$4:$BU$4,0)+31),0)</f>
        <v>0</v>
      </c>
      <c r="O65" s="365">
        <f>VLOOKUP($E65,'7. PGE_Efficacité'!$A$6:$BT$266,(MATCH('4.3 ACE EFF CAN'!O$4,'7. PGE_Efficacité'!$A$4:$BU$4,0)+31),0)</f>
        <v>0</v>
      </c>
      <c r="P65" s="365">
        <f>VLOOKUP($E65,'7. PGE_Efficacité'!$A$6:$BT$266,(MATCH('4.3 ACE EFF CAN'!P$4,'7. PGE_Efficacité'!$A$4:$BU$4,0)+31),0)</f>
        <v>0</v>
      </c>
      <c r="Q65" s="365">
        <f>VLOOKUP($E65,'7. PGE_Efficacité'!$A$6:$BT$266,(MATCH('4.3 ACE EFF CAN'!Q$4,'7. PGE_Efficacité'!$A$4:$BU$4,0)+31),0)</f>
        <v>0</v>
      </c>
      <c r="R65" s="365">
        <f>VLOOKUP($E65,'7. PGE_Efficacité'!$A$6:$BT$266,(MATCH('4.3 ACE EFF CAN'!R$4,'7. PGE_Efficacité'!$A$4:$BU$4,0)+31),0)</f>
        <v>0</v>
      </c>
      <c r="S65" s="365">
        <f>VLOOKUP($E65,'7. PGE_Efficacité'!$A$6:$BT$266,(MATCH('4.3 ACE EFF CAN'!S$4,'7. PGE_Efficacité'!$A$4:$BU$4,0)+31),0)</f>
        <v>0</v>
      </c>
      <c r="T65" s="365">
        <f>VLOOKUP($E65,'7. PGE_Efficacité'!$A$6:$BT$266,(MATCH('4.3 ACE EFF CAN'!T$4,'7. PGE_Efficacité'!$A$4:$BU$4,0)+31),0)</f>
        <v>0</v>
      </c>
      <c r="U65" s="365">
        <f>VLOOKUP($E65,'7. PGE_Efficacité'!$A$6:$BT$266,(MATCH('4.3 ACE EFF CAN'!U$4,'7. PGE_Efficacité'!$A$4:$BU$4,0)+31),0)</f>
        <v>0</v>
      </c>
      <c r="V65" s="365">
        <f>VLOOKUP($E65,'7. PGE_Efficacité'!$A$6:$BT$266,(MATCH('4.3 ACE EFF CAN'!V$4,'7. PGE_Efficacité'!$A$4:$BU$4,0)+31),0)</f>
        <v>0</v>
      </c>
      <c r="W65" s="365">
        <f>VLOOKUP($E65,'7. PGE_Efficacité'!$A$6:$BT$266,(MATCH('4.3 ACE EFF CAN'!W$4,'7. PGE_Efficacité'!$A$4:$BU$4,0)+31),0)</f>
        <v>0</v>
      </c>
      <c r="X65" s="365">
        <f>VLOOKUP($E65,'7. PGE_Efficacité'!$A$6:$BT$266,(MATCH('4.3 ACE EFF CAN'!X$4,'7. PGE_Efficacité'!$A$4:$BU$4,0)+31),0)</f>
        <v>0</v>
      </c>
      <c r="Y65" s="366">
        <f>VLOOKUP($E65,'7. PGE_Efficacité'!$A$6:$BT$266,(MATCH('4.3 ACE EFF CAN'!Y$4,'7. PGE_Efficacité'!$A$4:$BU$4,0)+31),0)</f>
        <v>0</v>
      </c>
      <c r="Z65" s="366">
        <f>VLOOKUP($E65,'7. PGE_Efficacité'!$A$6:$BT$266,(MATCH('4.3 ACE EFF CAN'!Z$4,'7. PGE_Efficacité'!$A$4:$BU$4,0)+31),0)</f>
        <v>0</v>
      </c>
      <c r="AA65" s="366">
        <f>VLOOKUP($E65,'7. PGE_Efficacité'!$A$6:$BT$266,(MATCH('4.3 ACE EFF CAN'!AA$4,'7. PGE_Efficacité'!$A$4:$BU$4,0)+31),0)</f>
        <v>0</v>
      </c>
      <c r="AB65" s="366">
        <f>VLOOKUP($E65,'7. PGE_Efficacité'!$A$6:$BT$266,(MATCH('4.3 ACE EFF CAN'!AB$4,'7. PGE_Efficacité'!$A$4:$BU$4,0)+31),0)</f>
        <v>0</v>
      </c>
      <c r="AC65" s="366">
        <f>VLOOKUP($E65,'7. PGE_Efficacité'!$A$6:$BT$266,(MATCH('4.3 ACE EFF CAN'!AC$4,'7. PGE_Efficacité'!$A$4:$BU$4,0)+31),0)</f>
        <v>0</v>
      </c>
      <c r="AD65" s="366">
        <f>VLOOKUP($E65,'7. PGE_Efficacité'!$A$6:$BT$266,(MATCH('4.3 ACE EFF CAN'!AD$4,'7. PGE_Efficacité'!$A$4:$BU$4,0)+31),0)</f>
        <v>0</v>
      </c>
      <c r="AE65" s="366">
        <f>VLOOKUP($E65,'7. PGE_Efficacité'!$A$6:$BT$266,(MATCH('4.3 ACE EFF CAN'!AE$4,'7. PGE_Efficacité'!$A$4:$BU$4,0)+31),0)</f>
        <v>0</v>
      </c>
      <c r="AF65" s="366">
        <f>VLOOKUP($E65,'7. PGE_Efficacité'!$A$6:$BT$266,(MATCH('4.3 ACE EFF CAN'!AF$4,'7. PGE_Efficacité'!$A$4:$BU$4,0)+31),0)</f>
        <v>0</v>
      </c>
      <c r="AG65" s="366">
        <f>VLOOKUP($E65,'7. PGE_Efficacité'!$A$6:$BT$266,(MATCH('4.3 ACE EFF CAN'!AG$4,'7. PGE_Efficacité'!$A$4:$BU$4,0)+31),0)</f>
        <v>0</v>
      </c>
      <c r="AH65" s="366">
        <f>VLOOKUP($E65,'7. PGE_Efficacité'!$A$6:$BT$266,(MATCH('4.3 ACE EFF CAN'!AH$4,'7. PGE_Efficacité'!$A$4:$BU$4,0)+31),0)</f>
        <v>0</v>
      </c>
      <c r="AI65" s="366">
        <f>VLOOKUP($E65,'7. PGE_Efficacité'!$A$6:$BT$266,(MATCH('4.3 ACE EFF CAN'!AI$4,'7. PGE_Efficacité'!$A$4:$BU$4,0)+31),0)</f>
        <v>0</v>
      </c>
      <c r="AJ65" s="366">
        <f>VLOOKUP($E65,'7. PGE_Efficacité'!$A$6:$BT$266,(MATCH('4.3 ACE EFF CAN'!AJ$4,'7. PGE_Efficacité'!$A$4:$BU$4,0)+31),0)</f>
        <v>0</v>
      </c>
      <c r="AK65" s="366">
        <f>VLOOKUP($E65,'7. PGE_Efficacité'!$A$6:$BT$266,(MATCH('4.3 ACE EFF CAN'!AK$4,'7. PGE_Efficacité'!$A$4:$BU$4,0)+31),0)</f>
        <v>0</v>
      </c>
      <c r="AL65" s="366">
        <f>VLOOKUP($E65,'7. PGE_Efficacité'!$A$6:$BT$266,(MATCH('4.3 ACE EFF CAN'!AL$4,'7. PGE_Efficacité'!$A$4:$BU$4,0)+31),0)</f>
        <v>0</v>
      </c>
      <c r="AM65" s="366">
        <f>VLOOKUP($E65,'7. PGE_Efficacité'!$A$6:$BT$266,(MATCH('4.3 ACE EFF CAN'!AM$4,'7. PGE_Efficacité'!$A$4:$BU$4,0)+31),0)</f>
        <v>0</v>
      </c>
      <c r="AN65" s="366">
        <f>VLOOKUP($E65,'7. PGE_Efficacité'!$A$6:$BT$266,(MATCH('4.3 ACE EFF CAN'!AN$4,'7. PGE_Efficacité'!$A$4:$BU$4,0)+31),0)</f>
        <v>0</v>
      </c>
    </row>
    <row r="66" spans="1:40" ht="26.25" outlineLevel="1" x14ac:dyDescent="0.25">
      <c r="A66" s="154"/>
      <c r="B66" s="154"/>
      <c r="C66" s="154"/>
      <c r="D66" s="360" t="s">
        <v>8</v>
      </c>
      <c r="E66" s="360"/>
      <c r="F66" s="361" t="str">
        <f>VLOOKUP(D66,'1. Mesures'!$A$2:$B$116,2,0)</f>
        <v>Mettre en place un système de régulation des débits circulant dans le réseau d’assainissement pour réduire la fréquence des déversements au niveau des déversoirs d’orage et assurer un meilleur traitement des eaux usées</v>
      </c>
      <c r="G66" s="360"/>
      <c r="H66" s="360"/>
      <c r="I66" s="362">
        <f>SUBTOTAL(9,I67:I68)</f>
        <v>0</v>
      </c>
      <c r="J66" s="366">
        <f>VLOOKUP($D66,'7. PGE_Efficacité'!$A$6:$BT$266,(MATCH('4.3 ACE EFF CAN'!J$4,'7. PGE_Efficacité'!$A$4:$AO$4,0)+31),0)</f>
        <v>0</v>
      </c>
      <c r="K66" s="366" t="str">
        <f>VLOOKUP($D66,'7. PGE_Efficacité'!$A$6:$BT$266,(MATCH('4.3 ACE EFF CAN'!K$4,'7. PGE_Efficacité'!$A$4:$AO$4,0)+31),0)</f>
        <v>++</v>
      </c>
      <c r="L66" s="366" t="str">
        <f>VLOOKUP($D66,'7. PGE_Efficacité'!$A$6:$BT$266,(MATCH('4.3 ACE EFF CAN'!L$4,'7. PGE_Efficacité'!$A$4:$AO$4,0)+31),0)</f>
        <v>++</v>
      </c>
      <c r="M66" s="366" t="str">
        <f>VLOOKUP($D66,'7. PGE_Efficacité'!$A$6:$BT$266,(MATCH('4.3 ACE EFF CAN'!M$4,'7. PGE_Efficacité'!$A$4:$AO$4,0)+31),0)</f>
        <v>++</v>
      </c>
      <c r="N66" s="366" t="str">
        <f>VLOOKUP($D66,'7. PGE_Efficacité'!$A$6:$BT$266,(MATCH('4.3 ACE EFF CAN'!N$4,'7. PGE_Efficacité'!$A$4:$AO$4,0)+31),0)</f>
        <v>++</v>
      </c>
      <c r="O66" s="366" t="str">
        <f>VLOOKUP($D66,'7. PGE_Efficacité'!$A$6:$BT$266,47,0)</f>
        <v>++</v>
      </c>
      <c r="P66" s="366">
        <f>VLOOKUP($D66,'7. PGE_Efficacité'!$A$6:$BT$266,(MATCH('4.3 ACE EFF CAN'!P$4,'7. PGE_Efficacité'!$A$4:$AO$4,0)+31),0)</f>
        <v>0</v>
      </c>
      <c r="Q66" s="366" t="str">
        <f>VLOOKUP($D66,'7. PGE_Efficacité'!$A$6:$BT$266,(MATCH('4.3 ACE EFF CAN'!Q$4,'7. PGE_Efficacité'!$A$4:$AO$4,0)+31),0)</f>
        <v>++</v>
      </c>
      <c r="R66" s="366" t="str">
        <f>VLOOKUP($D66,'7. PGE_Efficacité'!$A$6:$BT$266,(MATCH('4.3 ACE EFF CAN'!R$4,'7. PGE_Efficacité'!$A$4:$AO$4,0)+31),0)</f>
        <v>+</v>
      </c>
      <c r="S66" s="366">
        <f>VLOOKUP($D66,'7. PGE_Efficacité'!$A$6:$BT$266,(MATCH('4.3 ACE EFF CAN'!S$4,'7. PGE_Efficacité'!$A$4:$AO$4,0)+31),0)</f>
        <v>0</v>
      </c>
      <c r="T66" s="366" t="str">
        <f>VLOOKUP($D66,'7. PGE_Efficacité'!$A$6:$BT$266,(MATCH('4.3 ACE EFF CAN'!T$4,'7. PGE_Efficacité'!$A$4:$AO$4,0)+31),0)</f>
        <v>+</v>
      </c>
      <c r="U66" s="366" t="str">
        <f>VLOOKUP($D66,'7. PGE_Efficacité'!$A$6:$BT$266,(MATCH('4.3 ACE EFF CAN'!U$4,'7. PGE_Efficacité'!$A$4:$AO$4,0)+31),0)</f>
        <v>+</v>
      </c>
      <c r="V66" s="366" t="str">
        <f>VLOOKUP($D66,'7. PGE_Efficacité'!$A$6:$BT$266,(MATCH('4.3 ACE EFF CAN'!V$4,'7. PGE_Efficacité'!$A$4:$AO$4,0)+31),0)</f>
        <v>+</v>
      </c>
      <c r="W66" s="366" t="str">
        <f>VLOOKUP($D66,'7. PGE_Efficacité'!$A$6:$BT$266,(MATCH('4.3 ACE EFF CAN'!W$4,'7. PGE_Efficacité'!$A$4:$AO$4,0)+31),0)</f>
        <v>++</v>
      </c>
      <c r="X66" s="366">
        <f>VLOOKUP($D66,'7. PGE_Efficacité'!$A$6:$BT$266,(MATCH('4.3 ACE EFF CAN'!X$4,'7. PGE_Efficacité'!$A$4:$AO$4,0)+31),0)</f>
        <v>0</v>
      </c>
      <c r="Y66" s="366" t="str">
        <f>VLOOKUP($D66,'7. PGE_Efficacité'!$A$6:$BT$266,(MATCH('4.3 ACE EFF CAN'!Y$4,'7. PGE_Efficacité'!$A$4:$AO$4,0)+31),0)</f>
        <v>++</v>
      </c>
      <c r="Z66" s="366" t="str">
        <f>VLOOKUP($D66,'7. PGE_Efficacité'!$A$6:$BT$266,(MATCH('4.3 ACE EFF CAN'!Z$4,'7. PGE_Efficacité'!$A$4:$AO$4,0)+31),0)</f>
        <v>++</v>
      </c>
      <c r="AA66" s="366">
        <f>VLOOKUP($D66,'7. PGE_Efficacité'!$A$6:$BT$266,(MATCH('4.3 ACE EFF CAN'!AA$4,'7. PGE_Efficacité'!$A$4:$AO$4,0)+31),0)</f>
        <v>0</v>
      </c>
      <c r="AB66" s="366">
        <f>VLOOKUP($D66,'7. PGE_Efficacité'!$A$6:$BT$266,(MATCH('4.3 ACE EFF CAN'!AB$4,'7. PGE_Efficacité'!$A$4:$AO$4,0)+31),0)</f>
        <v>0</v>
      </c>
      <c r="AC66" s="366">
        <f>VLOOKUP($D66,'7. PGE_Efficacité'!$A$6:$BT$266,(MATCH('4.3 ACE EFF CAN'!AC$4,'7. PGE_Efficacité'!$A$4:$AO$4,0)+31),0)</f>
        <v>0</v>
      </c>
      <c r="AD66" s="366">
        <f>VLOOKUP($D66,'7. PGE_Efficacité'!$A$6:$BT$266,(MATCH('4.3 ACE EFF CAN'!AD$4,'7. PGE_Efficacité'!$A$4:$AO$4,0)+31),0)</f>
        <v>0</v>
      </c>
      <c r="AE66" s="366">
        <f>VLOOKUP($D66,'7. PGE_Efficacité'!$A$6:$BT$266,(MATCH('4.3 ACE EFF CAN'!AE$4,'7. PGE_Efficacité'!$A$4:$AO$4,0)+31),0)</f>
        <v>0</v>
      </c>
      <c r="AF66" s="366">
        <f>VLOOKUP($D66,'7. PGE_Efficacité'!$A$6:$BT$266,(MATCH('4.3 ACE EFF CAN'!AF$4,'7. PGE_Efficacité'!$A$4:$AO$4,0)+31),0)</f>
        <v>0</v>
      </c>
      <c r="AG66" s="366">
        <f>VLOOKUP($D66,'7. PGE_Efficacité'!$A$6:$BT$266,(MATCH('4.3 ACE EFF CAN'!AG$4,'7. PGE_Efficacité'!$A$4:$AO$4,0)+31),0)</f>
        <v>0</v>
      </c>
      <c r="AH66" s="366">
        <f>VLOOKUP($D66,'7. PGE_Efficacité'!$A$6:$BT$266,(MATCH('4.3 ACE EFF CAN'!AH$4,'7. PGE_Efficacité'!$A$4:$AO$4,0)+31),0)</f>
        <v>0</v>
      </c>
      <c r="AI66" s="366">
        <f>VLOOKUP($D66,'7. PGE_Efficacité'!$A$6:$BT$266,(MATCH('4.3 ACE EFF CAN'!AI$4,'7. PGE_Efficacité'!$A$4:$AO$4,0)+31),0)</f>
        <v>0</v>
      </c>
      <c r="AJ66" s="366">
        <f>VLOOKUP($D66,'7. PGE_Efficacité'!$A$6:$BT$266,(MATCH('4.3 ACE EFF CAN'!AJ$4,'7. PGE_Efficacité'!$A$4:$AO$4,0)+31),0)</f>
        <v>0</v>
      </c>
      <c r="AK66" s="366" t="str">
        <f>VLOOKUP($D66,'7. PGE_Efficacité'!$A$6:$BT$266,(MATCH('4.3 ACE EFF CAN'!AK$4,'7. PGE_Efficacité'!$A$4:$AO$4,0)+31),0)</f>
        <v>++</v>
      </c>
      <c r="AL66" s="366">
        <f>VLOOKUP($D66,'7. PGE_Efficacité'!$A$6:$BT$266,(MATCH('4.3 ACE EFF CAN'!AL$4,'7. PGE_Efficacité'!$A$4:$AO$4,0)+31),0)</f>
        <v>0</v>
      </c>
      <c r="AM66" s="366" t="str">
        <f>VLOOKUP($D66,'7. PGE_Efficacité'!$A$6:$BT$266,(MATCH('4.3 ACE EFF CAN'!AM$4,'7. PGE_Efficacité'!$A$4:$AO$4,0)+31),0)</f>
        <v>++</v>
      </c>
      <c r="AN66" s="366" t="str">
        <f>VLOOKUP($D66,'7. PGE_Efficacité'!$A$6:$BT$266,(MATCH('4.3 ACE EFF CAN'!AN$4,'7. PGE_Efficacité'!$A$4:$AO$4,0)+31),0)</f>
        <v>++</v>
      </c>
    </row>
    <row r="67" spans="1:40" outlineLevel="2" x14ac:dyDescent="0.25">
      <c r="A67" s="154" t="s">
        <v>1524</v>
      </c>
      <c r="B67" s="154">
        <v>9</v>
      </c>
      <c r="C67" s="154" t="s">
        <v>1524</v>
      </c>
      <c r="D67" s="330" t="s">
        <v>8</v>
      </c>
      <c r="E67" s="330" t="s">
        <v>843</v>
      </c>
      <c r="F67" s="330" t="s">
        <v>1473</v>
      </c>
      <c r="G67" s="330" t="s">
        <v>1522</v>
      </c>
      <c r="H67" s="330" t="s">
        <v>1290</v>
      </c>
      <c r="I67" s="364">
        <v>0</v>
      </c>
      <c r="J67" s="365">
        <f>VLOOKUP($E67,'7. PGE_Efficacité'!$A$6:$BT$266,(MATCH('4.3 ACE EFF CAN'!J$4,'7. PGE_Efficacité'!$A$4:$BU$4,0)+31),0)</f>
        <v>0</v>
      </c>
      <c r="K67" s="365">
        <f>VLOOKUP($E67,'7. PGE_Efficacité'!$A$6:$BT$266,(MATCH('4.3 ACE EFF CAN'!K$4,'7. PGE_Efficacité'!$A$4:$BU$4,0)+31),0)</f>
        <v>0</v>
      </c>
      <c r="L67" s="365">
        <f>VLOOKUP($E67,'7. PGE_Efficacité'!$A$6:$BT$266,(MATCH('4.3 ACE EFF CAN'!L$4,'7. PGE_Efficacité'!$A$4:$BU$4,0)+31),0)</f>
        <v>0</v>
      </c>
      <c r="M67" s="365">
        <f>VLOOKUP($E67,'7. PGE_Efficacité'!$A$6:$BT$266,(MATCH('4.3 ACE EFF CAN'!M$4,'7. PGE_Efficacité'!$A$4:$BU$4,0)+31),0)</f>
        <v>0</v>
      </c>
      <c r="N67" s="365">
        <f>VLOOKUP($E67,'7. PGE_Efficacité'!$A$6:$BT$266,(MATCH('4.3 ACE EFF CAN'!N$4,'7. PGE_Efficacité'!$A$4:$BU$4,0)+31),0)</f>
        <v>0</v>
      </c>
      <c r="O67" s="365">
        <f>VLOOKUP($E67,'7. PGE_Efficacité'!$A$6:$BT$266,(MATCH('4.3 ACE EFF CAN'!O$4,'7. PGE_Efficacité'!$A$4:$BU$4,0)+31),0)</f>
        <v>0</v>
      </c>
      <c r="P67" s="365">
        <f>VLOOKUP($E67,'7. PGE_Efficacité'!$A$6:$BT$266,(MATCH('4.3 ACE EFF CAN'!P$4,'7. PGE_Efficacité'!$A$4:$BU$4,0)+31),0)</f>
        <v>0</v>
      </c>
      <c r="Q67" s="365">
        <f>VLOOKUP($E67,'7. PGE_Efficacité'!$A$6:$BT$266,(MATCH('4.3 ACE EFF CAN'!Q$4,'7. PGE_Efficacité'!$A$4:$BU$4,0)+31),0)</f>
        <v>0</v>
      </c>
      <c r="R67" s="365">
        <f>VLOOKUP($E67,'7. PGE_Efficacité'!$A$6:$BT$266,(MATCH('4.3 ACE EFF CAN'!R$4,'7. PGE_Efficacité'!$A$4:$BU$4,0)+31),0)</f>
        <v>0</v>
      </c>
      <c r="S67" s="365">
        <f>VLOOKUP($E67,'7. PGE_Efficacité'!$A$6:$BT$266,(MATCH('4.3 ACE EFF CAN'!S$4,'7. PGE_Efficacité'!$A$4:$BU$4,0)+31),0)</f>
        <v>0</v>
      </c>
      <c r="T67" s="365">
        <f>VLOOKUP($E67,'7. PGE_Efficacité'!$A$6:$BT$266,(MATCH('4.3 ACE EFF CAN'!T$4,'7. PGE_Efficacité'!$A$4:$BU$4,0)+31),0)</f>
        <v>0</v>
      </c>
      <c r="U67" s="365">
        <f>VLOOKUP($E67,'7. PGE_Efficacité'!$A$6:$BT$266,(MATCH('4.3 ACE EFF CAN'!U$4,'7. PGE_Efficacité'!$A$4:$BU$4,0)+31),0)</f>
        <v>0</v>
      </c>
      <c r="V67" s="365">
        <f>VLOOKUP($E67,'7. PGE_Efficacité'!$A$6:$BT$266,(MATCH('4.3 ACE EFF CAN'!V$4,'7. PGE_Efficacité'!$A$4:$BU$4,0)+31),0)</f>
        <v>0</v>
      </c>
      <c r="W67" s="365">
        <f>VLOOKUP($E67,'7. PGE_Efficacité'!$A$6:$BT$266,(MATCH('4.3 ACE EFF CAN'!W$4,'7. PGE_Efficacité'!$A$4:$BU$4,0)+31),0)</f>
        <v>0</v>
      </c>
      <c r="X67" s="365">
        <f>VLOOKUP($E67,'7. PGE_Efficacité'!$A$6:$BT$266,(MATCH('4.3 ACE EFF CAN'!X$4,'7. PGE_Efficacité'!$A$4:$BU$4,0)+31),0)</f>
        <v>0</v>
      </c>
      <c r="Y67" s="366">
        <f>VLOOKUP($E67,'7. PGE_Efficacité'!$A$6:$BT$266,(MATCH('4.3 ACE EFF CAN'!Y$4,'7. PGE_Efficacité'!$A$4:$BU$4,0)+31),0)</f>
        <v>0</v>
      </c>
      <c r="Z67" s="366">
        <f>VLOOKUP($E67,'7. PGE_Efficacité'!$A$6:$BT$266,(MATCH('4.3 ACE EFF CAN'!Z$4,'7. PGE_Efficacité'!$A$4:$BU$4,0)+31),0)</f>
        <v>0</v>
      </c>
      <c r="AA67" s="366">
        <f>VLOOKUP($E67,'7. PGE_Efficacité'!$A$6:$BT$266,(MATCH('4.3 ACE EFF CAN'!AA$4,'7. PGE_Efficacité'!$A$4:$BU$4,0)+31),0)</f>
        <v>0</v>
      </c>
      <c r="AB67" s="366">
        <f>VLOOKUP($E67,'7. PGE_Efficacité'!$A$6:$BT$266,(MATCH('4.3 ACE EFF CAN'!AB$4,'7. PGE_Efficacité'!$A$4:$BU$4,0)+31),0)</f>
        <v>0</v>
      </c>
      <c r="AC67" s="366">
        <f>VLOOKUP($E67,'7. PGE_Efficacité'!$A$6:$BT$266,(MATCH('4.3 ACE EFF CAN'!AC$4,'7. PGE_Efficacité'!$A$4:$BU$4,0)+31),0)</f>
        <v>0</v>
      </c>
      <c r="AD67" s="366">
        <f>VLOOKUP($E67,'7. PGE_Efficacité'!$A$6:$BT$266,(MATCH('4.3 ACE EFF CAN'!AD$4,'7. PGE_Efficacité'!$A$4:$BU$4,0)+31),0)</f>
        <v>0</v>
      </c>
      <c r="AE67" s="366">
        <f>VLOOKUP($E67,'7. PGE_Efficacité'!$A$6:$BT$266,(MATCH('4.3 ACE EFF CAN'!AE$4,'7. PGE_Efficacité'!$A$4:$BU$4,0)+31),0)</f>
        <v>0</v>
      </c>
      <c r="AF67" s="366">
        <f>VLOOKUP($E67,'7. PGE_Efficacité'!$A$6:$BT$266,(MATCH('4.3 ACE EFF CAN'!AF$4,'7. PGE_Efficacité'!$A$4:$BU$4,0)+31),0)</f>
        <v>0</v>
      </c>
      <c r="AG67" s="366">
        <f>VLOOKUP($E67,'7. PGE_Efficacité'!$A$6:$BT$266,(MATCH('4.3 ACE EFF CAN'!AG$4,'7. PGE_Efficacité'!$A$4:$BU$4,0)+31),0)</f>
        <v>0</v>
      </c>
      <c r="AH67" s="366">
        <f>VLOOKUP($E67,'7. PGE_Efficacité'!$A$6:$BT$266,(MATCH('4.3 ACE EFF CAN'!AH$4,'7. PGE_Efficacité'!$A$4:$BU$4,0)+31),0)</f>
        <v>0</v>
      </c>
      <c r="AI67" s="366">
        <f>VLOOKUP($E67,'7. PGE_Efficacité'!$A$6:$BT$266,(MATCH('4.3 ACE EFF CAN'!AI$4,'7. PGE_Efficacité'!$A$4:$BU$4,0)+31),0)</f>
        <v>0</v>
      </c>
      <c r="AJ67" s="366">
        <f>VLOOKUP($E67,'7. PGE_Efficacité'!$A$6:$BT$266,(MATCH('4.3 ACE EFF CAN'!AJ$4,'7. PGE_Efficacité'!$A$4:$BU$4,0)+31),0)</f>
        <v>0</v>
      </c>
      <c r="AK67" s="366">
        <f>VLOOKUP($E67,'7. PGE_Efficacité'!$A$6:$BT$266,(MATCH('4.3 ACE EFF CAN'!AK$4,'7. PGE_Efficacité'!$A$4:$BU$4,0)+31),0)</f>
        <v>0</v>
      </c>
      <c r="AL67" s="366">
        <f>VLOOKUP($E67,'7. PGE_Efficacité'!$A$6:$BT$266,(MATCH('4.3 ACE EFF CAN'!AL$4,'7. PGE_Efficacité'!$A$4:$BU$4,0)+31),0)</f>
        <v>0</v>
      </c>
      <c r="AM67" s="366">
        <f>VLOOKUP($E67,'7. PGE_Efficacité'!$A$6:$BT$266,(MATCH('4.3 ACE EFF CAN'!AM$4,'7. PGE_Efficacité'!$A$4:$BU$4,0)+31),0)</f>
        <v>0</v>
      </c>
      <c r="AN67" s="366">
        <f>VLOOKUP($E67,'7. PGE_Efficacité'!$A$6:$BT$266,(MATCH('4.3 ACE EFF CAN'!AN$4,'7. PGE_Efficacité'!$A$4:$BU$4,0)+31),0)</f>
        <v>0</v>
      </c>
    </row>
    <row r="68" spans="1:40" outlineLevel="2" x14ac:dyDescent="0.25">
      <c r="A68" s="154" t="s">
        <v>1524</v>
      </c>
      <c r="B68" s="154">
        <v>9</v>
      </c>
      <c r="C68" s="154" t="s">
        <v>1532</v>
      </c>
      <c r="D68" s="330" t="s">
        <v>8</v>
      </c>
      <c r="E68" s="330" t="s">
        <v>851</v>
      </c>
      <c r="F68" s="330" t="s">
        <v>1481</v>
      </c>
      <c r="G68" s="330" t="s">
        <v>1522</v>
      </c>
      <c r="H68" s="330" t="s">
        <v>1290</v>
      </c>
      <c r="I68" s="364">
        <v>0</v>
      </c>
      <c r="J68" s="365">
        <f>VLOOKUP($E68,'7. PGE_Efficacité'!$A$6:$BT$266,(MATCH('4.3 ACE EFF CAN'!J$4,'7. PGE_Efficacité'!$A$4:$BU$4,0)+31),0)</f>
        <v>0</v>
      </c>
      <c r="K68" s="365">
        <f>VLOOKUP($E68,'7. PGE_Efficacité'!$A$6:$BT$266,(MATCH('4.3 ACE EFF CAN'!K$4,'7. PGE_Efficacité'!$A$4:$BU$4,0)+31),0)</f>
        <v>0</v>
      </c>
      <c r="L68" s="365">
        <f>VLOOKUP($E68,'7. PGE_Efficacité'!$A$6:$BT$266,(MATCH('4.3 ACE EFF CAN'!L$4,'7. PGE_Efficacité'!$A$4:$BU$4,0)+31),0)</f>
        <v>0</v>
      </c>
      <c r="M68" s="365">
        <f>VLOOKUP($E68,'7. PGE_Efficacité'!$A$6:$BT$266,(MATCH('4.3 ACE EFF CAN'!M$4,'7. PGE_Efficacité'!$A$4:$BU$4,0)+31),0)</f>
        <v>0</v>
      </c>
      <c r="N68" s="365">
        <f>VLOOKUP($E68,'7. PGE_Efficacité'!$A$6:$BT$266,(MATCH('4.3 ACE EFF CAN'!N$4,'7. PGE_Efficacité'!$A$4:$BU$4,0)+31),0)</f>
        <v>0</v>
      </c>
      <c r="O68" s="365">
        <f>VLOOKUP($E68,'7. PGE_Efficacité'!$A$6:$BT$266,(MATCH('4.3 ACE EFF CAN'!O$4,'7. PGE_Efficacité'!$A$4:$BU$4,0)+31),0)</f>
        <v>0</v>
      </c>
      <c r="P68" s="365">
        <f>VLOOKUP($E68,'7. PGE_Efficacité'!$A$6:$BT$266,(MATCH('4.3 ACE EFF CAN'!P$4,'7. PGE_Efficacité'!$A$4:$BU$4,0)+31),0)</f>
        <v>0</v>
      </c>
      <c r="Q68" s="365">
        <f>VLOOKUP($E68,'7. PGE_Efficacité'!$A$6:$BT$266,(MATCH('4.3 ACE EFF CAN'!Q$4,'7. PGE_Efficacité'!$A$4:$BU$4,0)+31),0)</f>
        <v>0</v>
      </c>
      <c r="R68" s="365">
        <f>VLOOKUP($E68,'7. PGE_Efficacité'!$A$6:$BT$266,(MATCH('4.3 ACE EFF CAN'!R$4,'7. PGE_Efficacité'!$A$4:$BU$4,0)+31),0)</f>
        <v>0</v>
      </c>
      <c r="S68" s="365">
        <f>VLOOKUP($E68,'7. PGE_Efficacité'!$A$6:$BT$266,(MATCH('4.3 ACE EFF CAN'!S$4,'7. PGE_Efficacité'!$A$4:$BU$4,0)+31),0)</f>
        <v>0</v>
      </c>
      <c r="T68" s="365">
        <f>VLOOKUP($E68,'7. PGE_Efficacité'!$A$6:$BT$266,(MATCH('4.3 ACE EFF CAN'!T$4,'7. PGE_Efficacité'!$A$4:$BU$4,0)+31),0)</f>
        <v>0</v>
      </c>
      <c r="U68" s="365">
        <f>VLOOKUP($E68,'7. PGE_Efficacité'!$A$6:$BT$266,(MATCH('4.3 ACE EFF CAN'!U$4,'7. PGE_Efficacité'!$A$4:$BU$4,0)+31),0)</f>
        <v>0</v>
      </c>
      <c r="V68" s="365">
        <f>VLOOKUP($E68,'7. PGE_Efficacité'!$A$6:$BT$266,(MATCH('4.3 ACE EFF CAN'!V$4,'7. PGE_Efficacité'!$A$4:$BU$4,0)+31),0)</f>
        <v>0</v>
      </c>
      <c r="W68" s="365">
        <f>VLOOKUP($E68,'7. PGE_Efficacité'!$A$6:$BT$266,(MATCH('4.3 ACE EFF CAN'!W$4,'7. PGE_Efficacité'!$A$4:$BU$4,0)+31),0)</f>
        <v>0</v>
      </c>
      <c r="X68" s="365">
        <f>VLOOKUP($E68,'7. PGE_Efficacité'!$A$6:$BT$266,(MATCH('4.3 ACE EFF CAN'!X$4,'7. PGE_Efficacité'!$A$4:$BU$4,0)+31),0)</f>
        <v>0</v>
      </c>
      <c r="Y68" s="366">
        <f>VLOOKUP($E68,'7. PGE_Efficacité'!$A$6:$BT$266,(MATCH('4.3 ACE EFF CAN'!Y$4,'7. PGE_Efficacité'!$A$4:$BU$4,0)+31),0)</f>
        <v>0</v>
      </c>
      <c r="Z68" s="366">
        <f>VLOOKUP($E68,'7. PGE_Efficacité'!$A$6:$BT$266,(MATCH('4.3 ACE EFF CAN'!Z$4,'7. PGE_Efficacité'!$A$4:$BU$4,0)+31),0)</f>
        <v>0</v>
      </c>
      <c r="AA68" s="366">
        <f>VLOOKUP($E68,'7. PGE_Efficacité'!$A$6:$BT$266,(MATCH('4.3 ACE EFF CAN'!AA$4,'7. PGE_Efficacité'!$A$4:$BU$4,0)+31),0)</f>
        <v>0</v>
      </c>
      <c r="AB68" s="366">
        <f>VLOOKUP($E68,'7. PGE_Efficacité'!$A$6:$BT$266,(MATCH('4.3 ACE EFF CAN'!AB$4,'7. PGE_Efficacité'!$A$4:$BU$4,0)+31),0)</f>
        <v>0</v>
      </c>
      <c r="AC68" s="366">
        <f>VLOOKUP($E68,'7. PGE_Efficacité'!$A$6:$BT$266,(MATCH('4.3 ACE EFF CAN'!AC$4,'7. PGE_Efficacité'!$A$4:$BU$4,0)+31),0)</f>
        <v>0</v>
      </c>
      <c r="AD68" s="366">
        <f>VLOOKUP($E68,'7. PGE_Efficacité'!$A$6:$BT$266,(MATCH('4.3 ACE EFF CAN'!AD$4,'7. PGE_Efficacité'!$A$4:$BU$4,0)+31),0)</f>
        <v>0</v>
      </c>
      <c r="AE68" s="366">
        <f>VLOOKUP($E68,'7. PGE_Efficacité'!$A$6:$BT$266,(MATCH('4.3 ACE EFF CAN'!AE$4,'7. PGE_Efficacité'!$A$4:$BU$4,0)+31),0)</f>
        <v>0</v>
      </c>
      <c r="AF68" s="366">
        <f>VLOOKUP($E68,'7. PGE_Efficacité'!$A$6:$BT$266,(MATCH('4.3 ACE EFF CAN'!AF$4,'7. PGE_Efficacité'!$A$4:$BU$4,0)+31),0)</f>
        <v>0</v>
      </c>
      <c r="AG68" s="366">
        <f>VLOOKUP($E68,'7. PGE_Efficacité'!$A$6:$BT$266,(MATCH('4.3 ACE EFF CAN'!AG$4,'7. PGE_Efficacité'!$A$4:$BU$4,0)+31),0)</f>
        <v>0</v>
      </c>
      <c r="AH68" s="366">
        <f>VLOOKUP($E68,'7. PGE_Efficacité'!$A$6:$BT$266,(MATCH('4.3 ACE EFF CAN'!AH$4,'7. PGE_Efficacité'!$A$4:$BU$4,0)+31),0)</f>
        <v>0</v>
      </c>
      <c r="AI68" s="366">
        <f>VLOOKUP($E68,'7. PGE_Efficacité'!$A$6:$BT$266,(MATCH('4.3 ACE EFF CAN'!AI$4,'7. PGE_Efficacité'!$A$4:$BU$4,0)+31),0)</f>
        <v>0</v>
      </c>
      <c r="AJ68" s="366">
        <f>VLOOKUP($E68,'7. PGE_Efficacité'!$A$6:$BT$266,(MATCH('4.3 ACE EFF CAN'!AJ$4,'7. PGE_Efficacité'!$A$4:$BU$4,0)+31),0)</f>
        <v>0</v>
      </c>
      <c r="AK68" s="366">
        <f>VLOOKUP($E68,'7. PGE_Efficacité'!$A$6:$BT$266,(MATCH('4.3 ACE EFF CAN'!AK$4,'7. PGE_Efficacité'!$A$4:$BU$4,0)+31),0)</f>
        <v>0</v>
      </c>
      <c r="AL68" s="366">
        <f>VLOOKUP($E68,'7. PGE_Efficacité'!$A$6:$BT$266,(MATCH('4.3 ACE EFF CAN'!AL$4,'7. PGE_Efficacité'!$A$4:$BU$4,0)+31),0)</f>
        <v>0</v>
      </c>
      <c r="AM68" s="366">
        <f>VLOOKUP($E68,'7. PGE_Efficacité'!$A$6:$BT$266,(MATCH('4.3 ACE EFF CAN'!AM$4,'7. PGE_Efficacité'!$A$4:$BU$4,0)+31),0)</f>
        <v>0</v>
      </c>
      <c r="AN68" s="366">
        <f>VLOOKUP($E68,'7. PGE_Efficacité'!$A$6:$BT$266,(MATCH('4.3 ACE EFF CAN'!AN$4,'7. PGE_Efficacité'!$A$4:$BU$4,0)+31),0)</f>
        <v>0</v>
      </c>
    </row>
    <row r="69" spans="1:40" outlineLevel="1" x14ac:dyDescent="0.25">
      <c r="A69" s="154"/>
      <c r="B69" s="154"/>
      <c r="C69" s="154"/>
      <c r="D69" s="360" t="s">
        <v>9</v>
      </c>
      <c r="E69" s="360"/>
      <c r="F69" s="361" t="str">
        <f>VLOOKUP(D69,'1. Mesures'!$A$2:$B$116,2,0)</f>
        <v>Réaliser les chainons manquants entre le réseau public d'égouttage et les collecteurs (égouts "orphelins")</v>
      </c>
      <c r="G69" s="360"/>
      <c r="H69" s="360"/>
      <c r="I69" s="362">
        <f>SUBTOTAL(9,I70:I72)</f>
        <v>450000</v>
      </c>
      <c r="J69" s="366">
        <f>VLOOKUP($D69,'7. PGE_Efficacité'!$A$6:$BT$266,(MATCH('4.3 ACE EFF CAN'!J$4,'7. PGE_Efficacité'!$A$4:$AO$4,0)+31),0)</f>
        <v>0</v>
      </c>
      <c r="K69" s="366">
        <f>VLOOKUP($D69,'7. PGE_Efficacité'!$A$6:$BT$266,(MATCH('4.3 ACE EFF CAN'!K$4,'7. PGE_Efficacité'!$A$4:$AO$4,0)+31),0)</f>
        <v>0</v>
      </c>
      <c r="L69" s="366">
        <f>VLOOKUP($D69,'7. PGE_Efficacité'!$A$6:$BT$266,(MATCH('4.3 ACE EFF CAN'!L$4,'7. PGE_Efficacité'!$A$4:$AO$4,0)+31),0)</f>
        <v>0</v>
      </c>
      <c r="M69" s="366">
        <f>VLOOKUP($D69,'7. PGE_Efficacité'!$A$6:$BT$266,(MATCH('4.3 ACE EFF CAN'!M$4,'7. PGE_Efficacité'!$A$4:$AO$4,0)+31),0)</f>
        <v>0</v>
      </c>
      <c r="N69" s="366">
        <f>VLOOKUP($D69,'7. PGE_Efficacité'!$A$6:$BT$266,(MATCH('4.3 ACE EFF CAN'!N$4,'7. PGE_Efficacité'!$A$4:$AO$4,0)+31),0)</f>
        <v>0</v>
      </c>
      <c r="O69" s="366">
        <f>VLOOKUP($D69,'7. PGE_Efficacité'!$A$6:$BT$266,47,0)</f>
        <v>0</v>
      </c>
      <c r="P69" s="366">
        <f>VLOOKUP($D69,'7. PGE_Efficacité'!$A$6:$BT$266,(MATCH('4.3 ACE EFF CAN'!P$4,'7. PGE_Efficacité'!$A$4:$AO$4,0)+31),0)</f>
        <v>0</v>
      </c>
      <c r="Q69" s="366">
        <f>VLOOKUP($D69,'7. PGE_Efficacité'!$A$6:$BT$266,(MATCH('4.3 ACE EFF CAN'!Q$4,'7. PGE_Efficacité'!$A$4:$AO$4,0)+31),0)</f>
        <v>0</v>
      </c>
      <c r="R69" s="366">
        <f>VLOOKUP($D69,'7. PGE_Efficacité'!$A$6:$BT$266,(MATCH('4.3 ACE EFF CAN'!R$4,'7. PGE_Efficacité'!$A$4:$AO$4,0)+31),0)</f>
        <v>0</v>
      </c>
      <c r="S69" s="366">
        <f>VLOOKUP($D69,'7. PGE_Efficacité'!$A$6:$BT$266,(MATCH('4.3 ACE EFF CAN'!S$4,'7. PGE_Efficacité'!$A$4:$AO$4,0)+31),0)</f>
        <v>0</v>
      </c>
      <c r="T69" s="366">
        <f>VLOOKUP($D69,'7. PGE_Efficacité'!$A$6:$BT$266,(MATCH('4.3 ACE EFF CAN'!T$4,'7. PGE_Efficacité'!$A$4:$AO$4,0)+31),0)</f>
        <v>0</v>
      </c>
      <c r="U69" s="366">
        <f>VLOOKUP($D69,'7. PGE_Efficacité'!$A$6:$BT$266,(MATCH('4.3 ACE EFF CAN'!U$4,'7. PGE_Efficacité'!$A$4:$AO$4,0)+31),0)</f>
        <v>0</v>
      </c>
      <c r="V69" s="366">
        <f>VLOOKUP($D69,'7. PGE_Efficacité'!$A$6:$BT$266,(MATCH('4.3 ACE EFF CAN'!V$4,'7. PGE_Efficacité'!$A$4:$AO$4,0)+31),0)</f>
        <v>0</v>
      </c>
      <c r="W69" s="366">
        <f>VLOOKUP($D69,'7. PGE_Efficacité'!$A$6:$BT$266,(MATCH('4.3 ACE EFF CAN'!W$4,'7. PGE_Efficacité'!$A$4:$AO$4,0)+31),0)</f>
        <v>0</v>
      </c>
      <c r="X69" s="366">
        <f>VLOOKUP($D69,'7. PGE_Efficacité'!$A$6:$BT$266,(MATCH('4.3 ACE EFF CAN'!X$4,'7. PGE_Efficacité'!$A$4:$AO$4,0)+31),0)</f>
        <v>0</v>
      </c>
      <c r="Y69" s="366">
        <f>VLOOKUP($D69,'7. PGE_Efficacité'!$A$6:$BT$266,(MATCH('4.3 ACE EFF CAN'!Y$4,'7. PGE_Efficacité'!$A$4:$AO$4,0)+31),0)</f>
        <v>0</v>
      </c>
      <c r="Z69" s="366">
        <f>VLOOKUP($D69,'7. PGE_Efficacité'!$A$6:$BT$266,(MATCH('4.3 ACE EFF CAN'!Z$4,'7. PGE_Efficacité'!$A$4:$AO$4,0)+31),0)</f>
        <v>0</v>
      </c>
      <c r="AA69" s="366">
        <f>VLOOKUP($D69,'7. PGE_Efficacité'!$A$6:$BT$266,(MATCH('4.3 ACE EFF CAN'!AA$4,'7. PGE_Efficacité'!$A$4:$AO$4,0)+31),0)</f>
        <v>0</v>
      </c>
      <c r="AB69" s="366">
        <f>VLOOKUP($D69,'7. PGE_Efficacité'!$A$6:$BT$266,(MATCH('4.3 ACE EFF CAN'!AB$4,'7. PGE_Efficacité'!$A$4:$AO$4,0)+31),0)</f>
        <v>0</v>
      </c>
      <c r="AC69" s="366">
        <f>VLOOKUP($D69,'7. PGE_Efficacité'!$A$6:$BT$266,(MATCH('4.3 ACE EFF CAN'!AC$4,'7. PGE_Efficacité'!$A$4:$AO$4,0)+31),0)</f>
        <v>0</v>
      </c>
      <c r="AD69" s="366">
        <f>VLOOKUP($D69,'7. PGE_Efficacité'!$A$6:$BT$266,(MATCH('4.3 ACE EFF CAN'!AD$4,'7. PGE_Efficacité'!$A$4:$AO$4,0)+31),0)</f>
        <v>0</v>
      </c>
      <c r="AE69" s="366">
        <f>VLOOKUP($D69,'7. PGE_Efficacité'!$A$6:$BT$266,(MATCH('4.3 ACE EFF CAN'!AE$4,'7. PGE_Efficacité'!$A$4:$AO$4,0)+31),0)</f>
        <v>0</v>
      </c>
      <c r="AF69" s="366">
        <f>VLOOKUP($D69,'7. PGE_Efficacité'!$A$6:$BT$266,(MATCH('4.3 ACE EFF CAN'!AF$4,'7. PGE_Efficacité'!$A$4:$AO$4,0)+31),0)</f>
        <v>0</v>
      </c>
      <c r="AG69" s="366">
        <f>VLOOKUP($D69,'7. PGE_Efficacité'!$A$6:$BT$266,(MATCH('4.3 ACE EFF CAN'!AG$4,'7. PGE_Efficacité'!$A$4:$AO$4,0)+31),0)</f>
        <v>0</v>
      </c>
      <c r="AH69" s="366">
        <f>VLOOKUP($D69,'7. PGE_Efficacité'!$A$6:$BT$266,(MATCH('4.3 ACE EFF CAN'!AH$4,'7. PGE_Efficacité'!$A$4:$AO$4,0)+31),0)</f>
        <v>0</v>
      </c>
      <c r="AI69" s="366">
        <f>VLOOKUP($D69,'7. PGE_Efficacité'!$A$6:$BT$266,(MATCH('4.3 ACE EFF CAN'!AI$4,'7. PGE_Efficacité'!$A$4:$AO$4,0)+31),0)</f>
        <v>0</v>
      </c>
      <c r="AJ69" s="366">
        <f>VLOOKUP($D69,'7. PGE_Efficacité'!$A$6:$BT$266,(MATCH('4.3 ACE EFF CAN'!AJ$4,'7. PGE_Efficacité'!$A$4:$AO$4,0)+31),0)</f>
        <v>0</v>
      </c>
      <c r="AK69" s="366">
        <f>VLOOKUP($D69,'7. PGE_Efficacité'!$A$6:$BT$266,(MATCH('4.3 ACE EFF CAN'!AK$4,'7. PGE_Efficacité'!$A$4:$AO$4,0)+31),0)</f>
        <v>0</v>
      </c>
      <c r="AL69" s="366">
        <f>VLOOKUP($D69,'7. PGE_Efficacité'!$A$6:$BT$266,(MATCH('4.3 ACE EFF CAN'!AL$4,'7. PGE_Efficacité'!$A$4:$AO$4,0)+31),0)</f>
        <v>0</v>
      </c>
      <c r="AM69" s="366">
        <f>VLOOKUP($D69,'7. PGE_Efficacité'!$A$6:$BT$266,(MATCH('4.3 ACE EFF CAN'!AM$4,'7. PGE_Efficacité'!$A$4:$AO$4,0)+31),0)</f>
        <v>0</v>
      </c>
      <c r="AN69" s="366">
        <f>VLOOKUP($D69,'7. PGE_Efficacité'!$A$6:$BT$266,(MATCH('4.3 ACE EFF CAN'!AN$4,'7. PGE_Efficacité'!$A$4:$AO$4,0)+31),0)</f>
        <v>0</v>
      </c>
    </row>
    <row r="70" spans="1:40" outlineLevel="2" x14ac:dyDescent="0.25">
      <c r="A70" s="154" t="s">
        <v>1524</v>
      </c>
      <c r="B70" s="154">
        <v>10</v>
      </c>
      <c r="C70" s="154" t="s">
        <v>1525</v>
      </c>
      <c r="D70" s="330" t="s">
        <v>9</v>
      </c>
      <c r="E70" s="330" t="s">
        <v>651</v>
      </c>
      <c r="F70" s="330" t="s">
        <v>1311</v>
      </c>
      <c r="G70" s="330" t="s">
        <v>1522</v>
      </c>
      <c r="H70" s="330" t="s">
        <v>1287</v>
      </c>
      <c r="I70" s="364">
        <v>0</v>
      </c>
      <c r="J70" s="365">
        <f>VLOOKUP($E70,'7. PGE_Efficacité'!$A$6:$BT$266,(MATCH('4.3 ACE EFF CAN'!J$4,'7. PGE_Efficacité'!$A$4:$BU$4,0)+31),0)</f>
        <v>0</v>
      </c>
      <c r="K70" s="365">
        <f>VLOOKUP($E70,'7. PGE_Efficacité'!$A$6:$BT$266,(MATCH('4.3 ACE EFF CAN'!K$4,'7. PGE_Efficacité'!$A$4:$BU$4,0)+31),0)</f>
        <v>0</v>
      </c>
      <c r="L70" s="365">
        <f>VLOOKUP($E70,'7. PGE_Efficacité'!$A$6:$BT$266,(MATCH('4.3 ACE EFF CAN'!L$4,'7. PGE_Efficacité'!$A$4:$BU$4,0)+31),0)</f>
        <v>0</v>
      </c>
      <c r="M70" s="365">
        <f>VLOOKUP($E70,'7. PGE_Efficacité'!$A$6:$BT$266,(MATCH('4.3 ACE EFF CAN'!M$4,'7. PGE_Efficacité'!$A$4:$BU$4,0)+31),0)</f>
        <v>0</v>
      </c>
      <c r="N70" s="365">
        <f>VLOOKUP($E70,'7. PGE_Efficacité'!$A$6:$BT$266,(MATCH('4.3 ACE EFF CAN'!N$4,'7. PGE_Efficacité'!$A$4:$BU$4,0)+31),0)</f>
        <v>0</v>
      </c>
      <c r="O70" s="365">
        <f>VLOOKUP($E70,'7. PGE_Efficacité'!$A$6:$BT$266,(MATCH('4.3 ACE EFF CAN'!O$4,'7. PGE_Efficacité'!$A$4:$BU$4,0)+31),0)</f>
        <v>0</v>
      </c>
      <c r="P70" s="365">
        <f>VLOOKUP($E70,'7. PGE_Efficacité'!$A$6:$BT$266,(MATCH('4.3 ACE EFF CAN'!P$4,'7. PGE_Efficacité'!$A$4:$BU$4,0)+31),0)</f>
        <v>0</v>
      </c>
      <c r="Q70" s="365">
        <f>VLOOKUP($E70,'7. PGE_Efficacité'!$A$6:$BT$266,(MATCH('4.3 ACE EFF CAN'!Q$4,'7. PGE_Efficacité'!$A$4:$BU$4,0)+31),0)</f>
        <v>0</v>
      </c>
      <c r="R70" s="365">
        <f>VLOOKUP($E70,'7. PGE_Efficacité'!$A$6:$BT$266,(MATCH('4.3 ACE EFF CAN'!R$4,'7. PGE_Efficacité'!$A$4:$BU$4,0)+31),0)</f>
        <v>0</v>
      </c>
      <c r="S70" s="365">
        <f>VLOOKUP($E70,'7. PGE_Efficacité'!$A$6:$BT$266,(MATCH('4.3 ACE EFF CAN'!S$4,'7. PGE_Efficacité'!$A$4:$BU$4,0)+31),0)</f>
        <v>0</v>
      </c>
      <c r="T70" s="365">
        <f>VLOOKUP($E70,'7. PGE_Efficacité'!$A$6:$BT$266,(MATCH('4.3 ACE EFF CAN'!T$4,'7. PGE_Efficacité'!$A$4:$BU$4,0)+31),0)</f>
        <v>0</v>
      </c>
      <c r="U70" s="365">
        <f>VLOOKUP($E70,'7. PGE_Efficacité'!$A$6:$BT$266,(MATCH('4.3 ACE EFF CAN'!U$4,'7. PGE_Efficacité'!$A$4:$BU$4,0)+31),0)</f>
        <v>0</v>
      </c>
      <c r="V70" s="365">
        <f>VLOOKUP($E70,'7. PGE_Efficacité'!$A$6:$BT$266,(MATCH('4.3 ACE EFF CAN'!V$4,'7. PGE_Efficacité'!$A$4:$BU$4,0)+31),0)</f>
        <v>0</v>
      </c>
      <c r="W70" s="365">
        <f>VLOOKUP($E70,'7. PGE_Efficacité'!$A$6:$BT$266,(MATCH('4.3 ACE EFF CAN'!W$4,'7. PGE_Efficacité'!$A$4:$BU$4,0)+31),0)</f>
        <v>0</v>
      </c>
      <c r="X70" s="365">
        <f>VLOOKUP($E70,'7. PGE_Efficacité'!$A$6:$BT$266,(MATCH('4.3 ACE EFF CAN'!X$4,'7. PGE_Efficacité'!$A$4:$BU$4,0)+31),0)</f>
        <v>0</v>
      </c>
      <c r="Y70" s="366">
        <f>VLOOKUP($E70,'7. PGE_Efficacité'!$A$6:$BT$266,(MATCH('4.3 ACE EFF CAN'!Y$4,'7. PGE_Efficacité'!$A$4:$BU$4,0)+31),0)</f>
        <v>0</v>
      </c>
      <c r="Z70" s="366">
        <f>VLOOKUP($E70,'7. PGE_Efficacité'!$A$6:$BT$266,(MATCH('4.3 ACE EFF CAN'!Z$4,'7. PGE_Efficacité'!$A$4:$BU$4,0)+31),0)</f>
        <v>0</v>
      </c>
      <c r="AA70" s="366">
        <f>VLOOKUP($E70,'7. PGE_Efficacité'!$A$6:$BT$266,(MATCH('4.3 ACE EFF CAN'!AA$4,'7. PGE_Efficacité'!$A$4:$BU$4,0)+31),0)</f>
        <v>0</v>
      </c>
      <c r="AB70" s="366">
        <f>VLOOKUP($E70,'7. PGE_Efficacité'!$A$6:$BT$266,(MATCH('4.3 ACE EFF CAN'!AB$4,'7. PGE_Efficacité'!$A$4:$BU$4,0)+31),0)</f>
        <v>0</v>
      </c>
      <c r="AC70" s="366">
        <f>VLOOKUP($E70,'7. PGE_Efficacité'!$A$6:$BT$266,(MATCH('4.3 ACE EFF CAN'!AC$4,'7. PGE_Efficacité'!$A$4:$BU$4,0)+31),0)</f>
        <v>0</v>
      </c>
      <c r="AD70" s="366">
        <f>VLOOKUP($E70,'7. PGE_Efficacité'!$A$6:$BT$266,(MATCH('4.3 ACE EFF CAN'!AD$4,'7. PGE_Efficacité'!$A$4:$BU$4,0)+31),0)</f>
        <v>0</v>
      </c>
      <c r="AE70" s="366">
        <f>VLOOKUP($E70,'7. PGE_Efficacité'!$A$6:$BT$266,(MATCH('4.3 ACE EFF CAN'!AE$4,'7. PGE_Efficacité'!$A$4:$BU$4,0)+31),0)</f>
        <v>0</v>
      </c>
      <c r="AF70" s="366">
        <f>VLOOKUP($E70,'7. PGE_Efficacité'!$A$6:$BT$266,(MATCH('4.3 ACE EFF CAN'!AF$4,'7. PGE_Efficacité'!$A$4:$BU$4,0)+31),0)</f>
        <v>0</v>
      </c>
      <c r="AG70" s="366">
        <f>VLOOKUP($E70,'7. PGE_Efficacité'!$A$6:$BT$266,(MATCH('4.3 ACE EFF CAN'!AG$4,'7. PGE_Efficacité'!$A$4:$BU$4,0)+31),0)</f>
        <v>0</v>
      </c>
      <c r="AH70" s="366">
        <f>VLOOKUP($E70,'7. PGE_Efficacité'!$A$6:$BT$266,(MATCH('4.3 ACE EFF CAN'!AH$4,'7. PGE_Efficacité'!$A$4:$BU$4,0)+31),0)</f>
        <v>0</v>
      </c>
      <c r="AI70" s="366">
        <f>VLOOKUP($E70,'7. PGE_Efficacité'!$A$6:$BT$266,(MATCH('4.3 ACE EFF CAN'!AI$4,'7. PGE_Efficacité'!$A$4:$BU$4,0)+31),0)</f>
        <v>0</v>
      </c>
      <c r="AJ70" s="366">
        <f>VLOOKUP($E70,'7. PGE_Efficacité'!$A$6:$BT$266,(MATCH('4.3 ACE EFF CAN'!AJ$4,'7. PGE_Efficacité'!$A$4:$BU$4,0)+31),0)</f>
        <v>0</v>
      </c>
      <c r="AK70" s="366">
        <f>VLOOKUP($E70,'7. PGE_Efficacité'!$A$6:$BT$266,(MATCH('4.3 ACE EFF CAN'!AK$4,'7. PGE_Efficacité'!$A$4:$BU$4,0)+31),0)</f>
        <v>0</v>
      </c>
      <c r="AL70" s="366">
        <f>VLOOKUP($E70,'7. PGE_Efficacité'!$A$6:$BT$266,(MATCH('4.3 ACE EFF CAN'!AL$4,'7. PGE_Efficacité'!$A$4:$BU$4,0)+31),0)</f>
        <v>0</v>
      </c>
      <c r="AM70" s="366">
        <f>VLOOKUP($E70,'7. PGE_Efficacité'!$A$6:$BT$266,(MATCH('4.3 ACE EFF CAN'!AM$4,'7. PGE_Efficacité'!$A$4:$BU$4,0)+31),0)</f>
        <v>0</v>
      </c>
      <c r="AN70" s="366">
        <f>VLOOKUP($E70,'7. PGE_Efficacité'!$A$6:$BT$266,(MATCH('4.3 ACE EFF CAN'!AN$4,'7. PGE_Efficacité'!$A$4:$BU$4,0)+31),0)</f>
        <v>0</v>
      </c>
    </row>
    <row r="71" spans="1:40" outlineLevel="2" x14ac:dyDescent="0.25">
      <c r="A71" s="154" t="s">
        <v>1524</v>
      </c>
      <c r="B71" s="154">
        <v>10</v>
      </c>
      <c r="C71" s="154" t="s">
        <v>1526</v>
      </c>
      <c r="D71" s="330" t="s">
        <v>9</v>
      </c>
      <c r="E71" s="330" t="s">
        <v>652</v>
      </c>
      <c r="F71" s="330" t="s">
        <v>1312</v>
      </c>
      <c r="G71" s="330" t="s">
        <v>1522</v>
      </c>
      <c r="H71" s="330" t="s">
        <v>1287</v>
      </c>
      <c r="I71" s="364">
        <f>900000/2</f>
        <v>450000</v>
      </c>
      <c r="J71" s="365">
        <f>VLOOKUP($E71,'7. PGE_Efficacité'!$A$6:$BT$266,(MATCH('4.3 ACE EFF CAN'!J$4,'7. PGE_Efficacité'!$A$4:$BU$4,0)+31),0)</f>
        <v>0</v>
      </c>
      <c r="K71" s="365">
        <f>VLOOKUP($E71,'7. PGE_Efficacité'!$A$6:$BT$266,(MATCH('4.3 ACE EFF CAN'!K$4,'7. PGE_Efficacité'!$A$4:$BU$4,0)+31),0)</f>
        <v>0</v>
      </c>
      <c r="L71" s="365">
        <f>VLOOKUP($E71,'7. PGE_Efficacité'!$A$6:$BT$266,(MATCH('4.3 ACE EFF CAN'!L$4,'7. PGE_Efficacité'!$A$4:$BU$4,0)+31),0)</f>
        <v>0</v>
      </c>
      <c r="M71" s="365">
        <f>VLOOKUP($E71,'7. PGE_Efficacité'!$A$6:$BT$266,(MATCH('4.3 ACE EFF CAN'!M$4,'7. PGE_Efficacité'!$A$4:$BU$4,0)+31),0)</f>
        <v>0</v>
      </c>
      <c r="N71" s="365">
        <f>VLOOKUP($E71,'7. PGE_Efficacité'!$A$6:$BT$266,(MATCH('4.3 ACE EFF CAN'!N$4,'7. PGE_Efficacité'!$A$4:$BU$4,0)+31),0)</f>
        <v>0</v>
      </c>
      <c r="O71" s="365">
        <f>VLOOKUP($E71,'7. PGE_Efficacité'!$A$6:$BT$266,(MATCH('4.3 ACE EFF CAN'!O$4,'7. PGE_Efficacité'!$A$4:$BU$4,0)+31),0)</f>
        <v>0</v>
      </c>
      <c r="P71" s="365">
        <f>VLOOKUP($E71,'7. PGE_Efficacité'!$A$6:$BT$266,(MATCH('4.3 ACE EFF CAN'!P$4,'7. PGE_Efficacité'!$A$4:$BU$4,0)+31),0)</f>
        <v>0</v>
      </c>
      <c r="Q71" s="365">
        <f>VLOOKUP($E71,'7. PGE_Efficacité'!$A$6:$BT$266,(MATCH('4.3 ACE EFF CAN'!Q$4,'7. PGE_Efficacité'!$A$4:$BU$4,0)+31),0)</f>
        <v>0</v>
      </c>
      <c r="R71" s="365">
        <f>VLOOKUP($E71,'7. PGE_Efficacité'!$A$6:$BT$266,(MATCH('4.3 ACE EFF CAN'!R$4,'7. PGE_Efficacité'!$A$4:$BU$4,0)+31),0)</f>
        <v>0</v>
      </c>
      <c r="S71" s="365">
        <f>VLOOKUP($E71,'7. PGE_Efficacité'!$A$6:$BT$266,(MATCH('4.3 ACE EFF CAN'!S$4,'7. PGE_Efficacité'!$A$4:$BU$4,0)+31),0)</f>
        <v>0</v>
      </c>
      <c r="T71" s="365">
        <f>VLOOKUP($E71,'7. PGE_Efficacité'!$A$6:$BT$266,(MATCH('4.3 ACE EFF CAN'!T$4,'7. PGE_Efficacité'!$A$4:$BU$4,0)+31),0)</f>
        <v>0</v>
      </c>
      <c r="U71" s="365">
        <f>VLOOKUP($E71,'7. PGE_Efficacité'!$A$6:$BT$266,(MATCH('4.3 ACE EFF CAN'!U$4,'7. PGE_Efficacité'!$A$4:$BU$4,0)+31),0)</f>
        <v>0</v>
      </c>
      <c r="V71" s="365">
        <f>VLOOKUP($E71,'7. PGE_Efficacité'!$A$6:$BT$266,(MATCH('4.3 ACE EFF CAN'!V$4,'7. PGE_Efficacité'!$A$4:$BU$4,0)+31),0)</f>
        <v>0</v>
      </c>
      <c r="W71" s="365">
        <f>VLOOKUP($E71,'7. PGE_Efficacité'!$A$6:$BT$266,(MATCH('4.3 ACE EFF CAN'!W$4,'7. PGE_Efficacité'!$A$4:$BU$4,0)+31),0)</f>
        <v>0</v>
      </c>
      <c r="X71" s="365">
        <f>VLOOKUP($E71,'7. PGE_Efficacité'!$A$6:$BT$266,(MATCH('4.3 ACE EFF CAN'!X$4,'7. PGE_Efficacité'!$A$4:$BU$4,0)+31),0)</f>
        <v>0</v>
      </c>
      <c r="Y71" s="366">
        <f>VLOOKUP($E71,'7. PGE_Efficacité'!$A$6:$BT$266,(MATCH('4.3 ACE EFF CAN'!Y$4,'7. PGE_Efficacité'!$A$4:$BU$4,0)+31),0)</f>
        <v>0</v>
      </c>
      <c r="Z71" s="366">
        <f>VLOOKUP($E71,'7. PGE_Efficacité'!$A$6:$BT$266,(MATCH('4.3 ACE EFF CAN'!Z$4,'7. PGE_Efficacité'!$A$4:$BU$4,0)+31),0)</f>
        <v>0</v>
      </c>
      <c r="AA71" s="366">
        <f>VLOOKUP($E71,'7. PGE_Efficacité'!$A$6:$BT$266,(MATCH('4.3 ACE EFF CAN'!AA$4,'7. PGE_Efficacité'!$A$4:$BU$4,0)+31),0)</f>
        <v>0</v>
      </c>
      <c r="AB71" s="366">
        <f>VLOOKUP($E71,'7. PGE_Efficacité'!$A$6:$BT$266,(MATCH('4.3 ACE EFF CAN'!AB$4,'7. PGE_Efficacité'!$A$4:$BU$4,0)+31),0)</f>
        <v>0</v>
      </c>
      <c r="AC71" s="366">
        <f>VLOOKUP($E71,'7. PGE_Efficacité'!$A$6:$BT$266,(MATCH('4.3 ACE EFF CAN'!AC$4,'7. PGE_Efficacité'!$A$4:$BU$4,0)+31),0)</f>
        <v>0</v>
      </c>
      <c r="AD71" s="366">
        <f>VLOOKUP($E71,'7. PGE_Efficacité'!$A$6:$BT$266,(MATCH('4.3 ACE EFF CAN'!AD$4,'7. PGE_Efficacité'!$A$4:$BU$4,0)+31),0)</f>
        <v>0</v>
      </c>
      <c r="AE71" s="366">
        <f>VLOOKUP($E71,'7. PGE_Efficacité'!$A$6:$BT$266,(MATCH('4.3 ACE EFF CAN'!AE$4,'7. PGE_Efficacité'!$A$4:$BU$4,0)+31),0)</f>
        <v>0</v>
      </c>
      <c r="AF71" s="366">
        <f>VLOOKUP($E71,'7. PGE_Efficacité'!$A$6:$BT$266,(MATCH('4.3 ACE EFF CAN'!AF$4,'7. PGE_Efficacité'!$A$4:$BU$4,0)+31),0)</f>
        <v>0</v>
      </c>
      <c r="AG71" s="366">
        <f>VLOOKUP($E71,'7. PGE_Efficacité'!$A$6:$BT$266,(MATCH('4.3 ACE EFF CAN'!AG$4,'7. PGE_Efficacité'!$A$4:$BU$4,0)+31),0)</f>
        <v>0</v>
      </c>
      <c r="AH71" s="366">
        <f>VLOOKUP($E71,'7. PGE_Efficacité'!$A$6:$BT$266,(MATCH('4.3 ACE EFF CAN'!AH$4,'7. PGE_Efficacité'!$A$4:$BU$4,0)+31),0)</f>
        <v>0</v>
      </c>
      <c r="AI71" s="366">
        <f>VLOOKUP($E71,'7. PGE_Efficacité'!$A$6:$BT$266,(MATCH('4.3 ACE EFF CAN'!AI$4,'7. PGE_Efficacité'!$A$4:$BU$4,0)+31),0)</f>
        <v>0</v>
      </c>
      <c r="AJ71" s="366">
        <f>VLOOKUP($E71,'7. PGE_Efficacité'!$A$6:$BT$266,(MATCH('4.3 ACE EFF CAN'!AJ$4,'7. PGE_Efficacité'!$A$4:$BU$4,0)+31),0)</f>
        <v>0</v>
      </c>
      <c r="AK71" s="366">
        <f>VLOOKUP($E71,'7. PGE_Efficacité'!$A$6:$BT$266,(MATCH('4.3 ACE EFF CAN'!AK$4,'7. PGE_Efficacité'!$A$4:$BU$4,0)+31),0)</f>
        <v>0</v>
      </c>
      <c r="AL71" s="366">
        <f>VLOOKUP($E71,'7. PGE_Efficacité'!$A$6:$BT$266,(MATCH('4.3 ACE EFF CAN'!AL$4,'7. PGE_Efficacité'!$A$4:$BU$4,0)+31),0)</f>
        <v>0</v>
      </c>
      <c r="AM71" s="366">
        <f>VLOOKUP($E71,'7. PGE_Efficacité'!$A$6:$BT$266,(MATCH('4.3 ACE EFF CAN'!AM$4,'7. PGE_Efficacité'!$A$4:$BU$4,0)+31),0)</f>
        <v>0</v>
      </c>
      <c r="AN71" s="366">
        <f>VLOOKUP($E71,'7. PGE_Efficacité'!$A$6:$BT$266,(MATCH('4.3 ACE EFF CAN'!AN$4,'7. PGE_Efficacité'!$A$4:$BU$4,0)+31),0)</f>
        <v>0</v>
      </c>
    </row>
    <row r="72" spans="1:40" outlineLevel="2" x14ac:dyDescent="0.25">
      <c r="A72" s="154" t="s">
        <v>1524</v>
      </c>
      <c r="B72" s="154">
        <v>10</v>
      </c>
      <c r="C72" s="154" t="s">
        <v>1527</v>
      </c>
      <c r="D72" s="330" t="s">
        <v>9</v>
      </c>
      <c r="E72" s="330" t="s">
        <v>653</v>
      </c>
      <c r="F72" s="330" t="s">
        <v>1313</v>
      </c>
      <c r="G72" s="330" t="s">
        <v>1522</v>
      </c>
      <c r="H72" s="330" t="s">
        <v>1290</v>
      </c>
      <c r="I72" s="364">
        <v>0</v>
      </c>
      <c r="J72" s="365">
        <f>VLOOKUP($E72,'7. PGE_Efficacité'!$A$6:$BT$266,(MATCH('4.3 ACE EFF CAN'!J$4,'7. PGE_Efficacité'!$A$4:$BU$4,0)+31),0)</f>
        <v>0</v>
      </c>
      <c r="K72" s="365">
        <f>VLOOKUP($E72,'7. PGE_Efficacité'!$A$6:$BT$266,(MATCH('4.3 ACE EFF CAN'!K$4,'7. PGE_Efficacité'!$A$4:$BU$4,0)+31),0)</f>
        <v>0</v>
      </c>
      <c r="L72" s="365">
        <f>VLOOKUP($E72,'7. PGE_Efficacité'!$A$6:$BT$266,(MATCH('4.3 ACE EFF CAN'!L$4,'7. PGE_Efficacité'!$A$4:$BU$4,0)+31),0)</f>
        <v>0</v>
      </c>
      <c r="M72" s="365">
        <f>VLOOKUP($E72,'7. PGE_Efficacité'!$A$6:$BT$266,(MATCH('4.3 ACE EFF CAN'!M$4,'7. PGE_Efficacité'!$A$4:$BU$4,0)+31),0)</f>
        <v>0</v>
      </c>
      <c r="N72" s="365">
        <f>VLOOKUP($E72,'7. PGE_Efficacité'!$A$6:$BT$266,(MATCH('4.3 ACE EFF CAN'!N$4,'7. PGE_Efficacité'!$A$4:$BU$4,0)+31),0)</f>
        <v>0</v>
      </c>
      <c r="O72" s="365">
        <f>VLOOKUP($E72,'7. PGE_Efficacité'!$A$6:$BT$266,(MATCH('4.3 ACE EFF CAN'!O$4,'7. PGE_Efficacité'!$A$4:$BU$4,0)+31),0)</f>
        <v>0</v>
      </c>
      <c r="P72" s="365">
        <f>VLOOKUP($E72,'7. PGE_Efficacité'!$A$6:$BT$266,(MATCH('4.3 ACE EFF CAN'!P$4,'7. PGE_Efficacité'!$A$4:$BU$4,0)+31),0)</f>
        <v>0</v>
      </c>
      <c r="Q72" s="365">
        <f>VLOOKUP($E72,'7. PGE_Efficacité'!$A$6:$BT$266,(MATCH('4.3 ACE EFF CAN'!Q$4,'7. PGE_Efficacité'!$A$4:$BU$4,0)+31),0)</f>
        <v>0</v>
      </c>
      <c r="R72" s="365">
        <f>VLOOKUP($E72,'7. PGE_Efficacité'!$A$6:$BT$266,(MATCH('4.3 ACE EFF CAN'!R$4,'7. PGE_Efficacité'!$A$4:$BU$4,0)+31),0)</f>
        <v>0</v>
      </c>
      <c r="S72" s="365">
        <f>VLOOKUP($E72,'7. PGE_Efficacité'!$A$6:$BT$266,(MATCH('4.3 ACE EFF CAN'!S$4,'7. PGE_Efficacité'!$A$4:$BU$4,0)+31),0)</f>
        <v>0</v>
      </c>
      <c r="T72" s="365">
        <f>VLOOKUP($E72,'7. PGE_Efficacité'!$A$6:$BT$266,(MATCH('4.3 ACE EFF CAN'!T$4,'7. PGE_Efficacité'!$A$4:$BU$4,0)+31),0)</f>
        <v>0</v>
      </c>
      <c r="U72" s="365">
        <f>VLOOKUP($E72,'7. PGE_Efficacité'!$A$6:$BT$266,(MATCH('4.3 ACE EFF CAN'!U$4,'7. PGE_Efficacité'!$A$4:$BU$4,0)+31),0)</f>
        <v>0</v>
      </c>
      <c r="V72" s="365">
        <f>VLOOKUP($E72,'7. PGE_Efficacité'!$A$6:$BT$266,(MATCH('4.3 ACE EFF CAN'!V$4,'7. PGE_Efficacité'!$A$4:$BU$4,0)+31),0)</f>
        <v>0</v>
      </c>
      <c r="W72" s="365">
        <f>VLOOKUP($E72,'7. PGE_Efficacité'!$A$6:$BT$266,(MATCH('4.3 ACE EFF CAN'!W$4,'7. PGE_Efficacité'!$A$4:$BU$4,0)+31),0)</f>
        <v>0</v>
      </c>
      <c r="X72" s="365">
        <f>VLOOKUP($E72,'7. PGE_Efficacité'!$A$6:$BT$266,(MATCH('4.3 ACE EFF CAN'!X$4,'7. PGE_Efficacité'!$A$4:$BU$4,0)+31),0)</f>
        <v>0</v>
      </c>
      <c r="Y72" s="366">
        <f>VLOOKUP($E72,'7. PGE_Efficacité'!$A$6:$BT$266,(MATCH('4.3 ACE EFF CAN'!Y$4,'7. PGE_Efficacité'!$A$4:$BU$4,0)+31),0)</f>
        <v>0</v>
      </c>
      <c r="Z72" s="366">
        <f>VLOOKUP($E72,'7. PGE_Efficacité'!$A$6:$BT$266,(MATCH('4.3 ACE EFF CAN'!Z$4,'7. PGE_Efficacité'!$A$4:$BU$4,0)+31),0)</f>
        <v>0</v>
      </c>
      <c r="AA72" s="366">
        <f>VLOOKUP($E72,'7. PGE_Efficacité'!$A$6:$BT$266,(MATCH('4.3 ACE EFF CAN'!AA$4,'7. PGE_Efficacité'!$A$4:$BU$4,0)+31),0)</f>
        <v>0</v>
      </c>
      <c r="AB72" s="366">
        <f>VLOOKUP($E72,'7. PGE_Efficacité'!$A$6:$BT$266,(MATCH('4.3 ACE EFF CAN'!AB$4,'7. PGE_Efficacité'!$A$4:$BU$4,0)+31),0)</f>
        <v>0</v>
      </c>
      <c r="AC72" s="366">
        <f>VLOOKUP($E72,'7. PGE_Efficacité'!$A$6:$BT$266,(MATCH('4.3 ACE EFF CAN'!AC$4,'7. PGE_Efficacité'!$A$4:$BU$4,0)+31),0)</f>
        <v>0</v>
      </c>
      <c r="AD72" s="366">
        <f>VLOOKUP($E72,'7. PGE_Efficacité'!$A$6:$BT$266,(MATCH('4.3 ACE EFF CAN'!AD$4,'7. PGE_Efficacité'!$A$4:$BU$4,0)+31),0)</f>
        <v>0</v>
      </c>
      <c r="AE72" s="366">
        <f>VLOOKUP($E72,'7. PGE_Efficacité'!$A$6:$BT$266,(MATCH('4.3 ACE EFF CAN'!AE$4,'7. PGE_Efficacité'!$A$4:$BU$4,0)+31),0)</f>
        <v>0</v>
      </c>
      <c r="AF72" s="366">
        <f>VLOOKUP($E72,'7. PGE_Efficacité'!$A$6:$BT$266,(MATCH('4.3 ACE EFF CAN'!AF$4,'7. PGE_Efficacité'!$A$4:$BU$4,0)+31),0)</f>
        <v>0</v>
      </c>
      <c r="AG72" s="366">
        <f>VLOOKUP($E72,'7. PGE_Efficacité'!$A$6:$BT$266,(MATCH('4.3 ACE EFF CAN'!AG$4,'7. PGE_Efficacité'!$A$4:$BU$4,0)+31),0)</f>
        <v>0</v>
      </c>
      <c r="AH72" s="366">
        <f>VLOOKUP($E72,'7. PGE_Efficacité'!$A$6:$BT$266,(MATCH('4.3 ACE EFF CAN'!AH$4,'7. PGE_Efficacité'!$A$4:$BU$4,0)+31),0)</f>
        <v>0</v>
      </c>
      <c r="AI72" s="366">
        <f>VLOOKUP($E72,'7. PGE_Efficacité'!$A$6:$BT$266,(MATCH('4.3 ACE EFF CAN'!AI$4,'7. PGE_Efficacité'!$A$4:$BU$4,0)+31),0)</f>
        <v>0</v>
      </c>
      <c r="AJ72" s="366">
        <f>VLOOKUP($E72,'7. PGE_Efficacité'!$A$6:$BT$266,(MATCH('4.3 ACE EFF CAN'!AJ$4,'7. PGE_Efficacité'!$A$4:$BU$4,0)+31),0)</f>
        <v>0</v>
      </c>
      <c r="AK72" s="366">
        <f>VLOOKUP($E72,'7. PGE_Efficacité'!$A$6:$BT$266,(MATCH('4.3 ACE EFF CAN'!AK$4,'7. PGE_Efficacité'!$A$4:$BU$4,0)+31),0)</f>
        <v>0</v>
      </c>
      <c r="AL72" s="366">
        <f>VLOOKUP($E72,'7. PGE_Efficacité'!$A$6:$BT$266,(MATCH('4.3 ACE EFF CAN'!AL$4,'7. PGE_Efficacité'!$A$4:$BU$4,0)+31),0)</f>
        <v>0</v>
      </c>
      <c r="AM72" s="366">
        <f>VLOOKUP($E72,'7. PGE_Efficacité'!$A$6:$BT$266,(MATCH('4.3 ACE EFF CAN'!AM$4,'7. PGE_Efficacité'!$A$4:$BU$4,0)+31),0)</f>
        <v>0</v>
      </c>
      <c r="AN72" s="366">
        <f>VLOOKUP($E72,'7. PGE_Efficacité'!$A$6:$BT$266,(MATCH('4.3 ACE EFF CAN'!AN$4,'7. PGE_Efficacité'!$A$4:$BU$4,0)+31),0)</f>
        <v>0</v>
      </c>
    </row>
    <row r="73" spans="1:40" outlineLevel="1" x14ac:dyDescent="0.25">
      <c r="A73" s="154"/>
      <c r="B73" s="154"/>
      <c r="C73" s="154"/>
      <c r="D73" s="360" t="s">
        <v>10</v>
      </c>
      <c r="E73" s="360"/>
      <c r="F73" s="361" t="str">
        <f>VLOOKUP(D73,'1. Mesures'!$A$2:$B$116,2,0)</f>
        <v>Assurer la gestion des déchets macroscopiques dans les masses d'eau, en particulier après les épisodes de déversement</v>
      </c>
      <c r="G73" s="360"/>
      <c r="H73" s="360"/>
      <c r="I73" s="362">
        <f>SUBTOTAL(9,I74:I83)</f>
        <v>222000</v>
      </c>
      <c r="J73" s="366">
        <f>VLOOKUP($D73,'7. PGE_Efficacité'!$A$6:$BT$266,(MATCH('4.3 ACE EFF CAN'!J$4,'7. PGE_Efficacité'!$A$4:$AO$4,0)+31),0)</f>
        <v>0</v>
      </c>
      <c r="K73" s="366">
        <f>VLOOKUP($D73,'7. PGE_Efficacité'!$A$6:$BT$266,(MATCH('4.3 ACE EFF CAN'!K$4,'7. PGE_Efficacité'!$A$4:$AO$4,0)+31),0)</f>
        <v>0</v>
      </c>
      <c r="L73" s="366">
        <f>VLOOKUP($D73,'7. PGE_Efficacité'!$A$6:$BT$266,(MATCH('4.3 ACE EFF CAN'!L$4,'7. PGE_Efficacité'!$A$4:$AO$4,0)+31),0)</f>
        <v>0</v>
      </c>
      <c r="M73" s="366">
        <f>VLOOKUP($D73,'7. PGE_Efficacité'!$A$6:$BT$266,(MATCH('4.3 ACE EFF CAN'!M$4,'7. PGE_Efficacité'!$A$4:$AO$4,0)+31),0)</f>
        <v>0</v>
      </c>
      <c r="N73" s="366">
        <f>VLOOKUP($D73,'7. PGE_Efficacité'!$A$6:$BT$266,(MATCH('4.3 ACE EFF CAN'!N$4,'7. PGE_Efficacité'!$A$4:$AO$4,0)+31),0)</f>
        <v>0</v>
      </c>
      <c r="O73" s="366">
        <f>VLOOKUP($D73,'7. PGE_Efficacité'!$A$6:$BT$266,47,0)</f>
        <v>0</v>
      </c>
      <c r="P73" s="366">
        <f>VLOOKUP($D73,'7. PGE_Efficacité'!$A$6:$BT$266,(MATCH('4.3 ACE EFF CAN'!P$4,'7. PGE_Efficacité'!$A$4:$AO$4,0)+31),0)</f>
        <v>0</v>
      </c>
      <c r="Q73" s="366">
        <f>VLOOKUP($D73,'7. PGE_Efficacité'!$A$6:$BT$266,(MATCH('4.3 ACE EFF CAN'!Q$4,'7. PGE_Efficacité'!$A$4:$AO$4,0)+31),0)</f>
        <v>0</v>
      </c>
      <c r="R73" s="366">
        <f>VLOOKUP($D73,'7. PGE_Efficacité'!$A$6:$BT$266,(MATCH('4.3 ACE EFF CAN'!R$4,'7. PGE_Efficacité'!$A$4:$AO$4,0)+31),0)</f>
        <v>0</v>
      </c>
      <c r="S73" s="366">
        <f>VLOOKUP($D73,'7. PGE_Efficacité'!$A$6:$BT$266,(MATCH('4.3 ACE EFF CAN'!S$4,'7. PGE_Efficacité'!$A$4:$AO$4,0)+31),0)</f>
        <v>0</v>
      </c>
      <c r="T73" s="366">
        <f>VLOOKUP($D73,'7. PGE_Efficacité'!$A$6:$BT$266,(MATCH('4.3 ACE EFF CAN'!T$4,'7. PGE_Efficacité'!$A$4:$AO$4,0)+31),0)</f>
        <v>0</v>
      </c>
      <c r="U73" s="366">
        <f>VLOOKUP($D73,'7. PGE_Efficacité'!$A$6:$BT$266,(MATCH('4.3 ACE EFF CAN'!U$4,'7. PGE_Efficacité'!$A$4:$AO$4,0)+31),0)</f>
        <v>0</v>
      </c>
      <c r="V73" s="366">
        <f>VLOOKUP($D73,'7. PGE_Efficacité'!$A$6:$BT$266,(MATCH('4.3 ACE EFF CAN'!V$4,'7. PGE_Efficacité'!$A$4:$AO$4,0)+31),0)</f>
        <v>0</v>
      </c>
      <c r="W73" s="366">
        <f>VLOOKUP($D73,'7. PGE_Efficacité'!$A$6:$BT$266,(MATCH('4.3 ACE EFF CAN'!W$4,'7. PGE_Efficacité'!$A$4:$AO$4,0)+31),0)</f>
        <v>0</v>
      </c>
      <c r="X73" s="366">
        <f>VLOOKUP($D73,'7. PGE_Efficacité'!$A$6:$BT$266,(MATCH('4.3 ACE EFF CAN'!X$4,'7. PGE_Efficacité'!$A$4:$AO$4,0)+31),0)</f>
        <v>0</v>
      </c>
      <c r="Y73" s="366" t="str">
        <f>VLOOKUP($D73,'7. PGE_Efficacité'!$A$6:$BT$266,(MATCH('4.3 ACE EFF CAN'!Y$4,'7. PGE_Efficacité'!$A$4:$AO$4,0)+31),0)</f>
        <v>+</v>
      </c>
      <c r="Z73" s="366">
        <f>VLOOKUP($D73,'7. PGE_Efficacité'!$A$6:$BT$266,(MATCH('4.3 ACE EFF CAN'!Z$4,'7. PGE_Efficacité'!$A$4:$AO$4,0)+31),0)</f>
        <v>0</v>
      </c>
      <c r="AA73" s="366">
        <f>VLOOKUP($D73,'7. PGE_Efficacité'!$A$6:$BT$266,(MATCH('4.3 ACE EFF CAN'!AA$4,'7. PGE_Efficacité'!$A$4:$AO$4,0)+31),0)</f>
        <v>0</v>
      </c>
      <c r="AB73" s="366">
        <f>VLOOKUP($D73,'7. PGE_Efficacité'!$A$6:$BT$266,(MATCH('4.3 ACE EFF CAN'!AB$4,'7. PGE_Efficacité'!$A$4:$AO$4,0)+31),0)</f>
        <v>0</v>
      </c>
      <c r="AC73" s="366">
        <f>VLOOKUP($D73,'7. PGE_Efficacité'!$A$6:$BT$266,(MATCH('4.3 ACE EFF CAN'!AC$4,'7. PGE_Efficacité'!$A$4:$AO$4,0)+31),0)</f>
        <v>0</v>
      </c>
      <c r="AD73" s="366">
        <f>VLOOKUP($D73,'7. PGE_Efficacité'!$A$6:$BT$266,(MATCH('4.3 ACE EFF CAN'!AD$4,'7. PGE_Efficacité'!$A$4:$AO$4,0)+31),0)</f>
        <v>0</v>
      </c>
      <c r="AE73" s="366">
        <f>VLOOKUP($D73,'7. PGE_Efficacité'!$A$6:$BT$266,(MATCH('4.3 ACE EFF CAN'!AE$4,'7. PGE_Efficacité'!$A$4:$AO$4,0)+31),0)</f>
        <v>0</v>
      </c>
      <c r="AF73" s="366">
        <f>VLOOKUP($D73,'7. PGE_Efficacité'!$A$6:$BT$266,(MATCH('4.3 ACE EFF CAN'!AF$4,'7. PGE_Efficacité'!$A$4:$AO$4,0)+31),0)</f>
        <v>0</v>
      </c>
      <c r="AG73" s="366">
        <f>VLOOKUP($D73,'7. PGE_Efficacité'!$A$6:$BT$266,(MATCH('4.3 ACE EFF CAN'!AG$4,'7. PGE_Efficacité'!$A$4:$AO$4,0)+31),0)</f>
        <v>0</v>
      </c>
      <c r="AH73" s="366">
        <f>VLOOKUP($D73,'7. PGE_Efficacité'!$A$6:$BT$266,(MATCH('4.3 ACE EFF CAN'!AH$4,'7. PGE_Efficacité'!$A$4:$AO$4,0)+31),0)</f>
        <v>0</v>
      </c>
      <c r="AI73" s="366">
        <f>VLOOKUP($D73,'7. PGE_Efficacité'!$A$6:$BT$266,(MATCH('4.3 ACE EFF CAN'!AI$4,'7. PGE_Efficacité'!$A$4:$AO$4,0)+31),0)</f>
        <v>0</v>
      </c>
      <c r="AJ73" s="366">
        <f>VLOOKUP($D73,'7. PGE_Efficacité'!$A$6:$BT$266,(MATCH('4.3 ACE EFF CAN'!AJ$4,'7. PGE_Efficacité'!$A$4:$AO$4,0)+31),0)</f>
        <v>0</v>
      </c>
      <c r="AK73" s="366">
        <f>VLOOKUP($D73,'7. PGE_Efficacité'!$A$6:$BT$266,(MATCH('4.3 ACE EFF CAN'!AK$4,'7. PGE_Efficacité'!$A$4:$AO$4,0)+31),0)</f>
        <v>0</v>
      </c>
      <c r="AL73" s="366">
        <f>VLOOKUP($D73,'7. PGE_Efficacité'!$A$6:$BT$266,(MATCH('4.3 ACE EFF CAN'!AL$4,'7. PGE_Efficacité'!$A$4:$AO$4,0)+31),0)</f>
        <v>0</v>
      </c>
      <c r="AM73" s="366" t="str">
        <f>VLOOKUP($D73,'7. PGE_Efficacité'!$A$6:$BT$266,(MATCH('4.3 ACE EFF CAN'!AM$4,'7. PGE_Efficacité'!$A$4:$AO$4,0)+31),0)</f>
        <v>+</v>
      </c>
      <c r="AN73" s="366" t="str">
        <f>VLOOKUP($D73,'7. PGE_Efficacité'!$A$6:$BT$266,(MATCH('4.3 ACE EFF CAN'!AN$4,'7. PGE_Efficacité'!$A$4:$AO$4,0)+31),0)</f>
        <v>+</v>
      </c>
    </row>
    <row r="74" spans="1:40" outlineLevel="2" x14ac:dyDescent="0.25">
      <c r="A74" s="154" t="s">
        <v>1524</v>
      </c>
      <c r="B74" s="154">
        <v>11</v>
      </c>
      <c r="C74" s="154" t="s">
        <v>1524</v>
      </c>
      <c r="D74" s="330" t="s">
        <v>10</v>
      </c>
      <c r="E74" s="330" t="s">
        <v>654</v>
      </c>
      <c r="F74" s="330" t="s">
        <v>1314</v>
      </c>
      <c r="G74" s="330" t="s">
        <v>1520</v>
      </c>
      <c r="H74" s="330" t="s">
        <v>414</v>
      </c>
      <c r="I74" s="364">
        <v>0</v>
      </c>
      <c r="J74" s="365">
        <f>VLOOKUP($E74,'7. PGE_Efficacité'!$A$6:$BT$266,(MATCH('4.3 ACE EFF CAN'!J$4,'7. PGE_Efficacité'!$A$4:$BU$4,0)+31),0)</f>
        <v>0</v>
      </c>
      <c r="K74" s="365">
        <f>VLOOKUP($E74,'7. PGE_Efficacité'!$A$6:$BT$266,(MATCH('4.3 ACE EFF CAN'!K$4,'7. PGE_Efficacité'!$A$4:$BU$4,0)+31),0)</f>
        <v>0</v>
      </c>
      <c r="L74" s="365">
        <f>VLOOKUP($E74,'7. PGE_Efficacité'!$A$6:$BT$266,(MATCH('4.3 ACE EFF CAN'!L$4,'7. PGE_Efficacité'!$A$4:$BU$4,0)+31),0)</f>
        <v>0</v>
      </c>
      <c r="M74" s="365">
        <f>VLOOKUP($E74,'7. PGE_Efficacité'!$A$6:$BT$266,(MATCH('4.3 ACE EFF CAN'!M$4,'7. PGE_Efficacité'!$A$4:$BU$4,0)+31),0)</f>
        <v>0</v>
      </c>
      <c r="N74" s="365">
        <f>VLOOKUP($E74,'7. PGE_Efficacité'!$A$6:$BT$266,(MATCH('4.3 ACE EFF CAN'!N$4,'7. PGE_Efficacité'!$A$4:$BU$4,0)+31),0)</f>
        <v>0</v>
      </c>
      <c r="O74" s="365">
        <f>VLOOKUP($E74,'7. PGE_Efficacité'!$A$6:$BT$266,(MATCH('4.3 ACE EFF CAN'!O$4,'7. PGE_Efficacité'!$A$4:$BU$4,0)+31),0)</f>
        <v>0</v>
      </c>
      <c r="P74" s="365">
        <f>VLOOKUP($E74,'7. PGE_Efficacité'!$A$6:$BT$266,(MATCH('4.3 ACE EFF CAN'!P$4,'7. PGE_Efficacité'!$A$4:$BU$4,0)+31),0)</f>
        <v>0</v>
      </c>
      <c r="Q74" s="365">
        <f>VLOOKUP($E74,'7. PGE_Efficacité'!$A$6:$BT$266,(MATCH('4.3 ACE EFF CAN'!Q$4,'7. PGE_Efficacité'!$A$4:$BU$4,0)+31),0)</f>
        <v>0</v>
      </c>
      <c r="R74" s="365">
        <f>VLOOKUP($E74,'7. PGE_Efficacité'!$A$6:$BT$266,(MATCH('4.3 ACE EFF CAN'!R$4,'7. PGE_Efficacité'!$A$4:$BU$4,0)+31),0)</f>
        <v>0</v>
      </c>
      <c r="S74" s="365">
        <f>VLOOKUP($E74,'7. PGE_Efficacité'!$A$6:$BT$266,(MATCH('4.3 ACE EFF CAN'!S$4,'7. PGE_Efficacité'!$A$4:$BU$4,0)+31),0)</f>
        <v>0</v>
      </c>
      <c r="T74" s="365">
        <f>VLOOKUP($E74,'7. PGE_Efficacité'!$A$6:$BT$266,(MATCH('4.3 ACE EFF CAN'!T$4,'7. PGE_Efficacité'!$A$4:$BU$4,0)+31),0)</f>
        <v>0</v>
      </c>
      <c r="U74" s="365">
        <f>VLOOKUP($E74,'7. PGE_Efficacité'!$A$6:$BT$266,(MATCH('4.3 ACE EFF CAN'!U$4,'7. PGE_Efficacité'!$A$4:$BU$4,0)+31),0)</f>
        <v>0</v>
      </c>
      <c r="V74" s="365">
        <f>VLOOKUP($E74,'7. PGE_Efficacité'!$A$6:$BT$266,(MATCH('4.3 ACE EFF CAN'!V$4,'7. PGE_Efficacité'!$A$4:$BU$4,0)+31),0)</f>
        <v>0</v>
      </c>
      <c r="W74" s="365">
        <f>VLOOKUP($E74,'7. PGE_Efficacité'!$A$6:$BT$266,(MATCH('4.3 ACE EFF CAN'!W$4,'7. PGE_Efficacité'!$A$4:$BU$4,0)+31),0)</f>
        <v>0</v>
      </c>
      <c r="X74" s="365">
        <f>VLOOKUP($E74,'7. PGE_Efficacité'!$A$6:$BT$266,(MATCH('4.3 ACE EFF CAN'!X$4,'7. PGE_Efficacité'!$A$4:$BU$4,0)+31),0)</f>
        <v>0</v>
      </c>
      <c r="Y74" s="366">
        <f>VLOOKUP($E74,'7. PGE_Efficacité'!$A$6:$BT$266,(MATCH('4.3 ACE EFF CAN'!Y$4,'7. PGE_Efficacité'!$A$4:$BU$4,0)+31),0)</f>
        <v>0</v>
      </c>
      <c r="Z74" s="366">
        <f>VLOOKUP($E74,'7. PGE_Efficacité'!$A$6:$BT$266,(MATCH('4.3 ACE EFF CAN'!Z$4,'7. PGE_Efficacité'!$A$4:$BU$4,0)+31),0)</f>
        <v>0</v>
      </c>
      <c r="AA74" s="366">
        <f>VLOOKUP($E74,'7. PGE_Efficacité'!$A$6:$BT$266,(MATCH('4.3 ACE EFF CAN'!AA$4,'7. PGE_Efficacité'!$A$4:$BU$4,0)+31),0)</f>
        <v>0</v>
      </c>
      <c r="AB74" s="366">
        <f>VLOOKUP($E74,'7. PGE_Efficacité'!$A$6:$BT$266,(MATCH('4.3 ACE EFF CAN'!AB$4,'7. PGE_Efficacité'!$A$4:$BU$4,0)+31),0)</f>
        <v>0</v>
      </c>
      <c r="AC74" s="366">
        <f>VLOOKUP($E74,'7. PGE_Efficacité'!$A$6:$BT$266,(MATCH('4.3 ACE EFF CAN'!AC$4,'7. PGE_Efficacité'!$A$4:$BU$4,0)+31),0)</f>
        <v>0</v>
      </c>
      <c r="AD74" s="366">
        <f>VLOOKUP($E74,'7. PGE_Efficacité'!$A$6:$BT$266,(MATCH('4.3 ACE EFF CAN'!AD$4,'7. PGE_Efficacité'!$A$4:$BU$4,0)+31),0)</f>
        <v>0</v>
      </c>
      <c r="AE74" s="366">
        <f>VLOOKUP($E74,'7. PGE_Efficacité'!$A$6:$BT$266,(MATCH('4.3 ACE EFF CAN'!AE$4,'7. PGE_Efficacité'!$A$4:$BU$4,0)+31),0)</f>
        <v>0</v>
      </c>
      <c r="AF74" s="366">
        <f>VLOOKUP($E74,'7. PGE_Efficacité'!$A$6:$BT$266,(MATCH('4.3 ACE EFF CAN'!AF$4,'7. PGE_Efficacité'!$A$4:$BU$4,0)+31),0)</f>
        <v>0</v>
      </c>
      <c r="AG74" s="366">
        <f>VLOOKUP($E74,'7. PGE_Efficacité'!$A$6:$BT$266,(MATCH('4.3 ACE EFF CAN'!AG$4,'7. PGE_Efficacité'!$A$4:$BU$4,0)+31),0)</f>
        <v>0</v>
      </c>
      <c r="AH74" s="366">
        <f>VLOOKUP($E74,'7. PGE_Efficacité'!$A$6:$BT$266,(MATCH('4.3 ACE EFF CAN'!AH$4,'7. PGE_Efficacité'!$A$4:$BU$4,0)+31),0)</f>
        <v>0</v>
      </c>
      <c r="AI74" s="366">
        <f>VLOOKUP($E74,'7. PGE_Efficacité'!$A$6:$BT$266,(MATCH('4.3 ACE EFF CAN'!AI$4,'7. PGE_Efficacité'!$A$4:$BU$4,0)+31),0)</f>
        <v>0</v>
      </c>
      <c r="AJ74" s="366">
        <f>VLOOKUP($E74,'7. PGE_Efficacité'!$A$6:$BT$266,(MATCH('4.3 ACE EFF CAN'!AJ$4,'7. PGE_Efficacité'!$A$4:$BU$4,0)+31),0)</f>
        <v>0</v>
      </c>
      <c r="AK74" s="366">
        <f>VLOOKUP($E74,'7. PGE_Efficacité'!$A$6:$BT$266,(MATCH('4.3 ACE EFF CAN'!AK$4,'7. PGE_Efficacité'!$A$4:$BU$4,0)+31),0)</f>
        <v>0</v>
      </c>
      <c r="AL74" s="366">
        <f>VLOOKUP($E74,'7. PGE_Efficacité'!$A$6:$BT$266,(MATCH('4.3 ACE EFF CAN'!AL$4,'7. PGE_Efficacité'!$A$4:$BU$4,0)+31),0)</f>
        <v>0</v>
      </c>
      <c r="AM74" s="366">
        <f>VLOOKUP($E74,'7. PGE_Efficacité'!$A$6:$BT$266,(MATCH('4.3 ACE EFF CAN'!AM$4,'7. PGE_Efficacité'!$A$4:$BU$4,0)+31),0)</f>
        <v>0</v>
      </c>
      <c r="AN74" s="366">
        <f>VLOOKUP($E74,'7. PGE_Efficacité'!$A$6:$BT$266,(MATCH('4.3 ACE EFF CAN'!AN$4,'7. PGE_Efficacité'!$A$4:$BU$4,0)+31),0)</f>
        <v>0</v>
      </c>
    </row>
    <row r="75" spans="1:40" outlineLevel="2" x14ac:dyDescent="0.25">
      <c r="A75" s="154" t="s">
        <v>1524</v>
      </c>
      <c r="B75" s="154">
        <v>11</v>
      </c>
      <c r="C75" s="154" t="s">
        <v>1525</v>
      </c>
      <c r="D75" s="330" t="s">
        <v>10</v>
      </c>
      <c r="E75" s="330" t="s">
        <v>657</v>
      </c>
      <c r="F75" s="330" t="s">
        <v>1317</v>
      </c>
      <c r="G75" s="330" t="s">
        <v>1520</v>
      </c>
      <c r="H75" s="330" t="s">
        <v>414</v>
      </c>
      <c r="I75" s="364">
        <v>0</v>
      </c>
      <c r="J75" s="365">
        <f>VLOOKUP($E75,'7. PGE_Efficacité'!$A$6:$BT$266,(MATCH('4.3 ACE EFF CAN'!J$4,'7. PGE_Efficacité'!$A$4:$BU$4,0)+31),0)</f>
        <v>0</v>
      </c>
      <c r="K75" s="365">
        <f>VLOOKUP($E75,'7. PGE_Efficacité'!$A$6:$BT$266,(MATCH('4.3 ACE EFF CAN'!K$4,'7. PGE_Efficacité'!$A$4:$BU$4,0)+31),0)</f>
        <v>0</v>
      </c>
      <c r="L75" s="365">
        <f>VLOOKUP($E75,'7. PGE_Efficacité'!$A$6:$BT$266,(MATCH('4.3 ACE EFF CAN'!L$4,'7. PGE_Efficacité'!$A$4:$BU$4,0)+31),0)</f>
        <v>0</v>
      </c>
      <c r="M75" s="365">
        <f>VLOOKUP($E75,'7. PGE_Efficacité'!$A$6:$BT$266,(MATCH('4.3 ACE EFF CAN'!M$4,'7. PGE_Efficacité'!$A$4:$BU$4,0)+31),0)</f>
        <v>0</v>
      </c>
      <c r="N75" s="365">
        <f>VLOOKUP($E75,'7. PGE_Efficacité'!$A$6:$BT$266,(MATCH('4.3 ACE EFF CAN'!N$4,'7. PGE_Efficacité'!$A$4:$BU$4,0)+31),0)</f>
        <v>0</v>
      </c>
      <c r="O75" s="365">
        <f>VLOOKUP($E75,'7. PGE_Efficacité'!$A$6:$BT$266,(MATCH('4.3 ACE EFF CAN'!O$4,'7. PGE_Efficacité'!$A$4:$BU$4,0)+31),0)</f>
        <v>0</v>
      </c>
      <c r="P75" s="365">
        <f>VLOOKUP($E75,'7. PGE_Efficacité'!$A$6:$BT$266,(MATCH('4.3 ACE EFF CAN'!P$4,'7. PGE_Efficacité'!$A$4:$BU$4,0)+31),0)</f>
        <v>0</v>
      </c>
      <c r="Q75" s="365">
        <f>VLOOKUP($E75,'7. PGE_Efficacité'!$A$6:$BT$266,(MATCH('4.3 ACE EFF CAN'!Q$4,'7. PGE_Efficacité'!$A$4:$BU$4,0)+31),0)</f>
        <v>0</v>
      </c>
      <c r="R75" s="365">
        <f>VLOOKUP($E75,'7. PGE_Efficacité'!$A$6:$BT$266,(MATCH('4.3 ACE EFF CAN'!R$4,'7. PGE_Efficacité'!$A$4:$BU$4,0)+31),0)</f>
        <v>0</v>
      </c>
      <c r="S75" s="365">
        <f>VLOOKUP($E75,'7. PGE_Efficacité'!$A$6:$BT$266,(MATCH('4.3 ACE EFF CAN'!S$4,'7. PGE_Efficacité'!$A$4:$BU$4,0)+31),0)</f>
        <v>0</v>
      </c>
      <c r="T75" s="365">
        <f>VLOOKUP($E75,'7. PGE_Efficacité'!$A$6:$BT$266,(MATCH('4.3 ACE EFF CAN'!T$4,'7. PGE_Efficacité'!$A$4:$BU$4,0)+31),0)</f>
        <v>0</v>
      </c>
      <c r="U75" s="365">
        <f>VLOOKUP($E75,'7. PGE_Efficacité'!$A$6:$BT$266,(MATCH('4.3 ACE EFF CAN'!U$4,'7. PGE_Efficacité'!$A$4:$BU$4,0)+31),0)</f>
        <v>0</v>
      </c>
      <c r="V75" s="365">
        <f>VLOOKUP($E75,'7. PGE_Efficacité'!$A$6:$BT$266,(MATCH('4.3 ACE EFF CAN'!V$4,'7. PGE_Efficacité'!$A$4:$BU$4,0)+31),0)</f>
        <v>0</v>
      </c>
      <c r="W75" s="365">
        <f>VLOOKUP($E75,'7. PGE_Efficacité'!$A$6:$BT$266,(MATCH('4.3 ACE EFF CAN'!W$4,'7. PGE_Efficacité'!$A$4:$BU$4,0)+31),0)</f>
        <v>0</v>
      </c>
      <c r="X75" s="365">
        <f>VLOOKUP($E75,'7. PGE_Efficacité'!$A$6:$BT$266,(MATCH('4.3 ACE EFF CAN'!X$4,'7. PGE_Efficacité'!$A$4:$BU$4,0)+31),0)</f>
        <v>0</v>
      </c>
      <c r="Y75" s="366">
        <f>VLOOKUP($E75,'7. PGE_Efficacité'!$A$6:$BT$266,(MATCH('4.3 ACE EFF CAN'!Y$4,'7. PGE_Efficacité'!$A$4:$BU$4,0)+31),0)</f>
        <v>0</v>
      </c>
      <c r="Z75" s="366">
        <f>VLOOKUP($E75,'7. PGE_Efficacité'!$A$6:$BT$266,(MATCH('4.3 ACE EFF CAN'!Z$4,'7. PGE_Efficacité'!$A$4:$BU$4,0)+31),0)</f>
        <v>0</v>
      </c>
      <c r="AA75" s="366">
        <f>VLOOKUP($E75,'7. PGE_Efficacité'!$A$6:$BT$266,(MATCH('4.3 ACE EFF CAN'!AA$4,'7. PGE_Efficacité'!$A$4:$BU$4,0)+31),0)</f>
        <v>0</v>
      </c>
      <c r="AB75" s="366">
        <f>VLOOKUP($E75,'7. PGE_Efficacité'!$A$6:$BT$266,(MATCH('4.3 ACE EFF CAN'!AB$4,'7. PGE_Efficacité'!$A$4:$BU$4,0)+31),0)</f>
        <v>0</v>
      </c>
      <c r="AC75" s="366">
        <f>VLOOKUP($E75,'7. PGE_Efficacité'!$A$6:$BT$266,(MATCH('4.3 ACE EFF CAN'!AC$4,'7. PGE_Efficacité'!$A$4:$BU$4,0)+31),0)</f>
        <v>0</v>
      </c>
      <c r="AD75" s="366">
        <f>VLOOKUP($E75,'7. PGE_Efficacité'!$A$6:$BT$266,(MATCH('4.3 ACE EFF CAN'!AD$4,'7. PGE_Efficacité'!$A$4:$BU$4,0)+31),0)</f>
        <v>0</v>
      </c>
      <c r="AE75" s="366">
        <f>VLOOKUP($E75,'7. PGE_Efficacité'!$A$6:$BT$266,(MATCH('4.3 ACE EFF CAN'!AE$4,'7. PGE_Efficacité'!$A$4:$BU$4,0)+31),0)</f>
        <v>0</v>
      </c>
      <c r="AF75" s="366">
        <f>VLOOKUP($E75,'7. PGE_Efficacité'!$A$6:$BT$266,(MATCH('4.3 ACE EFF CAN'!AF$4,'7. PGE_Efficacité'!$A$4:$BU$4,0)+31),0)</f>
        <v>0</v>
      </c>
      <c r="AG75" s="366">
        <f>VLOOKUP($E75,'7. PGE_Efficacité'!$A$6:$BT$266,(MATCH('4.3 ACE EFF CAN'!AG$4,'7. PGE_Efficacité'!$A$4:$BU$4,0)+31),0)</f>
        <v>0</v>
      </c>
      <c r="AH75" s="366">
        <f>VLOOKUP($E75,'7. PGE_Efficacité'!$A$6:$BT$266,(MATCH('4.3 ACE EFF CAN'!AH$4,'7. PGE_Efficacité'!$A$4:$BU$4,0)+31),0)</f>
        <v>0</v>
      </c>
      <c r="AI75" s="366">
        <f>VLOOKUP($E75,'7. PGE_Efficacité'!$A$6:$BT$266,(MATCH('4.3 ACE EFF CAN'!AI$4,'7. PGE_Efficacité'!$A$4:$BU$4,0)+31),0)</f>
        <v>0</v>
      </c>
      <c r="AJ75" s="366">
        <f>VLOOKUP($E75,'7. PGE_Efficacité'!$A$6:$BT$266,(MATCH('4.3 ACE EFF CAN'!AJ$4,'7. PGE_Efficacité'!$A$4:$BU$4,0)+31),0)</f>
        <v>0</v>
      </c>
      <c r="AK75" s="366">
        <f>VLOOKUP($E75,'7. PGE_Efficacité'!$A$6:$BT$266,(MATCH('4.3 ACE EFF CAN'!AK$4,'7. PGE_Efficacité'!$A$4:$BU$4,0)+31),0)</f>
        <v>0</v>
      </c>
      <c r="AL75" s="366">
        <f>VLOOKUP($E75,'7. PGE_Efficacité'!$A$6:$BT$266,(MATCH('4.3 ACE EFF CAN'!AL$4,'7. PGE_Efficacité'!$A$4:$BU$4,0)+31),0)</f>
        <v>0</v>
      </c>
      <c r="AM75" s="366">
        <f>VLOOKUP($E75,'7. PGE_Efficacité'!$A$6:$BT$266,(MATCH('4.3 ACE EFF CAN'!AM$4,'7. PGE_Efficacité'!$A$4:$BU$4,0)+31),0)</f>
        <v>0</v>
      </c>
      <c r="AN75" s="366">
        <f>VLOOKUP($E75,'7. PGE_Efficacité'!$A$6:$BT$266,(MATCH('4.3 ACE EFF CAN'!AN$4,'7. PGE_Efficacité'!$A$4:$BU$4,0)+31),0)</f>
        <v>0</v>
      </c>
    </row>
    <row r="76" spans="1:40" outlineLevel="2" x14ac:dyDescent="0.25">
      <c r="A76" s="154" t="s">
        <v>1524</v>
      </c>
      <c r="B76" s="154">
        <v>11</v>
      </c>
      <c r="C76" s="154" t="s">
        <v>1526</v>
      </c>
      <c r="D76" s="330" t="s">
        <v>10</v>
      </c>
      <c r="E76" s="330" t="s">
        <v>658</v>
      </c>
      <c r="F76" s="330" t="s">
        <v>1318</v>
      </c>
      <c r="G76" s="330" t="s">
        <v>1520</v>
      </c>
      <c r="H76" s="330" t="s">
        <v>414</v>
      </c>
      <c r="I76" s="364">
        <v>22000</v>
      </c>
      <c r="J76" s="365">
        <f>VLOOKUP($E76,'7. PGE_Efficacité'!$A$6:$BT$266,(MATCH('4.3 ACE EFF CAN'!J$4,'7. PGE_Efficacité'!$A$4:$BU$4,0)+31),0)</f>
        <v>0</v>
      </c>
      <c r="K76" s="365">
        <f>VLOOKUP($E76,'7. PGE_Efficacité'!$A$6:$BT$266,(MATCH('4.3 ACE EFF CAN'!K$4,'7. PGE_Efficacité'!$A$4:$BU$4,0)+31),0)</f>
        <v>0</v>
      </c>
      <c r="L76" s="365">
        <f>VLOOKUP($E76,'7. PGE_Efficacité'!$A$6:$BT$266,(MATCH('4.3 ACE EFF CAN'!L$4,'7. PGE_Efficacité'!$A$4:$BU$4,0)+31),0)</f>
        <v>0</v>
      </c>
      <c r="M76" s="365">
        <f>VLOOKUP($E76,'7. PGE_Efficacité'!$A$6:$BT$266,(MATCH('4.3 ACE EFF CAN'!M$4,'7. PGE_Efficacité'!$A$4:$BU$4,0)+31),0)</f>
        <v>0</v>
      </c>
      <c r="N76" s="365">
        <f>VLOOKUP($E76,'7. PGE_Efficacité'!$A$6:$BT$266,(MATCH('4.3 ACE EFF CAN'!N$4,'7. PGE_Efficacité'!$A$4:$BU$4,0)+31),0)</f>
        <v>0</v>
      </c>
      <c r="O76" s="365">
        <f>VLOOKUP($E76,'7. PGE_Efficacité'!$A$6:$BT$266,(MATCH('4.3 ACE EFF CAN'!O$4,'7. PGE_Efficacité'!$A$4:$BU$4,0)+31),0)</f>
        <v>0</v>
      </c>
      <c r="P76" s="365">
        <f>VLOOKUP($E76,'7. PGE_Efficacité'!$A$6:$BT$266,(MATCH('4.3 ACE EFF CAN'!P$4,'7. PGE_Efficacité'!$A$4:$BU$4,0)+31),0)</f>
        <v>0</v>
      </c>
      <c r="Q76" s="365">
        <f>VLOOKUP($E76,'7. PGE_Efficacité'!$A$6:$BT$266,(MATCH('4.3 ACE EFF CAN'!Q$4,'7. PGE_Efficacité'!$A$4:$BU$4,0)+31),0)</f>
        <v>0</v>
      </c>
      <c r="R76" s="365">
        <f>VLOOKUP($E76,'7. PGE_Efficacité'!$A$6:$BT$266,(MATCH('4.3 ACE EFF CAN'!R$4,'7. PGE_Efficacité'!$A$4:$BU$4,0)+31),0)</f>
        <v>0</v>
      </c>
      <c r="S76" s="365">
        <f>VLOOKUP($E76,'7. PGE_Efficacité'!$A$6:$BT$266,(MATCH('4.3 ACE EFF CAN'!S$4,'7. PGE_Efficacité'!$A$4:$BU$4,0)+31),0)</f>
        <v>0</v>
      </c>
      <c r="T76" s="365">
        <f>VLOOKUP($E76,'7. PGE_Efficacité'!$A$6:$BT$266,(MATCH('4.3 ACE EFF CAN'!T$4,'7. PGE_Efficacité'!$A$4:$BU$4,0)+31),0)</f>
        <v>0</v>
      </c>
      <c r="U76" s="365">
        <f>VLOOKUP($E76,'7. PGE_Efficacité'!$A$6:$BT$266,(MATCH('4.3 ACE EFF CAN'!U$4,'7. PGE_Efficacité'!$A$4:$BU$4,0)+31),0)</f>
        <v>0</v>
      </c>
      <c r="V76" s="365">
        <f>VLOOKUP($E76,'7. PGE_Efficacité'!$A$6:$BT$266,(MATCH('4.3 ACE EFF CAN'!V$4,'7. PGE_Efficacité'!$A$4:$BU$4,0)+31),0)</f>
        <v>0</v>
      </c>
      <c r="W76" s="365">
        <f>VLOOKUP($E76,'7. PGE_Efficacité'!$A$6:$BT$266,(MATCH('4.3 ACE EFF CAN'!W$4,'7. PGE_Efficacité'!$A$4:$BU$4,0)+31),0)</f>
        <v>0</v>
      </c>
      <c r="X76" s="365">
        <f>VLOOKUP($E76,'7. PGE_Efficacité'!$A$6:$BT$266,(MATCH('4.3 ACE EFF CAN'!X$4,'7. PGE_Efficacité'!$A$4:$BU$4,0)+31),0)</f>
        <v>0</v>
      </c>
      <c r="Y76" s="366">
        <f>VLOOKUP($E76,'7. PGE_Efficacité'!$A$6:$BT$266,(MATCH('4.3 ACE EFF CAN'!Y$4,'7. PGE_Efficacité'!$A$4:$BU$4,0)+31),0)</f>
        <v>0</v>
      </c>
      <c r="Z76" s="366">
        <f>VLOOKUP($E76,'7. PGE_Efficacité'!$A$6:$BT$266,(MATCH('4.3 ACE EFF CAN'!Z$4,'7. PGE_Efficacité'!$A$4:$BU$4,0)+31),0)</f>
        <v>0</v>
      </c>
      <c r="AA76" s="366">
        <f>VLOOKUP($E76,'7. PGE_Efficacité'!$A$6:$BT$266,(MATCH('4.3 ACE EFF CAN'!AA$4,'7. PGE_Efficacité'!$A$4:$BU$4,0)+31),0)</f>
        <v>0</v>
      </c>
      <c r="AB76" s="366">
        <f>VLOOKUP($E76,'7. PGE_Efficacité'!$A$6:$BT$266,(MATCH('4.3 ACE EFF CAN'!AB$4,'7. PGE_Efficacité'!$A$4:$BU$4,0)+31),0)</f>
        <v>0</v>
      </c>
      <c r="AC76" s="366">
        <f>VLOOKUP($E76,'7. PGE_Efficacité'!$A$6:$BT$266,(MATCH('4.3 ACE EFF CAN'!AC$4,'7. PGE_Efficacité'!$A$4:$BU$4,0)+31),0)</f>
        <v>0</v>
      </c>
      <c r="AD76" s="366">
        <f>VLOOKUP($E76,'7. PGE_Efficacité'!$A$6:$BT$266,(MATCH('4.3 ACE EFF CAN'!AD$4,'7. PGE_Efficacité'!$A$4:$BU$4,0)+31),0)</f>
        <v>0</v>
      </c>
      <c r="AE76" s="366">
        <f>VLOOKUP($E76,'7. PGE_Efficacité'!$A$6:$BT$266,(MATCH('4.3 ACE EFF CAN'!AE$4,'7. PGE_Efficacité'!$A$4:$BU$4,0)+31),0)</f>
        <v>0</v>
      </c>
      <c r="AF76" s="366">
        <f>VLOOKUP($E76,'7. PGE_Efficacité'!$A$6:$BT$266,(MATCH('4.3 ACE EFF CAN'!AF$4,'7. PGE_Efficacité'!$A$4:$BU$4,0)+31),0)</f>
        <v>0</v>
      </c>
      <c r="AG76" s="366">
        <f>VLOOKUP($E76,'7. PGE_Efficacité'!$A$6:$BT$266,(MATCH('4.3 ACE EFF CAN'!AG$4,'7. PGE_Efficacité'!$A$4:$BU$4,0)+31),0)</f>
        <v>0</v>
      </c>
      <c r="AH76" s="366">
        <f>VLOOKUP($E76,'7. PGE_Efficacité'!$A$6:$BT$266,(MATCH('4.3 ACE EFF CAN'!AH$4,'7. PGE_Efficacité'!$A$4:$BU$4,0)+31),0)</f>
        <v>0</v>
      </c>
      <c r="AI76" s="366">
        <f>VLOOKUP($E76,'7. PGE_Efficacité'!$A$6:$BT$266,(MATCH('4.3 ACE EFF CAN'!AI$4,'7. PGE_Efficacité'!$A$4:$BU$4,0)+31),0)</f>
        <v>0</v>
      </c>
      <c r="AJ76" s="366">
        <f>VLOOKUP($E76,'7. PGE_Efficacité'!$A$6:$BT$266,(MATCH('4.3 ACE EFF CAN'!AJ$4,'7. PGE_Efficacité'!$A$4:$BU$4,0)+31),0)</f>
        <v>0</v>
      </c>
      <c r="AK76" s="366">
        <f>VLOOKUP($E76,'7. PGE_Efficacité'!$A$6:$BT$266,(MATCH('4.3 ACE EFF CAN'!AK$4,'7. PGE_Efficacité'!$A$4:$BU$4,0)+31),0)</f>
        <v>0</v>
      </c>
      <c r="AL76" s="366">
        <f>VLOOKUP($E76,'7. PGE_Efficacité'!$A$6:$BT$266,(MATCH('4.3 ACE EFF CAN'!AL$4,'7. PGE_Efficacité'!$A$4:$BU$4,0)+31),0)</f>
        <v>0</v>
      </c>
      <c r="AM76" s="366">
        <f>VLOOKUP($E76,'7. PGE_Efficacité'!$A$6:$BT$266,(MATCH('4.3 ACE EFF CAN'!AM$4,'7. PGE_Efficacité'!$A$4:$BU$4,0)+31),0)</f>
        <v>0</v>
      </c>
      <c r="AN76" s="366">
        <f>VLOOKUP($E76,'7. PGE_Efficacité'!$A$6:$BT$266,(MATCH('4.3 ACE EFF CAN'!AN$4,'7. PGE_Efficacité'!$A$4:$BU$4,0)+31),0)</f>
        <v>0</v>
      </c>
    </row>
    <row r="77" spans="1:40" outlineLevel="2" x14ac:dyDescent="0.25">
      <c r="A77" s="154" t="s">
        <v>1524</v>
      </c>
      <c r="B77" s="154">
        <v>11</v>
      </c>
      <c r="C77" s="154" t="s">
        <v>1527</v>
      </c>
      <c r="D77" s="330" t="s">
        <v>10</v>
      </c>
      <c r="E77" s="330" t="s">
        <v>659</v>
      </c>
      <c r="F77" s="330" t="s">
        <v>1319</v>
      </c>
      <c r="G77" s="330" t="s">
        <v>1520</v>
      </c>
      <c r="H77" s="330" t="s">
        <v>414</v>
      </c>
      <c r="I77" s="364">
        <v>200000</v>
      </c>
      <c r="J77" s="365">
        <f>VLOOKUP($E77,'7. PGE_Efficacité'!$A$6:$BT$266,(MATCH('4.3 ACE EFF CAN'!J$4,'7. PGE_Efficacité'!$A$4:$BU$4,0)+31),0)</f>
        <v>0</v>
      </c>
      <c r="K77" s="365">
        <f>VLOOKUP($E77,'7. PGE_Efficacité'!$A$6:$BT$266,(MATCH('4.3 ACE EFF CAN'!K$4,'7. PGE_Efficacité'!$A$4:$BU$4,0)+31),0)</f>
        <v>0</v>
      </c>
      <c r="L77" s="365">
        <f>VLOOKUP($E77,'7. PGE_Efficacité'!$A$6:$BT$266,(MATCH('4.3 ACE EFF CAN'!L$4,'7. PGE_Efficacité'!$A$4:$BU$4,0)+31),0)</f>
        <v>0</v>
      </c>
      <c r="M77" s="365">
        <f>VLOOKUP($E77,'7. PGE_Efficacité'!$A$6:$BT$266,(MATCH('4.3 ACE EFF CAN'!M$4,'7. PGE_Efficacité'!$A$4:$BU$4,0)+31),0)</f>
        <v>0</v>
      </c>
      <c r="N77" s="365">
        <f>VLOOKUP($E77,'7. PGE_Efficacité'!$A$6:$BT$266,(MATCH('4.3 ACE EFF CAN'!N$4,'7. PGE_Efficacité'!$A$4:$BU$4,0)+31),0)</f>
        <v>0</v>
      </c>
      <c r="O77" s="365">
        <f>VLOOKUP($E77,'7. PGE_Efficacité'!$A$6:$BT$266,(MATCH('4.3 ACE EFF CAN'!O$4,'7. PGE_Efficacité'!$A$4:$BU$4,0)+31),0)</f>
        <v>0</v>
      </c>
      <c r="P77" s="365">
        <f>VLOOKUP($E77,'7. PGE_Efficacité'!$A$6:$BT$266,(MATCH('4.3 ACE EFF CAN'!P$4,'7. PGE_Efficacité'!$A$4:$BU$4,0)+31),0)</f>
        <v>0</v>
      </c>
      <c r="Q77" s="365">
        <f>VLOOKUP($E77,'7. PGE_Efficacité'!$A$6:$BT$266,(MATCH('4.3 ACE EFF CAN'!Q$4,'7. PGE_Efficacité'!$A$4:$BU$4,0)+31),0)</f>
        <v>0</v>
      </c>
      <c r="R77" s="365">
        <f>VLOOKUP($E77,'7. PGE_Efficacité'!$A$6:$BT$266,(MATCH('4.3 ACE EFF CAN'!R$4,'7. PGE_Efficacité'!$A$4:$BU$4,0)+31),0)</f>
        <v>0</v>
      </c>
      <c r="S77" s="365">
        <f>VLOOKUP($E77,'7. PGE_Efficacité'!$A$6:$BT$266,(MATCH('4.3 ACE EFF CAN'!S$4,'7. PGE_Efficacité'!$A$4:$BU$4,0)+31),0)</f>
        <v>0</v>
      </c>
      <c r="T77" s="365">
        <f>VLOOKUP($E77,'7. PGE_Efficacité'!$A$6:$BT$266,(MATCH('4.3 ACE EFF CAN'!T$4,'7. PGE_Efficacité'!$A$4:$BU$4,0)+31),0)</f>
        <v>0</v>
      </c>
      <c r="U77" s="365">
        <f>VLOOKUP($E77,'7. PGE_Efficacité'!$A$6:$BT$266,(MATCH('4.3 ACE EFF CAN'!U$4,'7. PGE_Efficacité'!$A$4:$BU$4,0)+31),0)</f>
        <v>0</v>
      </c>
      <c r="V77" s="365">
        <f>VLOOKUP($E77,'7. PGE_Efficacité'!$A$6:$BT$266,(MATCH('4.3 ACE EFF CAN'!V$4,'7. PGE_Efficacité'!$A$4:$BU$4,0)+31),0)</f>
        <v>0</v>
      </c>
      <c r="W77" s="365">
        <f>VLOOKUP($E77,'7. PGE_Efficacité'!$A$6:$BT$266,(MATCH('4.3 ACE EFF CAN'!W$4,'7. PGE_Efficacité'!$A$4:$BU$4,0)+31),0)</f>
        <v>0</v>
      </c>
      <c r="X77" s="365">
        <f>VLOOKUP($E77,'7. PGE_Efficacité'!$A$6:$BT$266,(MATCH('4.3 ACE EFF CAN'!X$4,'7. PGE_Efficacité'!$A$4:$BU$4,0)+31),0)</f>
        <v>0</v>
      </c>
      <c r="Y77" s="366">
        <f>VLOOKUP($E77,'7. PGE_Efficacité'!$A$6:$BT$266,(MATCH('4.3 ACE EFF CAN'!Y$4,'7. PGE_Efficacité'!$A$4:$BU$4,0)+31),0)</f>
        <v>0</v>
      </c>
      <c r="Z77" s="366">
        <f>VLOOKUP($E77,'7. PGE_Efficacité'!$A$6:$BT$266,(MATCH('4.3 ACE EFF CAN'!Z$4,'7. PGE_Efficacité'!$A$4:$BU$4,0)+31),0)</f>
        <v>0</v>
      </c>
      <c r="AA77" s="366">
        <f>VLOOKUP($E77,'7. PGE_Efficacité'!$A$6:$BT$266,(MATCH('4.3 ACE EFF CAN'!AA$4,'7. PGE_Efficacité'!$A$4:$BU$4,0)+31),0)</f>
        <v>0</v>
      </c>
      <c r="AB77" s="366">
        <f>VLOOKUP($E77,'7. PGE_Efficacité'!$A$6:$BT$266,(MATCH('4.3 ACE EFF CAN'!AB$4,'7. PGE_Efficacité'!$A$4:$BU$4,0)+31),0)</f>
        <v>0</v>
      </c>
      <c r="AC77" s="366">
        <f>VLOOKUP($E77,'7. PGE_Efficacité'!$A$6:$BT$266,(MATCH('4.3 ACE EFF CAN'!AC$4,'7. PGE_Efficacité'!$A$4:$BU$4,0)+31),0)</f>
        <v>0</v>
      </c>
      <c r="AD77" s="366">
        <f>VLOOKUP($E77,'7. PGE_Efficacité'!$A$6:$BT$266,(MATCH('4.3 ACE EFF CAN'!AD$4,'7. PGE_Efficacité'!$A$4:$BU$4,0)+31),0)</f>
        <v>0</v>
      </c>
      <c r="AE77" s="366">
        <f>VLOOKUP($E77,'7. PGE_Efficacité'!$A$6:$BT$266,(MATCH('4.3 ACE EFF CAN'!AE$4,'7. PGE_Efficacité'!$A$4:$BU$4,0)+31),0)</f>
        <v>0</v>
      </c>
      <c r="AF77" s="366">
        <f>VLOOKUP($E77,'7. PGE_Efficacité'!$A$6:$BT$266,(MATCH('4.3 ACE EFF CAN'!AF$4,'7. PGE_Efficacité'!$A$4:$BU$4,0)+31),0)</f>
        <v>0</v>
      </c>
      <c r="AG77" s="366">
        <f>VLOOKUP($E77,'7. PGE_Efficacité'!$A$6:$BT$266,(MATCH('4.3 ACE EFF CAN'!AG$4,'7. PGE_Efficacité'!$A$4:$BU$4,0)+31),0)</f>
        <v>0</v>
      </c>
      <c r="AH77" s="366">
        <f>VLOOKUP($E77,'7. PGE_Efficacité'!$A$6:$BT$266,(MATCH('4.3 ACE EFF CAN'!AH$4,'7. PGE_Efficacité'!$A$4:$BU$4,0)+31),0)</f>
        <v>0</v>
      </c>
      <c r="AI77" s="366">
        <f>VLOOKUP($E77,'7. PGE_Efficacité'!$A$6:$BT$266,(MATCH('4.3 ACE EFF CAN'!AI$4,'7. PGE_Efficacité'!$A$4:$BU$4,0)+31),0)</f>
        <v>0</v>
      </c>
      <c r="AJ77" s="366">
        <f>VLOOKUP($E77,'7. PGE_Efficacité'!$A$6:$BT$266,(MATCH('4.3 ACE EFF CAN'!AJ$4,'7. PGE_Efficacité'!$A$4:$BU$4,0)+31),0)</f>
        <v>0</v>
      </c>
      <c r="AK77" s="366">
        <f>VLOOKUP($E77,'7. PGE_Efficacité'!$A$6:$BT$266,(MATCH('4.3 ACE EFF CAN'!AK$4,'7. PGE_Efficacité'!$A$4:$BU$4,0)+31),0)</f>
        <v>0</v>
      </c>
      <c r="AL77" s="366">
        <f>VLOOKUP($E77,'7. PGE_Efficacité'!$A$6:$BT$266,(MATCH('4.3 ACE EFF CAN'!AL$4,'7. PGE_Efficacité'!$A$4:$BU$4,0)+31),0)</f>
        <v>0</v>
      </c>
      <c r="AM77" s="366">
        <f>VLOOKUP($E77,'7. PGE_Efficacité'!$A$6:$BT$266,(MATCH('4.3 ACE EFF CAN'!AM$4,'7. PGE_Efficacité'!$A$4:$BU$4,0)+31),0)</f>
        <v>0</v>
      </c>
      <c r="AN77" s="366">
        <f>VLOOKUP($E77,'7. PGE_Efficacité'!$A$6:$BT$266,(MATCH('4.3 ACE EFF CAN'!AN$4,'7. PGE_Efficacité'!$A$4:$BU$4,0)+31),0)</f>
        <v>0</v>
      </c>
    </row>
    <row r="78" spans="1:40" outlineLevel="2" x14ac:dyDescent="0.25">
      <c r="A78" s="154" t="s">
        <v>1524</v>
      </c>
      <c r="B78" s="154">
        <v>11</v>
      </c>
      <c r="C78" s="154" t="s">
        <v>410</v>
      </c>
      <c r="D78" s="330" t="s">
        <v>10</v>
      </c>
      <c r="E78" s="330" t="s">
        <v>660</v>
      </c>
      <c r="F78" s="330" t="s">
        <v>1320</v>
      </c>
      <c r="G78" s="330" t="s">
        <v>1520</v>
      </c>
      <c r="H78" s="330" t="s">
        <v>414</v>
      </c>
      <c r="I78" s="364">
        <v>0</v>
      </c>
      <c r="J78" s="365">
        <f>VLOOKUP($E78,'7. PGE_Efficacité'!$A$6:$BT$266,(MATCH('4.3 ACE EFF CAN'!J$4,'7. PGE_Efficacité'!$A$4:$BU$4,0)+31),0)</f>
        <v>0</v>
      </c>
      <c r="K78" s="365">
        <f>VLOOKUP($E78,'7. PGE_Efficacité'!$A$6:$BT$266,(MATCH('4.3 ACE EFF CAN'!K$4,'7. PGE_Efficacité'!$A$4:$BU$4,0)+31),0)</f>
        <v>0</v>
      </c>
      <c r="L78" s="365">
        <f>VLOOKUP($E78,'7. PGE_Efficacité'!$A$6:$BT$266,(MATCH('4.3 ACE EFF CAN'!L$4,'7. PGE_Efficacité'!$A$4:$BU$4,0)+31),0)</f>
        <v>0</v>
      </c>
      <c r="M78" s="365">
        <f>VLOOKUP($E78,'7. PGE_Efficacité'!$A$6:$BT$266,(MATCH('4.3 ACE EFF CAN'!M$4,'7. PGE_Efficacité'!$A$4:$BU$4,0)+31),0)</f>
        <v>0</v>
      </c>
      <c r="N78" s="365">
        <f>VLOOKUP($E78,'7. PGE_Efficacité'!$A$6:$BT$266,(MATCH('4.3 ACE EFF CAN'!N$4,'7. PGE_Efficacité'!$A$4:$BU$4,0)+31),0)</f>
        <v>0</v>
      </c>
      <c r="O78" s="365">
        <f>VLOOKUP($E78,'7. PGE_Efficacité'!$A$6:$BT$266,(MATCH('4.3 ACE EFF CAN'!O$4,'7. PGE_Efficacité'!$A$4:$BU$4,0)+31),0)</f>
        <v>0</v>
      </c>
      <c r="P78" s="365">
        <f>VLOOKUP($E78,'7. PGE_Efficacité'!$A$6:$BT$266,(MATCH('4.3 ACE EFF CAN'!P$4,'7. PGE_Efficacité'!$A$4:$BU$4,0)+31),0)</f>
        <v>0</v>
      </c>
      <c r="Q78" s="365">
        <f>VLOOKUP($E78,'7. PGE_Efficacité'!$A$6:$BT$266,(MATCH('4.3 ACE EFF CAN'!Q$4,'7. PGE_Efficacité'!$A$4:$BU$4,0)+31),0)</f>
        <v>0</v>
      </c>
      <c r="R78" s="365">
        <f>VLOOKUP($E78,'7. PGE_Efficacité'!$A$6:$BT$266,(MATCH('4.3 ACE EFF CAN'!R$4,'7. PGE_Efficacité'!$A$4:$BU$4,0)+31),0)</f>
        <v>0</v>
      </c>
      <c r="S78" s="365">
        <f>VLOOKUP($E78,'7. PGE_Efficacité'!$A$6:$BT$266,(MATCH('4.3 ACE EFF CAN'!S$4,'7. PGE_Efficacité'!$A$4:$BU$4,0)+31),0)</f>
        <v>0</v>
      </c>
      <c r="T78" s="365">
        <f>VLOOKUP($E78,'7. PGE_Efficacité'!$A$6:$BT$266,(MATCH('4.3 ACE EFF CAN'!T$4,'7. PGE_Efficacité'!$A$4:$BU$4,0)+31),0)</f>
        <v>0</v>
      </c>
      <c r="U78" s="365">
        <f>VLOOKUP($E78,'7. PGE_Efficacité'!$A$6:$BT$266,(MATCH('4.3 ACE EFF CAN'!U$4,'7. PGE_Efficacité'!$A$4:$BU$4,0)+31),0)</f>
        <v>0</v>
      </c>
      <c r="V78" s="365">
        <f>VLOOKUP($E78,'7. PGE_Efficacité'!$A$6:$BT$266,(MATCH('4.3 ACE EFF CAN'!V$4,'7. PGE_Efficacité'!$A$4:$BU$4,0)+31),0)</f>
        <v>0</v>
      </c>
      <c r="W78" s="365">
        <f>VLOOKUP($E78,'7. PGE_Efficacité'!$A$6:$BT$266,(MATCH('4.3 ACE EFF CAN'!W$4,'7. PGE_Efficacité'!$A$4:$BU$4,0)+31),0)</f>
        <v>0</v>
      </c>
      <c r="X78" s="365">
        <f>VLOOKUP($E78,'7. PGE_Efficacité'!$A$6:$BT$266,(MATCH('4.3 ACE EFF CAN'!X$4,'7. PGE_Efficacité'!$A$4:$BU$4,0)+31),0)</f>
        <v>0</v>
      </c>
      <c r="Y78" s="366">
        <f>VLOOKUP($E78,'7. PGE_Efficacité'!$A$6:$BT$266,(MATCH('4.3 ACE EFF CAN'!Y$4,'7. PGE_Efficacité'!$A$4:$BU$4,0)+31),0)</f>
        <v>0</v>
      </c>
      <c r="Z78" s="366">
        <f>VLOOKUP($E78,'7. PGE_Efficacité'!$A$6:$BT$266,(MATCH('4.3 ACE EFF CAN'!Z$4,'7. PGE_Efficacité'!$A$4:$BU$4,0)+31),0)</f>
        <v>0</v>
      </c>
      <c r="AA78" s="366">
        <f>VLOOKUP($E78,'7. PGE_Efficacité'!$A$6:$BT$266,(MATCH('4.3 ACE EFF CAN'!AA$4,'7. PGE_Efficacité'!$A$4:$BU$4,0)+31),0)</f>
        <v>0</v>
      </c>
      <c r="AB78" s="366">
        <f>VLOOKUP($E78,'7. PGE_Efficacité'!$A$6:$BT$266,(MATCH('4.3 ACE EFF CAN'!AB$4,'7. PGE_Efficacité'!$A$4:$BU$4,0)+31),0)</f>
        <v>0</v>
      </c>
      <c r="AC78" s="366">
        <f>VLOOKUP($E78,'7. PGE_Efficacité'!$A$6:$BT$266,(MATCH('4.3 ACE EFF CAN'!AC$4,'7. PGE_Efficacité'!$A$4:$BU$4,0)+31),0)</f>
        <v>0</v>
      </c>
      <c r="AD78" s="366">
        <f>VLOOKUP($E78,'7. PGE_Efficacité'!$A$6:$BT$266,(MATCH('4.3 ACE EFF CAN'!AD$4,'7. PGE_Efficacité'!$A$4:$BU$4,0)+31),0)</f>
        <v>0</v>
      </c>
      <c r="AE78" s="366">
        <f>VLOOKUP($E78,'7. PGE_Efficacité'!$A$6:$BT$266,(MATCH('4.3 ACE EFF CAN'!AE$4,'7. PGE_Efficacité'!$A$4:$BU$4,0)+31),0)</f>
        <v>0</v>
      </c>
      <c r="AF78" s="366">
        <f>VLOOKUP($E78,'7. PGE_Efficacité'!$A$6:$BT$266,(MATCH('4.3 ACE EFF CAN'!AF$4,'7. PGE_Efficacité'!$A$4:$BU$4,0)+31),0)</f>
        <v>0</v>
      </c>
      <c r="AG78" s="366">
        <f>VLOOKUP($E78,'7. PGE_Efficacité'!$A$6:$BT$266,(MATCH('4.3 ACE EFF CAN'!AG$4,'7. PGE_Efficacité'!$A$4:$BU$4,0)+31),0)</f>
        <v>0</v>
      </c>
      <c r="AH78" s="366">
        <f>VLOOKUP($E78,'7. PGE_Efficacité'!$A$6:$BT$266,(MATCH('4.3 ACE EFF CAN'!AH$4,'7. PGE_Efficacité'!$A$4:$BU$4,0)+31),0)</f>
        <v>0</v>
      </c>
      <c r="AI78" s="366">
        <f>VLOOKUP($E78,'7. PGE_Efficacité'!$A$6:$BT$266,(MATCH('4.3 ACE EFF CAN'!AI$4,'7. PGE_Efficacité'!$A$4:$BU$4,0)+31),0)</f>
        <v>0</v>
      </c>
      <c r="AJ78" s="366">
        <f>VLOOKUP($E78,'7. PGE_Efficacité'!$A$6:$BT$266,(MATCH('4.3 ACE EFF CAN'!AJ$4,'7. PGE_Efficacité'!$A$4:$BU$4,0)+31),0)</f>
        <v>0</v>
      </c>
      <c r="AK78" s="366">
        <f>VLOOKUP($E78,'7. PGE_Efficacité'!$A$6:$BT$266,(MATCH('4.3 ACE EFF CAN'!AK$4,'7. PGE_Efficacité'!$A$4:$BU$4,0)+31),0)</f>
        <v>0</v>
      </c>
      <c r="AL78" s="366">
        <f>VLOOKUP($E78,'7. PGE_Efficacité'!$A$6:$BT$266,(MATCH('4.3 ACE EFF CAN'!AL$4,'7. PGE_Efficacité'!$A$4:$BU$4,0)+31),0)</f>
        <v>0</v>
      </c>
      <c r="AM78" s="366">
        <f>VLOOKUP($E78,'7. PGE_Efficacité'!$A$6:$BT$266,(MATCH('4.3 ACE EFF CAN'!AM$4,'7. PGE_Efficacité'!$A$4:$BU$4,0)+31),0)</f>
        <v>0</v>
      </c>
      <c r="AN78" s="366">
        <f>VLOOKUP($E78,'7. PGE_Efficacité'!$A$6:$BT$266,(MATCH('4.3 ACE EFF CAN'!AN$4,'7. PGE_Efficacité'!$A$4:$BU$4,0)+31),0)</f>
        <v>0</v>
      </c>
    </row>
    <row r="79" spans="1:40" outlineLevel="2" x14ac:dyDescent="0.25">
      <c r="A79" s="154" t="s">
        <v>1524</v>
      </c>
      <c r="B79" s="154">
        <v>11</v>
      </c>
      <c r="C79" s="154" t="s">
        <v>1528</v>
      </c>
      <c r="D79" s="330" t="s">
        <v>10</v>
      </c>
      <c r="E79" s="330" t="s">
        <v>661</v>
      </c>
      <c r="F79" s="330" t="s">
        <v>1321</v>
      </c>
      <c r="G79" s="330" t="s">
        <v>1520</v>
      </c>
      <c r="H79" s="330" t="s">
        <v>414</v>
      </c>
      <c r="I79" s="364">
        <v>0</v>
      </c>
      <c r="J79" s="365">
        <f>VLOOKUP($E79,'7. PGE_Efficacité'!$A$6:$BT$266,(MATCH('4.3 ACE EFF CAN'!J$4,'7. PGE_Efficacité'!$A$4:$BU$4,0)+31),0)</f>
        <v>0</v>
      </c>
      <c r="K79" s="365">
        <f>VLOOKUP($E79,'7. PGE_Efficacité'!$A$6:$BT$266,(MATCH('4.3 ACE EFF CAN'!K$4,'7. PGE_Efficacité'!$A$4:$BU$4,0)+31),0)</f>
        <v>0</v>
      </c>
      <c r="L79" s="365">
        <f>VLOOKUP($E79,'7. PGE_Efficacité'!$A$6:$BT$266,(MATCH('4.3 ACE EFF CAN'!L$4,'7. PGE_Efficacité'!$A$4:$BU$4,0)+31),0)</f>
        <v>0</v>
      </c>
      <c r="M79" s="365">
        <f>VLOOKUP($E79,'7. PGE_Efficacité'!$A$6:$BT$266,(MATCH('4.3 ACE EFF CAN'!M$4,'7. PGE_Efficacité'!$A$4:$BU$4,0)+31),0)</f>
        <v>0</v>
      </c>
      <c r="N79" s="365">
        <f>VLOOKUP($E79,'7. PGE_Efficacité'!$A$6:$BT$266,(MATCH('4.3 ACE EFF CAN'!N$4,'7. PGE_Efficacité'!$A$4:$BU$4,0)+31),0)</f>
        <v>0</v>
      </c>
      <c r="O79" s="365">
        <f>VLOOKUP($E79,'7. PGE_Efficacité'!$A$6:$BT$266,(MATCH('4.3 ACE EFF CAN'!O$4,'7. PGE_Efficacité'!$A$4:$BU$4,0)+31),0)</f>
        <v>0</v>
      </c>
      <c r="P79" s="365">
        <f>VLOOKUP($E79,'7. PGE_Efficacité'!$A$6:$BT$266,(MATCH('4.3 ACE EFF CAN'!P$4,'7. PGE_Efficacité'!$A$4:$BU$4,0)+31),0)</f>
        <v>0</v>
      </c>
      <c r="Q79" s="365">
        <f>VLOOKUP($E79,'7. PGE_Efficacité'!$A$6:$BT$266,(MATCH('4.3 ACE EFF CAN'!Q$4,'7. PGE_Efficacité'!$A$4:$BU$4,0)+31),0)</f>
        <v>0</v>
      </c>
      <c r="R79" s="365">
        <f>VLOOKUP($E79,'7. PGE_Efficacité'!$A$6:$BT$266,(MATCH('4.3 ACE EFF CAN'!R$4,'7. PGE_Efficacité'!$A$4:$BU$4,0)+31),0)</f>
        <v>0</v>
      </c>
      <c r="S79" s="365">
        <f>VLOOKUP($E79,'7. PGE_Efficacité'!$A$6:$BT$266,(MATCH('4.3 ACE EFF CAN'!S$4,'7. PGE_Efficacité'!$A$4:$BU$4,0)+31),0)</f>
        <v>0</v>
      </c>
      <c r="T79" s="365">
        <f>VLOOKUP($E79,'7. PGE_Efficacité'!$A$6:$BT$266,(MATCH('4.3 ACE EFF CAN'!T$4,'7. PGE_Efficacité'!$A$4:$BU$4,0)+31),0)</f>
        <v>0</v>
      </c>
      <c r="U79" s="365">
        <f>VLOOKUP($E79,'7. PGE_Efficacité'!$A$6:$BT$266,(MATCH('4.3 ACE EFF CAN'!U$4,'7. PGE_Efficacité'!$A$4:$BU$4,0)+31),0)</f>
        <v>0</v>
      </c>
      <c r="V79" s="365">
        <f>VLOOKUP($E79,'7. PGE_Efficacité'!$A$6:$BT$266,(MATCH('4.3 ACE EFF CAN'!V$4,'7. PGE_Efficacité'!$A$4:$BU$4,0)+31),0)</f>
        <v>0</v>
      </c>
      <c r="W79" s="365">
        <f>VLOOKUP($E79,'7. PGE_Efficacité'!$A$6:$BT$266,(MATCH('4.3 ACE EFF CAN'!W$4,'7. PGE_Efficacité'!$A$4:$BU$4,0)+31),0)</f>
        <v>0</v>
      </c>
      <c r="X79" s="365">
        <f>VLOOKUP($E79,'7. PGE_Efficacité'!$A$6:$BT$266,(MATCH('4.3 ACE EFF CAN'!X$4,'7. PGE_Efficacité'!$A$4:$BU$4,0)+31),0)</f>
        <v>0</v>
      </c>
      <c r="Y79" s="366">
        <f>VLOOKUP($E79,'7. PGE_Efficacité'!$A$6:$BT$266,(MATCH('4.3 ACE EFF CAN'!Y$4,'7. PGE_Efficacité'!$A$4:$BU$4,0)+31),0)</f>
        <v>0</v>
      </c>
      <c r="Z79" s="366">
        <f>VLOOKUP($E79,'7. PGE_Efficacité'!$A$6:$BT$266,(MATCH('4.3 ACE EFF CAN'!Z$4,'7. PGE_Efficacité'!$A$4:$BU$4,0)+31),0)</f>
        <v>0</v>
      </c>
      <c r="AA79" s="366">
        <f>VLOOKUP($E79,'7. PGE_Efficacité'!$A$6:$BT$266,(MATCH('4.3 ACE EFF CAN'!AA$4,'7. PGE_Efficacité'!$A$4:$BU$4,0)+31),0)</f>
        <v>0</v>
      </c>
      <c r="AB79" s="366">
        <f>VLOOKUP($E79,'7. PGE_Efficacité'!$A$6:$BT$266,(MATCH('4.3 ACE EFF CAN'!AB$4,'7. PGE_Efficacité'!$A$4:$BU$4,0)+31),0)</f>
        <v>0</v>
      </c>
      <c r="AC79" s="366">
        <f>VLOOKUP($E79,'7. PGE_Efficacité'!$A$6:$BT$266,(MATCH('4.3 ACE EFF CAN'!AC$4,'7. PGE_Efficacité'!$A$4:$BU$4,0)+31),0)</f>
        <v>0</v>
      </c>
      <c r="AD79" s="366">
        <f>VLOOKUP($E79,'7. PGE_Efficacité'!$A$6:$BT$266,(MATCH('4.3 ACE EFF CAN'!AD$4,'7. PGE_Efficacité'!$A$4:$BU$4,0)+31),0)</f>
        <v>0</v>
      </c>
      <c r="AE79" s="366">
        <f>VLOOKUP($E79,'7. PGE_Efficacité'!$A$6:$BT$266,(MATCH('4.3 ACE EFF CAN'!AE$4,'7. PGE_Efficacité'!$A$4:$BU$4,0)+31),0)</f>
        <v>0</v>
      </c>
      <c r="AF79" s="366">
        <f>VLOOKUP($E79,'7. PGE_Efficacité'!$A$6:$BT$266,(MATCH('4.3 ACE EFF CAN'!AF$4,'7. PGE_Efficacité'!$A$4:$BU$4,0)+31),0)</f>
        <v>0</v>
      </c>
      <c r="AG79" s="366">
        <f>VLOOKUP($E79,'7. PGE_Efficacité'!$A$6:$BT$266,(MATCH('4.3 ACE EFF CAN'!AG$4,'7. PGE_Efficacité'!$A$4:$BU$4,0)+31),0)</f>
        <v>0</v>
      </c>
      <c r="AH79" s="366">
        <f>VLOOKUP($E79,'7. PGE_Efficacité'!$A$6:$BT$266,(MATCH('4.3 ACE EFF CAN'!AH$4,'7. PGE_Efficacité'!$A$4:$BU$4,0)+31),0)</f>
        <v>0</v>
      </c>
      <c r="AI79" s="366">
        <f>VLOOKUP($E79,'7. PGE_Efficacité'!$A$6:$BT$266,(MATCH('4.3 ACE EFF CAN'!AI$4,'7. PGE_Efficacité'!$A$4:$BU$4,0)+31),0)</f>
        <v>0</v>
      </c>
      <c r="AJ79" s="366">
        <f>VLOOKUP($E79,'7. PGE_Efficacité'!$A$6:$BT$266,(MATCH('4.3 ACE EFF CAN'!AJ$4,'7. PGE_Efficacité'!$A$4:$BU$4,0)+31),0)</f>
        <v>0</v>
      </c>
      <c r="AK79" s="366">
        <f>VLOOKUP($E79,'7. PGE_Efficacité'!$A$6:$BT$266,(MATCH('4.3 ACE EFF CAN'!AK$4,'7. PGE_Efficacité'!$A$4:$BU$4,0)+31),0)</f>
        <v>0</v>
      </c>
      <c r="AL79" s="366">
        <f>VLOOKUP($E79,'7. PGE_Efficacité'!$A$6:$BT$266,(MATCH('4.3 ACE EFF CAN'!AL$4,'7. PGE_Efficacité'!$A$4:$BU$4,0)+31),0)</f>
        <v>0</v>
      </c>
      <c r="AM79" s="366">
        <f>VLOOKUP($E79,'7. PGE_Efficacité'!$A$6:$BT$266,(MATCH('4.3 ACE EFF CAN'!AM$4,'7. PGE_Efficacité'!$A$4:$BU$4,0)+31),0)</f>
        <v>0</v>
      </c>
      <c r="AN79" s="366">
        <f>VLOOKUP($E79,'7. PGE_Efficacité'!$A$6:$BT$266,(MATCH('4.3 ACE EFF CAN'!AN$4,'7. PGE_Efficacité'!$A$4:$BU$4,0)+31),0)</f>
        <v>0</v>
      </c>
    </row>
    <row r="80" spans="1:40" outlineLevel="2" x14ac:dyDescent="0.25">
      <c r="A80" s="154" t="s">
        <v>1524</v>
      </c>
      <c r="B80" s="154">
        <v>11</v>
      </c>
      <c r="C80" s="154" t="s">
        <v>1529</v>
      </c>
      <c r="D80" s="330" t="s">
        <v>10</v>
      </c>
      <c r="E80" s="330" t="s">
        <v>662</v>
      </c>
      <c r="F80" s="330" t="s">
        <v>1322</v>
      </c>
      <c r="G80" s="330" t="s">
        <v>1520</v>
      </c>
      <c r="H80" s="330" t="s">
        <v>414</v>
      </c>
      <c r="I80" s="364">
        <v>0</v>
      </c>
      <c r="J80" s="365">
        <f>VLOOKUP($E80,'7. PGE_Efficacité'!$A$6:$BT$266,(MATCH('4.3 ACE EFF CAN'!J$4,'7. PGE_Efficacité'!$A$4:$BU$4,0)+31),0)</f>
        <v>0</v>
      </c>
      <c r="K80" s="365">
        <f>VLOOKUP($E80,'7. PGE_Efficacité'!$A$6:$BT$266,(MATCH('4.3 ACE EFF CAN'!K$4,'7. PGE_Efficacité'!$A$4:$BU$4,0)+31),0)</f>
        <v>0</v>
      </c>
      <c r="L80" s="365">
        <f>VLOOKUP($E80,'7. PGE_Efficacité'!$A$6:$BT$266,(MATCH('4.3 ACE EFF CAN'!L$4,'7. PGE_Efficacité'!$A$4:$BU$4,0)+31),0)</f>
        <v>0</v>
      </c>
      <c r="M80" s="365">
        <f>VLOOKUP($E80,'7. PGE_Efficacité'!$A$6:$BT$266,(MATCH('4.3 ACE EFF CAN'!M$4,'7. PGE_Efficacité'!$A$4:$BU$4,0)+31),0)</f>
        <v>0</v>
      </c>
      <c r="N80" s="365">
        <f>VLOOKUP($E80,'7. PGE_Efficacité'!$A$6:$BT$266,(MATCH('4.3 ACE EFF CAN'!N$4,'7. PGE_Efficacité'!$A$4:$BU$4,0)+31),0)</f>
        <v>0</v>
      </c>
      <c r="O80" s="365">
        <f>VLOOKUP($E80,'7. PGE_Efficacité'!$A$6:$BT$266,(MATCH('4.3 ACE EFF CAN'!O$4,'7. PGE_Efficacité'!$A$4:$BU$4,0)+31),0)</f>
        <v>0</v>
      </c>
      <c r="P80" s="365">
        <f>VLOOKUP($E80,'7. PGE_Efficacité'!$A$6:$BT$266,(MATCH('4.3 ACE EFF CAN'!P$4,'7. PGE_Efficacité'!$A$4:$BU$4,0)+31),0)</f>
        <v>0</v>
      </c>
      <c r="Q80" s="365">
        <f>VLOOKUP($E80,'7. PGE_Efficacité'!$A$6:$BT$266,(MATCH('4.3 ACE EFF CAN'!Q$4,'7. PGE_Efficacité'!$A$4:$BU$4,0)+31),0)</f>
        <v>0</v>
      </c>
      <c r="R80" s="365">
        <f>VLOOKUP($E80,'7. PGE_Efficacité'!$A$6:$BT$266,(MATCH('4.3 ACE EFF CAN'!R$4,'7. PGE_Efficacité'!$A$4:$BU$4,0)+31),0)</f>
        <v>0</v>
      </c>
      <c r="S80" s="365">
        <f>VLOOKUP($E80,'7. PGE_Efficacité'!$A$6:$BT$266,(MATCH('4.3 ACE EFF CAN'!S$4,'7. PGE_Efficacité'!$A$4:$BU$4,0)+31),0)</f>
        <v>0</v>
      </c>
      <c r="T80" s="365">
        <f>VLOOKUP($E80,'7. PGE_Efficacité'!$A$6:$BT$266,(MATCH('4.3 ACE EFF CAN'!T$4,'7. PGE_Efficacité'!$A$4:$BU$4,0)+31),0)</f>
        <v>0</v>
      </c>
      <c r="U80" s="365">
        <f>VLOOKUP($E80,'7. PGE_Efficacité'!$A$6:$BT$266,(MATCH('4.3 ACE EFF CAN'!U$4,'7. PGE_Efficacité'!$A$4:$BU$4,0)+31),0)</f>
        <v>0</v>
      </c>
      <c r="V80" s="365">
        <f>VLOOKUP($E80,'7. PGE_Efficacité'!$A$6:$BT$266,(MATCH('4.3 ACE EFF CAN'!V$4,'7. PGE_Efficacité'!$A$4:$BU$4,0)+31),0)</f>
        <v>0</v>
      </c>
      <c r="W80" s="365">
        <f>VLOOKUP($E80,'7. PGE_Efficacité'!$A$6:$BT$266,(MATCH('4.3 ACE EFF CAN'!W$4,'7. PGE_Efficacité'!$A$4:$BU$4,0)+31),0)</f>
        <v>0</v>
      </c>
      <c r="X80" s="365">
        <f>VLOOKUP($E80,'7. PGE_Efficacité'!$A$6:$BT$266,(MATCH('4.3 ACE EFF CAN'!X$4,'7. PGE_Efficacité'!$A$4:$BU$4,0)+31),0)</f>
        <v>0</v>
      </c>
      <c r="Y80" s="366">
        <f>VLOOKUP($E80,'7. PGE_Efficacité'!$A$6:$BT$266,(MATCH('4.3 ACE EFF CAN'!Y$4,'7. PGE_Efficacité'!$A$4:$BU$4,0)+31),0)</f>
        <v>0</v>
      </c>
      <c r="Z80" s="366">
        <f>VLOOKUP($E80,'7. PGE_Efficacité'!$A$6:$BT$266,(MATCH('4.3 ACE EFF CAN'!Z$4,'7. PGE_Efficacité'!$A$4:$BU$4,0)+31),0)</f>
        <v>0</v>
      </c>
      <c r="AA80" s="366">
        <f>VLOOKUP($E80,'7. PGE_Efficacité'!$A$6:$BT$266,(MATCH('4.3 ACE EFF CAN'!AA$4,'7. PGE_Efficacité'!$A$4:$BU$4,0)+31),0)</f>
        <v>0</v>
      </c>
      <c r="AB80" s="366">
        <f>VLOOKUP($E80,'7. PGE_Efficacité'!$A$6:$BT$266,(MATCH('4.3 ACE EFF CAN'!AB$4,'7. PGE_Efficacité'!$A$4:$BU$4,0)+31),0)</f>
        <v>0</v>
      </c>
      <c r="AC80" s="366">
        <f>VLOOKUP($E80,'7. PGE_Efficacité'!$A$6:$BT$266,(MATCH('4.3 ACE EFF CAN'!AC$4,'7. PGE_Efficacité'!$A$4:$BU$4,0)+31),0)</f>
        <v>0</v>
      </c>
      <c r="AD80" s="366">
        <f>VLOOKUP($E80,'7. PGE_Efficacité'!$A$6:$BT$266,(MATCH('4.3 ACE EFF CAN'!AD$4,'7. PGE_Efficacité'!$A$4:$BU$4,0)+31),0)</f>
        <v>0</v>
      </c>
      <c r="AE80" s="366">
        <f>VLOOKUP($E80,'7. PGE_Efficacité'!$A$6:$BT$266,(MATCH('4.3 ACE EFF CAN'!AE$4,'7. PGE_Efficacité'!$A$4:$BU$4,0)+31),0)</f>
        <v>0</v>
      </c>
      <c r="AF80" s="366">
        <f>VLOOKUP($E80,'7. PGE_Efficacité'!$A$6:$BT$266,(MATCH('4.3 ACE EFF CAN'!AF$4,'7. PGE_Efficacité'!$A$4:$BU$4,0)+31),0)</f>
        <v>0</v>
      </c>
      <c r="AG80" s="366">
        <f>VLOOKUP($E80,'7. PGE_Efficacité'!$A$6:$BT$266,(MATCH('4.3 ACE EFF CAN'!AG$4,'7. PGE_Efficacité'!$A$4:$BU$4,0)+31),0)</f>
        <v>0</v>
      </c>
      <c r="AH80" s="366">
        <f>VLOOKUP($E80,'7. PGE_Efficacité'!$A$6:$BT$266,(MATCH('4.3 ACE EFF CAN'!AH$4,'7. PGE_Efficacité'!$A$4:$BU$4,0)+31),0)</f>
        <v>0</v>
      </c>
      <c r="AI80" s="366">
        <f>VLOOKUP($E80,'7. PGE_Efficacité'!$A$6:$BT$266,(MATCH('4.3 ACE EFF CAN'!AI$4,'7. PGE_Efficacité'!$A$4:$BU$4,0)+31),0)</f>
        <v>0</v>
      </c>
      <c r="AJ80" s="366">
        <f>VLOOKUP($E80,'7. PGE_Efficacité'!$A$6:$BT$266,(MATCH('4.3 ACE EFF CAN'!AJ$4,'7. PGE_Efficacité'!$A$4:$BU$4,0)+31),0)</f>
        <v>0</v>
      </c>
      <c r="AK80" s="366">
        <f>VLOOKUP($E80,'7. PGE_Efficacité'!$A$6:$BT$266,(MATCH('4.3 ACE EFF CAN'!AK$4,'7. PGE_Efficacité'!$A$4:$BU$4,0)+31),0)</f>
        <v>0</v>
      </c>
      <c r="AL80" s="366">
        <f>VLOOKUP($E80,'7. PGE_Efficacité'!$A$6:$BT$266,(MATCH('4.3 ACE EFF CAN'!AL$4,'7. PGE_Efficacité'!$A$4:$BU$4,0)+31),0)</f>
        <v>0</v>
      </c>
      <c r="AM80" s="366">
        <f>VLOOKUP($E80,'7. PGE_Efficacité'!$A$6:$BT$266,(MATCH('4.3 ACE EFF CAN'!AM$4,'7. PGE_Efficacité'!$A$4:$BU$4,0)+31),0)</f>
        <v>0</v>
      </c>
      <c r="AN80" s="366">
        <f>VLOOKUP($E80,'7. PGE_Efficacité'!$A$6:$BT$266,(MATCH('4.3 ACE EFF CAN'!AN$4,'7. PGE_Efficacité'!$A$4:$BU$4,0)+31),0)</f>
        <v>0</v>
      </c>
    </row>
    <row r="81" spans="1:40" outlineLevel="2" x14ac:dyDescent="0.25">
      <c r="A81" s="154" t="s">
        <v>1524</v>
      </c>
      <c r="B81" s="154">
        <v>11</v>
      </c>
      <c r="C81" s="154" t="s">
        <v>1530</v>
      </c>
      <c r="D81" s="330" t="s">
        <v>10</v>
      </c>
      <c r="E81" s="330" t="s">
        <v>663</v>
      </c>
      <c r="F81" s="330" t="s">
        <v>1323</v>
      </c>
      <c r="G81" s="330" t="s">
        <v>1520</v>
      </c>
      <c r="H81" s="330" t="s">
        <v>1287</v>
      </c>
      <c r="I81" s="364">
        <v>0</v>
      </c>
      <c r="J81" s="365">
        <f>VLOOKUP($E81,'7. PGE_Efficacité'!$A$6:$BT$266,(MATCH('4.3 ACE EFF CAN'!J$4,'7. PGE_Efficacité'!$A$4:$BU$4,0)+31),0)</f>
        <v>0</v>
      </c>
      <c r="K81" s="365">
        <f>VLOOKUP($E81,'7. PGE_Efficacité'!$A$6:$BT$266,(MATCH('4.3 ACE EFF CAN'!K$4,'7. PGE_Efficacité'!$A$4:$BU$4,0)+31),0)</f>
        <v>0</v>
      </c>
      <c r="L81" s="365">
        <f>VLOOKUP($E81,'7. PGE_Efficacité'!$A$6:$BT$266,(MATCH('4.3 ACE EFF CAN'!L$4,'7. PGE_Efficacité'!$A$4:$BU$4,0)+31),0)</f>
        <v>0</v>
      </c>
      <c r="M81" s="365">
        <f>VLOOKUP($E81,'7. PGE_Efficacité'!$A$6:$BT$266,(MATCH('4.3 ACE EFF CAN'!M$4,'7. PGE_Efficacité'!$A$4:$BU$4,0)+31),0)</f>
        <v>0</v>
      </c>
      <c r="N81" s="365">
        <f>VLOOKUP($E81,'7. PGE_Efficacité'!$A$6:$BT$266,(MATCH('4.3 ACE EFF CAN'!N$4,'7. PGE_Efficacité'!$A$4:$BU$4,0)+31),0)</f>
        <v>0</v>
      </c>
      <c r="O81" s="365">
        <f>VLOOKUP($E81,'7. PGE_Efficacité'!$A$6:$BT$266,(MATCH('4.3 ACE EFF CAN'!O$4,'7. PGE_Efficacité'!$A$4:$BU$4,0)+31),0)</f>
        <v>0</v>
      </c>
      <c r="P81" s="365">
        <f>VLOOKUP($E81,'7. PGE_Efficacité'!$A$6:$BT$266,(MATCH('4.3 ACE EFF CAN'!P$4,'7. PGE_Efficacité'!$A$4:$BU$4,0)+31),0)</f>
        <v>0</v>
      </c>
      <c r="Q81" s="365">
        <f>VLOOKUP($E81,'7. PGE_Efficacité'!$A$6:$BT$266,(MATCH('4.3 ACE EFF CAN'!Q$4,'7. PGE_Efficacité'!$A$4:$BU$4,0)+31),0)</f>
        <v>0</v>
      </c>
      <c r="R81" s="365">
        <f>VLOOKUP($E81,'7. PGE_Efficacité'!$A$6:$BT$266,(MATCH('4.3 ACE EFF CAN'!R$4,'7. PGE_Efficacité'!$A$4:$BU$4,0)+31),0)</f>
        <v>0</v>
      </c>
      <c r="S81" s="365">
        <f>VLOOKUP($E81,'7. PGE_Efficacité'!$A$6:$BT$266,(MATCH('4.3 ACE EFF CAN'!S$4,'7. PGE_Efficacité'!$A$4:$BU$4,0)+31),0)</f>
        <v>0</v>
      </c>
      <c r="T81" s="365">
        <f>VLOOKUP($E81,'7. PGE_Efficacité'!$A$6:$BT$266,(MATCH('4.3 ACE EFF CAN'!T$4,'7. PGE_Efficacité'!$A$4:$BU$4,0)+31),0)</f>
        <v>0</v>
      </c>
      <c r="U81" s="365">
        <f>VLOOKUP($E81,'7. PGE_Efficacité'!$A$6:$BT$266,(MATCH('4.3 ACE EFF CAN'!U$4,'7. PGE_Efficacité'!$A$4:$BU$4,0)+31),0)</f>
        <v>0</v>
      </c>
      <c r="V81" s="365">
        <f>VLOOKUP($E81,'7. PGE_Efficacité'!$A$6:$BT$266,(MATCH('4.3 ACE EFF CAN'!V$4,'7. PGE_Efficacité'!$A$4:$BU$4,0)+31),0)</f>
        <v>0</v>
      </c>
      <c r="W81" s="365">
        <f>VLOOKUP($E81,'7. PGE_Efficacité'!$A$6:$BT$266,(MATCH('4.3 ACE EFF CAN'!W$4,'7. PGE_Efficacité'!$A$4:$BU$4,0)+31),0)</f>
        <v>0</v>
      </c>
      <c r="X81" s="365">
        <f>VLOOKUP($E81,'7. PGE_Efficacité'!$A$6:$BT$266,(MATCH('4.3 ACE EFF CAN'!X$4,'7. PGE_Efficacité'!$A$4:$BU$4,0)+31),0)</f>
        <v>0</v>
      </c>
      <c r="Y81" s="366">
        <f>VLOOKUP($E81,'7. PGE_Efficacité'!$A$6:$BT$266,(MATCH('4.3 ACE EFF CAN'!Y$4,'7. PGE_Efficacité'!$A$4:$BU$4,0)+31),0)</f>
        <v>0</v>
      </c>
      <c r="Z81" s="366">
        <f>VLOOKUP($E81,'7. PGE_Efficacité'!$A$6:$BT$266,(MATCH('4.3 ACE EFF CAN'!Z$4,'7. PGE_Efficacité'!$A$4:$BU$4,0)+31),0)</f>
        <v>0</v>
      </c>
      <c r="AA81" s="366">
        <f>VLOOKUP($E81,'7. PGE_Efficacité'!$A$6:$BT$266,(MATCH('4.3 ACE EFF CAN'!AA$4,'7. PGE_Efficacité'!$A$4:$BU$4,0)+31),0)</f>
        <v>0</v>
      </c>
      <c r="AB81" s="366">
        <f>VLOOKUP($E81,'7. PGE_Efficacité'!$A$6:$BT$266,(MATCH('4.3 ACE EFF CAN'!AB$4,'7. PGE_Efficacité'!$A$4:$BU$4,0)+31),0)</f>
        <v>0</v>
      </c>
      <c r="AC81" s="366">
        <f>VLOOKUP($E81,'7. PGE_Efficacité'!$A$6:$BT$266,(MATCH('4.3 ACE EFF CAN'!AC$4,'7. PGE_Efficacité'!$A$4:$BU$4,0)+31),0)</f>
        <v>0</v>
      </c>
      <c r="AD81" s="366">
        <f>VLOOKUP($E81,'7. PGE_Efficacité'!$A$6:$BT$266,(MATCH('4.3 ACE EFF CAN'!AD$4,'7. PGE_Efficacité'!$A$4:$BU$4,0)+31),0)</f>
        <v>0</v>
      </c>
      <c r="AE81" s="366">
        <f>VLOOKUP($E81,'7. PGE_Efficacité'!$A$6:$BT$266,(MATCH('4.3 ACE EFF CAN'!AE$4,'7. PGE_Efficacité'!$A$4:$BU$4,0)+31),0)</f>
        <v>0</v>
      </c>
      <c r="AF81" s="366">
        <f>VLOOKUP($E81,'7. PGE_Efficacité'!$A$6:$BT$266,(MATCH('4.3 ACE EFF CAN'!AF$4,'7. PGE_Efficacité'!$A$4:$BU$4,0)+31),0)</f>
        <v>0</v>
      </c>
      <c r="AG81" s="366">
        <f>VLOOKUP($E81,'7. PGE_Efficacité'!$A$6:$BT$266,(MATCH('4.3 ACE EFF CAN'!AG$4,'7. PGE_Efficacité'!$A$4:$BU$4,0)+31),0)</f>
        <v>0</v>
      </c>
      <c r="AH81" s="366">
        <f>VLOOKUP($E81,'7. PGE_Efficacité'!$A$6:$BT$266,(MATCH('4.3 ACE EFF CAN'!AH$4,'7. PGE_Efficacité'!$A$4:$BU$4,0)+31),0)</f>
        <v>0</v>
      </c>
      <c r="AI81" s="366">
        <f>VLOOKUP($E81,'7. PGE_Efficacité'!$A$6:$BT$266,(MATCH('4.3 ACE EFF CAN'!AI$4,'7. PGE_Efficacité'!$A$4:$BU$4,0)+31),0)</f>
        <v>0</v>
      </c>
      <c r="AJ81" s="366">
        <f>VLOOKUP($E81,'7. PGE_Efficacité'!$A$6:$BT$266,(MATCH('4.3 ACE EFF CAN'!AJ$4,'7. PGE_Efficacité'!$A$4:$BU$4,0)+31),0)</f>
        <v>0</v>
      </c>
      <c r="AK81" s="366">
        <f>VLOOKUP($E81,'7. PGE_Efficacité'!$A$6:$BT$266,(MATCH('4.3 ACE EFF CAN'!AK$4,'7. PGE_Efficacité'!$A$4:$BU$4,0)+31),0)</f>
        <v>0</v>
      </c>
      <c r="AL81" s="366">
        <f>VLOOKUP($E81,'7. PGE_Efficacité'!$A$6:$BT$266,(MATCH('4.3 ACE EFF CAN'!AL$4,'7. PGE_Efficacité'!$A$4:$BU$4,0)+31),0)</f>
        <v>0</v>
      </c>
      <c r="AM81" s="366">
        <f>VLOOKUP($E81,'7. PGE_Efficacité'!$A$6:$BT$266,(MATCH('4.3 ACE EFF CAN'!AM$4,'7. PGE_Efficacité'!$A$4:$BU$4,0)+31),0)</f>
        <v>0</v>
      </c>
      <c r="AN81" s="366">
        <f>VLOOKUP($E81,'7. PGE_Efficacité'!$A$6:$BT$266,(MATCH('4.3 ACE EFF CAN'!AN$4,'7. PGE_Efficacité'!$A$4:$BU$4,0)+31),0)</f>
        <v>0</v>
      </c>
    </row>
    <row r="82" spans="1:40" outlineLevel="2" x14ac:dyDescent="0.25">
      <c r="A82" s="154" t="s">
        <v>1524</v>
      </c>
      <c r="B82" s="154">
        <v>11</v>
      </c>
      <c r="C82" s="154" t="s">
        <v>1531</v>
      </c>
      <c r="D82" s="330" t="s">
        <v>10</v>
      </c>
      <c r="E82" s="330" t="s">
        <v>664</v>
      </c>
      <c r="F82" s="330" t="s">
        <v>1324</v>
      </c>
      <c r="G82" s="330" t="s">
        <v>1520</v>
      </c>
      <c r="H82" s="330" t="s">
        <v>1287</v>
      </c>
      <c r="I82" s="364">
        <v>0</v>
      </c>
      <c r="J82" s="365">
        <f>VLOOKUP($E82,'7. PGE_Efficacité'!$A$6:$BT$266,(MATCH('4.3 ACE EFF CAN'!J$4,'7. PGE_Efficacité'!$A$4:$BU$4,0)+31),0)</f>
        <v>0</v>
      </c>
      <c r="K82" s="365">
        <f>VLOOKUP($E82,'7. PGE_Efficacité'!$A$6:$BT$266,(MATCH('4.3 ACE EFF CAN'!K$4,'7. PGE_Efficacité'!$A$4:$BU$4,0)+31),0)</f>
        <v>0</v>
      </c>
      <c r="L82" s="365">
        <f>VLOOKUP($E82,'7. PGE_Efficacité'!$A$6:$BT$266,(MATCH('4.3 ACE EFF CAN'!L$4,'7. PGE_Efficacité'!$A$4:$BU$4,0)+31),0)</f>
        <v>0</v>
      </c>
      <c r="M82" s="365">
        <f>VLOOKUP($E82,'7. PGE_Efficacité'!$A$6:$BT$266,(MATCH('4.3 ACE EFF CAN'!M$4,'7. PGE_Efficacité'!$A$4:$BU$4,0)+31),0)</f>
        <v>0</v>
      </c>
      <c r="N82" s="365">
        <f>VLOOKUP($E82,'7. PGE_Efficacité'!$A$6:$BT$266,(MATCH('4.3 ACE EFF CAN'!N$4,'7. PGE_Efficacité'!$A$4:$BU$4,0)+31),0)</f>
        <v>0</v>
      </c>
      <c r="O82" s="365">
        <f>VLOOKUP($E82,'7. PGE_Efficacité'!$A$6:$BT$266,(MATCH('4.3 ACE EFF CAN'!O$4,'7. PGE_Efficacité'!$A$4:$BU$4,0)+31),0)</f>
        <v>0</v>
      </c>
      <c r="P82" s="365">
        <f>VLOOKUP($E82,'7. PGE_Efficacité'!$A$6:$BT$266,(MATCH('4.3 ACE EFF CAN'!P$4,'7. PGE_Efficacité'!$A$4:$BU$4,0)+31),0)</f>
        <v>0</v>
      </c>
      <c r="Q82" s="365">
        <f>VLOOKUP($E82,'7. PGE_Efficacité'!$A$6:$BT$266,(MATCH('4.3 ACE EFF CAN'!Q$4,'7. PGE_Efficacité'!$A$4:$BU$4,0)+31),0)</f>
        <v>0</v>
      </c>
      <c r="R82" s="365">
        <f>VLOOKUP($E82,'7. PGE_Efficacité'!$A$6:$BT$266,(MATCH('4.3 ACE EFF CAN'!R$4,'7. PGE_Efficacité'!$A$4:$BU$4,0)+31),0)</f>
        <v>0</v>
      </c>
      <c r="S82" s="365">
        <f>VLOOKUP($E82,'7. PGE_Efficacité'!$A$6:$BT$266,(MATCH('4.3 ACE EFF CAN'!S$4,'7. PGE_Efficacité'!$A$4:$BU$4,0)+31),0)</f>
        <v>0</v>
      </c>
      <c r="T82" s="365">
        <f>VLOOKUP($E82,'7. PGE_Efficacité'!$A$6:$BT$266,(MATCH('4.3 ACE EFF CAN'!T$4,'7. PGE_Efficacité'!$A$4:$BU$4,0)+31),0)</f>
        <v>0</v>
      </c>
      <c r="U82" s="365">
        <f>VLOOKUP($E82,'7. PGE_Efficacité'!$A$6:$BT$266,(MATCH('4.3 ACE EFF CAN'!U$4,'7. PGE_Efficacité'!$A$4:$BU$4,0)+31),0)</f>
        <v>0</v>
      </c>
      <c r="V82" s="365">
        <f>VLOOKUP($E82,'7. PGE_Efficacité'!$A$6:$BT$266,(MATCH('4.3 ACE EFF CAN'!V$4,'7. PGE_Efficacité'!$A$4:$BU$4,0)+31),0)</f>
        <v>0</v>
      </c>
      <c r="W82" s="365">
        <f>VLOOKUP($E82,'7. PGE_Efficacité'!$A$6:$BT$266,(MATCH('4.3 ACE EFF CAN'!W$4,'7. PGE_Efficacité'!$A$4:$BU$4,0)+31),0)</f>
        <v>0</v>
      </c>
      <c r="X82" s="365">
        <f>VLOOKUP($E82,'7. PGE_Efficacité'!$A$6:$BT$266,(MATCH('4.3 ACE EFF CAN'!X$4,'7. PGE_Efficacité'!$A$4:$BU$4,0)+31),0)</f>
        <v>0</v>
      </c>
      <c r="Y82" s="366">
        <f>VLOOKUP($E82,'7. PGE_Efficacité'!$A$6:$BT$266,(MATCH('4.3 ACE EFF CAN'!Y$4,'7. PGE_Efficacité'!$A$4:$BU$4,0)+31),0)</f>
        <v>0</v>
      </c>
      <c r="Z82" s="366">
        <f>VLOOKUP($E82,'7. PGE_Efficacité'!$A$6:$BT$266,(MATCH('4.3 ACE EFF CAN'!Z$4,'7. PGE_Efficacité'!$A$4:$BU$4,0)+31),0)</f>
        <v>0</v>
      </c>
      <c r="AA82" s="366">
        <f>VLOOKUP($E82,'7. PGE_Efficacité'!$A$6:$BT$266,(MATCH('4.3 ACE EFF CAN'!AA$4,'7. PGE_Efficacité'!$A$4:$BU$4,0)+31),0)</f>
        <v>0</v>
      </c>
      <c r="AB82" s="366">
        <f>VLOOKUP($E82,'7. PGE_Efficacité'!$A$6:$BT$266,(MATCH('4.3 ACE EFF CAN'!AB$4,'7. PGE_Efficacité'!$A$4:$BU$4,0)+31),0)</f>
        <v>0</v>
      </c>
      <c r="AC82" s="366">
        <f>VLOOKUP($E82,'7. PGE_Efficacité'!$A$6:$BT$266,(MATCH('4.3 ACE EFF CAN'!AC$4,'7. PGE_Efficacité'!$A$4:$BU$4,0)+31),0)</f>
        <v>0</v>
      </c>
      <c r="AD82" s="366">
        <f>VLOOKUP($E82,'7. PGE_Efficacité'!$A$6:$BT$266,(MATCH('4.3 ACE EFF CAN'!AD$4,'7. PGE_Efficacité'!$A$4:$BU$4,0)+31),0)</f>
        <v>0</v>
      </c>
      <c r="AE82" s="366">
        <f>VLOOKUP($E82,'7. PGE_Efficacité'!$A$6:$BT$266,(MATCH('4.3 ACE EFF CAN'!AE$4,'7. PGE_Efficacité'!$A$4:$BU$4,0)+31),0)</f>
        <v>0</v>
      </c>
      <c r="AF82" s="366">
        <f>VLOOKUP($E82,'7. PGE_Efficacité'!$A$6:$BT$266,(MATCH('4.3 ACE EFF CAN'!AF$4,'7. PGE_Efficacité'!$A$4:$BU$4,0)+31),0)</f>
        <v>0</v>
      </c>
      <c r="AG82" s="366">
        <f>VLOOKUP($E82,'7. PGE_Efficacité'!$A$6:$BT$266,(MATCH('4.3 ACE EFF CAN'!AG$4,'7. PGE_Efficacité'!$A$4:$BU$4,0)+31),0)</f>
        <v>0</v>
      </c>
      <c r="AH82" s="366">
        <f>VLOOKUP($E82,'7. PGE_Efficacité'!$A$6:$BT$266,(MATCH('4.3 ACE EFF CAN'!AH$4,'7. PGE_Efficacité'!$A$4:$BU$4,0)+31),0)</f>
        <v>0</v>
      </c>
      <c r="AI82" s="366">
        <f>VLOOKUP($E82,'7. PGE_Efficacité'!$A$6:$BT$266,(MATCH('4.3 ACE EFF CAN'!AI$4,'7. PGE_Efficacité'!$A$4:$BU$4,0)+31),0)</f>
        <v>0</v>
      </c>
      <c r="AJ82" s="366">
        <f>VLOOKUP($E82,'7. PGE_Efficacité'!$A$6:$BT$266,(MATCH('4.3 ACE EFF CAN'!AJ$4,'7. PGE_Efficacité'!$A$4:$BU$4,0)+31),0)</f>
        <v>0</v>
      </c>
      <c r="AK82" s="366">
        <f>VLOOKUP($E82,'7. PGE_Efficacité'!$A$6:$BT$266,(MATCH('4.3 ACE EFF CAN'!AK$4,'7. PGE_Efficacité'!$A$4:$BU$4,0)+31),0)</f>
        <v>0</v>
      </c>
      <c r="AL82" s="366">
        <f>VLOOKUP($E82,'7. PGE_Efficacité'!$A$6:$BT$266,(MATCH('4.3 ACE EFF CAN'!AL$4,'7. PGE_Efficacité'!$A$4:$BU$4,0)+31),0)</f>
        <v>0</v>
      </c>
      <c r="AM82" s="366">
        <f>VLOOKUP($E82,'7. PGE_Efficacité'!$A$6:$BT$266,(MATCH('4.3 ACE EFF CAN'!AM$4,'7. PGE_Efficacité'!$A$4:$BU$4,0)+31),0)</f>
        <v>0</v>
      </c>
      <c r="AN82" s="366">
        <f>VLOOKUP($E82,'7. PGE_Efficacité'!$A$6:$BT$266,(MATCH('4.3 ACE EFF CAN'!AN$4,'7. PGE_Efficacité'!$A$4:$BU$4,0)+31),0)</f>
        <v>0</v>
      </c>
    </row>
    <row r="83" spans="1:40" outlineLevel="2" x14ac:dyDescent="0.25">
      <c r="A83" s="154" t="s">
        <v>1524</v>
      </c>
      <c r="B83" s="154">
        <v>11</v>
      </c>
      <c r="C83" s="154" t="s">
        <v>1534</v>
      </c>
      <c r="D83" s="330" t="s">
        <v>10</v>
      </c>
      <c r="E83" s="330" t="s">
        <v>667</v>
      </c>
      <c r="F83" s="330" t="s">
        <v>1327</v>
      </c>
      <c r="G83" s="330" t="s">
        <v>1520</v>
      </c>
      <c r="H83" s="330" t="s">
        <v>1290</v>
      </c>
      <c r="I83" s="364">
        <v>0</v>
      </c>
      <c r="J83" s="365">
        <f>VLOOKUP($E83,'7. PGE_Efficacité'!$A$6:$BT$266,(MATCH('4.3 ACE EFF CAN'!J$4,'7. PGE_Efficacité'!$A$4:$BU$4,0)+31),0)</f>
        <v>0</v>
      </c>
      <c r="K83" s="365">
        <f>VLOOKUP($E83,'7. PGE_Efficacité'!$A$6:$BT$266,(MATCH('4.3 ACE EFF CAN'!K$4,'7. PGE_Efficacité'!$A$4:$BU$4,0)+31),0)</f>
        <v>0</v>
      </c>
      <c r="L83" s="365">
        <f>VLOOKUP($E83,'7. PGE_Efficacité'!$A$6:$BT$266,(MATCH('4.3 ACE EFF CAN'!L$4,'7. PGE_Efficacité'!$A$4:$BU$4,0)+31),0)</f>
        <v>0</v>
      </c>
      <c r="M83" s="365">
        <f>VLOOKUP($E83,'7. PGE_Efficacité'!$A$6:$BT$266,(MATCH('4.3 ACE EFF CAN'!M$4,'7. PGE_Efficacité'!$A$4:$BU$4,0)+31),0)</f>
        <v>0</v>
      </c>
      <c r="N83" s="365">
        <f>VLOOKUP($E83,'7. PGE_Efficacité'!$A$6:$BT$266,(MATCH('4.3 ACE EFF CAN'!N$4,'7. PGE_Efficacité'!$A$4:$BU$4,0)+31),0)</f>
        <v>0</v>
      </c>
      <c r="O83" s="365">
        <f>VLOOKUP($E83,'7. PGE_Efficacité'!$A$6:$BT$266,(MATCH('4.3 ACE EFF CAN'!O$4,'7. PGE_Efficacité'!$A$4:$BU$4,0)+31),0)</f>
        <v>0</v>
      </c>
      <c r="P83" s="365">
        <f>VLOOKUP($E83,'7. PGE_Efficacité'!$A$6:$BT$266,(MATCH('4.3 ACE EFF CAN'!P$4,'7. PGE_Efficacité'!$A$4:$BU$4,0)+31),0)</f>
        <v>0</v>
      </c>
      <c r="Q83" s="365">
        <f>VLOOKUP($E83,'7. PGE_Efficacité'!$A$6:$BT$266,(MATCH('4.3 ACE EFF CAN'!Q$4,'7. PGE_Efficacité'!$A$4:$BU$4,0)+31),0)</f>
        <v>0</v>
      </c>
      <c r="R83" s="365">
        <f>VLOOKUP($E83,'7. PGE_Efficacité'!$A$6:$BT$266,(MATCH('4.3 ACE EFF CAN'!R$4,'7. PGE_Efficacité'!$A$4:$BU$4,0)+31),0)</f>
        <v>0</v>
      </c>
      <c r="S83" s="365">
        <f>VLOOKUP($E83,'7. PGE_Efficacité'!$A$6:$BT$266,(MATCH('4.3 ACE EFF CAN'!S$4,'7. PGE_Efficacité'!$A$4:$BU$4,0)+31),0)</f>
        <v>0</v>
      </c>
      <c r="T83" s="365">
        <f>VLOOKUP($E83,'7. PGE_Efficacité'!$A$6:$BT$266,(MATCH('4.3 ACE EFF CAN'!T$4,'7. PGE_Efficacité'!$A$4:$BU$4,0)+31),0)</f>
        <v>0</v>
      </c>
      <c r="U83" s="365">
        <f>VLOOKUP($E83,'7. PGE_Efficacité'!$A$6:$BT$266,(MATCH('4.3 ACE EFF CAN'!U$4,'7. PGE_Efficacité'!$A$4:$BU$4,0)+31),0)</f>
        <v>0</v>
      </c>
      <c r="V83" s="365">
        <f>VLOOKUP($E83,'7. PGE_Efficacité'!$A$6:$BT$266,(MATCH('4.3 ACE EFF CAN'!V$4,'7. PGE_Efficacité'!$A$4:$BU$4,0)+31),0)</f>
        <v>0</v>
      </c>
      <c r="W83" s="365">
        <f>VLOOKUP($E83,'7. PGE_Efficacité'!$A$6:$BT$266,(MATCH('4.3 ACE EFF CAN'!W$4,'7. PGE_Efficacité'!$A$4:$BU$4,0)+31),0)</f>
        <v>0</v>
      </c>
      <c r="X83" s="365">
        <f>VLOOKUP($E83,'7. PGE_Efficacité'!$A$6:$BT$266,(MATCH('4.3 ACE EFF CAN'!X$4,'7. PGE_Efficacité'!$A$4:$BU$4,0)+31),0)</f>
        <v>0</v>
      </c>
      <c r="Y83" s="366">
        <f>VLOOKUP($E83,'7. PGE_Efficacité'!$A$6:$BT$266,(MATCH('4.3 ACE EFF CAN'!Y$4,'7. PGE_Efficacité'!$A$4:$BU$4,0)+31),0)</f>
        <v>0</v>
      </c>
      <c r="Z83" s="366">
        <f>VLOOKUP($E83,'7. PGE_Efficacité'!$A$6:$BT$266,(MATCH('4.3 ACE EFF CAN'!Z$4,'7. PGE_Efficacité'!$A$4:$BU$4,0)+31),0)</f>
        <v>0</v>
      </c>
      <c r="AA83" s="366">
        <f>VLOOKUP($E83,'7. PGE_Efficacité'!$A$6:$BT$266,(MATCH('4.3 ACE EFF CAN'!AA$4,'7. PGE_Efficacité'!$A$4:$BU$4,0)+31),0)</f>
        <v>0</v>
      </c>
      <c r="AB83" s="366">
        <f>VLOOKUP($E83,'7. PGE_Efficacité'!$A$6:$BT$266,(MATCH('4.3 ACE EFF CAN'!AB$4,'7. PGE_Efficacité'!$A$4:$BU$4,0)+31),0)</f>
        <v>0</v>
      </c>
      <c r="AC83" s="366">
        <f>VLOOKUP($E83,'7. PGE_Efficacité'!$A$6:$BT$266,(MATCH('4.3 ACE EFF CAN'!AC$4,'7. PGE_Efficacité'!$A$4:$BU$4,0)+31),0)</f>
        <v>0</v>
      </c>
      <c r="AD83" s="366">
        <f>VLOOKUP($E83,'7. PGE_Efficacité'!$A$6:$BT$266,(MATCH('4.3 ACE EFF CAN'!AD$4,'7. PGE_Efficacité'!$A$4:$BU$4,0)+31),0)</f>
        <v>0</v>
      </c>
      <c r="AE83" s="366">
        <f>VLOOKUP($E83,'7. PGE_Efficacité'!$A$6:$BT$266,(MATCH('4.3 ACE EFF CAN'!AE$4,'7. PGE_Efficacité'!$A$4:$BU$4,0)+31),0)</f>
        <v>0</v>
      </c>
      <c r="AF83" s="366">
        <f>VLOOKUP($E83,'7. PGE_Efficacité'!$A$6:$BT$266,(MATCH('4.3 ACE EFF CAN'!AF$4,'7. PGE_Efficacité'!$A$4:$BU$4,0)+31),0)</f>
        <v>0</v>
      </c>
      <c r="AG83" s="366">
        <f>VLOOKUP($E83,'7. PGE_Efficacité'!$A$6:$BT$266,(MATCH('4.3 ACE EFF CAN'!AG$4,'7. PGE_Efficacité'!$A$4:$BU$4,0)+31),0)</f>
        <v>0</v>
      </c>
      <c r="AH83" s="366">
        <f>VLOOKUP($E83,'7. PGE_Efficacité'!$A$6:$BT$266,(MATCH('4.3 ACE EFF CAN'!AH$4,'7. PGE_Efficacité'!$A$4:$BU$4,0)+31),0)</f>
        <v>0</v>
      </c>
      <c r="AI83" s="366">
        <f>VLOOKUP($E83,'7. PGE_Efficacité'!$A$6:$BT$266,(MATCH('4.3 ACE EFF CAN'!AI$4,'7. PGE_Efficacité'!$A$4:$BU$4,0)+31),0)</f>
        <v>0</v>
      </c>
      <c r="AJ83" s="366">
        <f>VLOOKUP($E83,'7. PGE_Efficacité'!$A$6:$BT$266,(MATCH('4.3 ACE EFF CAN'!AJ$4,'7. PGE_Efficacité'!$A$4:$BU$4,0)+31),0)</f>
        <v>0</v>
      </c>
      <c r="AK83" s="366">
        <f>VLOOKUP($E83,'7. PGE_Efficacité'!$A$6:$BT$266,(MATCH('4.3 ACE EFF CAN'!AK$4,'7. PGE_Efficacité'!$A$4:$BU$4,0)+31),0)</f>
        <v>0</v>
      </c>
      <c r="AL83" s="366">
        <f>VLOOKUP($E83,'7. PGE_Efficacité'!$A$6:$BT$266,(MATCH('4.3 ACE EFF CAN'!AL$4,'7. PGE_Efficacité'!$A$4:$BU$4,0)+31),0)</f>
        <v>0</v>
      </c>
      <c r="AM83" s="366">
        <f>VLOOKUP($E83,'7. PGE_Efficacité'!$A$6:$BT$266,(MATCH('4.3 ACE EFF CAN'!AM$4,'7. PGE_Efficacité'!$A$4:$BU$4,0)+31),0)</f>
        <v>0</v>
      </c>
      <c r="AN83" s="366">
        <f>VLOOKUP($E83,'7. PGE_Efficacité'!$A$6:$BT$266,(MATCH('4.3 ACE EFF CAN'!AN$4,'7. PGE_Efficacité'!$A$4:$BU$4,0)+31),0)</f>
        <v>0</v>
      </c>
    </row>
    <row r="84" spans="1:40" outlineLevel="1" x14ac:dyDescent="0.25">
      <c r="A84" s="154"/>
      <c r="B84" s="154"/>
      <c r="C84" s="154"/>
      <c r="D84" s="360" t="s">
        <v>13</v>
      </c>
      <c r="E84" s="360"/>
      <c r="F84" s="361" t="str">
        <f>VLOOKUP(D84,'1. Mesures'!$A$2:$B$116,2,0)</f>
        <v>Assurer un contrôle réglementaire sur le respect des normes de rejet en eaux de surface et en égout</v>
      </c>
      <c r="G84" s="360"/>
      <c r="H84" s="360"/>
      <c r="I84" s="362">
        <f>SUBTOTAL(9,I85:I88)</f>
        <v>30000</v>
      </c>
      <c r="J84" s="366">
        <f>VLOOKUP($D84,'7. PGE_Efficacité'!$A$6:$BT$266,(MATCH('4.3 ACE EFF CAN'!J$4,'7. PGE_Efficacité'!$A$4:$AO$4,0)+31),0)</f>
        <v>0</v>
      </c>
      <c r="K84" s="366" t="str">
        <f>VLOOKUP($D84,'7. PGE_Efficacité'!$A$6:$BT$266,(MATCH('4.3 ACE EFF CAN'!K$4,'7. PGE_Efficacité'!$A$4:$AO$4,0)+31),0)</f>
        <v>+</v>
      </c>
      <c r="L84" s="366" t="str">
        <f>VLOOKUP($D84,'7. PGE_Efficacité'!$A$6:$BT$266,(MATCH('4.3 ACE EFF CAN'!L$4,'7. PGE_Efficacité'!$A$4:$AO$4,0)+31),0)</f>
        <v>+</v>
      </c>
      <c r="M84" s="366" t="str">
        <f>VLOOKUP($D84,'7. PGE_Efficacité'!$A$6:$BT$266,(MATCH('4.3 ACE EFF CAN'!M$4,'7. PGE_Efficacité'!$A$4:$AO$4,0)+31),0)</f>
        <v>+</v>
      </c>
      <c r="N84" s="366" t="str">
        <f>VLOOKUP($D84,'7. PGE_Efficacité'!$A$6:$BT$266,(MATCH('4.3 ACE EFF CAN'!N$4,'7. PGE_Efficacité'!$A$4:$AO$4,0)+31),0)</f>
        <v>+</v>
      </c>
      <c r="O84" s="366" t="str">
        <f>VLOOKUP($D84,'7. PGE_Efficacité'!$A$6:$BT$266,47,0)</f>
        <v>+</v>
      </c>
      <c r="P84" s="366">
        <f>VLOOKUP($D84,'7. PGE_Efficacité'!$A$6:$BT$266,(MATCH('4.3 ACE EFF CAN'!P$4,'7. PGE_Efficacité'!$A$4:$AO$4,0)+31),0)</f>
        <v>0</v>
      </c>
      <c r="Q84" s="366" t="str">
        <f>VLOOKUP($D84,'7. PGE_Efficacité'!$A$6:$BT$266,(MATCH('4.3 ACE EFF CAN'!Q$4,'7. PGE_Efficacité'!$A$4:$AO$4,0)+31),0)</f>
        <v>++</v>
      </c>
      <c r="R84" s="366" t="str">
        <f>VLOOKUP($D84,'7. PGE_Efficacité'!$A$6:$BT$266,(MATCH('4.3 ACE EFF CAN'!R$4,'7. PGE_Efficacité'!$A$4:$AO$4,0)+31),0)</f>
        <v>+</v>
      </c>
      <c r="S84" s="366">
        <f>VLOOKUP($D84,'7. PGE_Efficacité'!$A$6:$BT$266,(MATCH('4.3 ACE EFF CAN'!S$4,'7. PGE_Efficacité'!$A$4:$AO$4,0)+31),0)</f>
        <v>0</v>
      </c>
      <c r="T84" s="366" t="str">
        <f>VLOOKUP($D84,'7. PGE_Efficacité'!$A$6:$BT$266,(MATCH('4.3 ACE EFF CAN'!T$4,'7. PGE_Efficacité'!$A$4:$AO$4,0)+31),0)</f>
        <v>+</v>
      </c>
      <c r="U84" s="366">
        <f>VLOOKUP($D84,'7. PGE_Efficacité'!$A$6:$BT$266,(MATCH('4.3 ACE EFF CAN'!U$4,'7. PGE_Efficacité'!$A$4:$AO$4,0)+31),0)</f>
        <v>0</v>
      </c>
      <c r="V84" s="366" t="str">
        <f>VLOOKUP($D84,'7. PGE_Efficacité'!$A$6:$BT$266,(MATCH('4.3 ACE EFF CAN'!V$4,'7. PGE_Efficacité'!$A$4:$AO$4,0)+31),0)</f>
        <v>+</v>
      </c>
      <c r="W84" s="366" t="str">
        <f>VLOOKUP($D84,'7. PGE_Efficacité'!$A$6:$BT$266,(MATCH('4.3 ACE EFF CAN'!W$4,'7. PGE_Efficacité'!$A$4:$AO$4,0)+31),0)</f>
        <v>+</v>
      </c>
      <c r="X84" s="366">
        <f>VLOOKUP($D84,'7. PGE_Efficacité'!$A$6:$BT$266,(MATCH('4.3 ACE EFF CAN'!X$4,'7. PGE_Efficacité'!$A$4:$AO$4,0)+31),0)</f>
        <v>0</v>
      </c>
      <c r="Y84" s="366" t="str">
        <f>VLOOKUP($D84,'7. PGE_Efficacité'!$A$6:$BT$266,(MATCH('4.3 ACE EFF CAN'!Y$4,'7. PGE_Efficacité'!$A$4:$AO$4,0)+31),0)</f>
        <v>+</v>
      </c>
      <c r="Z84" s="366" t="str">
        <f>VLOOKUP($D84,'7. PGE_Efficacité'!$A$6:$BT$266,(MATCH('4.3 ACE EFF CAN'!Z$4,'7. PGE_Efficacité'!$A$4:$AO$4,0)+31),0)</f>
        <v>+</v>
      </c>
      <c r="AA84" s="366">
        <f>VLOOKUP($D84,'7. PGE_Efficacité'!$A$6:$BT$266,(MATCH('4.3 ACE EFF CAN'!AA$4,'7. PGE_Efficacité'!$A$4:$AO$4,0)+31),0)</f>
        <v>0</v>
      </c>
      <c r="AB84" s="366">
        <f>VLOOKUP($D84,'7. PGE_Efficacité'!$A$6:$BT$266,(MATCH('4.3 ACE EFF CAN'!AB$4,'7. PGE_Efficacité'!$A$4:$AO$4,0)+31),0)</f>
        <v>0</v>
      </c>
      <c r="AC84" s="366">
        <f>VLOOKUP($D84,'7. PGE_Efficacité'!$A$6:$BT$266,(MATCH('4.3 ACE EFF CAN'!AC$4,'7. PGE_Efficacité'!$A$4:$AO$4,0)+31),0)</f>
        <v>0</v>
      </c>
      <c r="AD84" s="366">
        <f>VLOOKUP($D84,'7. PGE_Efficacité'!$A$6:$BT$266,(MATCH('4.3 ACE EFF CAN'!AD$4,'7. PGE_Efficacité'!$A$4:$AO$4,0)+31),0)</f>
        <v>0</v>
      </c>
      <c r="AE84" s="366">
        <f>VLOOKUP($D84,'7. PGE_Efficacité'!$A$6:$BT$266,(MATCH('4.3 ACE EFF CAN'!AE$4,'7. PGE_Efficacité'!$A$4:$AO$4,0)+31),0)</f>
        <v>0</v>
      </c>
      <c r="AF84" s="366">
        <f>VLOOKUP($D84,'7. PGE_Efficacité'!$A$6:$BT$266,(MATCH('4.3 ACE EFF CAN'!AF$4,'7. PGE_Efficacité'!$A$4:$AO$4,0)+31),0)</f>
        <v>0</v>
      </c>
      <c r="AG84" s="366">
        <f>VLOOKUP($D84,'7. PGE_Efficacité'!$A$6:$BT$266,(MATCH('4.3 ACE EFF CAN'!AG$4,'7. PGE_Efficacité'!$A$4:$AO$4,0)+31),0)</f>
        <v>0</v>
      </c>
      <c r="AH84" s="366">
        <f>VLOOKUP($D84,'7. PGE_Efficacité'!$A$6:$BT$266,(MATCH('4.3 ACE EFF CAN'!AH$4,'7. PGE_Efficacité'!$A$4:$AO$4,0)+31),0)</f>
        <v>0</v>
      </c>
      <c r="AI84" s="366">
        <f>VLOOKUP($D84,'7. PGE_Efficacité'!$A$6:$BT$266,(MATCH('4.3 ACE EFF CAN'!AI$4,'7. PGE_Efficacité'!$A$4:$AO$4,0)+31),0)</f>
        <v>0</v>
      </c>
      <c r="AJ84" s="366">
        <f>VLOOKUP($D84,'7. PGE_Efficacité'!$A$6:$BT$266,(MATCH('4.3 ACE EFF CAN'!AJ$4,'7. PGE_Efficacité'!$A$4:$AO$4,0)+31),0)</f>
        <v>0</v>
      </c>
      <c r="AK84" s="366" t="str">
        <f>VLOOKUP($D84,'7. PGE_Efficacité'!$A$6:$BT$266,(MATCH('4.3 ACE EFF CAN'!AK$4,'7. PGE_Efficacité'!$A$4:$AO$4,0)+31),0)</f>
        <v>+</v>
      </c>
      <c r="AL84" s="366">
        <f>VLOOKUP($D84,'7. PGE_Efficacité'!$A$6:$BT$266,(MATCH('4.3 ACE EFF CAN'!AL$4,'7. PGE_Efficacité'!$A$4:$AO$4,0)+31),0)</f>
        <v>0</v>
      </c>
      <c r="AM84" s="366" t="str">
        <f>VLOOKUP($D84,'7. PGE_Efficacité'!$A$6:$BT$266,(MATCH('4.3 ACE EFF CAN'!AM$4,'7. PGE_Efficacité'!$A$4:$AO$4,0)+31),0)</f>
        <v>+</v>
      </c>
      <c r="AN84" s="366" t="str">
        <f>VLOOKUP($D84,'7. PGE_Efficacité'!$A$6:$BT$266,(MATCH('4.3 ACE EFF CAN'!AN$4,'7. PGE_Efficacité'!$A$4:$AO$4,0)+31),0)</f>
        <v>+</v>
      </c>
    </row>
    <row r="85" spans="1:40" outlineLevel="2" x14ac:dyDescent="0.25">
      <c r="A85" s="154" t="s">
        <v>1524</v>
      </c>
      <c r="B85" s="154">
        <v>14</v>
      </c>
      <c r="C85" s="154" t="s">
        <v>1524</v>
      </c>
      <c r="D85" s="330" t="s">
        <v>13</v>
      </c>
      <c r="E85" s="330" t="s">
        <v>675</v>
      </c>
      <c r="F85" s="330" t="s">
        <v>1335</v>
      </c>
      <c r="G85" s="330" t="s">
        <v>1521</v>
      </c>
      <c r="H85" s="330" t="s">
        <v>1290</v>
      </c>
      <c r="I85" s="364">
        <v>0</v>
      </c>
      <c r="J85" s="365">
        <f>VLOOKUP($E85,'7. PGE_Efficacité'!$A$6:$BT$266,(MATCH('4.3 ACE EFF CAN'!J$4,'7. PGE_Efficacité'!$A$4:$BU$4,0)+31),0)</f>
        <v>0</v>
      </c>
      <c r="K85" s="365">
        <f>VLOOKUP($E85,'7. PGE_Efficacité'!$A$6:$BT$266,(MATCH('4.3 ACE EFF CAN'!K$4,'7. PGE_Efficacité'!$A$4:$BU$4,0)+31),0)</f>
        <v>0</v>
      </c>
      <c r="L85" s="365">
        <f>VLOOKUP($E85,'7. PGE_Efficacité'!$A$6:$BT$266,(MATCH('4.3 ACE EFF CAN'!L$4,'7. PGE_Efficacité'!$A$4:$BU$4,0)+31),0)</f>
        <v>0</v>
      </c>
      <c r="M85" s="365">
        <f>VLOOKUP($E85,'7. PGE_Efficacité'!$A$6:$BT$266,(MATCH('4.3 ACE EFF CAN'!M$4,'7. PGE_Efficacité'!$A$4:$BU$4,0)+31),0)</f>
        <v>0</v>
      </c>
      <c r="N85" s="365">
        <f>VLOOKUP($E85,'7. PGE_Efficacité'!$A$6:$BT$266,(MATCH('4.3 ACE EFF CAN'!N$4,'7. PGE_Efficacité'!$A$4:$BU$4,0)+31),0)</f>
        <v>0</v>
      </c>
      <c r="O85" s="365">
        <f>VLOOKUP($E85,'7. PGE_Efficacité'!$A$6:$BT$266,(MATCH('4.3 ACE EFF CAN'!O$4,'7. PGE_Efficacité'!$A$4:$BU$4,0)+31),0)</f>
        <v>0</v>
      </c>
      <c r="P85" s="365">
        <f>VLOOKUP($E85,'7. PGE_Efficacité'!$A$6:$BT$266,(MATCH('4.3 ACE EFF CAN'!P$4,'7. PGE_Efficacité'!$A$4:$BU$4,0)+31),0)</f>
        <v>0</v>
      </c>
      <c r="Q85" s="365">
        <f>VLOOKUP($E85,'7. PGE_Efficacité'!$A$6:$BT$266,(MATCH('4.3 ACE EFF CAN'!Q$4,'7. PGE_Efficacité'!$A$4:$BU$4,0)+31),0)</f>
        <v>0</v>
      </c>
      <c r="R85" s="365">
        <f>VLOOKUP($E85,'7. PGE_Efficacité'!$A$6:$BT$266,(MATCH('4.3 ACE EFF CAN'!R$4,'7. PGE_Efficacité'!$A$4:$BU$4,0)+31),0)</f>
        <v>0</v>
      </c>
      <c r="S85" s="365">
        <f>VLOOKUP($E85,'7. PGE_Efficacité'!$A$6:$BT$266,(MATCH('4.3 ACE EFF CAN'!S$4,'7. PGE_Efficacité'!$A$4:$BU$4,0)+31),0)</f>
        <v>0</v>
      </c>
      <c r="T85" s="365">
        <f>VLOOKUP($E85,'7. PGE_Efficacité'!$A$6:$BT$266,(MATCH('4.3 ACE EFF CAN'!T$4,'7. PGE_Efficacité'!$A$4:$BU$4,0)+31),0)</f>
        <v>0</v>
      </c>
      <c r="U85" s="365">
        <f>VLOOKUP($E85,'7. PGE_Efficacité'!$A$6:$BT$266,(MATCH('4.3 ACE EFF CAN'!U$4,'7. PGE_Efficacité'!$A$4:$BU$4,0)+31),0)</f>
        <v>0</v>
      </c>
      <c r="V85" s="365">
        <f>VLOOKUP($E85,'7. PGE_Efficacité'!$A$6:$BT$266,(MATCH('4.3 ACE EFF CAN'!V$4,'7. PGE_Efficacité'!$A$4:$BU$4,0)+31),0)</f>
        <v>0</v>
      </c>
      <c r="W85" s="365">
        <f>VLOOKUP($E85,'7. PGE_Efficacité'!$A$6:$BT$266,(MATCH('4.3 ACE EFF CAN'!W$4,'7. PGE_Efficacité'!$A$4:$BU$4,0)+31),0)</f>
        <v>0</v>
      </c>
      <c r="X85" s="365">
        <f>VLOOKUP($E85,'7. PGE_Efficacité'!$A$6:$BT$266,(MATCH('4.3 ACE EFF CAN'!X$4,'7. PGE_Efficacité'!$A$4:$BU$4,0)+31),0)</f>
        <v>0</v>
      </c>
      <c r="Y85" s="366">
        <f>VLOOKUP($E85,'7. PGE_Efficacité'!$A$6:$BT$266,(MATCH('4.3 ACE EFF CAN'!Y$4,'7. PGE_Efficacité'!$A$4:$BU$4,0)+31),0)</f>
        <v>0</v>
      </c>
      <c r="Z85" s="366">
        <f>VLOOKUP($E85,'7. PGE_Efficacité'!$A$6:$BT$266,(MATCH('4.3 ACE EFF CAN'!Z$4,'7. PGE_Efficacité'!$A$4:$BU$4,0)+31),0)</f>
        <v>0</v>
      </c>
      <c r="AA85" s="366">
        <f>VLOOKUP($E85,'7. PGE_Efficacité'!$A$6:$BT$266,(MATCH('4.3 ACE EFF CAN'!AA$4,'7. PGE_Efficacité'!$A$4:$BU$4,0)+31),0)</f>
        <v>0</v>
      </c>
      <c r="AB85" s="366">
        <f>VLOOKUP($E85,'7. PGE_Efficacité'!$A$6:$BT$266,(MATCH('4.3 ACE EFF CAN'!AB$4,'7. PGE_Efficacité'!$A$4:$BU$4,0)+31),0)</f>
        <v>0</v>
      </c>
      <c r="AC85" s="366">
        <f>VLOOKUP($E85,'7. PGE_Efficacité'!$A$6:$BT$266,(MATCH('4.3 ACE EFF CAN'!AC$4,'7. PGE_Efficacité'!$A$4:$BU$4,0)+31),0)</f>
        <v>0</v>
      </c>
      <c r="AD85" s="366">
        <f>VLOOKUP($E85,'7. PGE_Efficacité'!$A$6:$BT$266,(MATCH('4.3 ACE EFF CAN'!AD$4,'7. PGE_Efficacité'!$A$4:$BU$4,0)+31),0)</f>
        <v>0</v>
      </c>
      <c r="AE85" s="366">
        <f>VLOOKUP($E85,'7. PGE_Efficacité'!$A$6:$BT$266,(MATCH('4.3 ACE EFF CAN'!AE$4,'7. PGE_Efficacité'!$A$4:$BU$4,0)+31),0)</f>
        <v>0</v>
      </c>
      <c r="AF85" s="366">
        <f>VLOOKUP($E85,'7. PGE_Efficacité'!$A$6:$BT$266,(MATCH('4.3 ACE EFF CAN'!AF$4,'7. PGE_Efficacité'!$A$4:$BU$4,0)+31),0)</f>
        <v>0</v>
      </c>
      <c r="AG85" s="366">
        <f>VLOOKUP($E85,'7. PGE_Efficacité'!$A$6:$BT$266,(MATCH('4.3 ACE EFF CAN'!AG$4,'7. PGE_Efficacité'!$A$4:$BU$4,0)+31),0)</f>
        <v>0</v>
      </c>
      <c r="AH85" s="366">
        <f>VLOOKUP($E85,'7. PGE_Efficacité'!$A$6:$BT$266,(MATCH('4.3 ACE EFF CAN'!AH$4,'7. PGE_Efficacité'!$A$4:$BU$4,0)+31),0)</f>
        <v>0</v>
      </c>
      <c r="AI85" s="366">
        <f>VLOOKUP($E85,'7. PGE_Efficacité'!$A$6:$BT$266,(MATCH('4.3 ACE EFF CAN'!AI$4,'7. PGE_Efficacité'!$A$4:$BU$4,0)+31),0)</f>
        <v>0</v>
      </c>
      <c r="AJ85" s="366">
        <f>VLOOKUP($E85,'7. PGE_Efficacité'!$A$6:$BT$266,(MATCH('4.3 ACE EFF CAN'!AJ$4,'7. PGE_Efficacité'!$A$4:$BU$4,0)+31),0)</f>
        <v>0</v>
      </c>
      <c r="AK85" s="366">
        <f>VLOOKUP($E85,'7. PGE_Efficacité'!$A$6:$BT$266,(MATCH('4.3 ACE EFF CAN'!AK$4,'7. PGE_Efficacité'!$A$4:$BU$4,0)+31),0)</f>
        <v>0</v>
      </c>
      <c r="AL85" s="366">
        <f>VLOOKUP($E85,'7. PGE_Efficacité'!$A$6:$BT$266,(MATCH('4.3 ACE EFF CAN'!AL$4,'7. PGE_Efficacité'!$A$4:$BU$4,0)+31),0)</f>
        <v>0</v>
      </c>
      <c r="AM85" s="366">
        <f>VLOOKUP($E85,'7. PGE_Efficacité'!$A$6:$BT$266,(MATCH('4.3 ACE EFF CAN'!AM$4,'7. PGE_Efficacité'!$A$4:$BU$4,0)+31),0)</f>
        <v>0</v>
      </c>
      <c r="AN85" s="366">
        <f>VLOOKUP($E85,'7. PGE_Efficacité'!$A$6:$BT$266,(MATCH('4.3 ACE EFF CAN'!AN$4,'7. PGE_Efficacité'!$A$4:$BU$4,0)+31),0)</f>
        <v>0</v>
      </c>
    </row>
    <row r="86" spans="1:40" outlineLevel="2" x14ac:dyDescent="0.25">
      <c r="A86" s="154" t="s">
        <v>1524</v>
      </c>
      <c r="B86" s="154">
        <v>14</v>
      </c>
      <c r="C86" s="154" t="s">
        <v>1525</v>
      </c>
      <c r="D86" s="330" t="s">
        <v>13</v>
      </c>
      <c r="E86" s="330" t="s">
        <v>676</v>
      </c>
      <c r="F86" s="330" t="s">
        <v>1336</v>
      </c>
      <c r="G86" s="330" t="s">
        <v>1521</v>
      </c>
      <c r="H86" s="330" t="s">
        <v>1290</v>
      </c>
      <c r="I86" s="364">
        <v>0</v>
      </c>
      <c r="J86" s="365">
        <f>VLOOKUP($E86,'7. PGE_Efficacité'!$A$6:$BT$266,(MATCH('4.3 ACE EFF CAN'!J$4,'7. PGE_Efficacité'!$A$4:$BU$4,0)+31),0)</f>
        <v>0</v>
      </c>
      <c r="K86" s="365">
        <f>VLOOKUP($E86,'7. PGE_Efficacité'!$A$6:$BT$266,(MATCH('4.3 ACE EFF CAN'!K$4,'7. PGE_Efficacité'!$A$4:$BU$4,0)+31),0)</f>
        <v>0</v>
      </c>
      <c r="L86" s="365">
        <f>VLOOKUP($E86,'7. PGE_Efficacité'!$A$6:$BT$266,(MATCH('4.3 ACE EFF CAN'!L$4,'7. PGE_Efficacité'!$A$4:$BU$4,0)+31),0)</f>
        <v>0</v>
      </c>
      <c r="M86" s="365">
        <f>VLOOKUP($E86,'7. PGE_Efficacité'!$A$6:$BT$266,(MATCH('4.3 ACE EFF CAN'!M$4,'7. PGE_Efficacité'!$A$4:$BU$4,0)+31),0)</f>
        <v>0</v>
      </c>
      <c r="N86" s="365">
        <f>VLOOKUP($E86,'7. PGE_Efficacité'!$A$6:$BT$266,(MATCH('4.3 ACE EFF CAN'!N$4,'7. PGE_Efficacité'!$A$4:$BU$4,0)+31),0)</f>
        <v>0</v>
      </c>
      <c r="O86" s="365">
        <f>VLOOKUP($E86,'7. PGE_Efficacité'!$A$6:$BT$266,(MATCH('4.3 ACE EFF CAN'!O$4,'7. PGE_Efficacité'!$A$4:$BU$4,0)+31),0)</f>
        <v>0</v>
      </c>
      <c r="P86" s="365">
        <f>VLOOKUP($E86,'7. PGE_Efficacité'!$A$6:$BT$266,(MATCH('4.3 ACE EFF CAN'!P$4,'7. PGE_Efficacité'!$A$4:$BU$4,0)+31),0)</f>
        <v>0</v>
      </c>
      <c r="Q86" s="365">
        <f>VLOOKUP($E86,'7. PGE_Efficacité'!$A$6:$BT$266,(MATCH('4.3 ACE EFF CAN'!Q$4,'7. PGE_Efficacité'!$A$4:$BU$4,0)+31),0)</f>
        <v>0</v>
      </c>
      <c r="R86" s="365">
        <f>VLOOKUP($E86,'7. PGE_Efficacité'!$A$6:$BT$266,(MATCH('4.3 ACE EFF CAN'!R$4,'7. PGE_Efficacité'!$A$4:$BU$4,0)+31),0)</f>
        <v>0</v>
      </c>
      <c r="S86" s="365">
        <f>VLOOKUP($E86,'7. PGE_Efficacité'!$A$6:$BT$266,(MATCH('4.3 ACE EFF CAN'!S$4,'7. PGE_Efficacité'!$A$4:$BU$4,0)+31),0)</f>
        <v>0</v>
      </c>
      <c r="T86" s="365">
        <f>VLOOKUP($E86,'7. PGE_Efficacité'!$A$6:$BT$266,(MATCH('4.3 ACE EFF CAN'!T$4,'7. PGE_Efficacité'!$A$4:$BU$4,0)+31),0)</f>
        <v>0</v>
      </c>
      <c r="U86" s="365">
        <f>VLOOKUP($E86,'7. PGE_Efficacité'!$A$6:$BT$266,(MATCH('4.3 ACE EFF CAN'!U$4,'7. PGE_Efficacité'!$A$4:$BU$4,0)+31),0)</f>
        <v>0</v>
      </c>
      <c r="V86" s="365">
        <f>VLOOKUP($E86,'7. PGE_Efficacité'!$A$6:$BT$266,(MATCH('4.3 ACE EFF CAN'!V$4,'7. PGE_Efficacité'!$A$4:$BU$4,0)+31),0)</f>
        <v>0</v>
      </c>
      <c r="W86" s="365">
        <f>VLOOKUP($E86,'7. PGE_Efficacité'!$A$6:$BT$266,(MATCH('4.3 ACE EFF CAN'!W$4,'7. PGE_Efficacité'!$A$4:$BU$4,0)+31),0)</f>
        <v>0</v>
      </c>
      <c r="X86" s="365">
        <f>VLOOKUP($E86,'7. PGE_Efficacité'!$A$6:$BT$266,(MATCH('4.3 ACE EFF CAN'!X$4,'7. PGE_Efficacité'!$A$4:$BU$4,0)+31),0)</f>
        <v>0</v>
      </c>
      <c r="Y86" s="366">
        <f>VLOOKUP($E86,'7. PGE_Efficacité'!$A$6:$BT$266,(MATCH('4.3 ACE EFF CAN'!Y$4,'7. PGE_Efficacité'!$A$4:$BU$4,0)+31),0)</f>
        <v>0</v>
      </c>
      <c r="Z86" s="366">
        <f>VLOOKUP($E86,'7. PGE_Efficacité'!$A$6:$BT$266,(MATCH('4.3 ACE EFF CAN'!Z$4,'7. PGE_Efficacité'!$A$4:$BU$4,0)+31),0)</f>
        <v>0</v>
      </c>
      <c r="AA86" s="366">
        <f>VLOOKUP($E86,'7. PGE_Efficacité'!$A$6:$BT$266,(MATCH('4.3 ACE EFF CAN'!AA$4,'7. PGE_Efficacité'!$A$4:$BU$4,0)+31),0)</f>
        <v>0</v>
      </c>
      <c r="AB86" s="366">
        <f>VLOOKUP($E86,'7. PGE_Efficacité'!$A$6:$BT$266,(MATCH('4.3 ACE EFF CAN'!AB$4,'7. PGE_Efficacité'!$A$4:$BU$4,0)+31),0)</f>
        <v>0</v>
      </c>
      <c r="AC86" s="366">
        <f>VLOOKUP($E86,'7. PGE_Efficacité'!$A$6:$BT$266,(MATCH('4.3 ACE EFF CAN'!AC$4,'7. PGE_Efficacité'!$A$4:$BU$4,0)+31),0)</f>
        <v>0</v>
      </c>
      <c r="AD86" s="366">
        <f>VLOOKUP($E86,'7. PGE_Efficacité'!$A$6:$BT$266,(MATCH('4.3 ACE EFF CAN'!AD$4,'7. PGE_Efficacité'!$A$4:$BU$4,0)+31),0)</f>
        <v>0</v>
      </c>
      <c r="AE86" s="366">
        <f>VLOOKUP($E86,'7. PGE_Efficacité'!$A$6:$BT$266,(MATCH('4.3 ACE EFF CAN'!AE$4,'7. PGE_Efficacité'!$A$4:$BU$4,0)+31),0)</f>
        <v>0</v>
      </c>
      <c r="AF86" s="366">
        <f>VLOOKUP($E86,'7. PGE_Efficacité'!$A$6:$BT$266,(MATCH('4.3 ACE EFF CAN'!AF$4,'7. PGE_Efficacité'!$A$4:$BU$4,0)+31),0)</f>
        <v>0</v>
      </c>
      <c r="AG86" s="366">
        <f>VLOOKUP($E86,'7. PGE_Efficacité'!$A$6:$BT$266,(MATCH('4.3 ACE EFF CAN'!AG$4,'7. PGE_Efficacité'!$A$4:$BU$4,0)+31),0)</f>
        <v>0</v>
      </c>
      <c r="AH86" s="366">
        <f>VLOOKUP($E86,'7. PGE_Efficacité'!$A$6:$BT$266,(MATCH('4.3 ACE EFF CAN'!AH$4,'7. PGE_Efficacité'!$A$4:$BU$4,0)+31),0)</f>
        <v>0</v>
      </c>
      <c r="AI86" s="366">
        <f>VLOOKUP($E86,'7. PGE_Efficacité'!$A$6:$BT$266,(MATCH('4.3 ACE EFF CAN'!AI$4,'7. PGE_Efficacité'!$A$4:$BU$4,0)+31),0)</f>
        <v>0</v>
      </c>
      <c r="AJ86" s="366">
        <f>VLOOKUP($E86,'7. PGE_Efficacité'!$A$6:$BT$266,(MATCH('4.3 ACE EFF CAN'!AJ$4,'7. PGE_Efficacité'!$A$4:$BU$4,0)+31),0)</f>
        <v>0</v>
      </c>
      <c r="AK86" s="366">
        <f>VLOOKUP($E86,'7. PGE_Efficacité'!$A$6:$BT$266,(MATCH('4.3 ACE EFF CAN'!AK$4,'7. PGE_Efficacité'!$A$4:$BU$4,0)+31),0)</f>
        <v>0</v>
      </c>
      <c r="AL86" s="366">
        <f>VLOOKUP($E86,'7. PGE_Efficacité'!$A$6:$BT$266,(MATCH('4.3 ACE EFF CAN'!AL$4,'7. PGE_Efficacité'!$A$4:$BU$4,0)+31),0)</f>
        <v>0</v>
      </c>
      <c r="AM86" s="366">
        <f>VLOOKUP($E86,'7. PGE_Efficacité'!$A$6:$BT$266,(MATCH('4.3 ACE EFF CAN'!AM$4,'7. PGE_Efficacité'!$A$4:$BU$4,0)+31),0)</f>
        <v>0</v>
      </c>
      <c r="AN86" s="366">
        <f>VLOOKUP($E86,'7. PGE_Efficacité'!$A$6:$BT$266,(MATCH('4.3 ACE EFF CAN'!AN$4,'7. PGE_Efficacité'!$A$4:$BU$4,0)+31),0)</f>
        <v>0</v>
      </c>
    </row>
    <row r="87" spans="1:40" outlineLevel="2" x14ac:dyDescent="0.25">
      <c r="A87" s="154" t="s">
        <v>1524</v>
      </c>
      <c r="B87" s="154">
        <v>14</v>
      </c>
      <c r="C87" s="154" t="s">
        <v>1526</v>
      </c>
      <c r="D87" s="330" t="s">
        <v>13</v>
      </c>
      <c r="E87" s="330" t="s">
        <v>677</v>
      </c>
      <c r="F87" s="330" t="s">
        <v>1337</v>
      </c>
      <c r="G87" s="330" t="s">
        <v>1521</v>
      </c>
      <c r="H87" s="330" t="s">
        <v>1290</v>
      </c>
      <c r="I87" s="364">
        <f>90000/3</f>
        <v>30000</v>
      </c>
      <c r="J87" s="365">
        <f>VLOOKUP($E87,'7. PGE_Efficacité'!$A$6:$BT$266,(MATCH('4.3 ACE EFF CAN'!J$4,'7. PGE_Efficacité'!$A$4:$BU$4,0)+31),0)</f>
        <v>0</v>
      </c>
      <c r="K87" s="365">
        <f>VLOOKUP($E87,'7. PGE_Efficacité'!$A$6:$BT$266,(MATCH('4.3 ACE EFF CAN'!K$4,'7. PGE_Efficacité'!$A$4:$BU$4,0)+31),0)</f>
        <v>0</v>
      </c>
      <c r="L87" s="365">
        <f>VLOOKUP($E87,'7. PGE_Efficacité'!$A$6:$BT$266,(MATCH('4.3 ACE EFF CAN'!L$4,'7. PGE_Efficacité'!$A$4:$BU$4,0)+31),0)</f>
        <v>0</v>
      </c>
      <c r="M87" s="365">
        <f>VLOOKUP($E87,'7. PGE_Efficacité'!$A$6:$BT$266,(MATCH('4.3 ACE EFF CAN'!M$4,'7. PGE_Efficacité'!$A$4:$BU$4,0)+31),0)</f>
        <v>0</v>
      </c>
      <c r="N87" s="365">
        <f>VLOOKUP($E87,'7. PGE_Efficacité'!$A$6:$BT$266,(MATCH('4.3 ACE EFF CAN'!N$4,'7. PGE_Efficacité'!$A$4:$BU$4,0)+31),0)</f>
        <v>0</v>
      </c>
      <c r="O87" s="365">
        <f>VLOOKUP($E87,'7. PGE_Efficacité'!$A$6:$BT$266,(MATCH('4.3 ACE EFF CAN'!O$4,'7. PGE_Efficacité'!$A$4:$BU$4,0)+31),0)</f>
        <v>0</v>
      </c>
      <c r="P87" s="365">
        <f>VLOOKUP($E87,'7. PGE_Efficacité'!$A$6:$BT$266,(MATCH('4.3 ACE EFF CAN'!P$4,'7. PGE_Efficacité'!$A$4:$BU$4,0)+31),0)</f>
        <v>0</v>
      </c>
      <c r="Q87" s="365">
        <f>VLOOKUP($E87,'7. PGE_Efficacité'!$A$6:$BT$266,(MATCH('4.3 ACE EFF CAN'!Q$4,'7. PGE_Efficacité'!$A$4:$BU$4,0)+31),0)</f>
        <v>0</v>
      </c>
      <c r="R87" s="365">
        <f>VLOOKUP($E87,'7. PGE_Efficacité'!$A$6:$BT$266,(MATCH('4.3 ACE EFF CAN'!R$4,'7. PGE_Efficacité'!$A$4:$BU$4,0)+31),0)</f>
        <v>0</v>
      </c>
      <c r="S87" s="365">
        <f>VLOOKUP($E87,'7. PGE_Efficacité'!$A$6:$BT$266,(MATCH('4.3 ACE EFF CAN'!S$4,'7. PGE_Efficacité'!$A$4:$BU$4,0)+31),0)</f>
        <v>0</v>
      </c>
      <c r="T87" s="365">
        <f>VLOOKUP($E87,'7. PGE_Efficacité'!$A$6:$BT$266,(MATCH('4.3 ACE EFF CAN'!T$4,'7. PGE_Efficacité'!$A$4:$BU$4,0)+31),0)</f>
        <v>0</v>
      </c>
      <c r="U87" s="365">
        <f>VLOOKUP($E87,'7. PGE_Efficacité'!$A$6:$BT$266,(MATCH('4.3 ACE EFF CAN'!U$4,'7. PGE_Efficacité'!$A$4:$BU$4,0)+31),0)</f>
        <v>0</v>
      </c>
      <c r="V87" s="365">
        <f>VLOOKUP($E87,'7. PGE_Efficacité'!$A$6:$BT$266,(MATCH('4.3 ACE EFF CAN'!V$4,'7. PGE_Efficacité'!$A$4:$BU$4,0)+31),0)</f>
        <v>0</v>
      </c>
      <c r="W87" s="365">
        <f>VLOOKUP($E87,'7. PGE_Efficacité'!$A$6:$BT$266,(MATCH('4.3 ACE EFF CAN'!W$4,'7. PGE_Efficacité'!$A$4:$BU$4,0)+31),0)</f>
        <v>0</v>
      </c>
      <c r="X87" s="365">
        <f>VLOOKUP($E87,'7. PGE_Efficacité'!$A$6:$BT$266,(MATCH('4.3 ACE EFF CAN'!X$4,'7. PGE_Efficacité'!$A$4:$BU$4,0)+31),0)</f>
        <v>0</v>
      </c>
      <c r="Y87" s="366">
        <f>VLOOKUP($E87,'7. PGE_Efficacité'!$A$6:$BT$266,(MATCH('4.3 ACE EFF CAN'!Y$4,'7. PGE_Efficacité'!$A$4:$BU$4,0)+31),0)</f>
        <v>0</v>
      </c>
      <c r="Z87" s="366">
        <f>VLOOKUP($E87,'7. PGE_Efficacité'!$A$6:$BT$266,(MATCH('4.3 ACE EFF CAN'!Z$4,'7. PGE_Efficacité'!$A$4:$BU$4,0)+31),0)</f>
        <v>0</v>
      </c>
      <c r="AA87" s="366">
        <f>VLOOKUP($E87,'7. PGE_Efficacité'!$A$6:$BT$266,(MATCH('4.3 ACE EFF CAN'!AA$4,'7. PGE_Efficacité'!$A$4:$BU$4,0)+31),0)</f>
        <v>0</v>
      </c>
      <c r="AB87" s="366">
        <f>VLOOKUP($E87,'7. PGE_Efficacité'!$A$6:$BT$266,(MATCH('4.3 ACE EFF CAN'!AB$4,'7. PGE_Efficacité'!$A$4:$BU$4,0)+31),0)</f>
        <v>0</v>
      </c>
      <c r="AC87" s="366">
        <f>VLOOKUP($E87,'7. PGE_Efficacité'!$A$6:$BT$266,(MATCH('4.3 ACE EFF CAN'!AC$4,'7. PGE_Efficacité'!$A$4:$BU$4,0)+31),0)</f>
        <v>0</v>
      </c>
      <c r="AD87" s="366">
        <f>VLOOKUP($E87,'7. PGE_Efficacité'!$A$6:$BT$266,(MATCH('4.3 ACE EFF CAN'!AD$4,'7. PGE_Efficacité'!$A$4:$BU$4,0)+31),0)</f>
        <v>0</v>
      </c>
      <c r="AE87" s="366">
        <f>VLOOKUP($E87,'7. PGE_Efficacité'!$A$6:$BT$266,(MATCH('4.3 ACE EFF CAN'!AE$4,'7. PGE_Efficacité'!$A$4:$BU$4,0)+31),0)</f>
        <v>0</v>
      </c>
      <c r="AF87" s="366">
        <f>VLOOKUP($E87,'7. PGE_Efficacité'!$A$6:$BT$266,(MATCH('4.3 ACE EFF CAN'!AF$4,'7. PGE_Efficacité'!$A$4:$BU$4,0)+31),0)</f>
        <v>0</v>
      </c>
      <c r="AG87" s="366">
        <f>VLOOKUP($E87,'7. PGE_Efficacité'!$A$6:$BT$266,(MATCH('4.3 ACE EFF CAN'!AG$4,'7. PGE_Efficacité'!$A$4:$BU$4,0)+31),0)</f>
        <v>0</v>
      </c>
      <c r="AH87" s="366">
        <f>VLOOKUP($E87,'7. PGE_Efficacité'!$A$6:$BT$266,(MATCH('4.3 ACE EFF CAN'!AH$4,'7. PGE_Efficacité'!$A$4:$BU$4,0)+31),0)</f>
        <v>0</v>
      </c>
      <c r="AI87" s="366">
        <f>VLOOKUP($E87,'7. PGE_Efficacité'!$A$6:$BT$266,(MATCH('4.3 ACE EFF CAN'!AI$4,'7. PGE_Efficacité'!$A$4:$BU$4,0)+31),0)</f>
        <v>0</v>
      </c>
      <c r="AJ87" s="366">
        <f>VLOOKUP($E87,'7. PGE_Efficacité'!$A$6:$BT$266,(MATCH('4.3 ACE EFF CAN'!AJ$4,'7. PGE_Efficacité'!$A$4:$BU$4,0)+31),0)</f>
        <v>0</v>
      </c>
      <c r="AK87" s="366">
        <f>VLOOKUP($E87,'7. PGE_Efficacité'!$A$6:$BT$266,(MATCH('4.3 ACE EFF CAN'!AK$4,'7. PGE_Efficacité'!$A$4:$BU$4,0)+31),0)</f>
        <v>0</v>
      </c>
      <c r="AL87" s="366">
        <f>VLOOKUP($E87,'7. PGE_Efficacité'!$A$6:$BT$266,(MATCH('4.3 ACE EFF CAN'!AL$4,'7. PGE_Efficacité'!$A$4:$BU$4,0)+31),0)</f>
        <v>0</v>
      </c>
      <c r="AM87" s="366">
        <f>VLOOKUP($E87,'7. PGE_Efficacité'!$A$6:$BT$266,(MATCH('4.3 ACE EFF CAN'!AM$4,'7. PGE_Efficacité'!$A$4:$BU$4,0)+31),0)</f>
        <v>0</v>
      </c>
      <c r="AN87" s="366">
        <f>VLOOKUP($E87,'7. PGE_Efficacité'!$A$6:$BT$266,(MATCH('4.3 ACE EFF CAN'!AN$4,'7. PGE_Efficacité'!$A$4:$BU$4,0)+31),0)</f>
        <v>0</v>
      </c>
    </row>
    <row r="88" spans="1:40" outlineLevel="2" x14ac:dyDescent="0.25">
      <c r="A88" s="154" t="s">
        <v>1524</v>
      </c>
      <c r="B88" s="154">
        <v>14</v>
      </c>
      <c r="C88" s="154" t="s">
        <v>1532</v>
      </c>
      <c r="D88" s="330" t="s">
        <v>13</v>
      </c>
      <c r="E88" s="330" t="s">
        <v>678</v>
      </c>
      <c r="F88" s="330" t="s">
        <v>1338</v>
      </c>
      <c r="G88" s="330" t="s">
        <v>1521</v>
      </c>
      <c r="H88" s="330" t="s">
        <v>1290</v>
      </c>
      <c r="I88" s="364">
        <v>0</v>
      </c>
      <c r="J88" s="365">
        <f>VLOOKUP($E88,'7. PGE_Efficacité'!$A$6:$BT$266,(MATCH('4.3 ACE EFF CAN'!J$4,'7. PGE_Efficacité'!$A$4:$BU$4,0)+31),0)</f>
        <v>0</v>
      </c>
      <c r="K88" s="365">
        <f>VLOOKUP($E88,'7. PGE_Efficacité'!$A$6:$BT$266,(MATCH('4.3 ACE EFF CAN'!K$4,'7. PGE_Efficacité'!$A$4:$BU$4,0)+31),0)</f>
        <v>0</v>
      </c>
      <c r="L88" s="365">
        <f>VLOOKUP($E88,'7. PGE_Efficacité'!$A$6:$BT$266,(MATCH('4.3 ACE EFF CAN'!L$4,'7. PGE_Efficacité'!$A$4:$BU$4,0)+31),0)</f>
        <v>0</v>
      </c>
      <c r="M88" s="365">
        <f>VLOOKUP($E88,'7. PGE_Efficacité'!$A$6:$BT$266,(MATCH('4.3 ACE EFF CAN'!M$4,'7. PGE_Efficacité'!$A$4:$BU$4,0)+31),0)</f>
        <v>0</v>
      </c>
      <c r="N88" s="365">
        <f>VLOOKUP($E88,'7. PGE_Efficacité'!$A$6:$BT$266,(MATCH('4.3 ACE EFF CAN'!N$4,'7. PGE_Efficacité'!$A$4:$BU$4,0)+31),0)</f>
        <v>0</v>
      </c>
      <c r="O88" s="365">
        <f>VLOOKUP($E88,'7. PGE_Efficacité'!$A$6:$BT$266,(MATCH('4.3 ACE EFF CAN'!O$4,'7. PGE_Efficacité'!$A$4:$BU$4,0)+31),0)</f>
        <v>0</v>
      </c>
      <c r="P88" s="365">
        <f>VLOOKUP($E88,'7. PGE_Efficacité'!$A$6:$BT$266,(MATCH('4.3 ACE EFF CAN'!P$4,'7. PGE_Efficacité'!$A$4:$BU$4,0)+31),0)</f>
        <v>0</v>
      </c>
      <c r="Q88" s="365">
        <f>VLOOKUP($E88,'7. PGE_Efficacité'!$A$6:$BT$266,(MATCH('4.3 ACE EFF CAN'!Q$4,'7. PGE_Efficacité'!$A$4:$BU$4,0)+31),0)</f>
        <v>0</v>
      </c>
      <c r="R88" s="365">
        <f>VLOOKUP($E88,'7. PGE_Efficacité'!$A$6:$BT$266,(MATCH('4.3 ACE EFF CAN'!R$4,'7. PGE_Efficacité'!$A$4:$BU$4,0)+31),0)</f>
        <v>0</v>
      </c>
      <c r="S88" s="365">
        <f>VLOOKUP($E88,'7. PGE_Efficacité'!$A$6:$BT$266,(MATCH('4.3 ACE EFF CAN'!S$4,'7. PGE_Efficacité'!$A$4:$BU$4,0)+31),0)</f>
        <v>0</v>
      </c>
      <c r="T88" s="365">
        <f>VLOOKUP($E88,'7. PGE_Efficacité'!$A$6:$BT$266,(MATCH('4.3 ACE EFF CAN'!T$4,'7. PGE_Efficacité'!$A$4:$BU$4,0)+31),0)</f>
        <v>0</v>
      </c>
      <c r="U88" s="365">
        <f>VLOOKUP($E88,'7. PGE_Efficacité'!$A$6:$BT$266,(MATCH('4.3 ACE EFF CAN'!U$4,'7. PGE_Efficacité'!$A$4:$BU$4,0)+31),0)</f>
        <v>0</v>
      </c>
      <c r="V88" s="365">
        <f>VLOOKUP($E88,'7. PGE_Efficacité'!$A$6:$BT$266,(MATCH('4.3 ACE EFF CAN'!V$4,'7. PGE_Efficacité'!$A$4:$BU$4,0)+31),0)</f>
        <v>0</v>
      </c>
      <c r="W88" s="365">
        <f>VLOOKUP($E88,'7. PGE_Efficacité'!$A$6:$BT$266,(MATCH('4.3 ACE EFF CAN'!W$4,'7. PGE_Efficacité'!$A$4:$BU$4,0)+31),0)</f>
        <v>0</v>
      </c>
      <c r="X88" s="365">
        <f>VLOOKUP($E88,'7. PGE_Efficacité'!$A$6:$BT$266,(MATCH('4.3 ACE EFF CAN'!X$4,'7. PGE_Efficacité'!$A$4:$BU$4,0)+31),0)</f>
        <v>0</v>
      </c>
      <c r="Y88" s="366">
        <f>VLOOKUP($E88,'7. PGE_Efficacité'!$A$6:$BT$266,(MATCH('4.3 ACE EFF CAN'!Y$4,'7. PGE_Efficacité'!$A$4:$BU$4,0)+31),0)</f>
        <v>0</v>
      </c>
      <c r="Z88" s="366">
        <f>VLOOKUP($E88,'7. PGE_Efficacité'!$A$6:$BT$266,(MATCH('4.3 ACE EFF CAN'!Z$4,'7. PGE_Efficacité'!$A$4:$BU$4,0)+31),0)</f>
        <v>0</v>
      </c>
      <c r="AA88" s="366">
        <f>VLOOKUP($E88,'7. PGE_Efficacité'!$A$6:$BT$266,(MATCH('4.3 ACE EFF CAN'!AA$4,'7. PGE_Efficacité'!$A$4:$BU$4,0)+31),0)</f>
        <v>0</v>
      </c>
      <c r="AB88" s="366">
        <f>VLOOKUP($E88,'7. PGE_Efficacité'!$A$6:$BT$266,(MATCH('4.3 ACE EFF CAN'!AB$4,'7. PGE_Efficacité'!$A$4:$BU$4,0)+31),0)</f>
        <v>0</v>
      </c>
      <c r="AC88" s="366">
        <f>VLOOKUP($E88,'7. PGE_Efficacité'!$A$6:$BT$266,(MATCH('4.3 ACE EFF CAN'!AC$4,'7. PGE_Efficacité'!$A$4:$BU$4,0)+31),0)</f>
        <v>0</v>
      </c>
      <c r="AD88" s="366">
        <f>VLOOKUP($E88,'7. PGE_Efficacité'!$A$6:$BT$266,(MATCH('4.3 ACE EFF CAN'!AD$4,'7. PGE_Efficacité'!$A$4:$BU$4,0)+31),0)</f>
        <v>0</v>
      </c>
      <c r="AE88" s="366">
        <f>VLOOKUP($E88,'7. PGE_Efficacité'!$A$6:$BT$266,(MATCH('4.3 ACE EFF CAN'!AE$4,'7. PGE_Efficacité'!$A$4:$BU$4,0)+31),0)</f>
        <v>0</v>
      </c>
      <c r="AF88" s="366">
        <f>VLOOKUP($E88,'7. PGE_Efficacité'!$A$6:$BT$266,(MATCH('4.3 ACE EFF CAN'!AF$4,'7. PGE_Efficacité'!$A$4:$BU$4,0)+31),0)</f>
        <v>0</v>
      </c>
      <c r="AG88" s="366">
        <f>VLOOKUP($E88,'7. PGE_Efficacité'!$A$6:$BT$266,(MATCH('4.3 ACE EFF CAN'!AG$4,'7. PGE_Efficacité'!$A$4:$BU$4,0)+31),0)</f>
        <v>0</v>
      </c>
      <c r="AH88" s="366">
        <f>VLOOKUP($E88,'7. PGE_Efficacité'!$A$6:$BT$266,(MATCH('4.3 ACE EFF CAN'!AH$4,'7. PGE_Efficacité'!$A$4:$BU$4,0)+31),0)</f>
        <v>0</v>
      </c>
      <c r="AI88" s="366">
        <f>VLOOKUP($E88,'7. PGE_Efficacité'!$A$6:$BT$266,(MATCH('4.3 ACE EFF CAN'!AI$4,'7. PGE_Efficacité'!$A$4:$BU$4,0)+31),0)</f>
        <v>0</v>
      </c>
      <c r="AJ88" s="366">
        <f>VLOOKUP($E88,'7. PGE_Efficacité'!$A$6:$BT$266,(MATCH('4.3 ACE EFF CAN'!AJ$4,'7. PGE_Efficacité'!$A$4:$BU$4,0)+31),0)</f>
        <v>0</v>
      </c>
      <c r="AK88" s="366">
        <f>VLOOKUP($E88,'7. PGE_Efficacité'!$A$6:$BT$266,(MATCH('4.3 ACE EFF CAN'!AK$4,'7. PGE_Efficacité'!$A$4:$BU$4,0)+31),0)</f>
        <v>0</v>
      </c>
      <c r="AL88" s="366">
        <f>VLOOKUP($E88,'7. PGE_Efficacité'!$A$6:$BT$266,(MATCH('4.3 ACE EFF CAN'!AL$4,'7. PGE_Efficacité'!$A$4:$BU$4,0)+31),0)</f>
        <v>0</v>
      </c>
      <c r="AM88" s="366">
        <f>VLOOKUP($E88,'7. PGE_Efficacité'!$A$6:$BT$266,(MATCH('4.3 ACE EFF CAN'!AM$4,'7. PGE_Efficacité'!$A$4:$BU$4,0)+31),0)</f>
        <v>0</v>
      </c>
      <c r="AN88" s="366">
        <f>VLOOKUP($E88,'7. PGE_Efficacité'!$A$6:$BT$266,(MATCH('4.3 ACE EFF CAN'!AN$4,'7. PGE_Efficacité'!$A$4:$BU$4,0)+31),0)</f>
        <v>0</v>
      </c>
    </row>
    <row r="89" spans="1:40" outlineLevel="1" x14ac:dyDescent="0.25">
      <c r="A89" s="154"/>
      <c r="B89" s="154"/>
      <c r="C89" s="154"/>
      <c r="D89" s="360" t="s">
        <v>15</v>
      </c>
      <c r="E89" s="360"/>
      <c r="F89" s="361" t="str">
        <f>VLOOKUP(D89,'1. Mesures'!$A$2:$B$116,2,0)</f>
        <v>Réaliser le curage sur les derniers tronçons du réseau hydrographique pour enlever la pollution «historique »</v>
      </c>
      <c r="G89" s="360"/>
      <c r="H89" s="360"/>
      <c r="I89" s="362">
        <f>SUBTOTAL(9,I90:I90)</f>
        <v>0</v>
      </c>
      <c r="J89" s="366">
        <f>VLOOKUP($D89,'7. PGE_Efficacité'!$A$6:$BT$266,(MATCH('4.3 ACE EFF CAN'!J$4,'7. PGE_Efficacité'!$A$4:$AO$4,0)+31),0)</f>
        <v>0</v>
      </c>
      <c r="K89" s="366">
        <f>VLOOKUP($D89,'7. PGE_Efficacité'!$A$6:$BT$266,(MATCH('4.3 ACE EFF CAN'!K$4,'7. PGE_Efficacité'!$A$4:$AO$4,0)+31),0)</f>
        <v>0</v>
      </c>
      <c r="L89" s="366">
        <f>VLOOKUP($D89,'7. PGE_Efficacité'!$A$6:$BT$266,(MATCH('4.3 ACE EFF CAN'!L$4,'7. PGE_Efficacité'!$A$4:$AO$4,0)+31),0)</f>
        <v>0</v>
      </c>
      <c r="M89" s="366">
        <f>VLOOKUP($D89,'7. PGE_Efficacité'!$A$6:$BT$266,(MATCH('4.3 ACE EFF CAN'!M$4,'7. PGE_Efficacité'!$A$4:$AO$4,0)+31),0)</f>
        <v>0</v>
      </c>
      <c r="N89" s="366">
        <f>VLOOKUP($D89,'7. PGE_Efficacité'!$A$6:$BT$266,(MATCH('4.3 ACE EFF CAN'!N$4,'7. PGE_Efficacité'!$A$4:$AO$4,0)+31),0)</f>
        <v>0</v>
      </c>
      <c r="O89" s="366">
        <f>VLOOKUP($D89,'7. PGE_Efficacité'!$A$6:$BT$266,47,0)</f>
        <v>0</v>
      </c>
      <c r="P89" s="366">
        <f>VLOOKUP($D89,'7. PGE_Efficacité'!$A$6:$BT$266,(MATCH('4.3 ACE EFF CAN'!P$4,'7. PGE_Efficacité'!$A$4:$AO$4,0)+31),0)</f>
        <v>0</v>
      </c>
      <c r="Q89" s="366">
        <f>VLOOKUP($D89,'7. PGE_Efficacité'!$A$6:$BT$266,(MATCH('4.3 ACE EFF CAN'!Q$4,'7. PGE_Efficacité'!$A$4:$AO$4,0)+31),0)</f>
        <v>0</v>
      </c>
      <c r="R89" s="366">
        <f>VLOOKUP($D89,'7. PGE_Efficacité'!$A$6:$BT$266,(MATCH('4.3 ACE EFF CAN'!R$4,'7. PGE_Efficacité'!$A$4:$AO$4,0)+31),0)</f>
        <v>0</v>
      </c>
      <c r="S89" s="366">
        <f>VLOOKUP($D89,'7. PGE_Efficacité'!$A$6:$BT$266,(MATCH('4.3 ACE EFF CAN'!S$4,'7. PGE_Efficacité'!$A$4:$AO$4,0)+31),0)</f>
        <v>0</v>
      </c>
      <c r="T89" s="366">
        <f>VLOOKUP($D89,'7. PGE_Efficacité'!$A$6:$BT$266,(MATCH('4.3 ACE EFF CAN'!T$4,'7. PGE_Efficacité'!$A$4:$AO$4,0)+31),0)</f>
        <v>0</v>
      </c>
      <c r="U89" s="366">
        <f>VLOOKUP($D89,'7. PGE_Efficacité'!$A$6:$BT$266,(MATCH('4.3 ACE EFF CAN'!U$4,'7. PGE_Efficacité'!$A$4:$AO$4,0)+31),0)</f>
        <v>0</v>
      </c>
      <c r="V89" s="366">
        <f>VLOOKUP($D89,'7. PGE_Efficacité'!$A$6:$BT$266,(MATCH('4.3 ACE EFF CAN'!V$4,'7. PGE_Efficacité'!$A$4:$AO$4,0)+31),0)</f>
        <v>0</v>
      </c>
      <c r="W89" s="366">
        <f>VLOOKUP($D89,'7. PGE_Efficacité'!$A$6:$BT$266,(MATCH('4.3 ACE EFF CAN'!W$4,'7. PGE_Efficacité'!$A$4:$AO$4,0)+31),0)</f>
        <v>0</v>
      </c>
      <c r="X89" s="366">
        <f>VLOOKUP($D89,'7. PGE_Efficacité'!$A$6:$BT$266,(MATCH('4.3 ACE EFF CAN'!X$4,'7. PGE_Efficacité'!$A$4:$AO$4,0)+31),0)</f>
        <v>0</v>
      </c>
      <c r="Y89" s="366">
        <f>VLOOKUP($D89,'7. PGE_Efficacité'!$A$6:$BT$266,(MATCH('4.3 ACE EFF CAN'!Y$4,'7. PGE_Efficacité'!$A$4:$AO$4,0)+31),0)</f>
        <v>0</v>
      </c>
      <c r="Z89" s="366">
        <f>VLOOKUP($D89,'7. PGE_Efficacité'!$A$6:$BT$266,(MATCH('4.3 ACE EFF CAN'!Z$4,'7. PGE_Efficacité'!$A$4:$AO$4,0)+31),0)</f>
        <v>0</v>
      </c>
      <c r="AA89" s="366">
        <f>VLOOKUP($D89,'7. PGE_Efficacité'!$A$6:$BT$266,(MATCH('4.3 ACE EFF CAN'!AA$4,'7. PGE_Efficacité'!$A$4:$AO$4,0)+31),0)</f>
        <v>0</v>
      </c>
      <c r="AB89" s="366">
        <f>VLOOKUP($D89,'7. PGE_Efficacité'!$A$6:$BT$266,(MATCH('4.3 ACE EFF CAN'!AB$4,'7. PGE_Efficacité'!$A$4:$AO$4,0)+31),0)</f>
        <v>0</v>
      </c>
      <c r="AC89" s="366">
        <f>VLOOKUP($D89,'7. PGE_Efficacité'!$A$6:$BT$266,(MATCH('4.3 ACE EFF CAN'!AC$4,'7. PGE_Efficacité'!$A$4:$AO$4,0)+31),0)</f>
        <v>0</v>
      </c>
      <c r="AD89" s="366">
        <f>VLOOKUP($D89,'7. PGE_Efficacité'!$A$6:$BT$266,(MATCH('4.3 ACE EFF CAN'!AD$4,'7. PGE_Efficacité'!$A$4:$AO$4,0)+31),0)</f>
        <v>0</v>
      </c>
      <c r="AE89" s="366">
        <f>VLOOKUP($D89,'7. PGE_Efficacité'!$A$6:$BT$266,(MATCH('4.3 ACE EFF CAN'!AE$4,'7. PGE_Efficacité'!$A$4:$AO$4,0)+31),0)</f>
        <v>0</v>
      </c>
      <c r="AF89" s="366">
        <f>VLOOKUP($D89,'7. PGE_Efficacité'!$A$6:$BT$266,(MATCH('4.3 ACE EFF CAN'!AF$4,'7. PGE_Efficacité'!$A$4:$AO$4,0)+31),0)</f>
        <v>0</v>
      </c>
      <c r="AG89" s="366">
        <f>VLOOKUP($D89,'7. PGE_Efficacité'!$A$6:$BT$266,(MATCH('4.3 ACE EFF CAN'!AG$4,'7. PGE_Efficacité'!$A$4:$AO$4,0)+31),0)</f>
        <v>0</v>
      </c>
      <c r="AH89" s="366">
        <f>VLOOKUP($D89,'7. PGE_Efficacité'!$A$6:$BT$266,(MATCH('4.3 ACE EFF CAN'!AH$4,'7. PGE_Efficacité'!$A$4:$AO$4,0)+31),0)</f>
        <v>0</v>
      </c>
      <c r="AI89" s="366">
        <f>VLOOKUP($D89,'7. PGE_Efficacité'!$A$6:$BT$266,(MATCH('4.3 ACE EFF CAN'!AI$4,'7. PGE_Efficacité'!$A$4:$AO$4,0)+31),0)</f>
        <v>0</v>
      </c>
      <c r="AJ89" s="366">
        <f>VLOOKUP($D89,'7. PGE_Efficacité'!$A$6:$BT$266,(MATCH('4.3 ACE EFF CAN'!AJ$4,'7. PGE_Efficacité'!$A$4:$AO$4,0)+31),0)</f>
        <v>0</v>
      </c>
      <c r="AK89" s="366">
        <f>VLOOKUP($D89,'7. PGE_Efficacité'!$A$6:$BT$266,(MATCH('4.3 ACE EFF CAN'!AK$4,'7. PGE_Efficacité'!$A$4:$AO$4,0)+31),0)</f>
        <v>0</v>
      </c>
      <c r="AL89" s="366">
        <f>VLOOKUP($D89,'7. PGE_Efficacité'!$A$6:$BT$266,(MATCH('4.3 ACE EFF CAN'!AL$4,'7. PGE_Efficacité'!$A$4:$AO$4,0)+31),0)</f>
        <v>0</v>
      </c>
      <c r="AM89" s="366">
        <f>VLOOKUP($D89,'7. PGE_Efficacité'!$A$6:$BT$266,(MATCH('4.3 ACE EFF CAN'!AM$4,'7. PGE_Efficacité'!$A$4:$AO$4,0)+31),0)</f>
        <v>0</v>
      </c>
      <c r="AN89" s="366">
        <f>VLOOKUP($D89,'7. PGE_Efficacité'!$A$6:$BT$266,(MATCH('4.3 ACE EFF CAN'!AN$4,'7. PGE_Efficacité'!$A$4:$AO$4,0)+31),0)</f>
        <v>0</v>
      </c>
    </row>
    <row r="90" spans="1:40" outlineLevel="2" x14ac:dyDescent="0.25">
      <c r="A90" s="154" t="s">
        <v>1524</v>
      </c>
      <c r="B90" s="154">
        <v>16</v>
      </c>
      <c r="C90" s="154" t="s">
        <v>1527</v>
      </c>
      <c r="D90" s="330" t="s">
        <v>15</v>
      </c>
      <c r="E90" s="330" t="s">
        <v>682</v>
      </c>
      <c r="F90" s="330" t="s">
        <v>1342</v>
      </c>
      <c r="G90" s="330" t="s">
        <v>1520</v>
      </c>
      <c r="H90" s="330" t="s">
        <v>1290</v>
      </c>
      <c r="I90" s="364">
        <v>0</v>
      </c>
      <c r="J90" s="365">
        <f>VLOOKUP($E90,'7. PGE_Efficacité'!$A$6:$BT$266,(MATCH('4.3 ACE EFF CAN'!J$4,'7. PGE_Efficacité'!$A$4:$BU$4,0)+31),0)</f>
        <v>0</v>
      </c>
      <c r="K90" s="365">
        <f>VLOOKUP($E90,'7. PGE_Efficacité'!$A$6:$BT$266,(MATCH('4.3 ACE EFF CAN'!K$4,'7. PGE_Efficacité'!$A$4:$BU$4,0)+31),0)</f>
        <v>0</v>
      </c>
      <c r="L90" s="365">
        <f>VLOOKUP($E90,'7. PGE_Efficacité'!$A$6:$BT$266,(MATCH('4.3 ACE EFF CAN'!L$4,'7. PGE_Efficacité'!$A$4:$BU$4,0)+31),0)</f>
        <v>0</v>
      </c>
      <c r="M90" s="365">
        <f>VLOOKUP($E90,'7. PGE_Efficacité'!$A$6:$BT$266,(MATCH('4.3 ACE EFF CAN'!M$4,'7. PGE_Efficacité'!$A$4:$BU$4,0)+31),0)</f>
        <v>0</v>
      </c>
      <c r="N90" s="365">
        <f>VLOOKUP($E90,'7. PGE_Efficacité'!$A$6:$BT$266,(MATCH('4.3 ACE EFF CAN'!N$4,'7. PGE_Efficacité'!$A$4:$BU$4,0)+31),0)</f>
        <v>0</v>
      </c>
      <c r="O90" s="365">
        <f>VLOOKUP($E90,'7. PGE_Efficacité'!$A$6:$BT$266,(MATCH('4.3 ACE EFF CAN'!O$4,'7. PGE_Efficacité'!$A$4:$BU$4,0)+31),0)</f>
        <v>0</v>
      </c>
      <c r="P90" s="365">
        <f>VLOOKUP($E90,'7. PGE_Efficacité'!$A$6:$BT$266,(MATCH('4.3 ACE EFF CAN'!P$4,'7. PGE_Efficacité'!$A$4:$BU$4,0)+31),0)</f>
        <v>0</v>
      </c>
      <c r="Q90" s="365">
        <f>VLOOKUP($E90,'7. PGE_Efficacité'!$A$6:$BT$266,(MATCH('4.3 ACE EFF CAN'!Q$4,'7. PGE_Efficacité'!$A$4:$BU$4,0)+31),0)</f>
        <v>0</v>
      </c>
      <c r="R90" s="365">
        <f>VLOOKUP($E90,'7. PGE_Efficacité'!$A$6:$BT$266,(MATCH('4.3 ACE EFF CAN'!R$4,'7. PGE_Efficacité'!$A$4:$BU$4,0)+31),0)</f>
        <v>0</v>
      </c>
      <c r="S90" s="365">
        <f>VLOOKUP($E90,'7. PGE_Efficacité'!$A$6:$BT$266,(MATCH('4.3 ACE EFF CAN'!S$4,'7. PGE_Efficacité'!$A$4:$BU$4,0)+31),0)</f>
        <v>0</v>
      </c>
      <c r="T90" s="365">
        <f>VLOOKUP($E90,'7. PGE_Efficacité'!$A$6:$BT$266,(MATCH('4.3 ACE EFF CAN'!T$4,'7. PGE_Efficacité'!$A$4:$BU$4,0)+31),0)</f>
        <v>0</v>
      </c>
      <c r="U90" s="365">
        <f>VLOOKUP($E90,'7. PGE_Efficacité'!$A$6:$BT$266,(MATCH('4.3 ACE EFF CAN'!U$4,'7. PGE_Efficacité'!$A$4:$BU$4,0)+31),0)</f>
        <v>0</v>
      </c>
      <c r="V90" s="365">
        <f>VLOOKUP($E90,'7. PGE_Efficacité'!$A$6:$BT$266,(MATCH('4.3 ACE EFF CAN'!V$4,'7. PGE_Efficacité'!$A$4:$BU$4,0)+31),0)</f>
        <v>0</v>
      </c>
      <c r="W90" s="365">
        <f>VLOOKUP($E90,'7. PGE_Efficacité'!$A$6:$BT$266,(MATCH('4.3 ACE EFF CAN'!W$4,'7. PGE_Efficacité'!$A$4:$BU$4,0)+31),0)</f>
        <v>0</v>
      </c>
      <c r="X90" s="365">
        <f>VLOOKUP($E90,'7. PGE_Efficacité'!$A$6:$BT$266,(MATCH('4.3 ACE EFF CAN'!X$4,'7. PGE_Efficacité'!$A$4:$BU$4,0)+31),0)</f>
        <v>0</v>
      </c>
      <c r="Y90" s="366">
        <f>VLOOKUP($E90,'7. PGE_Efficacité'!$A$6:$BT$266,(MATCH('4.3 ACE EFF CAN'!Y$4,'7. PGE_Efficacité'!$A$4:$BU$4,0)+31),0)</f>
        <v>0</v>
      </c>
      <c r="Z90" s="366">
        <f>VLOOKUP($E90,'7. PGE_Efficacité'!$A$6:$BT$266,(MATCH('4.3 ACE EFF CAN'!Z$4,'7. PGE_Efficacité'!$A$4:$BU$4,0)+31),0)</f>
        <v>0</v>
      </c>
      <c r="AA90" s="366">
        <f>VLOOKUP($E90,'7. PGE_Efficacité'!$A$6:$BT$266,(MATCH('4.3 ACE EFF CAN'!AA$4,'7. PGE_Efficacité'!$A$4:$BU$4,0)+31),0)</f>
        <v>0</v>
      </c>
      <c r="AB90" s="366">
        <f>VLOOKUP($E90,'7. PGE_Efficacité'!$A$6:$BT$266,(MATCH('4.3 ACE EFF CAN'!AB$4,'7. PGE_Efficacité'!$A$4:$BU$4,0)+31),0)</f>
        <v>0</v>
      </c>
      <c r="AC90" s="366">
        <f>VLOOKUP($E90,'7. PGE_Efficacité'!$A$6:$BT$266,(MATCH('4.3 ACE EFF CAN'!AC$4,'7. PGE_Efficacité'!$A$4:$BU$4,0)+31),0)</f>
        <v>0</v>
      </c>
      <c r="AD90" s="366">
        <f>VLOOKUP($E90,'7. PGE_Efficacité'!$A$6:$BT$266,(MATCH('4.3 ACE EFF CAN'!AD$4,'7. PGE_Efficacité'!$A$4:$BU$4,0)+31),0)</f>
        <v>0</v>
      </c>
      <c r="AE90" s="366">
        <f>VLOOKUP($E90,'7. PGE_Efficacité'!$A$6:$BT$266,(MATCH('4.3 ACE EFF CAN'!AE$4,'7. PGE_Efficacité'!$A$4:$BU$4,0)+31),0)</f>
        <v>0</v>
      </c>
      <c r="AF90" s="366">
        <f>VLOOKUP($E90,'7. PGE_Efficacité'!$A$6:$BT$266,(MATCH('4.3 ACE EFF CAN'!AF$4,'7. PGE_Efficacité'!$A$4:$BU$4,0)+31),0)</f>
        <v>0</v>
      </c>
      <c r="AG90" s="366">
        <f>VLOOKUP($E90,'7. PGE_Efficacité'!$A$6:$BT$266,(MATCH('4.3 ACE EFF CAN'!AG$4,'7. PGE_Efficacité'!$A$4:$BU$4,0)+31),0)</f>
        <v>0</v>
      </c>
      <c r="AH90" s="366">
        <f>VLOOKUP($E90,'7. PGE_Efficacité'!$A$6:$BT$266,(MATCH('4.3 ACE EFF CAN'!AH$4,'7. PGE_Efficacité'!$A$4:$BU$4,0)+31),0)</f>
        <v>0</v>
      </c>
      <c r="AI90" s="366">
        <f>VLOOKUP($E90,'7. PGE_Efficacité'!$A$6:$BT$266,(MATCH('4.3 ACE EFF CAN'!AI$4,'7. PGE_Efficacité'!$A$4:$BU$4,0)+31),0)</f>
        <v>0</v>
      </c>
      <c r="AJ90" s="366">
        <f>VLOOKUP($E90,'7. PGE_Efficacité'!$A$6:$BT$266,(MATCH('4.3 ACE EFF CAN'!AJ$4,'7. PGE_Efficacité'!$A$4:$BU$4,0)+31),0)</f>
        <v>0</v>
      </c>
      <c r="AK90" s="366">
        <f>VLOOKUP($E90,'7. PGE_Efficacité'!$A$6:$BT$266,(MATCH('4.3 ACE EFF CAN'!AK$4,'7. PGE_Efficacité'!$A$4:$BU$4,0)+31),0)</f>
        <v>0</v>
      </c>
      <c r="AL90" s="366">
        <f>VLOOKUP($E90,'7. PGE_Efficacité'!$A$6:$BT$266,(MATCH('4.3 ACE EFF CAN'!AL$4,'7. PGE_Efficacité'!$A$4:$BU$4,0)+31),0)</f>
        <v>0</v>
      </c>
      <c r="AM90" s="366">
        <f>VLOOKUP($E90,'7. PGE_Efficacité'!$A$6:$BT$266,(MATCH('4.3 ACE EFF CAN'!AM$4,'7. PGE_Efficacité'!$A$4:$BU$4,0)+31),0)</f>
        <v>0</v>
      </c>
      <c r="AN90" s="366">
        <f>VLOOKUP($E90,'7. PGE_Efficacité'!$A$6:$BT$266,(MATCH('4.3 ACE EFF CAN'!AN$4,'7. PGE_Efficacité'!$A$4:$BU$4,0)+31),0)</f>
        <v>0</v>
      </c>
    </row>
    <row r="91" spans="1:40" outlineLevel="1" x14ac:dyDescent="0.25">
      <c r="A91" s="154"/>
      <c r="B91" s="154"/>
      <c r="C91" s="154"/>
      <c r="D91" s="360" t="s">
        <v>16</v>
      </c>
      <c r="E91" s="360"/>
      <c r="F91" s="361" t="str">
        <f>VLOOKUP(D91,'1. Mesures'!$A$2:$B$116,2,0)</f>
        <v>Diminuer les sources de matières en suspension vers le canal par l’optimisation de la dérivation d’Aa</v>
      </c>
      <c r="G91" s="360"/>
      <c r="H91" s="360"/>
      <c r="I91" s="362">
        <f>SUBTOTAL(9,I92:I96)</f>
        <v>210000</v>
      </c>
      <c r="J91" s="366">
        <f>VLOOKUP($D91,'7. PGE_Efficacité'!$A$6:$BT$266,(MATCH('4.3 ACE EFF CAN'!J$4,'7. PGE_Efficacité'!$A$4:$AO$4,0)+31),0)</f>
        <v>0</v>
      </c>
      <c r="K91" s="366" t="str">
        <f>VLOOKUP($D91,'7. PGE_Efficacité'!$A$6:$BT$266,(MATCH('4.3 ACE EFF CAN'!K$4,'7. PGE_Efficacité'!$A$4:$AO$4,0)+31),0)</f>
        <v>++</v>
      </c>
      <c r="L91" s="366" t="str">
        <f>VLOOKUP($D91,'7. PGE_Efficacité'!$A$6:$BT$266,(MATCH('4.3 ACE EFF CAN'!L$4,'7. PGE_Efficacité'!$A$4:$AO$4,0)+31),0)</f>
        <v>++</v>
      </c>
      <c r="M91" s="366" t="str">
        <f>VLOOKUP($D91,'7. PGE_Efficacité'!$A$6:$BT$266,(MATCH('4.3 ACE EFF CAN'!M$4,'7. PGE_Efficacité'!$A$4:$AO$4,0)+31),0)</f>
        <v>++</v>
      </c>
      <c r="N91" s="366" t="str">
        <f>VLOOKUP($D91,'7. PGE_Efficacité'!$A$6:$BT$266,(MATCH('4.3 ACE EFF CAN'!N$4,'7. PGE_Efficacité'!$A$4:$AO$4,0)+31),0)</f>
        <v>++</v>
      </c>
      <c r="O91" s="366" t="str">
        <f>VLOOKUP($D91,'7. PGE_Efficacité'!$A$6:$BT$266,47,0)</f>
        <v>++</v>
      </c>
      <c r="P91" s="366">
        <f>VLOOKUP($D91,'7. PGE_Efficacité'!$A$6:$BT$266,(MATCH('4.3 ACE EFF CAN'!P$4,'7. PGE_Efficacité'!$A$4:$AO$4,0)+31),0)</f>
        <v>0</v>
      </c>
      <c r="Q91" s="366" t="str">
        <f>VLOOKUP($D91,'7. PGE_Efficacité'!$A$6:$BT$266,(MATCH('4.3 ACE EFF CAN'!Q$4,'7. PGE_Efficacité'!$A$4:$AO$4,0)+31),0)</f>
        <v>++</v>
      </c>
      <c r="R91" s="366" t="str">
        <f>VLOOKUP($D91,'7. PGE_Efficacité'!$A$6:$BT$266,(MATCH('4.3 ACE EFF CAN'!R$4,'7. PGE_Efficacité'!$A$4:$AO$4,0)+31),0)</f>
        <v>++</v>
      </c>
      <c r="S91" s="366">
        <f>VLOOKUP($D91,'7. PGE_Efficacité'!$A$6:$BT$266,(MATCH('4.3 ACE EFF CAN'!S$4,'7. PGE_Efficacité'!$A$4:$AO$4,0)+31),0)</f>
        <v>0</v>
      </c>
      <c r="T91" s="366" t="str">
        <f>VLOOKUP($D91,'7. PGE_Efficacité'!$A$6:$BT$266,(MATCH('4.3 ACE EFF CAN'!T$4,'7. PGE_Efficacité'!$A$4:$AO$4,0)+31),0)</f>
        <v>++</v>
      </c>
      <c r="U91" s="366" t="str">
        <f>VLOOKUP($D91,'7. PGE_Efficacité'!$A$6:$BT$266,(MATCH('4.3 ACE EFF CAN'!U$4,'7. PGE_Efficacité'!$A$4:$AO$4,0)+31),0)</f>
        <v>+</v>
      </c>
      <c r="V91" s="366" t="str">
        <f>VLOOKUP($D91,'7. PGE_Efficacité'!$A$6:$BT$266,(MATCH('4.3 ACE EFF CAN'!V$4,'7. PGE_Efficacité'!$A$4:$AO$4,0)+31),0)</f>
        <v>++</v>
      </c>
      <c r="W91" s="366" t="str">
        <f>VLOOKUP($D91,'7. PGE_Efficacité'!$A$6:$BT$266,(MATCH('4.3 ACE EFF CAN'!W$4,'7. PGE_Efficacité'!$A$4:$AO$4,0)+31),0)</f>
        <v>++</v>
      </c>
      <c r="X91" s="366">
        <f>VLOOKUP($D91,'7. PGE_Efficacité'!$A$6:$BT$266,(MATCH('4.3 ACE EFF CAN'!X$4,'7. PGE_Efficacité'!$A$4:$AO$4,0)+31),0)</f>
        <v>0</v>
      </c>
      <c r="Y91" s="366" t="str">
        <f>VLOOKUP($D91,'7. PGE_Efficacité'!$A$6:$BT$266,(MATCH('4.3 ACE EFF CAN'!Y$4,'7. PGE_Efficacité'!$A$4:$AO$4,0)+31),0)</f>
        <v>++</v>
      </c>
      <c r="Z91" s="366" t="str">
        <f>VLOOKUP($D91,'7. PGE_Efficacité'!$A$6:$BT$266,(MATCH('4.3 ACE EFF CAN'!Z$4,'7. PGE_Efficacité'!$A$4:$AO$4,0)+31),0)</f>
        <v>+</v>
      </c>
      <c r="AA91" s="366">
        <f>VLOOKUP($D91,'7. PGE_Efficacité'!$A$6:$BT$266,(MATCH('4.3 ACE EFF CAN'!AA$4,'7. PGE_Efficacité'!$A$4:$AO$4,0)+31),0)</f>
        <v>0</v>
      </c>
      <c r="AB91" s="366">
        <f>VLOOKUP($D91,'7. PGE_Efficacité'!$A$6:$BT$266,(MATCH('4.3 ACE EFF CAN'!AB$4,'7. PGE_Efficacité'!$A$4:$AO$4,0)+31),0)</f>
        <v>0</v>
      </c>
      <c r="AC91" s="366">
        <f>VLOOKUP($D91,'7. PGE_Efficacité'!$A$6:$BT$266,(MATCH('4.3 ACE EFF CAN'!AC$4,'7. PGE_Efficacité'!$A$4:$AO$4,0)+31),0)</f>
        <v>0</v>
      </c>
      <c r="AD91" s="366">
        <f>VLOOKUP($D91,'7. PGE_Efficacité'!$A$6:$BT$266,(MATCH('4.3 ACE EFF CAN'!AD$4,'7. PGE_Efficacité'!$A$4:$AO$4,0)+31),0)</f>
        <v>0</v>
      </c>
      <c r="AE91" s="366">
        <f>VLOOKUP($D91,'7. PGE_Efficacité'!$A$6:$BT$266,(MATCH('4.3 ACE EFF CAN'!AE$4,'7. PGE_Efficacité'!$A$4:$AO$4,0)+31),0)</f>
        <v>0</v>
      </c>
      <c r="AF91" s="366">
        <f>VLOOKUP($D91,'7. PGE_Efficacité'!$A$6:$BT$266,(MATCH('4.3 ACE EFF CAN'!AF$4,'7. PGE_Efficacité'!$A$4:$AO$4,0)+31),0)</f>
        <v>0</v>
      </c>
      <c r="AG91" s="366">
        <f>VLOOKUP($D91,'7. PGE_Efficacité'!$A$6:$BT$266,(MATCH('4.3 ACE EFF CAN'!AG$4,'7. PGE_Efficacité'!$A$4:$AO$4,0)+31),0)</f>
        <v>0</v>
      </c>
      <c r="AH91" s="366">
        <f>VLOOKUP($D91,'7. PGE_Efficacité'!$A$6:$BT$266,(MATCH('4.3 ACE EFF CAN'!AH$4,'7. PGE_Efficacité'!$A$4:$AO$4,0)+31),0)</f>
        <v>0</v>
      </c>
      <c r="AI91" s="366">
        <f>VLOOKUP($D91,'7. PGE_Efficacité'!$A$6:$BT$266,(MATCH('4.3 ACE EFF CAN'!AI$4,'7. PGE_Efficacité'!$A$4:$AO$4,0)+31),0)</f>
        <v>0</v>
      </c>
      <c r="AJ91" s="366">
        <f>VLOOKUP($D91,'7. PGE_Efficacité'!$A$6:$BT$266,(MATCH('4.3 ACE EFF CAN'!AJ$4,'7. PGE_Efficacité'!$A$4:$AO$4,0)+31),0)</f>
        <v>0</v>
      </c>
      <c r="AK91" s="366" t="str">
        <f>VLOOKUP($D91,'7. PGE_Efficacité'!$A$6:$BT$266,(MATCH('4.3 ACE EFF CAN'!AK$4,'7. PGE_Efficacité'!$A$4:$AO$4,0)+31),0)</f>
        <v>+</v>
      </c>
      <c r="AL91" s="366">
        <f>VLOOKUP($D91,'7. PGE_Efficacité'!$A$6:$BT$266,(MATCH('4.3 ACE EFF CAN'!AL$4,'7. PGE_Efficacité'!$A$4:$AO$4,0)+31),0)</f>
        <v>0</v>
      </c>
      <c r="AM91" s="366" t="str">
        <f>VLOOKUP($D91,'7. PGE_Efficacité'!$A$6:$BT$266,(MATCH('4.3 ACE EFF CAN'!AM$4,'7. PGE_Efficacité'!$A$4:$AO$4,0)+31),0)</f>
        <v>+</v>
      </c>
      <c r="AN91" s="366" t="str">
        <f>VLOOKUP($D91,'7. PGE_Efficacité'!$A$6:$BT$266,(MATCH('4.3 ACE EFF CAN'!AN$4,'7. PGE_Efficacité'!$A$4:$AO$4,0)+31),0)</f>
        <v>+</v>
      </c>
    </row>
    <row r="92" spans="1:40" outlineLevel="2" x14ac:dyDescent="0.25">
      <c r="A92" s="154" t="s">
        <v>1524</v>
      </c>
      <c r="B92" s="154">
        <v>17</v>
      </c>
      <c r="C92" s="154" t="s">
        <v>1524</v>
      </c>
      <c r="D92" s="330" t="s">
        <v>16</v>
      </c>
      <c r="E92" s="330" t="s">
        <v>683</v>
      </c>
      <c r="F92" s="330" t="s">
        <v>1343</v>
      </c>
      <c r="G92" s="330" t="s">
        <v>1521</v>
      </c>
      <c r="H92" s="330" t="s">
        <v>414</v>
      </c>
      <c r="I92" s="364">
        <v>20000</v>
      </c>
      <c r="J92" s="365">
        <f>VLOOKUP($E92,'7. PGE_Efficacité'!$A$6:$BT$266,(MATCH('4.3 ACE EFF CAN'!J$4,'7. PGE_Efficacité'!$A$4:$BU$4,0)+31),0)</f>
        <v>0</v>
      </c>
      <c r="K92" s="365">
        <f>VLOOKUP($E92,'7. PGE_Efficacité'!$A$6:$BT$266,(MATCH('4.3 ACE EFF CAN'!K$4,'7. PGE_Efficacité'!$A$4:$BU$4,0)+31),0)</f>
        <v>0</v>
      </c>
      <c r="L92" s="365">
        <f>VLOOKUP($E92,'7. PGE_Efficacité'!$A$6:$BT$266,(MATCH('4.3 ACE EFF CAN'!L$4,'7. PGE_Efficacité'!$A$4:$BU$4,0)+31),0)</f>
        <v>0</v>
      </c>
      <c r="M92" s="365">
        <f>VLOOKUP($E92,'7. PGE_Efficacité'!$A$6:$BT$266,(MATCH('4.3 ACE EFF CAN'!M$4,'7. PGE_Efficacité'!$A$4:$BU$4,0)+31),0)</f>
        <v>0</v>
      </c>
      <c r="N92" s="365">
        <f>VLOOKUP($E92,'7. PGE_Efficacité'!$A$6:$BT$266,(MATCH('4.3 ACE EFF CAN'!N$4,'7. PGE_Efficacité'!$A$4:$BU$4,0)+31),0)</f>
        <v>0</v>
      </c>
      <c r="O92" s="365">
        <f>VLOOKUP($E92,'7. PGE_Efficacité'!$A$6:$BT$266,(MATCH('4.3 ACE EFF CAN'!O$4,'7. PGE_Efficacité'!$A$4:$BU$4,0)+31),0)</f>
        <v>0</v>
      </c>
      <c r="P92" s="365">
        <f>VLOOKUP($E92,'7. PGE_Efficacité'!$A$6:$BT$266,(MATCH('4.3 ACE EFF CAN'!P$4,'7. PGE_Efficacité'!$A$4:$BU$4,0)+31),0)</f>
        <v>0</v>
      </c>
      <c r="Q92" s="365">
        <f>VLOOKUP($E92,'7. PGE_Efficacité'!$A$6:$BT$266,(MATCH('4.3 ACE EFF CAN'!Q$4,'7. PGE_Efficacité'!$A$4:$BU$4,0)+31),0)</f>
        <v>0</v>
      </c>
      <c r="R92" s="365">
        <f>VLOOKUP($E92,'7. PGE_Efficacité'!$A$6:$BT$266,(MATCH('4.3 ACE EFF CAN'!R$4,'7. PGE_Efficacité'!$A$4:$BU$4,0)+31),0)</f>
        <v>0</v>
      </c>
      <c r="S92" s="365">
        <f>VLOOKUP($E92,'7. PGE_Efficacité'!$A$6:$BT$266,(MATCH('4.3 ACE EFF CAN'!S$4,'7. PGE_Efficacité'!$A$4:$BU$4,0)+31),0)</f>
        <v>0</v>
      </c>
      <c r="T92" s="365">
        <f>VLOOKUP($E92,'7. PGE_Efficacité'!$A$6:$BT$266,(MATCH('4.3 ACE EFF CAN'!T$4,'7. PGE_Efficacité'!$A$4:$BU$4,0)+31),0)</f>
        <v>0</v>
      </c>
      <c r="U92" s="365">
        <f>VLOOKUP($E92,'7. PGE_Efficacité'!$A$6:$BT$266,(MATCH('4.3 ACE EFF CAN'!U$4,'7. PGE_Efficacité'!$A$4:$BU$4,0)+31),0)</f>
        <v>0</v>
      </c>
      <c r="V92" s="365">
        <f>VLOOKUP($E92,'7. PGE_Efficacité'!$A$6:$BT$266,(MATCH('4.3 ACE EFF CAN'!V$4,'7. PGE_Efficacité'!$A$4:$BU$4,0)+31),0)</f>
        <v>0</v>
      </c>
      <c r="W92" s="365">
        <f>VLOOKUP($E92,'7. PGE_Efficacité'!$A$6:$BT$266,(MATCH('4.3 ACE EFF CAN'!W$4,'7. PGE_Efficacité'!$A$4:$BU$4,0)+31),0)</f>
        <v>0</v>
      </c>
      <c r="X92" s="365">
        <f>VLOOKUP($E92,'7. PGE_Efficacité'!$A$6:$BT$266,(MATCH('4.3 ACE EFF CAN'!X$4,'7. PGE_Efficacité'!$A$4:$BU$4,0)+31),0)</f>
        <v>0</v>
      </c>
      <c r="Y92" s="365">
        <f>VLOOKUP($E92,'7. PGE_Efficacité'!$A$6:$BT$266,(MATCH('4.3 ACE EFF CAN'!Y$4,'7. PGE_Efficacité'!$A$4:$BU$4,0)+31),0)</f>
        <v>0</v>
      </c>
      <c r="Z92" s="365">
        <f>VLOOKUP($E92,'7. PGE_Efficacité'!$A$6:$BT$266,(MATCH('4.3 ACE EFF CAN'!Z$4,'7. PGE_Efficacité'!$A$4:$BU$4,0)+31),0)</f>
        <v>0</v>
      </c>
      <c r="AA92" s="365">
        <f>VLOOKUP($E92,'7. PGE_Efficacité'!$A$6:$BT$266,(MATCH('4.3 ACE EFF CAN'!AA$4,'7. PGE_Efficacité'!$A$4:$BU$4,0)+31),0)</f>
        <v>0</v>
      </c>
      <c r="AB92" s="365">
        <f>VLOOKUP($E92,'7. PGE_Efficacité'!$A$6:$BT$266,(MATCH('4.3 ACE EFF CAN'!AB$4,'7. PGE_Efficacité'!$A$4:$BU$4,0)+31),0)</f>
        <v>0</v>
      </c>
      <c r="AC92" s="365">
        <f>VLOOKUP($E92,'7. PGE_Efficacité'!$A$6:$BT$266,(MATCH('4.3 ACE EFF CAN'!AC$4,'7. PGE_Efficacité'!$A$4:$BU$4,0)+31),0)</f>
        <v>0</v>
      </c>
      <c r="AD92" s="365">
        <f>VLOOKUP($E92,'7. PGE_Efficacité'!$A$6:$BT$266,(MATCH('4.3 ACE EFF CAN'!AD$4,'7. PGE_Efficacité'!$A$4:$BU$4,0)+31),0)</f>
        <v>0</v>
      </c>
      <c r="AE92" s="365">
        <f>VLOOKUP($E92,'7. PGE_Efficacité'!$A$6:$BT$266,(MATCH('4.3 ACE EFF CAN'!AE$4,'7. PGE_Efficacité'!$A$4:$BU$4,0)+31),0)</f>
        <v>0</v>
      </c>
      <c r="AF92" s="365">
        <f>VLOOKUP($E92,'7. PGE_Efficacité'!$A$6:$BT$266,(MATCH('4.3 ACE EFF CAN'!AF$4,'7. PGE_Efficacité'!$A$4:$BU$4,0)+31),0)</f>
        <v>0</v>
      </c>
      <c r="AG92" s="365">
        <f>VLOOKUP($E92,'7. PGE_Efficacité'!$A$6:$BT$266,(MATCH('4.3 ACE EFF CAN'!AG$4,'7. PGE_Efficacité'!$A$4:$BU$4,0)+31),0)</f>
        <v>0</v>
      </c>
      <c r="AH92" s="365">
        <f>VLOOKUP($E92,'7. PGE_Efficacité'!$A$6:$BT$266,(MATCH('4.3 ACE EFF CAN'!AH$4,'7. PGE_Efficacité'!$A$4:$BU$4,0)+31),0)</f>
        <v>0</v>
      </c>
      <c r="AI92" s="365">
        <f>VLOOKUP($E92,'7. PGE_Efficacité'!$A$6:$BT$266,(MATCH('4.3 ACE EFF CAN'!AI$4,'7. PGE_Efficacité'!$A$4:$BU$4,0)+31),0)</f>
        <v>0</v>
      </c>
      <c r="AJ92" s="365">
        <f>VLOOKUP($E92,'7. PGE_Efficacité'!$A$6:$BT$266,(MATCH('4.3 ACE EFF CAN'!AJ$4,'7. PGE_Efficacité'!$A$4:$BU$4,0)+31),0)</f>
        <v>0</v>
      </c>
      <c r="AK92" s="365">
        <f>VLOOKUP($E92,'7. PGE_Efficacité'!$A$6:$BT$266,(MATCH('4.3 ACE EFF CAN'!AK$4,'7. PGE_Efficacité'!$A$4:$BU$4,0)+31),0)</f>
        <v>0</v>
      </c>
      <c r="AL92" s="365">
        <f>VLOOKUP($E92,'7. PGE_Efficacité'!$A$6:$BT$266,(MATCH('4.3 ACE EFF CAN'!AL$4,'7. PGE_Efficacité'!$A$4:$BU$4,0)+31),0)</f>
        <v>0</v>
      </c>
      <c r="AM92" s="365">
        <f>VLOOKUP($E92,'7. PGE_Efficacité'!$A$6:$BT$266,(MATCH('4.3 ACE EFF CAN'!AM$4,'7. PGE_Efficacité'!$A$4:$BU$4,0)+31),0)</f>
        <v>0</v>
      </c>
      <c r="AN92" s="365">
        <f>VLOOKUP($E92,'7. PGE_Efficacité'!$A$6:$BT$266,(MATCH('4.3 ACE EFF CAN'!AN$4,'7. PGE_Efficacité'!$A$4:$BU$4,0)+31),0)</f>
        <v>0</v>
      </c>
    </row>
    <row r="93" spans="1:40" outlineLevel="2" x14ac:dyDescent="0.25">
      <c r="A93" s="154" t="s">
        <v>1524</v>
      </c>
      <c r="B93" s="154">
        <v>17</v>
      </c>
      <c r="C93" s="154" t="s">
        <v>1525</v>
      </c>
      <c r="D93" s="330" t="s">
        <v>16</v>
      </c>
      <c r="E93" s="330" t="s">
        <v>684</v>
      </c>
      <c r="F93" s="330" t="s">
        <v>1344</v>
      </c>
      <c r="G93" s="330" t="s">
        <v>1521</v>
      </c>
      <c r="H93" s="330" t="s">
        <v>414</v>
      </c>
      <c r="I93" s="364">
        <v>40000</v>
      </c>
      <c r="J93" s="365">
        <f>VLOOKUP($E93,'7. PGE_Efficacité'!$A$6:$BT$266,(MATCH('4.3 ACE EFF CAN'!J$4,'7. PGE_Efficacité'!$A$4:$BU$4,0)+31),0)</f>
        <v>0</v>
      </c>
      <c r="K93" s="365">
        <f>VLOOKUP($E93,'7. PGE_Efficacité'!$A$6:$BT$266,(MATCH('4.3 ACE EFF CAN'!K$4,'7. PGE_Efficacité'!$A$4:$BU$4,0)+31),0)</f>
        <v>0</v>
      </c>
      <c r="L93" s="365">
        <f>VLOOKUP($E93,'7. PGE_Efficacité'!$A$6:$BT$266,(MATCH('4.3 ACE EFF CAN'!L$4,'7. PGE_Efficacité'!$A$4:$BU$4,0)+31),0)</f>
        <v>0</v>
      </c>
      <c r="M93" s="365">
        <f>VLOOKUP($E93,'7. PGE_Efficacité'!$A$6:$BT$266,(MATCH('4.3 ACE EFF CAN'!M$4,'7. PGE_Efficacité'!$A$4:$BU$4,0)+31),0)</f>
        <v>0</v>
      </c>
      <c r="N93" s="365">
        <f>VLOOKUP($E93,'7. PGE_Efficacité'!$A$6:$BT$266,(MATCH('4.3 ACE EFF CAN'!N$4,'7. PGE_Efficacité'!$A$4:$BU$4,0)+31),0)</f>
        <v>0</v>
      </c>
      <c r="O93" s="365">
        <f>VLOOKUP($E93,'7. PGE_Efficacité'!$A$6:$BT$266,(MATCH('4.3 ACE EFF CAN'!O$4,'7. PGE_Efficacité'!$A$4:$BU$4,0)+31),0)</f>
        <v>0</v>
      </c>
      <c r="P93" s="365">
        <f>VLOOKUP($E93,'7. PGE_Efficacité'!$A$6:$BT$266,(MATCH('4.3 ACE EFF CAN'!P$4,'7. PGE_Efficacité'!$A$4:$BU$4,0)+31),0)</f>
        <v>0</v>
      </c>
      <c r="Q93" s="365">
        <f>VLOOKUP($E93,'7. PGE_Efficacité'!$A$6:$BT$266,(MATCH('4.3 ACE EFF CAN'!Q$4,'7. PGE_Efficacité'!$A$4:$BU$4,0)+31),0)</f>
        <v>0</v>
      </c>
      <c r="R93" s="365">
        <f>VLOOKUP($E93,'7. PGE_Efficacité'!$A$6:$BT$266,(MATCH('4.3 ACE EFF CAN'!R$4,'7. PGE_Efficacité'!$A$4:$BU$4,0)+31),0)</f>
        <v>0</v>
      </c>
      <c r="S93" s="365">
        <f>VLOOKUP($E93,'7. PGE_Efficacité'!$A$6:$BT$266,(MATCH('4.3 ACE EFF CAN'!S$4,'7. PGE_Efficacité'!$A$4:$BU$4,0)+31),0)</f>
        <v>0</v>
      </c>
      <c r="T93" s="365">
        <f>VLOOKUP($E93,'7. PGE_Efficacité'!$A$6:$BT$266,(MATCH('4.3 ACE EFF CAN'!T$4,'7. PGE_Efficacité'!$A$4:$BU$4,0)+31),0)</f>
        <v>0</v>
      </c>
      <c r="U93" s="365">
        <f>VLOOKUP($E93,'7. PGE_Efficacité'!$A$6:$BT$266,(MATCH('4.3 ACE EFF CAN'!U$4,'7. PGE_Efficacité'!$A$4:$BU$4,0)+31),0)</f>
        <v>0</v>
      </c>
      <c r="V93" s="365">
        <f>VLOOKUP($E93,'7. PGE_Efficacité'!$A$6:$BT$266,(MATCH('4.3 ACE EFF CAN'!V$4,'7. PGE_Efficacité'!$A$4:$BU$4,0)+31),0)</f>
        <v>0</v>
      </c>
      <c r="W93" s="365">
        <f>VLOOKUP($E93,'7. PGE_Efficacité'!$A$6:$BT$266,(MATCH('4.3 ACE EFF CAN'!W$4,'7. PGE_Efficacité'!$A$4:$BU$4,0)+31),0)</f>
        <v>0</v>
      </c>
      <c r="X93" s="365">
        <f>VLOOKUP($E93,'7. PGE_Efficacité'!$A$6:$BT$266,(MATCH('4.3 ACE EFF CAN'!X$4,'7. PGE_Efficacité'!$A$4:$BU$4,0)+31),0)</f>
        <v>0</v>
      </c>
      <c r="Y93" s="365">
        <f>VLOOKUP($E93,'7. PGE_Efficacité'!$A$6:$BT$266,(MATCH('4.3 ACE EFF CAN'!Y$4,'7. PGE_Efficacité'!$A$4:$BU$4,0)+31),0)</f>
        <v>0</v>
      </c>
      <c r="Z93" s="365">
        <f>VLOOKUP($E93,'7. PGE_Efficacité'!$A$6:$BT$266,(MATCH('4.3 ACE EFF CAN'!Z$4,'7. PGE_Efficacité'!$A$4:$BU$4,0)+31),0)</f>
        <v>0</v>
      </c>
      <c r="AA93" s="365">
        <f>VLOOKUP($E93,'7. PGE_Efficacité'!$A$6:$BT$266,(MATCH('4.3 ACE EFF CAN'!AA$4,'7. PGE_Efficacité'!$A$4:$BU$4,0)+31),0)</f>
        <v>0</v>
      </c>
      <c r="AB93" s="365">
        <f>VLOOKUP($E93,'7. PGE_Efficacité'!$A$6:$BT$266,(MATCH('4.3 ACE EFF CAN'!AB$4,'7. PGE_Efficacité'!$A$4:$BU$4,0)+31),0)</f>
        <v>0</v>
      </c>
      <c r="AC93" s="365">
        <f>VLOOKUP($E93,'7. PGE_Efficacité'!$A$6:$BT$266,(MATCH('4.3 ACE EFF CAN'!AC$4,'7. PGE_Efficacité'!$A$4:$BU$4,0)+31),0)</f>
        <v>0</v>
      </c>
      <c r="AD93" s="365">
        <f>VLOOKUP($E93,'7. PGE_Efficacité'!$A$6:$BT$266,(MATCH('4.3 ACE EFF CAN'!AD$4,'7. PGE_Efficacité'!$A$4:$BU$4,0)+31),0)</f>
        <v>0</v>
      </c>
      <c r="AE93" s="365">
        <f>VLOOKUP($E93,'7. PGE_Efficacité'!$A$6:$BT$266,(MATCH('4.3 ACE EFF CAN'!AE$4,'7. PGE_Efficacité'!$A$4:$BU$4,0)+31),0)</f>
        <v>0</v>
      </c>
      <c r="AF93" s="365">
        <f>VLOOKUP($E93,'7. PGE_Efficacité'!$A$6:$BT$266,(MATCH('4.3 ACE EFF CAN'!AF$4,'7. PGE_Efficacité'!$A$4:$BU$4,0)+31),0)</f>
        <v>0</v>
      </c>
      <c r="AG93" s="365">
        <f>VLOOKUP($E93,'7. PGE_Efficacité'!$A$6:$BT$266,(MATCH('4.3 ACE EFF CAN'!AG$4,'7. PGE_Efficacité'!$A$4:$BU$4,0)+31),0)</f>
        <v>0</v>
      </c>
      <c r="AH93" s="365">
        <f>VLOOKUP($E93,'7. PGE_Efficacité'!$A$6:$BT$266,(MATCH('4.3 ACE EFF CAN'!AH$4,'7. PGE_Efficacité'!$A$4:$BU$4,0)+31),0)</f>
        <v>0</v>
      </c>
      <c r="AI93" s="365">
        <f>VLOOKUP($E93,'7. PGE_Efficacité'!$A$6:$BT$266,(MATCH('4.3 ACE EFF CAN'!AI$4,'7. PGE_Efficacité'!$A$4:$BU$4,0)+31),0)</f>
        <v>0</v>
      </c>
      <c r="AJ93" s="365">
        <f>VLOOKUP($E93,'7. PGE_Efficacité'!$A$6:$BT$266,(MATCH('4.3 ACE EFF CAN'!AJ$4,'7. PGE_Efficacité'!$A$4:$BU$4,0)+31),0)</f>
        <v>0</v>
      </c>
      <c r="AK93" s="365">
        <f>VLOOKUP($E93,'7. PGE_Efficacité'!$A$6:$BT$266,(MATCH('4.3 ACE EFF CAN'!AK$4,'7. PGE_Efficacité'!$A$4:$BU$4,0)+31),0)</f>
        <v>0</v>
      </c>
      <c r="AL93" s="365">
        <f>VLOOKUP($E93,'7. PGE_Efficacité'!$A$6:$BT$266,(MATCH('4.3 ACE EFF CAN'!AL$4,'7. PGE_Efficacité'!$A$4:$BU$4,0)+31),0)</f>
        <v>0</v>
      </c>
      <c r="AM93" s="365">
        <f>VLOOKUP($E93,'7. PGE_Efficacité'!$A$6:$BT$266,(MATCH('4.3 ACE EFF CAN'!AM$4,'7. PGE_Efficacité'!$A$4:$BU$4,0)+31),0)</f>
        <v>0</v>
      </c>
      <c r="AN93" s="365">
        <f>VLOOKUP($E93,'7. PGE_Efficacité'!$A$6:$BT$266,(MATCH('4.3 ACE EFF CAN'!AN$4,'7. PGE_Efficacité'!$A$4:$BU$4,0)+31),0)</f>
        <v>0</v>
      </c>
    </row>
    <row r="94" spans="1:40" outlineLevel="2" x14ac:dyDescent="0.25">
      <c r="A94" s="154" t="s">
        <v>1524</v>
      </c>
      <c r="B94" s="154">
        <v>17</v>
      </c>
      <c r="C94" s="154" t="s">
        <v>1526</v>
      </c>
      <c r="D94" s="330" t="s">
        <v>16</v>
      </c>
      <c r="E94" s="330" t="s">
        <v>685</v>
      </c>
      <c r="F94" s="330" t="s">
        <v>1345</v>
      </c>
      <c r="G94" s="330" t="s">
        <v>1521</v>
      </c>
      <c r="H94" s="330" t="s">
        <v>414</v>
      </c>
      <c r="I94" s="364">
        <v>50000</v>
      </c>
      <c r="J94" s="365">
        <f>VLOOKUP($E94,'7. PGE_Efficacité'!$A$6:$BT$266,(MATCH('4.3 ACE EFF CAN'!J$4,'7. PGE_Efficacité'!$A$4:$BU$4,0)+31),0)</f>
        <v>0</v>
      </c>
      <c r="K94" s="365">
        <f>VLOOKUP($E94,'7. PGE_Efficacité'!$A$6:$BT$266,(MATCH('4.3 ACE EFF CAN'!K$4,'7. PGE_Efficacité'!$A$4:$BU$4,0)+31),0)</f>
        <v>0</v>
      </c>
      <c r="L94" s="365">
        <f>VLOOKUP($E94,'7. PGE_Efficacité'!$A$6:$BT$266,(MATCH('4.3 ACE EFF CAN'!L$4,'7. PGE_Efficacité'!$A$4:$BU$4,0)+31),0)</f>
        <v>0</v>
      </c>
      <c r="M94" s="365">
        <f>VLOOKUP($E94,'7. PGE_Efficacité'!$A$6:$BT$266,(MATCH('4.3 ACE EFF CAN'!M$4,'7. PGE_Efficacité'!$A$4:$BU$4,0)+31),0)</f>
        <v>0</v>
      </c>
      <c r="N94" s="365">
        <f>VLOOKUP($E94,'7. PGE_Efficacité'!$A$6:$BT$266,(MATCH('4.3 ACE EFF CAN'!N$4,'7. PGE_Efficacité'!$A$4:$BU$4,0)+31),0)</f>
        <v>0</v>
      </c>
      <c r="O94" s="365">
        <f>VLOOKUP($E94,'7. PGE_Efficacité'!$A$6:$BT$266,(MATCH('4.3 ACE EFF CAN'!O$4,'7. PGE_Efficacité'!$A$4:$BU$4,0)+31),0)</f>
        <v>0</v>
      </c>
      <c r="P94" s="365">
        <f>VLOOKUP($E94,'7. PGE_Efficacité'!$A$6:$BT$266,(MATCH('4.3 ACE EFF CAN'!P$4,'7. PGE_Efficacité'!$A$4:$BU$4,0)+31),0)</f>
        <v>0</v>
      </c>
      <c r="Q94" s="365">
        <f>VLOOKUP($E94,'7. PGE_Efficacité'!$A$6:$BT$266,(MATCH('4.3 ACE EFF CAN'!Q$4,'7. PGE_Efficacité'!$A$4:$BU$4,0)+31),0)</f>
        <v>0</v>
      </c>
      <c r="R94" s="365">
        <f>VLOOKUP($E94,'7. PGE_Efficacité'!$A$6:$BT$266,(MATCH('4.3 ACE EFF CAN'!R$4,'7. PGE_Efficacité'!$A$4:$BU$4,0)+31),0)</f>
        <v>0</v>
      </c>
      <c r="S94" s="365">
        <f>VLOOKUP($E94,'7. PGE_Efficacité'!$A$6:$BT$266,(MATCH('4.3 ACE EFF CAN'!S$4,'7. PGE_Efficacité'!$A$4:$BU$4,0)+31),0)</f>
        <v>0</v>
      </c>
      <c r="T94" s="365">
        <f>VLOOKUP($E94,'7. PGE_Efficacité'!$A$6:$BT$266,(MATCH('4.3 ACE EFF CAN'!T$4,'7. PGE_Efficacité'!$A$4:$BU$4,0)+31),0)</f>
        <v>0</v>
      </c>
      <c r="U94" s="365">
        <f>VLOOKUP($E94,'7. PGE_Efficacité'!$A$6:$BT$266,(MATCH('4.3 ACE EFF CAN'!U$4,'7. PGE_Efficacité'!$A$4:$BU$4,0)+31),0)</f>
        <v>0</v>
      </c>
      <c r="V94" s="365">
        <f>VLOOKUP($E94,'7. PGE_Efficacité'!$A$6:$BT$266,(MATCH('4.3 ACE EFF CAN'!V$4,'7. PGE_Efficacité'!$A$4:$BU$4,0)+31),0)</f>
        <v>0</v>
      </c>
      <c r="W94" s="365">
        <f>VLOOKUP($E94,'7. PGE_Efficacité'!$A$6:$BT$266,(MATCH('4.3 ACE EFF CAN'!W$4,'7. PGE_Efficacité'!$A$4:$BU$4,0)+31),0)</f>
        <v>0</v>
      </c>
      <c r="X94" s="365">
        <f>VLOOKUP($E94,'7. PGE_Efficacité'!$A$6:$BT$266,(MATCH('4.3 ACE EFF CAN'!X$4,'7. PGE_Efficacité'!$A$4:$BU$4,0)+31),0)</f>
        <v>0</v>
      </c>
      <c r="Y94" s="365">
        <f>VLOOKUP($E94,'7. PGE_Efficacité'!$A$6:$BT$266,(MATCH('4.3 ACE EFF CAN'!Y$4,'7. PGE_Efficacité'!$A$4:$BU$4,0)+31),0)</f>
        <v>0</v>
      </c>
      <c r="Z94" s="365">
        <f>VLOOKUP($E94,'7. PGE_Efficacité'!$A$6:$BT$266,(MATCH('4.3 ACE EFF CAN'!Z$4,'7. PGE_Efficacité'!$A$4:$BU$4,0)+31),0)</f>
        <v>0</v>
      </c>
      <c r="AA94" s="365">
        <f>VLOOKUP($E94,'7. PGE_Efficacité'!$A$6:$BT$266,(MATCH('4.3 ACE EFF CAN'!AA$4,'7. PGE_Efficacité'!$A$4:$BU$4,0)+31),0)</f>
        <v>0</v>
      </c>
      <c r="AB94" s="365">
        <f>VLOOKUP($E94,'7. PGE_Efficacité'!$A$6:$BT$266,(MATCH('4.3 ACE EFF CAN'!AB$4,'7. PGE_Efficacité'!$A$4:$BU$4,0)+31),0)</f>
        <v>0</v>
      </c>
      <c r="AC94" s="365">
        <f>VLOOKUP($E94,'7. PGE_Efficacité'!$A$6:$BT$266,(MATCH('4.3 ACE EFF CAN'!AC$4,'7. PGE_Efficacité'!$A$4:$BU$4,0)+31),0)</f>
        <v>0</v>
      </c>
      <c r="AD94" s="365">
        <f>VLOOKUP($E94,'7. PGE_Efficacité'!$A$6:$BT$266,(MATCH('4.3 ACE EFF CAN'!AD$4,'7. PGE_Efficacité'!$A$4:$BU$4,0)+31),0)</f>
        <v>0</v>
      </c>
      <c r="AE94" s="365">
        <f>VLOOKUP($E94,'7. PGE_Efficacité'!$A$6:$BT$266,(MATCH('4.3 ACE EFF CAN'!AE$4,'7. PGE_Efficacité'!$A$4:$BU$4,0)+31),0)</f>
        <v>0</v>
      </c>
      <c r="AF94" s="365">
        <f>VLOOKUP($E94,'7. PGE_Efficacité'!$A$6:$BT$266,(MATCH('4.3 ACE EFF CAN'!AF$4,'7. PGE_Efficacité'!$A$4:$BU$4,0)+31),0)</f>
        <v>0</v>
      </c>
      <c r="AG94" s="365">
        <f>VLOOKUP($E94,'7. PGE_Efficacité'!$A$6:$BT$266,(MATCH('4.3 ACE EFF CAN'!AG$4,'7. PGE_Efficacité'!$A$4:$BU$4,0)+31),0)</f>
        <v>0</v>
      </c>
      <c r="AH94" s="365">
        <f>VLOOKUP($E94,'7. PGE_Efficacité'!$A$6:$BT$266,(MATCH('4.3 ACE EFF CAN'!AH$4,'7. PGE_Efficacité'!$A$4:$BU$4,0)+31),0)</f>
        <v>0</v>
      </c>
      <c r="AI94" s="365">
        <f>VLOOKUP($E94,'7. PGE_Efficacité'!$A$6:$BT$266,(MATCH('4.3 ACE EFF CAN'!AI$4,'7. PGE_Efficacité'!$A$4:$BU$4,0)+31),0)</f>
        <v>0</v>
      </c>
      <c r="AJ94" s="365">
        <f>VLOOKUP($E94,'7. PGE_Efficacité'!$A$6:$BT$266,(MATCH('4.3 ACE EFF CAN'!AJ$4,'7. PGE_Efficacité'!$A$4:$BU$4,0)+31),0)</f>
        <v>0</v>
      </c>
      <c r="AK94" s="365">
        <f>VLOOKUP($E94,'7. PGE_Efficacité'!$A$6:$BT$266,(MATCH('4.3 ACE EFF CAN'!AK$4,'7. PGE_Efficacité'!$A$4:$BU$4,0)+31),0)</f>
        <v>0</v>
      </c>
      <c r="AL94" s="365">
        <f>VLOOKUP($E94,'7. PGE_Efficacité'!$A$6:$BT$266,(MATCH('4.3 ACE EFF CAN'!AL$4,'7. PGE_Efficacité'!$A$4:$BU$4,0)+31),0)</f>
        <v>0</v>
      </c>
      <c r="AM94" s="365">
        <f>VLOOKUP($E94,'7. PGE_Efficacité'!$A$6:$BT$266,(MATCH('4.3 ACE EFF CAN'!AM$4,'7. PGE_Efficacité'!$A$4:$BU$4,0)+31),0)</f>
        <v>0</v>
      </c>
      <c r="AN94" s="365">
        <f>VLOOKUP($E94,'7. PGE_Efficacité'!$A$6:$BT$266,(MATCH('4.3 ACE EFF CAN'!AN$4,'7. PGE_Efficacité'!$A$4:$BU$4,0)+31),0)</f>
        <v>0</v>
      </c>
    </row>
    <row r="95" spans="1:40" outlineLevel="2" x14ac:dyDescent="0.25">
      <c r="A95" s="154" t="s">
        <v>1524</v>
      </c>
      <c r="B95" s="154">
        <v>17</v>
      </c>
      <c r="C95" s="154" t="s">
        <v>1527</v>
      </c>
      <c r="D95" s="330" t="s">
        <v>16</v>
      </c>
      <c r="E95" s="330" t="s">
        <v>686</v>
      </c>
      <c r="F95" s="330" t="s">
        <v>1346</v>
      </c>
      <c r="G95" s="330" t="s">
        <v>1521</v>
      </c>
      <c r="H95" s="330" t="s">
        <v>414</v>
      </c>
      <c r="I95" s="364">
        <v>100000</v>
      </c>
      <c r="J95" s="365">
        <f>VLOOKUP($E95,'7. PGE_Efficacité'!$A$6:$BT$266,(MATCH('4.3 ACE EFF CAN'!J$4,'7. PGE_Efficacité'!$A$4:$BU$4,0)+31),0)</f>
        <v>0</v>
      </c>
      <c r="K95" s="365">
        <f>VLOOKUP($E95,'7. PGE_Efficacité'!$A$6:$BT$266,(MATCH('4.3 ACE EFF CAN'!K$4,'7. PGE_Efficacité'!$A$4:$BU$4,0)+31),0)</f>
        <v>0</v>
      </c>
      <c r="L95" s="365">
        <f>VLOOKUP($E95,'7. PGE_Efficacité'!$A$6:$BT$266,(MATCH('4.3 ACE EFF CAN'!L$4,'7. PGE_Efficacité'!$A$4:$BU$4,0)+31),0)</f>
        <v>0</v>
      </c>
      <c r="M95" s="365">
        <f>VLOOKUP($E95,'7. PGE_Efficacité'!$A$6:$BT$266,(MATCH('4.3 ACE EFF CAN'!M$4,'7. PGE_Efficacité'!$A$4:$BU$4,0)+31),0)</f>
        <v>0</v>
      </c>
      <c r="N95" s="365">
        <f>VLOOKUP($E95,'7. PGE_Efficacité'!$A$6:$BT$266,(MATCH('4.3 ACE EFF CAN'!N$4,'7. PGE_Efficacité'!$A$4:$BU$4,0)+31),0)</f>
        <v>0</v>
      </c>
      <c r="O95" s="365">
        <f>VLOOKUP($E95,'7. PGE_Efficacité'!$A$6:$BT$266,(MATCH('4.3 ACE EFF CAN'!O$4,'7. PGE_Efficacité'!$A$4:$BU$4,0)+31),0)</f>
        <v>0</v>
      </c>
      <c r="P95" s="365">
        <f>VLOOKUP($E95,'7. PGE_Efficacité'!$A$6:$BT$266,(MATCH('4.3 ACE EFF CAN'!P$4,'7. PGE_Efficacité'!$A$4:$BU$4,0)+31),0)</f>
        <v>0</v>
      </c>
      <c r="Q95" s="365">
        <f>VLOOKUP($E95,'7. PGE_Efficacité'!$A$6:$BT$266,(MATCH('4.3 ACE EFF CAN'!Q$4,'7. PGE_Efficacité'!$A$4:$BU$4,0)+31),0)</f>
        <v>0</v>
      </c>
      <c r="R95" s="365">
        <f>VLOOKUP($E95,'7. PGE_Efficacité'!$A$6:$BT$266,(MATCH('4.3 ACE EFF CAN'!R$4,'7. PGE_Efficacité'!$A$4:$BU$4,0)+31),0)</f>
        <v>0</v>
      </c>
      <c r="S95" s="365">
        <f>VLOOKUP($E95,'7. PGE_Efficacité'!$A$6:$BT$266,(MATCH('4.3 ACE EFF CAN'!S$4,'7. PGE_Efficacité'!$A$4:$BU$4,0)+31),0)</f>
        <v>0</v>
      </c>
      <c r="T95" s="365">
        <f>VLOOKUP($E95,'7. PGE_Efficacité'!$A$6:$BT$266,(MATCH('4.3 ACE EFF CAN'!T$4,'7. PGE_Efficacité'!$A$4:$BU$4,0)+31),0)</f>
        <v>0</v>
      </c>
      <c r="U95" s="365">
        <f>VLOOKUP($E95,'7. PGE_Efficacité'!$A$6:$BT$266,(MATCH('4.3 ACE EFF CAN'!U$4,'7. PGE_Efficacité'!$A$4:$BU$4,0)+31),0)</f>
        <v>0</v>
      </c>
      <c r="V95" s="365">
        <f>VLOOKUP($E95,'7. PGE_Efficacité'!$A$6:$BT$266,(MATCH('4.3 ACE EFF CAN'!V$4,'7. PGE_Efficacité'!$A$4:$BU$4,0)+31),0)</f>
        <v>0</v>
      </c>
      <c r="W95" s="365">
        <f>VLOOKUP($E95,'7. PGE_Efficacité'!$A$6:$BT$266,(MATCH('4.3 ACE EFF CAN'!W$4,'7. PGE_Efficacité'!$A$4:$BU$4,0)+31),0)</f>
        <v>0</v>
      </c>
      <c r="X95" s="365">
        <f>VLOOKUP($E95,'7. PGE_Efficacité'!$A$6:$BT$266,(MATCH('4.3 ACE EFF CAN'!X$4,'7. PGE_Efficacité'!$A$4:$BU$4,0)+31),0)</f>
        <v>0</v>
      </c>
      <c r="Y95" s="365">
        <f>VLOOKUP($E95,'7. PGE_Efficacité'!$A$6:$BT$266,(MATCH('4.3 ACE EFF CAN'!Y$4,'7. PGE_Efficacité'!$A$4:$BU$4,0)+31),0)</f>
        <v>0</v>
      </c>
      <c r="Z95" s="365">
        <f>VLOOKUP($E95,'7. PGE_Efficacité'!$A$6:$BT$266,(MATCH('4.3 ACE EFF CAN'!Z$4,'7. PGE_Efficacité'!$A$4:$BU$4,0)+31),0)</f>
        <v>0</v>
      </c>
      <c r="AA95" s="365">
        <f>VLOOKUP($E95,'7. PGE_Efficacité'!$A$6:$BT$266,(MATCH('4.3 ACE EFF CAN'!AA$4,'7. PGE_Efficacité'!$A$4:$BU$4,0)+31),0)</f>
        <v>0</v>
      </c>
      <c r="AB95" s="365">
        <f>VLOOKUP($E95,'7. PGE_Efficacité'!$A$6:$BT$266,(MATCH('4.3 ACE EFF CAN'!AB$4,'7. PGE_Efficacité'!$A$4:$BU$4,0)+31),0)</f>
        <v>0</v>
      </c>
      <c r="AC95" s="365">
        <f>VLOOKUP($E95,'7. PGE_Efficacité'!$A$6:$BT$266,(MATCH('4.3 ACE EFF CAN'!AC$4,'7. PGE_Efficacité'!$A$4:$BU$4,0)+31),0)</f>
        <v>0</v>
      </c>
      <c r="AD95" s="365">
        <f>VLOOKUP($E95,'7. PGE_Efficacité'!$A$6:$BT$266,(MATCH('4.3 ACE EFF CAN'!AD$4,'7. PGE_Efficacité'!$A$4:$BU$4,0)+31),0)</f>
        <v>0</v>
      </c>
      <c r="AE95" s="365">
        <f>VLOOKUP($E95,'7. PGE_Efficacité'!$A$6:$BT$266,(MATCH('4.3 ACE EFF CAN'!AE$4,'7. PGE_Efficacité'!$A$4:$BU$4,0)+31),0)</f>
        <v>0</v>
      </c>
      <c r="AF95" s="365">
        <f>VLOOKUP($E95,'7. PGE_Efficacité'!$A$6:$BT$266,(MATCH('4.3 ACE EFF CAN'!AF$4,'7. PGE_Efficacité'!$A$4:$BU$4,0)+31),0)</f>
        <v>0</v>
      </c>
      <c r="AG95" s="365">
        <f>VLOOKUP($E95,'7. PGE_Efficacité'!$A$6:$BT$266,(MATCH('4.3 ACE EFF CAN'!AG$4,'7. PGE_Efficacité'!$A$4:$BU$4,0)+31),0)</f>
        <v>0</v>
      </c>
      <c r="AH95" s="365">
        <f>VLOOKUP($E95,'7. PGE_Efficacité'!$A$6:$BT$266,(MATCH('4.3 ACE EFF CAN'!AH$4,'7. PGE_Efficacité'!$A$4:$BU$4,0)+31),0)</f>
        <v>0</v>
      </c>
      <c r="AI95" s="365">
        <f>VLOOKUP($E95,'7. PGE_Efficacité'!$A$6:$BT$266,(MATCH('4.3 ACE EFF CAN'!AI$4,'7. PGE_Efficacité'!$A$4:$BU$4,0)+31),0)</f>
        <v>0</v>
      </c>
      <c r="AJ95" s="365">
        <f>VLOOKUP($E95,'7. PGE_Efficacité'!$A$6:$BT$266,(MATCH('4.3 ACE EFF CAN'!AJ$4,'7. PGE_Efficacité'!$A$4:$BU$4,0)+31),0)</f>
        <v>0</v>
      </c>
      <c r="AK95" s="365">
        <f>VLOOKUP($E95,'7. PGE_Efficacité'!$A$6:$BT$266,(MATCH('4.3 ACE EFF CAN'!AK$4,'7. PGE_Efficacité'!$A$4:$BU$4,0)+31),0)</f>
        <v>0</v>
      </c>
      <c r="AL95" s="365">
        <f>VLOOKUP($E95,'7. PGE_Efficacité'!$A$6:$BT$266,(MATCH('4.3 ACE EFF CAN'!AL$4,'7. PGE_Efficacité'!$A$4:$BU$4,0)+31),0)</f>
        <v>0</v>
      </c>
      <c r="AM95" s="365">
        <f>VLOOKUP($E95,'7. PGE_Efficacité'!$A$6:$BT$266,(MATCH('4.3 ACE EFF CAN'!AM$4,'7. PGE_Efficacité'!$A$4:$BU$4,0)+31),0)</f>
        <v>0</v>
      </c>
      <c r="AN95" s="365">
        <f>VLOOKUP($E95,'7. PGE_Efficacité'!$A$6:$BT$266,(MATCH('4.3 ACE EFF CAN'!AN$4,'7. PGE_Efficacité'!$A$4:$BU$4,0)+31),0)</f>
        <v>0</v>
      </c>
    </row>
    <row r="96" spans="1:40" outlineLevel="2" x14ac:dyDescent="0.25">
      <c r="A96" s="154" t="s">
        <v>1524</v>
      </c>
      <c r="B96" s="154">
        <v>17</v>
      </c>
      <c r="C96" s="154" t="s">
        <v>1528</v>
      </c>
      <c r="D96" s="330" t="s">
        <v>16</v>
      </c>
      <c r="E96" s="330" t="s">
        <v>688</v>
      </c>
      <c r="F96" s="330" t="s">
        <v>1348</v>
      </c>
      <c r="G96" s="330" t="s">
        <v>1521</v>
      </c>
      <c r="H96" s="330" t="s">
        <v>1287</v>
      </c>
      <c r="I96" s="364">
        <v>0</v>
      </c>
      <c r="J96" s="365">
        <f>VLOOKUP($E96,'7. PGE_Efficacité'!$A$6:$BT$266,(MATCH('4.3 ACE EFF CAN'!J$4,'7. PGE_Efficacité'!$A$4:$BU$4,0)+31),0)</f>
        <v>0</v>
      </c>
      <c r="K96" s="365">
        <f>VLOOKUP($E96,'7. PGE_Efficacité'!$A$6:$BT$266,(MATCH('4.3 ACE EFF CAN'!K$4,'7. PGE_Efficacité'!$A$4:$BU$4,0)+31),0)</f>
        <v>0</v>
      </c>
      <c r="L96" s="365">
        <f>VLOOKUP($E96,'7. PGE_Efficacité'!$A$6:$BT$266,(MATCH('4.3 ACE EFF CAN'!L$4,'7. PGE_Efficacité'!$A$4:$BU$4,0)+31),0)</f>
        <v>0</v>
      </c>
      <c r="M96" s="365">
        <f>VLOOKUP($E96,'7. PGE_Efficacité'!$A$6:$BT$266,(MATCH('4.3 ACE EFF CAN'!M$4,'7. PGE_Efficacité'!$A$4:$BU$4,0)+31),0)</f>
        <v>0</v>
      </c>
      <c r="N96" s="365">
        <f>VLOOKUP($E96,'7. PGE_Efficacité'!$A$6:$BT$266,(MATCH('4.3 ACE EFF CAN'!N$4,'7. PGE_Efficacité'!$A$4:$BU$4,0)+31),0)</f>
        <v>0</v>
      </c>
      <c r="O96" s="365">
        <f>VLOOKUP($E96,'7. PGE_Efficacité'!$A$6:$BT$266,(MATCH('4.3 ACE EFF CAN'!O$4,'7. PGE_Efficacité'!$A$4:$BU$4,0)+31),0)</f>
        <v>0</v>
      </c>
      <c r="P96" s="365">
        <f>VLOOKUP($E96,'7. PGE_Efficacité'!$A$6:$BT$266,(MATCH('4.3 ACE EFF CAN'!P$4,'7. PGE_Efficacité'!$A$4:$BU$4,0)+31),0)</f>
        <v>0</v>
      </c>
      <c r="Q96" s="365">
        <f>VLOOKUP($E96,'7. PGE_Efficacité'!$A$6:$BT$266,(MATCH('4.3 ACE EFF CAN'!Q$4,'7. PGE_Efficacité'!$A$4:$BU$4,0)+31),0)</f>
        <v>0</v>
      </c>
      <c r="R96" s="365">
        <f>VLOOKUP($E96,'7. PGE_Efficacité'!$A$6:$BT$266,(MATCH('4.3 ACE EFF CAN'!R$4,'7. PGE_Efficacité'!$A$4:$BU$4,0)+31),0)</f>
        <v>0</v>
      </c>
      <c r="S96" s="365">
        <f>VLOOKUP($E96,'7. PGE_Efficacité'!$A$6:$BT$266,(MATCH('4.3 ACE EFF CAN'!S$4,'7. PGE_Efficacité'!$A$4:$BU$4,0)+31),0)</f>
        <v>0</v>
      </c>
      <c r="T96" s="365">
        <f>VLOOKUP($E96,'7. PGE_Efficacité'!$A$6:$BT$266,(MATCH('4.3 ACE EFF CAN'!T$4,'7. PGE_Efficacité'!$A$4:$BU$4,0)+31),0)</f>
        <v>0</v>
      </c>
      <c r="U96" s="365">
        <f>VLOOKUP($E96,'7. PGE_Efficacité'!$A$6:$BT$266,(MATCH('4.3 ACE EFF CAN'!U$4,'7. PGE_Efficacité'!$A$4:$BU$4,0)+31),0)</f>
        <v>0</v>
      </c>
      <c r="V96" s="365">
        <f>VLOOKUP($E96,'7. PGE_Efficacité'!$A$6:$BT$266,(MATCH('4.3 ACE EFF CAN'!V$4,'7. PGE_Efficacité'!$A$4:$BU$4,0)+31),0)</f>
        <v>0</v>
      </c>
      <c r="W96" s="365">
        <f>VLOOKUP($E96,'7. PGE_Efficacité'!$A$6:$BT$266,(MATCH('4.3 ACE EFF CAN'!W$4,'7. PGE_Efficacité'!$A$4:$BU$4,0)+31),0)</f>
        <v>0</v>
      </c>
      <c r="X96" s="365">
        <f>VLOOKUP($E96,'7. PGE_Efficacité'!$A$6:$BT$266,(MATCH('4.3 ACE EFF CAN'!X$4,'7. PGE_Efficacité'!$A$4:$BU$4,0)+31),0)</f>
        <v>0</v>
      </c>
      <c r="Y96" s="365">
        <f>VLOOKUP($E96,'7. PGE_Efficacité'!$A$6:$BT$266,(MATCH('4.3 ACE EFF CAN'!Y$4,'7. PGE_Efficacité'!$A$4:$BU$4,0)+31),0)</f>
        <v>0</v>
      </c>
      <c r="Z96" s="365">
        <f>VLOOKUP($E96,'7. PGE_Efficacité'!$A$6:$BT$266,(MATCH('4.3 ACE EFF CAN'!Z$4,'7. PGE_Efficacité'!$A$4:$BU$4,0)+31),0)</f>
        <v>0</v>
      </c>
      <c r="AA96" s="365">
        <f>VLOOKUP($E96,'7. PGE_Efficacité'!$A$6:$BT$266,(MATCH('4.3 ACE EFF CAN'!AA$4,'7. PGE_Efficacité'!$A$4:$BU$4,0)+31),0)</f>
        <v>0</v>
      </c>
      <c r="AB96" s="365">
        <f>VLOOKUP($E96,'7. PGE_Efficacité'!$A$6:$BT$266,(MATCH('4.3 ACE EFF CAN'!AB$4,'7. PGE_Efficacité'!$A$4:$BU$4,0)+31),0)</f>
        <v>0</v>
      </c>
      <c r="AC96" s="365">
        <f>VLOOKUP($E96,'7. PGE_Efficacité'!$A$6:$BT$266,(MATCH('4.3 ACE EFF CAN'!AC$4,'7. PGE_Efficacité'!$A$4:$BU$4,0)+31),0)</f>
        <v>0</v>
      </c>
      <c r="AD96" s="365">
        <f>VLOOKUP($E96,'7. PGE_Efficacité'!$A$6:$BT$266,(MATCH('4.3 ACE EFF CAN'!AD$4,'7. PGE_Efficacité'!$A$4:$BU$4,0)+31),0)</f>
        <v>0</v>
      </c>
      <c r="AE96" s="365">
        <f>VLOOKUP($E96,'7. PGE_Efficacité'!$A$6:$BT$266,(MATCH('4.3 ACE EFF CAN'!AE$4,'7. PGE_Efficacité'!$A$4:$BU$4,0)+31),0)</f>
        <v>0</v>
      </c>
      <c r="AF96" s="365">
        <f>VLOOKUP($E96,'7. PGE_Efficacité'!$A$6:$BT$266,(MATCH('4.3 ACE EFF CAN'!AF$4,'7. PGE_Efficacité'!$A$4:$BU$4,0)+31),0)</f>
        <v>0</v>
      </c>
      <c r="AG96" s="365">
        <f>VLOOKUP($E96,'7. PGE_Efficacité'!$A$6:$BT$266,(MATCH('4.3 ACE EFF CAN'!AG$4,'7. PGE_Efficacité'!$A$4:$BU$4,0)+31),0)</f>
        <v>0</v>
      </c>
      <c r="AH96" s="365">
        <f>VLOOKUP($E96,'7. PGE_Efficacité'!$A$6:$BT$266,(MATCH('4.3 ACE EFF CAN'!AH$4,'7. PGE_Efficacité'!$A$4:$BU$4,0)+31),0)</f>
        <v>0</v>
      </c>
      <c r="AI96" s="365">
        <f>VLOOKUP($E96,'7. PGE_Efficacité'!$A$6:$BT$266,(MATCH('4.3 ACE EFF CAN'!AI$4,'7. PGE_Efficacité'!$A$4:$BU$4,0)+31),0)</f>
        <v>0</v>
      </c>
      <c r="AJ96" s="365">
        <f>VLOOKUP($E96,'7. PGE_Efficacité'!$A$6:$BT$266,(MATCH('4.3 ACE EFF CAN'!AJ$4,'7. PGE_Efficacité'!$A$4:$BU$4,0)+31),0)</f>
        <v>0</v>
      </c>
      <c r="AK96" s="365">
        <f>VLOOKUP($E96,'7. PGE_Efficacité'!$A$6:$BT$266,(MATCH('4.3 ACE EFF CAN'!AK$4,'7. PGE_Efficacité'!$A$4:$BU$4,0)+31),0)</f>
        <v>0</v>
      </c>
      <c r="AL96" s="365">
        <f>VLOOKUP($E96,'7. PGE_Efficacité'!$A$6:$BT$266,(MATCH('4.3 ACE EFF CAN'!AL$4,'7. PGE_Efficacité'!$A$4:$BU$4,0)+31),0)</f>
        <v>0</v>
      </c>
      <c r="AM96" s="365">
        <f>VLOOKUP($E96,'7. PGE_Efficacité'!$A$6:$BT$266,(MATCH('4.3 ACE EFF CAN'!AM$4,'7. PGE_Efficacité'!$A$4:$BU$4,0)+31),0)</f>
        <v>0</v>
      </c>
      <c r="AN96" s="365">
        <f>VLOOKUP($E96,'7. PGE_Efficacité'!$A$6:$BT$266,(MATCH('4.3 ACE EFF CAN'!AN$4,'7. PGE_Efficacité'!$A$4:$BU$4,0)+31),0)</f>
        <v>0</v>
      </c>
    </row>
    <row r="97" spans="1:40" ht="31.9" customHeight="1" outlineLevel="1" x14ac:dyDescent="0.25">
      <c r="A97" s="154"/>
      <c r="B97" s="154"/>
      <c r="C97" s="154"/>
      <c r="D97" s="360" t="s">
        <v>18</v>
      </c>
      <c r="E97" s="360"/>
      <c r="F97" s="361" t="str">
        <f>VLOOKUP(D97,'1. Mesures'!$A$2:$B$116,2,0)</f>
        <v xml:space="preserve">Lutter contre les décharges de matériaux autour et dans le Canal et assurer le dragage et l'élimination des sédiments pollués </v>
      </c>
      <c r="G97" s="360"/>
      <c r="H97" s="360"/>
      <c r="I97" s="362">
        <f>SUBTOTAL(9,I98:I108)</f>
        <v>11109480</v>
      </c>
      <c r="J97" s="367">
        <f>VLOOKUP($D97,'7. PGE_Efficacité'!$A$6:$BT$266,(MATCH('4.3 ACE EFF CAN'!J$4,'7. PGE_Efficacité'!$A$4:$AO$4,0)+31),0)</f>
        <v>0</v>
      </c>
      <c r="K97" s="367" t="str">
        <f>VLOOKUP($D97,'7. PGE_Efficacité'!$A$6:$BT$266,(MATCH('4.3 ACE EFF CAN'!K$4,'7. PGE_Efficacité'!$A$4:$AO$4,0)+31),0)</f>
        <v>++</v>
      </c>
      <c r="L97" s="367" t="str">
        <f>VLOOKUP($D97,'7. PGE_Efficacité'!$A$6:$BT$266,(MATCH('4.3 ACE EFF CAN'!L$4,'7. PGE_Efficacité'!$A$4:$AO$4,0)+31),0)</f>
        <v>++</v>
      </c>
      <c r="M97" s="367" t="str">
        <f>VLOOKUP($D97,'7. PGE_Efficacité'!$A$6:$BT$266,(MATCH('4.3 ACE EFF CAN'!M$4,'7. PGE_Efficacité'!$A$4:$AO$4,0)+31),0)</f>
        <v>++</v>
      </c>
      <c r="N97" s="367" t="str">
        <f>VLOOKUP($D97,'7. PGE_Efficacité'!$A$6:$BT$266,(MATCH('4.3 ACE EFF CAN'!N$4,'7. PGE_Efficacité'!$A$4:$AO$4,0)+31),0)</f>
        <v>++</v>
      </c>
      <c r="O97" s="367" t="str">
        <f>VLOOKUP($D97,'7. PGE_Efficacité'!$A$6:$BT$266,47,0)</f>
        <v>++</v>
      </c>
      <c r="P97" s="367">
        <f>VLOOKUP($D97,'7. PGE_Efficacité'!$A$6:$BT$266,(MATCH('4.3 ACE EFF CAN'!P$4,'7. PGE_Efficacité'!$A$4:$AO$4,0)+31),0)</f>
        <v>0</v>
      </c>
      <c r="Q97" s="367" t="str">
        <f>VLOOKUP($D97,'7. PGE_Efficacité'!$A$6:$BT$266,(MATCH('4.3 ACE EFF CAN'!Q$4,'7. PGE_Efficacité'!$A$4:$AO$4,0)+31),0)</f>
        <v>++</v>
      </c>
      <c r="R97" s="367" t="str">
        <f>VLOOKUP($D97,'7. PGE_Efficacité'!$A$6:$BT$266,(MATCH('4.3 ACE EFF CAN'!R$4,'7. PGE_Efficacité'!$A$4:$AO$4,0)+31),0)</f>
        <v>++</v>
      </c>
      <c r="S97" s="367">
        <f>VLOOKUP($D97,'7. PGE_Efficacité'!$A$6:$BT$266,(MATCH('4.3 ACE EFF CAN'!S$4,'7. PGE_Efficacité'!$A$4:$AO$4,0)+31),0)</f>
        <v>0</v>
      </c>
      <c r="T97" s="367" t="str">
        <f>VLOOKUP($D97,'7. PGE_Efficacité'!$A$6:$BT$266,(MATCH('4.3 ACE EFF CAN'!T$4,'7. PGE_Efficacité'!$A$4:$AO$4,0)+31),0)</f>
        <v>++</v>
      </c>
      <c r="U97" s="367" t="str">
        <f>VLOOKUP($D97,'7. PGE_Efficacité'!$A$6:$BT$266,(MATCH('4.3 ACE EFF CAN'!U$4,'7. PGE_Efficacité'!$A$4:$AO$4,0)+31),0)</f>
        <v>++</v>
      </c>
      <c r="V97" s="367" t="str">
        <f>VLOOKUP($D97,'7. PGE_Efficacité'!$A$6:$BT$266,(MATCH('4.3 ACE EFF CAN'!V$4,'7. PGE_Efficacité'!$A$4:$AO$4,0)+31),0)</f>
        <v>++</v>
      </c>
      <c r="W97" s="367" t="str">
        <f>VLOOKUP($D97,'7. PGE_Efficacité'!$A$6:$BT$266,(MATCH('4.3 ACE EFF CAN'!W$4,'7. PGE_Efficacité'!$A$4:$AO$4,0)+31),0)</f>
        <v>++</v>
      </c>
      <c r="X97" s="367">
        <f>VLOOKUP($D97,'7. PGE_Efficacité'!$A$6:$BT$266,(MATCH('4.3 ACE EFF CAN'!X$4,'7. PGE_Efficacité'!$A$4:$AO$4,0)+31),0)</f>
        <v>0</v>
      </c>
      <c r="Y97" s="367" t="str">
        <f>VLOOKUP($D97,'7. PGE_Efficacité'!$A$6:$BT$266,(MATCH('4.3 ACE EFF CAN'!Y$4,'7. PGE_Efficacité'!$A$4:$AO$4,0)+31),0)</f>
        <v>++</v>
      </c>
      <c r="Z97" s="367" t="str">
        <f>VLOOKUP($D97,'7. PGE_Efficacité'!$A$6:$BT$266,(MATCH('4.3 ACE EFF CAN'!Z$4,'7. PGE_Efficacité'!$A$4:$AO$4,0)+31),0)</f>
        <v>++</v>
      </c>
      <c r="AA97" s="367">
        <f>VLOOKUP($D97,'7. PGE_Efficacité'!$A$6:$BT$266,(MATCH('4.3 ACE EFF CAN'!AA$4,'7. PGE_Efficacité'!$A$4:$AO$4,0)+31),0)</f>
        <v>0</v>
      </c>
      <c r="AB97" s="367">
        <f>VLOOKUP($D97,'7. PGE_Efficacité'!$A$6:$BT$266,(MATCH('4.3 ACE EFF CAN'!AB$4,'7. PGE_Efficacité'!$A$4:$AO$4,0)+31),0)</f>
        <v>0</v>
      </c>
      <c r="AC97" s="367">
        <f>VLOOKUP($D97,'7. PGE_Efficacité'!$A$6:$BT$266,(MATCH('4.3 ACE EFF CAN'!AC$4,'7. PGE_Efficacité'!$A$4:$AO$4,0)+31),0)</f>
        <v>0</v>
      </c>
      <c r="AD97" s="367">
        <f>VLOOKUP($D97,'7. PGE_Efficacité'!$A$6:$BT$266,(MATCH('4.3 ACE EFF CAN'!AD$4,'7. PGE_Efficacité'!$A$4:$AO$4,0)+31),0)</f>
        <v>0</v>
      </c>
      <c r="AE97" s="367">
        <f>VLOOKUP($D97,'7. PGE_Efficacité'!$A$6:$BT$266,(MATCH('4.3 ACE EFF CAN'!AE$4,'7. PGE_Efficacité'!$A$4:$AO$4,0)+31),0)</f>
        <v>0</v>
      </c>
      <c r="AF97" s="367">
        <f>VLOOKUP($D97,'7. PGE_Efficacité'!$A$6:$BT$266,(MATCH('4.3 ACE EFF CAN'!AF$4,'7. PGE_Efficacité'!$A$4:$AO$4,0)+31),0)</f>
        <v>0</v>
      </c>
      <c r="AG97" s="367">
        <f>VLOOKUP($D97,'7. PGE_Efficacité'!$A$6:$BT$266,(MATCH('4.3 ACE EFF CAN'!AG$4,'7. PGE_Efficacité'!$A$4:$AO$4,0)+31),0)</f>
        <v>0</v>
      </c>
      <c r="AH97" s="367">
        <f>VLOOKUP($D97,'7. PGE_Efficacité'!$A$6:$BT$266,(MATCH('4.3 ACE EFF CAN'!AH$4,'7. PGE_Efficacité'!$A$4:$AO$4,0)+31),0)</f>
        <v>0</v>
      </c>
      <c r="AI97" s="367">
        <f>VLOOKUP($D97,'7. PGE_Efficacité'!$A$6:$BT$266,(MATCH('4.3 ACE EFF CAN'!AI$4,'7. PGE_Efficacité'!$A$4:$AO$4,0)+31),0)</f>
        <v>0</v>
      </c>
      <c r="AJ97" s="367">
        <f>VLOOKUP($D97,'7. PGE_Efficacité'!$A$6:$BT$266,(MATCH('4.3 ACE EFF CAN'!AJ$4,'7. PGE_Efficacité'!$A$4:$AO$4,0)+31),0)</f>
        <v>0</v>
      </c>
      <c r="AK97" s="367" t="str">
        <f>VLOOKUP($D97,'7. PGE_Efficacité'!$A$6:$BT$266,(MATCH('4.3 ACE EFF CAN'!AK$4,'7. PGE_Efficacité'!$A$4:$AO$4,0)+31),0)</f>
        <v>+</v>
      </c>
      <c r="AL97" s="367">
        <f>VLOOKUP($D97,'7. PGE_Efficacité'!$A$6:$BT$266,(MATCH('4.3 ACE EFF CAN'!AL$4,'7. PGE_Efficacité'!$A$4:$AO$4,0)+31),0)</f>
        <v>0</v>
      </c>
      <c r="AM97" s="367" t="str">
        <f>VLOOKUP($D97,'7. PGE_Efficacité'!$A$6:$BT$266,(MATCH('4.3 ACE EFF CAN'!AM$4,'7. PGE_Efficacité'!$A$4:$AO$4,0)+31),0)</f>
        <v>+</v>
      </c>
      <c r="AN97" s="367" t="str">
        <f>VLOOKUP($D97,'7. PGE_Efficacité'!$A$6:$BT$266,(MATCH('4.3 ACE EFF CAN'!AN$4,'7. PGE_Efficacité'!$A$4:$AO$4,0)+31),0)</f>
        <v>+</v>
      </c>
    </row>
    <row r="98" spans="1:40" outlineLevel="2" x14ac:dyDescent="0.25">
      <c r="A98" s="154" t="s">
        <v>1524</v>
      </c>
      <c r="B98" s="154">
        <v>18</v>
      </c>
      <c r="C98" s="154" t="s">
        <v>1524</v>
      </c>
      <c r="D98" s="330" t="s">
        <v>18</v>
      </c>
      <c r="E98" s="330" t="s">
        <v>689</v>
      </c>
      <c r="F98" s="330" t="s">
        <v>1349</v>
      </c>
      <c r="G98" s="330" t="s">
        <v>1520</v>
      </c>
      <c r="H98" s="330" t="s">
        <v>414</v>
      </c>
      <c r="I98" s="364">
        <v>153480</v>
      </c>
      <c r="J98" s="365">
        <f>VLOOKUP($E98,'7. PGE_Efficacité'!$A$6:$BT$266,(MATCH('4.3 ACE EFF CAN'!J$4,'7. PGE_Efficacité'!$A$4:$BU$4,0)+31),0)</f>
        <v>0</v>
      </c>
      <c r="K98" s="365">
        <f>VLOOKUP($E98,'7. PGE_Efficacité'!$A$6:$BT$266,(MATCH('4.3 ACE EFF CAN'!K$4,'7. PGE_Efficacité'!$A$4:$BU$4,0)+31),0)</f>
        <v>0</v>
      </c>
      <c r="L98" s="365">
        <f>VLOOKUP($E98,'7. PGE_Efficacité'!$A$6:$BT$266,(MATCH('4.3 ACE EFF CAN'!L$4,'7. PGE_Efficacité'!$A$4:$BU$4,0)+31),0)</f>
        <v>0</v>
      </c>
      <c r="M98" s="365">
        <f>VLOOKUP($E98,'7. PGE_Efficacité'!$A$6:$BT$266,(MATCH('4.3 ACE EFF CAN'!M$4,'7. PGE_Efficacité'!$A$4:$BU$4,0)+31),0)</f>
        <v>0</v>
      </c>
      <c r="N98" s="365">
        <f>VLOOKUP($E98,'7. PGE_Efficacité'!$A$6:$BT$266,(MATCH('4.3 ACE EFF CAN'!N$4,'7. PGE_Efficacité'!$A$4:$BU$4,0)+31),0)</f>
        <v>0</v>
      </c>
      <c r="O98" s="365">
        <f>VLOOKUP($E98,'7. PGE_Efficacité'!$A$6:$BT$266,(MATCH('4.3 ACE EFF CAN'!O$4,'7. PGE_Efficacité'!$A$4:$BU$4,0)+31),0)</f>
        <v>0</v>
      </c>
      <c r="P98" s="365">
        <f>VLOOKUP($E98,'7. PGE_Efficacité'!$A$6:$BT$266,(MATCH('4.3 ACE EFF CAN'!P$4,'7. PGE_Efficacité'!$A$4:$BU$4,0)+31),0)</f>
        <v>0</v>
      </c>
      <c r="Q98" s="365">
        <f>VLOOKUP($E98,'7. PGE_Efficacité'!$A$6:$BT$266,(MATCH('4.3 ACE EFF CAN'!Q$4,'7. PGE_Efficacité'!$A$4:$BU$4,0)+31),0)</f>
        <v>0</v>
      </c>
      <c r="R98" s="365">
        <f>VLOOKUP($E98,'7. PGE_Efficacité'!$A$6:$BT$266,(MATCH('4.3 ACE EFF CAN'!R$4,'7. PGE_Efficacité'!$A$4:$BU$4,0)+31),0)</f>
        <v>0</v>
      </c>
      <c r="S98" s="365">
        <f>VLOOKUP($E98,'7. PGE_Efficacité'!$A$6:$BT$266,(MATCH('4.3 ACE EFF CAN'!S$4,'7. PGE_Efficacité'!$A$4:$BU$4,0)+31),0)</f>
        <v>0</v>
      </c>
      <c r="T98" s="365">
        <f>VLOOKUP($E98,'7. PGE_Efficacité'!$A$6:$BT$266,(MATCH('4.3 ACE EFF CAN'!T$4,'7. PGE_Efficacité'!$A$4:$BU$4,0)+31),0)</f>
        <v>0</v>
      </c>
      <c r="U98" s="365">
        <f>VLOOKUP($E98,'7. PGE_Efficacité'!$A$6:$BT$266,(MATCH('4.3 ACE EFF CAN'!U$4,'7. PGE_Efficacité'!$A$4:$BU$4,0)+31),0)</f>
        <v>0</v>
      </c>
      <c r="V98" s="365">
        <f>VLOOKUP($E98,'7. PGE_Efficacité'!$A$6:$BT$266,(MATCH('4.3 ACE EFF CAN'!V$4,'7. PGE_Efficacité'!$A$4:$BU$4,0)+31),0)</f>
        <v>0</v>
      </c>
      <c r="W98" s="365">
        <f>VLOOKUP($E98,'7. PGE_Efficacité'!$A$6:$BT$266,(MATCH('4.3 ACE EFF CAN'!W$4,'7. PGE_Efficacité'!$A$4:$BU$4,0)+31),0)</f>
        <v>0</v>
      </c>
      <c r="X98" s="365">
        <f>VLOOKUP($E98,'7. PGE_Efficacité'!$A$6:$BT$266,(MATCH('4.3 ACE EFF CAN'!X$4,'7. PGE_Efficacité'!$A$4:$BU$4,0)+31),0)</f>
        <v>0</v>
      </c>
      <c r="Y98" s="365">
        <f>VLOOKUP($E98,'7. PGE_Efficacité'!$A$6:$BT$266,(MATCH('4.3 ACE EFF CAN'!Y$4,'7. PGE_Efficacité'!$A$4:$BU$4,0)+31),0)</f>
        <v>0</v>
      </c>
      <c r="Z98" s="365">
        <f>VLOOKUP($E98,'7. PGE_Efficacité'!$A$6:$BT$266,(MATCH('4.3 ACE EFF CAN'!Z$4,'7. PGE_Efficacité'!$A$4:$BU$4,0)+31),0)</f>
        <v>0</v>
      </c>
      <c r="AA98" s="365">
        <f>VLOOKUP($E98,'7. PGE_Efficacité'!$A$6:$BT$266,(MATCH('4.3 ACE EFF CAN'!AA$4,'7. PGE_Efficacité'!$A$4:$BU$4,0)+31),0)</f>
        <v>0</v>
      </c>
      <c r="AB98" s="365">
        <f>VLOOKUP($E98,'7. PGE_Efficacité'!$A$6:$BT$266,(MATCH('4.3 ACE EFF CAN'!AB$4,'7. PGE_Efficacité'!$A$4:$BU$4,0)+31),0)</f>
        <v>0</v>
      </c>
      <c r="AC98" s="365">
        <f>VLOOKUP($E98,'7. PGE_Efficacité'!$A$6:$BT$266,(MATCH('4.3 ACE EFF CAN'!AC$4,'7. PGE_Efficacité'!$A$4:$BU$4,0)+31),0)</f>
        <v>0</v>
      </c>
      <c r="AD98" s="365">
        <f>VLOOKUP($E98,'7. PGE_Efficacité'!$A$6:$BT$266,(MATCH('4.3 ACE EFF CAN'!AD$4,'7. PGE_Efficacité'!$A$4:$BU$4,0)+31),0)</f>
        <v>0</v>
      </c>
      <c r="AE98" s="365">
        <f>VLOOKUP($E98,'7. PGE_Efficacité'!$A$6:$BT$266,(MATCH('4.3 ACE EFF CAN'!AE$4,'7. PGE_Efficacité'!$A$4:$BU$4,0)+31),0)</f>
        <v>0</v>
      </c>
      <c r="AF98" s="365">
        <f>VLOOKUP($E98,'7. PGE_Efficacité'!$A$6:$BT$266,(MATCH('4.3 ACE EFF CAN'!AF$4,'7. PGE_Efficacité'!$A$4:$BU$4,0)+31),0)</f>
        <v>0</v>
      </c>
      <c r="AG98" s="365">
        <f>VLOOKUP($E98,'7. PGE_Efficacité'!$A$6:$BT$266,(MATCH('4.3 ACE EFF CAN'!AG$4,'7. PGE_Efficacité'!$A$4:$BU$4,0)+31),0)</f>
        <v>0</v>
      </c>
      <c r="AH98" s="365">
        <f>VLOOKUP($E98,'7. PGE_Efficacité'!$A$6:$BT$266,(MATCH('4.3 ACE EFF CAN'!AH$4,'7. PGE_Efficacité'!$A$4:$BU$4,0)+31),0)</f>
        <v>0</v>
      </c>
      <c r="AI98" s="365">
        <f>VLOOKUP($E98,'7. PGE_Efficacité'!$A$6:$BT$266,(MATCH('4.3 ACE EFF CAN'!AI$4,'7. PGE_Efficacité'!$A$4:$BU$4,0)+31),0)</f>
        <v>0</v>
      </c>
      <c r="AJ98" s="365">
        <f>VLOOKUP($E98,'7. PGE_Efficacité'!$A$6:$BT$266,(MATCH('4.3 ACE EFF CAN'!AJ$4,'7. PGE_Efficacité'!$A$4:$BU$4,0)+31),0)</f>
        <v>0</v>
      </c>
      <c r="AK98" s="365">
        <f>VLOOKUP($E98,'7. PGE_Efficacité'!$A$6:$BT$266,(MATCH('4.3 ACE EFF CAN'!AK$4,'7. PGE_Efficacité'!$A$4:$BU$4,0)+31),0)</f>
        <v>0</v>
      </c>
      <c r="AL98" s="365">
        <f>VLOOKUP($E98,'7. PGE_Efficacité'!$A$6:$BT$266,(MATCH('4.3 ACE EFF CAN'!AL$4,'7. PGE_Efficacité'!$A$4:$BU$4,0)+31),0)</f>
        <v>0</v>
      </c>
      <c r="AM98" s="365">
        <f>VLOOKUP($E98,'7. PGE_Efficacité'!$A$6:$BT$266,(MATCH('4.3 ACE EFF CAN'!AM$4,'7. PGE_Efficacité'!$A$4:$BU$4,0)+31),0)</f>
        <v>0</v>
      </c>
      <c r="AN98" s="365">
        <f>VLOOKUP($E98,'7. PGE_Efficacité'!$A$6:$BT$266,(MATCH('4.3 ACE EFF CAN'!AN$4,'7. PGE_Efficacité'!$A$4:$BU$4,0)+31),0)</f>
        <v>0</v>
      </c>
    </row>
    <row r="99" spans="1:40" outlineLevel="2" x14ac:dyDescent="0.25">
      <c r="A99" s="154" t="s">
        <v>1524</v>
      </c>
      <c r="B99" s="154">
        <v>18</v>
      </c>
      <c r="C99" s="154" t="s">
        <v>1525</v>
      </c>
      <c r="D99" s="330" t="s">
        <v>18</v>
      </c>
      <c r="E99" s="330" t="s">
        <v>691</v>
      </c>
      <c r="F99" s="330" t="s">
        <v>1351</v>
      </c>
      <c r="G99" s="330" t="s">
        <v>1520</v>
      </c>
      <c r="H99" s="330" t="s">
        <v>414</v>
      </c>
      <c r="I99" s="364">
        <v>10896000</v>
      </c>
      <c r="J99" s="365">
        <f>VLOOKUP($E99,'7. PGE_Efficacité'!$A$6:$BT$266,(MATCH('4.3 ACE EFF CAN'!J$4,'7. PGE_Efficacité'!$A$4:$BU$4,0)+31),0)</f>
        <v>0</v>
      </c>
      <c r="K99" s="365">
        <f>VLOOKUP($E99,'7. PGE_Efficacité'!$A$6:$BT$266,(MATCH('4.3 ACE EFF CAN'!K$4,'7. PGE_Efficacité'!$A$4:$BU$4,0)+31),0)</f>
        <v>0</v>
      </c>
      <c r="L99" s="365">
        <f>VLOOKUP($E99,'7. PGE_Efficacité'!$A$6:$BT$266,(MATCH('4.3 ACE EFF CAN'!L$4,'7. PGE_Efficacité'!$A$4:$BU$4,0)+31),0)</f>
        <v>0</v>
      </c>
      <c r="M99" s="365">
        <f>VLOOKUP($E99,'7. PGE_Efficacité'!$A$6:$BT$266,(MATCH('4.3 ACE EFF CAN'!M$4,'7. PGE_Efficacité'!$A$4:$BU$4,0)+31),0)</f>
        <v>0</v>
      </c>
      <c r="N99" s="365">
        <f>VLOOKUP($E99,'7. PGE_Efficacité'!$A$6:$BT$266,(MATCH('4.3 ACE EFF CAN'!N$4,'7. PGE_Efficacité'!$A$4:$BU$4,0)+31),0)</f>
        <v>0</v>
      </c>
      <c r="O99" s="365">
        <f>VLOOKUP($E99,'7. PGE_Efficacité'!$A$6:$BT$266,(MATCH('4.3 ACE EFF CAN'!O$4,'7. PGE_Efficacité'!$A$4:$BU$4,0)+31),0)</f>
        <v>0</v>
      </c>
      <c r="P99" s="365">
        <f>VLOOKUP($E99,'7. PGE_Efficacité'!$A$6:$BT$266,(MATCH('4.3 ACE EFF CAN'!P$4,'7. PGE_Efficacité'!$A$4:$BU$4,0)+31),0)</f>
        <v>0</v>
      </c>
      <c r="Q99" s="365">
        <f>VLOOKUP($E99,'7. PGE_Efficacité'!$A$6:$BT$266,(MATCH('4.3 ACE EFF CAN'!Q$4,'7. PGE_Efficacité'!$A$4:$BU$4,0)+31),0)</f>
        <v>0</v>
      </c>
      <c r="R99" s="365">
        <f>VLOOKUP($E99,'7. PGE_Efficacité'!$A$6:$BT$266,(MATCH('4.3 ACE EFF CAN'!R$4,'7. PGE_Efficacité'!$A$4:$BU$4,0)+31),0)</f>
        <v>0</v>
      </c>
      <c r="S99" s="365">
        <f>VLOOKUP($E99,'7. PGE_Efficacité'!$A$6:$BT$266,(MATCH('4.3 ACE EFF CAN'!S$4,'7. PGE_Efficacité'!$A$4:$BU$4,0)+31),0)</f>
        <v>0</v>
      </c>
      <c r="T99" s="365">
        <f>VLOOKUP($E99,'7. PGE_Efficacité'!$A$6:$BT$266,(MATCH('4.3 ACE EFF CAN'!T$4,'7. PGE_Efficacité'!$A$4:$BU$4,0)+31),0)</f>
        <v>0</v>
      </c>
      <c r="U99" s="365">
        <f>VLOOKUP($E99,'7. PGE_Efficacité'!$A$6:$BT$266,(MATCH('4.3 ACE EFF CAN'!U$4,'7. PGE_Efficacité'!$A$4:$BU$4,0)+31),0)</f>
        <v>0</v>
      </c>
      <c r="V99" s="365">
        <f>VLOOKUP($E99,'7. PGE_Efficacité'!$A$6:$BT$266,(MATCH('4.3 ACE EFF CAN'!V$4,'7. PGE_Efficacité'!$A$4:$BU$4,0)+31),0)</f>
        <v>0</v>
      </c>
      <c r="W99" s="365">
        <f>VLOOKUP($E99,'7. PGE_Efficacité'!$A$6:$BT$266,(MATCH('4.3 ACE EFF CAN'!W$4,'7. PGE_Efficacité'!$A$4:$BU$4,0)+31),0)</f>
        <v>0</v>
      </c>
      <c r="X99" s="365">
        <f>VLOOKUP($E99,'7. PGE_Efficacité'!$A$6:$BT$266,(MATCH('4.3 ACE EFF CAN'!X$4,'7. PGE_Efficacité'!$A$4:$BU$4,0)+31),0)</f>
        <v>0</v>
      </c>
      <c r="Y99" s="365">
        <f>VLOOKUP($E99,'7. PGE_Efficacité'!$A$6:$BT$266,(MATCH('4.3 ACE EFF CAN'!Y$4,'7. PGE_Efficacité'!$A$4:$BU$4,0)+31),0)</f>
        <v>0</v>
      </c>
      <c r="Z99" s="365">
        <f>VLOOKUP($E99,'7. PGE_Efficacité'!$A$6:$BT$266,(MATCH('4.3 ACE EFF CAN'!Z$4,'7. PGE_Efficacité'!$A$4:$BU$4,0)+31),0)</f>
        <v>0</v>
      </c>
      <c r="AA99" s="365">
        <f>VLOOKUP($E99,'7. PGE_Efficacité'!$A$6:$BT$266,(MATCH('4.3 ACE EFF CAN'!AA$4,'7. PGE_Efficacité'!$A$4:$BU$4,0)+31),0)</f>
        <v>0</v>
      </c>
      <c r="AB99" s="365">
        <f>VLOOKUP($E99,'7. PGE_Efficacité'!$A$6:$BT$266,(MATCH('4.3 ACE EFF CAN'!AB$4,'7. PGE_Efficacité'!$A$4:$BU$4,0)+31),0)</f>
        <v>0</v>
      </c>
      <c r="AC99" s="365">
        <f>VLOOKUP($E99,'7. PGE_Efficacité'!$A$6:$BT$266,(MATCH('4.3 ACE EFF CAN'!AC$4,'7. PGE_Efficacité'!$A$4:$BU$4,0)+31),0)</f>
        <v>0</v>
      </c>
      <c r="AD99" s="365">
        <f>VLOOKUP($E99,'7. PGE_Efficacité'!$A$6:$BT$266,(MATCH('4.3 ACE EFF CAN'!AD$4,'7. PGE_Efficacité'!$A$4:$BU$4,0)+31),0)</f>
        <v>0</v>
      </c>
      <c r="AE99" s="365">
        <f>VLOOKUP($E99,'7. PGE_Efficacité'!$A$6:$BT$266,(MATCH('4.3 ACE EFF CAN'!AE$4,'7. PGE_Efficacité'!$A$4:$BU$4,0)+31),0)</f>
        <v>0</v>
      </c>
      <c r="AF99" s="365">
        <f>VLOOKUP($E99,'7. PGE_Efficacité'!$A$6:$BT$266,(MATCH('4.3 ACE EFF CAN'!AF$4,'7. PGE_Efficacité'!$A$4:$BU$4,0)+31),0)</f>
        <v>0</v>
      </c>
      <c r="AG99" s="365">
        <f>VLOOKUP($E99,'7. PGE_Efficacité'!$A$6:$BT$266,(MATCH('4.3 ACE EFF CAN'!AG$4,'7. PGE_Efficacité'!$A$4:$BU$4,0)+31),0)</f>
        <v>0</v>
      </c>
      <c r="AH99" s="365">
        <f>VLOOKUP($E99,'7. PGE_Efficacité'!$A$6:$BT$266,(MATCH('4.3 ACE EFF CAN'!AH$4,'7. PGE_Efficacité'!$A$4:$BU$4,0)+31),0)</f>
        <v>0</v>
      </c>
      <c r="AI99" s="365">
        <f>VLOOKUP($E99,'7. PGE_Efficacité'!$A$6:$BT$266,(MATCH('4.3 ACE EFF CAN'!AI$4,'7. PGE_Efficacité'!$A$4:$BU$4,0)+31),0)</f>
        <v>0</v>
      </c>
      <c r="AJ99" s="365">
        <f>VLOOKUP($E99,'7. PGE_Efficacité'!$A$6:$BT$266,(MATCH('4.3 ACE EFF CAN'!AJ$4,'7. PGE_Efficacité'!$A$4:$BU$4,0)+31),0)</f>
        <v>0</v>
      </c>
      <c r="AK99" s="365">
        <f>VLOOKUP($E99,'7. PGE_Efficacité'!$A$6:$BT$266,(MATCH('4.3 ACE EFF CAN'!AK$4,'7. PGE_Efficacité'!$A$4:$BU$4,0)+31),0)</f>
        <v>0</v>
      </c>
      <c r="AL99" s="365">
        <f>VLOOKUP($E99,'7. PGE_Efficacité'!$A$6:$BT$266,(MATCH('4.3 ACE EFF CAN'!AL$4,'7. PGE_Efficacité'!$A$4:$BU$4,0)+31),0)</f>
        <v>0</v>
      </c>
      <c r="AM99" s="365">
        <f>VLOOKUP($E99,'7. PGE_Efficacité'!$A$6:$BT$266,(MATCH('4.3 ACE EFF CAN'!AM$4,'7. PGE_Efficacité'!$A$4:$BU$4,0)+31),0)</f>
        <v>0</v>
      </c>
      <c r="AN99" s="365">
        <f>VLOOKUP($E99,'7. PGE_Efficacité'!$A$6:$BT$266,(MATCH('4.3 ACE EFF CAN'!AN$4,'7. PGE_Efficacité'!$A$4:$BU$4,0)+31),0)</f>
        <v>0</v>
      </c>
    </row>
    <row r="100" spans="1:40" outlineLevel="2" x14ac:dyDescent="0.25">
      <c r="A100" s="154" t="s">
        <v>1524</v>
      </c>
      <c r="B100" s="154">
        <v>18</v>
      </c>
      <c r="C100" s="154" t="s">
        <v>1526</v>
      </c>
      <c r="D100" s="330" t="s">
        <v>18</v>
      </c>
      <c r="E100" s="330" t="s">
        <v>692</v>
      </c>
      <c r="F100" s="330" t="s">
        <v>1352</v>
      </c>
      <c r="G100" s="330" t="s">
        <v>1520</v>
      </c>
      <c r="H100" s="330" t="s">
        <v>414</v>
      </c>
      <c r="I100" s="364">
        <v>0</v>
      </c>
      <c r="J100" s="365">
        <f>VLOOKUP($E100,'7. PGE_Efficacité'!$A$6:$BT$266,(MATCH('4.3 ACE EFF CAN'!J$4,'7. PGE_Efficacité'!$A$4:$BU$4,0)+31),0)</f>
        <v>0</v>
      </c>
      <c r="K100" s="365">
        <f>VLOOKUP($E100,'7. PGE_Efficacité'!$A$6:$BT$266,(MATCH('4.3 ACE EFF CAN'!K$4,'7. PGE_Efficacité'!$A$4:$BU$4,0)+31),0)</f>
        <v>0</v>
      </c>
      <c r="L100" s="365">
        <f>VLOOKUP($E100,'7. PGE_Efficacité'!$A$6:$BT$266,(MATCH('4.3 ACE EFF CAN'!L$4,'7. PGE_Efficacité'!$A$4:$BU$4,0)+31),0)</f>
        <v>0</v>
      </c>
      <c r="M100" s="365">
        <f>VLOOKUP($E100,'7. PGE_Efficacité'!$A$6:$BT$266,(MATCH('4.3 ACE EFF CAN'!M$4,'7. PGE_Efficacité'!$A$4:$BU$4,0)+31),0)</f>
        <v>0</v>
      </c>
      <c r="N100" s="365">
        <f>VLOOKUP($E100,'7. PGE_Efficacité'!$A$6:$BT$266,(MATCH('4.3 ACE EFF CAN'!N$4,'7. PGE_Efficacité'!$A$4:$BU$4,0)+31),0)</f>
        <v>0</v>
      </c>
      <c r="O100" s="365">
        <f>VLOOKUP($E100,'7. PGE_Efficacité'!$A$6:$BT$266,(MATCH('4.3 ACE EFF CAN'!O$4,'7. PGE_Efficacité'!$A$4:$BU$4,0)+31),0)</f>
        <v>0</v>
      </c>
      <c r="P100" s="365">
        <f>VLOOKUP($E100,'7. PGE_Efficacité'!$A$6:$BT$266,(MATCH('4.3 ACE EFF CAN'!P$4,'7. PGE_Efficacité'!$A$4:$BU$4,0)+31),0)</f>
        <v>0</v>
      </c>
      <c r="Q100" s="365">
        <f>VLOOKUP($E100,'7. PGE_Efficacité'!$A$6:$BT$266,(MATCH('4.3 ACE EFF CAN'!Q$4,'7. PGE_Efficacité'!$A$4:$BU$4,0)+31),0)</f>
        <v>0</v>
      </c>
      <c r="R100" s="365">
        <f>VLOOKUP($E100,'7. PGE_Efficacité'!$A$6:$BT$266,(MATCH('4.3 ACE EFF CAN'!R$4,'7. PGE_Efficacité'!$A$4:$BU$4,0)+31),0)</f>
        <v>0</v>
      </c>
      <c r="S100" s="365">
        <f>VLOOKUP($E100,'7. PGE_Efficacité'!$A$6:$BT$266,(MATCH('4.3 ACE EFF CAN'!S$4,'7. PGE_Efficacité'!$A$4:$BU$4,0)+31),0)</f>
        <v>0</v>
      </c>
      <c r="T100" s="365">
        <f>VLOOKUP($E100,'7. PGE_Efficacité'!$A$6:$BT$266,(MATCH('4.3 ACE EFF CAN'!T$4,'7. PGE_Efficacité'!$A$4:$BU$4,0)+31),0)</f>
        <v>0</v>
      </c>
      <c r="U100" s="365">
        <f>VLOOKUP($E100,'7. PGE_Efficacité'!$A$6:$BT$266,(MATCH('4.3 ACE EFF CAN'!U$4,'7. PGE_Efficacité'!$A$4:$BU$4,0)+31),0)</f>
        <v>0</v>
      </c>
      <c r="V100" s="365">
        <f>VLOOKUP($E100,'7. PGE_Efficacité'!$A$6:$BT$266,(MATCH('4.3 ACE EFF CAN'!V$4,'7. PGE_Efficacité'!$A$4:$BU$4,0)+31),0)</f>
        <v>0</v>
      </c>
      <c r="W100" s="365">
        <f>VLOOKUP($E100,'7. PGE_Efficacité'!$A$6:$BT$266,(MATCH('4.3 ACE EFF CAN'!W$4,'7. PGE_Efficacité'!$A$4:$BU$4,0)+31),0)</f>
        <v>0</v>
      </c>
      <c r="X100" s="365">
        <f>VLOOKUP($E100,'7. PGE_Efficacité'!$A$6:$BT$266,(MATCH('4.3 ACE EFF CAN'!X$4,'7. PGE_Efficacité'!$A$4:$BU$4,0)+31),0)</f>
        <v>0</v>
      </c>
      <c r="Y100" s="365">
        <f>VLOOKUP($E100,'7. PGE_Efficacité'!$A$6:$BT$266,(MATCH('4.3 ACE EFF CAN'!Y$4,'7. PGE_Efficacité'!$A$4:$BU$4,0)+31),0)</f>
        <v>0</v>
      </c>
      <c r="Z100" s="365">
        <f>VLOOKUP($E100,'7. PGE_Efficacité'!$A$6:$BT$266,(MATCH('4.3 ACE EFF CAN'!Z$4,'7. PGE_Efficacité'!$A$4:$BU$4,0)+31),0)</f>
        <v>0</v>
      </c>
      <c r="AA100" s="365">
        <f>VLOOKUP($E100,'7. PGE_Efficacité'!$A$6:$BT$266,(MATCH('4.3 ACE EFF CAN'!AA$4,'7. PGE_Efficacité'!$A$4:$BU$4,0)+31),0)</f>
        <v>0</v>
      </c>
      <c r="AB100" s="365">
        <f>VLOOKUP($E100,'7. PGE_Efficacité'!$A$6:$BT$266,(MATCH('4.3 ACE EFF CAN'!AB$4,'7. PGE_Efficacité'!$A$4:$BU$4,0)+31),0)</f>
        <v>0</v>
      </c>
      <c r="AC100" s="365">
        <f>VLOOKUP($E100,'7. PGE_Efficacité'!$A$6:$BT$266,(MATCH('4.3 ACE EFF CAN'!AC$4,'7. PGE_Efficacité'!$A$4:$BU$4,0)+31),0)</f>
        <v>0</v>
      </c>
      <c r="AD100" s="365">
        <f>VLOOKUP($E100,'7. PGE_Efficacité'!$A$6:$BT$266,(MATCH('4.3 ACE EFF CAN'!AD$4,'7. PGE_Efficacité'!$A$4:$BU$4,0)+31),0)</f>
        <v>0</v>
      </c>
      <c r="AE100" s="365">
        <f>VLOOKUP($E100,'7. PGE_Efficacité'!$A$6:$BT$266,(MATCH('4.3 ACE EFF CAN'!AE$4,'7. PGE_Efficacité'!$A$4:$BU$4,0)+31),0)</f>
        <v>0</v>
      </c>
      <c r="AF100" s="365">
        <f>VLOOKUP($E100,'7. PGE_Efficacité'!$A$6:$BT$266,(MATCH('4.3 ACE EFF CAN'!AF$4,'7. PGE_Efficacité'!$A$4:$BU$4,0)+31),0)</f>
        <v>0</v>
      </c>
      <c r="AG100" s="365">
        <f>VLOOKUP($E100,'7. PGE_Efficacité'!$A$6:$BT$266,(MATCH('4.3 ACE EFF CAN'!AG$4,'7. PGE_Efficacité'!$A$4:$BU$4,0)+31),0)</f>
        <v>0</v>
      </c>
      <c r="AH100" s="365">
        <f>VLOOKUP($E100,'7. PGE_Efficacité'!$A$6:$BT$266,(MATCH('4.3 ACE EFF CAN'!AH$4,'7. PGE_Efficacité'!$A$4:$BU$4,0)+31),0)</f>
        <v>0</v>
      </c>
      <c r="AI100" s="365">
        <f>VLOOKUP($E100,'7. PGE_Efficacité'!$A$6:$BT$266,(MATCH('4.3 ACE EFF CAN'!AI$4,'7. PGE_Efficacité'!$A$4:$BU$4,0)+31),0)</f>
        <v>0</v>
      </c>
      <c r="AJ100" s="365">
        <f>VLOOKUP($E100,'7. PGE_Efficacité'!$A$6:$BT$266,(MATCH('4.3 ACE EFF CAN'!AJ$4,'7. PGE_Efficacité'!$A$4:$BU$4,0)+31),0)</f>
        <v>0</v>
      </c>
      <c r="AK100" s="365">
        <f>VLOOKUP($E100,'7. PGE_Efficacité'!$A$6:$BT$266,(MATCH('4.3 ACE EFF CAN'!AK$4,'7. PGE_Efficacité'!$A$4:$BU$4,0)+31),0)</f>
        <v>0</v>
      </c>
      <c r="AL100" s="365">
        <f>VLOOKUP($E100,'7. PGE_Efficacité'!$A$6:$BT$266,(MATCH('4.3 ACE EFF CAN'!AL$4,'7. PGE_Efficacité'!$A$4:$BU$4,0)+31),0)</f>
        <v>0</v>
      </c>
      <c r="AM100" s="365">
        <f>VLOOKUP($E100,'7. PGE_Efficacité'!$A$6:$BT$266,(MATCH('4.3 ACE EFF CAN'!AM$4,'7. PGE_Efficacité'!$A$4:$BU$4,0)+31),0)</f>
        <v>0</v>
      </c>
      <c r="AN100" s="365">
        <f>VLOOKUP($E100,'7. PGE_Efficacité'!$A$6:$BT$266,(MATCH('4.3 ACE EFF CAN'!AN$4,'7. PGE_Efficacité'!$A$4:$BU$4,0)+31),0)</f>
        <v>0</v>
      </c>
    </row>
    <row r="101" spans="1:40" outlineLevel="2" x14ac:dyDescent="0.25">
      <c r="A101" s="154" t="s">
        <v>1524</v>
      </c>
      <c r="B101" s="154">
        <v>18</v>
      </c>
      <c r="C101" s="154" t="s">
        <v>1527</v>
      </c>
      <c r="D101" s="330" t="s">
        <v>18</v>
      </c>
      <c r="E101" s="330" t="s">
        <v>693</v>
      </c>
      <c r="F101" s="330" t="s">
        <v>1353</v>
      </c>
      <c r="G101" s="330" t="s">
        <v>1520</v>
      </c>
      <c r="H101" s="330" t="s">
        <v>414</v>
      </c>
      <c r="I101" s="364">
        <v>0</v>
      </c>
      <c r="J101" s="365">
        <f>VLOOKUP($E101,'7. PGE_Efficacité'!$A$6:$BT$266,(MATCH('4.3 ACE EFF CAN'!J$4,'7. PGE_Efficacité'!$A$4:$BU$4,0)+31),0)</f>
        <v>0</v>
      </c>
      <c r="K101" s="365">
        <f>VLOOKUP($E101,'7. PGE_Efficacité'!$A$6:$BT$266,(MATCH('4.3 ACE EFF CAN'!K$4,'7. PGE_Efficacité'!$A$4:$BU$4,0)+31),0)</f>
        <v>0</v>
      </c>
      <c r="L101" s="365">
        <f>VLOOKUP($E101,'7. PGE_Efficacité'!$A$6:$BT$266,(MATCH('4.3 ACE EFF CAN'!L$4,'7. PGE_Efficacité'!$A$4:$BU$4,0)+31),0)</f>
        <v>0</v>
      </c>
      <c r="M101" s="365">
        <f>VLOOKUP($E101,'7. PGE_Efficacité'!$A$6:$BT$266,(MATCH('4.3 ACE EFF CAN'!M$4,'7. PGE_Efficacité'!$A$4:$BU$4,0)+31),0)</f>
        <v>0</v>
      </c>
      <c r="N101" s="365">
        <f>VLOOKUP($E101,'7. PGE_Efficacité'!$A$6:$BT$266,(MATCH('4.3 ACE EFF CAN'!N$4,'7. PGE_Efficacité'!$A$4:$BU$4,0)+31),0)</f>
        <v>0</v>
      </c>
      <c r="O101" s="365">
        <f>VLOOKUP($E101,'7. PGE_Efficacité'!$A$6:$BT$266,(MATCH('4.3 ACE EFF CAN'!O$4,'7. PGE_Efficacité'!$A$4:$BU$4,0)+31),0)</f>
        <v>0</v>
      </c>
      <c r="P101" s="365">
        <f>VLOOKUP($E101,'7. PGE_Efficacité'!$A$6:$BT$266,(MATCH('4.3 ACE EFF CAN'!P$4,'7. PGE_Efficacité'!$A$4:$BU$4,0)+31),0)</f>
        <v>0</v>
      </c>
      <c r="Q101" s="365">
        <f>VLOOKUP($E101,'7. PGE_Efficacité'!$A$6:$BT$266,(MATCH('4.3 ACE EFF CAN'!Q$4,'7. PGE_Efficacité'!$A$4:$BU$4,0)+31),0)</f>
        <v>0</v>
      </c>
      <c r="R101" s="365">
        <f>VLOOKUP($E101,'7. PGE_Efficacité'!$A$6:$BT$266,(MATCH('4.3 ACE EFF CAN'!R$4,'7. PGE_Efficacité'!$A$4:$BU$4,0)+31),0)</f>
        <v>0</v>
      </c>
      <c r="S101" s="365">
        <f>VLOOKUP($E101,'7. PGE_Efficacité'!$A$6:$BT$266,(MATCH('4.3 ACE EFF CAN'!S$4,'7. PGE_Efficacité'!$A$4:$BU$4,0)+31),0)</f>
        <v>0</v>
      </c>
      <c r="T101" s="365">
        <f>VLOOKUP($E101,'7. PGE_Efficacité'!$A$6:$BT$266,(MATCH('4.3 ACE EFF CAN'!T$4,'7. PGE_Efficacité'!$A$4:$BU$4,0)+31),0)</f>
        <v>0</v>
      </c>
      <c r="U101" s="365">
        <f>VLOOKUP($E101,'7. PGE_Efficacité'!$A$6:$BT$266,(MATCH('4.3 ACE EFF CAN'!U$4,'7. PGE_Efficacité'!$A$4:$BU$4,0)+31),0)</f>
        <v>0</v>
      </c>
      <c r="V101" s="365">
        <f>VLOOKUP($E101,'7. PGE_Efficacité'!$A$6:$BT$266,(MATCH('4.3 ACE EFF CAN'!V$4,'7. PGE_Efficacité'!$A$4:$BU$4,0)+31),0)</f>
        <v>0</v>
      </c>
      <c r="W101" s="365">
        <f>VLOOKUP($E101,'7. PGE_Efficacité'!$A$6:$BT$266,(MATCH('4.3 ACE EFF CAN'!W$4,'7. PGE_Efficacité'!$A$4:$BU$4,0)+31),0)</f>
        <v>0</v>
      </c>
      <c r="X101" s="365">
        <f>VLOOKUP($E101,'7. PGE_Efficacité'!$A$6:$BT$266,(MATCH('4.3 ACE EFF CAN'!X$4,'7. PGE_Efficacité'!$A$4:$BU$4,0)+31),0)</f>
        <v>0</v>
      </c>
      <c r="Y101" s="365">
        <f>VLOOKUP($E101,'7. PGE_Efficacité'!$A$6:$BT$266,(MATCH('4.3 ACE EFF CAN'!Y$4,'7. PGE_Efficacité'!$A$4:$BU$4,0)+31),0)</f>
        <v>0</v>
      </c>
      <c r="Z101" s="365">
        <f>VLOOKUP($E101,'7. PGE_Efficacité'!$A$6:$BT$266,(MATCH('4.3 ACE EFF CAN'!Z$4,'7. PGE_Efficacité'!$A$4:$BU$4,0)+31),0)</f>
        <v>0</v>
      </c>
      <c r="AA101" s="365">
        <f>VLOOKUP($E101,'7. PGE_Efficacité'!$A$6:$BT$266,(MATCH('4.3 ACE EFF CAN'!AA$4,'7. PGE_Efficacité'!$A$4:$BU$4,0)+31),0)</f>
        <v>0</v>
      </c>
      <c r="AB101" s="365">
        <f>VLOOKUP($E101,'7. PGE_Efficacité'!$A$6:$BT$266,(MATCH('4.3 ACE EFF CAN'!AB$4,'7. PGE_Efficacité'!$A$4:$BU$4,0)+31),0)</f>
        <v>0</v>
      </c>
      <c r="AC101" s="365">
        <f>VLOOKUP($E101,'7. PGE_Efficacité'!$A$6:$BT$266,(MATCH('4.3 ACE EFF CAN'!AC$4,'7. PGE_Efficacité'!$A$4:$BU$4,0)+31),0)</f>
        <v>0</v>
      </c>
      <c r="AD101" s="365">
        <f>VLOOKUP($E101,'7. PGE_Efficacité'!$A$6:$BT$266,(MATCH('4.3 ACE EFF CAN'!AD$4,'7. PGE_Efficacité'!$A$4:$BU$4,0)+31),0)</f>
        <v>0</v>
      </c>
      <c r="AE101" s="365">
        <f>VLOOKUP($E101,'7. PGE_Efficacité'!$A$6:$BT$266,(MATCH('4.3 ACE EFF CAN'!AE$4,'7. PGE_Efficacité'!$A$4:$BU$4,0)+31),0)</f>
        <v>0</v>
      </c>
      <c r="AF101" s="365">
        <f>VLOOKUP($E101,'7. PGE_Efficacité'!$A$6:$BT$266,(MATCH('4.3 ACE EFF CAN'!AF$4,'7. PGE_Efficacité'!$A$4:$BU$4,0)+31),0)</f>
        <v>0</v>
      </c>
      <c r="AG101" s="365">
        <f>VLOOKUP($E101,'7. PGE_Efficacité'!$A$6:$BT$266,(MATCH('4.3 ACE EFF CAN'!AG$4,'7. PGE_Efficacité'!$A$4:$BU$4,0)+31),0)</f>
        <v>0</v>
      </c>
      <c r="AH101" s="365">
        <f>VLOOKUP($E101,'7. PGE_Efficacité'!$A$6:$BT$266,(MATCH('4.3 ACE EFF CAN'!AH$4,'7. PGE_Efficacité'!$A$4:$BU$4,0)+31),0)</f>
        <v>0</v>
      </c>
      <c r="AI101" s="365">
        <f>VLOOKUP($E101,'7. PGE_Efficacité'!$A$6:$BT$266,(MATCH('4.3 ACE EFF CAN'!AI$4,'7. PGE_Efficacité'!$A$4:$BU$4,0)+31),0)</f>
        <v>0</v>
      </c>
      <c r="AJ101" s="365">
        <f>VLOOKUP($E101,'7. PGE_Efficacité'!$A$6:$BT$266,(MATCH('4.3 ACE EFF CAN'!AJ$4,'7. PGE_Efficacité'!$A$4:$BU$4,0)+31),0)</f>
        <v>0</v>
      </c>
      <c r="AK101" s="365">
        <f>VLOOKUP($E101,'7. PGE_Efficacité'!$A$6:$BT$266,(MATCH('4.3 ACE EFF CAN'!AK$4,'7. PGE_Efficacité'!$A$4:$BU$4,0)+31),0)</f>
        <v>0</v>
      </c>
      <c r="AL101" s="365">
        <f>VLOOKUP($E101,'7. PGE_Efficacité'!$A$6:$BT$266,(MATCH('4.3 ACE EFF CAN'!AL$4,'7. PGE_Efficacité'!$A$4:$BU$4,0)+31),0)</f>
        <v>0</v>
      </c>
      <c r="AM101" s="365">
        <f>VLOOKUP($E101,'7. PGE_Efficacité'!$A$6:$BT$266,(MATCH('4.3 ACE EFF CAN'!AM$4,'7. PGE_Efficacité'!$A$4:$BU$4,0)+31),0)</f>
        <v>0</v>
      </c>
      <c r="AN101" s="365">
        <f>VLOOKUP($E101,'7. PGE_Efficacité'!$A$6:$BT$266,(MATCH('4.3 ACE EFF CAN'!AN$4,'7. PGE_Efficacité'!$A$4:$BU$4,0)+31),0)</f>
        <v>0</v>
      </c>
    </row>
    <row r="102" spans="1:40" outlineLevel="2" x14ac:dyDescent="0.25">
      <c r="A102" s="154" t="s">
        <v>1524</v>
      </c>
      <c r="B102" s="154">
        <v>18</v>
      </c>
      <c r="C102" s="154" t="s">
        <v>410</v>
      </c>
      <c r="D102" s="330" t="s">
        <v>18</v>
      </c>
      <c r="E102" s="330" t="s">
        <v>694</v>
      </c>
      <c r="F102" s="330" t="s">
        <v>1354</v>
      </c>
      <c r="G102" s="330" t="s">
        <v>1520</v>
      </c>
      <c r="H102" s="330" t="s">
        <v>414</v>
      </c>
      <c r="I102" s="364">
        <v>30000</v>
      </c>
      <c r="J102" s="365">
        <f>VLOOKUP($E102,'7. PGE_Efficacité'!$A$6:$BT$266,(MATCH('4.3 ACE EFF CAN'!J$4,'7. PGE_Efficacité'!$A$4:$BU$4,0)+31),0)</f>
        <v>0</v>
      </c>
      <c r="K102" s="365">
        <f>VLOOKUP($E102,'7. PGE_Efficacité'!$A$6:$BT$266,(MATCH('4.3 ACE EFF CAN'!K$4,'7. PGE_Efficacité'!$A$4:$BU$4,0)+31),0)</f>
        <v>0</v>
      </c>
      <c r="L102" s="365">
        <f>VLOOKUP($E102,'7. PGE_Efficacité'!$A$6:$BT$266,(MATCH('4.3 ACE EFF CAN'!L$4,'7. PGE_Efficacité'!$A$4:$BU$4,0)+31),0)</f>
        <v>0</v>
      </c>
      <c r="M102" s="365">
        <f>VLOOKUP($E102,'7. PGE_Efficacité'!$A$6:$BT$266,(MATCH('4.3 ACE EFF CAN'!M$4,'7. PGE_Efficacité'!$A$4:$BU$4,0)+31),0)</f>
        <v>0</v>
      </c>
      <c r="N102" s="365">
        <f>VLOOKUP($E102,'7. PGE_Efficacité'!$A$6:$BT$266,(MATCH('4.3 ACE EFF CAN'!N$4,'7. PGE_Efficacité'!$A$4:$BU$4,0)+31),0)</f>
        <v>0</v>
      </c>
      <c r="O102" s="365">
        <f>VLOOKUP($E102,'7. PGE_Efficacité'!$A$6:$BT$266,(MATCH('4.3 ACE EFF CAN'!O$4,'7. PGE_Efficacité'!$A$4:$BU$4,0)+31),0)</f>
        <v>0</v>
      </c>
      <c r="P102" s="365">
        <f>VLOOKUP($E102,'7. PGE_Efficacité'!$A$6:$BT$266,(MATCH('4.3 ACE EFF CAN'!P$4,'7. PGE_Efficacité'!$A$4:$BU$4,0)+31),0)</f>
        <v>0</v>
      </c>
      <c r="Q102" s="365">
        <f>VLOOKUP($E102,'7. PGE_Efficacité'!$A$6:$BT$266,(MATCH('4.3 ACE EFF CAN'!Q$4,'7. PGE_Efficacité'!$A$4:$BU$4,0)+31),0)</f>
        <v>0</v>
      </c>
      <c r="R102" s="365">
        <f>VLOOKUP($E102,'7. PGE_Efficacité'!$A$6:$BT$266,(MATCH('4.3 ACE EFF CAN'!R$4,'7. PGE_Efficacité'!$A$4:$BU$4,0)+31),0)</f>
        <v>0</v>
      </c>
      <c r="S102" s="365">
        <f>VLOOKUP($E102,'7. PGE_Efficacité'!$A$6:$BT$266,(MATCH('4.3 ACE EFF CAN'!S$4,'7. PGE_Efficacité'!$A$4:$BU$4,0)+31),0)</f>
        <v>0</v>
      </c>
      <c r="T102" s="365">
        <f>VLOOKUP($E102,'7. PGE_Efficacité'!$A$6:$BT$266,(MATCH('4.3 ACE EFF CAN'!T$4,'7. PGE_Efficacité'!$A$4:$BU$4,0)+31),0)</f>
        <v>0</v>
      </c>
      <c r="U102" s="365">
        <f>VLOOKUP($E102,'7. PGE_Efficacité'!$A$6:$BT$266,(MATCH('4.3 ACE EFF CAN'!U$4,'7. PGE_Efficacité'!$A$4:$BU$4,0)+31),0)</f>
        <v>0</v>
      </c>
      <c r="V102" s="365">
        <f>VLOOKUP($E102,'7. PGE_Efficacité'!$A$6:$BT$266,(MATCH('4.3 ACE EFF CAN'!V$4,'7. PGE_Efficacité'!$A$4:$BU$4,0)+31),0)</f>
        <v>0</v>
      </c>
      <c r="W102" s="365">
        <f>VLOOKUP($E102,'7. PGE_Efficacité'!$A$6:$BT$266,(MATCH('4.3 ACE EFF CAN'!W$4,'7. PGE_Efficacité'!$A$4:$BU$4,0)+31),0)</f>
        <v>0</v>
      </c>
      <c r="X102" s="365">
        <f>VLOOKUP($E102,'7. PGE_Efficacité'!$A$6:$BT$266,(MATCH('4.3 ACE EFF CAN'!X$4,'7. PGE_Efficacité'!$A$4:$BU$4,0)+31),0)</f>
        <v>0</v>
      </c>
      <c r="Y102" s="365">
        <f>VLOOKUP($E102,'7. PGE_Efficacité'!$A$6:$BT$266,(MATCH('4.3 ACE EFF CAN'!Y$4,'7. PGE_Efficacité'!$A$4:$BU$4,0)+31),0)</f>
        <v>0</v>
      </c>
      <c r="Z102" s="365">
        <f>VLOOKUP($E102,'7. PGE_Efficacité'!$A$6:$BT$266,(MATCH('4.3 ACE EFF CAN'!Z$4,'7. PGE_Efficacité'!$A$4:$BU$4,0)+31),0)</f>
        <v>0</v>
      </c>
      <c r="AA102" s="365">
        <f>VLOOKUP($E102,'7. PGE_Efficacité'!$A$6:$BT$266,(MATCH('4.3 ACE EFF CAN'!AA$4,'7. PGE_Efficacité'!$A$4:$BU$4,0)+31),0)</f>
        <v>0</v>
      </c>
      <c r="AB102" s="365">
        <f>VLOOKUP($E102,'7. PGE_Efficacité'!$A$6:$BT$266,(MATCH('4.3 ACE EFF CAN'!AB$4,'7. PGE_Efficacité'!$A$4:$BU$4,0)+31),0)</f>
        <v>0</v>
      </c>
      <c r="AC102" s="365">
        <f>VLOOKUP($E102,'7. PGE_Efficacité'!$A$6:$BT$266,(MATCH('4.3 ACE EFF CAN'!AC$4,'7. PGE_Efficacité'!$A$4:$BU$4,0)+31),0)</f>
        <v>0</v>
      </c>
      <c r="AD102" s="365">
        <f>VLOOKUP($E102,'7. PGE_Efficacité'!$A$6:$BT$266,(MATCH('4.3 ACE EFF CAN'!AD$4,'7. PGE_Efficacité'!$A$4:$BU$4,0)+31),0)</f>
        <v>0</v>
      </c>
      <c r="AE102" s="365">
        <f>VLOOKUP($E102,'7. PGE_Efficacité'!$A$6:$BT$266,(MATCH('4.3 ACE EFF CAN'!AE$4,'7. PGE_Efficacité'!$A$4:$BU$4,0)+31),0)</f>
        <v>0</v>
      </c>
      <c r="AF102" s="365">
        <f>VLOOKUP($E102,'7. PGE_Efficacité'!$A$6:$BT$266,(MATCH('4.3 ACE EFF CAN'!AF$4,'7. PGE_Efficacité'!$A$4:$BU$4,0)+31),0)</f>
        <v>0</v>
      </c>
      <c r="AG102" s="365">
        <f>VLOOKUP($E102,'7. PGE_Efficacité'!$A$6:$BT$266,(MATCH('4.3 ACE EFF CAN'!AG$4,'7. PGE_Efficacité'!$A$4:$BU$4,0)+31),0)</f>
        <v>0</v>
      </c>
      <c r="AH102" s="365">
        <f>VLOOKUP($E102,'7. PGE_Efficacité'!$A$6:$BT$266,(MATCH('4.3 ACE EFF CAN'!AH$4,'7. PGE_Efficacité'!$A$4:$BU$4,0)+31),0)</f>
        <v>0</v>
      </c>
      <c r="AI102" s="365">
        <f>VLOOKUP($E102,'7. PGE_Efficacité'!$A$6:$BT$266,(MATCH('4.3 ACE EFF CAN'!AI$4,'7. PGE_Efficacité'!$A$4:$BU$4,0)+31),0)</f>
        <v>0</v>
      </c>
      <c r="AJ102" s="365">
        <f>VLOOKUP($E102,'7. PGE_Efficacité'!$A$6:$BT$266,(MATCH('4.3 ACE EFF CAN'!AJ$4,'7. PGE_Efficacité'!$A$4:$BU$4,0)+31),0)</f>
        <v>0</v>
      </c>
      <c r="AK102" s="365">
        <f>VLOOKUP($E102,'7. PGE_Efficacité'!$A$6:$BT$266,(MATCH('4.3 ACE EFF CAN'!AK$4,'7. PGE_Efficacité'!$A$4:$BU$4,0)+31),0)</f>
        <v>0</v>
      </c>
      <c r="AL102" s="365">
        <f>VLOOKUP($E102,'7. PGE_Efficacité'!$A$6:$BT$266,(MATCH('4.3 ACE EFF CAN'!AL$4,'7. PGE_Efficacité'!$A$4:$BU$4,0)+31),0)</f>
        <v>0</v>
      </c>
      <c r="AM102" s="365">
        <f>VLOOKUP($E102,'7. PGE_Efficacité'!$A$6:$BT$266,(MATCH('4.3 ACE EFF CAN'!AM$4,'7. PGE_Efficacité'!$A$4:$BU$4,0)+31),0)</f>
        <v>0</v>
      </c>
      <c r="AN102" s="365">
        <f>VLOOKUP($E102,'7. PGE_Efficacité'!$A$6:$BT$266,(MATCH('4.3 ACE EFF CAN'!AN$4,'7. PGE_Efficacité'!$A$4:$BU$4,0)+31),0)</f>
        <v>0</v>
      </c>
    </row>
    <row r="103" spans="1:40" outlineLevel="2" x14ac:dyDescent="0.25">
      <c r="A103" s="154" t="s">
        <v>1524</v>
      </c>
      <c r="B103" s="154">
        <v>18</v>
      </c>
      <c r="C103" s="154" t="s">
        <v>1528</v>
      </c>
      <c r="D103" s="330" t="s">
        <v>18</v>
      </c>
      <c r="E103" s="330" t="s">
        <v>695</v>
      </c>
      <c r="F103" s="330" t="s">
        <v>1355</v>
      </c>
      <c r="G103" s="330" t="s">
        <v>1520</v>
      </c>
      <c r="H103" s="330" t="s">
        <v>414</v>
      </c>
      <c r="I103" s="364">
        <v>30000</v>
      </c>
      <c r="J103" s="365">
        <f>VLOOKUP($E103,'7. PGE_Efficacité'!$A$6:$BT$266,(MATCH('4.3 ACE EFF CAN'!J$4,'7. PGE_Efficacité'!$A$4:$BU$4,0)+31),0)</f>
        <v>0</v>
      </c>
      <c r="K103" s="365">
        <f>VLOOKUP($E103,'7. PGE_Efficacité'!$A$6:$BT$266,(MATCH('4.3 ACE EFF CAN'!K$4,'7. PGE_Efficacité'!$A$4:$BU$4,0)+31),0)</f>
        <v>0</v>
      </c>
      <c r="L103" s="365">
        <f>VLOOKUP($E103,'7. PGE_Efficacité'!$A$6:$BT$266,(MATCH('4.3 ACE EFF CAN'!L$4,'7. PGE_Efficacité'!$A$4:$BU$4,0)+31),0)</f>
        <v>0</v>
      </c>
      <c r="M103" s="365">
        <f>VLOOKUP($E103,'7. PGE_Efficacité'!$A$6:$BT$266,(MATCH('4.3 ACE EFF CAN'!M$4,'7. PGE_Efficacité'!$A$4:$BU$4,0)+31),0)</f>
        <v>0</v>
      </c>
      <c r="N103" s="365">
        <f>VLOOKUP($E103,'7. PGE_Efficacité'!$A$6:$BT$266,(MATCH('4.3 ACE EFF CAN'!N$4,'7. PGE_Efficacité'!$A$4:$BU$4,0)+31),0)</f>
        <v>0</v>
      </c>
      <c r="O103" s="365">
        <f>VLOOKUP($E103,'7. PGE_Efficacité'!$A$6:$BT$266,(MATCH('4.3 ACE EFF CAN'!O$4,'7. PGE_Efficacité'!$A$4:$BU$4,0)+31),0)</f>
        <v>0</v>
      </c>
      <c r="P103" s="365">
        <f>VLOOKUP($E103,'7. PGE_Efficacité'!$A$6:$BT$266,(MATCH('4.3 ACE EFF CAN'!P$4,'7. PGE_Efficacité'!$A$4:$BU$4,0)+31),0)</f>
        <v>0</v>
      </c>
      <c r="Q103" s="365">
        <f>VLOOKUP($E103,'7. PGE_Efficacité'!$A$6:$BT$266,(MATCH('4.3 ACE EFF CAN'!Q$4,'7. PGE_Efficacité'!$A$4:$BU$4,0)+31),0)</f>
        <v>0</v>
      </c>
      <c r="R103" s="365">
        <f>VLOOKUP($E103,'7. PGE_Efficacité'!$A$6:$BT$266,(MATCH('4.3 ACE EFF CAN'!R$4,'7. PGE_Efficacité'!$A$4:$BU$4,0)+31),0)</f>
        <v>0</v>
      </c>
      <c r="S103" s="365">
        <f>VLOOKUP($E103,'7. PGE_Efficacité'!$A$6:$BT$266,(MATCH('4.3 ACE EFF CAN'!S$4,'7. PGE_Efficacité'!$A$4:$BU$4,0)+31),0)</f>
        <v>0</v>
      </c>
      <c r="T103" s="365">
        <f>VLOOKUP($E103,'7. PGE_Efficacité'!$A$6:$BT$266,(MATCH('4.3 ACE EFF CAN'!T$4,'7. PGE_Efficacité'!$A$4:$BU$4,0)+31),0)</f>
        <v>0</v>
      </c>
      <c r="U103" s="365">
        <f>VLOOKUP($E103,'7. PGE_Efficacité'!$A$6:$BT$266,(MATCH('4.3 ACE EFF CAN'!U$4,'7. PGE_Efficacité'!$A$4:$BU$4,0)+31),0)</f>
        <v>0</v>
      </c>
      <c r="V103" s="365">
        <f>VLOOKUP($E103,'7. PGE_Efficacité'!$A$6:$BT$266,(MATCH('4.3 ACE EFF CAN'!V$4,'7. PGE_Efficacité'!$A$4:$BU$4,0)+31),0)</f>
        <v>0</v>
      </c>
      <c r="W103" s="365">
        <f>VLOOKUP($E103,'7. PGE_Efficacité'!$A$6:$BT$266,(MATCH('4.3 ACE EFF CAN'!W$4,'7. PGE_Efficacité'!$A$4:$BU$4,0)+31),0)</f>
        <v>0</v>
      </c>
      <c r="X103" s="365">
        <f>VLOOKUP($E103,'7. PGE_Efficacité'!$A$6:$BT$266,(MATCH('4.3 ACE EFF CAN'!X$4,'7. PGE_Efficacité'!$A$4:$BU$4,0)+31),0)</f>
        <v>0</v>
      </c>
      <c r="Y103" s="365">
        <f>VLOOKUP($E103,'7. PGE_Efficacité'!$A$6:$BT$266,(MATCH('4.3 ACE EFF CAN'!Y$4,'7. PGE_Efficacité'!$A$4:$BU$4,0)+31),0)</f>
        <v>0</v>
      </c>
      <c r="Z103" s="365">
        <f>VLOOKUP($E103,'7. PGE_Efficacité'!$A$6:$BT$266,(MATCH('4.3 ACE EFF CAN'!Z$4,'7. PGE_Efficacité'!$A$4:$BU$4,0)+31),0)</f>
        <v>0</v>
      </c>
      <c r="AA103" s="365">
        <f>VLOOKUP($E103,'7. PGE_Efficacité'!$A$6:$BT$266,(MATCH('4.3 ACE EFF CAN'!AA$4,'7. PGE_Efficacité'!$A$4:$BU$4,0)+31),0)</f>
        <v>0</v>
      </c>
      <c r="AB103" s="365">
        <f>VLOOKUP($E103,'7. PGE_Efficacité'!$A$6:$BT$266,(MATCH('4.3 ACE EFF CAN'!AB$4,'7. PGE_Efficacité'!$A$4:$BU$4,0)+31),0)</f>
        <v>0</v>
      </c>
      <c r="AC103" s="365">
        <f>VLOOKUP($E103,'7. PGE_Efficacité'!$A$6:$BT$266,(MATCH('4.3 ACE EFF CAN'!AC$4,'7. PGE_Efficacité'!$A$4:$BU$4,0)+31),0)</f>
        <v>0</v>
      </c>
      <c r="AD103" s="365">
        <f>VLOOKUP($E103,'7. PGE_Efficacité'!$A$6:$BT$266,(MATCH('4.3 ACE EFF CAN'!AD$4,'7. PGE_Efficacité'!$A$4:$BU$4,0)+31),0)</f>
        <v>0</v>
      </c>
      <c r="AE103" s="365">
        <f>VLOOKUP($E103,'7. PGE_Efficacité'!$A$6:$BT$266,(MATCH('4.3 ACE EFF CAN'!AE$4,'7. PGE_Efficacité'!$A$4:$BU$4,0)+31),0)</f>
        <v>0</v>
      </c>
      <c r="AF103" s="365">
        <f>VLOOKUP($E103,'7. PGE_Efficacité'!$A$6:$BT$266,(MATCH('4.3 ACE EFF CAN'!AF$4,'7. PGE_Efficacité'!$A$4:$BU$4,0)+31),0)</f>
        <v>0</v>
      </c>
      <c r="AG103" s="365">
        <f>VLOOKUP($E103,'7. PGE_Efficacité'!$A$6:$BT$266,(MATCH('4.3 ACE EFF CAN'!AG$4,'7. PGE_Efficacité'!$A$4:$BU$4,0)+31),0)</f>
        <v>0</v>
      </c>
      <c r="AH103" s="365">
        <f>VLOOKUP($E103,'7. PGE_Efficacité'!$A$6:$BT$266,(MATCH('4.3 ACE EFF CAN'!AH$4,'7. PGE_Efficacité'!$A$4:$BU$4,0)+31),0)</f>
        <v>0</v>
      </c>
      <c r="AI103" s="365">
        <f>VLOOKUP($E103,'7. PGE_Efficacité'!$A$6:$BT$266,(MATCH('4.3 ACE EFF CAN'!AI$4,'7. PGE_Efficacité'!$A$4:$BU$4,0)+31),0)</f>
        <v>0</v>
      </c>
      <c r="AJ103" s="365">
        <f>VLOOKUP($E103,'7. PGE_Efficacité'!$A$6:$BT$266,(MATCH('4.3 ACE EFF CAN'!AJ$4,'7. PGE_Efficacité'!$A$4:$BU$4,0)+31),0)</f>
        <v>0</v>
      </c>
      <c r="AK103" s="365">
        <f>VLOOKUP($E103,'7. PGE_Efficacité'!$A$6:$BT$266,(MATCH('4.3 ACE EFF CAN'!AK$4,'7. PGE_Efficacité'!$A$4:$BU$4,0)+31),0)</f>
        <v>0</v>
      </c>
      <c r="AL103" s="365">
        <f>VLOOKUP($E103,'7. PGE_Efficacité'!$A$6:$BT$266,(MATCH('4.3 ACE EFF CAN'!AL$4,'7. PGE_Efficacité'!$A$4:$BU$4,0)+31),0)</f>
        <v>0</v>
      </c>
      <c r="AM103" s="365">
        <f>VLOOKUP($E103,'7. PGE_Efficacité'!$A$6:$BT$266,(MATCH('4.3 ACE EFF CAN'!AM$4,'7. PGE_Efficacité'!$A$4:$BU$4,0)+31),0)</f>
        <v>0</v>
      </c>
      <c r="AN103" s="365">
        <f>VLOOKUP($E103,'7. PGE_Efficacité'!$A$6:$BT$266,(MATCH('4.3 ACE EFF CAN'!AN$4,'7. PGE_Efficacité'!$A$4:$BU$4,0)+31),0)</f>
        <v>0</v>
      </c>
    </row>
    <row r="104" spans="1:40" outlineLevel="2" x14ac:dyDescent="0.25">
      <c r="A104" s="154" t="s">
        <v>1524</v>
      </c>
      <c r="B104" s="154">
        <v>18</v>
      </c>
      <c r="C104" s="154" t="s">
        <v>1529</v>
      </c>
      <c r="D104" s="330" t="s">
        <v>18</v>
      </c>
      <c r="E104" s="330" t="s">
        <v>696</v>
      </c>
      <c r="F104" s="330" t="s">
        <v>1356</v>
      </c>
      <c r="G104" s="330" t="s">
        <v>1520</v>
      </c>
      <c r="H104" s="330" t="s">
        <v>414</v>
      </c>
      <c r="I104" s="364">
        <v>0</v>
      </c>
      <c r="J104" s="365">
        <f>VLOOKUP($E104,'7. PGE_Efficacité'!$A$6:$BT$266,(MATCH('4.3 ACE EFF CAN'!J$4,'7. PGE_Efficacité'!$A$4:$BU$4,0)+31),0)</f>
        <v>0</v>
      </c>
      <c r="K104" s="365">
        <f>VLOOKUP($E104,'7. PGE_Efficacité'!$A$6:$BT$266,(MATCH('4.3 ACE EFF CAN'!K$4,'7. PGE_Efficacité'!$A$4:$BU$4,0)+31),0)</f>
        <v>0</v>
      </c>
      <c r="L104" s="365">
        <f>VLOOKUP($E104,'7. PGE_Efficacité'!$A$6:$BT$266,(MATCH('4.3 ACE EFF CAN'!L$4,'7. PGE_Efficacité'!$A$4:$BU$4,0)+31),0)</f>
        <v>0</v>
      </c>
      <c r="M104" s="365">
        <f>VLOOKUP($E104,'7. PGE_Efficacité'!$A$6:$BT$266,(MATCH('4.3 ACE EFF CAN'!M$4,'7. PGE_Efficacité'!$A$4:$BU$4,0)+31),0)</f>
        <v>0</v>
      </c>
      <c r="N104" s="365">
        <f>VLOOKUP($E104,'7. PGE_Efficacité'!$A$6:$BT$266,(MATCH('4.3 ACE EFF CAN'!N$4,'7. PGE_Efficacité'!$A$4:$BU$4,0)+31),0)</f>
        <v>0</v>
      </c>
      <c r="O104" s="365">
        <f>VLOOKUP($E104,'7. PGE_Efficacité'!$A$6:$BT$266,(MATCH('4.3 ACE EFF CAN'!O$4,'7. PGE_Efficacité'!$A$4:$BU$4,0)+31),0)</f>
        <v>0</v>
      </c>
      <c r="P104" s="365">
        <f>VLOOKUP($E104,'7. PGE_Efficacité'!$A$6:$BT$266,(MATCH('4.3 ACE EFF CAN'!P$4,'7. PGE_Efficacité'!$A$4:$BU$4,0)+31),0)</f>
        <v>0</v>
      </c>
      <c r="Q104" s="365">
        <f>VLOOKUP($E104,'7. PGE_Efficacité'!$A$6:$BT$266,(MATCH('4.3 ACE EFF CAN'!Q$4,'7. PGE_Efficacité'!$A$4:$BU$4,0)+31),0)</f>
        <v>0</v>
      </c>
      <c r="R104" s="365">
        <f>VLOOKUP($E104,'7. PGE_Efficacité'!$A$6:$BT$266,(MATCH('4.3 ACE EFF CAN'!R$4,'7. PGE_Efficacité'!$A$4:$BU$4,0)+31),0)</f>
        <v>0</v>
      </c>
      <c r="S104" s="365">
        <f>VLOOKUP($E104,'7. PGE_Efficacité'!$A$6:$BT$266,(MATCH('4.3 ACE EFF CAN'!S$4,'7. PGE_Efficacité'!$A$4:$BU$4,0)+31),0)</f>
        <v>0</v>
      </c>
      <c r="T104" s="365">
        <f>VLOOKUP($E104,'7. PGE_Efficacité'!$A$6:$BT$266,(MATCH('4.3 ACE EFF CAN'!T$4,'7. PGE_Efficacité'!$A$4:$BU$4,0)+31),0)</f>
        <v>0</v>
      </c>
      <c r="U104" s="365">
        <f>VLOOKUP($E104,'7. PGE_Efficacité'!$A$6:$BT$266,(MATCH('4.3 ACE EFF CAN'!U$4,'7. PGE_Efficacité'!$A$4:$BU$4,0)+31),0)</f>
        <v>0</v>
      </c>
      <c r="V104" s="365">
        <f>VLOOKUP($E104,'7. PGE_Efficacité'!$A$6:$BT$266,(MATCH('4.3 ACE EFF CAN'!V$4,'7. PGE_Efficacité'!$A$4:$BU$4,0)+31),0)</f>
        <v>0</v>
      </c>
      <c r="W104" s="365">
        <f>VLOOKUP($E104,'7. PGE_Efficacité'!$A$6:$BT$266,(MATCH('4.3 ACE EFF CAN'!W$4,'7. PGE_Efficacité'!$A$4:$BU$4,0)+31),0)</f>
        <v>0</v>
      </c>
      <c r="X104" s="365">
        <f>VLOOKUP($E104,'7. PGE_Efficacité'!$A$6:$BT$266,(MATCH('4.3 ACE EFF CAN'!X$4,'7. PGE_Efficacité'!$A$4:$BU$4,0)+31),0)</f>
        <v>0</v>
      </c>
      <c r="Y104" s="365">
        <f>VLOOKUP($E104,'7. PGE_Efficacité'!$A$6:$BT$266,(MATCH('4.3 ACE EFF CAN'!Y$4,'7. PGE_Efficacité'!$A$4:$BU$4,0)+31),0)</f>
        <v>0</v>
      </c>
      <c r="Z104" s="365">
        <f>VLOOKUP($E104,'7. PGE_Efficacité'!$A$6:$BT$266,(MATCH('4.3 ACE EFF CAN'!Z$4,'7. PGE_Efficacité'!$A$4:$BU$4,0)+31),0)</f>
        <v>0</v>
      </c>
      <c r="AA104" s="365">
        <f>VLOOKUP($E104,'7. PGE_Efficacité'!$A$6:$BT$266,(MATCH('4.3 ACE EFF CAN'!AA$4,'7. PGE_Efficacité'!$A$4:$BU$4,0)+31),0)</f>
        <v>0</v>
      </c>
      <c r="AB104" s="365">
        <f>VLOOKUP($E104,'7. PGE_Efficacité'!$A$6:$BT$266,(MATCH('4.3 ACE EFF CAN'!AB$4,'7. PGE_Efficacité'!$A$4:$BU$4,0)+31),0)</f>
        <v>0</v>
      </c>
      <c r="AC104" s="365">
        <f>VLOOKUP($E104,'7. PGE_Efficacité'!$A$6:$BT$266,(MATCH('4.3 ACE EFF CAN'!AC$4,'7. PGE_Efficacité'!$A$4:$BU$4,0)+31),0)</f>
        <v>0</v>
      </c>
      <c r="AD104" s="365">
        <f>VLOOKUP($E104,'7. PGE_Efficacité'!$A$6:$BT$266,(MATCH('4.3 ACE EFF CAN'!AD$4,'7. PGE_Efficacité'!$A$4:$BU$4,0)+31),0)</f>
        <v>0</v>
      </c>
      <c r="AE104" s="365">
        <f>VLOOKUP($E104,'7. PGE_Efficacité'!$A$6:$BT$266,(MATCH('4.3 ACE EFF CAN'!AE$4,'7. PGE_Efficacité'!$A$4:$BU$4,0)+31),0)</f>
        <v>0</v>
      </c>
      <c r="AF104" s="365">
        <f>VLOOKUP($E104,'7. PGE_Efficacité'!$A$6:$BT$266,(MATCH('4.3 ACE EFF CAN'!AF$4,'7. PGE_Efficacité'!$A$4:$BU$4,0)+31),0)</f>
        <v>0</v>
      </c>
      <c r="AG104" s="365">
        <f>VLOOKUP($E104,'7. PGE_Efficacité'!$A$6:$BT$266,(MATCH('4.3 ACE EFF CAN'!AG$4,'7. PGE_Efficacité'!$A$4:$BU$4,0)+31),0)</f>
        <v>0</v>
      </c>
      <c r="AH104" s="365">
        <f>VLOOKUP($E104,'7. PGE_Efficacité'!$A$6:$BT$266,(MATCH('4.3 ACE EFF CAN'!AH$4,'7. PGE_Efficacité'!$A$4:$BU$4,0)+31),0)</f>
        <v>0</v>
      </c>
      <c r="AI104" s="365">
        <f>VLOOKUP($E104,'7. PGE_Efficacité'!$A$6:$BT$266,(MATCH('4.3 ACE EFF CAN'!AI$4,'7. PGE_Efficacité'!$A$4:$BU$4,0)+31),0)</f>
        <v>0</v>
      </c>
      <c r="AJ104" s="365">
        <f>VLOOKUP($E104,'7. PGE_Efficacité'!$A$6:$BT$266,(MATCH('4.3 ACE EFF CAN'!AJ$4,'7. PGE_Efficacité'!$A$4:$BU$4,0)+31),0)</f>
        <v>0</v>
      </c>
      <c r="AK104" s="365">
        <f>VLOOKUP($E104,'7. PGE_Efficacité'!$A$6:$BT$266,(MATCH('4.3 ACE EFF CAN'!AK$4,'7. PGE_Efficacité'!$A$4:$BU$4,0)+31),0)</f>
        <v>0</v>
      </c>
      <c r="AL104" s="365">
        <f>VLOOKUP($E104,'7. PGE_Efficacité'!$A$6:$BT$266,(MATCH('4.3 ACE EFF CAN'!AL$4,'7. PGE_Efficacité'!$A$4:$BU$4,0)+31),0)</f>
        <v>0</v>
      </c>
      <c r="AM104" s="365">
        <f>VLOOKUP($E104,'7. PGE_Efficacité'!$A$6:$BT$266,(MATCH('4.3 ACE EFF CAN'!AM$4,'7. PGE_Efficacité'!$A$4:$BU$4,0)+31),0)</f>
        <v>0</v>
      </c>
      <c r="AN104" s="365">
        <f>VLOOKUP($E104,'7. PGE_Efficacité'!$A$6:$BT$266,(MATCH('4.3 ACE EFF CAN'!AN$4,'7. PGE_Efficacité'!$A$4:$BU$4,0)+31),0)</f>
        <v>0</v>
      </c>
    </row>
    <row r="105" spans="1:40" outlineLevel="2" x14ac:dyDescent="0.25">
      <c r="A105" s="154" t="s">
        <v>1524</v>
      </c>
      <c r="B105" s="154">
        <v>18</v>
      </c>
      <c r="C105" s="154" t="s">
        <v>1530</v>
      </c>
      <c r="D105" s="330" t="s">
        <v>18</v>
      </c>
      <c r="E105" s="330" t="s">
        <v>697</v>
      </c>
      <c r="F105" s="330" t="s">
        <v>1357</v>
      </c>
      <c r="G105" s="330" t="s">
        <v>1520</v>
      </c>
      <c r="H105" s="330" t="s">
        <v>414</v>
      </c>
      <c r="I105" s="364">
        <v>0</v>
      </c>
      <c r="J105" s="365">
        <f>VLOOKUP($E105,'7. PGE_Efficacité'!$A$6:$BT$266,(MATCH('4.3 ACE EFF CAN'!J$4,'7. PGE_Efficacité'!$A$4:$BU$4,0)+31),0)</f>
        <v>0</v>
      </c>
      <c r="K105" s="365">
        <f>VLOOKUP($E105,'7. PGE_Efficacité'!$A$6:$BT$266,(MATCH('4.3 ACE EFF CAN'!K$4,'7. PGE_Efficacité'!$A$4:$BU$4,0)+31),0)</f>
        <v>0</v>
      </c>
      <c r="L105" s="365">
        <f>VLOOKUP($E105,'7. PGE_Efficacité'!$A$6:$BT$266,(MATCH('4.3 ACE EFF CAN'!L$4,'7. PGE_Efficacité'!$A$4:$BU$4,0)+31),0)</f>
        <v>0</v>
      </c>
      <c r="M105" s="365">
        <f>VLOOKUP($E105,'7. PGE_Efficacité'!$A$6:$BT$266,(MATCH('4.3 ACE EFF CAN'!M$4,'7. PGE_Efficacité'!$A$4:$BU$4,0)+31),0)</f>
        <v>0</v>
      </c>
      <c r="N105" s="365">
        <f>VLOOKUP($E105,'7. PGE_Efficacité'!$A$6:$BT$266,(MATCH('4.3 ACE EFF CAN'!N$4,'7. PGE_Efficacité'!$A$4:$BU$4,0)+31),0)</f>
        <v>0</v>
      </c>
      <c r="O105" s="365">
        <f>VLOOKUP($E105,'7. PGE_Efficacité'!$A$6:$BT$266,(MATCH('4.3 ACE EFF CAN'!O$4,'7. PGE_Efficacité'!$A$4:$BU$4,0)+31),0)</f>
        <v>0</v>
      </c>
      <c r="P105" s="365">
        <f>VLOOKUP($E105,'7. PGE_Efficacité'!$A$6:$BT$266,(MATCH('4.3 ACE EFF CAN'!P$4,'7. PGE_Efficacité'!$A$4:$BU$4,0)+31),0)</f>
        <v>0</v>
      </c>
      <c r="Q105" s="365">
        <f>VLOOKUP($E105,'7. PGE_Efficacité'!$A$6:$BT$266,(MATCH('4.3 ACE EFF CAN'!Q$4,'7. PGE_Efficacité'!$A$4:$BU$4,0)+31),0)</f>
        <v>0</v>
      </c>
      <c r="R105" s="365">
        <f>VLOOKUP($E105,'7. PGE_Efficacité'!$A$6:$BT$266,(MATCH('4.3 ACE EFF CAN'!R$4,'7. PGE_Efficacité'!$A$4:$BU$4,0)+31),0)</f>
        <v>0</v>
      </c>
      <c r="S105" s="365">
        <f>VLOOKUP($E105,'7. PGE_Efficacité'!$A$6:$BT$266,(MATCH('4.3 ACE EFF CAN'!S$4,'7. PGE_Efficacité'!$A$4:$BU$4,0)+31),0)</f>
        <v>0</v>
      </c>
      <c r="T105" s="365">
        <f>VLOOKUP($E105,'7. PGE_Efficacité'!$A$6:$BT$266,(MATCH('4.3 ACE EFF CAN'!T$4,'7. PGE_Efficacité'!$A$4:$BU$4,0)+31),0)</f>
        <v>0</v>
      </c>
      <c r="U105" s="365">
        <f>VLOOKUP($E105,'7. PGE_Efficacité'!$A$6:$BT$266,(MATCH('4.3 ACE EFF CAN'!U$4,'7. PGE_Efficacité'!$A$4:$BU$4,0)+31),0)</f>
        <v>0</v>
      </c>
      <c r="V105" s="365">
        <f>VLOOKUP($E105,'7. PGE_Efficacité'!$A$6:$BT$266,(MATCH('4.3 ACE EFF CAN'!V$4,'7. PGE_Efficacité'!$A$4:$BU$4,0)+31),0)</f>
        <v>0</v>
      </c>
      <c r="W105" s="365">
        <f>VLOOKUP($E105,'7. PGE_Efficacité'!$A$6:$BT$266,(MATCH('4.3 ACE EFF CAN'!W$4,'7. PGE_Efficacité'!$A$4:$BU$4,0)+31),0)</f>
        <v>0</v>
      </c>
      <c r="X105" s="365">
        <f>VLOOKUP($E105,'7. PGE_Efficacité'!$A$6:$BT$266,(MATCH('4.3 ACE EFF CAN'!X$4,'7. PGE_Efficacité'!$A$4:$BU$4,0)+31),0)</f>
        <v>0</v>
      </c>
      <c r="Y105" s="365">
        <f>VLOOKUP($E105,'7. PGE_Efficacité'!$A$6:$BT$266,(MATCH('4.3 ACE EFF CAN'!Y$4,'7. PGE_Efficacité'!$A$4:$BU$4,0)+31),0)</f>
        <v>0</v>
      </c>
      <c r="Z105" s="365">
        <f>VLOOKUP($E105,'7. PGE_Efficacité'!$A$6:$BT$266,(MATCH('4.3 ACE EFF CAN'!Z$4,'7. PGE_Efficacité'!$A$4:$BU$4,0)+31),0)</f>
        <v>0</v>
      </c>
      <c r="AA105" s="365">
        <f>VLOOKUP($E105,'7. PGE_Efficacité'!$A$6:$BT$266,(MATCH('4.3 ACE EFF CAN'!AA$4,'7. PGE_Efficacité'!$A$4:$BU$4,0)+31),0)</f>
        <v>0</v>
      </c>
      <c r="AB105" s="365">
        <f>VLOOKUP($E105,'7. PGE_Efficacité'!$A$6:$BT$266,(MATCH('4.3 ACE EFF CAN'!AB$4,'7. PGE_Efficacité'!$A$4:$BU$4,0)+31),0)</f>
        <v>0</v>
      </c>
      <c r="AC105" s="365">
        <f>VLOOKUP($E105,'7. PGE_Efficacité'!$A$6:$BT$266,(MATCH('4.3 ACE EFF CAN'!AC$4,'7. PGE_Efficacité'!$A$4:$BU$4,0)+31),0)</f>
        <v>0</v>
      </c>
      <c r="AD105" s="365">
        <f>VLOOKUP($E105,'7. PGE_Efficacité'!$A$6:$BT$266,(MATCH('4.3 ACE EFF CAN'!AD$4,'7. PGE_Efficacité'!$A$4:$BU$4,0)+31),0)</f>
        <v>0</v>
      </c>
      <c r="AE105" s="365">
        <f>VLOOKUP($E105,'7. PGE_Efficacité'!$A$6:$BT$266,(MATCH('4.3 ACE EFF CAN'!AE$4,'7. PGE_Efficacité'!$A$4:$BU$4,0)+31),0)</f>
        <v>0</v>
      </c>
      <c r="AF105" s="365">
        <f>VLOOKUP($E105,'7. PGE_Efficacité'!$A$6:$BT$266,(MATCH('4.3 ACE EFF CAN'!AF$4,'7. PGE_Efficacité'!$A$4:$BU$4,0)+31),0)</f>
        <v>0</v>
      </c>
      <c r="AG105" s="365">
        <f>VLOOKUP($E105,'7. PGE_Efficacité'!$A$6:$BT$266,(MATCH('4.3 ACE EFF CAN'!AG$4,'7. PGE_Efficacité'!$A$4:$BU$4,0)+31),0)</f>
        <v>0</v>
      </c>
      <c r="AH105" s="365">
        <f>VLOOKUP($E105,'7. PGE_Efficacité'!$A$6:$BT$266,(MATCH('4.3 ACE EFF CAN'!AH$4,'7. PGE_Efficacité'!$A$4:$BU$4,0)+31),0)</f>
        <v>0</v>
      </c>
      <c r="AI105" s="365">
        <f>VLOOKUP($E105,'7. PGE_Efficacité'!$A$6:$BT$266,(MATCH('4.3 ACE EFF CAN'!AI$4,'7. PGE_Efficacité'!$A$4:$BU$4,0)+31),0)</f>
        <v>0</v>
      </c>
      <c r="AJ105" s="365">
        <f>VLOOKUP($E105,'7. PGE_Efficacité'!$A$6:$BT$266,(MATCH('4.3 ACE EFF CAN'!AJ$4,'7. PGE_Efficacité'!$A$4:$BU$4,0)+31),0)</f>
        <v>0</v>
      </c>
      <c r="AK105" s="365">
        <f>VLOOKUP($E105,'7. PGE_Efficacité'!$A$6:$BT$266,(MATCH('4.3 ACE EFF CAN'!AK$4,'7. PGE_Efficacité'!$A$4:$BU$4,0)+31),0)</f>
        <v>0</v>
      </c>
      <c r="AL105" s="365">
        <f>VLOOKUP($E105,'7. PGE_Efficacité'!$A$6:$BT$266,(MATCH('4.3 ACE EFF CAN'!AL$4,'7. PGE_Efficacité'!$A$4:$BU$4,0)+31),0)</f>
        <v>0</v>
      </c>
      <c r="AM105" s="365">
        <f>VLOOKUP($E105,'7. PGE_Efficacité'!$A$6:$BT$266,(MATCH('4.3 ACE EFF CAN'!AM$4,'7. PGE_Efficacité'!$A$4:$BU$4,0)+31),0)</f>
        <v>0</v>
      </c>
      <c r="AN105" s="365">
        <f>VLOOKUP($E105,'7. PGE_Efficacité'!$A$6:$BT$266,(MATCH('4.3 ACE EFF CAN'!AN$4,'7. PGE_Efficacité'!$A$4:$BU$4,0)+31),0)</f>
        <v>0</v>
      </c>
    </row>
    <row r="106" spans="1:40" outlineLevel="2" x14ac:dyDescent="0.25">
      <c r="A106" s="154" t="s">
        <v>1524</v>
      </c>
      <c r="B106" s="154">
        <v>18</v>
      </c>
      <c r="C106" s="154" t="s">
        <v>1531</v>
      </c>
      <c r="D106" s="330" t="s">
        <v>18</v>
      </c>
      <c r="E106" s="330" t="s">
        <v>698</v>
      </c>
      <c r="F106" s="330" t="s">
        <v>1358</v>
      </c>
      <c r="G106" s="330" t="s">
        <v>1520</v>
      </c>
      <c r="H106" s="330" t="s">
        <v>414</v>
      </c>
      <c r="I106" s="364">
        <v>0</v>
      </c>
      <c r="J106" s="365">
        <f>VLOOKUP($E106,'7. PGE_Efficacité'!$A$6:$BT$266,(MATCH('4.3 ACE EFF CAN'!J$4,'7. PGE_Efficacité'!$A$4:$BU$4,0)+31),0)</f>
        <v>0</v>
      </c>
      <c r="K106" s="365">
        <f>VLOOKUP($E106,'7. PGE_Efficacité'!$A$6:$BT$266,(MATCH('4.3 ACE EFF CAN'!K$4,'7. PGE_Efficacité'!$A$4:$BU$4,0)+31),0)</f>
        <v>0</v>
      </c>
      <c r="L106" s="365">
        <f>VLOOKUP($E106,'7. PGE_Efficacité'!$A$6:$BT$266,(MATCH('4.3 ACE EFF CAN'!L$4,'7. PGE_Efficacité'!$A$4:$BU$4,0)+31),0)</f>
        <v>0</v>
      </c>
      <c r="M106" s="365">
        <f>VLOOKUP($E106,'7. PGE_Efficacité'!$A$6:$BT$266,(MATCH('4.3 ACE EFF CAN'!M$4,'7. PGE_Efficacité'!$A$4:$BU$4,0)+31),0)</f>
        <v>0</v>
      </c>
      <c r="N106" s="365">
        <f>VLOOKUP($E106,'7. PGE_Efficacité'!$A$6:$BT$266,(MATCH('4.3 ACE EFF CAN'!N$4,'7. PGE_Efficacité'!$A$4:$BU$4,0)+31),0)</f>
        <v>0</v>
      </c>
      <c r="O106" s="365">
        <f>VLOOKUP($E106,'7. PGE_Efficacité'!$A$6:$BT$266,(MATCH('4.3 ACE EFF CAN'!O$4,'7. PGE_Efficacité'!$A$4:$BU$4,0)+31),0)</f>
        <v>0</v>
      </c>
      <c r="P106" s="365">
        <f>VLOOKUP($E106,'7. PGE_Efficacité'!$A$6:$BT$266,(MATCH('4.3 ACE EFF CAN'!P$4,'7. PGE_Efficacité'!$A$4:$BU$4,0)+31),0)</f>
        <v>0</v>
      </c>
      <c r="Q106" s="365">
        <f>VLOOKUP($E106,'7. PGE_Efficacité'!$A$6:$BT$266,(MATCH('4.3 ACE EFF CAN'!Q$4,'7. PGE_Efficacité'!$A$4:$BU$4,0)+31),0)</f>
        <v>0</v>
      </c>
      <c r="R106" s="365">
        <f>VLOOKUP($E106,'7. PGE_Efficacité'!$A$6:$BT$266,(MATCH('4.3 ACE EFF CAN'!R$4,'7. PGE_Efficacité'!$A$4:$BU$4,0)+31),0)</f>
        <v>0</v>
      </c>
      <c r="S106" s="365">
        <f>VLOOKUP($E106,'7. PGE_Efficacité'!$A$6:$BT$266,(MATCH('4.3 ACE EFF CAN'!S$4,'7. PGE_Efficacité'!$A$4:$BU$4,0)+31),0)</f>
        <v>0</v>
      </c>
      <c r="T106" s="365">
        <f>VLOOKUP($E106,'7. PGE_Efficacité'!$A$6:$BT$266,(MATCH('4.3 ACE EFF CAN'!T$4,'7. PGE_Efficacité'!$A$4:$BU$4,0)+31),0)</f>
        <v>0</v>
      </c>
      <c r="U106" s="365">
        <f>VLOOKUP($E106,'7. PGE_Efficacité'!$A$6:$BT$266,(MATCH('4.3 ACE EFF CAN'!U$4,'7. PGE_Efficacité'!$A$4:$BU$4,0)+31),0)</f>
        <v>0</v>
      </c>
      <c r="V106" s="365">
        <f>VLOOKUP($E106,'7. PGE_Efficacité'!$A$6:$BT$266,(MATCH('4.3 ACE EFF CAN'!V$4,'7. PGE_Efficacité'!$A$4:$BU$4,0)+31),0)</f>
        <v>0</v>
      </c>
      <c r="W106" s="365">
        <f>VLOOKUP($E106,'7. PGE_Efficacité'!$A$6:$BT$266,(MATCH('4.3 ACE EFF CAN'!W$4,'7. PGE_Efficacité'!$A$4:$BU$4,0)+31),0)</f>
        <v>0</v>
      </c>
      <c r="X106" s="365">
        <f>VLOOKUP($E106,'7. PGE_Efficacité'!$A$6:$BT$266,(MATCH('4.3 ACE EFF CAN'!X$4,'7. PGE_Efficacité'!$A$4:$BU$4,0)+31),0)</f>
        <v>0</v>
      </c>
      <c r="Y106" s="365">
        <f>VLOOKUP($E106,'7. PGE_Efficacité'!$A$6:$BT$266,(MATCH('4.3 ACE EFF CAN'!Y$4,'7. PGE_Efficacité'!$A$4:$BU$4,0)+31),0)</f>
        <v>0</v>
      </c>
      <c r="Z106" s="365">
        <f>VLOOKUP($E106,'7. PGE_Efficacité'!$A$6:$BT$266,(MATCH('4.3 ACE EFF CAN'!Z$4,'7. PGE_Efficacité'!$A$4:$BU$4,0)+31),0)</f>
        <v>0</v>
      </c>
      <c r="AA106" s="365">
        <f>VLOOKUP($E106,'7. PGE_Efficacité'!$A$6:$BT$266,(MATCH('4.3 ACE EFF CAN'!AA$4,'7. PGE_Efficacité'!$A$4:$BU$4,0)+31),0)</f>
        <v>0</v>
      </c>
      <c r="AB106" s="365">
        <f>VLOOKUP($E106,'7. PGE_Efficacité'!$A$6:$BT$266,(MATCH('4.3 ACE EFF CAN'!AB$4,'7. PGE_Efficacité'!$A$4:$BU$4,0)+31),0)</f>
        <v>0</v>
      </c>
      <c r="AC106" s="365">
        <f>VLOOKUP($E106,'7. PGE_Efficacité'!$A$6:$BT$266,(MATCH('4.3 ACE EFF CAN'!AC$4,'7. PGE_Efficacité'!$A$4:$BU$4,0)+31),0)</f>
        <v>0</v>
      </c>
      <c r="AD106" s="365">
        <f>VLOOKUP($E106,'7. PGE_Efficacité'!$A$6:$BT$266,(MATCH('4.3 ACE EFF CAN'!AD$4,'7. PGE_Efficacité'!$A$4:$BU$4,0)+31),0)</f>
        <v>0</v>
      </c>
      <c r="AE106" s="365">
        <f>VLOOKUP($E106,'7. PGE_Efficacité'!$A$6:$BT$266,(MATCH('4.3 ACE EFF CAN'!AE$4,'7. PGE_Efficacité'!$A$4:$BU$4,0)+31),0)</f>
        <v>0</v>
      </c>
      <c r="AF106" s="365">
        <f>VLOOKUP($E106,'7. PGE_Efficacité'!$A$6:$BT$266,(MATCH('4.3 ACE EFF CAN'!AF$4,'7. PGE_Efficacité'!$A$4:$BU$4,0)+31),0)</f>
        <v>0</v>
      </c>
      <c r="AG106" s="365">
        <f>VLOOKUP($E106,'7. PGE_Efficacité'!$A$6:$BT$266,(MATCH('4.3 ACE EFF CAN'!AG$4,'7. PGE_Efficacité'!$A$4:$BU$4,0)+31),0)</f>
        <v>0</v>
      </c>
      <c r="AH106" s="365">
        <f>VLOOKUP($E106,'7. PGE_Efficacité'!$A$6:$BT$266,(MATCH('4.3 ACE EFF CAN'!AH$4,'7. PGE_Efficacité'!$A$4:$BU$4,0)+31),0)</f>
        <v>0</v>
      </c>
      <c r="AI106" s="365">
        <f>VLOOKUP($E106,'7. PGE_Efficacité'!$A$6:$BT$266,(MATCH('4.3 ACE EFF CAN'!AI$4,'7. PGE_Efficacité'!$A$4:$BU$4,0)+31),0)</f>
        <v>0</v>
      </c>
      <c r="AJ106" s="365">
        <f>VLOOKUP($E106,'7. PGE_Efficacité'!$A$6:$BT$266,(MATCH('4.3 ACE EFF CAN'!AJ$4,'7. PGE_Efficacité'!$A$4:$BU$4,0)+31),0)</f>
        <v>0</v>
      </c>
      <c r="AK106" s="365">
        <f>VLOOKUP($E106,'7. PGE_Efficacité'!$A$6:$BT$266,(MATCH('4.3 ACE EFF CAN'!AK$4,'7. PGE_Efficacité'!$A$4:$BU$4,0)+31),0)</f>
        <v>0</v>
      </c>
      <c r="AL106" s="365">
        <f>VLOOKUP($E106,'7. PGE_Efficacité'!$A$6:$BT$266,(MATCH('4.3 ACE EFF CAN'!AL$4,'7. PGE_Efficacité'!$A$4:$BU$4,0)+31),0)</f>
        <v>0</v>
      </c>
      <c r="AM106" s="365">
        <f>VLOOKUP($E106,'7. PGE_Efficacité'!$A$6:$BT$266,(MATCH('4.3 ACE EFF CAN'!AM$4,'7. PGE_Efficacité'!$A$4:$BU$4,0)+31),0)</f>
        <v>0</v>
      </c>
      <c r="AN106" s="365">
        <f>VLOOKUP($E106,'7. PGE_Efficacité'!$A$6:$BT$266,(MATCH('4.3 ACE EFF CAN'!AN$4,'7. PGE_Efficacité'!$A$4:$BU$4,0)+31),0)</f>
        <v>0</v>
      </c>
    </row>
    <row r="107" spans="1:40" outlineLevel="2" x14ac:dyDescent="0.25">
      <c r="A107" s="154" t="s">
        <v>1524</v>
      </c>
      <c r="B107" s="154">
        <v>18</v>
      </c>
      <c r="C107" s="154" t="s">
        <v>1503</v>
      </c>
      <c r="D107" s="330" t="s">
        <v>18</v>
      </c>
      <c r="E107" s="330" t="s">
        <v>690</v>
      </c>
      <c r="F107" s="330" t="s">
        <v>1350</v>
      </c>
      <c r="G107" s="330" t="s">
        <v>1520</v>
      </c>
      <c r="H107" s="330" t="s">
        <v>414</v>
      </c>
      <c r="I107" s="364">
        <v>0</v>
      </c>
      <c r="J107" s="365">
        <f>VLOOKUP($E107,'7. PGE_Efficacité'!$A$6:$BT$266,(MATCH('4.3 ACE EFF CAN'!J$4,'7. PGE_Efficacité'!$A$4:$BU$4,0)+31),0)</f>
        <v>0</v>
      </c>
      <c r="K107" s="365">
        <f>VLOOKUP($E107,'7. PGE_Efficacité'!$A$6:$BT$266,(MATCH('4.3 ACE EFF CAN'!K$4,'7. PGE_Efficacité'!$A$4:$BU$4,0)+31),0)</f>
        <v>0</v>
      </c>
      <c r="L107" s="365">
        <f>VLOOKUP($E107,'7. PGE_Efficacité'!$A$6:$BT$266,(MATCH('4.3 ACE EFF CAN'!L$4,'7. PGE_Efficacité'!$A$4:$BU$4,0)+31),0)</f>
        <v>0</v>
      </c>
      <c r="M107" s="365">
        <f>VLOOKUP($E107,'7. PGE_Efficacité'!$A$6:$BT$266,(MATCH('4.3 ACE EFF CAN'!M$4,'7. PGE_Efficacité'!$A$4:$BU$4,0)+31),0)</f>
        <v>0</v>
      </c>
      <c r="N107" s="365">
        <f>VLOOKUP($E107,'7. PGE_Efficacité'!$A$6:$BT$266,(MATCH('4.3 ACE EFF CAN'!N$4,'7. PGE_Efficacité'!$A$4:$BU$4,0)+31),0)</f>
        <v>0</v>
      </c>
      <c r="O107" s="365">
        <f>VLOOKUP($E107,'7. PGE_Efficacité'!$A$6:$BT$266,(MATCH('4.3 ACE EFF CAN'!O$4,'7. PGE_Efficacité'!$A$4:$BU$4,0)+31),0)</f>
        <v>0</v>
      </c>
      <c r="P107" s="365">
        <f>VLOOKUP($E107,'7. PGE_Efficacité'!$A$6:$BT$266,(MATCH('4.3 ACE EFF CAN'!P$4,'7. PGE_Efficacité'!$A$4:$BU$4,0)+31),0)</f>
        <v>0</v>
      </c>
      <c r="Q107" s="365">
        <f>VLOOKUP($E107,'7. PGE_Efficacité'!$A$6:$BT$266,(MATCH('4.3 ACE EFF CAN'!Q$4,'7. PGE_Efficacité'!$A$4:$BU$4,0)+31),0)</f>
        <v>0</v>
      </c>
      <c r="R107" s="365">
        <f>VLOOKUP($E107,'7. PGE_Efficacité'!$A$6:$BT$266,(MATCH('4.3 ACE EFF CAN'!R$4,'7. PGE_Efficacité'!$A$4:$BU$4,0)+31),0)</f>
        <v>0</v>
      </c>
      <c r="S107" s="365">
        <f>VLOOKUP($E107,'7. PGE_Efficacité'!$A$6:$BT$266,(MATCH('4.3 ACE EFF CAN'!S$4,'7. PGE_Efficacité'!$A$4:$BU$4,0)+31),0)</f>
        <v>0</v>
      </c>
      <c r="T107" s="365">
        <f>VLOOKUP($E107,'7. PGE_Efficacité'!$A$6:$BT$266,(MATCH('4.3 ACE EFF CAN'!T$4,'7. PGE_Efficacité'!$A$4:$BU$4,0)+31),0)</f>
        <v>0</v>
      </c>
      <c r="U107" s="365">
        <f>VLOOKUP($E107,'7. PGE_Efficacité'!$A$6:$BT$266,(MATCH('4.3 ACE EFF CAN'!U$4,'7. PGE_Efficacité'!$A$4:$BU$4,0)+31),0)</f>
        <v>0</v>
      </c>
      <c r="V107" s="365">
        <f>VLOOKUP($E107,'7. PGE_Efficacité'!$A$6:$BT$266,(MATCH('4.3 ACE EFF CAN'!V$4,'7. PGE_Efficacité'!$A$4:$BU$4,0)+31),0)</f>
        <v>0</v>
      </c>
      <c r="W107" s="365">
        <f>VLOOKUP($E107,'7. PGE_Efficacité'!$A$6:$BT$266,(MATCH('4.3 ACE EFF CAN'!W$4,'7. PGE_Efficacité'!$A$4:$BU$4,0)+31),0)</f>
        <v>0</v>
      </c>
      <c r="X107" s="365">
        <f>VLOOKUP($E107,'7. PGE_Efficacité'!$A$6:$BT$266,(MATCH('4.3 ACE EFF CAN'!X$4,'7. PGE_Efficacité'!$A$4:$BU$4,0)+31),0)</f>
        <v>0</v>
      </c>
      <c r="Y107" s="365">
        <f>VLOOKUP($E107,'7. PGE_Efficacité'!$A$6:$BT$266,(MATCH('4.3 ACE EFF CAN'!Y$4,'7. PGE_Efficacité'!$A$4:$BU$4,0)+31),0)</f>
        <v>0</v>
      </c>
      <c r="Z107" s="365">
        <f>VLOOKUP($E107,'7. PGE_Efficacité'!$A$6:$BT$266,(MATCH('4.3 ACE EFF CAN'!Z$4,'7. PGE_Efficacité'!$A$4:$BU$4,0)+31),0)</f>
        <v>0</v>
      </c>
      <c r="AA107" s="365">
        <f>VLOOKUP($E107,'7. PGE_Efficacité'!$A$6:$BT$266,(MATCH('4.3 ACE EFF CAN'!AA$4,'7. PGE_Efficacité'!$A$4:$BU$4,0)+31),0)</f>
        <v>0</v>
      </c>
      <c r="AB107" s="365">
        <f>VLOOKUP($E107,'7. PGE_Efficacité'!$A$6:$BT$266,(MATCH('4.3 ACE EFF CAN'!AB$4,'7. PGE_Efficacité'!$A$4:$BU$4,0)+31),0)</f>
        <v>0</v>
      </c>
      <c r="AC107" s="365">
        <f>VLOOKUP($E107,'7. PGE_Efficacité'!$A$6:$BT$266,(MATCH('4.3 ACE EFF CAN'!AC$4,'7. PGE_Efficacité'!$A$4:$BU$4,0)+31),0)</f>
        <v>0</v>
      </c>
      <c r="AD107" s="365">
        <f>VLOOKUP($E107,'7. PGE_Efficacité'!$A$6:$BT$266,(MATCH('4.3 ACE EFF CAN'!AD$4,'7. PGE_Efficacité'!$A$4:$BU$4,0)+31),0)</f>
        <v>0</v>
      </c>
      <c r="AE107" s="365">
        <f>VLOOKUP($E107,'7. PGE_Efficacité'!$A$6:$BT$266,(MATCH('4.3 ACE EFF CAN'!AE$4,'7. PGE_Efficacité'!$A$4:$BU$4,0)+31),0)</f>
        <v>0</v>
      </c>
      <c r="AF107" s="365">
        <f>VLOOKUP($E107,'7. PGE_Efficacité'!$A$6:$BT$266,(MATCH('4.3 ACE EFF CAN'!AF$4,'7. PGE_Efficacité'!$A$4:$BU$4,0)+31),0)</f>
        <v>0</v>
      </c>
      <c r="AG107" s="365">
        <f>VLOOKUP($E107,'7. PGE_Efficacité'!$A$6:$BT$266,(MATCH('4.3 ACE EFF CAN'!AG$4,'7. PGE_Efficacité'!$A$4:$BU$4,0)+31),0)</f>
        <v>0</v>
      </c>
      <c r="AH107" s="365">
        <f>VLOOKUP($E107,'7. PGE_Efficacité'!$A$6:$BT$266,(MATCH('4.3 ACE EFF CAN'!AH$4,'7. PGE_Efficacité'!$A$4:$BU$4,0)+31),0)</f>
        <v>0</v>
      </c>
      <c r="AI107" s="365">
        <f>VLOOKUP($E107,'7. PGE_Efficacité'!$A$6:$BT$266,(MATCH('4.3 ACE EFF CAN'!AI$4,'7. PGE_Efficacité'!$A$4:$BU$4,0)+31),0)</f>
        <v>0</v>
      </c>
      <c r="AJ107" s="365">
        <f>VLOOKUP($E107,'7. PGE_Efficacité'!$A$6:$BT$266,(MATCH('4.3 ACE EFF CAN'!AJ$4,'7. PGE_Efficacité'!$A$4:$BU$4,0)+31),0)</f>
        <v>0</v>
      </c>
      <c r="AK107" s="365">
        <f>VLOOKUP($E107,'7. PGE_Efficacité'!$A$6:$BT$266,(MATCH('4.3 ACE EFF CAN'!AK$4,'7. PGE_Efficacité'!$A$4:$BU$4,0)+31),0)</f>
        <v>0</v>
      </c>
      <c r="AL107" s="365">
        <f>VLOOKUP($E107,'7. PGE_Efficacité'!$A$6:$BT$266,(MATCH('4.3 ACE EFF CAN'!AL$4,'7. PGE_Efficacité'!$A$4:$BU$4,0)+31),0)</f>
        <v>0</v>
      </c>
      <c r="AM107" s="365">
        <f>VLOOKUP($E107,'7. PGE_Efficacité'!$A$6:$BT$266,(MATCH('4.3 ACE EFF CAN'!AM$4,'7. PGE_Efficacité'!$A$4:$BU$4,0)+31),0)</f>
        <v>0</v>
      </c>
      <c r="AN107" s="365">
        <f>VLOOKUP($E107,'7. PGE_Efficacité'!$A$6:$BT$266,(MATCH('4.3 ACE EFF CAN'!AN$4,'7. PGE_Efficacité'!$A$4:$BU$4,0)+31),0)</f>
        <v>0</v>
      </c>
    </row>
    <row r="108" spans="1:40" ht="18.600000000000001" customHeight="1" outlineLevel="2" x14ac:dyDescent="0.25">
      <c r="A108" s="154" t="s">
        <v>1524</v>
      </c>
      <c r="B108" s="154">
        <v>18</v>
      </c>
      <c r="C108" s="154" t="s">
        <v>1532</v>
      </c>
      <c r="D108" s="330" t="s">
        <v>18</v>
      </c>
      <c r="E108" s="330" t="s">
        <v>699</v>
      </c>
      <c r="F108" s="330" t="s">
        <v>1359</v>
      </c>
      <c r="G108" s="330" t="s">
        <v>1520</v>
      </c>
      <c r="H108" s="330" t="s">
        <v>414</v>
      </c>
      <c r="I108" s="364">
        <v>0</v>
      </c>
      <c r="J108" s="365">
        <f>VLOOKUP($E108,'7. PGE_Efficacité'!$A$6:$BT$266,(MATCH('4.3 ACE EFF CAN'!J$4,'7. PGE_Efficacité'!$A$4:$BU$4,0)+31),0)</f>
        <v>0</v>
      </c>
      <c r="K108" s="365" t="str">
        <f>VLOOKUP($E108,'7. PGE_Efficacité'!$A$6:$BT$266,(MATCH('4.3 ACE EFF CAN'!K$4,'7. PGE_Efficacité'!$A$4:$BU$4,0)+31),0)</f>
        <v>+++</v>
      </c>
      <c r="L108" s="365" t="str">
        <f>VLOOKUP($E108,'7. PGE_Efficacité'!$A$6:$BT$266,(MATCH('4.3 ACE EFF CAN'!L$4,'7. PGE_Efficacité'!$A$4:$BU$4,0)+31),0)</f>
        <v>+++</v>
      </c>
      <c r="M108" s="365" t="str">
        <f>VLOOKUP($E108,'7. PGE_Efficacité'!$A$6:$BT$266,(MATCH('4.3 ACE EFF CAN'!M$4,'7. PGE_Efficacité'!$A$4:$BU$4,0)+31),0)</f>
        <v>+++</v>
      </c>
      <c r="N108" s="365" t="str">
        <f>VLOOKUP($E108,'7. PGE_Efficacité'!$A$6:$BT$266,(MATCH('4.3 ACE EFF CAN'!N$4,'7. PGE_Efficacité'!$A$4:$BU$4,0)+31),0)</f>
        <v>+++</v>
      </c>
      <c r="O108" s="365" t="str">
        <f>VLOOKUP($E108,'7. PGE_Efficacité'!$A$6:$BT$266,(MATCH('4.3 ACE EFF CAN'!O$4,'7. PGE_Efficacité'!$A$4:$BU$4,0)+31),0)</f>
        <v>+++</v>
      </c>
      <c r="P108" s="365">
        <f>VLOOKUP($E108,'7. PGE_Efficacité'!$A$6:$BT$266,(MATCH('4.3 ACE EFF CAN'!P$4,'7. PGE_Efficacité'!$A$4:$BU$4,0)+31),0)</f>
        <v>0</v>
      </c>
      <c r="Q108" s="365" t="str">
        <f>VLOOKUP($E108,'7. PGE_Efficacité'!$A$6:$BT$266,(MATCH('4.3 ACE EFF CAN'!Q$4,'7. PGE_Efficacité'!$A$4:$BU$4,0)+31),0)</f>
        <v>+++</v>
      </c>
      <c r="R108" s="365" t="str">
        <f>VLOOKUP($E108,'7. PGE_Efficacité'!$A$6:$BT$266,(MATCH('4.3 ACE EFF CAN'!R$4,'7. PGE_Efficacité'!$A$4:$BU$4,0)+31),0)</f>
        <v>+++</v>
      </c>
      <c r="S108" s="365">
        <f>VLOOKUP($E108,'7. PGE_Efficacité'!$A$6:$BT$266,(MATCH('4.3 ACE EFF CAN'!S$4,'7. PGE_Efficacité'!$A$4:$BU$4,0)+31),0)</f>
        <v>0</v>
      </c>
      <c r="T108" s="365" t="str">
        <f>VLOOKUP($E108,'7. PGE_Efficacité'!$A$6:$BT$266,(MATCH('4.3 ACE EFF CAN'!T$4,'7. PGE_Efficacité'!$A$4:$BU$4,0)+31),0)</f>
        <v>+++</v>
      </c>
      <c r="U108" s="365" t="str">
        <f>VLOOKUP($E108,'7. PGE_Efficacité'!$A$6:$BT$266,(MATCH('4.3 ACE EFF CAN'!U$4,'7. PGE_Efficacité'!$A$4:$BU$4,0)+31),0)</f>
        <v>+++</v>
      </c>
      <c r="V108" s="365" t="str">
        <f>VLOOKUP($E108,'7. PGE_Efficacité'!$A$6:$BT$266,(MATCH('4.3 ACE EFF CAN'!V$4,'7. PGE_Efficacité'!$A$4:$BU$4,0)+31),0)</f>
        <v>+++</v>
      </c>
      <c r="W108" s="365" t="str">
        <f>VLOOKUP($E108,'7. PGE_Efficacité'!$A$6:$BT$266,(MATCH('4.3 ACE EFF CAN'!W$4,'7. PGE_Efficacité'!$A$4:$BU$4,0)+31),0)</f>
        <v>+++</v>
      </c>
      <c r="X108" s="365">
        <f>VLOOKUP($E108,'7. PGE_Efficacité'!$A$6:$BT$266,(MATCH('4.3 ACE EFF CAN'!X$4,'7. PGE_Efficacité'!$A$4:$BU$4,0)+31),0)</f>
        <v>0</v>
      </c>
      <c r="Y108" s="365" t="str">
        <f>VLOOKUP($E108,'7. PGE_Efficacité'!$A$6:$BT$266,(MATCH('4.3 ACE EFF CAN'!Y$4,'7. PGE_Efficacité'!$A$4:$BU$4,0)+31),0)</f>
        <v>+++</v>
      </c>
      <c r="Z108" s="365" t="str">
        <f>VLOOKUP($E108,'7. PGE_Efficacité'!$A$6:$BT$266,(MATCH('4.3 ACE EFF CAN'!Z$4,'7. PGE_Efficacité'!$A$4:$BU$4,0)+31),0)</f>
        <v>+++</v>
      </c>
      <c r="AA108" s="365">
        <f>VLOOKUP($E108,'7. PGE_Efficacité'!$A$6:$BT$266,(MATCH('4.3 ACE EFF CAN'!AA$4,'7. PGE_Efficacité'!$A$4:$BU$4,0)+31),0)</f>
        <v>0</v>
      </c>
      <c r="AB108" s="365">
        <f>VLOOKUP($E108,'7. PGE_Efficacité'!$A$6:$BT$266,(MATCH('4.3 ACE EFF CAN'!AB$4,'7. PGE_Efficacité'!$A$4:$BU$4,0)+31),0)</f>
        <v>0</v>
      </c>
      <c r="AC108" s="365">
        <f>VLOOKUP($E108,'7. PGE_Efficacité'!$A$6:$BT$266,(MATCH('4.3 ACE EFF CAN'!AC$4,'7. PGE_Efficacité'!$A$4:$BU$4,0)+31),0)</f>
        <v>0</v>
      </c>
      <c r="AD108" s="365">
        <f>VLOOKUP($E108,'7. PGE_Efficacité'!$A$6:$BT$266,(MATCH('4.3 ACE EFF CAN'!AD$4,'7. PGE_Efficacité'!$A$4:$BU$4,0)+31),0)</f>
        <v>0</v>
      </c>
      <c r="AE108" s="365">
        <f>VLOOKUP($E108,'7. PGE_Efficacité'!$A$6:$BT$266,(MATCH('4.3 ACE EFF CAN'!AE$4,'7. PGE_Efficacité'!$A$4:$BU$4,0)+31),0)</f>
        <v>0</v>
      </c>
      <c r="AF108" s="365">
        <f>VLOOKUP($E108,'7. PGE_Efficacité'!$A$6:$BT$266,(MATCH('4.3 ACE EFF CAN'!AF$4,'7. PGE_Efficacité'!$A$4:$BU$4,0)+31),0)</f>
        <v>0</v>
      </c>
      <c r="AG108" s="365">
        <f>VLOOKUP($E108,'7. PGE_Efficacité'!$A$6:$BT$266,(MATCH('4.3 ACE EFF CAN'!AG$4,'7. PGE_Efficacité'!$A$4:$BU$4,0)+31),0)</f>
        <v>0</v>
      </c>
      <c r="AH108" s="365">
        <f>VLOOKUP($E108,'7. PGE_Efficacité'!$A$6:$BT$266,(MATCH('4.3 ACE EFF CAN'!AH$4,'7. PGE_Efficacité'!$A$4:$BU$4,0)+31),0)</f>
        <v>0</v>
      </c>
      <c r="AI108" s="365">
        <f>VLOOKUP($E108,'7. PGE_Efficacité'!$A$6:$BT$266,(MATCH('4.3 ACE EFF CAN'!AI$4,'7. PGE_Efficacité'!$A$4:$BU$4,0)+31),0)</f>
        <v>0</v>
      </c>
      <c r="AJ108" s="365">
        <f>VLOOKUP($E108,'7. PGE_Efficacité'!$A$6:$BT$266,(MATCH('4.3 ACE EFF CAN'!AJ$4,'7. PGE_Efficacité'!$A$4:$BU$4,0)+31),0)</f>
        <v>0</v>
      </c>
      <c r="AK108" s="365" t="str">
        <f>VLOOKUP($E108,'7. PGE_Efficacité'!$A$6:$BT$266,(MATCH('4.3 ACE EFF CAN'!AK$4,'7. PGE_Efficacité'!$A$4:$BU$4,0)+31),0)</f>
        <v>++</v>
      </c>
      <c r="AL108" s="365">
        <f>VLOOKUP($E108,'7. PGE_Efficacité'!$A$6:$BT$266,(MATCH('4.3 ACE EFF CAN'!AL$4,'7. PGE_Efficacité'!$A$4:$BU$4,0)+31),0)</f>
        <v>0</v>
      </c>
      <c r="AM108" s="365" t="str">
        <f>VLOOKUP($E108,'7. PGE_Efficacité'!$A$6:$BT$266,(MATCH('4.3 ACE EFF CAN'!AM$4,'7. PGE_Efficacité'!$A$4:$BU$4,0)+31),0)</f>
        <v>++</v>
      </c>
      <c r="AN108" s="365" t="str">
        <f>VLOOKUP($E108,'7. PGE_Efficacité'!$A$6:$BT$266,(MATCH('4.3 ACE EFF CAN'!AN$4,'7. PGE_Efficacité'!$A$4:$BU$4,0)+31),0)</f>
        <v>++</v>
      </c>
    </row>
    <row r="109" spans="1:40" outlineLevel="1" x14ac:dyDescent="0.25">
      <c r="A109" s="154"/>
      <c r="B109" s="154"/>
      <c r="C109" s="154"/>
      <c r="D109" s="360" t="s">
        <v>21</v>
      </c>
      <c r="E109" s="360"/>
      <c r="F109" s="361" t="str">
        <f>VLOOKUP(D109,'1. Mesures'!$A$2:$B$116,2,0)</f>
        <v>Assurer la surveillance de la qualité de la colonne d’eau, des sédiments, du biote, de la biologie et de l’hydromorphologie</v>
      </c>
      <c r="G109" s="360"/>
      <c r="H109" s="360"/>
      <c r="I109" s="362">
        <f>SUBTOTAL(9,I110:I119)</f>
        <v>589833.33333333326</v>
      </c>
      <c r="J109" s="366">
        <f>VLOOKUP($D109,'7. PGE_Efficacité'!$A$6:$BT$266,(MATCH('4.3 ACE EFF CAN'!J$4,'7. PGE_Efficacité'!$A$4:$AO$4,0)+31),0)</f>
        <v>0</v>
      </c>
      <c r="K109" s="366">
        <f>VLOOKUP($D109,'7. PGE_Efficacité'!$A$6:$BT$266,(MATCH('4.3 ACE EFF CAN'!K$4,'7. PGE_Efficacité'!$A$4:$AO$4,0)+31),0)</f>
        <v>0</v>
      </c>
      <c r="L109" s="366">
        <f>VLOOKUP($D109,'7. PGE_Efficacité'!$A$6:$BT$266,(MATCH('4.3 ACE EFF CAN'!L$4,'7. PGE_Efficacité'!$A$4:$AO$4,0)+31),0)</f>
        <v>0</v>
      </c>
      <c r="M109" s="366">
        <f>VLOOKUP($D109,'7. PGE_Efficacité'!$A$6:$BT$266,(MATCH('4.3 ACE EFF CAN'!M$4,'7. PGE_Efficacité'!$A$4:$AO$4,0)+31),0)</f>
        <v>0</v>
      </c>
      <c r="N109" s="366">
        <f>VLOOKUP($D109,'7. PGE_Efficacité'!$A$6:$BT$266,(MATCH('4.3 ACE EFF CAN'!N$4,'7. PGE_Efficacité'!$A$4:$AO$4,0)+31),0)</f>
        <v>0</v>
      </c>
      <c r="O109" s="366">
        <f>VLOOKUP($D109,'7. PGE_Efficacité'!$A$6:$BT$266,47,0)</f>
        <v>0</v>
      </c>
      <c r="P109" s="366">
        <f>VLOOKUP($D109,'7. PGE_Efficacité'!$A$6:$BT$266,(MATCH('4.3 ACE EFF CAN'!P$4,'7. PGE_Efficacité'!$A$4:$AO$4,0)+31),0)</f>
        <v>0</v>
      </c>
      <c r="Q109" s="366">
        <f>VLOOKUP($D109,'7. PGE_Efficacité'!$A$6:$BT$266,(MATCH('4.3 ACE EFF CAN'!Q$4,'7. PGE_Efficacité'!$A$4:$AO$4,0)+31),0)</f>
        <v>0</v>
      </c>
      <c r="R109" s="366">
        <f>VLOOKUP($D109,'7. PGE_Efficacité'!$A$6:$BT$266,(MATCH('4.3 ACE EFF CAN'!R$4,'7. PGE_Efficacité'!$A$4:$AO$4,0)+31),0)</f>
        <v>0</v>
      </c>
      <c r="S109" s="366">
        <f>VLOOKUP($D109,'7. PGE_Efficacité'!$A$6:$BT$266,(MATCH('4.3 ACE EFF CAN'!S$4,'7. PGE_Efficacité'!$A$4:$AO$4,0)+31),0)</f>
        <v>0</v>
      </c>
      <c r="T109" s="366">
        <f>VLOOKUP($D109,'7. PGE_Efficacité'!$A$6:$BT$266,(MATCH('4.3 ACE EFF CAN'!T$4,'7. PGE_Efficacité'!$A$4:$AO$4,0)+31),0)</f>
        <v>0</v>
      </c>
      <c r="U109" s="366">
        <f>VLOOKUP($D109,'7. PGE_Efficacité'!$A$6:$BT$266,(MATCH('4.3 ACE EFF CAN'!U$4,'7. PGE_Efficacité'!$A$4:$AO$4,0)+31),0)</f>
        <v>0</v>
      </c>
      <c r="V109" s="366">
        <f>VLOOKUP($D109,'7. PGE_Efficacité'!$A$6:$BT$266,(MATCH('4.3 ACE EFF CAN'!V$4,'7. PGE_Efficacité'!$A$4:$AO$4,0)+31),0)</f>
        <v>0</v>
      </c>
      <c r="W109" s="366">
        <f>VLOOKUP($D109,'7. PGE_Efficacité'!$A$6:$BT$266,(MATCH('4.3 ACE EFF CAN'!W$4,'7. PGE_Efficacité'!$A$4:$AO$4,0)+31),0)</f>
        <v>0</v>
      </c>
      <c r="X109" s="366">
        <f>VLOOKUP($D109,'7. PGE_Efficacité'!$A$6:$BT$266,(MATCH('4.3 ACE EFF CAN'!X$4,'7. PGE_Efficacité'!$A$4:$AO$4,0)+31),0)</f>
        <v>0</v>
      </c>
      <c r="Y109" s="366">
        <f>VLOOKUP($D109,'7. PGE_Efficacité'!$A$6:$BT$266,(MATCH('4.3 ACE EFF CAN'!Y$4,'7. PGE_Efficacité'!$A$4:$AO$4,0)+31),0)</f>
        <v>0</v>
      </c>
      <c r="Z109" s="366">
        <f>VLOOKUP($D109,'7. PGE_Efficacité'!$A$6:$BT$266,(MATCH('4.3 ACE EFF CAN'!Z$4,'7. PGE_Efficacité'!$A$4:$AO$4,0)+31),0)</f>
        <v>0</v>
      </c>
      <c r="AA109" s="366">
        <f>VLOOKUP($D109,'7. PGE_Efficacité'!$A$6:$BT$266,(MATCH('4.3 ACE EFF CAN'!AA$4,'7. PGE_Efficacité'!$A$4:$AO$4,0)+31),0)</f>
        <v>0</v>
      </c>
      <c r="AB109" s="366">
        <f>VLOOKUP($D109,'7. PGE_Efficacité'!$A$6:$BT$266,(MATCH('4.3 ACE EFF CAN'!AB$4,'7. PGE_Efficacité'!$A$4:$AO$4,0)+31),0)</f>
        <v>0</v>
      </c>
      <c r="AC109" s="366">
        <f>VLOOKUP($D109,'7. PGE_Efficacité'!$A$6:$BT$266,(MATCH('4.3 ACE EFF CAN'!AC$4,'7. PGE_Efficacité'!$A$4:$AO$4,0)+31),0)</f>
        <v>0</v>
      </c>
      <c r="AD109" s="366">
        <f>VLOOKUP($D109,'7. PGE_Efficacité'!$A$6:$BT$266,(MATCH('4.3 ACE EFF CAN'!AD$4,'7. PGE_Efficacité'!$A$4:$AO$4,0)+31),0)</f>
        <v>0</v>
      </c>
      <c r="AE109" s="366">
        <f>VLOOKUP($D109,'7. PGE_Efficacité'!$A$6:$BT$266,(MATCH('4.3 ACE EFF CAN'!AE$4,'7. PGE_Efficacité'!$A$4:$AO$4,0)+31),0)</f>
        <v>0</v>
      </c>
      <c r="AF109" s="366">
        <f>VLOOKUP($D109,'7. PGE_Efficacité'!$A$6:$BT$266,(MATCH('4.3 ACE EFF CAN'!AF$4,'7. PGE_Efficacité'!$A$4:$AO$4,0)+31),0)</f>
        <v>0</v>
      </c>
      <c r="AG109" s="366">
        <f>VLOOKUP($D109,'7. PGE_Efficacité'!$A$6:$BT$266,(MATCH('4.3 ACE EFF CAN'!AG$4,'7. PGE_Efficacité'!$A$4:$AO$4,0)+31),0)</f>
        <v>0</v>
      </c>
      <c r="AH109" s="366">
        <f>VLOOKUP($D109,'7. PGE_Efficacité'!$A$6:$BT$266,(MATCH('4.3 ACE EFF CAN'!AH$4,'7. PGE_Efficacité'!$A$4:$AO$4,0)+31),0)</f>
        <v>0</v>
      </c>
      <c r="AI109" s="366">
        <f>VLOOKUP($D109,'7. PGE_Efficacité'!$A$6:$BT$266,(MATCH('4.3 ACE EFF CAN'!AI$4,'7. PGE_Efficacité'!$A$4:$AO$4,0)+31),0)</f>
        <v>0</v>
      </c>
      <c r="AJ109" s="366">
        <f>VLOOKUP($D109,'7. PGE_Efficacité'!$A$6:$BT$266,(MATCH('4.3 ACE EFF CAN'!AJ$4,'7. PGE_Efficacité'!$A$4:$AO$4,0)+31),0)</f>
        <v>0</v>
      </c>
      <c r="AK109" s="366">
        <f>VLOOKUP($D109,'7. PGE_Efficacité'!$A$6:$BT$266,(MATCH('4.3 ACE EFF CAN'!AK$4,'7. PGE_Efficacité'!$A$4:$AO$4,0)+31),0)</f>
        <v>0</v>
      </c>
      <c r="AL109" s="366">
        <f>VLOOKUP($D109,'7. PGE_Efficacité'!$A$6:$BT$266,(MATCH('4.3 ACE EFF CAN'!AL$4,'7. PGE_Efficacité'!$A$4:$AO$4,0)+31),0)</f>
        <v>0</v>
      </c>
      <c r="AM109" s="366">
        <f>VLOOKUP($D109,'7. PGE_Efficacité'!$A$6:$BT$266,(MATCH('4.3 ACE EFF CAN'!AM$4,'7. PGE_Efficacité'!$A$4:$AO$4,0)+31),0)</f>
        <v>0</v>
      </c>
      <c r="AN109" s="366">
        <f>VLOOKUP($D109,'7. PGE_Efficacité'!$A$6:$BT$266,(MATCH('4.3 ACE EFF CAN'!AN$4,'7. PGE_Efficacité'!$A$4:$AO$4,0)+31),0)</f>
        <v>0</v>
      </c>
    </row>
    <row r="110" spans="1:40" outlineLevel="2" x14ac:dyDescent="0.25">
      <c r="A110" s="154" t="s">
        <v>1524</v>
      </c>
      <c r="B110" s="154">
        <v>21</v>
      </c>
      <c r="C110" s="154" t="s">
        <v>1524</v>
      </c>
      <c r="D110" s="330" t="s">
        <v>21</v>
      </c>
      <c r="E110" s="330" t="s">
        <v>728</v>
      </c>
      <c r="F110" s="330" t="s">
        <v>1386</v>
      </c>
      <c r="G110" s="330" t="s">
        <v>1521</v>
      </c>
      <c r="H110" s="330" t="s">
        <v>1290</v>
      </c>
      <c r="I110" s="364">
        <f>332500/3</f>
        <v>110833.33333333333</v>
      </c>
      <c r="J110" s="365">
        <f>VLOOKUP($E110,'7. PGE_Efficacité'!$A$6:$BT$266,(MATCH('4.3 ACE EFF CAN'!J$4,'7. PGE_Efficacité'!$A$4:$BU$4,0)+31),0)</f>
        <v>0</v>
      </c>
      <c r="K110" s="365">
        <f>VLOOKUP($E110,'7. PGE_Efficacité'!$A$6:$BT$266,(MATCH('4.3 ACE EFF CAN'!K$4,'7. PGE_Efficacité'!$A$4:$BU$4,0)+31),0)</f>
        <v>0</v>
      </c>
      <c r="L110" s="365">
        <f>VLOOKUP($E110,'7. PGE_Efficacité'!$A$6:$BT$266,(MATCH('4.3 ACE EFF CAN'!L$4,'7. PGE_Efficacité'!$A$4:$BU$4,0)+31),0)</f>
        <v>0</v>
      </c>
      <c r="M110" s="365">
        <f>VLOOKUP($E110,'7. PGE_Efficacité'!$A$6:$BT$266,(MATCH('4.3 ACE EFF CAN'!M$4,'7. PGE_Efficacité'!$A$4:$BU$4,0)+31),0)</f>
        <v>0</v>
      </c>
      <c r="N110" s="365">
        <f>VLOOKUP($E110,'7. PGE_Efficacité'!$A$6:$BT$266,(MATCH('4.3 ACE EFF CAN'!N$4,'7. PGE_Efficacité'!$A$4:$BU$4,0)+31),0)</f>
        <v>0</v>
      </c>
      <c r="O110" s="365">
        <f>VLOOKUP($E110,'7. PGE_Efficacité'!$A$6:$BT$266,(MATCH('4.3 ACE EFF CAN'!O$4,'7. PGE_Efficacité'!$A$4:$BU$4,0)+31),0)</f>
        <v>0</v>
      </c>
      <c r="P110" s="365">
        <f>VLOOKUP($E110,'7. PGE_Efficacité'!$A$6:$BT$266,(MATCH('4.3 ACE EFF CAN'!P$4,'7. PGE_Efficacité'!$A$4:$BU$4,0)+31),0)</f>
        <v>0</v>
      </c>
      <c r="Q110" s="365">
        <f>VLOOKUP($E110,'7. PGE_Efficacité'!$A$6:$BT$266,(MATCH('4.3 ACE EFF CAN'!Q$4,'7. PGE_Efficacité'!$A$4:$BU$4,0)+31),0)</f>
        <v>0</v>
      </c>
      <c r="R110" s="365">
        <f>VLOOKUP($E110,'7. PGE_Efficacité'!$A$6:$BT$266,(MATCH('4.3 ACE EFF CAN'!R$4,'7. PGE_Efficacité'!$A$4:$BU$4,0)+31),0)</f>
        <v>0</v>
      </c>
      <c r="S110" s="365">
        <f>VLOOKUP($E110,'7. PGE_Efficacité'!$A$6:$BT$266,(MATCH('4.3 ACE EFF CAN'!S$4,'7. PGE_Efficacité'!$A$4:$BU$4,0)+31),0)</f>
        <v>0</v>
      </c>
      <c r="T110" s="365">
        <f>VLOOKUP($E110,'7. PGE_Efficacité'!$A$6:$BT$266,(MATCH('4.3 ACE EFF CAN'!T$4,'7. PGE_Efficacité'!$A$4:$BU$4,0)+31),0)</f>
        <v>0</v>
      </c>
      <c r="U110" s="365">
        <f>VLOOKUP($E110,'7. PGE_Efficacité'!$A$6:$BT$266,(MATCH('4.3 ACE EFF CAN'!U$4,'7. PGE_Efficacité'!$A$4:$BU$4,0)+31),0)</f>
        <v>0</v>
      </c>
      <c r="V110" s="365">
        <f>VLOOKUP($E110,'7. PGE_Efficacité'!$A$6:$BT$266,(MATCH('4.3 ACE EFF CAN'!V$4,'7. PGE_Efficacité'!$A$4:$BU$4,0)+31),0)</f>
        <v>0</v>
      </c>
      <c r="W110" s="365">
        <f>VLOOKUP($E110,'7. PGE_Efficacité'!$A$6:$BT$266,(MATCH('4.3 ACE EFF CAN'!W$4,'7. PGE_Efficacité'!$A$4:$BU$4,0)+31),0)</f>
        <v>0</v>
      </c>
      <c r="X110" s="365">
        <f>VLOOKUP($E110,'7. PGE_Efficacité'!$A$6:$BT$266,(MATCH('4.3 ACE EFF CAN'!X$4,'7. PGE_Efficacité'!$A$4:$BU$4,0)+31),0)</f>
        <v>0</v>
      </c>
      <c r="Y110" s="365">
        <f>VLOOKUP($E110,'7. PGE_Efficacité'!$A$6:$BT$266,(MATCH('4.3 ACE EFF CAN'!Y$4,'7. PGE_Efficacité'!$A$4:$BU$4,0)+31),0)</f>
        <v>0</v>
      </c>
      <c r="Z110" s="365">
        <f>VLOOKUP($E110,'7. PGE_Efficacité'!$A$6:$BT$266,(MATCH('4.3 ACE EFF CAN'!Z$4,'7. PGE_Efficacité'!$A$4:$BU$4,0)+31),0)</f>
        <v>0</v>
      </c>
      <c r="AA110" s="365">
        <f>VLOOKUP($E110,'7. PGE_Efficacité'!$A$6:$BT$266,(MATCH('4.3 ACE EFF CAN'!AA$4,'7. PGE_Efficacité'!$A$4:$BU$4,0)+31),0)</f>
        <v>0</v>
      </c>
      <c r="AB110" s="365">
        <f>VLOOKUP($E110,'7. PGE_Efficacité'!$A$6:$BT$266,(MATCH('4.3 ACE EFF CAN'!AB$4,'7. PGE_Efficacité'!$A$4:$BU$4,0)+31),0)</f>
        <v>0</v>
      </c>
      <c r="AC110" s="365">
        <f>VLOOKUP($E110,'7. PGE_Efficacité'!$A$6:$BT$266,(MATCH('4.3 ACE EFF CAN'!AC$4,'7. PGE_Efficacité'!$A$4:$BU$4,0)+31),0)</f>
        <v>0</v>
      </c>
      <c r="AD110" s="365">
        <f>VLOOKUP($E110,'7. PGE_Efficacité'!$A$6:$BT$266,(MATCH('4.3 ACE EFF CAN'!AD$4,'7. PGE_Efficacité'!$A$4:$BU$4,0)+31),0)</f>
        <v>0</v>
      </c>
      <c r="AE110" s="365">
        <f>VLOOKUP($E110,'7. PGE_Efficacité'!$A$6:$BT$266,(MATCH('4.3 ACE EFF CAN'!AE$4,'7. PGE_Efficacité'!$A$4:$BU$4,0)+31),0)</f>
        <v>0</v>
      </c>
      <c r="AF110" s="365">
        <f>VLOOKUP($E110,'7. PGE_Efficacité'!$A$6:$BT$266,(MATCH('4.3 ACE EFF CAN'!AF$4,'7. PGE_Efficacité'!$A$4:$BU$4,0)+31),0)</f>
        <v>0</v>
      </c>
      <c r="AG110" s="365">
        <f>VLOOKUP($E110,'7. PGE_Efficacité'!$A$6:$BT$266,(MATCH('4.3 ACE EFF CAN'!AG$4,'7. PGE_Efficacité'!$A$4:$BU$4,0)+31),0)</f>
        <v>0</v>
      </c>
      <c r="AH110" s="365">
        <f>VLOOKUP($E110,'7. PGE_Efficacité'!$A$6:$BT$266,(MATCH('4.3 ACE EFF CAN'!AH$4,'7. PGE_Efficacité'!$A$4:$BU$4,0)+31),0)</f>
        <v>0</v>
      </c>
      <c r="AI110" s="365">
        <f>VLOOKUP($E110,'7. PGE_Efficacité'!$A$6:$BT$266,(MATCH('4.3 ACE EFF CAN'!AI$4,'7. PGE_Efficacité'!$A$4:$BU$4,0)+31),0)</f>
        <v>0</v>
      </c>
      <c r="AJ110" s="365">
        <f>VLOOKUP($E110,'7. PGE_Efficacité'!$A$6:$BT$266,(MATCH('4.3 ACE EFF CAN'!AJ$4,'7. PGE_Efficacité'!$A$4:$BU$4,0)+31),0)</f>
        <v>0</v>
      </c>
      <c r="AK110" s="365">
        <f>VLOOKUP($E110,'7. PGE_Efficacité'!$A$6:$BT$266,(MATCH('4.3 ACE EFF CAN'!AK$4,'7. PGE_Efficacité'!$A$4:$BU$4,0)+31),0)</f>
        <v>0</v>
      </c>
      <c r="AL110" s="365">
        <f>VLOOKUP($E110,'7. PGE_Efficacité'!$A$6:$BT$266,(MATCH('4.3 ACE EFF CAN'!AL$4,'7. PGE_Efficacité'!$A$4:$BU$4,0)+31),0)</f>
        <v>0</v>
      </c>
      <c r="AM110" s="365">
        <f>VLOOKUP($E110,'7. PGE_Efficacité'!$A$6:$BT$266,(MATCH('4.3 ACE EFF CAN'!AM$4,'7. PGE_Efficacité'!$A$4:$BU$4,0)+31),0)</f>
        <v>0</v>
      </c>
      <c r="AN110" s="365">
        <f>VLOOKUP($E110,'7. PGE_Efficacité'!$A$6:$BT$266,(MATCH('4.3 ACE EFF CAN'!AN$4,'7. PGE_Efficacité'!$A$4:$BU$4,0)+31),0)</f>
        <v>0</v>
      </c>
    </row>
    <row r="111" spans="1:40" outlineLevel="2" x14ac:dyDescent="0.25">
      <c r="A111" s="154" t="s">
        <v>1524</v>
      </c>
      <c r="B111" s="154">
        <v>21</v>
      </c>
      <c r="C111" s="154" t="s">
        <v>1525</v>
      </c>
      <c r="D111" s="330" t="s">
        <v>21</v>
      </c>
      <c r="E111" s="330" t="s">
        <v>730</v>
      </c>
      <c r="F111" s="330" t="s">
        <v>1388</v>
      </c>
      <c r="G111" s="330" t="s">
        <v>1521</v>
      </c>
      <c r="H111" s="330" t="s">
        <v>1290</v>
      </c>
      <c r="I111" s="364">
        <f>1292000/3</f>
        <v>430666.66666666669</v>
      </c>
      <c r="J111" s="365">
        <f>VLOOKUP($E111,'7. PGE_Efficacité'!$A$6:$BT$266,(MATCH('4.3 ACE EFF CAN'!J$4,'7. PGE_Efficacité'!$A$4:$BU$4,0)+31),0)</f>
        <v>0</v>
      </c>
      <c r="K111" s="365">
        <f>VLOOKUP($E111,'7. PGE_Efficacité'!$A$6:$BT$266,(MATCH('4.3 ACE EFF CAN'!K$4,'7. PGE_Efficacité'!$A$4:$BU$4,0)+31),0)</f>
        <v>0</v>
      </c>
      <c r="L111" s="365">
        <f>VLOOKUP($E111,'7. PGE_Efficacité'!$A$6:$BT$266,(MATCH('4.3 ACE EFF CAN'!L$4,'7. PGE_Efficacité'!$A$4:$BU$4,0)+31),0)</f>
        <v>0</v>
      </c>
      <c r="M111" s="365">
        <f>VLOOKUP($E111,'7. PGE_Efficacité'!$A$6:$BT$266,(MATCH('4.3 ACE EFF CAN'!M$4,'7. PGE_Efficacité'!$A$4:$BU$4,0)+31),0)</f>
        <v>0</v>
      </c>
      <c r="N111" s="365">
        <f>VLOOKUP($E111,'7. PGE_Efficacité'!$A$6:$BT$266,(MATCH('4.3 ACE EFF CAN'!N$4,'7. PGE_Efficacité'!$A$4:$BU$4,0)+31),0)</f>
        <v>0</v>
      </c>
      <c r="O111" s="365">
        <f>VLOOKUP($E111,'7. PGE_Efficacité'!$A$6:$BT$266,(MATCH('4.3 ACE EFF CAN'!O$4,'7. PGE_Efficacité'!$A$4:$BU$4,0)+31),0)</f>
        <v>0</v>
      </c>
      <c r="P111" s="365">
        <f>VLOOKUP($E111,'7. PGE_Efficacité'!$A$6:$BT$266,(MATCH('4.3 ACE EFF CAN'!P$4,'7. PGE_Efficacité'!$A$4:$BU$4,0)+31),0)</f>
        <v>0</v>
      </c>
      <c r="Q111" s="365">
        <f>VLOOKUP($E111,'7. PGE_Efficacité'!$A$6:$BT$266,(MATCH('4.3 ACE EFF CAN'!Q$4,'7. PGE_Efficacité'!$A$4:$BU$4,0)+31),0)</f>
        <v>0</v>
      </c>
      <c r="R111" s="365">
        <f>VLOOKUP($E111,'7. PGE_Efficacité'!$A$6:$BT$266,(MATCH('4.3 ACE EFF CAN'!R$4,'7. PGE_Efficacité'!$A$4:$BU$4,0)+31),0)</f>
        <v>0</v>
      </c>
      <c r="S111" s="365">
        <f>VLOOKUP($E111,'7. PGE_Efficacité'!$A$6:$BT$266,(MATCH('4.3 ACE EFF CAN'!S$4,'7. PGE_Efficacité'!$A$4:$BU$4,0)+31),0)</f>
        <v>0</v>
      </c>
      <c r="T111" s="365">
        <f>VLOOKUP($E111,'7. PGE_Efficacité'!$A$6:$BT$266,(MATCH('4.3 ACE EFF CAN'!T$4,'7. PGE_Efficacité'!$A$4:$BU$4,0)+31),0)</f>
        <v>0</v>
      </c>
      <c r="U111" s="365">
        <f>VLOOKUP($E111,'7. PGE_Efficacité'!$A$6:$BT$266,(MATCH('4.3 ACE EFF CAN'!U$4,'7. PGE_Efficacité'!$A$4:$BU$4,0)+31),0)</f>
        <v>0</v>
      </c>
      <c r="V111" s="365">
        <f>VLOOKUP($E111,'7. PGE_Efficacité'!$A$6:$BT$266,(MATCH('4.3 ACE EFF CAN'!V$4,'7. PGE_Efficacité'!$A$4:$BU$4,0)+31),0)</f>
        <v>0</v>
      </c>
      <c r="W111" s="365">
        <f>VLOOKUP($E111,'7. PGE_Efficacité'!$A$6:$BT$266,(MATCH('4.3 ACE EFF CAN'!W$4,'7. PGE_Efficacité'!$A$4:$BU$4,0)+31),0)</f>
        <v>0</v>
      </c>
      <c r="X111" s="365">
        <f>VLOOKUP($E111,'7. PGE_Efficacité'!$A$6:$BT$266,(MATCH('4.3 ACE EFF CAN'!X$4,'7. PGE_Efficacité'!$A$4:$BU$4,0)+31),0)</f>
        <v>0</v>
      </c>
      <c r="Y111" s="365">
        <f>VLOOKUP($E111,'7. PGE_Efficacité'!$A$6:$BT$266,(MATCH('4.3 ACE EFF CAN'!Y$4,'7. PGE_Efficacité'!$A$4:$BU$4,0)+31),0)</f>
        <v>0</v>
      </c>
      <c r="Z111" s="365">
        <f>VLOOKUP($E111,'7. PGE_Efficacité'!$A$6:$BT$266,(MATCH('4.3 ACE EFF CAN'!Z$4,'7. PGE_Efficacité'!$A$4:$BU$4,0)+31),0)</f>
        <v>0</v>
      </c>
      <c r="AA111" s="365">
        <f>VLOOKUP($E111,'7. PGE_Efficacité'!$A$6:$BT$266,(MATCH('4.3 ACE EFF CAN'!AA$4,'7. PGE_Efficacité'!$A$4:$BU$4,0)+31),0)</f>
        <v>0</v>
      </c>
      <c r="AB111" s="365">
        <f>VLOOKUP($E111,'7. PGE_Efficacité'!$A$6:$BT$266,(MATCH('4.3 ACE EFF CAN'!AB$4,'7. PGE_Efficacité'!$A$4:$BU$4,0)+31),0)</f>
        <v>0</v>
      </c>
      <c r="AC111" s="365">
        <f>VLOOKUP($E111,'7. PGE_Efficacité'!$A$6:$BT$266,(MATCH('4.3 ACE EFF CAN'!AC$4,'7. PGE_Efficacité'!$A$4:$BU$4,0)+31),0)</f>
        <v>0</v>
      </c>
      <c r="AD111" s="365">
        <f>VLOOKUP($E111,'7. PGE_Efficacité'!$A$6:$BT$266,(MATCH('4.3 ACE EFF CAN'!AD$4,'7. PGE_Efficacité'!$A$4:$BU$4,0)+31),0)</f>
        <v>0</v>
      </c>
      <c r="AE111" s="365">
        <f>VLOOKUP($E111,'7. PGE_Efficacité'!$A$6:$BT$266,(MATCH('4.3 ACE EFF CAN'!AE$4,'7. PGE_Efficacité'!$A$4:$BU$4,0)+31),0)</f>
        <v>0</v>
      </c>
      <c r="AF111" s="365">
        <f>VLOOKUP($E111,'7. PGE_Efficacité'!$A$6:$BT$266,(MATCH('4.3 ACE EFF CAN'!AF$4,'7. PGE_Efficacité'!$A$4:$BU$4,0)+31),0)</f>
        <v>0</v>
      </c>
      <c r="AG111" s="365">
        <f>VLOOKUP($E111,'7. PGE_Efficacité'!$A$6:$BT$266,(MATCH('4.3 ACE EFF CAN'!AG$4,'7. PGE_Efficacité'!$A$4:$BU$4,0)+31),0)</f>
        <v>0</v>
      </c>
      <c r="AH111" s="365">
        <f>VLOOKUP($E111,'7. PGE_Efficacité'!$A$6:$BT$266,(MATCH('4.3 ACE EFF CAN'!AH$4,'7. PGE_Efficacité'!$A$4:$BU$4,0)+31),0)</f>
        <v>0</v>
      </c>
      <c r="AI111" s="365">
        <f>VLOOKUP($E111,'7. PGE_Efficacité'!$A$6:$BT$266,(MATCH('4.3 ACE EFF CAN'!AI$4,'7. PGE_Efficacité'!$A$4:$BU$4,0)+31),0)</f>
        <v>0</v>
      </c>
      <c r="AJ111" s="365">
        <f>VLOOKUP($E111,'7. PGE_Efficacité'!$A$6:$BT$266,(MATCH('4.3 ACE EFF CAN'!AJ$4,'7. PGE_Efficacité'!$A$4:$BU$4,0)+31),0)</f>
        <v>0</v>
      </c>
      <c r="AK111" s="365">
        <f>VLOOKUP($E111,'7. PGE_Efficacité'!$A$6:$BT$266,(MATCH('4.3 ACE EFF CAN'!AK$4,'7. PGE_Efficacité'!$A$4:$BU$4,0)+31),0)</f>
        <v>0</v>
      </c>
      <c r="AL111" s="365">
        <f>VLOOKUP($E111,'7. PGE_Efficacité'!$A$6:$BT$266,(MATCH('4.3 ACE EFF CAN'!AL$4,'7. PGE_Efficacité'!$A$4:$BU$4,0)+31),0)</f>
        <v>0</v>
      </c>
      <c r="AM111" s="365">
        <f>VLOOKUP($E111,'7. PGE_Efficacité'!$A$6:$BT$266,(MATCH('4.3 ACE EFF CAN'!AM$4,'7. PGE_Efficacité'!$A$4:$BU$4,0)+31),0)</f>
        <v>0</v>
      </c>
      <c r="AN111" s="365">
        <f>VLOOKUP($E111,'7. PGE_Efficacité'!$A$6:$BT$266,(MATCH('4.3 ACE EFF CAN'!AN$4,'7. PGE_Efficacité'!$A$4:$BU$4,0)+31),0)</f>
        <v>0</v>
      </c>
    </row>
    <row r="112" spans="1:40" outlineLevel="2" x14ac:dyDescent="0.25">
      <c r="A112" s="154" t="s">
        <v>1524</v>
      </c>
      <c r="B112" s="154">
        <v>21</v>
      </c>
      <c r="C112" s="154" t="s">
        <v>1526</v>
      </c>
      <c r="D112" s="330" t="s">
        <v>21</v>
      </c>
      <c r="E112" s="330" t="s">
        <v>731</v>
      </c>
      <c r="F112" s="330" t="s">
        <v>1389</v>
      </c>
      <c r="G112" s="330" t="s">
        <v>1521</v>
      </c>
      <c r="H112" s="330" t="s">
        <v>1290</v>
      </c>
      <c r="I112" s="364">
        <f>95000/3</f>
        <v>31666.666666666668</v>
      </c>
      <c r="J112" s="365">
        <f>VLOOKUP($E112,'7. PGE_Efficacité'!$A$6:$BT$266,(MATCH('4.3 ACE EFF CAN'!J$4,'7. PGE_Efficacité'!$A$4:$BU$4,0)+31),0)</f>
        <v>0</v>
      </c>
      <c r="K112" s="365">
        <f>VLOOKUP($E112,'7. PGE_Efficacité'!$A$6:$BT$266,(MATCH('4.3 ACE EFF CAN'!K$4,'7. PGE_Efficacité'!$A$4:$BU$4,0)+31),0)</f>
        <v>0</v>
      </c>
      <c r="L112" s="365">
        <f>VLOOKUP($E112,'7. PGE_Efficacité'!$A$6:$BT$266,(MATCH('4.3 ACE EFF CAN'!L$4,'7. PGE_Efficacité'!$A$4:$BU$4,0)+31),0)</f>
        <v>0</v>
      </c>
      <c r="M112" s="365">
        <f>VLOOKUP($E112,'7. PGE_Efficacité'!$A$6:$BT$266,(MATCH('4.3 ACE EFF CAN'!M$4,'7. PGE_Efficacité'!$A$4:$BU$4,0)+31),0)</f>
        <v>0</v>
      </c>
      <c r="N112" s="365">
        <f>VLOOKUP($E112,'7. PGE_Efficacité'!$A$6:$BT$266,(MATCH('4.3 ACE EFF CAN'!N$4,'7. PGE_Efficacité'!$A$4:$BU$4,0)+31),0)</f>
        <v>0</v>
      </c>
      <c r="O112" s="365">
        <f>VLOOKUP($E112,'7. PGE_Efficacité'!$A$6:$BT$266,(MATCH('4.3 ACE EFF CAN'!O$4,'7. PGE_Efficacité'!$A$4:$BU$4,0)+31),0)</f>
        <v>0</v>
      </c>
      <c r="P112" s="365">
        <f>VLOOKUP($E112,'7. PGE_Efficacité'!$A$6:$BT$266,(MATCH('4.3 ACE EFF CAN'!P$4,'7. PGE_Efficacité'!$A$4:$BU$4,0)+31),0)</f>
        <v>0</v>
      </c>
      <c r="Q112" s="365">
        <f>VLOOKUP($E112,'7. PGE_Efficacité'!$A$6:$BT$266,(MATCH('4.3 ACE EFF CAN'!Q$4,'7. PGE_Efficacité'!$A$4:$BU$4,0)+31),0)</f>
        <v>0</v>
      </c>
      <c r="R112" s="365">
        <f>VLOOKUP($E112,'7. PGE_Efficacité'!$A$6:$BT$266,(MATCH('4.3 ACE EFF CAN'!R$4,'7. PGE_Efficacité'!$A$4:$BU$4,0)+31),0)</f>
        <v>0</v>
      </c>
      <c r="S112" s="365">
        <f>VLOOKUP($E112,'7. PGE_Efficacité'!$A$6:$BT$266,(MATCH('4.3 ACE EFF CAN'!S$4,'7. PGE_Efficacité'!$A$4:$BU$4,0)+31),0)</f>
        <v>0</v>
      </c>
      <c r="T112" s="365">
        <f>VLOOKUP($E112,'7. PGE_Efficacité'!$A$6:$BT$266,(MATCH('4.3 ACE EFF CAN'!T$4,'7. PGE_Efficacité'!$A$4:$BU$4,0)+31),0)</f>
        <v>0</v>
      </c>
      <c r="U112" s="365">
        <f>VLOOKUP($E112,'7. PGE_Efficacité'!$A$6:$BT$266,(MATCH('4.3 ACE EFF CAN'!U$4,'7. PGE_Efficacité'!$A$4:$BU$4,0)+31),0)</f>
        <v>0</v>
      </c>
      <c r="V112" s="365">
        <f>VLOOKUP($E112,'7. PGE_Efficacité'!$A$6:$BT$266,(MATCH('4.3 ACE EFF CAN'!V$4,'7. PGE_Efficacité'!$A$4:$BU$4,0)+31),0)</f>
        <v>0</v>
      </c>
      <c r="W112" s="365">
        <f>VLOOKUP($E112,'7. PGE_Efficacité'!$A$6:$BT$266,(MATCH('4.3 ACE EFF CAN'!W$4,'7. PGE_Efficacité'!$A$4:$BU$4,0)+31),0)</f>
        <v>0</v>
      </c>
      <c r="X112" s="365">
        <f>VLOOKUP($E112,'7. PGE_Efficacité'!$A$6:$BT$266,(MATCH('4.3 ACE EFF CAN'!X$4,'7. PGE_Efficacité'!$A$4:$BU$4,0)+31),0)</f>
        <v>0</v>
      </c>
      <c r="Y112" s="365">
        <f>VLOOKUP($E112,'7. PGE_Efficacité'!$A$6:$BT$266,(MATCH('4.3 ACE EFF CAN'!Y$4,'7. PGE_Efficacité'!$A$4:$BU$4,0)+31),0)</f>
        <v>0</v>
      </c>
      <c r="Z112" s="365">
        <f>VLOOKUP($E112,'7. PGE_Efficacité'!$A$6:$BT$266,(MATCH('4.3 ACE EFF CAN'!Z$4,'7. PGE_Efficacité'!$A$4:$BU$4,0)+31),0)</f>
        <v>0</v>
      </c>
      <c r="AA112" s="365">
        <f>VLOOKUP($E112,'7. PGE_Efficacité'!$A$6:$BT$266,(MATCH('4.3 ACE EFF CAN'!AA$4,'7. PGE_Efficacité'!$A$4:$BU$4,0)+31),0)</f>
        <v>0</v>
      </c>
      <c r="AB112" s="365">
        <f>VLOOKUP($E112,'7. PGE_Efficacité'!$A$6:$BT$266,(MATCH('4.3 ACE EFF CAN'!AB$4,'7. PGE_Efficacité'!$A$4:$BU$4,0)+31),0)</f>
        <v>0</v>
      </c>
      <c r="AC112" s="365">
        <f>VLOOKUP($E112,'7. PGE_Efficacité'!$A$6:$BT$266,(MATCH('4.3 ACE EFF CAN'!AC$4,'7. PGE_Efficacité'!$A$4:$BU$4,0)+31),0)</f>
        <v>0</v>
      </c>
      <c r="AD112" s="365">
        <f>VLOOKUP($E112,'7. PGE_Efficacité'!$A$6:$BT$266,(MATCH('4.3 ACE EFF CAN'!AD$4,'7. PGE_Efficacité'!$A$4:$BU$4,0)+31),0)</f>
        <v>0</v>
      </c>
      <c r="AE112" s="365">
        <f>VLOOKUP($E112,'7. PGE_Efficacité'!$A$6:$BT$266,(MATCH('4.3 ACE EFF CAN'!AE$4,'7. PGE_Efficacité'!$A$4:$BU$4,0)+31),0)</f>
        <v>0</v>
      </c>
      <c r="AF112" s="365">
        <f>VLOOKUP($E112,'7. PGE_Efficacité'!$A$6:$BT$266,(MATCH('4.3 ACE EFF CAN'!AF$4,'7. PGE_Efficacité'!$A$4:$BU$4,0)+31),0)</f>
        <v>0</v>
      </c>
      <c r="AG112" s="365">
        <f>VLOOKUP($E112,'7. PGE_Efficacité'!$A$6:$BT$266,(MATCH('4.3 ACE EFF CAN'!AG$4,'7. PGE_Efficacité'!$A$4:$BU$4,0)+31),0)</f>
        <v>0</v>
      </c>
      <c r="AH112" s="365">
        <f>VLOOKUP($E112,'7. PGE_Efficacité'!$A$6:$BT$266,(MATCH('4.3 ACE EFF CAN'!AH$4,'7. PGE_Efficacité'!$A$4:$BU$4,0)+31),0)</f>
        <v>0</v>
      </c>
      <c r="AI112" s="365">
        <f>VLOOKUP($E112,'7. PGE_Efficacité'!$A$6:$BT$266,(MATCH('4.3 ACE EFF CAN'!AI$4,'7. PGE_Efficacité'!$A$4:$BU$4,0)+31),0)</f>
        <v>0</v>
      </c>
      <c r="AJ112" s="365">
        <f>VLOOKUP($E112,'7. PGE_Efficacité'!$A$6:$BT$266,(MATCH('4.3 ACE EFF CAN'!AJ$4,'7. PGE_Efficacité'!$A$4:$BU$4,0)+31),0)</f>
        <v>0</v>
      </c>
      <c r="AK112" s="365">
        <f>VLOOKUP($E112,'7. PGE_Efficacité'!$A$6:$BT$266,(MATCH('4.3 ACE EFF CAN'!AK$4,'7. PGE_Efficacité'!$A$4:$BU$4,0)+31),0)</f>
        <v>0</v>
      </c>
      <c r="AL112" s="365">
        <f>VLOOKUP($E112,'7. PGE_Efficacité'!$A$6:$BT$266,(MATCH('4.3 ACE EFF CAN'!AL$4,'7. PGE_Efficacité'!$A$4:$BU$4,0)+31),0)</f>
        <v>0</v>
      </c>
      <c r="AM112" s="365">
        <f>VLOOKUP($E112,'7. PGE_Efficacité'!$A$6:$BT$266,(MATCH('4.3 ACE EFF CAN'!AM$4,'7. PGE_Efficacité'!$A$4:$BU$4,0)+31),0)</f>
        <v>0</v>
      </c>
      <c r="AN112" s="365">
        <f>VLOOKUP($E112,'7. PGE_Efficacité'!$A$6:$BT$266,(MATCH('4.3 ACE EFF CAN'!AN$4,'7. PGE_Efficacité'!$A$4:$BU$4,0)+31),0)</f>
        <v>0</v>
      </c>
    </row>
    <row r="113" spans="1:40" outlineLevel="2" x14ac:dyDescent="0.25">
      <c r="A113" s="154" t="s">
        <v>1524</v>
      </c>
      <c r="B113" s="154">
        <v>21</v>
      </c>
      <c r="C113" s="154" t="s">
        <v>1527</v>
      </c>
      <c r="D113" s="330" t="s">
        <v>21</v>
      </c>
      <c r="E113" s="330" t="s">
        <v>732</v>
      </c>
      <c r="F113" s="330" t="s">
        <v>1390</v>
      </c>
      <c r="G113" s="330" t="s">
        <v>1521</v>
      </c>
      <c r="H113" s="330" t="s">
        <v>1290</v>
      </c>
      <c r="I113" s="364">
        <f>50000/3</f>
        <v>16666.666666666668</v>
      </c>
      <c r="J113" s="365">
        <f>VLOOKUP($E113,'7. PGE_Efficacité'!$A$6:$BT$266,(MATCH('4.3 ACE EFF CAN'!J$4,'7. PGE_Efficacité'!$A$4:$BU$4,0)+31),0)</f>
        <v>0</v>
      </c>
      <c r="K113" s="365">
        <f>VLOOKUP($E113,'7. PGE_Efficacité'!$A$6:$BT$266,(MATCH('4.3 ACE EFF CAN'!K$4,'7. PGE_Efficacité'!$A$4:$BU$4,0)+31),0)</f>
        <v>0</v>
      </c>
      <c r="L113" s="365">
        <f>VLOOKUP($E113,'7. PGE_Efficacité'!$A$6:$BT$266,(MATCH('4.3 ACE EFF CAN'!L$4,'7. PGE_Efficacité'!$A$4:$BU$4,0)+31),0)</f>
        <v>0</v>
      </c>
      <c r="M113" s="365">
        <f>VLOOKUP($E113,'7. PGE_Efficacité'!$A$6:$BT$266,(MATCH('4.3 ACE EFF CAN'!M$4,'7. PGE_Efficacité'!$A$4:$BU$4,0)+31),0)</f>
        <v>0</v>
      </c>
      <c r="N113" s="365">
        <f>VLOOKUP($E113,'7. PGE_Efficacité'!$A$6:$BT$266,(MATCH('4.3 ACE EFF CAN'!N$4,'7. PGE_Efficacité'!$A$4:$BU$4,0)+31),0)</f>
        <v>0</v>
      </c>
      <c r="O113" s="365">
        <f>VLOOKUP($E113,'7. PGE_Efficacité'!$A$6:$BT$266,(MATCH('4.3 ACE EFF CAN'!O$4,'7. PGE_Efficacité'!$A$4:$BU$4,0)+31),0)</f>
        <v>0</v>
      </c>
      <c r="P113" s="365">
        <f>VLOOKUP($E113,'7. PGE_Efficacité'!$A$6:$BT$266,(MATCH('4.3 ACE EFF CAN'!P$4,'7. PGE_Efficacité'!$A$4:$BU$4,0)+31),0)</f>
        <v>0</v>
      </c>
      <c r="Q113" s="365">
        <f>VLOOKUP($E113,'7. PGE_Efficacité'!$A$6:$BT$266,(MATCH('4.3 ACE EFF CAN'!Q$4,'7. PGE_Efficacité'!$A$4:$BU$4,0)+31),0)</f>
        <v>0</v>
      </c>
      <c r="R113" s="365">
        <f>VLOOKUP($E113,'7. PGE_Efficacité'!$A$6:$BT$266,(MATCH('4.3 ACE EFF CAN'!R$4,'7. PGE_Efficacité'!$A$4:$BU$4,0)+31),0)</f>
        <v>0</v>
      </c>
      <c r="S113" s="365">
        <f>VLOOKUP($E113,'7. PGE_Efficacité'!$A$6:$BT$266,(MATCH('4.3 ACE EFF CAN'!S$4,'7. PGE_Efficacité'!$A$4:$BU$4,0)+31),0)</f>
        <v>0</v>
      </c>
      <c r="T113" s="365">
        <f>VLOOKUP($E113,'7. PGE_Efficacité'!$A$6:$BT$266,(MATCH('4.3 ACE EFF CAN'!T$4,'7. PGE_Efficacité'!$A$4:$BU$4,0)+31),0)</f>
        <v>0</v>
      </c>
      <c r="U113" s="365">
        <f>VLOOKUP($E113,'7. PGE_Efficacité'!$A$6:$BT$266,(MATCH('4.3 ACE EFF CAN'!U$4,'7. PGE_Efficacité'!$A$4:$BU$4,0)+31),0)</f>
        <v>0</v>
      </c>
      <c r="V113" s="365">
        <f>VLOOKUP($E113,'7. PGE_Efficacité'!$A$6:$BT$266,(MATCH('4.3 ACE EFF CAN'!V$4,'7. PGE_Efficacité'!$A$4:$BU$4,0)+31),0)</f>
        <v>0</v>
      </c>
      <c r="W113" s="365">
        <f>VLOOKUP($E113,'7. PGE_Efficacité'!$A$6:$BT$266,(MATCH('4.3 ACE EFF CAN'!W$4,'7. PGE_Efficacité'!$A$4:$BU$4,0)+31),0)</f>
        <v>0</v>
      </c>
      <c r="X113" s="365">
        <f>VLOOKUP($E113,'7. PGE_Efficacité'!$A$6:$BT$266,(MATCH('4.3 ACE EFF CAN'!X$4,'7. PGE_Efficacité'!$A$4:$BU$4,0)+31),0)</f>
        <v>0</v>
      </c>
      <c r="Y113" s="365">
        <f>VLOOKUP($E113,'7. PGE_Efficacité'!$A$6:$BT$266,(MATCH('4.3 ACE EFF CAN'!Y$4,'7. PGE_Efficacité'!$A$4:$BU$4,0)+31),0)</f>
        <v>0</v>
      </c>
      <c r="Z113" s="365">
        <f>VLOOKUP($E113,'7. PGE_Efficacité'!$A$6:$BT$266,(MATCH('4.3 ACE EFF CAN'!Z$4,'7. PGE_Efficacité'!$A$4:$BU$4,0)+31),0)</f>
        <v>0</v>
      </c>
      <c r="AA113" s="365">
        <f>VLOOKUP($E113,'7. PGE_Efficacité'!$A$6:$BT$266,(MATCH('4.3 ACE EFF CAN'!AA$4,'7. PGE_Efficacité'!$A$4:$BU$4,0)+31),0)</f>
        <v>0</v>
      </c>
      <c r="AB113" s="365">
        <f>VLOOKUP($E113,'7. PGE_Efficacité'!$A$6:$BT$266,(MATCH('4.3 ACE EFF CAN'!AB$4,'7. PGE_Efficacité'!$A$4:$BU$4,0)+31),0)</f>
        <v>0</v>
      </c>
      <c r="AC113" s="365">
        <f>VLOOKUP($E113,'7. PGE_Efficacité'!$A$6:$BT$266,(MATCH('4.3 ACE EFF CAN'!AC$4,'7. PGE_Efficacité'!$A$4:$BU$4,0)+31),0)</f>
        <v>0</v>
      </c>
      <c r="AD113" s="365">
        <f>VLOOKUP($E113,'7. PGE_Efficacité'!$A$6:$BT$266,(MATCH('4.3 ACE EFF CAN'!AD$4,'7. PGE_Efficacité'!$A$4:$BU$4,0)+31),0)</f>
        <v>0</v>
      </c>
      <c r="AE113" s="365">
        <f>VLOOKUP($E113,'7. PGE_Efficacité'!$A$6:$BT$266,(MATCH('4.3 ACE EFF CAN'!AE$4,'7. PGE_Efficacité'!$A$4:$BU$4,0)+31),0)</f>
        <v>0</v>
      </c>
      <c r="AF113" s="365">
        <f>VLOOKUP($E113,'7. PGE_Efficacité'!$A$6:$BT$266,(MATCH('4.3 ACE EFF CAN'!AF$4,'7. PGE_Efficacité'!$A$4:$BU$4,0)+31),0)</f>
        <v>0</v>
      </c>
      <c r="AG113" s="365">
        <f>VLOOKUP($E113,'7. PGE_Efficacité'!$A$6:$BT$266,(MATCH('4.3 ACE EFF CAN'!AG$4,'7. PGE_Efficacité'!$A$4:$BU$4,0)+31),0)</f>
        <v>0</v>
      </c>
      <c r="AH113" s="365">
        <f>VLOOKUP($E113,'7. PGE_Efficacité'!$A$6:$BT$266,(MATCH('4.3 ACE EFF CAN'!AH$4,'7. PGE_Efficacité'!$A$4:$BU$4,0)+31),0)</f>
        <v>0</v>
      </c>
      <c r="AI113" s="365">
        <f>VLOOKUP($E113,'7. PGE_Efficacité'!$A$6:$BT$266,(MATCH('4.3 ACE EFF CAN'!AI$4,'7. PGE_Efficacité'!$A$4:$BU$4,0)+31),0)</f>
        <v>0</v>
      </c>
      <c r="AJ113" s="365">
        <f>VLOOKUP($E113,'7. PGE_Efficacité'!$A$6:$BT$266,(MATCH('4.3 ACE EFF CAN'!AJ$4,'7. PGE_Efficacité'!$A$4:$BU$4,0)+31),0)</f>
        <v>0</v>
      </c>
      <c r="AK113" s="365">
        <f>VLOOKUP($E113,'7. PGE_Efficacité'!$A$6:$BT$266,(MATCH('4.3 ACE EFF CAN'!AK$4,'7. PGE_Efficacité'!$A$4:$BU$4,0)+31),0)</f>
        <v>0</v>
      </c>
      <c r="AL113" s="365">
        <f>VLOOKUP($E113,'7. PGE_Efficacité'!$A$6:$BT$266,(MATCH('4.3 ACE EFF CAN'!AL$4,'7. PGE_Efficacité'!$A$4:$BU$4,0)+31),0)</f>
        <v>0</v>
      </c>
      <c r="AM113" s="365">
        <f>VLOOKUP($E113,'7. PGE_Efficacité'!$A$6:$BT$266,(MATCH('4.3 ACE EFF CAN'!AM$4,'7. PGE_Efficacité'!$A$4:$BU$4,0)+31),0)</f>
        <v>0</v>
      </c>
      <c r="AN113" s="365">
        <f>VLOOKUP($E113,'7. PGE_Efficacité'!$A$6:$BT$266,(MATCH('4.3 ACE EFF CAN'!AN$4,'7. PGE_Efficacité'!$A$4:$BU$4,0)+31),0)</f>
        <v>0</v>
      </c>
    </row>
    <row r="114" spans="1:40" outlineLevel="2" x14ac:dyDescent="0.25">
      <c r="A114" s="154" t="s">
        <v>1524</v>
      </c>
      <c r="B114" s="154">
        <v>21</v>
      </c>
      <c r="C114" s="154" t="s">
        <v>410</v>
      </c>
      <c r="D114" s="330" t="s">
        <v>21</v>
      </c>
      <c r="E114" s="330" t="s">
        <v>733</v>
      </c>
      <c r="F114" s="330" t="s">
        <v>1391</v>
      </c>
      <c r="G114" s="330" t="s">
        <v>1521</v>
      </c>
      <c r="H114" s="330" t="s">
        <v>1290</v>
      </c>
      <c r="I114" s="364">
        <v>0</v>
      </c>
      <c r="J114" s="365">
        <f>VLOOKUP($E114,'7. PGE_Efficacité'!$A$6:$BT$266,(MATCH('4.3 ACE EFF CAN'!J$4,'7. PGE_Efficacité'!$A$4:$BU$4,0)+31),0)</f>
        <v>0</v>
      </c>
      <c r="K114" s="365">
        <f>VLOOKUP($E114,'7. PGE_Efficacité'!$A$6:$BT$266,(MATCH('4.3 ACE EFF CAN'!K$4,'7. PGE_Efficacité'!$A$4:$BU$4,0)+31),0)</f>
        <v>0</v>
      </c>
      <c r="L114" s="365">
        <f>VLOOKUP($E114,'7. PGE_Efficacité'!$A$6:$BT$266,(MATCH('4.3 ACE EFF CAN'!L$4,'7. PGE_Efficacité'!$A$4:$BU$4,0)+31),0)</f>
        <v>0</v>
      </c>
      <c r="M114" s="365">
        <f>VLOOKUP($E114,'7. PGE_Efficacité'!$A$6:$BT$266,(MATCH('4.3 ACE EFF CAN'!M$4,'7. PGE_Efficacité'!$A$4:$BU$4,0)+31),0)</f>
        <v>0</v>
      </c>
      <c r="N114" s="365">
        <f>VLOOKUP($E114,'7. PGE_Efficacité'!$A$6:$BT$266,(MATCH('4.3 ACE EFF CAN'!N$4,'7. PGE_Efficacité'!$A$4:$BU$4,0)+31),0)</f>
        <v>0</v>
      </c>
      <c r="O114" s="365">
        <f>VLOOKUP($E114,'7. PGE_Efficacité'!$A$6:$BT$266,(MATCH('4.3 ACE EFF CAN'!O$4,'7. PGE_Efficacité'!$A$4:$BU$4,0)+31),0)</f>
        <v>0</v>
      </c>
      <c r="P114" s="365">
        <f>VLOOKUP($E114,'7. PGE_Efficacité'!$A$6:$BT$266,(MATCH('4.3 ACE EFF CAN'!P$4,'7. PGE_Efficacité'!$A$4:$BU$4,0)+31),0)</f>
        <v>0</v>
      </c>
      <c r="Q114" s="365">
        <f>VLOOKUP($E114,'7. PGE_Efficacité'!$A$6:$BT$266,(MATCH('4.3 ACE EFF CAN'!Q$4,'7. PGE_Efficacité'!$A$4:$BU$4,0)+31),0)</f>
        <v>0</v>
      </c>
      <c r="R114" s="365">
        <f>VLOOKUP($E114,'7. PGE_Efficacité'!$A$6:$BT$266,(MATCH('4.3 ACE EFF CAN'!R$4,'7. PGE_Efficacité'!$A$4:$BU$4,0)+31),0)</f>
        <v>0</v>
      </c>
      <c r="S114" s="365">
        <f>VLOOKUP($E114,'7. PGE_Efficacité'!$A$6:$BT$266,(MATCH('4.3 ACE EFF CAN'!S$4,'7. PGE_Efficacité'!$A$4:$BU$4,0)+31),0)</f>
        <v>0</v>
      </c>
      <c r="T114" s="365">
        <f>VLOOKUP($E114,'7. PGE_Efficacité'!$A$6:$BT$266,(MATCH('4.3 ACE EFF CAN'!T$4,'7. PGE_Efficacité'!$A$4:$BU$4,0)+31),0)</f>
        <v>0</v>
      </c>
      <c r="U114" s="365">
        <f>VLOOKUP($E114,'7. PGE_Efficacité'!$A$6:$BT$266,(MATCH('4.3 ACE EFF CAN'!U$4,'7. PGE_Efficacité'!$A$4:$BU$4,0)+31),0)</f>
        <v>0</v>
      </c>
      <c r="V114" s="365">
        <f>VLOOKUP($E114,'7. PGE_Efficacité'!$A$6:$BT$266,(MATCH('4.3 ACE EFF CAN'!V$4,'7. PGE_Efficacité'!$A$4:$BU$4,0)+31),0)</f>
        <v>0</v>
      </c>
      <c r="W114" s="365">
        <f>VLOOKUP($E114,'7. PGE_Efficacité'!$A$6:$BT$266,(MATCH('4.3 ACE EFF CAN'!W$4,'7. PGE_Efficacité'!$A$4:$BU$4,0)+31),0)</f>
        <v>0</v>
      </c>
      <c r="X114" s="365">
        <f>VLOOKUP($E114,'7. PGE_Efficacité'!$A$6:$BT$266,(MATCH('4.3 ACE EFF CAN'!X$4,'7. PGE_Efficacité'!$A$4:$BU$4,0)+31),0)</f>
        <v>0</v>
      </c>
      <c r="Y114" s="365">
        <f>VLOOKUP($E114,'7. PGE_Efficacité'!$A$6:$BT$266,(MATCH('4.3 ACE EFF CAN'!Y$4,'7. PGE_Efficacité'!$A$4:$BU$4,0)+31),0)</f>
        <v>0</v>
      </c>
      <c r="Z114" s="365">
        <f>VLOOKUP($E114,'7. PGE_Efficacité'!$A$6:$BT$266,(MATCH('4.3 ACE EFF CAN'!Z$4,'7. PGE_Efficacité'!$A$4:$BU$4,0)+31),0)</f>
        <v>0</v>
      </c>
      <c r="AA114" s="365">
        <f>VLOOKUP($E114,'7. PGE_Efficacité'!$A$6:$BT$266,(MATCH('4.3 ACE EFF CAN'!AA$4,'7. PGE_Efficacité'!$A$4:$BU$4,0)+31),0)</f>
        <v>0</v>
      </c>
      <c r="AB114" s="365">
        <f>VLOOKUP($E114,'7. PGE_Efficacité'!$A$6:$BT$266,(MATCH('4.3 ACE EFF CAN'!AB$4,'7. PGE_Efficacité'!$A$4:$BU$4,0)+31),0)</f>
        <v>0</v>
      </c>
      <c r="AC114" s="365">
        <f>VLOOKUP($E114,'7. PGE_Efficacité'!$A$6:$BT$266,(MATCH('4.3 ACE EFF CAN'!AC$4,'7. PGE_Efficacité'!$A$4:$BU$4,0)+31),0)</f>
        <v>0</v>
      </c>
      <c r="AD114" s="365">
        <f>VLOOKUP($E114,'7. PGE_Efficacité'!$A$6:$BT$266,(MATCH('4.3 ACE EFF CAN'!AD$4,'7. PGE_Efficacité'!$A$4:$BU$4,0)+31),0)</f>
        <v>0</v>
      </c>
      <c r="AE114" s="365">
        <f>VLOOKUP($E114,'7. PGE_Efficacité'!$A$6:$BT$266,(MATCH('4.3 ACE EFF CAN'!AE$4,'7. PGE_Efficacité'!$A$4:$BU$4,0)+31),0)</f>
        <v>0</v>
      </c>
      <c r="AF114" s="365">
        <f>VLOOKUP($E114,'7. PGE_Efficacité'!$A$6:$BT$266,(MATCH('4.3 ACE EFF CAN'!AF$4,'7. PGE_Efficacité'!$A$4:$BU$4,0)+31),0)</f>
        <v>0</v>
      </c>
      <c r="AG114" s="365">
        <f>VLOOKUP($E114,'7. PGE_Efficacité'!$A$6:$BT$266,(MATCH('4.3 ACE EFF CAN'!AG$4,'7. PGE_Efficacité'!$A$4:$BU$4,0)+31),0)</f>
        <v>0</v>
      </c>
      <c r="AH114" s="365">
        <f>VLOOKUP($E114,'7. PGE_Efficacité'!$A$6:$BT$266,(MATCH('4.3 ACE EFF CAN'!AH$4,'7. PGE_Efficacité'!$A$4:$BU$4,0)+31),0)</f>
        <v>0</v>
      </c>
      <c r="AI114" s="365">
        <f>VLOOKUP($E114,'7. PGE_Efficacité'!$A$6:$BT$266,(MATCH('4.3 ACE EFF CAN'!AI$4,'7. PGE_Efficacité'!$A$4:$BU$4,0)+31),0)</f>
        <v>0</v>
      </c>
      <c r="AJ114" s="365">
        <f>VLOOKUP($E114,'7. PGE_Efficacité'!$A$6:$BT$266,(MATCH('4.3 ACE EFF CAN'!AJ$4,'7. PGE_Efficacité'!$A$4:$BU$4,0)+31),0)</f>
        <v>0</v>
      </c>
      <c r="AK114" s="365">
        <f>VLOOKUP($E114,'7. PGE_Efficacité'!$A$6:$BT$266,(MATCH('4.3 ACE EFF CAN'!AK$4,'7. PGE_Efficacité'!$A$4:$BU$4,0)+31),0)</f>
        <v>0</v>
      </c>
      <c r="AL114" s="365">
        <f>VLOOKUP($E114,'7. PGE_Efficacité'!$A$6:$BT$266,(MATCH('4.3 ACE EFF CAN'!AL$4,'7. PGE_Efficacité'!$A$4:$BU$4,0)+31),0)</f>
        <v>0</v>
      </c>
      <c r="AM114" s="365">
        <f>VLOOKUP($E114,'7. PGE_Efficacité'!$A$6:$BT$266,(MATCH('4.3 ACE EFF CAN'!AM$4,'7. PGE_Efficacité'!$A$4:$BU$4,0)+31),0)</f>
        <v>0</v>
      </c>
      <c r="AN114" s="365">
        <f>VLOOKUP($E114,'7. PGE_Efficacité'!$A$6:$BT$266,(MATCH('4.3 ACE EFF CAN'!AN$4,'7. PGE_Efficacité'!$A$4:$BU$4,0)+31),0)</f>
        <v>0</v>
      </c>
    </row>
    <row r="115" spans="1:40" outlineLevel="2" x14ac:dyDescent="0.25">
      <c r="A115" s="154" t="s">
        <v>1524</v>
      </c>
      <c r="B115" s="154">
        <v>21</v>
      </c>
      <c r="C115" s="154" t="s">
        <v>1528</v>
      </c>
      <c r="D115" s="330" t="s">
        <v>21</v>
      </c>
      <c r="E115" s="330" t="s">
        <v>734</v>
      </c>
      <c r="F115" s="330" t="s">
        <v>1392</v>
      </c>
      <c r="G115" s="330" t="s">
        <v>1521</v>
      </c>
      <c r="H115" s="330" t="s">
        <v>1290</v>
      </c>
      <c r="I115" s="364">
        <v>0</v>
      </c>
      <c r="J115" s="365">
        <f>VLOOKUP($E115,'7. PGE_Efficacité'!$A$6:$BT$266,(MATCH('4.3 ACE EFF CAN'!J$4,'7. PGE_Efficacité'!$A$4:$BU$4,0)+31),0)</f>
        <v>0</v>
      </c>
      <c r="K115" s="365">
        <f>VLOOKUP($E115,'7. PGE_Efficacité'!$A$6:$BT$266,(MATCH('4.3 ACE EFF CAN'!K$4,'7. PGE_Efficacité'!$A$4:$BU$4,0)+31),0)</f>
        <v>0</v>
      </c>
      <c r="L115" s="365">
        <f>VLOOKUP($E115,'7. PGE_Efficacité'!$A$6:$BT$266,(MATCH('4.3 ACE EFF CAN'!L$4,'7. PGE_Efficacité'!$A$4:$BU$4,0)+31),0)</f>
        <v>0</v>
      </c>
      <c r="M115" s="365">
        <f>VLOOKUP($E115,'7. PGE_Efficacité'!$A$6:$BT$266,(MATCH('4.3 ACE EFF CAN'!M$4,'7. PGE_Efficacité'!$A$4:$BU$4,0)+31),0)</f>
        <v>0</v>
      </c>
      <c r="N115" s="365">
        <f>VLOOKUP($E115,'7. PGE_Efficacité'!$A$6:$BT$266,(MATCH('4.3 ACE EFF CAN'!N$4,'7. PGE_Efficacité'!$A$4:$BU$4,0)+31),0)</f>
        <v>0</v>
      </c>
      <c r="O115" s="365">
        <f>VLOOKUP($E115,'7. PGE_Efficacité'!$A$6:$BT$266,(MATCH('4.3 ACE EFF CAN'!O$4,'7. PGE_Efficacité'!$A$4:$BU$4,0)+31),0)</f>
        <v>0</v>
      </c>
      <c r="P115" s="365">
        <f>VLOOKUP($E115,'7. PGE_Efficacité'!$A$6:$BT$266,(MATCH('4.3 ACE EFF CAN'!P$4,'7. PGE_Efficacité'!$A$4:$BU$4,0)+31),0)</f>
        <v>0</v>
      </c>
      <c r="Q115" s="365">
        <f>VLOOKUP($E115,'7. PGE_Efficacité'!$A$6:$BT$266,(MATCH('4.3 ACE EFF CAN'!Q$4,'7. PGE_Efficacité'!$A$4:$BU$4,0)+31),0)</f>
        <v>0</v>
      </c>
      <c r="R115" s="365">
        <f>VLOOKUP($E115,'7. PGE_Efficacité'!$A$6:$BT$266,(MATCH('4.3 ACE EFF CAN'!R$4,'7. PGE_Efficacité'!$A$4:$BU$4,0)+31),0)</f>
        <v>0</v>
      </c>
      <c r="S115" s="365">
        <f>VLOOKUP($E115,'7. PGE_Efficacité'!$A$6:$BT$266,(MATCH('4.3 ACE EFF CAN'!S$4,'7. PGE_Efficacité'!$A$4:$BU$4,0)+31),0)</f>
        <v>0</v>
      </c>
      <c r="T115" s="365">
        <f>VLOOKUP($E115,'7. PGE_Efficacité'!$A$6:$BT$266,(MATCH('4.3 ACE EFF CAN'!T$4,'7. PGE_Efficacité'!$A$4:$BU$4,0)+31),0)</f>
        <v>0</v>
      </c>
      <c r="U115" s="365">
        <f>VLOOKUP($E115,'7. PGE_Efficacité'!$A$6:$BT$266,(MATCH('4.3 ACE EFF CAN'!U$4,'7. PGE_Efficacité'!$A$4:$BU$4,0)+31),0)</f>
        <v>0</v>
      </c>
      <c r="V115" s="365">
        <f>VLOOKUP($E115,'7. PGE_Efficacité'!$A$6:$BT$266,(MATCH('4.3 ACE EFF CAN'!V$4,'7. PGE_Efficacité'!$A$4:$BU$4,0)+31),0)</f>
        <v>0</v>
      </c>
      <c r="W115" s="365">
        <f>VLOOKUP($E115,'7. PGE_Efficacité'!$A$6:$BT$266,(MATCH('4.3 ACE EFF CAN'!W$4,'7. PGE_Efficacité'!$A$4:$BU$4,0)+31),0)</f>
        <v>0</v>
      </c>
      <c r="X115" s="365">
        <f>VLOOKUP($E115,'7. PGE_Efficacité'!$A$6:$BT$266,(MATCH('4.3 ACE EFF CAN'!X$4,'7. PGE_Efficacité'!$A$4:$BU$4,0)+31),0)</f>
        <v>0</v>
      </c>
      <c r="Y115" s="365">
        <f>VLOOKUP($E115,'7. PGE_Efficacité'!$A$6:$BT$266,(MATCH('4.3 ACE EFF CAN'!Y$4,'7. PGE_Efficacité'!$A$4:$BU$4,0)+31),0)</f>
        <v>0</v>
      </c>
      <c r="Z115" s="365">
        <f>VLOOKUP($E115,'7. PGE_Efficacité'!$A$6:$BT$266,(MATCH('4.3 ACE EFF CAN'!Z$4,'7. PGE_Efficacité'!$A$4:$BU$4,0)+31),0)</f>
        <v>0</v>
      </c>
      <c r="AA115" s="365">
        <f>VLOOKUP($E115,'7. PGE_Efficacité'!$A$6:$BT$266,(MATCH('4.3 ACE EFF CAN'!AA$4,'7. PGE_Efficacité'!$A$4:$BU$4,0)+31),0)</f>
        <v>0</v>
      </c>
      <c r="AB115" s="365">
        <f>VLOOKUP($E115,'7. PGE_Efficacité'!$A$6:$BT$266,(MATCH('4.3 ACE EFF CAN'!AB$4,'7. PGE_Efficacité'!$A$4:$BU$4,0)+31),0)</f>
        <v>0</v>
      </c>
      <c r="AC115" s="365">
        <f>VLOOKUP($E115,'7. PGE_Efficacité'!$A$6:$BT$266,(MATCH('4.3 ACE EFF CAN'!AC$4,'7. PGE_Efficacité'!$A$4:$BU$4,0)+31),0)</f>
        <v>0</v>
      </c>
      <c r="AD115" s="365">
        <f>VLOOKUP($E115,'7. PGE_Efficacité'!$A$6:$BT$266,(MATCH('4.3 ACE EFF CAN'!AD$4,'7. PGE_Efficacité'!$A$4:$BU$4,0)+31),0)</f>
        <v>0</v>
      </c>
      <c r="AE115" s="365">
        <f>VLOOKUP($E115,'7. PGE_Efficacité'!$A$6:$BT$266,(MATCH('4.3 ACE EFF CAN'!AE$4,'7. PGE_Efficacité'!$A$4:$BU$4,0)+31),0)</f>
        <v>0</v>
      </c>
      <c r="AF115" s="365">
        <f>VLOOKUP($E115,'7. PGE_Efficacité'!$A$6:$BT$266,(MATCH('4.3 ACE EFF CAN'!AF$4,'7. PGE_Efficacité'!$A$4:$BU$4,0)+31),0)</f>
        <v>0</v>
      </c>
      <c r="AG115" s="365">
        <f>VLOOKUP($E115,'7. PGE_Efficacité'!$A$6:$BT$266,(MATCH('4.3 ACE EFF CAN'!AG$4,'7. PGE_Efficacité'!$A$4:$BU$4,0)+31),0)</f>
        <v>0</v>
      </c>
      <c r="AH115" s="365">
        <f>VLOOKUP($E115,'7. PGE_Efficacité'!$A$6:$BT$266,(MATCH('4.3 ACE EFF CAN'!AH$4,'7. PGE_Efficacité'!$A$4:$BU$4,0)+31),0)</f>
        <v>0</v>
      </c>
      <c r="AI115" s="365">
        <f>VLOOKUP($E115,'7. PGE_Efficacité'!$A$6:$BT$266,(MATCH('4.3 ACE EFF CAN'!AI$4,'7. PGE_Efficacité'!$A$4:$BU$4,0)+31),0)</f>
        <v>0</v>
      </c>
      <c r="AJ115" s="365">
        <f>VLOOKUP($E115,'7. PGE_Efficacité'!$A$6:$BT$266,(MATCH('4.3 ACE EFF CAN'!AJ$4,'7. PGE_Efficacité'!$A$4:$BU$4,0)+31),0)</f>
        <v>0</v>
      </c>
      <c r="AK115" s="365">
        <f>VLOOKUP($E115,'7. PGE_Efficacité'!$A$6:$BT$266,(MATCH('4.3 ACE EFF CAN'!AK$4,'7. PGE_Efficacité'!$A$4:$BU$4,0)+31),0)</f>
        <v>0</v>
      </c>
      <c r="AL115" s="365">
        <f>VLOOKUP($E115,'7. PGE_Efficacité'!$A$6:$BT$266,(MATCH('4.3 ACE EFF CAN'!AL$4,'7. PGE_Efficacité'!$A$4:$BU$4,0)+31),0)</f>
        <v>0</v>
      </c>
      <c r="AM115" s="365">
        <f>VLOOKUP($E115,'7. PGE_Efficacité'!$A$6:$BT$266,(MATCH('4.3 ACE EFF CAN'!AM$4,'7. PGE_Efficacité'!$A$4:$BU$4,0)+31),0)</f>
        <v>0</v>
      </c>
      <c r="AN115" s="365">
        <f>VLOOKUP($E115,'7. PGE_Efficacité'!$A$6:$BT$266,(MATCH('4.3 ACE EFF CAN'!AN$4,'7. PGE_Efficacité'!$A$4:$BU$4,0)+31),0)</f>
        <v>0</v>
      </c>
    </row>
    <row r="116" spans="1:40" outlineLevel="2" x14ac:dyDescent="0.25">
      <c r="A116" s="154" t="s">
        <v>1524</v>
      </c>
      <c r="B116" s="154">
        <v>21</v>
      </c>
      <c r="C116" s="154" t="s">
        <v>1529</v>
      </c>
      <c r="D116" s="330" t="s">
        <v>21</v>
      </c>
      <c r="E116" s="330" t="s">
        <v>735</v>
      </c>
      <c r="F116" s="330" t="s">
        <v>1393</v>
      </c>
      <c r="G116" s="330" t="s">
        <v>1521</v>
      </c>
      <c r="H116" s="330" t="s">
        <v>1290</v>
      </c>
      <c r="I116" s="364">
        <v>0</v>
      </c>
      <c r="J116" s="365">
        <f>VLOOKUP($E116,'7. PGE_Efficacité'!$A$6:$BT$266,(MATCH('4.3 ACE EFF CAN'!J$4,'7. PGE_Efficacité'!$A$4:$BU$4,0)+31),0)</f>
        <v>0</v>
      </c>
      <c r="K116" s="365">
        <f>VLOOKUP($E116,'7. PGE_Efficacité'!$A$6:$BT$266,(MATCH('4.3 ACE EFF CAN'!K$4,'7. PGE_Efficacité'!$A$4:$BU$4,0)+31),0)</f>
        <v>0</v>
      </c>
      <c r="L116" s="365">
        <f>VLOOKUP($E116,'7. PGE_Efficacité'!$A$6:$BT$266,(MATCH('4.3 ACE EFF CAN'!L$4,'7. PGE_Efficacité'!$A$4:$BU$4,0)+31),0)</f>
        <v>0</v>
      </c>
      <c r="M116" s="365">
        <f>VLOOKUP($E116,'7. PGE_Efficacité'!$A$6:$BT$266,(MATCH('4.3 ACE EFF CAN'!M$4,'7. PGE_Efficacité'!$A$4:$BU$4,0)+31),0)</f>
        <v>0</v>
      </c>
      <c r="N116" s="365">
        <f>VLOOKUP($E116,'7. PGE_Efficacité'!$A$6:$BT$266,(MATCH('4.3 ACE EFF CAN'!N$4,'7. PGE_Efficacité'!$A$4:$BU$4,0)+31),0)</f>
        <v>0</v>
      </c>
      <c r="O116" s="365">
        <f>VLOOKUP($E116,'7. PGE_Efficacité'!$A$6:$BT$266,(MATCH('4.3 ACE EFF CAN'!O$4,'7. PGE_Efficacité'!$A$4:$BU$4,0)+31),0)</f>
        <v>0</v>
      </c>
      <c r="P116" s="365">
        <f>VLOOKUP($E116,'7. PGE_Efficacité'!$A$6:$BT$266,(MATCH('4.3 ACE EFF CAN'!P$4,'7. PGE_Efficacité'!$A$4:$BU$4,0)+31),0)</f>
        <v>0</v>
      </c>
      <c r="Q116" s="365">
        <f>VLOOKUP($E116,'7. PGE_Efficacité'!$A$6:$BT$266,(MATCH('4.3 ACE EFF CAN'!Q$4,'7. PGE_Efficacité'!$A$4:$BU$4,0)+31),0)</f>
        <v>0</v>
      </c>
      <c r="R116" s="365">
        <f>VLOOKUP($E116,'7. PGE_Efficacité'!$A$6:$BT$266,(MATCH('4.3 ACE EFF CAN'!R$4,'7. PGE_Efficacité'!$A$4:$BU$4,0)+31),0)</f>
        <v>0</v>
      </c>
      <c r="S116" s="365">
        <f>VLOOKUP($E116,'7. PGE_Efficacité'!$A$6:$BT$266,(MATCH('4.3 ACE EFF CAN'!S$4,'7. PGE_Efficacité'!$A$4:$BU$4,0)+31),0)</f>
        <v>0</v>
      </c>
      <c r="T116" s="365">
        <f>VLOOKUP($E116,'7. PGE_Efficacité'!$A$6:$BT$266,(MATCH('4.3 ACE EFF CAN'!T$4,'7. PGE_Efficacité'!$A$4:$BU$4,0)+31),0)</f>
        <v>0</v>
      </c>
      <c r="U116" s="365">
        <f>VLOOKUP($E116,'7. PGE_Efficacité'!$A$6:$BT$266,(MATCH('4.3 ACE EFF CAN'!U$4,'7. PGE_Efficacité'!$A$4:$BU$4,0)+31),0)</f>
        <v>0</v>
      </c>
      <c r="V116" s="365">
        <f>VLOOKUP($E116,'7. PGE_Efficacité'!$A$6:$BT$266,(MATCH('4.3 ACE EFF CAN'!V$4,'7. PGE_Efficacité'!$A$4:$BU$4,0)+31),0)</f>
        <v>0</v>
      </c>
      <c r="W116" s="365">
        <f>VLOOKUP($E116,'7. PGE_Efficacité'!$A$6:$BT$266,(MATCH('4.3 ACE EFF CAN'!W$4,'7. PGE_Efficacité'!$A$4:$BU$4,0)+31),0)</f>
        <v>0</v>
      </c>
      <c r="X116" s="365">
        <f>VLOOKUP($E116,'7. PGE_Efficacité'!$A$6:$BT$266,(MATCH('4.3 ACE EFF CAN'!X$4,'7. PGE_Efficacité'!$A$4:$BU$4,0)+31),0)</f>
        <v>0</v>
      </c>
      <c r="Y116" s="365">
        <f>VLOOKUP($E116,'7. PGE_Efficacité'!$A$6:$BT$266,(MATCH('4.3 ACE EFF CAN'!Y$4,'7. PGE_Efficacité'!$A$4:$BU$4,0)+31),0)</f>
        <v>0</v>
      </c>
      <c r="Z116" s="365">
        <f>VLOOKUP($E116,'7. PGE_Efficacité'!$A$6:$BT$266,(MATCH('4.3 ACE EFF CAN'!Z$4,'7. PGE_Efficacité'!$A$4:$BU$4,0)+31),0)</f>
        <v>0</v>
      </c>
      <c r="AA116" s="365">
        <f>VLOOKUP($E116,'7. PGE_Efficacité'!$A$6:$BT$266,(MATCH('4.3 ACE EFF CAN'!AA$4,'7. PGE_Efficacité'!$A$4:$BU$4,0)+31),0)</f>
        <v>0</v>
      </c>
      <c r="AB116" s="365">
        <f>VLOOKUP($E116,'7. PGE_Efficacité'!$A$6:$BT$266,(MATCH('4.3 ACE EFF CAN'!AB$4,'7. PGE_Efficacité'!$A$4:$BU$4,0)+31),0)</f>
        <v>0</v>
      </c>
      <c r="AC116" s="365">
        <f>VLOOKUP($E116,'7. PGE_Efficacité'!$A$6:$BT$266,(MATCH('4.3 ACE EFF CAN'!AC$4,'7. PGE_Efficacité'!$A$4:$BU$4,0)+31),0)</f>
        <v>0</v>
      </c>
      <c r="AD116" s="365">
        <f>VLOOKUP($E116,'7. PGE_Efficacité'!$A$6:$BT$266,(MATCH('4.3 ACE EFF CAN'!AD$4,'7. PGE_Efficacité'!$A$4:$BU$4,0)+31),0)</f>
        <v>0</v>
      </c>
      <c r="AE116" s="365">
        <f>VLOOKUP($E116,'7. PGE_Efficacité'!$A$6:$BT$266,(MATCH('4.3 ACE EFF CAN'!AE$4,'7. PGE_Efficacité'!$A$4:$BU$4,0)+31),0)</f>
        <v>0</v>
      </c>
      <c r="AF116" s="365">
        <f>VLOOKUP($E116,'7. PGE_Efficacité'!$A$6:$BT$266,(MATCH('4.3 ACE EFF CAN'!AF$4,'7. PGE_Efficacité'!$A$4:$BU$4,0)+31),0)</f>
        <v>0</v>
      </c>
      <c r="AG116" s="365">
        <f>VLOOKUP($E116,'7. PGE_Efficacité'!$A$6:$BT$266,(MATCH('4.3 ACE EFF CAN'!AG$4,'7. PGE_Efficacité'!$A$4:$BU$4,0)+31),0)</f>
        <v>0</v>
      </c>
      <c r="AH116" s="365">
        <f>VLOOKUP($E116,'7. PGE_Efficacité'!$A$6:$BT$266,(MATCH('4.3 ACE EFF CAN'!AH$4,'7. PGE_Efficacité'!$A$4:$BU$4,0)+31),0)</f>
        <v>0</v>
      </c>
      <c r="AI116" s="365">
        <f>VLOOKUP($E116,'7. PGE_Efficacité'!$A$6:$BT$266,(MATCH('4.3 ACE EFF CAN'!AI$4,'7. PGE_Efficacité'!$A$4:$BU$4,0)+31),0)</f>
        <v>0</v>
      </c>
      <c r="AJ116" s="365">
        <f>VLOOKUP($E116,'7. PGE_Efficacité'!$A$6:$BT$266,(MATCH('4.3 ACE EFF CAN'!AJ$4,'7. PGE_Efficacité'!$A$4:$BU$4,0)+31),0)</f>
        <v>0</v>
      </c>
      <c r="AK116" s="365">
        <f>VLOOKUP($E116,'7. PGE_Efficacité'!$A$6:$BT$266,(MATCH('4.3 ACE EFF CAN'!AK$4,'7. PGE_Efficacité'!$A$4:$BU$4,0)+31),0)</f>
        <v>0</v>
      </c>
      <c r="AL116" s="365">
        <f>VLOOKUP($E116,'7. PGE_Efficacité'!$A$6:$BT$266,(MATCH('4.3 ACE EFF CAN'!AL$4,'7. PGE_Efficacité'!$A$4:$BU$4,0)+31),0)</f>
        <v>0</v>
      </c>
      <c r="AM116" s="365">
        <f>VLOOKUP($E116,'7. PGE_Efficacité'!$A$6:$BT$266,(MATCH('4.3 ACE EFF CAN'!AM$4,'7. PGE_Efficacité'!$A$4:$BU$4,0)+31),0)</f>
        <v>0</v>
      </c>
      <c r="AN116" s="365">
        <f>VLOOKUP($E116,'7. PGE_Efficacité'!$A$6:$BT$266,(MATCH('4.3 ACE EFF CAN'!AN$4,'7. PGE_Efficacité'!$A$4:$BU$4,0)+31),0)</f>
        <v>0</v>
      </c>
    </row>
    <row r="117" spans="1:40" outlineLevel="2" x14ac:dyDescent="0.25">
      <c r="A117" s="154" t="s">
        <v>1524</v>
      </c>
      <c r="B117" s="154">
        <v>21</v>
      </c>
      <c r="C117" s="154" t="s">
        <v>1530</v>
      </c>
      <c r="D117" s="330" t="s">
        <v>21</v>
      </c>
      <c r="E117" s="330" t="s">
        <v>736</v>
      </c>
      <c r="F117" s="330" t="s">
        <v>1394</v>
      </c>
      <c r="G117" s="330" t="s">
        <v>1521</v>
      </c>
      <c r="H117" s="330" t="s">
        <v>1290</v>
      </c>
      <c r="I117" s="364">
        <v>0</v>
      </c>
      <c r="J117" s="365">
        <f>VLOOKUP($E117,'7. PGE_Efficacité'!$A$6:$BT$266,(MATCH('4.3 ACE EFF CAN'!J$4,'7. PGE_Efficacité'!$A$4:$BU$4,0)+31),0)</f>
        <v>0</v>
      </c>
      <c r="K117" s="365">
        <f>VLOOKUP($E117,'7. PGE_Efficacité'!$A$6:$BT$266,(MATCH('4.3 ACE EFF CAN'!K$4,'7. PGE_Efficacité'!$A$4:$BU$4,0)+31),0)</f>
        <v>0</v>
      </c>
      <c r="L117" s="365">
        <f>VLOOKUP($E117,'7. PGE_Efficacité'!$A$6:$BT$266,(MATCH('4.3 ACE EFF CAN'!L$4,'7. PGE_Efficacité'!$A$4:$BU$4,0)+31),0)</f>
        <v>0</v>
      </c>
      <c r="M117" s="365">
        <f>VLOOKUP($E117,'7. PGE_Efficacité'!$A$6:$BT$266,(MATCH('4.3 ACE EFF CAN'!M$4,'7. PGE_Efficacité'!$A$4:$BU$4,0)+31),0)</f>
        <v>0</v>
      </c>
      <c r="N117" s="365">
        <f>VLOOKUP($E117,'7. PGE_Efficacité'!$A$6:$BT$266,(MATCH('4.3 ACE EFF CAN'!N$4,'7. PGE_Efficacité'!$A$4:$BU$4,0)+31),0)</f>
        <v>0</v>
      </c>
      <c r="O117" s="365">
        <f>VLOOKUP($E117,'7. PGE_Efficacité'!$A$6:$BT$266,(MATCH('4.3 ACE EFF CAN'!O$4,'7. PGE_Efficacité'!$A$4:$BU$4,0)+31),0)</f>
        <v>0</v>
      </c>
      <c r="P117" s="365">
        <f>VLOOKUP($E117,'7. PGE_Efficacité'!$A$6:$BT$266,(MATCH('4.3 ACE EFF CAN'!P$4,'7. PGE_Efficacité'!$A$4:$BU$4,0)+31),0)</f>
        <v>0</v>
      </c>
      <c r="Q117" s="365">
        <f>VLOOKUP($E117,'7. PGE_Efficacité'!$A$6:$BT$266,(MATCH('4.3 ACE EFF CAN'!Q$4,'7. PGE_Efficacité'!$A$4:$BU$4,0)+31),0)</f>
        <v>0</v>
      </c>
      <c r="R117" s="365">
        <f>VLOOKUP($E117,'7. PGE_Efficacité'!$A$6:$BT$266,(MATCH('4.3 ACE EFF CAN'!R$4,'7. PGE_Efficacité'!$A$4:$BU$4,0)+31),0)</f>
        <v>0</v>
      </c>
      <c r="S117" s="365">
        <f>VLOOKUP($E117,'7. PGE_Efficacité'!$A$6:$BT$266,(MATCH('4.3 ACE EFF CAN'!S$4,'7. PGE_Efficacité'!$A$4:$BU$4,0)+31),0)</f>
        <v>0</v>
      </c>
      <c r="T117" s="365">
        <f>VLOOKUP($E117,'7. PGE_Efficacité'!$A$6:$BT$266,(MATCH('4.3 ACE EFF CAN'!T$4,'7. PGE_Efficacité'!$A$4:$BU$4,0)+31),0)</f>
        <v>0</v>
      </c>
      <c r="U117" s="365">
        <f>VLOOKUP($E117,'7. PGE_Efficacité'!$A$6:$BT$266,(MATCH('4.3 ACE EFF CAN'!U$4,'7. PGE_Efficacité'!$A$4:$BU$4,0)+31),0)</f>
        <v>0</v>
      </c>
      <c r="V117" s="365">
        <f>VLOOKUP($E117,'7. PGE_Efficacité'!$A$6:$BT$266,(MATCH('4.3 ACE EFF CAN'!V$4,'7. PGE_Efficacité'!$A$4:$BU$4,0)+31),0)</f>
        <v>0</v>
      </c>
      <c r="W117" s="365">
        <f>VLOOKUP($E117,'7. PGE_Efficacité'!$A$6:$BT$266,(MATCH('4.3 ACE EFF CAN'!W$4,'7. PGE_Efficacité'!$A$4:$BU$4,0)+31),0)</f>
        <v>0</v>
      </c>
      <c r="X117" s="365">
        <f>VLOOKUP($E117,'7. PGE_Efficacité'!$A$6:$BT$266,(MATCH('4.3 ACE EFF CAN'!X$4,'7. PGE_Efficacité'!$A$4:$BU$4,0)+31),0)</f>
        <v>0</v>
      </c>
      <c r="Y117" s="365">
        <f>VLOOKUP($E117,'7. PGE_Efficacité'!$A$6:$BT$266,(MATCH('4.3 ACE EFF CAN'!Y$4,'7. PGE_Efficacité'!$A$4:$BU$4,0)+31),0)</f>
        <v>0</v>
      </c>
      <c r="Z117" s="365">
        <f>VLOOKUP($E117,'7. PGE_Efficacité'!$A$6:$BT$266,(MATCH('4.3 ACE EFF CAN'!Z$4,'7. PGE_Efficacité'!$A$4:$BU$4,0)+31),0)</f>
        <v>0</v>
      </c>
      <c r="AA117" s="365">
        <f>VLOOKUP($E117,'7. PGE_Efficacité'!$A$6:$BT$266,(MATCH('4.3 ACE EFF CAN'!AA$4,'7. PGE_Efficacité'!$A$4:$BU$4,0)+31),0)</f>
        <v>0</v>
      </c>
      <c r="AB117" s="365">
        <f>VLOOKUP($E117,'7. PGE_Efficacité'!$A$6:$BT$266,(MATCH('4.3 ACE EFF CAN'!AB$4,'7. PGE_Efficacité'!$A$4:$BU$4,0)+31),0)</f>
        <v>0</v>
      </c>
      <c r="AC117" s="365">
        <f>VLOOKUP($E117,'7. PGE_Efficacité'!$A$6:$BT$266,(MATCH('4.3 ACE EFF CAN'!AC$4,'7. PGE_Efficacité'!$A$4:$BU$4,0)+31),0)</f>
        <v>0</v>
      </c>
      <c r="AD117" s="365">
        <f>VLOOKUP($E117,'7. PGE_Efficacité'!$A$6:$BT$266,(MATCH('4.3 ACE EFF CAN'!AD$4,'7. PGE_Efficacité'!$A$4:$BU$4,0)+31),0)</f>
        <v>0</v>
      </c>
      <c r="AE117" s="365">
        <f>VLOOKUP($E117,'7. PGE_Efficacité'!$A$6:$BT$266,(MATCH('4.3 ACE EFF CAN'!AE$4,'7. PGE_Efficacité'!$A$4:$BU$4,0)+31),0)</f>
        <v>0</v>
      </c>
      <c r="AF117" s="365">
        <f>VLOOKUP($E117,'7. PGE_Efficacité'!$A$6:$BT$266,(MATCH('4.3 ACE EFF CAN'!AF$4,'7. PGE_Efficacité'!$A$4:$BU$4,0)+31),0)</f>
        <v>0</v>
      </c>
      <c r="AG117" s="365">
        <f>VLOOKUP($E117,'7. PGE_Efficacité'!$A$6:$BT$266,(MATCH('4.3 ACE EFF CAN'!AG$4,'7. PGE_Efficacité'!$A$4:$BU$4,0)+31),0)</f>
        <v>0</v>
      </c>
      <c r="AH117" s="365">
        <f>VLOOKUP($E117,'7. PGE_Efficacité'!$A$6:$BT$266,(MATCH('4.3 ACE EFF CAN'!AH$4,'7. PGE_Efficacité'!$A$4:$BU$4,0)+31),0)</f>
        <v>0</v>
      </c>
      <c r="AI117" s="365">
        <f>VLOOKUP($E117,'7. PGE_Efficacité'!$A$6:$BT$266,(MATCH('4.3 ACE EFF CAN'!AI$4,'7. PGE_Efficacité'!$A$4:$BU$4,0)+31),0)</f>
        <v>0</v>
      </c>
      <c r="AJ117" s="365">
        <f>VLOOKUP($E117,'7. PGE_Efficacité'!$A$6:$BT$266,(MATCH('4.3 ACE EFF CAN'!AJ$4,'7. PGE_Efficacité'!$A$4:$BU$4,0)+31),0)</f>
        <v>0</v>
      </c>
      <c r="AK117" s="365">
        <f>VLOOKUP($E117,'7. PGE_Efficacité'!$A$6:$BT$266,(MATCH('4.3 ACE EFF CAN'!AK$4,'7. PGE_Efficacité'!$A$4:$BU$4,0)+31),0)</f>
        <v>0</v>
      </c>
      <c r="AL117" s="365">
        <f>VLOOKUP($E117,'7. PGE_Efficacité'!$A$6:$BT$266,(MATCH('4.3 ACE EFF CAN'!AL$4,'7. PGE_Efficacité'!$A$4:$BU$4,0)+31),0)</f>
        <v>0</v>
      </c>
      <c r="AM117" s="365">
        <f>VLOOKUP($E117,'7. PGE_Efficacité'!$A$6:$BT$266,(MATCH('4.3 ACE EFF CAN'!AM$4,'7. PGE_Efficacité'!$A$4:$BU$4,0)+31),0)</f>
        <v>0</v>
      </c>
      <c r="AN117" s="365">
        <f>VLOOKUP($E117,'7. PGE_Efficacité'!$A$6:$BT$266,(MATCH('4.3 ACE EFF CAN'!AN$4,'7. PGE_Efficacité'!$A$4:$BU$4,0)+31),0)</f>
        <v>0</v>
      </c>
    </row>
    <row r="118" spans="1:40" outlineLevel="2" x14ac:dyDescent="0.25">
      <c r="A118" s="154" t="s">
        <v>1524</v>
      </c>
      <c r="B118" s="154">
        <v>21</v>
      </c>
      <c r="C118" s="154" t="s">
        <v>1531</v>
      </c>
      <c r="D118" s="330" t="s">
        <v>21</v>
      </c>
      <c r="E118" s="330" t="s">
        <v>737</v>
      </c>
      <c r="F118" s="330" t="s">
        <v>1395</v>
      </c>
      <c r="G118" s="330" t="s">
        <v>1521</v>
      </c>
      <c r="H118" s="330" t="s">
        <v>1290</v>
      </c>
      <c r="I118" s="364">
        <v>0</v>
      </c>
      <c r="J118" s="365">
        <f>VLOOKUP($E118,'7. PGE_Efficacité'!$A$6:$BT$266,(MATCH('4.3 ACE EFF CAN'!J$4,'7. PGE_Efficacité'!$A$4:$BU$4,0)+31),0)</f>
        <v>0</v>
      </c>
      <c r="K118" s="365">
        <f>VLOOKUP($E118,'7. PGE_Efficacité'!$A$6:$BT$266,(MATCH('4.3 ACE EFF CAN'!K$4,'7. PGE_Efficacité'!$A$4:$BU$4,0)+31),0)</f>
        <v>0</v>
      </c>
      <c r="L118" s="365">
        <f>VLOOKUP($E118,'7. PGE_Efficacité'!$A$6:$BT$266,(MATCH('4.3 ACE EFF CAN'!L$4,'7. PGE_Efficacité'!$A$4:$BU$4,0)+31),0)</f>
        <v>0</v>
      </c>
      <c r="M118" s="365">
        <f>VLOOKUP($E118,'7. PGE_Efficacité'!$A$6:$BT$266,(MATCH('4.3 ACE EFF CAN'!M$4,'7. PGE_Efficacité'!$A$4:$BU$4,0)+31),0)</f>
        <v>0</v>
      </c>
      <c r="N118" s="365">
        <f>VLOOKUP($E118,'7. PGE_Efficacité'!$A$6:$BT$266,(MATCH('4.3 ACE EFF CAN'!N$4,'7. PGE_Efficacité'!$A$4:$BU$4,0)+31),0)</f>
        <v>0</v>
      </c>
      <c r="O118" s="365">
        <f>VLOOKUP($E118,'7. PGE_Efficacité'!$A$6:$BT$266,(MATCH('4.3 ACE EFF CAN'!O$4,'7. PGE_Efficacité'!$A$4:$BU$4,0)+31),0)</f>
        <v>0</v>
      </c>
      <c r="P118" s="365">
        <f>VLOOKUP($E118,'7. PGE_Efficacité'!$A$6:$BT$266,(MATCH('4.3 ACE EFF CAN'!P$4,'7. PGE_Efficacité'!$A$4:$BU$4,0)+31),0)</f>
        <v>0</v>
      </c>
      <c r="Q118" s="365">
        <f>VLOOKUP($E118,'7. PGE_Efficacité'!$A$6:$BT$266,(MATCH('4.3 ACE EFF CAN'!Q$4,'7. PGE_Efficacité'!$A$4:$BU$4,0)+31),0)</f>
        <v>0</v>
      </c>
      <c r="R118" s="365">
        <f>VLOOKUP($E118,'7. PGE_Efficacité'!$A$6:$BT$266,(MATCH('4.3 ACE EFF CAN'!R$4,'7. PGE_Efficacité'!$A$4:$BU$4,0)+31),0)</f>
        <v>0</v>
      </c>
      <c r="S118" s="365">
        <f>VLOOKUP($E118,'7. PGE_Efficacité'!$A$6:$BT$266,(MATCH('4.3 ACE EFF CAN'!S$4,'7. PGE_Efficacité'!$A$4:$BU$4,0)+31),0)</f>
        <v>0</v>
      </c>
      <c r="T118" s="365">
        <f>VLOOKUP($E118,'7. PGE_Efficacité'!$A$6:$BT$266,(MATCH('4.3 ACE EFF CAN'!T$4,'7. PGE_Efficacité'!$A$4:$BU$4,0)+31),0)</f>
        <v>0</v>
      </c>
      <c r="U118" s="365">
        <f>VLOOKUP($E118,'7. PGE_Efficacité'!$A$6:$BT$266,(MATCH('4.3 ACE EFF CAN'!U$4,'7. PGE_Efficacité'!$A$4:$BU$4,0)+31),0)</f>
        <v>0</v>
      </c>
      <c r="V118" s="365">
        <f>VLOOKUP($E118,'7. PGE_Efficacité'!$A$6:$BT$266,(MATCH('4.3 ACE EFF CAN'!V$4,'7. PGE_Efficacité'!$A$4:$BU$4,0)+31),0)</f>
        <v>0</v>
      </c>
      <c r="W118" s="365">
        <f>VLOOKUP($E118,'7. PGE_Efficacité'!$A$6:$BT$266,(MATCH('4.3 ACE EFF CAN'!W$4,'7. PGE_Efficacité'!$A$4:$BU$4,0)+31),0)</f>
        <v>0</v>
      </c>
      <c r="X118" s="365">
        <f>VLOOKUP($E118,'7. PGE_Efficacité'!$A$6:$BT$266,(MATCH('4.3 ACE EFF CAN'!X$4,'7. PGE_Efficacité'!$A$4:$BU$4,0)+31),0)</f>
        <v>0</v>
      </c>
      <c r="Y118" s="365">
        <f>VLOOKUP($E118,'7. PGE_Efficacité'!$A$6:$BT$266,(MATCH('4.3 ACE EFF CAN'!Y$4,'7. PGE_Efficacité'!$A$4:$BU$4,0)+31),0)</f>
        <v>0</v>
      </c>
      <c r="Z118" s="365">
        <f>VLOOKUP($E118,'7. PGE_Efficacité'!$A$6:$BT$266,(MATCH('4.3 ACE EFF CAN'!Z$4,'7. PGE_Efficacité'!$A$4:$BU$4,0)+31),0)</f>
        <v>0</v>
      </c>
      <c r="AA118" s="365">
        <f>VLOOKUP($E118,'7. PGE_Efficacité'!$A$6:$BT$266,(MATCH('4.3 ACE EFF CAN'!AA$4,'7. PGE_Efficacité'!$A$4:$BU$4,0)+31),0)</f>
        <v>0</v>
      </c>
      <c r="AB118" s="365">
        <f>VLOOKUP($E118,'7. PGE_Efficacité'!$A$6:$BT$266,(MATCH('4.3 ACE EFF CAN'!AB$4,'7. PGE_Efficacité'!$A$4:$BU$4,0)+31),0)</f>
        <v>0</v>
      </c>
      <c r="AC118" s="365">
        <f>VLOOKUP($E118,'7. PGE_Efficacité'!$A$6:$BT$266,(MATCH('4.3 ACE EFF CAN'!AC$4,'7. PGE_Efficacité'!$A$4:$BU$4,0)+31),0)</f>
        <v>0</v>
      </c>
      <c r="AD118" s="365">
        <f>VLOOKUP($E118,'7. PGE_Efficacité'!$A$6:$BT$266,(MATCH('4.3 ACE EFF CAN'!AD$4,'7. PGE_Efficacité'!$A$4:$BU$4,0)+31),0)</f>
        <v>0</v>
      </c>
      <c r="AE118" s="365">
        <f>VLOOKUP($E118,'7. PGE_Efficacité'!$A$6:$BT$266,(MATCH('4.3 ACE EFF CAN'!AE$4,'7. PGE_Efficacité'!$A$4:$BU$4,0)+31),0)</f>
        <v>0</v>
      </c>
      <c r="AF118" s="365">
        <f>VLOOKUP($E118,'7. PGE_Efficacité'!$A$6:$BT$266,(MATCH('4.3 ACE EFF CAN'!AF$4,'7. PGE_Efficacité'!$A$4:$BU$4,0)+31),0)</f>
        <v>0</v>
      </c>
      <c r="AG118" s="365">
        <f>VLOOKUP($E118,'7. PGE_Efficacité'!$A$6:$BT$266,(MATCH('4.3 ACE EFF CAN'!AG$4,'7. PGE_Efficacité'!$A$4:$BU$4,0)+31),0)</f>
        <v>0</v>
      </c>
      <c r="AH118" s="365">
        <f>VLOOKUP($E118,'7. PGE_Efficacité'!$A$6:$BT$266,(MATCH('4.3 ACE EFF CAN'!AH$4,'7. PGE_Efficacité'!$A$4:$BU$4,0)+31),0)</f>
        <v>0</v>
      </c>
      <c r="AI118" s="365">
        <f>VLOOKUP($E118,'7. PGE_Efficacité'!$A$6:$BT$266,(MATCH('4.3 ACE EFF CAN'!AI$4,'7. PGE_Efficacité'!$A$4:$BU$4,0)+31),0)</f>
        <v>0</v>
      </c>
      <c r="AJ118" s="365">
        <f>VLOOKUP($E118,'7. PGE_Efficacité'!$A$6:$BT$266,(MATCH('4.3 ACE EFF CAN'!AJ$4,'7. PGE_Efficacité'!$A$4:$BU$4,0)+31),0)</f>
        <v>0</v>
      </c>
      <c r="AK118" s="365">
        <f>VLOOKUP($E118,'7. PGE_Efficacité'!$A$6:$BT$266,(MATCH('4.3 ACE EFF CAN'!AK$4,'7. PGE_Efficacité'!$A$4:$BU$4,0)+31),0)</f>
        <v>0</v>
      </c>
      <c r="AL118" s="365">
        <f>VLOOKUP($E118,'7. PGE_Efficacité'!$A$6:$BT$266,(MATCH('4.3 ACE EFF CAN'!AL$4,'7. PGE_Efficacité'!$A$4:$BU$4,0)+31),0)</f>
        <v>0</v>
      </c>
      <c r="AM118" s="365">
        <f>VLOOKUP($E118,'7. PGE_Efficacité'!$A$6:$BT$266,(MATCH('4.3 ACE EFF CAN'!AM$4,'7. PGE_Efficacité'!$A$4:$BU$4,0)+31),0)</f>
        <v>0</v>
      </c>
      <c r="AN118" s="365">
        <f>VLOOKUP($E118,'7. PGE_Efficacité'!$A$6:$BT$266,(MATCH('4.3 ACE EFF CAN'!AN$4,'7. PGE_Efficacité'!$A$4:$BU$4,0)+31),0)</f>
        <v>0</v>
      </c>
    </row>
    <row r="119" spans="1:40" outlineLevel="2" x14ac:dyDescent="0.25">
      <c r="A119" s="154" t="s">
        <v>1524</v>
      </c>
      <c r="B119" s="154">
        <v>21</v>
      </c>
      <c r="C119" s="154" t="s">
        <v>1503</v>
      </c>
      <c r="D119" s="330" t="s">
        <v>21</v>
      </c>
      <c r="E119" s="330" t="s">
        <v>729</v>
      </c>
      <c r="F119" s="330" t="s">
        <v>1387</v>
      </c>
      <c r="G119" s="330" t="s">
        <v>1521</v>
      </c>
      <c r="H119" s="330" t="s">
        <v>1290</v>
      </c>
      <c r="I119" s="364">
        <v>0</v>
      </c>
      <c r="J119" s="365">
        <f>VLOOKUP($E119,'7. PGE_Efficacité'!$A$6:$BT$266,(MATCH('4.3 ACE EFF CAN'!J$4,'7. PGE_Efficacité'!$A$4:$BU$4,0)+31),0)</f>
        <v>0</v>
      </c>
      <c r="K119" s="365">
        <f>VLOOKUP($E119,'7. PGE_Efficacité'!$A$6:$BT$266,(MATCH('4.3 ACE EFF CAN'!K$4,'7. PGE_Efficacité'!$A$4:$BU$4,0)+31),0)</f>
        <v>0</v>
      </c>
      <c r="L119" s="365">
        <f>VLOOKUP($E119,'7. PGE_Efficacité'!$A$6:$BT$266,(MATCH('4.3 ACE EFF CAN'!L$4,'7. PGE_Efficacité'!$A$4:$BU$4,0)+31),0)</f>
        <v>0</v>
      </c>
      <c r="M119" s="365">
        <f>VLOOKUP($E119,'7. PGE_Efficacité'!$A$6:$BT$266,(MATCH('4.3 ACE EFF CAN'!M$4,'7. PGE_Efficacité'!$A$4:$BU$4,0)+31),0)</f>
        <v>0</v>
      </c>
      <c r="N119" s="365">
        <f>VLOOKUP($E119,'7. PGE_Efficacité'!$A$6:$BT$266,(MATCH('4.3 ACE EFF CAN'!N$4,'7. PGE_Efficacité'!$A$4:$BU$4,0)+31),0)</f>
        <v>0</v>
      </c>
      <c r="O119" s="365">
        <f>VLOOKUP($E119,'7. PGE_Efficacité'!$A$6:$BT$266,(MATCH('4.3 ACE EFF CAN'!O$4,'7. PGE_Efficacité'!$A$4:$BU$4,0)+31),0)</f>
        <v>0</v>
      </c>
      <c r="P119" s="365">
        <f>VLOOKUP($E119,'7. PGE_Efficacité'!$A$6:$BT$266,(MATCH('4.3 ACE EFF CAN'!P$4,'7. PGE_Efficacité'!$A$4:$BU$4,0)+31),0)</f>
        <v>0</v>
      </c>
      <c r="Q119" s="365">
        <f>VLOOKUP($E119,'7. PGE_Efficacité'!$A$6:$BT$266,(MATCH('4.3 ACE EFF CAN'!Q$4,'7. PGE_Efficacité'!$A$4:$BU$4,0)+31),0)</f>
        <v>0</v>
      </c>
      <c r="R119" s="365">
        <f>VLOOKUP($E119,'7. PGE_Efficacité'!$A$6:$BT$266,(MATCH('4.3 ACE EFF CAN'!R$4,'7. PGE_Efficacité'!$A$4:$BU$4,0)+31),0)</f>
        <v>0</v>
      </c>
      <c r="S119" s="365">
        <f>VLOOKUP($E119,'7. PGE_Efficacité'!$A$6:$BT$266,(MATCH('4.3 ACE EFF CAN'!S$4,'7. PGE_Efficacité'!$A$4:$BU$4,0)+31),0)</f>
        <v>0</v>
      </c>
      <c r="T119" s="365">
        <f>VLOOKUP($E119,'7. PGE_Efficacité'!$A$6:$BT$266,(MATCH('4.3 ACE EFF CAN'!T$4,'7. PGE_Efficacité'!$A$4:$BU$4,0)+31),0)</f>
        <v>0</v>
      </c>
      <c r="U119" s="365">
        <f>VLOOKUP($E119,'7. PGE_Efficacité'!$A$6:$BT$266,(MATCH('4.3 ACE EFF CAN'!U$4,'7. PGE_Efficacité'!$A$4:$BU$4,0)+31),0)</f>
        <v>0</v>
      </c>
      <c r="V119" s="365">
        <f>VLOOKUP($E119,'7. PGE_Efficacité'!$A$6:$BT$266,(MATCH('4.3 ACE EFF CAN'!V$4,'7. PGE_Efficacité'!$A$4:$BU$4,0)+31),0)</f>
        <v>0</v>
      </c>
      <c r="W119" s="365">
        <f>VLOOKUP($E119,'7. PGE_Efficacité'!$A$6:$BT$266,(MATCH('4.3 ACE EFF CAN'!W$4,'7. PGE_Efficacité'!$A$4:$BU$4,0)+31),0)</f>
        <v>0</v>
      </c>
      <c r="X119" s="365">
        <f>VLOOKUP($E119,'7. PGE_Efficacité'!$A$6:$BT$266,(MATCH('4.3 ACE EFF CAN'!X$4,'7. PGE_Efficacité'!$A$4:$BU$4,0)+31),0)</f>
        <v>0</v>
      </c>
      <c r="Y119" s="365">
        <f>VLOOKUP($E119,'7. PGE_Efficacité'!$A$6:$BT$266,(MATCH('4.3 ACE EFF CAN'!Y$4,'7. PGE_Efficacité'!$A$4:$BU$4,0)+31),0)</f>
        <v>0</v>
      </c>
      <c r="Z119" s="365">
        <f>VLOOKUP($E119,'7. PGE_Efficacité'!$A$6:$BT$266,(MATCH('4.3 ACE EFF CAN'!Z$4,'7. PGE_Efficacité'!$A$4:$BU$4,0)+31),0)</f>
        <v>0</v>
      </c>
      <c r="AA119" s="365">
        <f>VLOOKUP($E119,'7. PGE_Efficacité'!$A$6:$BT$266,(MATCH('4.3 ACE EFF CAN'!AA$4,'7. PGE_Efficacité'!$A$4:$BU$4,0)+31),0)</f>
        <v>0</v>
      </c>
      <c r="AB119" s="365">
        <f>VLOOKUP($E119,'7. PGE_Efficacité'!$A$6:$BT$266,(MATCH('4.3 ACE EFF CAN'!AB$4,'7. PGE_Efficacité'!$A$4:$BU$4,0)+31),0)</f>
        <v>0</v>
      </c>
      <c r="AC119" s="365">
        <f>VLOOKUP($E119,'7. PGE_Efficacité'!$A$6:$BT$266,(MATCH('4.3 ACE EFF CAN'!AC$4,'7. PGE_Efficacité'!$A$4:$BU$4,0)+31),0)</f>
        <v>0</v>
      </c>
      <c r="AD119" s="365">
        <f>VLOOKUP($E119,'7. PGE_Efficacité'!$A$6:$BT$266,(MATCH('4.3 ACE EFF CAN'!AD$4,'7. PGE_Efficacité'!$A$4:$BU$4,0)+31),0)</f>
        <v>0</v>
      </c>
      <c r="AE119" s="365">
        <f>VLOOKUP($E119,'7. PGE_Efficacité'!$A$6:$BT$266,(MATCH('4.3 ACE EFF CAN'!AE$4,'7. PGE_Efficacité'!$A$4:$BU$4,0)+31),0)</f>
        <v>0</v>
      </c>
      <c r="AF119" s="365">
        <f>VLOOKUP($E119,'7. PGE_Efficacité'!$A$6:$BT$266,(MATCH('4.3 ACE EFF CAN'!AF$4,'7. PGE_Efficacité'!$A$4:$BU$4,0)+31),0)</f>
        <v>0</v>
      </c>
      <c r="AG119" s="365">
        <f>VLOOKUP($E119,'7. PGE_Efficacité'!$A$6:$BT$266,(MATCH('4.3 ACE EFF CAN'!AG$4,'7. PGE_Efficacité'!$A$4:$BU$4,0)+31),0)</f>
        <v>0</v>
      </c>
      <c r="AH119" s="365">
        <f>VLOOKUP($E119,'7. PGE_Efficacité'!$A$6:$BT$266,(MATCH('4.3 ACE EFF CAN'!AH$4,'7. PGE_Efficacité'!$A$4:$BU$4,0)+31),0)</f>
        <v>0</v>
      </c>
      <c r="AI119" s="365">
        <f>VLOOKUP($E119,'7. PGE_Efficacité'!$A$6:$BT$266,(MATCH('4.3 ACE EFF CAN'!AI$4,'7. PGE_Efficacité'!$A$4:$BU$4,0)+31),0)</f>
        <v>0</v>
      </c>
      <c r="AJ119" s="365">
        <f>VLOOKUP($E119,'7. PGE_Efficacité'!$A$6:$BT$266,(MATCH('4.3 ACE EFF CAN'!AJ$4,'7. PGE_Efficacité'!$A$4:$BU$4,0)+31),0)</f>
        <v>0</v>
      </c>
      <c r="AK119" s="365">
        <f>VLOOKUP($E119,'7. PGE_Efficacité'!$A$6:$BT$266,(MATCH('4.3 ACE EFF CAN'!AK$4,'7. PGE_Efficacité'!$A$4:$BU$4,0)+31),0)</f>
        <v>0</v>
      </c>
      <c r="AL119" s="365">
        <f>VLOOKUP($E119,'7. PGE_Efficacité'!$A$6:$BT$266,(MATCH('4.3 ACE EFF CAN'!AL$4,'7. PGE_Efficacité'!$A$4:$BU$4,0)+31),0)</f>
        <v>0</v>
      </c>
      <c r="AM119" s="365">
        <f>VLOOKUP($E119,'7. PGE_Efficacité'!$A$6:$BT$266,(MATCH('4.3 ACE EFF CAN'!AM$4,'7. PGE_Efficacité'!$A$4:$BU$4,0)+31),0)</f>
        <v>0</v>
      </c>
      <c r="AN119" s="365">
        <f>VLOOKUP($E119,'7. PGE_Efficacité'!$A$6:$BT$266,(MATCH('4.3 ACE EFF CAN'!AN$4,'7. PGE_Efficacité'!$A$4:$BU$4,0)+31),0)</f>
        <v>0</v>
      </c>
    </row>
    <row r="120" spans="1:40" outlineLevel="1" x14ac:dyDescent="0.25">
      <c r="A120" s="154"/>
      <c r="B120" s="154"/>
      <c r="C120" s="154"/>
      <c r="D120" s="360" t="s">
        <v>22</v>
      </c>
      <c r="E120" s="360"/>
      <c r="F120" s="361" t="str">
        <f>VLOOKUP(D120,'1. Mesures'!$A$2:$B$116,2,0)</f>
        <v>Assurer et développer le réseau de monitoring qualitatif et quantitatif en continu FlowBru</v>
      </c>
      <c r="G120" s="360"/>
      <c r="H120" s="360"/>
      <c r="I120" s="362">
        <f>SUBTOTAL(9,I121:I131)</f>
        <v>1090000</v>
      </c>
      <c r="J120" s="363">
        <f>VLOOKUP($D120,'7. PGE_Efficacité'!$A$6:$BT$266,(MATCH('4.3 ACE EFF CAN'!J$4,'7. PGE_Efficacité'!$A$4:$AO$4,0)+31),0)</f>
        <v>0</v>
      </c>
      <c r="K120" s="363">
        <f>VLOOKUP($D120,'7. PGE_Efficacité'!$A$6:$BT$266,(MATCH('4.3 ACE EFF CAN'!K$4,'7. PGE_Efficacité'!$A$4:$AO$4,0)+31),0)</f>
        <v>0</v>
      </c>
      <c r="L120" s="363">
        <f>VLOOKUP($D120,'7. PGE_Efficacité'!$A$6:$BT$266,(MATCH('4.3 ACE EFF CAN'!L$4,'7. PGE_Efficacité'!$A$4:$AO$4,0)+31),0)</f>
        <v>0</v>
      </c>
      <c r="M120" s="363">
        <f>VLOOKUP($D120,'7. PGE_Efficacité'!$A$6:$BT$266,(MATCH('4.3 ACE EFF CAN'!M$4,'7. PGE_Efficacité'!$A$4:$AO$4,0)+31),0)</f>
        <v>0</v>
      </c>
      <c r="N120" s="363">
        <f>VLOOKUP($D120,'7. PGE_Efficacité'!$A$6:$BT$266,(MATCH('4.3 ACE EFF CAN'!N$4,'7. PGE_Efficacité'!$A$4:$AO$4,0)+31),0)</f>
        <v>0</v>
      </c>
      <c r="O120" s="363">
        <f>VLOOKUP($D120,'7. PGE_Efficacité'!$A$6:$BT$266,47,0)</f>
        <v>0</v>
      </c>
      <c r="P120" s="363">
        <f>VLOOKUP($D120,'7. PGE_Efficacité'!$A$6:$BT$266,(MATCH('4.3 ACE EFF CAN'!P$4,'7. PGE_Efficacité'!$A$4:$AO$4,0)+31),0)</f>
        <v>0</v>
      </c>
      <c r="Q120" s="363">
        <f>VLOOKUP($D120,'7. PGE_Efficacité'!$A$6:$BT$266,(MATCH('4.3 ACE EFF CAN'!Q$4,'7. PGE_Efficacité'!$A$4:$AO$4,0)+31),0)</f>
        <v>0</v>
      </c>
      <c r="R120" s="363">
        <f>VLOOKUP($D120,'7. PGE_Efficacité'!$A$6:$BT$266,(MATCH('4.3 ACE EFF CAN'!R$4,'7. PGE_Efficacité'!$A$4:$AO$4,0)+31),0)</f>
        <v>0</v>
      </c>
      <c r="S120" s="363">
        <f>VLOOKUP($D120,'7. PGE_Efficacité'!$A$6:$BT$266,(MATCH('4.3 ACE EFF CAN'!S$4,'7. PGE_Efficacité'!$A$4:$AO$4,0)+31),0)</f>
        <v>0</v>
      </c>
      <c r="T120" s="363">
        <f>VLOOKUP($D120,'7. PGE_Efficacité'!$A$6:$BT$266,(MATCH('4.3 ACE EFF CAN'!T$4,'7. PGE_Efficacité'!$A$4:$AO$4,0)+31),0)</f>
        <v>0</v>
      </c>
      <c r="U120" s="363">
        <f>VLOOKUP($D120,'7. PGE_Efficacité'!$A$6:$BT$266,(MATCH('4.3 ACE EFF CAN'!U$4,'7. PGE_Efficacité'!$A$4:$AO$4,0)+31),0)</f>
        <v>0</v>
      </c>
      <c r="V120" s="363">
        <f>VLOOKUP($D120,'7. PGE_Efficacité'!$A$6:$BT$266,(MATCH('4.3 ACE EFF CAN'!V$4,'7. PGE_Efficacité'!$A$4:$AO$4,0)+31),0)</f>
        <v>0</v>
      </c>
      <c r="W120" s="363">
        <f>VLOOKUP($D120,'7. PGE_Efficacité'!$A$6:$BT$266,(MATCH('4.3 ACE EFF CAN'!W$4,'7. PGE_Efficacité'!$A$4:$AO$4,0)+31),0)</f>
        <v>0</v>
      </c>
      <c r="X120" s="363">
        <f>VLOOKUP($D120,'7. PGE_Efficacité'!$A$6:$BT$266,(MATCH('4.3 ACE EFF CAN'!X$4,'7. PGE_Efficacité'!$A$4:$AO$4,0)+31),0)</f>
        <v>0</v>
      </c>
      <c r="Y120" s="363">
        <f>VLOOKUP($D120,'7. PGE_Efficacité'!$A$6:$BT$266,(MATCH('4.3 ACE EFF CAN'!Y$4,'7. PGE_Efficacité'!$A$4:$AO$4,0)+31),0)</f>
        <v>0</v>
      </c>
      <c r="Z120" s="363">
        <f>VLOOKUP($D120,'7. PGE_Efficacité'!$A$6:$BT$266,(MATCH('4.3 ACE EFF CAN'!Z$4,'7. PGE_Efficacité'!$A$4:$AO$4,0)+31),0)</f>
        <v>0</v>
      </c>
      <c r="AA120" s="363">
        <f>VLOOKUP($D120,'7. PGE_Efficacité'!$A$6:$BT$266,(MATCH('4.3 ACE EFF CAN'!AA$4,'7. PGE_Efficacité'!$A$4:$AO$4,0)+31),0)</f>
        <v>0</v>
      </c>
      <c r="AB120" s="363">
        <f>VLOOKUP($D120,'7. PGE_Efficacité'!$A$6:$BT$266,(MATCH('4.3 ACE EFF CAN'!AB$4,'7. PGE_Efficacité'!$A$4:$AO$4,0)+31),0)</f>
        <v>0</v>
      </c>
      <c r="AC120" s="363">
        <f>VLOOKUP($D120,'7. PGE_Efficacité'!$A$6:$BT$266,(MATCH('4.3 ACE EFF CAN'!AC$4,'7. PGE_Efficacité'!$A$4:$AO$4,0)+31),0)</f>
        <v>0</v>
      </c>
      <c r="AD120" s="363">
        <f>VLOOKUP($D120,'7. PGE_Efficacité'!$A$6:$BT$266,(MATCH('4.3 ACE EFF CAN'!AD$4,'7. PGE_Efficacité'!$A$4:$AO$4,0)+31),0)</f>
        <v>0</v>
      </c>
      <c r="AE120" s="363">
        <f>VLOOKUP($D120,'7. PGE_Efficacité'!$A$6:$BT$266,(MATCH('4.3 ACE EFF CAN'!AE$4,'7. PGE_Efficacité'!$A$4:$AO$4,0)+31),0)</f>
        <v>0</v>
      </c>
      <c r="AF120" s="363">
        <f>VLOOKUP($D120,'7. PGE_Efficacité'!$A$6:$BT$266,(MATCH('4.3 ACE EFF CAN'!AF$4,'7. PGE_Efficacité'!$A$4:$AO$4,0)+31),0)</f>
        <v>0</v>
      </c>
      <c r="AG120" s="363">
        <f>VLOOKUP($D120,'7. PGE_Efficacité'!$A$6:$BT$266,(MATCH('4.3 ACE EFF CAN'!AG$4,'7. PGE_Efficacité'!$A$4:$AO$4,0)+31),0)</f>
        <v>0</v>
      </c>
      <c r="AH120" s="363">
        <f>VLOOKUP($D120,'7. PGE_Efficacité'!$A$6:$BT$266,(MATCH('4.3 ACE EFF CAN'!AH$4,'7. PGE_Efficacité'!$A$4:$AO$4,0)+31),0)</f>
        <v>0</v>
      </c>
      <c r="AI120" s="363">
        <f>VLOOKUP($D120,'7. PGE_Efficacité'!$A$6:$BT$266,(MATCH('4.3 ACE EFF CAN'!AI$4,'7. PGE_Efficacité'!$A$4:$AO$4,0)+31),0)</f>
        <v>0</v>
      </c>
      <c r="AJ120" s="363">
        <f>VLOOKUP($D120,'7. PGE_Efficacité'!$A$6:$BT$266,(MATCH('4.3 ACE EFF CAN'!AJ$4,'7. PGE_Efficacité'!$A$4:$AO$4,0)+31),0)</f>
        <v>0</v>
      </c>
      <c r="AK120" s="363">
        <f>VLOOKUP($D120,'7. PGE_Efficacité'!$A$6:$BT$266,(MATCH('4.3 ACE EFF CAN'!AK$4,'7. PGE_Efficacité'!$A$4:$AO$4,0)+31),0)</f>
        <v>0</v>
      </c>
      <c r="AL120" s="363">
        <f>VLOOKUP($D120,'7. PGE_Efficacité'!$A$6:$BT$266,(MATCH('4.3 ACE EFF CAN'!AL$4,'7. PGE_Efficacité'!$A$4:$AO$4,0)+31),0)</f>
        <v>0</v>
      </c>
      <c r="AM120" s="363">
        <f>VLOOKUP($D120,'7. PGE_Efficacité'!$A$6:$BT$266,(MATCH('4.3 ACE EFF CAN'!AM$4,'7. PGE_Efficacité'!$A$4:$AO$4,0)+31),0)</f>
        <v>0</v>
      </c>
      <c r="AN120" s="363">
        <f>VLOOKUP($D120,'7. PGE_Efficacité'!$A$6:$BT$266,(MATCH('4.3 ACE EFF CAN'!AN$4,'7. PGE_Efficacité'!$A$4:$AO$4,0)+31),0)</f>
        <v>0</v>
      </c>
    </row>
    <row r="121" spans="1:40" outlineLevel="2" x14ac:dyDescent="0.25">
      <c r="A121" s="154" t="s">
        <v>1524</v>
      </c>
      <c r="B121" s="154">
        <v>22</v>
      </c>
      <c r="C121" s="154" t="s">
        <v>1524</v>
      </c>
      <c r="D121" s="330" t="s">
        <v>22</v>
      </c>
      <c r="E121" s="330" t="s">
        <v>738</v>
      </c>
      <c r="F121" s="330" t="s">
        <v>1396</v>
      </c>
      <c r="G121" s="330" t="s">
        <v>1521</v>
      </c>
      <c r="H121" s="330" t="s">
        <v>1290</v>
      </c>
      <c r="I121" s="364">
        <f>2000000/3</f>
        <v>666666.66666666663</v>
      </c>
      <c r="J121" s="365">
        <f>VLOOKUP($E121,'7. PGE_Efficacité'!$A$6:$BT$266,(MATCH('4.3 ACE EFF CAN'!J$4,'7. PGE_Efficacité'!$A$4:$BU$4,0)+31),0)</f>
        <v>0</v>
      </c>
      <c r="K121" s="365">
        <f>VLOOKUP($E121,'7. PGE_Efficacité'!$A$6:$BT$266,(MATCH('4.3 ACE EFF CAN'!K$4,'7. PGE_Efficacité'!$A$4:$BU$4,0)+31),0)</f>
        <v>0</v>
      </c>
      <c r="L121" s="365">
        <f>VLOOKUP($E121,'7. PGE_Efficacité'!$A$6:$BT$266,(MATCH('4.3 ACE EFF CAN'!L$4,'7. PGE_Efficacité'!$A$4:$BU$4,0)+31),0)</f>
        <v>0</v>
      </c>
      <c r="M121" s="365">
        <f>VLOOKUP($E121,'7. PGE_Efficacité'!$A$6:$BT$266,(MATCH('4.3 ACE EFF CAN'!M$4,'7. PGE_Efficacité'!$A$4:$BU$4,0)+31),0)</f>
        <v>0</v>
      </c>
      <c r="N121" s="365">
        <f>VLOOKUP($E121,'7. PGE_Efficacité'!$A$6:$BT$266,(MATCH('4.3 ACE EFF CAN'!N$4,'7. PGE_Efficacité'!$A$4:$BU$4,0)+31),0)</f>
        <v>0</v>
      </c>
      <c r="O121" s="365">
        <f>VLOOKUP($E121,'7. PGE_Efficacité'!$A$6:$BT$266,(MATCH('4.3 ACE EFF CAN'!O$4,'7. PGE_Efficacité'!$A$4:$BU$4,0)+31),0)</f>
        <v>0</v>
      </c>
      <c r="P121" s="365">
        <f>VLOOKUP($E121,'7. PGE_Efficacité'!$A$6:$BT$266,(MATCH('4.3 ACE EFF CAN'!P$4,'7. PGE_Efficacité'!$A$4:$BU$4,0)+31),0)</f>
        <v>0</v>
      </c>
      <c r="Q121" s="365">
        <f>VLOOKUP($E121,'7. PGE_Efficacité'!$A$6:$BT$266,(MATCH('4.3 ACE EFF CAN'!Q$4,'7. PGE_Efficacité'!$A$4:$BU$4,0)+31),0)</f>
        <v>0</v>
      </c>
      <c r="R121" s="365">
        <f>VLOOKUP($E121,'7. PGE_Efficacité'!$A$6:$BT$266,(MATCH('4.3 ACE EFF CAN'!R$4,'7. PGE_Efficacité'!$A$4:$BU$4,0)+31),0)</f>
        <v>0</v>
      </c>
      <c r="S121" s="365">
        <f>VLOOKUP($E121,'7. PGE_Efficacité'!$A$6:$BT$266,(MATCH('4.3 ACE EFF CAN'!S$4,'7. PGE_Efficacité'!$A$4:$BU$4,0)+31),0)</f>
        <v>0</v>
      </c>
      <c r="T121" s="365">
        <f>VLOOKUP($E121,'7. PGE_Efficacité'!$A$6:$BT$266,(MATCH('4.3 ACE EFF CAN'!T$4,'7. PGE_Efficacité'!$A$4:$BU$4,0)+31),0)</f>
        <v>0</v>
      </c>
      <c r="U121" s="365">
        <f>VLOOKUP($E121,'7. PGE_Efficacité'!$A$6:$BT$266,(MATCH('4.3 ACE EFF CAN'!U$4,'7. PGE_Efficacité'!$A$4:$BU$4,0)+31),0)</f>
        <v>0</v>
      </c>
      <c r="V121" s="365">
        <f>VLOOKUP($E121,'7. PGE_Efficacité'!$A$6:$BT$266,(MATCH('4.3 ACE EFF CAN'!V$4,'7. PGE_Efficacité'!$A$4:$BU$4,0)+31),0)</f>
        <v>0</v>
      </c>
      <c r="W121" s="365">
        <f>VLOOKUP($E121,'7. PGE_Efficacité'!$A$6:$BT$266,(MATCH('4.3 ACE EFF CAN'!W$4,'7. PGE_Efficacité'!$A$4:$BU$4,0)+31),0)</f>
        <v>0</v>
      </c>
      <c r="X121" s="365">
        <f>VLOOKUP($E121,'7. PGE_Efficacité'!$A$6:$BT$266,(MATCH('4.3 ACE EFF CAN'!X$4,'7. PGE_Efficacité'!$A$4:$BU$4,0)+31),0)</f>
        <v>0</v>
      </c>
      <c r="Y121" s="365">
        <f>VLOOKUP($E121,'7. PGE_Efficacité'!$A$6:$BT$266,(MATCH('4.3 ACE EFF CAN'!Y$4,'7. PGE_Efficacité'!$A$4:$BU$4,0)+31),0)</f>
        <v>0</v>
      </c>
      <c r="Z121" s="365">
        <f>VLOOKUP($E121,'7. PGE_Efficacité'!$A$6:$BT$266,(MATCH('4.3 ACE EFF CAN'!Z$4,'7. PGE_Efficacité'!$A$4:$BU$4,0)+31),0)</f>
        <v>0</v>
      </c>
      <c r="AA121" s="365">
        <f>VLOOKUP($E121,'7. PGE_Efficacité'!$A$6:$BT$266,(MATCH('4.3 ACE EFF CAN'!AA$4,'7. PGE_Efficacité'!$A$4:$BU$4,0)+31),0)</f>
        <v>0</v>
      </c>
      <c r="AB121" s="365">
        <f>VLOOKUP($E121,'7. PGE_Efficacité'!$A$6:$BT$266,(MATCH('4.3 ACE EFF CAN'!AB$4,'7. PGE_Efficacité'!$A$4:$BU$4,0)+31),0)</f>
        <v>0</v>
      </c>
      <c r="AC121" s="365">
        <f>VLOOKUP($E121,'7. PGE_Efficacité'!$A$6:$BT$266,(MATCH('4.3 ACE EFF CAN'!AC$4,'7. PGE_Efficacité'!$A$4:$BU$4,0)+31),0)</f>
        <v>0</v>
      </c>
      <c r="AD121" s="365">
        <f>VLOOKUP($E121,'7. PGE_Efficacité'!$A$6:$BT$266,(MATCH('4.3 ACE EFF CAN'!AD$4,'7. PGE_Efficacité'!$A$4:$BU$4,0)+31),0)</f>
        <v>0</v>
      </c>
      <c r="AE121" s="365">
        <f>VLOOKUP($E121,'7. PGE_Efficacité'!$A$6:$BT$266,(MATCH('4.3 ACE EFF CAN'!AE$4,'7. PGE_Efficacité'!$A$4:$BU$4,0)+31),0)</f>
        <v>0</v>
      </c>
      <c r="AF121" s="365">
        <f>VLOOKUP($E121,'7. PGE_Efficacité'!$A$6:$BT$266,(MATCH('4.3 ACE EFF CAN'!AF$4,'7. PGE_Efficacité'!$A$4:$BU$4,0)+31),0)</f>
        <v>0</v>
      </c>
      <c r="AG121" s="365">
        <f>VLOOKUP($E121,'7. PGE_Efficacité'!$A$6:$BT$266,(MATCH('4.3 ACE EFF CAN'!AG$4,'7. PGE_Efficacité'!$A$4:$BU$4,0)+31),0)</f>
        <v>0</v>
      </c>
      <c r="AH121" s="365">
        <f>VLOOKUP($E121,'7. PGE_Efficacité'!$A$6:$BT$266,(MATCH('4.3 ACE EFF CAN'!AH$4,'7. PGE_Efficacité'!$A$4:$BU$4,0)+31),0)</f>
        <v>0</v>
      </c>
      <c r="AI121" s="365">
        <f>VLOOKUP($E121,'7. PGE_Efficacité'!$A$6:$BT$266,(MATCH('4.3 ACE EFF CAN'!AI$4,'7. PGE_Efficacité'!$A$4:$BU$4,0)+31),0)</f>
        <v>0</v>
      </c>
      <c r="AJ121" s="365">
        <f>VLOOKUP($E121,'7. PGE_Efficacité'!$A$6:$BT$266,(MATCH('4.3 ACE EFF CAN'!AJ$4,'7. PGE_Efficacité'!$A$4:$BU$4,0)+31),0)</f>
        <v>0</v>
      </c>
      <c r="AK121" s="365">
        <f>VLOOKUP($E121,'7. PGE_Efficacité'!$A$6:$BT$266,(MATCH('4.3 ACE EFF CAN'!AK$4,'7. PGE_Efficacité'!$A$4:$BU$4,0)+31),0)</f>
        <v>0</v>
      </c>
      <c r="AL121" s="365">
        <f>VLOOKUP($E121,'7. PGE_Efficacité'!$A$6:$BT$266,(MATCH('4.3 ACE EFF CAN'!AL$4,'7. PGE_Efficacité'!$A$4:$BU$4,0)+31),0)</f>
        <v>0</v>
      </c>
      <c r="AM121" s="365">
        <f>VLOOKUP($E121,'7. PGE_Efficacité'!$A$6:$BT$266,(MATCH('4.3 ACE EFF CAN'!AM$4,'7. PGE_Efficacité'!$A$4:$BU$4,0)+31),0)</f>
        <v>0</v>
      </c>
      <c r="AN121" s="365">
        <f>VLOOKUP($E121,'7. PGE_Efficacité'!$A$6:$BT$266,(MATCH('4.3 ACE EFF CAN'!AN$4,'7. PGE_Efficacité'!$A$4:$BU$4,0)+31),0)</f>
        <v>0</v>
      </c>
    </row>
    <row r="122" spans="1:40" outlineLevel="2" x14ac:dyDescent="0.25">
      <c r="A122" s="154" t="s">
        <v>1524</v>
      </c>
      <c r="B122" s="154">
        <v>22</v>
      </c>
      <c r="C122" s="154" t="s">
        <v>1525</v>
      </c>
      <c r="D122" s="330" t="s">
        <v>22</v>
      </c>
      <c r="E122" s="330" t="s">
        <v>742</v>
      </c>
      <c r="F122" s="330" t="s">
        <v>1399</v>
      </c>
      <c r="G122" s="330" t="s">
        <v>1521</v>
      </c>
      <c r="H122" s="330" t="s">
        <v>1290</v>
      </c>
      <c r="I122" s="364">
        <f>335000/3</f>
        <v>111666.66666666667</v>
      </c>
      <c r="J122" s="365">
        <f>VLOOKUP($E122,'7. PGE_Efficacité'!$A$6:$BT$266,(MATCH('4.3 ACE EFF CAN'!J$4,'7. PGE_Efficacité'!$A$4:$BU$4,0)+31),0)</f>
        <v>0</v>
      </c>
      <c r="K122" s="365">
        <f>VLOOKUP($E122,'7. PGE_Efficacité'!$A$6:$BT$266,(MATCH('4.3 ACE EFF CAN'!K$4,'7. PGE_Efficacité'!$A$4:$BU$4,0)+31),0)</f>
        <v>0</v>
      </c>
      <c r="L122" s="365">
        <f>VLOOKUP($E122,'7. PGE_Efficacité'!$A$6:$BT$266,(MATCH('4.3 ACE EFF CAN'!L$4,'7. PGE_Efficacité'!$A$4:$BU$4,0)+31),0)</f>
        <v>0</v>
      </c>
      <c r="M122" s="365">
        <f>VLOOKUP($E122,'7. PGE_Efficacité'!$A$6:$BT$266,(MATCH('4.3 ACE EFF CAN'!M$4,'7. PGE_Efficacité'!$A$4:$BU$4,0)+31),0)</f>
        <v>0</v>
      </c>
      <c r="N122" s="365">
        <f>VLOOKUP($E122,'7. PGE_Efficacité'!$A$6:$BT$266,(MATCH('4.3 ACE EFF CAN'!N$4,'7. PGE_Efficacité'!$A$4:$BU$4,0)+31),0)</f>
        <v>0</v>
      </c>
      <c r="O122" s="365">
        <f>VLOOKUP($E122,'7. PGE_Efficacité'!$A$6:$BT$266,(MATCH('4.3 ACE EFF CAN'!O$4,'7. PGE_Efficacité'!$A$4:$BU$4,0)+31),0)</f>
        <v>0</v>
      </c>
      <c r="P122" s="365">
        <f>VLOOKUP($E122,'7. PGE_Efficacité'!$A$6:$BT$266,(MATCH('4.3 ACE EFF CAN'!P$4,'7. PGE_Efficacité'!$A$4:$BU$4,0)+31),0)</f>
        <v>0</v>
      </c>
      <c r="Q122" s="365">
        <f>VLOOKUP($E122,'7. PGE_Efficacité'!$A$6:$BT$266,(MATCH('4.3 ACE EFF CAN'!Q$4,'7. PGE_Efficacité'!$A$4:$BU$4,0)+31),0)</f>
        <v>0</v>
      </c>
      <c r="R122" s="365">
        <f>VLOOKUP($E122,'7. PGE_Efficacité'!$A$6:$BT$266,(MATCH('4.3 ACE EFF CAN'!R$4,'7. PGE_Efficacité'!$A$4:$BU$4,0)+31),0)</f>
        <v>0</v>
      </c>
      <c r="S122" s="365">
        <f>VLOOKUP($E122,'7. PGE_Efficacité'!$A$6:$BT$266,(MATCH('4.3 ACE EFF CAN'!S$4,'7. PGE_Efficacité'!$A$4:$BU$4,0)+31),0)</f>
        <v>0</v>
      </c>
      <c r="T122" s="365">
        <f>VLOOKUP($E122,'7. PGE_Efficacité'!$A$6:$BT$266,(MATCH('4.3 ACE EFF CAN'!T$4,'7. PGE_Efficacité'!$A$4:$BU$4,0)+31),0)</f>
        <v>0</v>
      </c>
      <c r="U122" s="365">
        <f>VLOOKUP($E122,'7. PGE_Efficacité'!$A$6:$BT$266,(MATCH('4.3 ACE EFF CAN'!U$4,'7. PGE_Efficacité'!$A$4:$BU$4,0)+31),0)</f>
        <v>0</v>
      </c>
      <c r="V122" s="365">
        <f>VLOOKUP($E122,'7. PGE_Efficacité'!$A$6:$BT$266,(MATCH('4.3 ACE EFF CAN'!V$4,'7. PGE_Efficacité'!$A$4:$BU$4,0)+31),0)</f>
        <v>0</v>
      </c>
      <c r="W122" s="365">
        <f>VLOOKUP($E122,'7. PGE_Efficacité'!$A$6:$BT$266,(MATCH('4.3 ACE EFF CAN'!W$4,'7. PGE_Efficacité'!$A$4:$BU$4,0)+31),0)</f>
        <v>0</v>
      </c>
      <c r="X122" s="365">
        <f>VLOOKUP($E122,'7. PGE_Efficacité'!$A$6:$BT$266,(MATCH('4.3 ACE EFF CAN'!X$4,'7. PGE_Efficacité'!$A$4:$BU$4,0)+31),0)</f>
        <v>0</v>
      </c>
      <c r="Y122" s="365">
        <f>VLOOKUP($E122,'7. PGE_Efficacité'!$A$6:$BT$266,(MATCH('4.3 ACE EFF CAN'!Y$4,'7. PGE_Efficacité'!$A$4:$BU$4,0)+31),0)</f>
        <v>0</v>
      </c>
      <c r="Z122" s="365">
        <f>VLOOKUP($E122,'7. PGE_Efficacité'!$A$6:$BT$266,(MATCH('4.3 ACE EFF CAN'!Z$4,'7. PGE_Efficacité'!$A$4:$BU$4,0)+31),0)</f>
        <v>0</v>
      </c>
      <c r="AA122" s="365">
        <f>VLOOKUP($E122,'7. PGE_Efficacité'!$A$6:$BT$266,(MATCH('4.3 ACE EFF CAN'!AA$4,'7. PGE_Efficacité'!$A$4:$BU$4,0)+31),0)</f>
        <v>0</v>
      </c>
      <c r="AB122" s="365">
        <f>VLOOKUP($E122,'7. PGE_Efficacité'!$A$6:$BT$266,(MATCH('4.3 ACE EFF CAN'!AB$4,'7. PGE_Efficacité'!$A$4:$BU$4,0)+31),0)</f>
        <v>0</v>
      </c>
      <c r="AC122" s="365">
        <f>VLOOKUP($E122,'7. PGE_Efficacité'!$A$6:$BT$266,(MATCH('4.3 ACE EFF CAN'!AC$4,'7. PGE_Efficacité'!$A$4:$BU$4,0)+31),0)</f>
        <v>0</v>
      </c>
      <c r="AD122" s="365">
        <f>VLOOKUP($E122,'7. PGE_Efficacité'!$A$6:$BT$266,(MATCH('4.3 ACE EFF CAN'!AD$4,'7. PGE_Efficacité'!$A$4:$BU$4,0)+31),0)</f>
        <v>0</v>
      </c>
      <c r="AE122" s="365">
        <f>VLOOKUP($E122,'7. PGE_Efficacité'!$A$6:$BT$266,(MATCH('4.3 ACE EFF CAN'!AE$4,'7. PGE_Efficacité'!$A$4:$BU$4,0)+31),0)</f>
        <v>0</v>
      </c>
      <c r="AF122" s="365">
        <f>VLOOKUP($E122,'7. PGE_Efficacité'!$A$6:$BT$266,(MATCH('4.3 ACE EFF CAN'!AF$4,'7. PGE_Efficacité'!$A$4:$BU$4,0)+31),0)</f>
        <v>0</v>
      </c>
      <c r="AG122" s="365">
        <f>VLOOKUP($E122,'7. PGE_Efficacité'!$A$6:$BT$266,(MATCH('4.3 ACE EFF CAN'!AG$4,'7. PGE_Efficacité'!$A$4:$BU$4,0)+31),0)</f>
        <v>0</v>
      </c>
      <c r="AH122" s="365">
        <f>VLOOKUP($E122,'7. PGE_Efficacité'!$A$6:$BT$266,(MATCH('4.3 ACE EFF CAN'!AH$4,'7. PGE_Efficacité'!$A$4:$BU$4,0)+31),0)</f>
        <v>0</v>
      </c>
      <c r="AI122" s="365">
        <f>VLOOKUP($E122,'7. PGE_Efficacité'!$A$6:$BT$266,(MATCH('4.3 ACE EFF CAN'!AI$4,'7. PGE_Efficacité'!$A$4:$BU$4,0)+31),0)</f>
        <v>0</v>
      </c>
      <c r="AJ122" s="365">
        <f>VLOOKUP($E122,'7. PGE_Efficacité'!$A$6:$BT$266,(MATCH('4.3 ACE EFF CAN'!AJ$4,'7. PGE_Efficacité'!$A$4:$BU$4,0)+31),0)</f>
        <v>0</v>
      </c>
      <c r="AK122" s="365">
        <f>VLOOKUP($E122,'7. PGE_Efficacité'!$A$6:$BT$266,(MATCH('4.3 ACE EFF CAN'!AK$4,'7. PGE_Efficacité'!$A$4:$BU$4,0)+31),0)</f>
        <v>0</v>
      </c>
      <c r="AL122" s="365">
        <f>VLOOKUP($E122,'7. PGE_Efficacité'!$A$6:$BT$266,(MATCH('4.3 ACE EFF CAN'!AL$4,'7. PGE_Efficacité'!$A$4:$BU$4,0)+31),0)</f>
        <v>0</v>
      </c>
      <c r="AM122" s="365">
        <f>VLOOKUP($E122,'7. PGE_Efficacité'!$A$6:$BT$266,(MATCH('4.3 ACE EFF CAN'!AM$4,'7. PGE_Efficacité'!$A$4:$BU$4,0)+31),0)</f>
        <v>0</v>
      </c>
      <c r="AN122" s="365">
        <f>VLOOKUP($E122,'7. PGE_Efficacité'!$A$6:$BT$266,(MATCH('4.3 ACE EFF CAN'!AN$4,'7. PGE_Efficacité'!$A$4:$BU$4,0)+31),0)</f>
        <v>0</v>
      </c>
    </row>
    <row r="123" spans="1:40" outlineLevel="2" x14ac:dyDescent="0.25">
      <c r="A123" s="154" t="s">
        <v>1524</v>
      </c>
      <c r="B123" s="154">
        <v>22</v>
      </c>
      <c r="C123" s="154" t="s">
        <v>1526</v>
      </c>
      <c r="D123" s="330" t="s">
        <v>22</v>
      </c>
      <c r="E123" s="330" t="s">
        <v>743</v>
      </c>
      <c r="F123" s="330" t="s">
        <v>1400</v>
      </c>
      <c r="G123" s="330" t="s">
        <v>1521</v>
      </c>
      <c r="H123" s="330" t="s">
        <v>1287</v>
      </c>
      <c r="I123" s="364">
        <f>280000/2</f>
        <v>140000</v>
      </c>
      <c r="J123" s="365">
        <f>VLOOKUP($E123,'7. PGE_Efficacité'!$A$6:$BT$266,(MATCH('4.3 ACE EFF CAN'!J$4,'7. PGE_Efficacité'!$A$4:$BU$4,0)+31),0)</f>
        <v>0</v>
      </c>
      <c r="K123" s="365">
        <f>VLOOKUP($E123,'7. PGE_Efficacité'!$A$6:$BT$266,(MATCH('4.3 ACE EFF CAN'!K$4,'7. PGE_Efficacité'!$A$4:$BU$4,0)+31),0)</f>
        <v>0</v>
      </c>
      <c r="L123" s="365">
        <f>VLOOKUP($E123,'7. PGE_Efficacité'!$A$6:$BT$266,(MATCH('4.3 ACE EFF CAN'!L$4,'7. PGE_Efficacité'!$A$4:$BU$4,0)+31),0)</f>
        <v>0</v>
      </c>
      <c r="M123" s="365">
        <f>VLOOKUP($E123,'7. PGE_Efficacité'!$A$6:$BT$266,(MATCH('4.3 ACE EFF CAN'!M$4,'7. PGE_Efficacité'!$A$4:$BU$4,0)+31),0)</f>
        <v>0</v>
      </c>
      <c r="N123" s="365">
        <f>VLOOKUP($E123,'7. PGE_Efficacité'!$A$6:$BT$266,(MATCH('4.3 ACE EFF CAN'!N$4,'7. PGE_Efficacité'!$A$4:$BU$4,0)+31),0)</f>
        <v>0</v>
      </c>
      <c r="O123" s="365">
        <f>VLOOKUP($E123,'7. PGE_Efficacité'!$A$6:$BT$266,(MATCH('4.3 ACE EFF CAN'!O$4,'7. PGE_Efficacité'!$A$4:$BU$4,0)+31),0)</f>
        <v>0</v>
      </c>
      <c r="P123" s="365">
        <f>VLOOKUP($E123,'7. PGE_Efficacité'!$A$6:$BT$266,(MATCH('4.3 ACE EFF CAN'!P$4,'7. PGE_Efficacité'!$A$4:$BU$4,0)+31),0)</f>
        <v>0</v>
      </c>
      <c r="Q123" s="365">
        <f>VLOOKUP($E123,'7. PGE_Efficacité'!$A$6:$BT$266,(MATCH('4.3 ACE EFF CAN'!Q$4,'7. PGE_Efficacité'!$A$4:$BU$4,0)+31),0)</f>
        <v>0</v>
      </c>
      <c r="R123" s="365">
        <f>VLOOKUP($E123,'7. PGE_Efficacité'!$A$6:$BT$266,(MATCH('4.3 ACE EFF CAN'!R$4,'7. PGE_Efficacité'!$A$4:$BU$4,0)+31),0)</f>
        <v>0</v>
      </c>
      <c r="S123" s="365">
        <f>VLOOKUP($E123,'7. PGE_Efficacité'!$A$6:$BT$266,(MATCH('4.3 ACE EFF CAN'!S$4,'7. PGE_Efficacité'!$A$4:$BU$4,0)+31),0)</f>
        <v>0</v>
      </c>
      <c r="T123" s="365">
        <f>VLOOKUP($E123,'7. PGE_Efficacité'!$A$6:$BT$266,(MATCH('4.3 ACE EFF CAN'!T$4,'7. PGE_Efficacité'!$A$4:$BU$4,0)+31),0)</f>
        <v>0</v>
      </c>
      <c r="U123" s="365">
        <f>VLOOKUP($E123,'7. PGE_Efficacité'!$A$6:$BT$266,(MATCH('4.3 ACE EFF CAN'!U$4,'7. PGE_Efficacité'!$A$4:$BU$4,0)+31),0)</f>
        <v>0</v>
      </c>
      <c r="V123" s="365">
        <f>VLOOKUP($E123,'7. PGE_Efficacité'!$A$6:$BT$266,(MATCH('4.3 ACE EFF CAN'!V$4,'7. PGE_Efficacité'!$A$4:$BU$4,0)+31),0)</f>
        <v>0</v>
      </c>
      <c r="W123" s="365">
        <f>VLOOKUP($E123,'7. PGE_Efficacité'!$A$6:$BT$266,(MATCH('4.3 ACE EFF CAN'!W$4,'7. PGE_Efficacité'!$A$4:$BU$4,0)+31),0)</f>
        <v>0</v>
      </c>
      <c r="X123" s="365">
        <f>VLOOKUP($E123,'7. PGE_Efficacité'!$A$6:$BT$266,(MATCH('4.3 ACE EFF CAN'!X$4,'7. PGE_Efficacité'!$A$4:$BU$4,0)+31),0)</f>
        <v>0</v>
      </c>
      <c r="Y123" s="365">
        <f>VLOOKUP($E123,'7. PGE_Efficacité'!$A$6:$BT$266,(MATCH('4.3 ACE EFF CAN'!Y$4,'7. PGE_Efficacité'!$A$4:$BU$4,0)+31),0)</f>
        <v>0</v>
      </c>
      <c r="Z123" s="365">
        <f>VLOOKUP($E123,'7. PGE_Efficacité'!$A$6:$BT$266,(MATCH('4.3 ACE EFF CAN'!Z$4,'7. PGE_Efficacité'!$A$4:$BU$4,0)+31),0)</f>
        <v>0</v>
      </c>
      <c r="AA123" s="365">
        <f>VLOOKUP($E123,'7. PGE_Efficacité'!$A$6:$BT$266,(MATCH('4.3 ACE EFF CAN'!AA$4,'7. PGE_Efficacité'!$A$4:$BU$4,0)+31),0)</f>
        <v>0</v>
      </c>
      <c r="AB123" s="365">
        <f>VLOOKUP($E123,'7. PGE_Efficacité'!$A$6:$BT$266,(MATCH('4.3 ACE EFF CAN'!AB$4,'7. PGE_Efficacité'!$A$4:$BU$4,0)+31),0)</f>
        <v>0</v>
      </c>
      <c r="AC123" s="365">
        <f>VLOOKUP($E123,'7. PGE_Efficacité'!$A$6:$BT$266,(MATCH('4.3 ACE EFF CAN'!AC$4,'7. PGE_Efficacité'!$A$4:$BU$4,0)+31),0)</f>
        <v>0</v>
      </c>
      <c r="AD123" s="365">
        <f>VLOOKUP($E123,'7. PGE_Efficacité'!$A$6:$BT$266,(MATCH('4.3 ACE EFF CAN'!AD$4,'7. PGE_Efficacité'!$A$4:$BU$4,0)+31),0)</f>
        <v>0</v>
      </c>
      <c r="AE123" s="365">
        <f>VLOOKUP($E123,'7. PGE_Efficacité'!$A$6:$BT$266,(MATCH('4.3 ACE EFF CAN'!AE$4,'7. PGE_Efficacité'!$A$4:$BU$4,0)+31),0)</f>
        <v>0</v>
      </c>
      <c r="AF123" s="365">
        <f>VLOOKUP($E123,'7. PGE_Efficacité'!$A$6:$BT$266,(MATCH('4.3 ACE EFF CAN'!AF$4,'7. PGE_Efficacité'!$A$4:$BU$4,0)+31),0)</f>
        <v>0</v>
      </c>
      <c r="AG123" s="365">
        <f>VLOOKUP($E123,'7. PGE_Efficacité'!$A$6:$BT$266,(MATCH('4.3 ACE EFF CAN'!AG$4,'7. PGE_Efficacité'!$A$4:$BU$4,0)+31),0)</f>
        <v>0</v>
      </c>
      <c r="AH123" s="365">
        <f>VLOOKUP($E123,'7. PGE_Efficacité'!$A$6:$BT$266,(MATCH('4.3 ACE EFF CAN'!AH$4,'7. PGE_Efficacité'!$A$4:$BU$4,0)+31),0)</f>
        <v>0</v>
      </c>
      <c r="AI123" s="365">
        <f>VLOOKUP($E123,'7. PGE_Efficacité'!$A$6:$BT$266,(MATCH('4.3 ACE EFF CAN'!AI$4,'7. PGE_Efficacité'!$A$4:$BU$4,0)+31),0)</f>
        <v>0</v>
      </c>
      <c r="AJ123" s="365">
        <f>VLOOKUP($E123,'7. PGE_Efficacité'!$A$6:$BT$266,(MATCH('4.3 ACE EFF CAN'!AJ$4,'7. PGE_Efficacité'!$A$4:$BU$4,0)+31),0)</f>
        <v>0</v>
      </c>
      <c r="AK123" s="365">
        <f>VLOOKUP($E123,'7. PGE_Efficacité'!$A$6:$BT$266,(MATCH('4.3 ACE EFF CAN'!AK$4,'7. PGE_Efficacité'!$A$4:$BU$4,0)+31),0)</f>
        <v>0</v>
      </c>
      <c r="AL123" s="365">
        <f>VLOOKUP($E123,'7. PGE_Efficacité'!$A$6:$BT$266,(MATCH('4.3 ACE EFF CAN'!AL$4,'7. PGE_Efficacité'!$A$4:$BU$4,0)+31),0)</f>
        <v>0</v>
      </c>
      <c r="AM123" s="365">
        <f>VLOOKUP($E123,'7. PGE_Efficacité'!$A$6:$BT$266,(MATCH('4.3 ACE EFF CAN'!AM$4,'7. PGE_Efficacité'!$A$4:$BU$4,0)+31),0)</f>
        <v>0</v>
      </c>
      <c r="AN123" s="365">
        <f>VLOOKUP($E123,'7. PGE_Efficacité'!$A$6:$BT$266,(MATCH('4.3 ACE EFF CAN'!AN$4,'7. PGE_Efficacité'!$A$4:$BU$4,0)+31),0)</f>
        <v>0</v>
      </c>
    </row>
    <row r="124" spans="1:40" outlineLevel="2" x14ac:dyDescent="0.25">
      <c r="A124" s="154" t="s">
        <v>1524</v>
      </c>
      <c r="B124" s="154">
        <v>22</v>
      </c>
      <c r="C124" s="154" t="s">
        <v>1527</v>
      </c>
      <c r="D124" s="330" t="s">
        <v>22</v>
      </c>
      <c r="E124" s="330" t="s">
        <v>744</v>
      </c>
      <c r="F124" s="330" t="s">
        <v>1401</v>
      </c>
      <c r="G124" s="330" t="s">
        <v>1521</v>
      </c>
      <c r="H124" s="330" t="s">
        <v>1290</v>
      </c>
      <c r="I124" s="364">
        <f>30000/3</f>
        <v>10000</v>
      </c>
      <c r="J124" s="365">
        <f>VLOOKUP($E124,'7. PGE_Efficacité'!$A$6:$BT$266,(MATCH('4.3 ACE EFF CAN'!J$4,'7. PGE_Efficacité'!$A$4:$BU$4,0)+31),0)</f>
        <v>0</v>
      </c>
      <c r="K124" s="365">
        <f>VLOOKUP($E124,'7. PGE_Efficacité'!$A$6:$BT$266,(MATCH('4.3 ACE EFF CAN'!K$4,'7. PGE_Efficacité'!$A$4:$BU$4,0)+31),0)</f>
        <v>0</v>
      </c>
      <c r="L124" s="365">
        <f>VLOOKUP($E124,'7. PGE_Efficacité'!$A$6:$BT$266,(MATCH('4.3 ACE EFF CAN'!L$4,'7. PGE_Efficacité'!$A$4:$BU$4,0)+31),0)</f>
        <v>0</v>
      </c>
      <c r="M124" s="365">
        <f>VLOOKUP($E124,'7. PGE_Efficacité'!$A$6:$BT$266,(MATCH('4.3 ACE EFF CAN'!M$4,'7. PGE_Efficacité'!$A$4:$BU$4,0)+31),0)</f>
        <v>0</v>
      </c>
      <c r="N124" s="365">
        <f>VLOOKUP($E124,'7. PGE_Efficacité'!$A$6:$BT$266,(MATCH('4.3 ACE EFF CAN'!N$4,'7. PGE_Efficacité'!$A$4:$BU$4,0)+31),0)</f>
        <v>0</v>
      </c>
      <c r="O124" s="365">
        <f>VLOOKUP($E124,'7. PGE_Efficacité'!$A$6:$BT$266,(MATCH('4.3 ACE EFF CAN'!O$4,'7. PGE_Efficacité'!$A$4:$BU$4,0)+31),0)</f>
        <v>0</v>
      </c>
      <c r="P124" s="365">
        <f>VLOOKUP($E124,'7. PGE_Efficacité'!$A$6:$BT$266,(MATCH('4.3 ACE EFF CAN'!P$4,'7. PGE_Efficacité'!$A$4:$BU$4,0)+31),0)</f>
        <v>0</v>
      </c>
      <c r="Q124" s="365">
        <f>VLOOKUP($E124,'7. PGE_Efficacité'!$A$6:$BT$266,(MATCH('4.3 ACE EFF CAN'!Q$4,'7. PGE_Efficacité'!$A$4:$BU$4,0)+31),0)</f>
        <v>0</v>
      </c>
      <c r="R124" s="365">
        <f>VLOOKUP($E124,'7. PGE_Efficacité'!$A$6:$BT$266,(MATCH('4.3 ACE EFF CAN'!R$4,'7. PGE_Efficacité'!$A$4:$BU$4,0)+31),0)</f>
        <v>0</v>
      </c>
      <c r="S124" s="365">
        <f>VLOOKUP($E124,'7. PGE_Efficacité'!$A$6:$BT$266,(MATCH('4.3 ACE EFF CAN'!S$4,'7. PGE_Efficacité'!$A$4:$BU$4,0)+31),0)</f>
        <v>0</v>
      </c>
      <c r="T124" s="365">
        <f>VLOOKUP($E124,'7. PGE_Efficacité'!$A$6:$BT$266,(MATCH('4.3 ACE EFF CAN'!T$4,'7. PGE_Efficacité'!$A$4:$BU$4,0)+31),0)</f>
        <v>0</v>
      </c>
      <c r="U124" s="365">
        <f>VLOOKUP($E124,'7. PGE_Efficacité'!$A$6:$BT$266,(MATCH('4.3 ACE EFF CAN'!U$4,'7. PGE_Efficacité'!$A$4:$BU$4,0)+31),0)</f>
        <v>0</v>
      </c>
      <c r="V124" s="365">
        <f>VLOOKUP($E124,'7. PGE_Efficacité'!$A$6:$BT$266,(MATCH('4.3 ACE EFF CAN'!V$4,'7. PGE_Efficacité'!$A$4:$BU$4,0)+31),0)</f>
        <v>0</v>
      </c>
      <c r="W124" s="365">
        <f>VLOOKUP($E124,'7. PGE_Efficacité'!$A$6:$BT$266,(MATCH('4.3 ACE EFF CAN'!W$4,'7. PGE_Efficacité'!$A$4:$BU$4,0)+31),0)</f>
        <v>0</v>
      </c>
      <c r="X124" s="365">
        <f>VLOOKUP($E124,'7. PGE_Efficacité'!$A$6:$BT$266,(MATCH('4.3 ACE EFF CAN'!X$4,'7. PGE_Efficacité'!$A$4:$BU$4,0)+31),0)</f>
        <v>0</v>
      </c>
      <c r="Y124" s="365">
        <f>VLOOKUP($E124,'7. PGE_Efficacité'!$A$6:$BT$266,(MATCH('4.3 ACE EFF CAN'!Y$4,'7. PGE_Efficacité'!$A$4:$BU$4,0)+31),0)</f>
        <v>0</v>
      </c>
      <c r="Z124" s="365">
        <f>VLOOKUP($E124,'7. PGE_Efficacité'!$A$6:$BT$266,(MATCH('4.3 ACE EFF CAN'!Z$4,'7. PGE_Efficacité'!$A$4:$BU$4,0)+31),0)</f>
        <v>0</v>
      </c>
      <c r="AA124" s="365">
        <f>VLOOKUP($E124,'7. PGE_Efficacité'!$A$6:$BT$266,(MATCH('4.3 ACE EFF CAN'!AA$4,'7. PGE_Efficacité'!$A$4:$BU$4,0)+31),0)</f>
        <v>0</v>
      </c>
      <c r="AB124" s="365">
        <f>VLOOKUP($E124,'7. PGE_Efficacité'!$A$6:$BT$266,(MATCH('4.3 ACE EFF CAN'!AB$4,'7. PGE_Efficacité'!$A$4:$BU$4,0)+31),0)</f>
        <v>0</v>
      </c>
      <c r="AC124" s="365">
        <f>VLOOKUP($E124,'7. PGE_Efficacité'!$A$6:$BT$266,(MATCH('4.3 ACE EFF CAN'!AC$4,'7. PGE_Efficacité'!$A$4:$BU$4,0)+31),0)</f>
        <v>0</v>
      </c>
      <c r="AD124" s="365">
        <f>VLOOKUP($E124,'7. PGE_Efficacité'!$A$6:$BT$266,(MATCH('4.3 ACE EFF CAN'!AD$4,'7. PGE_Efficacité'!$A$4:$BU$4,0)+31),0)</f>
        <v>0</v>
      </c>
      <c r="AE124" s="365">
        <f>VLOOKUP($E124,'7. PGE_Efficacité'!$A$6:$BT$266,(MATCH('4.3 ACE EFF CAN'!AE$4,'7. PGE_Efficacité'!$A$4:$BU$4,0)+31),0)</f>
        <v>0</v>
      </c>
      <c r="AF124" s="365">
        <f>VLOOKUP($E124,'7. PGE_Efficacité'!$A$6:$BT$266,(MATCH('4.3 ACE EFF CAN'!AF$4,'7. PGE_Efficacité'!$A$4:$BU$4,0)+31),0)</f>
        <v>0</v>
      </c>
      <c r="AG124" s="365">
        <f>VLOOKUP($E124,'7. PGE_Efficacité'!$A$6:$BT$266,(MATCH('4.3 ACE EFF CAN'!AG$4,'7. PGE_Efficacité'!$A$4:$BU$4,0)+31),0)</f>
        <v>0</v>
      </c>
      <c r="AH124" s="365">
        <f>VLOOKUP($E124,'7. PGE_Efficacité'!$A$6:$BT$266,(MATCH('4.3 ACE EFF CAN'!AH$4,'7. PGE_Efficacité'!$A$4:$BU$4,0)+31),0)</f>
        <v>0</v>
      </c>
      <c r="AI124" s="365">
        <f>VLOOKUP($E124,'7. PGE_Efficacité'!$A$6:$BT$266,(MATCH('4.3 ACE EFF CAN'!AI$4,'7. PGE_Efficacité'!$A$4:$BU$4,0)+31),0)</f>
        <v>0</v>
      </c>
      <c r="AJ124" s="365">
        <f>VLOOKUP($E124,'7. PGE_Efficacité'!$A$6:$BT$266,(MATCH('4.3 ACE EFF CAN'!AJ$4,'7. PGE_Efficacité'!$A$4:$BU$4,0)+31),0)</f>
        <v>0</v>
      </c>
      <c r="AK124" s="365">
        <f>VLOOKUP($E124,'7. PGE_Efficacité'!$A$6:$BT$266,(MATCH('4.3 ACE EFF CAN'!AK$4,'7. PGE_Efficacité'!$A$4:$BU$4,0)+31),0)</f>
        <v>0</v>
      </c>
      <c r="AL124" s="365">
        <f>VLOOKUP($E124,'7. PGE_Efficacité'!$A$6:$BT$266,(MATCH('4.3 ACE EFF CAN'!AL$4,'7. PGE_Efficacité'!$A$4:$BU$4,0)+31),0)</f>
        <v>0</v>
      </c>
      <c r="AM124" s="365">
        <f>VLOOKUP($E124,'7. PGE_Efficacité'!$A$6:$BT$266,(MATCH('4.3 ACE EFF CAN'!AM$4,'7. PGE_Efficacité'!$A$4:$BU$4,0)+31),0)</f>
        <v>0</v>
      </c>
      <c r="AN124" s="365">
        <f>VLOOKUP($E124,'7. PGE_Efficacité'!$A$6:$BT$266,(MATCH('4.3 ACE EFF CAN'!AN$4,'7. PGE_Efficacité'!$A$4:$BU$4,0)+31),0)</f>
        <v>0</v>
      </c>
    </row>
    <row r="125" spans="1:40" outlineLevel="2" x14ac:dyDescent="0.25">
      <c r="A125" s="154" t="s">
        <v>1524</v>
      </c>
      <c r="B125" s="154">
        <v>22</v>
      </c>
      <c r="C125" s="154" t="s">
        <v>410</v>
      </c>
      <c r="D125" s="330" t="s">
        <v>22</v>
      </c>
      <c r="E125" s="330" t="s">
        <v>745</v>
      </c>
      <c r="F125" s="330" t="s">
        <v>1402</v>
      </c>
      <c r="G125" s="330" t="s">
        <v>1521</v>
      </c>
      <c r="H125" s="330" t="s">
        <v>1290</v>
      </c>
      <c r="I125" s="364">
        <f>30000/3</f>
        <v>10000</v>
      </c>
      <c r="J125" s="365">
        <f>VLOOKUP($E125,'7. PGE_Efficacité'!$A$6:$BT$266,(MATCH('4.3 ACE EFF CAN'!J$4,'7. PGE_Efficacité'!$A$4:$BU$4,0)+31),0)</f>
        <v>0</v>
      </c>
      <c r="K125" s="365">
        <f>VLOOKUP($E125,'7. PGE_Efficacité'!$A$6:$BT$266,(MATCH('4.3 ACE EFF CAN'!K$4,'7. PGE_Efficacité'!$A$4:$BU$4,0)+31),0)</f>
        <v>0</v>
      </c>
      <c r="L125" s="365">
        <f>VLOOKUP($E125,'7. PGE_Efficacité'!$A$6:$BT$266,(MATCH('4.3 ACE EFF CAN'!L$4,'7. PGE_Efficacité'!$A$4:$BU$4,0)+31),0)</f>
        <v>0</v>
      </c>
      <c r="M125" s="365">
        <f>VLOOKUP($E125,'7. PGE_Efficacité'!$A$6:$BT$266,(MATCH('4.3 ACE EFF CAN'!M$4,'7. PGE_Efficacité'!$A$4:$BU$4,0)+31),0)</f>
        <v>0</v>
      </c>
      <c r="N125" s="365">
        <f>VLOOKUP($E125,'7. PGE_Efficacité'!$A$6:$BT$266,(MATCH('4.3 ACE EFF CAN'!N$4,'7. PGE_Efficacité'!$A$4:$BU$4,0)+31),0)</f>
        <v>0</v>
      </c>
      <c r="O125" s="365">
        <f>VLOOKUP($E125,'7. PGE_Efficacité'!$A$6:$BT$266,(MATCH('4.3 ACE EFF CAN'!O$4,'7. PGE_Efficacité'!$A$4:$BU$4,0)+31),0)</f>
        <v>0</v>
      </c>
      <c r="P125" s="365">
        <f>VLOOKUP($E125,'7. PGE_Efficacité'!$A$6:$BT$266,(MATCH('4.3 ACE EFF CAN'!P$4,'7. PGE_Efficacité'!$A$4:$BU$4,0)+31),0)</f>
        <v>0</v>
      </c>
      <c r="Q125" s="365">
        <f>VLOOKUP($E125,'7. PGE_Efficacité'!$A$6:$BT$266,(MATCH('4.3 ACE EFF CAN'!Q$4,'7. PGE_Efficacité'!$A$4:$BU$4,0)+31),0)</f>
        <v>0</v>
      </c>
      <c r="R125" s="365">
        <f>VLOOKUP($E125,'7. PGE_Efficacité'!$A$6:$BT$266,(MATCH('4.3 ACE EFF CAN'!R$4,'7. PGE_Efficacité'!$A$4:$BU$4,0)+31),0)</f>
        <v>0</v>
      </c>
      <c r="S125" s="365">
        <f>VLOOKUP($E125,'7. PGE_Efficacité'!$A$6:$BT$266,(MATCH('4.3 ACE EFF CAN'!S$4,'7. PGE_Efficacité'!$A$4:$BU$4,0)+31),0)</f>
        <v>0</v>
      </c>
      <c r="T125" s="365">
        <f>VLOOKUP($E125,'7. PGE_Efficacité'!$A$6:$BT$266,(MATCH('4.3 ACE EFF CAN'!T$4,'7. PGE_Efficacité'!$A$4:$BU$4,0)+31),0)</f>
        <v>0</v>
      </c>
      <c r="U125" s="365">
        <f>VLOOKUP($E125,'7. PGE_Efficacité'!$A$6:$BT$266,(MATCH('4.3 ACE EFF CAN'!U$4,'7. PGE_Efficacité'!$A$4:$BU$4,0)+31),0)</f>
        <v>0</v>
      </c>
      <c r="V125" s="365">
        <f>VLOOKUP($E125,'7. PGE_Efficacité'!$A$6:$BT$266,(MATCH('4.3 ACE EFF CAN'!V$4,'7. PGE_Efficacité'!$A$4:$BU$4,0)+31),0)</f>
        <v>0</v>
      </c>
      <c r="W125" s="365">
        <f>VLOOKUP($E125,'7. PGE_Efficacité'!$A$6:$BT$266,(MATCH('4.3 ACE EFF CAN'!W$4,'7. PGE_Efficacité'!$A$4:$BU$4,0)+31),0)</f>
        <v>0</v>
      </c>
      <c r="X125" s="365">
        <f>VLOOKUP($E125,'7. PGE_Efficacité'!$A$6:$BT$266,(MATCH('4.3 ACE EFF CAN'!X$4,'7. PGE_Efficacité'!$A$4:$BU$4,0)+31),0)</f>
        <v>0</v>
      </c>
      <c r="Y125" s="365">
        <f>VLOOKUP($E125,'7. PGE_Efficacité'!$A$6:$BT$266,(MATCH('4.3 ACE EFF CAN'!Y$4,'7. PGE_Efficacité'!$A$4:$BU$4,0)+31),0)</f>
        <v>0</v>
      </c>
      <c r="Z125" s="365">
        <f>VLOOKUP($E125,'7. PGE_Efficacité'!$A$6:$BT$266,(MATCH('4.3 ACE EFF CAN'!Z$4,'7. PGE_Efficacité'!$A$4:$BU$4,0)+31),0)</f>
        <v>0</v>
      </c>
      <c r="AA125" s="365">
        <f>VLOOKUP($E125,'7. PGE_Efficacité'!$A$6:$BT$266,(MATCH('4.3 ACE EFF CAN'!AA$4,'7. PGE_Efficacité'!$A$4:$BU$4,0)+31),0)</f>
        <v>0</v>
      </c>
      <c r="AB125" s="365">
        <f>VLOOKUP($E125,'7. PGE_Efficacité'!$A$6:$BT$266,(MATCH('4.3 ACE EFF CAN'!AB$4,'7. PGE_Efficacité'!$A$4:$BU$4,0)+31),0)</f>
        <v>0</v>
      </c>
      <c r="AC125" s="365">
        <f>VLOOKUP($E125,'7. PGE_Efficacité'!$A$6:$BT$266,(MATCH('4.3 ACE EFF CAN'!AC$4,'7. PGE_Efficacité'!$A$4:$BU$4,0)+31),0)</f>
        <v>0</v>
      </c>
      <c r="AD125" s="365">
        <f>VLOOKUP($E125,'7. PGE_Efficacité'!$A$6:$BT$266,(MATCH('4.3 ACE EFF CAN'!AD$4,'7. PGE_Efficacité'!$A$4:$BU$4,0)+31),0)</f>
        <v>0</v>
      </c>
      <c r="AE125" s="365">
        <f>VLOOKUP($E125,'7. PGE_Efficacité'!$A$6:$BT$266,(MATCH('4.3 ACE EFF CAN'!AE$4,'7. PGE_Efficacité'!$A$4:$BU$4,0)+31),0)</f>
        <v>0</v>
      </c>
      <c r="AF125" s="365">
        <f>VLOOKUP($E125,'7. PGE_Efficacité'!$A$6:$BT$266,(MATCH('4.3 ACE EFF CAN'!AF$4,'7. PGE_Efficacité'!$A$4:$BU$4,0)+31),0)</f>
        <v>0</v>
      </c>
      <c r="AG125" s="365">
        <f>VLOOKUP($E125,'7. PGE_Efficacité'!$A$6:$BT$266,(MATCH('4.3 ACE EFF CAN'!AG$4,'7. PGE_Efficacité'!$A$4:$BU$4,0)+31),0)</f>
        <v>0</v>
      </c>
      <c r="AH125" s="365">
        <f>VLOOKUP($E125,'7. PGE_Efficacité'!$A$6:$BT$266,(MATCH('4.3 ACE EFF CAN'!AH$4,'7. PGE_Efficacité'!$A$4:$BU$4,0)+31),0)</f>
        <v>0</v>
      </c>
      <c r="AI125" s="365">
        <f>VLOOKUP($E125,'7. PGE_Efficacité'!$A$6:$BT$266,(MATCH('4.3 ACE EFF CAN'!AI$4,'7. PGE_Efficacité'!$A$4:$BU$4,0)+31),0)</f>
        <v>0</v>
      </c>
      <c r="AJ125" s="365">
        <f>VLOOKUP($E125,'7. PGE_Efficacité'!$A$6:$BT$266,(MATCH('4.3 ACE EFF CAN'!AJ$4,'7. PGE_Efficacité'!$A$4:$BU$4,0)+31),0)</f>
        <v>0</v>
      </c>
      <c r="AK125" s="365">
        <f>VLOOKUP($E125,'7. PGE_Efficacité'!$A$6:$BT$266,(MATCH('4.3 ACE EFF CAN'!AK$4,'7. PGE_Efficacité'!$A$4:$BU$4,0)+31),0)</f>
        <v>0</v>
      </c>
      <c r="AL125" s="365">
        <f>VLOOKUP($E125,'7. PGE_Efficacité'!$A$6:$BT$266,(MATCH('4.3 ACE EFF CAN'!AL$4,'7. PGE_Efficacité'!$A$4:$BU$4,0)+31),0)</f>
        <v>0</v>
      </c>
      <c r="AM125" s="365">
        <f>VLOOKUP($E125,'7. PGE_Efficacité'!$A$6:$BT$266,(MATCH('4.3 ACE EFF CAN'!AM$4,'7. PGE_Efficacité'!$A$4:$BU$4,0)+31),0)</f>
        <v>0</v>
      </c>
      <c r="AN125" s="365">
        <f>VLOOKUP($E125,'7. PGE_Efficacité'!$A$6:$BT$266,(MATCH('4.3 ACE EFF CAN'!AN$4,'7. PGE_Efficacité'!$A$4:$BU$4,0)+31),0)</f>
        <v>0</v>
      </c>
    </row>
    <row r="126" spans="1:40" outlineLevel="2" x14ac:dyDescent="0.25">
      <c r="A126" s="154" t="s">
        <v>1524</v>
      </c>
      <c r="B126" s="154">
        <v>22</v>
      </c>
      <c r="C126" s="154" t="s">
        <v>1528</v>
      </c>
      <c r="D126" s="330" t="s">
        <v>22</v>
      </c>
      <c r="E126" s="330" t="s">
        <v>746</v>
      </c>
      <c r="F126" s="330" t="s">
        <v>1403</v>
      </c>
      <c r="G126" s="330" t="s">
        <v>1521</v>
      </c>
      <c r="H126" s="330" t="s">
        <v>1287</v>
      </c>
      <c r="I126" s="364"/>
      <c r="J126" s="365">
        <f>VLOOKUP($E126,'7. PGE_Efficacité'!$A$6:$BT$266,(MATCH('4.3 ACE EFF CAN'!J$4,'7. PGE_Efficacité'!$A$4:$BU$4,0)+31),0)</f>
        <v>0</v>
      </c>
      <c r="K126" s="365">
        <f>VLOOKUP($E126,'7. PGE_Efficacité'!$A$6:$BT$266,(MATCH('4.3 ACE EFF CAN'!K$4,'7. PGE_Efficacité'!$A$4:$BU$4,0)+31),0)</f>
        <v>0</v>
      </c>
      <c r="L126" s="365">
        <f>VLOOKUP($E126,'7. PGE_Efficacité'!$A$6:$BT$266,(MATCH('4.3 ACE EFF CAN'!L$4,'7. PGE_Efficacité'!$A$4:$BU$4,0)+31),0)</f>
        <v>0</v>
      </c>
      <c r="M126" s="365">
        <f>VLOOKUP($E126,'7. PGE_Efficacité'!$A$6:$BT$266,(MATCH('4.3 ACE EFF CAN'!M$4,'7. PGE_Efficacité'!$A$4:$BU$4,0)+31),0)</f>
        <v>0</v>
      </c>
      <c r="N126" s="365">
        <f>VLOOKUP($E126,'7. PGE_Efficacité'!$A$6:$BT$266,(MATCH('4.3 ACE EFF CAN'!N$4,'7. PGE_Efficacité'!$A$4:$BU$4,0)+31),0)</f>
        <v>0</v>
      </c>
      <c r="O126" s="365">
        <f>VLOOKUP($E126,'7. PGE_Efficacité'!$A$6:$BT$266,(MATCH('4.3 ACE EFF CAN'!O$4,'7. PGE_Efficacité'!$A$4:$BU$4,0)+31),0)</f>
        <v>0</v>
      </c>
      <c r="P126" s="365">
        <f>VLOOKUP($E126,'7. PGE_Efficacité'!$A$6:$BT$266,(MATCH('4.3 ACE EFF CAN'!P$4,'7. PGE_Efficacité'!$A$4:$BU$4,0)+31),0)</f>
        <v>0</v>
      </c>
      <c r="Q126" s="365">
        <f>VLOOKUP($E126,'7. PGE_Efficacité'!$A$6:$BT$266,(MATCH('4.3 ACE EFF CAN'!Q$4,'7. PGE_Efficacité'!$A$4:$BU$4,0)+31),0)</f>
        <v>0</v>
      </c>
      <c r="R126" s="365">
        <f>VLOOKUP($E126,'7. PGE_Efficacité'!$A$6:$BT$266,(MATCH('4.3 ACE EFF CAN'!R$4,'7. PGE_Efficacité'!$A$4:$BU$4,0)+31),0)</f>
        <v>0</v>
      </c>
      <c r="S126" s="365">
        <f>VLOOKUP($E126,'7. PGE_Efficacité'!$A$6:$BT$266,(MATCH('4.3 ACE EFF CAN'!S$4,'7. PGE_Efficacité'!$A$4:$BU$4,0)+31),0)</f>
        <v>0</v>
      </c>
      <c r="T126" s="365">
        <f>VLOOKUP($E126,'7. PGE_Efficacité'!$A$6:$BT$266,(MATCH('4.3 ACE EFF CAN'!T$4,'7. PGE_Efficacité'!$A$4:$BU$4,0)+31),0)</f>
        <v>0</v>
      </c>
      <c r="U126" s="365">
        <f>VLOOKUP($E126,'7. PGE_Efficacité'!$A$6:$BT$266,(MATCH('4.3 ACE EFF CAN'!U$4,'7. PGE_Efficacité'!$A$4:$BU$4,0)+31),0)</f>
        <v>0</v>
      </c>
      <c r="V126" s="365">
        <f>VLOOKUP($E126,'7. PGE_Efficacité'!$A$6:$BT$266,(MATCH('4.3 ACE EFF CAN'!V$4,'7. PGE_Efficacité'!$A$4:$BU$4,0)+31),0)</f>
        <v>0</v>
      </c>
      <c r="W126" s="365">
        <f>VLOOKUP($E126,'7. PGE_Efficacité'!$A$6:$BT$266,(MATCH('4.3 ACE EFF CAN'!W$4,'7. PGE_Efficacité'!$A$4:$BU$4,0)+31),0)</f>
        <v>0</v>
      </c>
      <c r="X126" s="365">
        <f>VLOOKUP($E126,'7. PGE_Efficacité'!$A$6:$BT$266,(MATCH('4.3 ACE EFF CAN'!X$4,'7. PGE_Efficacité'!$A$4:$BU$4,0)+31),0)</f>
        <v>0</v>
      </c>
      <c r="Y126" s="365">
        <f>VLOOKUP($E126,'7. PGE_Efficacité'!$A$6:$BT$266,(MATCH('4.3 ACE EFF CAN'!Y$4,'7. PGE_Efficacité'!$A$4:$BU$4,0)+31),0)</f>
        <v>0</v>
      </c>
      <c r="Z126" s="365">
        <f>VLOOKUP($E126,'7. PGE_Efficacité'!$A$6:$BT$266,(MATCH('4.3 ACE EFF CAN'!Z$4,'7. PGE_Efficacité'!$A$4:$BU$4,0)+31),0)</f>
        <v>0</v>
      </c>
      <c r="AA126" s="365">
        <f>VLOOKUP($E126,'7. PGE_Efficacité'!$A$6:$BT$266,(MATCH('4.3 ACE EFF CAN'!AA$4,'7. PGE_Efficacité'!$A$4:$BU$4,0)+31),0)</f>
        <v>0</v>
      </c>
      <c r="AB126" s="365">
        <f>VLOOKUP($E126,'7. PGE_Efficacité'!$A$6:$BT$266,(MATCH('4.3 ACE EFF CAN'!AB$4,'7. PGE_Efficacité'!$A$4:$BU$4,0)+31),0)</f>
        <v>0</v>
      </c>
      <c r="AC126" s="365">
        <f>VLOOKUP($E126,'7. PGE_Efficacité'!$A$6:$BT$266,(MATCH('4.3 ACE EFF CAN'!AC$4,'7. PGE_Efficacité'!$A$4:$BU$4,0)+31),0)</f>
        <v>0</v>
      </c>
      <c r="AD126" s="365">
        <f>VLOOKUP($E126,'7. PGE_Efficacité'!$A$6:$BT$266,(MATCH('4.3 ACE EFF CAN'!AD$4,'7. PGE_Efficacité'!$A$4:$BU$4,0)+31),0)</f>
        <v>0</v>
      </c>
      <c r="AE126" s="365">
        <f>VLOOKUP($E126,'7. PGE_Efficacité'!$A$6:$BT$266,(MATCH('4.3 ACE EFF CAN'!AE$4,'7. PGE_Efficacité'!$A$4:$BU$4,0)+31),0)</f>
        <v>0</v>
      </c>
      <c r="AF126" s="365">
        <f>VLOOKUP($E126,'7. PGE_Efficacité'!$A$6:$BT$266,(MATCH('4.3 ACE EFF CAN'!AF$4,'7. PGE_Efficacité'!$A$4:$BU$4,0)+31),0)</f>
        <v>0</v>
      </c>
      <c r="AG126" s="365">
        <f>VLOOKUP($E126,'7. PGE_Efficacité'!$A$6:$BT$266,(MATCH('4.3 ACE EFF CAN'!AG$4,'7. PGE_Efficacité'!$A$4:$BU$4,0)+31),0)</f>
        <v>0</v>
      </c>
      <c r="AH126" s="365">
        <f>VLOOKUP($E126,'7. PGE_Efficacité'!$A$6:$BT$266,(MATCH('4.3 ACE EFF CAN'!AH$4,'7. PGE_Efficacité'!$A$4:$BU$4,0)+31),0)</f>
        <v>0</v>
      </c>
      <c r="AI126" s="365">
        <f>VLOOKUP($E126,'7. PGE_Efficacité'!$A$6:$BT$266,(MATCH('4.3 ACE EFF CAN'!AI$4,'7. PGE_Efficacité'!$A$4:$BU$4,0)+31),0)</f>
        <v>0</v>
      </c>
      <c r="AJ126" s="365">
        <f>VLOOKUP($E126,'7. PGE_Efficacité'!$A$6:$BT$266,(MATCH('4.3 ACE EFF CAN'!AJ$4,'7. PGE_Efficacité'!$A$4:$BU$4,0)+31),0)</f>
        <v>0</v>
      </c>
      <c r="AK126" s="365">
        <f>VLOOKUP($E126,'7. PGE_Efficacité'!$A$6:$BT$266,(MATCH('4.3 ACE EFF CAN'!AK$4,'7. PGE_Efficacité'!$A$4:$BU$4,0)+31),0)</f>
        <v>0</v>
      </c>
      <c r="AL126" s="365">
        <f>VLOOKUP($E126,'7. PGE_Efficacité'!$A$6:$BT$266,(MATCH('4.3 ACE EFF CAN'!AL$4,'7. PGE_Efficacité'!$A$4:$BU$4,0)+31),0)</f>
        <v>0</v>
      </c>
      <c r="AM126" s="365">
        <f>VLOOKUP($E126,'7. PGE_Efficacité'!$A$6:$BT$266,(MATCH('4.3 ACE EFF CAN'!AM$4,'7. PGE_Efficacité'!$A$4:$BU$4,0)+31),0)</f>
        <v>0</v>
      </c>
      <c r="AN126" s="365">
        <f>VLOOKUP($E126,'7. PGE_Efficacité'!$A$6:$BT$266,(MATCH('4.3 ACE EFF CAN'!AN$4,'7. PGE_Efficacité'!$A$4:$BU$4,0)+31),0)</f>
        <v>0</v>
      </c>
    </row>
    <row r="127" spans="1:40" outlineLevel="2" x14ac:dyDescent="0.25">
      <c r="A127" s="154" t="s">
        <v>1524</v>
      </c>
      <c r="B127" s="154">
        <v>22</v>
      </c>
      <c r="C127" s="154" t="s">
        <v>1529</v>
      </c>
      <c r="D127" s="330" t="s">
        <v>22</v>
      </c>
      <c r="E127" s="330" t="s">
        <v>747</v>
      </c>
      <c r="F127" s="330" t="s">
        <v>1404</v>
      </c>
      <c r="G127" s="330" t="s">
        <v>1521</v>
      </c>
      <c r="H127" s="330" t="s">
        <v>1290</v>
      </c>
      <c r="I127" s="364">
        <f>315000/3</f>
        <v>105000</v>
      </c>
      <c r="J127" s="365">
        <f>VLOOKUP($E127,'7. PGE_Efficacité'!$A$6:$BT$266,(MATCH('4.3 ACE EFF CAN'!J$4,'7. PGE_Efficacité'!$A$4:$BU$4,0)+31),0)</f>
        <v>0</v>
      </c>
      <c r="K127" s="365">
        <f>VLOOKUP($E127,'7. PGE_Efficacité'!$A$6:$BT$266,(MATCH('4.3 ACE EFF CAN'!K$4,'7. PGE_Efficacité'!$A$4:$BU$4,0)+31),0)</f>
        <v>0</v>
      </c>
      <c r="L127" s="365">
        <f>VLOOKUP($E127,'7. PGE_Efficacité'!$A$6:$BT$266,(MATCH('4.3 ACE EFF CAN'!L$4,'7. PGE_Efficacité'!$A$4:$BU$4,0)+31),0)</f>
        <v>0</v>
      </c>
      <c r="M127" s="365">
        <f>VLOOKUP($E127,'7. PGE_Efficacité'!$A$6:$BT$266,(MATCH('4.3 ACE EFF CAN'!M$4,'7. PGE_Efficacité'!$A$4:$BU$4,0)+31),0)</f>
        <v>0</v>
      </c>
      <c r="N127" s="365">
        <f>VLOOKUP($E127,'7. PGE_Efficacité'!$A$6:$BT$266,(MATCH('4.3 ACE EFF CAN'!N$4,'7. PGE_Efficacité'!$A$4:$BU$4,0)+31),0)</f>
        <v>0</v>
      </c>
      <c r="O127" s="365">
        <f>VLOOKUP($E127,'7. PGE_Efficacité'!$A$6:$BT$266,(MATCH('4.3 ACE EFF CAN'!O$4,'7. PGE_Efficacité'!$A$4:$BU$4,0)+31),0)</f>
        <v>0</v>
      </c>
      <c r="P127" s="365">
        <f>VLOOKUP($E127,'7. PGE_Efficacité'!$A$6:$BT$266,(MATCH('4.3 ACE EFF CAN'!P$4,'7. PGE_Efficacité'!$A$4:$BU$4,0)+31),0)</f>
        <v>0</v>
      </c>
      <c r="Q127" s="365">
        <f>VLOOKUP($E127,'7. PGE_Efficacité'!$A$6:$BT$266,(MATCH('4.3 ACE EFF CAN'!Q$4,'7. PGE_Efficacité'!$A$4:$BU$4,0)+31),0)</f>
        <v>0</v>
      </c>
      <c r="R127" s="365">
        <f>VLOOKUP($E127,'7. PGE_Efficacité'!$A$6:$BT$266,(MATCH('4.3 ACE EFF CAN'!R$4,'7. PGE_Efficacité'!$A$4:$BU$4,0)+31),0)</f>
        <v>0</v>
      </c>
      <c r="S127" s="365">
        <f>VLOOKUP($E127,'7. PGE_Efficacité'!$A$6:$BT$266,(MATCH('4.3 ACE EFF CAN'!S$4,'7. PGE_Efficacité'!$A$4:$BU$4,0)+31),0)</f>
        <v>0</v>
      </c>
      <c r="T127" s="365">
        <f>VLOOKUP($E127,'7. PGE_Efficacité'!$A$6:$BT$266,(MATCH('4.3 ACE EFF CAN'!T$4,'7. PGE_Efficacité'!$A$4:$BU$4,0)+31),0)</f>
        <v>0</v>
      </c>
      <c r="U127" s="365">
        <f>VLOOKUP($E127,'7. PGE_Efficacité'!$A$6:$BT$266,(MATCH('4.3 ACE EFF CAN'!U$4,'7. PGE_Efficacité'!$A$4:$BU$4,0)+31),0)</f>
        <v>0</v>
      </c>
      <c r="V127" s="365">
        <f>VLOOKUP($E127,'7. PGE_Efficacité'!$A$6:$BT$266,(MATCH('4.3 ACE EFF CAN'!V$4,'7. PGE_Efficacité'!$A$4:$BU$4,0)+31),0)</f>
        <v>0</v>
      </c>
      <c r="W127" s="365">
        <f>VLOOKUP($E127,'7. PGE_Efficacité'!$A$6:$BT$266,(MATCH('4.3 ACE EFF CAN'!W$4,'7. PGE_Efficacité'!$A$4:$BU$4,0)+31),0)</f>
        <v>0</v>
      </c>
      <c r="X127" s="365">
        <f>VLOOKUP($E127,'7. PGE_Efficacité'!$A$6:$BT$266,(MATCH('4.3 ACE EFF CAN'!X$4,'7. PGE_Efficacité'!$A$4:$BU$4,0)+31),0)</f>
        <v>0</v>
      </c>
      <c r="Y127" s="365">
        <f>VLOOKUP($E127,'7. PGE_Efficacité'!$A$6:$BT$266,(MATCH('4.3 ACE EFF CAN'!Y$4,'7. PGE_Efficacité'!$A$4:$BU$4,0)+31),0)</f>
        <v>0</v>
      </c>
      <c r="Z127" s="365">
        <f>VLOOKUP($E127,'7. PGE_Efficacité'!$A$6:$BT$266,(MATCH('4.3 ACE EFF CAN'!Z$4,'7. PGE_Efficacité'!$A$4:$BU$4,0)+31),0)</f>
        <v>0</v>
      </c>
      <c r="AA127" s="365">
        <f>VLOOKUP($E127,'7. PGE_Efficacité'!$A$6:$BT$266,(MATCH('4.3 ACE EFF CAN'!AA$4,'7. PGE_Efficacité'!$A$4:$BU$4,0)+31),0)</f>
        <v>0</v>
      </c>
      <c r="AB127" s="365">
        <f>VLOOKUP($E127,'7. PGE_Efficacité'!$A$6:$BT$266,(MATCH('4.3 ACE EFF CAN'!AB$4,'7. PGE_Efficacité'!$A$4:$BU$4,0)+31),0)</f>
        <v>0</v>
      </c>
      <c r="AC127" s="365">
        <f>VLOOKUP($E127,'7. PGE_Efficacité'!$A$6:$BT$266,(MATCH('4.3 ACE EFF CAN'!AC$4,'7. PGE_Efficacité'!$A$4:$BU$4,0)+31),0)</f>
        <v>0</v>
      </c>
      <c r="AD127" s="365">
        <f>VLOOKUP($E127,'7. PGE_Efficacité'!$A$6:$BT$266,(MATCH('4.3 ACE EFF CAN'!AD$4,'7. PGE_Efficacité'!$A$4:$BU$4,0)+31),0)</f>
        <v>0</v>
      </c>
      <c r="AE127" s="365">
        <f>VLOOKUP($E127,'7. PGE_Efficacité'!$A$6:$BT$266,(MATCH('4.3 ACE EFF CAN'!AE$4,'7. PGE_Efficacité'!$A$4:$BU$4,0)+31),0)</f>
        <v>0</v>
      </c>
      <c r="AF127" s="365">
        <f>VLOOKUP($E127,'7. PGE_Efficacité'!$A$6:$BT$266,(MATCH('4.3 ACE EFF CAN'!AF$4,'7. PGE_Efficacité'!$A$4:$BU$4,0)+31),0)</f>
        <v>0</v>
      </c>
      <c r="AG127" s="365">
        <f>VLOOKUP($E127,'7. PGE_Efficacité'!$A$6:$BT$266,(MATCH('4.3 ACE EFF CAN'!AG$4,'7. PGE_Efficacité'!$A$4:$BU$4,0)+31),0)</f>
        <v>0</v>
      </c>
      <c r="AH127" s="365">
        <f>VLOOKUP($E127,'7. PGE_Efficacité'!$A$6:$BT$266,(MATCH('4.3 ACE EFF CAN'!AH$4,'7. PGE_Efficacité'!$A$4:$BU$4,0)+31),0)</f>
        <v>0</v>
      </c>
      <c r="AI127" s="365">
        <f>VLOOKUP($E127,'7. PGE_Efficacité'!$A$6:$BT$266,(MATCH('4.3 ACE EFF CAN'!AI$4,'7. PGE_Efficacité'!$A$4:$BU$4,0)+31),0)</f>
        <v>0</v>
      </c>
      <c r="AJ127" s="365">
        <f>VLOOKUP($E127,'7. PGE_Efficacité'!$A$6:$BT$266,(MATCH('4.3 ACE EFF CAN'!AJ$4,'7. PGE_Efficacité'!$A$4:$BU$4,0)+31),0)</f>
        <v>0</v>
      </c>
      <c r="AK127" s="365">
        <f>VLOOKUP($E127,'7. PGE_Efficacité'!$A$6:$BT$266,(MATCH('4.3 ACE EFF CAN'!AK$4,'7. PGE_Efficacité'!$A$4:$BU$4,0)+31),0)</f>
        <v>0</v>
      </c>
      <c r="AL127" s="365">
        <f>VLOOKUP($E127,'7. PGE_Efficacité'!$A$6:$BT$266,(MATCH('4.3 ACE EFF CAN'!AL$4,'7. PGE_Efficacité'!$A$4:$BU$4,0)+31),0)</f>
        <v>0</v>
      </c>
      <c r="AM127" s="365">
        <f>VLOOKUP($E127,'7. PGE_Efficacité'!$A$6:$BT$266,(MATCH('4.3 ACE EFF CAN'!AM$4,'7. PGE_Efficacité'!$A$4:$BU$4,0)+31),0)</f>
        <v>0</v>
      </c>
      <c r="AN127" s="365">
        <f>VLOOKUP($E127,'7. PGE_Efficacité'!$A$6:$BT$266,(MATCH('4.3 ACE EFF CAN'!AN$4,'7. PGE_Efficacité'!$A$4:$BU$4,0)+31),0)</f>
        <v>0</v>
      </c>
    </row>
    <row r="128" spans="1:40" outlineLevel="2" x14ac:dyDescent="0.25">
      <c r="A128" s="154" t="s">
        <v>1524</v>
      </c>
      <c r="B128" s="154">
        <v>22</v>
      </c>
      <c r="C128" s="154" t="s">
        <v>1530</v>
      </c>
      <c r="D128" s="330" t="s">
        <v>22</v>
      </c>
      <c r="E128" s="330" t="s">
        <v>748</v>
      </c>
      <c r="F128" s="330" t="s">
        <v>1405</v>
      </c>
      <c r="G128" s="330" t="s">
        <v>1521</v>
      </c>
      <c r="H128" s="330" t="s">
        <v>1290</v>
      </c>
      <c r="I128" s="364">
        <f>60000/3</f>
        <v>20000</v>
      </c>
      <c r="J128" s="365">
        <f>VLOOKUP($E128,'7. PGE_Efficacité'!$A$6:$BT$266,(MATCH('4.3 ACE EFF CAN'!J$4,'7. PGE_Efficacité'!$A$4:$BU$4,0)+31),0)</f>
        <v>0</v>
      </c>
      <c r="K128" s="365">
        <f>VLOOKUP($E128,'7. PGE_Efficacité'!$A$6:$BT$266,(MATCH('4.3 ACE EFF CAN'!K$4,'7. PGE_Efficacité'!$A$4:$BU$4,0)+31),0)</f>
        <v>0</v>
      </c>
      <c r="L128" s="365">
        <f>VLOOKUP($E128,'7. PGE_Efficacité'!$A$6:$BT$266,(MATCH('4.3 ACE EFF CAN'!L$4,'7. PGE_Efficacité'!$A$4:$BU$4,0)+31),0)</f>
        <v>0</v>
      </c>
      <c r="M128" s="365">
        <f>VLOOKUP($E128,'7. PGE_Efficacité'!$A$6:$BT$266,(MATCH('4.3 ACE EFF CAN'!M$4,'7. PGE_Efficacité'!$A$4:$BU$4,0)+31),0)</f>
        <v>0</v>
      </c>
      <c r="N128" s="365">
        <f>VLOOKUP($E128,'7. PGE_Efficacité'!$A$6:$BT$266,(MATCH('4.3 ACE EFF CAN'!N$4,'7. PGE_Efficacité'!$A$4:$BU$4,0)+31),0)</f>
        <v>0</v>
      </c>
      <c r="O128" s="365">
        <f>VLOOKUP($E128,'7. PGE_Efficacité'!$A$6:$BT$266,(MATCH('4.3 ACE EFF CAN'!O$4,'7. PGE_Efficacité'!$A$4:$BU$4,0)+31),0)</f>
        <v>0</v>
      </c>
      <c r="P128" s="365">
        <f>VLOOKUP($E128,'7. PGE_Efficacité'!$A$6:$BT$266,(MATCH('4.3 ACE EFF CAN'!P$4,'7. PGE_Efficacité'!$A$4:$BU$4,0)+31),0)</f>
        <v>0</v>
      </c>
      <c r="Q128" s="365">
        <f>VLOOKUP($E128,'7. PGE_Efficacité'!$A$6:$BT$266,(MATCH('4.3 ACE EFF CAN'!Q$4,'7. PGE_Efficacité'!$A$4:$BU$4,0)+31),0)</f>
        <v>0</v>
      </c>
      <c r="R128" s="365">
        <f>VLOOKUP($E128,'7. PGE_Efficacité'!$A$6:$BT$266,(MATCH('4.3 ACE EFF CAN'!R$4,'7. PGE_Efficacité'!$A$4:$BU$4,0)+31),0)</f>
        <v>0</v>
      </c>
      <c r="S128" s="365">
        <f>VLOOKUP($E128,'7. PGE_Efficacité'!$A$6:$BT$266,(MATCH('4.3 ACE EFF CAN'!S$4,'7. PGE_Efficacité'!$A$4:$BU$4,0)+31),0)</f>
        <v>0</v>
      </c>
      <c r="T128" s="365">
        <f>VLOOKUP($E128,'7. PGE_Efficacité'!$A$6:$BT$266,(MATCH('4.3 ACE EFF CAN'!T$4,'7. PGE_Efficacité'!$A$4:$BU$4,0)+31),0)</f>
        <v>0</v>
      </c>
      <c r="U128" s="365">
        <f>VLOOKUP($E128,'7. PGE_Efficacité'!$A$6:$BT$266,(MATCH('4.3 ACE EFF CAN'!U$4,'7. PGE_Efficacité'!$A$4:$BU$4,0)+31),0)</f>
        <v>0</v>
      </c>
      <c r="V128" s="365">
        <f>VLOOKUP($E128,'7. PGE_Efficacité'!$A$6:$BT$266,(MATCH('4.3 ACE EFF CAN'!V$4,'7. PGE_Efficacité'!$A$4:$BU$4,0)+31),0)</f>
        <v>0</v>
      </c>
      <c r="W128" s="365">
        <f>VLOOKUP($E128,'7. PGE_Efficacité'!$A$6:$BT$266,(MATCH('4.3 ACE EFF CAN'!W$4,'7. PGE_Efficacité'!$A$4:$BU$4,0)+31),0)</f>
        <v>0</v>
      </c>
      <c r="X128" s="365">
        <f>VLOOKUP($E128,'7. PGE_Efficacité'!$A$6:$BT$266,(MATCH('4.3 ACE EFF CAN'!X$4,'7. PGE_Efficacité'!$A$4:$BU$4,0)+31),0)</f>
        <v>0</v>
      </c>
      <c r="Y128" s="365">
        <f>VLOOKUP($E128,'7. PGE_Efficacité'!$A$6:$BT$266,(MATCH('4.3 ACE EFF CAN'!Y$4,'7. PGE_Efficacité'!$A$4:$BU$4,0)+31),0)</f>
        <v>0</v>
      </c>
      <c r="Z128" s="365">
        <f>VLOOKUP($E128,'7. PGE_Efficacité'!$A$6:$BT$266,(MATCH('4.3 ACE EFF CAN'!Z$4,'7. PGE_Efficacité'!$A$4:$BU$4,0)+31),0)</f>
        <v>0</v>
      </c>
      <c r="AA128" s="365">
        <f>VLOOKUP($E128,'7. PGE_Efficacité'!$A$6:$BT$266,(MATCH('4.3 ACE EFF CAN'!AA$4,'7. PGE_Efficacité'!$A$4:$BU$4,0)+31),0)</f>
        <v>0</v>
      </c>
      <c r="AB128" s="365">
        <f>VLOOKUP($E128,'7. PGE_Efficacité'!$A$6:$BT$266,(MATCH('4.3 ACE EFF CAN'!AB$4,'7. PGE_Efficacité'!$A$4:$BU$4,0)+31),0)</f>
        <v>0</v>
      </c>
      <c r="AC128" s="365">
        <f>VLOOKUP($E128,'7. PGE_Efficacité'!$A$6:$BT$266,(MATCH('4.3 ACE EFF CAN'!AC$4,'7. PGE_Efficacité'!$A$4:$BU$4,0)+31),0)</f>
        <v>0</v>
      </c>
      <c r="AD128" s="365">
        <f>VLOOKUP($E128,'7. PGE_Efficacité'!$A$6:$BT$266,(MATCH('4.3 ACE EFF CAN'!AD$4,'7. PGE_Efficacité'!$A$4:$BU$4,0)+31),0)</f>
        <v>0</v>
      </c>
      <c r="AE128" s="365">
        <f>VLOOKUP($E128,'7. PGE_Efficacité'!$A$6:$BT$266,(MATCH('4.3 ACE EFF CAN'!AE$4,'7. PGE_Efficacité'!$A$4:$BU$4,0)+31),0)</f>
        <v>0</v>
      </c>
      <c r="AF128" s="365">
        <f>VLOOKUP($E128,'7. PGE_Efficacité'!$A$6:$BT$266,(MATCH('4.3 ACE EFF CAN'!AF$4,'7. PGE_Efficacité'!$A$4:$BU$4,0)+31),0)</f>
        <v>0</v>
      </c>
      <c r="AG128" s="365">
        <f>VLOOKUP($E128,'7. PGE_Efficacité'!$A$6:$BT$266,(MATCH('4.3 ACE EFF CAN'!AG$4,'7. PGE_Efficacité'!$A$4:$BU$4,0)+31),0)</f>
        <v>0</v>
      </c>
      <c r="AH128" s="365">
        <f>VLOOKUP($E128,'7. PGE_Efficacité'!$A$6:$BT$266,(MATCH('4.3 ACE EFF CAN'!AH$4,'7. PGE_Efficacité'!$A$4:$BU$4,0)+31),0)</f>
        <v>0</v>
      </c>
      <c r="AI128" s="365">
        <f>VLOOKUP($E128,'7. PGE_Efficacité'!$A$6:$BT$266,(MATCH('4.3 ACE EFF CAN'!AI$4,'7. PGE_Efficacité'!$A$4:$BU$4,0)+31),0)</f>
        <v>0</v>
      </c>
      <c r="AJ128" s="365">
        <f>VLOOKUP($E128,'7. PGE_Efficacité'!$A$6:$BT$266,(MATCH('4.3 ACE EFF CAN'!AJ$4,'7. PGE_Efficacité'!$A$4:$BU$4,0)+31),0)</f>
        <v>0</v>
      </c>
      <c r="AK128" s="365">
        <f>VLOOKUP($E128,'7. PGE_Efficacité'!$A$6:$BT$266,(MATCH('4.3 ACE EFF CAN'!AK$4,'7. PGE_Efficacité'!$A$4:$BU$4,0)+31),0)</f>
        <v>0</v>
      </c>
      <c r="AL128" s="365">
        <f>VLOOKUP($E128,'7. PGE_Efficacité'!$A$6:$BT$266,(MATCH('4.3 ACE EFF CAN'!AL$4,'7. PGE_Efficacité'!$A$4:$BU$4,0)+31),0)</f>
        <v>0</v>
      </c>
      <c r="AM128" s="365">
        <f>VLOOKUP($E128,'7. PGE_Efficacité'!$A$6:$BT$266,(MATCH('4.3 ACE EFF CAN'!AM$4,'7. PGE_Efficacité'!$A$4:$BU$4,0)+31),0)</f>
        <v>0</v>
      </c>
      <c r="AN128" s="365">
        <f>VLOOKUP($E128,'7. PGE_Efficacité'!$A$6:$BT$266,(MATCH('4.3 ACE EFF CAN'!AN$4,'7. PGE_Efficacité'!$A$4:$BU$4,0)+31),0)</f>
        <v>0</v>
      </c>
    </row>
    <row r="129" spans="1:40" outlineLevel="2" x14ac:dyDescent="0.25">
      <c r="A129" s="154" t="s">
        <v>1524</v>
      </c>
      <c r="B129" s="154">
        <v>22</v>
      </c>
      <c r="C129" s="154" t="s">
        <v>1531</v>
      </c>
      <c r="D129" s="330" t="s">
        <v>22</v>
      </c>
      <c r="E129" s="330" t="s">
        <v>749</v>
      </c>
      <c r="F129" s="330" t="s">
        <v>1406</v>
      </c>
      <c r="G129" s="330" t="s">
        <v>1521</v>
      </c>
      <c r="H129" s="330" t="s">
        <v>1290</v>
      </c>
      <c r="I129" s="364">
        <f>20000/3</f>
        <v>6666.666666666667</v>
      </c>
      <c r="J129" s="365">
        <f>VLOOKUP($E129,'7. PGE_Efficacité'!$A$6:$BT$266,(MATCH('4.3 ACE EFF CAN'!J$4,'7. PGE_Efficacité'!$A$4:$BU$4,0)+31),0)</f>
        <v>0</v>
      </c>
      <c r="K129" s="365">
        <f>VLOOKUP($E129,'7. PGE_Efficacité'!$A$6:$BT$266,(MATCH('4.3 ACE EFF CAN'!K$4,'7. PGE_Efficacité'!$A$4:$BU$4,0)+31),0)</f>
        <v>0</v>
      </c>
      <c r="L129" s="365">
        <f>VLOOKUP($E129,'7. PGE_Efficacité'!$A$6:$BT$266,(MATCH('4.3 ACE EFF CAN'!L$4,'7. PGE_Efficacité'!$A$4:$BU$4,0)+31),0)</f>
        <v>0</v>
      </c>
      <c r="M129" s="365">
        <f>VLOOKUP($E129,'7. PGE_Efficacité'!$A$6:$BT$266,(MATCH('4.3 ACE EFF CAN'!M$4,'7. PGE_Efficacité'!$A$4:$BU$4,0)+31),0)</f>
        <v>0</v>
      </c>
      <c r="N129" s="365">
        <f>VLOOKUP($E129,'7. PGE_Efficacité'!$A$6:$BT$266,(MATCH('4.3 ACE EFF CAN'!N$4,'7. PGE_Efficacité'!$A$4:$BU$4,0)+31),0)</f>
        <v>0</v>
      </c>
      <c r="O129" s="365">
        <f>VLOOKUP($E129,'7. PGE_Efficacité'!$A$6:$BT$266,(MATCH('4.3 ACE EFF CAN'!O$4,'7. PGE_Efficacité'!$A$4:$BU$4,0)+31),0)</f>
        <v>0</v>
      </c>
      <c r="P129" s="365">
        <f>VLOOKUP($E129,'7. PGE_Efficacité'!$A$6:$BT$266,(MATCH('4.3 ACE EFF CAN'!P$4,'7. PGE_Efficacité'!$A$4:$BU$4,0)+31),0)</f>
        <v>0</v>
      </c>
      <c r="Q129" s="365">
        <f>VLOOKUP($E129,'7. PGE_Efficacité'!$A$6:$BT$266,(MATCH('4.3 ACE EFF CAN'!Q$4,'7. PGE_Efficacité'!$A$4:$BU$4,0)+31),0)</f>
        <v>0</v>
      </c>
      <c r="R129" s="365">
        <f>VLOOKUP($E129,'7. PGE_Efficacité'!$A$6:$BT$266,(MATCH('4.3 ACE EFF CAN'!R$4,'7. PGE_Efficacité'!$A$4:$BU$4,0)+31),0)</f>
        <v>0</v>
      </c>
      <c r="S129" s="365">
        <f>VLOOKUP($E129,'7. PGE_Efficacité'!$A$6:$BT$266,(MATCH('4.3 ACE EFF CAN'!S$4,'7. PGE_Efficacité'!$A$4:$BU$4,0)+31),0)</f>
        <v>0</v>
      </c>
      <c r="T129" s="365">
        <f>VLOOKUP($E129,'7. PGE_Efficacité'!$A$6:$BT$266,(MATCH('4.3 ACE EFF CAN'!T$4,'7. PGE_Efficacité'!$A$4:$BU$4,0)+31),0)</f>
        <v>0</v>
      </c>
      <c r="U129" s="365">
        <f>VLOOKUP($E129,'7. PGE_Efficacité'!$A$6:$BT$266,(MATCH('4.3 ACE EFF CAN'!U$4,'7. PGE_Efficacité'!$A$4:$BU$4,0)+31),0)</f>
        <v>0</v>
      </c>
      <c r="V129" s="365">
        <f>VLOOKUP($E129,'7. PGE_Efficacité'!$A$6:$BT$266,(MATCH('4.3 ACE EFF CAN'!V$4,'7. PGE_Efficacité'!$A$4:$BU$4,0)+31),0)</f>
        <v>0</v>
      </c>
      <c r="W129" s="365">
        <f>VLOOKUP($E129,'7. PGE_Efficacité'!$A$6:$BT$266,(MATCH('4.3 ACE EFF CAN'!W$4,'7. PGE_Efficacité'!$A$4:$BU$4,0)+31),0)</f>
        <v>0</v>
      </c>
      <c r="X129" s="365">
        <f>VLOOKUP($E129,'7. PGE_Efficacité'!$A$6:$BT$266,(MATCH('4.3 ACE EFF CAN'!X$4,'7. PGE_Efficacité'!$A$4:$BU$4,0)+31),0)</f>
        <v>0</v>
      </c>
      <c r="Y129" s="365">
        <f>VLOOKUP($E129,'7. PGE_Efficacité'!$A$6:$BT$266,(MATCH('4.3 ACE EFF CAN'!Y$4,'7. PGE_Efficacité'!$A$4:$BU$4,0)+31),0)</f>
        <v>0</v>
      </c>
      <c r="Z129" s="365">
        <f>VLOOKUP($E129,'7. PGE_Efficacité'!$A$6:$BT$266,(MATCH('4.3 ACE EFF CAN'!Z$4,'7. PGE_Efficacité'!$A$4:$BU$4,0)+31),0)</f>
        <v>0</v>
      </c>
      <c r="AA129" s="365">
        <f>VLOOKUP($E129,'7. PGE_Efficacité'!$A$6:$BT$266,(MATCH('4.3 ACE EFF CAN'!AA$4,'7. PGE_Efficacité'!$A$4:$BU$4,0)+31),0)</f>
        <v>0</v>
      </c>
      <c r="AB129" s="365">
        <f>VLOOKUP($E129,'7. PGE_Efficacité'!$A$6:$BT$266,(MATCH('4.3 ACE EFF CAN'!AB$4,'7. PGE_Efficacité'!$A$4:$BU$4,0)+31),0)</f>
        <v>0</v>
      </c>
      <c r="AC129" s="365">
        <f>VLOOKUP($E129,'7. PGE_Efficacité'!$A$6:$BT$266,(MATCH('4.3 ACE EFF CAN'!AC$4,'7. PGE_Efficacité'!$A$4:$BU$4,0)+31),0)</f>
        <v>0</v>
      </c>
      <c r="AD129" s="365">
        <f>VLOOKUP($E129,'7. PGE_Efficacité'!$A$6:$BT$266,(MATCH('4.3 ACE EFF CAN'!AD$4,'7. PGE_Efficacité'!$A$4:$BU$4,0)+31),0)</f>
        <v>0</v>
      </c>
      <c r="AE129" s="365">
        <f>VLOOKUP($E129,'7. PGE_Efficacité'!$A$6:$BT$266,(MATCH('4.3 ACE EFF CAN'!AE$4,'7. PGE_Efficacité'!$A$4:$BU$4,0)+31),0)</f>
        <v>0</v>
      </c>
      <c r="AF129" s="365">
        <f>VLOOKUP($E129,'7. PGE_Efficacité'!$A$6:$BT$266,(MATCH('4.3 ACE EFF CAN'!AF$4,'7. PGE_Efficacité'!$A$4:$BU$4,0)+31),0)</f>
        <v>0</v>
      </c>
      <c r="AG129" s="365">
        <f>VLOOKUP($E129,'7. PGE_Efficacité'!$A$6:$BT$266,(MATCH('4.3 ACE EFF CAN'!AG$4,'7. PGE_Efficacité'!$A$4:$BU$4,0)+31),0)</f>
        <v>0</v>
      </c>
      <c r="AH129" s="365">
        <f>VLOOKUP($E129,'7. PGE_Efficacité'!$A$6:$BT$266,(MATCH('4.3 ACE EFF CAN'!AH$4,'7. PGE_Efficacité'!$A$4:$BU$4,0)+31),0)</f>
        <v>0</v>
      </c>
      <c r="AI129" s="365">
        <f>VLOOKUP($E129,'7. PGE_Efficacité'!$A$6:$BT$266,(MATCH('4.3 ACE EFF CAN'!AI$4,'7. PGE_Efficacité'!$A$4:$BU$4,0)+31),0)</f>
        <v>0</v>
      </c>
      <c r="AJ129" s="365">
        <f>VLOOKUP($E129,'7. PGE_Efficacité'!$A$6:$BT$266,(MATCH('4.3 ACE EFF CAN'!AJ$4,'7. PGE_Efficacité'!$A$4:$BU$4,0)+31),0)</f>
        <v>0</v>
      </c>
      <c r="AK129" s="365">
        <f>VLOOKUP($E129,'7. PGE_Efficacité'!$A$6:$BT$266,(MATCH('4.3 ACE EFF CAN'!AK$4,'7. PGE_Efficacité'!$A$4:$BU$4,0)+31),0)</f>
        <v>0</v>
      </c>
      <c r="AL129" s="365">
        <f>VLOOKUP($E129,'7. PGE_Efficacité'!$A$6:$BT$266,(MATCH('4.3 ACE EFF CAN'!AL$4,'7. PGE_Efficacité'!$A$4:$BU$4,0)+31),0)</f>
        <v>0</v>
      </c>
      <c r="AM129" s="365">
        <f>VLOOKUP($E129,'7. PGE_Efficacité'!$A$6:$BT$266,(MATCH('4.3 ACE EFF CAN'!AM$4,'7. PGE_Efficacité'!$A$4:$BU$4,0)+31),0)</f>
        <v>0</v>
      </c>
      <c r="AN129" s="365">
        <f>VLOOKUP($E129,'7. PGE_Efficacité'!$A$6:$BT$266,(MATCH('4.3 ACE EFF CAN'!AN$4,'7. PGE_Efficacité'!$A$4:$BU$4,0)+31),0)</f>
        <v>0</v>
      </c>
    </row>
    <row r="130" spans="1:40" outlineLevel="2" x14ac:dyDescent="0.25">
      <c r="A130" s="154" t="s">
        <v>1524</v>
      </c>
      <c r="B130" s="154">
        <v>22</v>
      </c>
      <c r="C130" s="154" t="s">
        <v>1503</v>
      </c>
      <c r="D130" s="330" t="s">
        <v>22</v>
      </c>
      <c r="E130" s="330" t="s">
        <v>739</v>
      </c>
      <c r="F130" s="330" t="s">
        <v>1397</v>
      </c>
      <c r="G130" s="330" t="s">
        <v>1521</v>
      </c>
      <c r="H130" s="330" t="s">
        <v>1287</v>
      </c>
      <c r="I130" s="364">
        <v>0</v>
      </c>
      <c r="J130" s="365">
        <f>VLOOKUP($E130,'7. PGE_Efficacité'!$A$6:$BT$266,(MATCH('4.3 ACE EFF CAN'!J$4,'7. PGE_Efficacité'!$A$4:$BU$4,0)+31),0)</f>
        <v>0</v>
      </c>
      <c r="K130" s="365">
        <f>VLOOKUP($E130,'7. PGE_Efficacité'!$A$6:$BT$266,(MATCH('4.3 ACE EFF CAN'!K$4,'7. PGE_Efficacité'!$A$4:$BU$4,0)+31),0)</f>
        <v>0</v>
      </c>
      <c r="L130" s="365">
        <f>VLOOKUP($E130,'7. PGE_Efficacité'!$A$6:$BT$266,(MATCH('4.3 ACE EFF CAN'!L$4,'7. PGE_Efficacité'!$A$4:$BU$4,0)+31),0)</f>
        <v>0</v>
      </c>
      <c r="M130" s="365">
        <f>VLOOKUP($E130,'7. PGE_Efficacité'!$A$6:$BT$266,(MATCH('4.3 ACE EFF CAN'!M$4,'7. PGE_Efficacité'!$A$4:$BU$4,0)+31),0)</f>
        <v>0</v>
      </c>
      <c r="N130" s="365">
        <f>VLOOKUP($E130,'7. PGE_Efficacité'!$A$6:$BT$266,(MATCH('4.3 ACE EFF CAN'!N$4,'7. PGE_Efficacité'!$A$4:$BU$4,0)+31),0)</f>
        <v>0</v>
      </c>
      <c r="O130" s="365">
        <f>VLOOKUP($E130,'7. PGE_Efficacité'!$A$6:$BT$266,(MATCH('4.3 ACE EFF CAN'!O$4,'7. PGE_Efficacité'!$A$4:$BU$4,0)+31),0)</f>
        <v>0</v>
      </c>
      <c r="P130" s="365">
        <f>VLOOKUP($E130,'7. PGE_Efficacité'!$A$6:$BT$266,(MATCH('4.3 ACE EFF CAN'!P$4,'7. PGE_Efficacité'!$A$4:$BU$4,0)+31),0)</f>
        <v>0</v>
      </c>
      <c r="Q130" s="365">
        <f>VLOOKUP($E130,'7. PGE_Efficacité'!$A$6:$BT$266,(MATCH('4.3 ACE EFF CAN'!Q$4,'7. PGE_Efficacité'!$A$4:$BU$4,0)+31),0)</f>
        <v>0</v>
      </c>
      <c r="R130" s="365">
        <f>VLOOKUP($E130,'7. PGE_Efficacité'!$A$6:$BT$266,(MATCH('4.3 ACE EFF CAN'!R$4,'7. PGE_Efficacité'!$A$4:$BU$4,0)+31),0)</f>
        <v>0</v>
      </c>
      <c r="S130" s="365">
        <f>VLOOKUP($E130,'7. PGE_Efficacité'!$A$6:$BT$266,(MATCH('4.3 ACE EFF CAN'!S$4,'7. PGE_Efficacité'!$A$4:$BU$4,0)+31),0)</f>
        <v>0</v>
      </c>
      <c r="T130" s="365">
        <f>VLOOKUP($E130,'7. PGE_Efficacité'!$A$6:$BT$266,(MATCH('4.3 ACE EFF CAN'!T$4,'7. PGE_Efficacité'!$A$4:$BU$4,0)+31),0)</f>
        <v>0</v>
      </c>
      <c r="U130" s="365">
        <f>VLOOKUP($E130,'7. PGE_Efficacité'!$A$6:$BT$266,(MATCH('4.3 ACE EFF CAN'!U$4,'7. PGE_Efficacité'!$A$4:$BU$4,0)+31),0)</f>
        <v>0</v>
      </c>
      <c r="V130" s="365">
        <f>VLOOKUP($E130,'7. PGE_Efficacité'!$A$6:$BT$266,(MATCH('4.3 ACE EFF CAN'!V$4,'7. PGE_Efficacité'!$A$4:$BU$4,0)+31),0)</f>
        <v>0</v>
      </c>
      <c r="W130" s="365">
        <f>VLOOKUP($E130,'7. PGE_Efficacité'!$A$6:$BT$266,(MATCH('4.3 ACE EFF CAN'!W$4,'7. PGE_Efficacité'!$A$4:$BU$4,0)+31),0)</f>
        <v>0</v>
      </c>
      <c r="X130" s="365">
        <f>VLOOKUP($E130,'7. PGE_Efficacité'!$A$6:$BT$266,(MATCH('4.3 ACE EFF CAN'!X$4,'7. PGE_Efficacité'!$A$4:$BU$4,0)+31),0)</f>
        <v>0</v>
      </c>
      <c r="Y130" s="365">
        <f>VLOOKUP($E130,'7. PGE_Efficacité'!$A$6:$BT$266,(MATCH('4.3 ACE EFF CAN'!Y$4,'7. PGE_Efficacité'!$A$4:$BU$4,0)+31),0)</f>
        <v>0</v>
      </c>
      <c r="Z130" s="365">
        <f>VLOOKUP($E130,'7. PGE_Efficacité'!$A$6:$BT$266,(MATCH('4.3 ACE EFF CAN'!Z$4,'7. PGE_Efficacité'!$A$4:$BU$4,0)+31),0)</f>
        <v>0</v>
      </c>
      <c r="AA130" s="365">
        <f>VLOOKUP($E130,'7. PGE_Efficacité'!$A$6:$BT$266,(MATCH('4.3 ACE EFF CAN'!AA$4,'7. PGE_Efficacité'!$A$4:$BU$4,0)+31),0)</f>
        <v>0</v>
      </c>
      <c r="AB130" s="365">
        <f>VLOOKUP($E130,'7. PGE_Efficacité'!$A$6:$BT$266,(MATCH('4.3 ACE EFF CAN'!AB$4,'7. PGE_Efficacité'!$A$4:$BU$4,0)+31),0)</f>
        <v>0</v>
      </c>
      <c r="AC130" s="365">
        <f>VLOOKUP($E130,'7. PGE_Efficacité'!$A$6:$BT$266,(MATCH('4.3 ACE EFF CAN'!AC$4,'7. PGE_Efficacité'!$A$4:$BU$4,0)+31),0)</f>
        <v>0</v>
      </c>
      <c r="AD130" s="365">
        <f>VLOOKUP($E130,'7. PGE_Efficacité'!$A$6:$BT$266,(MATCH('4.3 ACE EFF CAN'!AD$4,'7. PGE_Efficacité'!$A$4:$BU$4,0)+31),0)</f>
        <v>0</v>
      </c>
      <c r="AE130" s="365">
        <f>VLOOKUP($E130,'7. PGE_Efficacité'!$A$6:$BT$266,(MATCH('4.3 ACE EFF CAN'!AE$4,'7. PGE_Efficacité'!$A$4:$BU$4,0)+31),0)</f>
        <v>0</v>
      </c>
      <c r="AF130" s="365">
        <f>VLOOKUP($E130,'7. PGE_Efficacité'!$A$6:$BT$266,(MATCH('4.3 ACE EFF CAN'!AF$4,'7. PGE_Efficacité'!$A$4:$BU$4,0)+31),0)</f>
        <v>0</v>
      </c>
      <c r="AG130" s="365">
        <f>VLOOKUP($E130,'7. PGE_Efficacité'!$A$6:$BT$266,(MATCH('4.3 ACE EFF CAN'!AG$4,'7. PGE_Efficacité'!$A$4:$BU$4,0)+31),0)</f>
        <v>0</v>
      </c>
      <c r="AH130" s="365">
        <f>VLOOKUP($E130,'7. PGE_Efficacité'!$A$6:$BT$266,(MATCH('4.3 ACE EFF CAN'!AH$4,'7. PGE_Efficacité'!$A$4:$BU$4,0)+31),0)</f>
        <v>0</v>
      </c>
      <c r="AI130" s="365">
        <f>VLOOKUP($E130,'7. PGE_Efficacité'!$A$6:$BT$266,(MATCH('4.3 ACE EFF CAN'!AI$4,'7. PGE_Efficacité'!$A$4:$BU$4,0)+31),0)</f>
        <v>0</v>
      </c>
      <c r="AJ130" s="365">
        <f>VLOOKUP($E130,'7. PGE_Efficacité'!$A$6:$BT$266,(MATCH('4.3 ACE EFF CAN'!AJ$4,'7. PGE_Efficacité'!$A$4:$BU$4,0)+31),0)</f>
        <v>0</v>
      </c>
      <c r="AK130" s="365">
        <f>VLOOKUP($E130,'7. PGE_Efficacité'!$A$6:$BT$266,(MATCH('4.3 ACE EFF CAN'!AK$4,'7. PGE_Efficacité'!$A$4:$BU$4,0)+31),0)</f>
        <v>0</v>
      </c>
      <c r="AL130" s="365">
        <f>VLOOKUP($E130,'7. PGE_Efficacité'!$A$6:$BT$266,(MATCH('4.3 ACE EFF CAN'!AL$4,'7. PGE_Efficacité'!$A$4:$BU$4,0)+31),0)</f>
        <v>0</v>
      </c>
      <c r="AM130" s="365">
        <f>VLOOKUP($E130,'7. PGE_Efficacité'!$A$6:$BT$266,(MATCH('4.3 ACE EFF CAN'!AM$4,'7. PGE_Efficacité'!$A$4:$BU$4,0)+31),0)</f>
        <v>0</v>
      </c>
      <c r="AN130" s="365">
        <f>VLOOKUP($E130,'7. PGE_Efficacité'!$A$6:$BT$266,(MATCH('4.3 ACE EFF CAN'!AN$4,'7. PGE_Efficacité'!$A$4:$BU$4,0)+31),0)</f>
        <v>0</v>
      </c>
    </row>
    <row r="131" spans="1:40" outlineLevel="2" x14ac:dyDescent="0.25">
      <c r="A131" s="154" t="s">
        <v>1524</v>
      </c>
      <c r="B131" s="154">
        <v>22</v>
      </c>
      <c r="C131" s="154" t="s">
        <v>1504</v>
      </c>
      <c r="D131" s="330" t="s">
        <v>22</v>
      </c>
      <c r="E131" s="330" t="s">
        <v>740</v>
      </c>
      <c r="F131" s="330" t="s">
        <v>1398</v>
      </c>
      <c r="G131" s="330" t="s">
        <v>1521</v>
      </c>
      <c r="H131" s="330" t="s">
        <v>414</v>
      </c>
      <c r="I131" s="364">
        <v>20000</v>
      </c>
      <c r="J131" s="365">
        <f>VLOOKUP($E131,'7. PGE_Efficacité'!$A$6:$BT$266,(MATCH('4.3 ACE EFF CAN'!J$4,'7. PGE_Efficacité'!$A$4:$BU$4,0)+31),0)</f>
        <v>0</v>
      </c>
      <c r="K131" s="365">
        <f>VLOOKUP($E131,'7. PGE_Efficacité'!$A$6:$BT$266,(MATCH('4.3 ACE EFF CAN'!K$4,'7. PGE_Efficacité'!$A$4:$BU$4,0)+31),0)</f>
        <v>0</v>
      </c>
      <c r="L131" s="365">
        <f>VLOOKUP($E131,'7. PGE_Efficacité'!$A$6:$BT$266,(MATCH('4.3 ACE EFF CAN'!L$4,'7. PGE_Efficacité'!$A$4:$BU$4,0)+31),0)</f>
        <v>0</v>
      </c>
      <c r="M131" s="365">
        <f>VLOOKUP($E131,'7. PGE_Efficacité'!$A$6:$BT$266,(MATCH('4.3 ACE EFF CAN'!M$4,'7. PGE_Efficacité'!$A$4:$BU$4,0)+31),0)</f>
        <v>0</v>
      </c>
      <c r="N131" s="365">
        <f>VLOOKUP($E131,'7. PGE_Efficacité'!$A$6:$BT$266,(MATCH('4.3 ACE EFF CAN'!N$4,'7. PGE_Efficacité'!$A$4:$BU$4,0)+31),0)</f>
        <v>0</v>
      </c>
      <c r="O131" s="365">
        <f>VLOOKUP($E131,'7. PGE_Efficacité'!$A$6:$BT$266,(MATCH('4.3 ACE EFF CAN'!O$4,'7. PGE_Efficacité'!$A$4:$BU$4,0)+31),0)</f>
        <v>0</v>
      </c>
      <c r="P131" s="365">
        <f>VLOOKUP($E131,'7. PGE_Efficacité'!$A$6:$BT$266,(MATCH('4.3 ACE EFF CAN'!P$4,'7. PGE_Efficacité'!$A$4:$BU$4,0)+31),0)</f>
        <v>0</v>
      </c>
      <c r="Q131" s="365">
        <f>VLOOKUP($E131,'7. PGE_Efficacité'!$A$6:$BT$266,(MATCH('4.3 ACE EFF CAN'!Q$4,'7. PGE_Efficacité'!$A$4:$BU$4,0)+31),0)</f>
        <v>0</v>
      </c>
      <c r="R131" s="365">
        <f>VLOOKUP($E131,'7. PGE_Efficacité'!$A$6:$BT$266,(MATCH('4.3 ACE EFF CAN'!R$4,'7. PGE_Efficacité'!$A$4:$BU$4,0)+31),0)</f>
        <v>0</v>
      </c>
      <c r="S131" s="365">
        <f>VLOOKUP($E131,'7. PGE_Efficacité'!$A$6:$BT$266,(MATCH('4.3 ACE EFF CAN'!S$4,'7. PGE_Efficacité'!$A$4:$BU$4,0)+31),0)</f>
        <v>0</v>
      </c>
      <c r="T131" s="365">
        <f>VLOOKUP($E131,'7. PGE_Efficacité'!$A$6:$BT$266,(MATCH('4.3 ACE EFF CAN'!T$4,'7. PGE_Efficacité'!$A$4:$BU$4,0)+31),0)</f>
        <v>0</v>
      </c>
      <c r="U131" s="365">
        <f>VLOOKUP($E131,'7. PGE_Efficacité'!$A$6:$BT$266,(MATCH('4.3 ACE EFF CAN'!U$4,'7. PGE_Efficacité'!$A$4:$BU$4,0)+31),0)</f>
        <v>0</v>
      </c>
      <c r="V131" s="365">
        <f>VLOOKUP($E131,'7. PGE_Efficacité'!$A$6:$BT$266,(MATCH('4.3 ACE EFF CAN'!V$4,'7. PGE_Efficacité'!$A$4:$BU$4,0)+31),0)</f>
        <v>0</v>
      </c>
      <c r="W131" s="365">
        <f>VLOOKUP($E131,'7. PGE_Efficacité'!$A$6:$BT$266,(MATCH('4.3 ACE EFF CAN'!W$4,'7. PGE_Efficacité'!$A$4:$BU$4,0)+31),0)</f>
        <v>0</v>
      </c>
      <c r="X131" s="365">
        <f>VLOOKUP($E131,'7. PGE_Efficacité'!$A$6:$BT$266,(MATCH('4.3 ACE EFF CAN'!X$4,'7. PGE_Efficacité'!$A$4:$BU$4,0)+31),0)</f>
        <v>0</v>
      </c>
      <c r="Y131" s="365">
        <f>VLOOKUP($E131,'7. PGE_Efficacité'!$A$6:$BT$266,(MATCH('4.3 ACE EFF CAN'!Y$4,'7. PGE_Efficacité'!$A$4:$BU$4,0)+31),0)</f>
        <v>0</v>
      </c>
      <c r="Z131" s="365">
        <f>VLOOKUP($E131,'7. PGE_Efficacité'!$A$6:$BT$266,(MATCH('4.3 ACE EFF CAN'!Z$4,'7. PGE_Efficacité'!$A$4:$BU$4,0)+31),0)</f>
        <v>0</v>
      </c>
      <c r="AA131" s="365">
        <f>VLOOKUP($E131,'7. PGE_Efficacité'!$A$6:$BT$266,(MATCH('4.3 ACE EFF CAN'!AA$4,'7. PGE_Efficacité'!$A$4:$BU$4,0)+31),0)</f>
        <v>0</v>
      </c>
      <c r="AB131" s="365">
        <f>VLOOKUP($E131,'7. PGE_Efficacité'!$A$6:$BT$266,(MATCH('4.3 ACE EFF CAN'!AB$4,'7. PGE_Efficacité'!$A$4:$BU$4,0)+31),0)</f>
        <v>0</v>
      </c>
      <c r="AC131" s="365">
        <f>VLOOKUP($E131,'7. PGE_Efficacité'!$A$6:$BT$266,(MATCH('4.3 ACE EFF CAN'!AC$4,'7. PGE_Efficacité'!$A$4:$BU$4,0)+31),0)</f>
        <v>0</v>
      </c>
      <c r="AD131" s="365">
        <f>VLOOKUP($E131,'7. PGE_Efficacité'!$A$6:$BT$266,(MATCH('4.3 ACE EFF CAN'!AD$4,'7. PGE_Efficacité'!$A$4:$BU$4,0)+31),0)</f>
        <v>0</v>
      </c>
      <c r="AE131" s="365">
        <f>VLOOKUP($E131,'7. PGE_Efficacité'!$A$6:$BT$266,(MATCH('4.3 ACE EFF CAN'!AE$4,'7. PGE_Efficacité'!$A$4:$BU$4,0)+31),0)</f>
        <v>0</v>
      </c>
      <c r="AF131" s="365">
        <f>VLOOKUP($E131,'7. PGE_Efficacité'!$A$6:$BT$266,(MATCH('4.3 ACE EFF CAN'!AF$4,'7. PGE_Efficacité'!$A$4:$BU$4,0)+31),0)</f>
        <v>0</v>
      </c>
      <c r="AG131" s="365">
        <f>VLOOKUP($E131,'7. PGE_Efficacité'!$A$6:$BT$266,(MATCH('4.3 ACE EFF CAN'!AG$4,'7. PGE_Efficacité'!$A$4:$BU$4,0)+31),0)</f>
        <v>0</v>
      </c>
      <c r="AH131" s="365">
        <f>VLOOKUP($E131,'7. PGE_Efficacité'!$A$6:$BT$266,(MATCH('4.3 ACE EFF CAN'!AH$4,'7. PGE_Efficacité'!$A$4:$BU$4,0)+31),0)</f>
        <v>0</v>
      </c>
      <c r="AI131" s="365">
        <f>VLOOKUP($E131,'7. PGE_Efficacité'!$A$6:$BT$266,(MATCH('4.3 ACE EFF CAN'!AI$4,'7. PGE_Efficacité'!$A$4:$BU$4,0)+31),0)</f>
        <v>0</v>
      </c>
      <c r="AJ131" s="365">
        <f>VLOOKUP($E131,'7. PGE_Efficacité'!$A$6:$BT$266,(MATCH('4.3 ACE EFF CAN'!AJ$4,'7. PGE_Efficacité'!$A$4:$BU$4,0)+31),0)</f>
        <v>0</v>
      </c>
      <c r="AK131" s="365">
        <f>VLOOKUP($E131,'7. PGE_Efficacité'!$A$6:$BT$266,(MATCH('4.3 ACE EFF CAN'!AK$4,'7. PGE_Efficacité'!$A$4:$BU$4,0)+31),0)</f>
        <v>0</v>
      </c>
      <c r="AL131" s="365">
        <f>VLOOKUP($E131,'7. PGE_Efficacité'!$A$6:$BT$266,(MATCH('4.3 ACE EFF CAN'!AL$4,'7. PGE_Efficacité'!$A$4:$BU$4,0)+31),0)</f>
        <v>0</v>
      </c>
      <c r="AM131" s="365">
        <f>VLOOKUP($E131,'7. PGE_Efficacité'!$A$6:$BT$266,(MATCH('4.3 ACE EFF CAN'!AM$4,'7. PGE_Efficacité'!$A$4:$BU$4,0)+31),0)</f>
        <v>0</v>
      </c>
      <c r="AN131" s="365">
        <f>VLOOKUP($E131,'7. PGE_Efficacité'!$A$6:$BT$266,(MATCH('4.3 ACE EFF CAN'!AN$4,'7. PGE_Efficacité'!$A$4:$BU$4,0)+31),0)</f>
        <v>0</v>
      </c>
    </row>
    <row r="132" spans="1:40" outlineLevel="1" x14ac:dyDescent="0.25">
      <c r="A132" s="154"/>
      <c r="B132" s="154"/>
      <c r="C132" s="154"/>
      <c r="D132" s="360" t="s">
        <v>25</v>
      </c>
      <c r="E132" s="360"/>
      <c r="F132" s="361" t="s">
        <v>2957</v>
      </c>
      <c r="G132" s="360"/>
      <c r="H132" s="360"/>
      <c r="I132" s="362">
        <f>SUM(I133)</f>
        <v>2000</v>
      </c>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365"/>
      <c r="AL132" s="365"/>
      <c r="AM132" s="365"/>
      <c r="AN132" s="365"/>
    </row>
    <row r="133" spans="1:40" outlineLevel="3" x14ac:dyDescent="0.25">
      <c r="A133" s="154"/>
      <c r="B133" s="154"/>
      <c r="C133" s="154"/>
      <c r="D133" s="330" t="s">
        <v>25</v>
      </c>
      <c r="E133" s="330" t="s">
        <v>2603</v>
      </c>
      <c r="F133" s="330" t="s">
        <v>1998</v>
      </c>
      <c r="G133" s="330" t="s">
        <v>1521</v>
      </c>
      <c r="H133" s="330" t="s">
        <v>1290</v>
      </c>
      <c r="I133" s="364">
        <v>2000</v>
      </c>
      <c r="J133" s="365"/>
      <c r="K133" s="365"/>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c r="AK133" s="365"/>
      <c r="AL133" s="365"/>
      <c r="AM133" s="365"/>
      <c r="AN133" s="365"/>
    </row>
    <row r="134" spans="1:40" outlineLevel="1" x14ac:dyDescent="0.25">
      <c r="A134" s="154"/>
      <c r="B134" s="154"/>
      <c r="C134" s="154"/>
      <c r="D134" s="360" t="s">
        <v>26</v>
      </c>
      <c r="E134" s="360"/>
      <c r="F134" s="361" t="str">
        <f>VLOOKUP(D134,'1. Mesures'!$A$2:$B$116,2,0)</f>
        <v>Assurer la gestion des pollutions intra régionales et transfrontalières</v>
      </c>
      <c r="G134" s="360"/>
      <c r="H134" s="360"/>
      <c r="I134" s="362">
        <f>SUBTOTAL(9,I135:I135)</f>
        <v>1140</v>
      </c>
      <c r="J134" s="366">
        <f>VLOOKUP($D134,'7. PGE_Efficacité'!$A$6:$BT$266,(MATCH('4.3 ACE EFF CAN'!J$4,'7. PGE_Efficacité'!$A$4:$AO$4,0)+31),0)</f>
        <v>0</v>
      </c>
      <c r="K134" s="366" t="str">
        <f>VLOOKUP($D134,'7. PGE_Efficacité'!$A$6:$BT$266,(MATCH('4.3 ACE EFF CAN'!K$4,'7. PGE_Efficacité'!$A$4:$AO$4,0)+31),0)</f>
        <v>+</v>
      </c>
      <c r="L134" s="366" t="str">
        <f>VLOOKUP($D134,'7. PGE_Efficacité'!$A$6:$BT$266,(MATCH('4.3 ACE EFF CAN'!L$4,'7. PGE_Efficacité'!$A$4:$AO$4,0)+31),0)</f>
        <v>+</v>
      </c>
      <c r="M134" s="366" t="str">
        <f>VLOOKUP($D134,'7. PGE_Efficacité'!$A$6:$BT$266,(MATCH('4.3 ACE EFF CAN'!M$4,'7. PGE_Efficacité'!$A$4:$AO$4,0)+31),0)</f>
        <v>+</v>
      </c>
      <c r="N134" s="366" t="str">
        <f>VLOOKUP($D134,'7. PGE_Efficacité'!$A$6:$BT$266,(MATCH('4.3 ACE EFF CAN'!N$4,'7. PGE_Efficacité'!$A$4:$AO$4,0)+31),0)</f>
        <v>+</v>
      </c>
      <c r="O134" s="366" t="str">
        <f>VLOOKUP($D134,'7. PGE_Efficacité'!$A$6:$BT$266,47,0)</f>
        <v>+</v>
      </c>
      <c r="P134" s="366">
        <f>VLOOKUP($D134,'7. PGE_Efficacité'!$A$6:$BT$266,(MATCH('4.3 ACE EFF CAN'!P$4,'7. PGE_Efficacité'!$A$4:$AO$4,0)+31),0)</f>
        <v>0</v>
      </c>
      <c r="Q134" s="366" t="str">
        <f>VLOOKUP($D134,'7. PGE_Efficacité'!$A$6:$BT$266,(MATCH('4.3 ACE EFF CAN'!Q$4,'7. PGE_Efficacité'!$A$4:$AO$4,0)+31),0)</f>
        <v>+</v>
      </c>
      <c r="R134" s="366" t="str">
        <f>VLOOKUP($D134,'7. PGE_Efficacité'!$A$6:$BT$266,(MATCH('4.3 ACE EFF CAN'!R$4,'7. PGE_Efficacité'!$A$4:$AO$4,0)+31),0)</f>
        <v>+</v>
      </c>
      <c r="S134" s="366">
        <f>VLOOKUP($D134,'7. PGE_Efficacité'!$A$6:$BT$266,(MATCH('4.3 ACE EFF CAN'!S$4,'7. PGE_Efficacité'!$A$4:$AO$4,0)+31),0)</f>
        <v>0</v>
      </c>
      <c r="T134" s="366" t="str">
        <f>VLOOKUP($D134,'7. PGE_Efficacité'!$A$6:$BT$266,(MATCH('4.3 ACE EFF CAN'!T$4,'7. PGE_Efficacité'!$A$4:$AO$4,0)+31),0)</f>
        <v>+</v>
      </c>
      <c r="U134" s="366" t="str">
        <f>VLOOKUP($D134,'7. PGE_Efficacité'!$A$6:$BT$266,(MATCH('4.3 ACE EFF CAN'!U$4,'7. PGE_Efficacité'!$A$4:$AO$4,0)+31),0)</f>
        <v>+</v>
      </c>
      <c r="V134" s="366" t="str">
        <f>VLOOKUP($D134,'7. PGE_Efficacité'!$A$6:$BT$266,(MATCH('4.3 ACE EFF CAN'!V$4,'7. PGE_Efficacité'!$A$4:$AO$4,0)+31),0)</f>
        <v>+</v>
      </c>
      <c r="W134" s="366" t="str">
        <f>VLOOKUP($D134,'7. PGE_Efficacité'!$A$6:$BT$266,(MATCH('4.3 ACE EFF CAN'!W$4,'7. PGE_Efficacité'!$A$4:$AO$4,0)+31),0)</f>
        <v>+</v>
      </c>
      <c r="X134" s="366">
        <f>VLOOKUP($D134,'7. PGE_Efficacité'!$A$6:$BT$266,(MATCH('4.3 ACE EFF CAN'!X$4,'7. PGE_Efficacité'!$A$4:$AO$4,0)+31),0)</f>
        <v>0</v>
      </c>
      <c r="Y134" s="366" t="str">
        <f>VLOOKUP($D134,'7. PGE_Efficacité'!$A$6:$BT$266,(MATCH('4.3 ACE EFF CAN'!Y$4,'7. PGE_Efficacité'!$A$4:$AO$4,0)+31),0)</f>
        <v>+</v>
      </c>
      <c r="Z134" s="366" t="str">
        <f>VLOOKUP($D134,'7. PGE_Efficacité'!$A$6:$BT$266,(MATCH('4.3 ACE EFF CAN'!Z$4,'7. PGE_Efficacité'!$A$4:$AO$4,0)+31),0)</f>
        <v>+</v>
      </c>
      <c r="AA134" s="366">
        <f>VLOOKUP($D134,'7. PGE_Efficacité'!$A$6:$BT$266,(MATCH('4.3 ACE EFF CAN'!AA$4,'7. PGE_Efficacité'!$A$4:$AO$4,0)+31),0)</f>
        <v>0</v>
      </c>
      <c r="AB134" s="366">
        <f>VLOOKUP($D134,'7. PGE_Efficacité'!$A$6:$BT$266,(MATCH('4.3 ACE EFF CAN'!AB$4,'7. PGE_Efficacité'!$A$4:$AO$4,0)+31),0)</f>
        <v>0</v>
      </c>
      <c r="AC134" s="366">
        <f>VLOOKUP($D134,'7. PGE_Efficacité'!$A$6:$BT$266,(MATCH('4.3 ACE EFF CAN'!AC$4,'7. PGE_Efficacité'!$A$4:$AO$4,0)+31),0)</f>
        <v>0</v>
      </c>
      <c r="AD134" s="366">
        <f>VLOOKUP($D134,'7. PGE_Efficacité'!$A$6:$BT$266,(MATCH('4.3 ACE EFF CAN'!AD$4,'7. PGE_Efficacité'!$A$4:$AO$4,0)+31),0)</f>
        <v>0</v>
      </c>
      <c r="AE134" s="366">
        <f>VLOOKUP($D134,'7. PGE_Efficacité'!$A$6:$BT$266,(MATCH('4.3 ACE EFF CAN'!AE$4,'7. PGE_Efficacité'!$A$4:$AO$4,0)+31),0)</f>
        <v>0</v>
      </c>
      <c r="AF134" s="366">
        <f>VLOOKUP($D134,'7. PGE_Efficacité'!$A$6:$BT$266,(MATCH('4.3 ACE EFF CAN'!AF$4,'7. PGE_Efficacité'!$A$4:$AO$4,0)+31),0)</f>
        <v>0</v>
      </c>
      <c r="AG134" s="366">
        <f>VLOOKUP($D134,'7. PGE_Efficacité'!$A$6:$BT$266,(MATCH('4.3 ACE EFF CAN'!AG$4,'7. PGE_Efficacité'!$A$4:$AO$4,0)+31),0)</f>
        <v>0</v>
      </c>
      <c r="AH134" s="366">
        <f>VLOOKUP($D134,'7. PGE_Efficacité'!$A$6:$BT$266,(MATCH('4.3 ACE EFF CAN'!AH$4,'7. PGE_Efficacité'!$A$4:$AO$4,0)+31),0)</f>
        <v>0</v>
      </c>
      <c r="AI134" s="366">
        <f>VLOOKUP($D134,'7. PGE_Efficacité'!$A$6:$BT$266,(MATCH('4.3 ACE EFF CAN'!AI$4,'7. PGE_Efficacité'!$A$4:$AO$4,0)+31),0)</f>
        <v>0</v>
      </c>
      <c r="AJ134" s="366">
        <f>VLOOKUP($D134,'7. PGE_Efficacité'!$A$6:$BT$266,(MATCH('4.3 ACE EFF CAN'!AJ$4,'7. PGE_Efficacité'!$A$4:$AO$4,0)+31),0)</f>
        <v>0</v>
      </c>
      <c r="AK134" s="366" t="str">
        <f>VLOOKUP($D134,'7. PGE_Efficacité'!$A$6:$BT$266,(MATCH('4.3 ACE EFF CAN'!AK$4,'7. PGE_Efficacité'!$A$4:$AO$4,0)+31),0)</f>
        <v>+</v>
      </c>
      <c r="AL134" s="366">
        <f>VLOOKUP($D134,'7. PGE_Efficacité'!$A$6:$BT$266,(MATCH('4.3 ACE EFF CAN'!AL$4,'7. PGE_Efficacité'!$A$4:$AO$4,0)+31),0)</f>
        <v>0</v>
      </c>
      <c r="AM134" s="366" t="str">
        <f>VLOOKUP($D134,'7. PGE_Efficacité'!$A$6:$BT$266,(MATCH('4.3 ACE EFF CAN'!AM$4,'7. PGE_Efficacité'!$A$4:$AO$4,0)+31),0)</f>
        <v>+</v>
      </c>
      <c r="AN134" s="366" t="str">
        <f>VLOOKUP($D134,'7. PGE_Efficacité'!$A$6:$BT$266,(MATCH('4.3 ACE EFF CAN'!AN$4,'7. PGE_Efficacité'!$A$4:$AO$4,0)+31),0)</f>
        <v>+</v>
      </c>
    </row>
    <row r="135" spans="1:40" outlineLevel="2" x14ac:dyDescent="0.25">
      <c r="A135" s="154" t="s">
        <v>1524</v>
      </c>
      <c r="B135" s="154">
        <v>25</v>
      </c>
      <c r="C135" s="154" t="s">
        <v>1524</v>
      </c>
      <c r="D135" s="330" t="s">
        <v>26</v>
      </c>
      <c r="E135" s="330" t="s">
        <v>757</v>
      </c>
      <c r="F135" s="330" t="s">
        <v>1645</v>
      </c>
      <c r="G135" s="330" t="s">
        <v>1521</v>
      </c>
      <c r="H135" s="330" t="s">
        <v>1290</v>
      </c>
      <c r="I135" s="364">
        <f>22800*0.05</f>
        <v>1140</v>
      </c>
      <c r="J135" s="366">
        <f>VLOOKUP($E135,'7. PGE_Efficacité'!$A$6:$BT$266,(MATCH('4.3 ACE EFF CAN'!J$4,'7. PGE_Efficacité'!$A$4:$BU$4,0)+31),0)</f>
        <v>0</v>
      </c>
      <c r="K135" s="366">
        <f>VLOOKUP($E135,'7. PGE_Efficacité'!$A$6:$BT$266,(MATCH('4.3 ACE EFF CAN'!K$4,'7. PGE_Efficacité'!$A$4:$BU$4,0)+31),0)</f>
        <v>0</v>
      </c>
      <c r="L135" s="366">
        <f>VLOOKUP($E135,'7. PGE_Efficacité'!$A$6:$BT$266,(MATCH('4.3 ACE EFF CAN'!L$4,'7. PGE_Efficacité'!$A$4:$BU$4,0)+31),0)</f>
        <v>0</v>
      </c>
      <c r="M135" s="366">
        <f>VLOOKUP($E135,'7. PGE_Efficacité'!$A$6:$BT$266,(MATCH('4.3 ACE EFF CAN'!M$4,'7. PGE_Efficacité'!$A$4:$BU$4,0)+31),0)</f>
        <v>0</v>
      </c>
      <c r="N135" s="366">
        <f>VLOOKUP($E135,'7. PGE_Efficacité'!$A$6:$BT$266,(MATCH('4.3 ACE EFF CAN'!N$4,'7. PGE_Efficacité'!$A$4:$BU$4,0)+31),0)</f>
        <v>0</v>
      </c>
      <c r="O135" s="366">
        <f>VLOOKUP($E135,'7. PGE_Efficacité'!$A$6:$BT$266,(MATCH('4.3 ACE EFF CAN'!O$4,'7. PGE_Efficacité'!$A$4:$BU$4,0)+31),0)</f>
        <v>0</v>
      </c>
      <c r="P135" s="366">
        <f>VLOOKUP($E135,'7. PGE_Efficacité'!$A$6:$BT$266,(MATCH('4.3 ACE EFF CAN'!P$4,'7. PGE_Efficacité'!$A$4:$BU$4,0)+31),0)</f>
        <v>0</v>
      </c>
      <c r="Q135" s="366">
        <f>VLOOKUP($E135,'7. PGE_Efficacité'!$A$6:$BT$266,(MATCH('4.3 ACE EFF CAN'!Q$4,'7. PGE_Efficacité'!$A$4:$BU$4,0)+31),0)</f>
        <v>0</v>
      </c>
      <c r="R135" s="366">
        <f>VLOOKUP($E135,'7. PGE_Efficacité'!$A$6:$BT$266,(MATCH('4.3 ACE EFF CAN'!R$4,'7. PGE_Efficacité'!$A$4:$BU$4,0)+31),0)</f>
        <v>0</v>
      </c>
      <c r="S135" s="366">
        <f>VLOOKUP($E135,'7. PGE_Efficacité'!$A$6:$BT$266,(MATCH('4.3 ACE EFF CAN'!S$4,'7. PGE_Efficacité'!$A$4:$BU$4,0)+31),0)</f>
        <v>0</v>
      </c>
      <c r="T135" s="366">
        <f>VLOOKUP($E135,'7. PGE_Efficacité'!$A$6:$BT$266,(MATCH('4.3 ACE EFF CAN'!T$4,'7. PGE_Efficacité'!$A$4:$BU$4,0)+31),0)</f>
        <v>0</v>
      </c>
      <c r="U135" s="366">
        <f>VLOOKUP($E135,'7. PGE_Efficacité'!$A$6:$BT$266,(MATCH('4.3 ACE EFF CAN'!U$4,'7. PGE_Efficacité'!$A$4:$BU$4,0)+31),0)</f>
        <v>0</v>
      </c>
      <c r="V135" s="366">
        <f>VLOOKUP($E135,'7. PGE_Efficacité'!$A$6:$BT$266,(MATCH('4.3 ACE EFF CAN'!V$4,'7. PGE_Efficacité'!$A$4:$BU$4,0)+31),0)</f>
        <v>0</v>
      </c>
      <c r="W135" s="366">
        <f>VLOOKUP($E135,'7. PGE_Efficacité'!$A$6:$BT$266,(MATCH('4.3 ACE EFF CAN'!W$4,'7. PGE_Efficacité'!$A$4:$BU$4,0)+31),0)</f>
        <v>0</v>
      </c>
      <c r="X135" s="366">
        <f>VLOOKUP($E135,'7. PGE_Efficacité'!$A$6:$BT$266,(MATCH('4.3 ACE EFF CAN'!X$4,'7. PGE_Efficacité'!$A$4:$BU$4,0)+31),0)</f>
        <v>0</v>
      </c>
      <c r="Y135" s="366">
        <f>VLOOKUP($E135,'7. PGE_Efficacité'!$A$6:$BT$266,(MATCH('4.3 ACE EFF CAN'!Y$4,'7. PGE_Efficacité'!$A$4:$BU$4,0)+31),0)</f>
        <v>0</v>
      </c>
      <c r="Z135" s="366">
        <f>VLOOKUP($E135,'7. PGE_Efficacité'!$A$6:$BT$266,(MATCH('4.3 ACE EFF CAN'!Z$4,'7. PGE_Efficacité'!$A$4:$BU$4,0)+31),0)</f>
        <v>0</v>
      </c>
      <c r="AA135" s="366">
        <f>VLOOKUP($E135,'7. PGE_Efficacité'!$A$6:$BT$266,(MATCH('4.3 ACE EFF CAN'!AA$4,'7. PGE_Efficacité'!$A$4:$BU$4,0)+31),0)</f>
        <v>0</v>
      </c>
      <c r="AB135" s="366">
        <f>VLOOKUP($E135,'7. PGE_Efficacité'!$A$6:$BT$266,(MATCH('4.3 ACE EFF CAN'!AB$4,'7. PGE_Efficacité'!$A$4:$BU$4,0)+31),0)</f>
        <v>0</v>
      </c>
      <c r="AC135" s="366">
        <f>VLOOKUP($E135,'7. PGE_Efficacité'!$A$6:$BT$266,(MATCH('4.3 ACE EFF CAN'!AC$4,'7. PGE_Efficacité'!$A$4:$BU$4,0)+31),0)</f>
        <v>0</v>
      </c>
      <c r="AD135" s="366">
        <f>VLOOKUP($E135,'7. PGE_Efficacité'!$A$6:$BT$266,(MATCH('4.3 ACE EFF CAN'!AD$4,'7. PGE_Efficacité'!$A$4:$BU$4,0)+31),0)</f>
        <v>0</v>
      </c>
      <c r="AE135" s="366">
        <f>VLOOKUP($E135,'7. PGE_Efficacité'!$A$6:$BT$266,(MATCH('4.3 ACE EFF CAN'!AE$4,'7. PGE_Efficacité'!$A$4:$BU$4,0)+31),0)</f>
        <v>0</v>
      </c>
      <c r="AF135" s="366">
        <f>VLOOKUP($E135,'7. PGE_Efficacité'!$A$6:$BT$266,(MATCH('4.3 ACE EFF CAN'!AF$4,'7. PGE_Efficacité'!$A$4:$BU$4,0)+31),0)</f>
        <v>0</v>
      </c>
      <c r="AG135" s="366">
        <f>VLOOKUP($E135,'7. PGE_Efficacité'!$A$6:$BT$266,(MATCH('4.3 ACE EFF CAN'!AG$4,'7. PGE_Efficacité'!$A$4:$BU$4,0)+31),0)</f>
        <v>0</v>
      </c>
      <c r="AH135" s="366">
        <f>VLOOKUP($E135,'7. PGE_Efficacité'!$A$6:$BT$266,(MATCH('4.3 ACE EFF CAN'!AH$4,'7. PGE_Efficacité'!$A$4:$BU$4,0)+31),0)</f>
        <v>0</v>
      </c>
      <c r="AI135" s="366">
        <f>VLOOKUP($E135,'7. PGE_Efficacité'!$A$6:$BT$266,(MATCH('4.3 ACE EFF CAN'!AI$4,'7. PGE_Efficacité'!$A$4:$BU$4,0)+31),0)</f>
        <v>0</v>
      </c>
      <c r="AJ135" s="366">
        <f>VLOOKUP($E135,'7. PGE_Efficacité'!$A$6:$BT$266,(MATCH('4.3 ACE EFF CAN'!AJ$4,'7. PGE_Efficacité'!$A$4:$BU$4,0)+31),0)</f>
        <v>0</v>
      </c>
      <c r="AK135" s="366">
        <f>VLOOKUP($E135,'7. PGE_Efficacité'!$A$6:$BT$266,(MATCH('4.3 ACE EFF CAN'!AK$4,'7. PGE_Efficacité'!$A$4:$BU$4,0)+31),0)</f>
        <v>0</v>
      </c>
      <c r="AL135" s="366">
        <f>VLOOKUP($E135,'7. PGE_Efficacité'!$A$6:$BT$266,(MATCH('4.3 ACE EFF CAN'!AL$4,'7. PGE_Efficacité'!$A$4:$BU$4,0)+31),0)</f>
        <v>0</v>
      </c>
      <c r="AM135" s="366">
        <f>VLOOKUP($E135,'7. PGE_Efficacité'!$A$6:$BT$266,(MATCH('4.3 ACE EFF CAN'!AM$4,'7. PGE_Efficacité'!$A$4:$BU$4,0)+31),0)</f>
        <v>0</v>
      </c>
      <c r="AN135" s="366">
        <f>VLOOKUP($E135,'7. PGE_Efficacité'!$A$6:$BT$266,(MATCH('4.3 ACE EFF CAN'!AN$4,'7. PGE_Efficacité'!$A$4:$BU$4,0)+31),0)</f>
        <v>0</v>
      </c>
    </row>
    <row r="136" spans="1:40" ht="26.25" outlineLevel="1" x14ac:dyDescent="0.25">
      <c r="A136" s="154"/>
      <c r="B136" s="154"/>
      <c r="C136" s="154"/>
      <c r="D136" s="360" t="s">
        <v>27</v>
      </c>
      <c r="E136" s="360"/>
      <c r="F136" s="361" t="str">
        <f>VLOOKUP(D136,'1. Mesures'!$A$2:$B$116,2,0)</f>
        <v>Identifier les opportunités de connexion au réseau hydrographique des eaux claires actuellement perdues par temps sec dans le réseau d’égouttage et définir un débit minimum écologique et une hauteur d'eau minimale pour les masses d'eau</v>
      </c>
      <c r="G136" s="360"/>
      <c r="H136" s="360"/>
      <c r="I136" s="362">
        <f>SUBTOTAL(9,I137:I137)</f>
        <v>0</v>
      </c>
      <c r="J136" s="366">
        <f>VLOOKUP($D136,'7. PGE_Efficacité'!$A$6:$BT$266,(MATCH('4.3 ACE EFF CAN'!J$4,'7. PGE_Efficacité'!$A$4:$AO$4,0)+31),0)</f>
        <v>0</v>
      </c>
      <c r="K136" s="366" t="str">
        <f>VLOOKUP($D136,'7. PGE_Efficacité'!$A$6:$BT$266,(MATCH('4.3 ACE EFF CAN'!K$4,'7. PGE_Efficacité'!$A$4:$AO$4,0)+31),0)</f>
        <v>+</v>
      </c>
      <c r="L136" s="366" t="str">
        <f>VLOOKUP($D136,'7. PGE_Efficacité'!$A$6:$BT$266,(MATCH('4.3 ACE EFF CAN'!L$4,'7. PGE_Efficacité'!$A$4:$AO$4,0)+31),0)</f>
        <v>+</v>
      </c>
      <c r="M136" s="366" t="str">
        <f>VLOOKUP($D136,'7. PGE_Efficacité'!$A$6:$BT$266,(MATCH('4.3 ACE EFF CAN'!M$4,'7. PGE_Efficacité'!$A$4:$AO$4,0)+31),0)</f>
        <v>+</v>
      </c>
      <c r="N136" s="366" t="str">
        <f>VLOOKUP($D136,'7. PGE_Efficacité'!$A$6:$BT$266,(MATCH('4.3 ACE EFF CAN'!N$4,'7. PGE_Efficacité'!$A$4:$AO$4,0)+31),0)</f>
        <v>+</v>
      </c>
      <c r="O136" s="366" t="str">
        <f>VLOOKUP($D136,'7. PGE_Efficacité'!$A$6:$BT$266,47,0)</f>
        <v>+</v>
      </c>
      <c r="P136" s="366">
        <f>VLOOKUP($D136,'7. PGE_Efficacité'!$A$6:$BT$266,(MATCH('4.3 ACE EFF CAN'!P$4,'7. PGE_Efficacité'!$A$4:$AO$4,0)+31),0)</f>
        <v>0</v>
      </c>
      <c r="Q136" s="366" t="str">
        <f>VLOOKUP($D136,'7. PGE_Efficacité'!$A$6:$BT$266,(MATCH('4.3 ACE EFF CAN'!Q$4,'7. PGE_Efficacité'!$A$4:$AO$4,0)+31),0)</f>
        <v>+</v>
      </c>
      <c r="R136" s="366" t="str">
        <f>VLOOKUP($D136,'7. PGE_Efficacité'!$A$6:$BT$266,(MATCH('4.3 ACE EFF CAN'!R$4,'7. PGE_Efficacité'!$A$4:$AO$4,0)+31),0)</f>
        <v>+</v>
      </c>
      <c r="S136" s="366">
        <f>VLOOKUP($D136,'7. PGE_Efficacité'!$A$6:$BT$266,(MATCH('4.3 ACE EFF CAN'!S$4,'7. PGE_Efficacité'!$A$4:$AO$4,0)+31),0)</f>
        <v>0</v>
      </c>
      <c r="T136" s="366" t="str">
        <f>VLOOKUP($D136,'7. PGE_Efficacité'!$A$6:$BT$266,(MATCH('4.3 ACE EFF CAN'!T$4,'7. PGE_Efficacité'!$A$4:$AO$4,0)+31),0)</f>
        <v>+</v>
      </c>
      <c r="U136" s="366" t="str">
        <f>VLOOKUP($D136,'7. PGE_Efficacité'!$A$6:$BT$266,(MATCH('4.3 ACE EFF CAN'!U$4,'7. PGE_Efficacité'!$A$4:$AO$4,0)+31),0)</f>
        <v>+</v>
      </c>
      <c r="V136" s="366" t="str">
        <f>VLOOKUP($D136,'7. PGE_Efficacité'!$A$6:$BT$266,(MATCH('4.3 ACE EFF CAN'!V$4,'7. PGE_Efficacité'!$A$4:$AO$4,0)+31),0)</f>
        <v>+</v>
      </c>
      <c r="W136" s="366" t="str">
        <f>VLOOKUP($D136,'7. PGE_Efficacité'!$A$6:$BT$266,(MATCH('4.3 ACE EFF CAN'!W$4,'7. PGE_Efficacité'!$A$4:$AO$4,0)+31),0)</f>
        <v>+</v>
      </c>
      <c r="X136" s="366">
        <f>VLOOKUP($D136,'7. PGE_Efficacité'!$A$6:$BT$266,(MATCH('4.3 ACE EFF CAN'!X$4,'7. PGE_Efficacité'!$A$4:$AO$4,0)+31),0)</f>
        <v>0</v>
      </c>
      <c r="Y136" s="366" t="str">
        <f>VLOOKUP($D136,'7. PGE_Efficacité'!$A$6:$BT$266,(MATCH('4.3 ACE EFF CAN'!Y$4,'7. PGE_Efficacité'!$A$4:$AO$4,0)+31),0)</f>
        <v>+</v>
      </c>
      <c r="Z136" s="366" t="str">
        <f>VLOOKUP($D136,'7. PGE_Efficacité'!$A$6:$BT$266,(MATCH('4.3 ACE EFF CAN'!Z$4,'7. PGE_Efficacité'!$A$4:$AO$4,0)+31),0)</f>
        <v>+</v>
      </c>
      <c r="AA136" s="366">
        <f>VLOOKUP($D136,'7. PGE_Efficacité'!$A$6:$BT$266,(MATCH('4.3 ACE EFF CAN'!AA$4,'7. PGE_Efficacité'!$A$4:$AO$4,0)+31),0)</f>
        <v>0</v>
      </c>
      <c r="AB136" s="366">
        <f>VLOOKUP($D136,'7. PGE_Efficacité'!$A$6:$BT$266,(MATCH('4.3 ACE EFF CAN'!AB$4,'7. PGE_Efficacité'!$A$4:$AO$4,0)+31),0)</f>
        <v>0</v>
      </c>
      <c r="AC136" s="366">
        <f>VLOOKUP($D136,'7. PGE_Efficacité'!$A$6:$BT$266,(MATCH('4.3 ACE EFF CAN'!AC$4,'7. PGE_Efficacité'!$A$4:$AO$4,0)+31),0)</f>
        <v>0</v>
      </c>
      <c r="AD136" s="366">
        <f>VLOOKUP($D136,'7. PGE_Efficacité'!$A$6:$BT$266,(MATCH('4.3 ACE EFF CAN'!AD$4,'7. PGE_Efficacité'!$A$4:$AO$4,0)+31),0)</f>
        <v>0</v>
      </c>
      <c r="AE136" s="366">
        <f>VLOOKUP($D136,'7. PGE_Efficacité'!$A$6:$BT$266,(MATCH('4.3 ACE EFF CAN'!AE$4,'7. PGE_Efficacité'!$A$4:$AO$4,0)+31),0)</f>
        <v>0</v>
      </c>
      <c r="AF136" s="366">
        <f>VLOOKUP($D136,'7. PGE_Efficacité'!$A$6:$BT$266,(MATCH('4.3 ACE EFF CAN'!AF$4,'7. PGE_Efficacité'!$A$4:$AO$4,0)+31),0)</f>
        <v>0</v>
      </c>
      <c r="AG136" s="366">
        <f>VLOOKUP($D136,'7. PGE_Efficacité'!$A$6:$BT$266,(MATCH('4.3 ACE EFF CAN'!AG$4,'7. PGE_Efficacité'!$A$4:$AO$4,0)+31),0)</f>
        <v>0</v>
      </c>
      <c r="AH136" s="366">
        <f>VLOOKUP($D136,'7. PGE_Efficacité'!$A$6:$BT$266,(MATCH('4.3 ACE EFF CAN'!AH$4,'7. PGE_Efficacité'!$A$4:$AO$4,0)+31),0)</f>
        <v>0</v>
      </c>
      <c r="AI136" s="366">
        <f>VLOOKUP($D136,'7. PGE_Efficacité'!$A$6:$BT$266,(MATCH('4.3 ACE EFF CAN'!AI$4,'7. PGE_Efficacité'!$A$4:$AO$4,0)+31),0)</f>
        <v>0</v>
      </c>
      <c r="AJ136" s="366">
        <f>VLOOKUP($D136,'7. PGE_Efficacité'!$A$6:$BT$266,(MATCH('4.3 ACE EFF CAN'!AJ$4,'7. PGE_Efficacité'!$A$4:$AO$4,0)+31),0)</f>
        <v>0</v>
      </c>
      <c r="AK136" s="366" t="str">
        <f>VLOOKUP($D136,'7. PGE_Efficacité'!$A$6:$BT$266,(MATCH('4.3 ACE EFF CAN'!AK$4,'7. PGE_Efficacité'!$A$4:$AO$4,0)+31),0)</f>
        <v>+</v>
      </c>
      <c r="AL136" s="366">
        <f>VLOOKUP($D136,'7. PGE_Efficacité'!$A$6:$BT$266,(MATCH('4.3 ACE EFF CAN'!AL$4,'7. PGE_Efficacité'!$A$4:$AO$4,0)+31),0)</f>
        <v>0</v>
      </c>
      <c r="AM136" s="366" t="str">
        <f>VLOOKUP($D136,'7. PGE_Efficacité'!$A$6:$BT$266,(MATCH('4.3 ACE EFF CAN'!AM$4,'7. PGE_Efficacité'!$A$4:$AO$4,0)+31),0)</f>
        <v>+</v>
      </c>
      <c r="AN136" s="366" t="str">
        <f>VLOOKUP($D136,'7. PGE_Efficacité'!$A$6:$BT$266,(MATCH('4.3 ACE EFF CAN'!AN$4,'7. PGE_Efficacité'!$A$4:$AO$4,0)+31),0)</f>
        <v>+</v>
      </c>
    </row>
    <row r="137" spans="1:40" outlineLevel="2" x14ac:dyDescent="0.25">
      <c r="A137" s="154" t="s">
        <v>1524</v>
      </c>
      <c r="B137" s="154">
        <v>26</v>
      </c>
      <c r="C137" s="154" t="s">
        <v>1524</v>
      </c>
      <c r="D137" s="330" t="s">
        <v>27</v>
      </c>
      <c r="E137" s="330" t="s">
        <v>763</v>
      </c>
      <c r="F137" s="330" t="s">
        <v>2020</v>
      </c>
      <c r="G137" s="330" t="s">
        <v>1521</v>
      </c>
      <c r="H137" s="330" t="s">
        <v>1290</v>
      </c>
      <c r="I137" s="364">
        <v>0</v>
      </c>
      <c r="J137" s="365">
        <f>VLOOKUP($E137,'7. PGE_Efficacité'!$A$6:$BT$266,(MATCH('4.3 ACE EFF CAN'!J$4,'7. PGE_Efficacité'!$A$4:$BU$4,0)+31),0)</f>
        <v>0</v>
      </c>
      <c r="K137" s="365">
        <f>VLOOKUP($E137,'7. PGE_Efficacité'!$A$6:$BT$266,(MATCH('4.3 ACE EFF CAN'!K$4,'7. PGE_Efficacité'!$A$4:$BU$4,0)+31),0)</f>
        <v>0</v>
      </c>
      <c r="L137" s="365">
        <f>VLOOKUP($E137,'7. PGE_Efficacité'!$A$6:$BT$266,(MATCH('4.3 ACE EFF CAN'!L$4,'7. PGE_Efficacité'!$A$4:$BU$4,0)+31),0)</f>
        <v>0</v>
      </c>
      <c r="M137" s="365">
        <f>VLOOKUP($E137,'7. PGE_Efficacité'!$A$6:$BT$266,(MATCH('4.3 ACE EFF CAN'!M$4,'7. PGE_Efficacité'!$A$4:$BU$4,0)+31),0)</f>
        <v>0</v>
      </c>
      <c r="N137" s="365">
        <f>VLOOKUP($E137,'7. PGE_Efficacité'!$A$6:$BT$266,(MATCH('4.3 ACE EFF CAN'!N$4,'7. PGE_Efficacité'!$A$4:$BU$4,0)+31),0)</f>
        <v>0</v>
      </c>
      <c r="O137" s="365">
        <f>VLOOKUP($E137,'7. PGE_Efficacité'!$A$6:$BT$266,(MATCH('4.3 ACE EFF CAN'!O$4,'7. PGE_Efficacité'!$A$4:$BU$4,0)+31),0)</f>
        <v>0</v>
      </c>
      <c r="P137" s="365">
        <f>VLOOKUP($E137,'7. PGE_Efficacité'!$A$6:$BT$266,(MATCH('4.3 ACE EFF CAN'!P$4,'7. PGE_Efficacité'!$A$4:$BU$4,0)+31),0)</f>
        <v>0</v>
      </c>
      <c r="Q137" s="365">
        <f>VLOOKUP($E137,'7. PGE_Efficacité'!$A$6:$BT$266,(MATCH('4.3 ACE EFF CAN'!Q$4,'7. PGE_Efficacité'!$A$4:$BU$4,0)+31),0)</f>
        <v>0</v>
      </c>
      <c r="R137" s="365">
        <f>VLOOKUP($E137,'7. PGE_Efficacité'!$A$6:$BT$266,(MATCH('4.3 ACE EFF CAN'!R$4,'7. PGE_Efficacité'!$A$4:$BU$4,0)+31),0)</f>
        <v>0</v>
      </c>
      <c r="S137" s="365">
        <f>VLOOKUP($E137,'7. PGE_Efficacité'!$A$6:$BT$266,(MATCH('4.3 ACE EFF CAN'!S$4,'7. PGE_Efficacité'!$A$4:$BU$4,0)+31),0)</f>
        <v>0</v>
      </c>
      <c r="T137" s="365">
        <f>VLOOKUP($E137,'7. PGE_Efficacité'!$A$6:$BT$266,(MATCH('4.3 ACE EFF CAN'!T$4,'7. PGE_Efficacité'!$A$4:$BU$4,0)+31),0)</f>
        <v>0</v>
      </c>
      <c r="U137" s="365">
        <f>VLOOKUP($E137,'7. PGE_Efficacité'!$A$6:$BT$266,(MATCH('4.3 ACE EFF CAN'!U$4,'7. PGE_Efficacité'!$A$4:$BU$4,0)+31),0)</f>
        <v>0</v>
      </c>
      <c r="V137" s="365">
        <f>VLOOKUP($E137,'7. PGE_Efficacité'!$A$6:$BT$266,(MATCH('4.3 ACE EFF CAN'!V$4,'7. PGE_Efficacité'!$A$4:$BU$4,0)+31),0)</f>
        <v>0</v>
      </c>
      <c r="W137" s="365">
        <f>VLOOKUP($E137,'7. PGE_Efficacité'!$A$6:$BT$266,(MATCH('4.3 ACE EFF CAN'!W$4,'7. PGE_Efficacité'!$A$4:$BU$4,0)+31),0)</f>
        <v>0</v>
      </c>
      <c r="X137" s="365">
        <f>VLOOKUP($E137,'7. PGE_Efficacité'!$A$6:$BT$266,(MATCH('4.3 ACE EFF CAN'!X$4,'7. PGE_Efficacité'!$A$4:$BU$4,0)+31),0)</f>
        <v>0</v>
      </c>
      <c r="Y137" s="365">
        <f>VLOOKUP($E137,'7. PGE_Efficacité'!$A$6:$BT$266,(MATCH('4.3 ACE EFF CAN'!Y$4,'7. PGE_Efficacité'!$A$4:$BU$4,0)+31),0)</f>
        <v>0</v>
      </c>
      <c r="Z137" s="365">
        <f>VLOOKUP($E137,'7. PGE_Efficacité'!$A$6:$BT$266,(MATCH('4.3 ACE EFF CAN'!Z$4,'7. PGE_Efficacité'!$A$4:$BU$4,0)+31),0)</f>
        <v>0</v>
      </c>
      <c r="AA137" s="365">
        <f>VLOOKUP($E137,'7. PGE_Efficacité'!$A$6:$BT$266,(MATCH('4.3 ACE EFF CAN'!AA$4,'7. PGE_Efficacité'!$A$4:$BU$4,0)+31),0)</f>
        <v>0</v>
      </c>
      <c r="AB137" s="365">
        <f>VLOOKUP($E137,'7. PGE_Efficacité'!$A$6:$BT$266,(MATCH('4.3 ACE EFF CAN'!AB$4,'7. PGE_Efficacité'!$A$4:$BU$4,0)+31),0)</f>
        <v>0</v>
      </c>
      <c r="AC137" s="365">
        <f>VLOOKUP($E137,'7. PGE_Efficacité'!$A$6:$BT$266,(MATCH('4.3 ACE EFF CAN'!AC$4,'7. PGE_Efficacité'!$A$4:$BU$4,0)+31),0)</f>
        <v>0</v>
      </c>
      <c r="AD137" s="365">
        <f>VLOOKUP($E137,'7. PGE_Efficacité'!$A$6:$BT$266,(MATCH('4.3 ACE EFF CAN'!AD$4,'7. PGE_Efficacité'!$A$4:$BU$4,0)+31),0)</f>
        <v>0</v>
      </c>
      <c r="AE137" s="365">
        <f>VLOOKUP($E137,'7. PGE_Efficacité'!$A$6:$BT$266,(MATCH('4.3 ACE EFF CAN'!AE$4,'7. PGE_Efficacité'!$A$4:$BU$4,0)+31),0)</f>
        <v>0</v>
      </c>
      <c r="AF137" s="365">
        <f>VLOOKUP($E137,'7. PGE_Efficacité'!$A$6:$BT$266,(MATCH('4.3 ACE EFF CAN'!AF$4,'7. PGE_Efficacité'!$A$4:$BU$4,0)+31),0)</f>
        <v>0</v>
      </c>
      <c r="AG137" s="365">
        <f>VLOOKUP($E137,'7. PGE_Efficacité'!$A$6:$BT$266,(MATCH('4.3 ACE EFF CAN'!AG$4,'7. PGE_Efficacité'!$A$4:$BU$4,0)+31),0)</f>
        <v>0</v>
      </c>
      <c r="AH137" s="365">
        <f>VLOOKUP($E137,'7. PGE_Efficacité'!$A$6:$BT$266,(MATCH('4.3 ACE EFF CAN'!AH$4,'7. PGE_Efficacité'!$A$4:$BU$4,0)+31),0)</f>
        <v>0</v>
      </c>
      <c r="AI137" s="365">
        <f>VLOOKUP($E137,'7. PGE_Efficacité'!$A$6:$BT$266,(MATCH('4.3 ACE EFF CAN'!AI$4,'7. PGE_Efficacité'!$A$4:$BU$4,0)+31),0)</f>
        <v>0</v>
      </c>
      <c r="AJ137" s="365">
        <f>VLOOKUP($E137,'7. PGE_Efficacité'!$A$6:$BT$266,(MATCH('4.3 ACE EFF CAN'!AJ$4,'7. PGE_Efficacité'!$A$4:$BU$4,0)+31),0)</f>
        <v>0</v>
      </c>
      <c r="AK137" s="365">
        <f>VLOOKUP($E137,'7. PGE_Efficacité'!$A$6:$BT$266,(MATCH('4.3 ACE EFF CAN'!AK$4,'7. PGE_Efficacité'!$A$4:$BU$4,0)+31),0)</f>
        <v>0</v>
      </c>
      <c r="AL137" s="365">
        <f>VLOOKUP($E137,'7. PGE_Efficacité'!$A$6:$BT$266,(MATCH('4.3 ACE EFF CAN'!AL$4,'7. PGE_Efficacité'!$A$4:$BU$4,0)+31),0)</f>
        <v>0</v>
      </c>
      <c r="AM137" s="365">
        <f>VLOOKUP($E137,'7. PGE_Efficacité'!$A$6:$BT$266,(MATCH('4.3 ACE EFF CAN'!AM$4,'7. PGE_Efficacité'!$A$4:$BU$4,0)+31),0)</f>
        <v>0</v>
      </c>
      <c r="AN137" s="365">
        <f>VLOOKUP($E137,'7. PGE_Efficacité'!$A$6:$BT$266,(MATCH('4.3 ACE EFF CAN'!AN$4,'7. PGE_Efficacité'!$A$4:$BU$4,0)+31),0)</f>
        <v>0</v>
      </c>
    </row>
    <row r="138" spans="1:40" outlineLevel="1" x14ac:dyDescent="0.25">
      <c r="A138" s="154"/>
      <c r="B138" s="154"/>
      <c r="C138" s="154"/>
      <c r="D138" s="360" t="s">
        <v>38</v>
      </c>
      <c r="E138" s="360"/>
      <c r="F138" s="361" t="str">
        <f>VLOOKUP(D138,'1. Mesures'!$A$2:$B$116,2,0)</f>
        <v xml:space="preserve">Rénover et étendre le réseau d'assainissement afin de réduire les concentrations en nitrates d’origine non agricole </v>
      </c>
      <c r="G138" s="360"/>
      <c r="H138" s="360"/>
      <c r="I138" s="362">
        <f>SUBTOTAL(9,I139:I144)</f>
        <v>12791280</v>
      </c>
      <c r="J138" s="367">
        <f>VLOOKUP($D138,'7. PGE_Efficacité'!$A$6:$BT$266,(MATCH('4.3 ACE EFF CAN'!J$4,'7. PGE_Efficacité'!$A$4:$AO$4,0)+31),0)</f>
        <v>0</v>
      </c>
      <c r="K138" s="367" t="str">
        <f>VLOOKUP($D138,'7. PGE_Efficacité'!$A$6:$BT$266,(MATCH('4.3 ACE EFF CAN'!K$4,'7. PGE_Efficacité'!$A$4:$AO$4,0)+31),0)</f>
        <v>+</v>
      </c>
      <c r="L138" s="367" t="str">
        <f>VLOOKUP($D138,'7. PGE_Efficacité'!$A$6:$BT$266,(MATCH('4.3 ACE EFF CAN'!L$4,'7. PGE_Efficacité'!$A$4:$AO$4,0)+31),0)</f>
        <v>+</v>
      </c>
      <c r="M138" s="367" t="str">
        <f>VLOOKUP($D138,'7. PGE_Efficacité'!$A$6:$BT$266,(MATCH('4.3 ACE EFF CAN'!M$4,'7. PGE_Efficacité'!$A$4:$AO$4,0)+31),0)</f>
        <v>+</v>
      </c>
      <c r="N138" s="367" t="str">
        <f>VLOOKUP($D138,'7. PGE_Efficacité'!$A$6:$BT$266,(MATCH('4.3 ACE EFF CAN'!N$4,'7. PGE_Efficacité'!$A$4:$AO$4,0)+31),0)</f>
        <v>+</v>
      </c>
      <c r="O138" s="367" t="str">
        <f>VLOOKUP($D138,'7. PGE_Efficacité'!$A$6:$BT$266,47,0)</f>
        <v>+</v>
      </c>
      <c r="P138" s="367">
        <f>VLOOKUP($D138,'7. PGE_Efficacité'!$A$6:$BT$266,(MATCH('4.3 ACE EFF CAN'!P$4,'7. PGE_Efficacité'!$A$4:$AO$4,0)+31),0)</f>
        <v>0</v>
      </c>
      <c r="Q138" s="367" t="str">
        <f>VLOOKUP($D138,'7. PGE_Efficacité'!$A$6:$BT$266,(MATCH('4.3 ACE EFF CAN'!Q$4,'7. PGE_Efficacité'!$A$4:$AO$4,0)+31),0)</f>
        <v>+</v>
      </c>
      <c r="R138" s="367" t="str">
        <f>VLOOKUP($D138,'7. PGE_Efficacité'!$A$6:$BT$266,(MATCH('4.3 ACE EFF CAN'!R$4,'7. PGE_Efficacité'!$A$4:$AO$4,0)+31),0)</f>
        <v>+</v>
      </c>
      <c r="S138" s="367">
        <f>VLOOKUP($D138,'7. PGE_Efficacité'!$A$6:$BT$266,(MATCH('4.3 ACE EFF CAN'!S$4,'7. PGE_Efficacité'!$A$4:$AO$4,0)+31),0)</f>
        <v>0</v>
      </c>
      <c r="T138" s="367">
        <f>VLOOKUP($D138,'7. PGE_Efficacité'!$A$6:$BT$266,(MATCH('4.3 ACE EFF CAN'!T$4,'7. PGE_Efficacité'!$A$4:$AO$4,0)+31),0)</f>
        <v>0</v>
      </c>
      <c r="U138" s="367" t="str">
        <f>VLOOKUP($D138,'7. PGE_Efficacité'!$A$6:$BT$266,(MATCH('4.3 ACE EFF CAN'!U$4,'7. PGE_Efficacité'!$A$4:$AO$4,0)+31),0)</f>
        <v>+</v>
      </c>
      <c r="V138" s="367" t="str">
        <f>VLOOKUP($D138,'7. PGE_Efficacité'!$A$6:$BT$266,(MATCH('4.3 ACE EFF CAN'!V$4,'7. PGE_Efficacité'!$A$4:$AO$4,0)+31),0)</f>
        <v>+</v>
      </c>
      <c r="W138" s="367" t="str">
        <f>VLOOKUP($D138,'7. PGE_Efficacité'!$A$6:$BT$266,(MATCH('4.3 ACE EFF CAN'!W$4,'7. PGE_Efficacité'!$A$4:$AO$4,0)+31),0)</f>
        <v>+</v>
      </c>
      <c r="X138" s="367">
        <f>VLOOKUP($D138,'7. PGE_Efficacité'!$A$6:$BT$266,(MATCH('4.3 ACE EFF CAN'!X$4,'7. PGE_Efficacité'!$A$4:$AO$4,0)+31),0)</f>
        <v>0</v>
      </c>
      <c r="Y138" s="367" t="str">
        <f>VLOOKUP($D138,'7. PGE_Efficacité'!$A$6:$BT$266,(MATCH('4.3 ACE EFF CAN'!Y$4,'7. PGE_Efficacité'!$A$4:$AO$4,0)+31),0)</f>
        <v>+</v>
      </c>
      <c r="Z138" s="367" t="str">
        <f>VLOOKUP($D138,'7. PGE_Efficacité'!$A$6:$BT$266,(MATCH('4.3 ACE EFF CAN'!Z$4,'7. PGE_Efficacité'!$A$4:$AO$4,0)+31),0)</f>
        <v>+</v>
      </c>
      <c r="AA138" s="367">
        <f>VLOOKUP($D138,'7. PGE_Efficacité'!$A$6:$BT$266,(MATCH('4.3 ACE EFF CAN'!AA$4,'7. PGE_Efficacité'!$A$4:$AO$4,0)+31),0)</f>
        <v>0</v>
      </c>
      <c r="AB138" s="367">
        <f>VLOOKUP($D138,'7. PGE_Efficacité'!$A$6:$BT$266,(MATCH('4.3 ACE EFF CAN'!AB$4,'7. PGE_Efficacité'!$A$4:$AO$4,0)+31),0)</f>
        <v>0</v>
      </c>
      <c r="AC138" s="367">
        <f>VLOOKUP($D138,'7. PGE_Efficacité'!$A$6:$BT$266,(MATCH('4.3 ACE EFF CAN'!AC$4,'7. PGE_Efficacité'!$A$4:$AO$4,0)+31),0)</f>
        <v>0</v>
      </c>
      <c r="AD138" s="367">
        <f>VLOOKUP($D138,'7. PGE_Efficacité'!$A$6:$BT$266,(MATCH('4.3 ACE EFF CAN'!AD$4,'7. PGE_Efficacité'!$A$4:$AO$4,0)+31),0)</f>
        <v>0</v>
      </c>
      <c r="AE138" s="367">
        <f>VLOOKUP($D138,'7. PGE_Efficacité'!$A$6:$BT$266,(MATCH('4.3 ACE EFF CAN'!AE$4,'7. PGE_Efficacité'!$A$4:$AO$4,0)+31),0)</f>
        <v>0</v>
      </c>
      <c r="AF138" s="367">
        <f>VLOOKUP($D138,'7. PGE_Efficacité'!$A$6:$BT$266,(MATCH('4.3 ACE EFF CAN'!AF$4,'7. PGE_Efficacité'!$A$4:$AO$4,0)+31),0)</f>
        <v>0</v>
      </c>
      <c r="AG138" s="367">
        <f>VLOOKUP($D138,'7. PGE_Efficacité'!$A$6:$BT$266,(MATCH('4.3 ACE EFF CAN'!AG$4,'7. PGE_Efficacité'!$A$4:$AO$4,0)+31),0)</f>
        <v>0</v>
      </c>
      <c r="AH138" s="367">
        <f>VLOOKUP($D138,'7. PGE_Efficacité'!$A$6:$BT$266,(MATCH('4.3 ACE EFF CAN'!AH$4,'7. PGE_Efficacité'!$A$4:$AO$4,0)+31),0)</f>
        <v>0</v>
      </c>
      <c r="AI138" s="367">
        <f>VLOOKUP($D138,'7. PGE_Efficacité'!$A$6:$BT$266,(MATCH('4.3 ACE EFF CAN'!AI$4,'7. PGE_Efficacité'!$A$4:$AO$4,0)+31),0)</f>
        <v>0</v>
      </c>
      <c r="AJ138" s="367">
        <f>VLOOKUP($D138,'7. PGE_Efficacité'!$A$6:$BT$266,(MATCH('4.3 ACE EFF CAN'!AJ$4,'7. PGE_Efficacité'!$A$4:$AO$4,0)+31),0)</f>
        <v>0</v>
      </c>
      <c r="AK138" s="367" t="str">
        <f>VLOOKUP($D138,'7. PGE_Efficacité'!$A$6:$BT$266,(MATCH('4.3 ACE EFF CAN'!AK$4,'7. PGE_Efficacité'!$A$4:$AO$4,0)+31),0)</f>
        <v>+</v>
      </c>
      <c r="AL138" s="367">
        <f>VLOOKUP($D138,'7. PGE_Efficacité'!$A$6:$BT$266,(MATCH('4.3 ACE EFF CAN'!AL$4,'7. PGE_Efficacité'!$A$4:$AO$4,0)+31),0)</f>
        <v>0</v>
      </c>
      <c r="AM138" s="367" t="str">
        <f>VLOOKUP($D138,'7. PGE_Efficacité'!$A$6:$BT$266,(MATCH('4.3 ACE EFF CAN'!AM$4,'7. PGE_Efficacité'!$A$4:$AO$4,0)+31),0)</f>
        <v>+</v>
      </c>
      <c r="AN138" s="367" t="str">
        <f>VLOOKUP($D138,'7. PGE_Efficacité'!$A$6:$BT$266,(MATCH('4.3 ACE EFF CAN'!AN$4,'7. PGE_Efficacité'!$A$4:$AO$4,0)+31),0)</f>
        <v>+</v>
      </c>
    </row>
    <row r="139" spans="1:40" outlineLevel="2" x14ac:dyDescent="0.25">
      <c r="A139" s="154" t="s">
        <v>1525</v>
      </c>
      <c r="B139" s="154">
        <v>3</v>
      </c>
      <c r="C139" s="154" t="s">
        <v>1524</v>
      </c>
      <c r="D139" s="330" t="s">
        <v>38</v>
      </c>
      <c r="E139" s="330" t="s">
        <v>892</v>
      </c>
      <c r="F139" s="330" t="s">
        <v>1482</v>
      </c>
      <c r="G139" s="330" t="s">
        <v>1522</v>
      </c>
      <c r="H139" s="330" t="s">
        <v>1290</v>
      </c>
      <c r="I139" s="364">
        <v>0</v>
      </c>
      <c r="J139" s="365">
        <f>VLOOKUP($E139,'7. PGE_Efficacité'!$A$6:$BT$266,(MATCH('4.3 ACE EFF CAN'!J$4,'7. PGE_Efficacité'!$A$4:$BU$4,0)+31),0)</f>
        <v>0</v>
      </c>
      <c r="K139" s="365">
        <f>VLOOKUP($E139,'7. PGE_Efficacité'!$A$6:$BT$266,(MATCH('4.3 ACE EFF CAN'!K$4,'7. PGE_Efficacité'!$A$4:$BU$4,0)+31),0)</f>
        <v>0</v>
      </c>
      <c r="L139" s="365">
        <f>VLOOKUP($E139,'7. PGE_Efficacité'!$A$6:$BT$266,(MATCH('4.3 ACE EFF CAN'!L$4,'7. PGE_Efficacité'!$A$4:$BU$4,0)+31),0)</f>
        <v>0</v>
      </c>
      <c r="M139" s="365">
        <f>VLOOKUP($E139,'7. PGE_Efficacité'!$A$6:$BT$266,(MATCH('4.3 ACE EFF CAN'!M$4,'7. PGE_Efficacité'!$A$4:$BU$4,0)+31),0)</f>
        <v>0</v>
      </c>
      <c r="N139" s="365">
        <f>VLOOKUP($E139,'7. PGE_Efficacité'!$A$6:$BT$266,(MATCH('4.3 ACE EFF CAN'!N$4,'7. PGE_Efficacité'!$A$4:$BU$4,0)+31),0)</f>
        <v>0</v>
      </c>
      <c r="O139" s="365">
        <f>VLOOKUP($E139,'7. PGE_Efficacité'!$A$6:$BT$266,(MATCH('4.3 ACE EFF CAN'!O$4,'7. PGE_Efficacité'!$A$4:$BU$4,0)+31),0)</f>
        <v>0</v>
      </c>
      <c r="P139" s="365">
        <f>VLOOKUP($E139,'7. PGE_Efficacité'!$A$6:$BT$266,(MATCH('4.3 ACE EFF CAN'!P$4,'7. PGE_Efficacité'!$A$4:$BU$4,0)+31),0)</f>
        <v>0</v>
      </c>
      <c r="Q139" s="365">
        <f>VLOOKUP($E139,'7. PGE_Efficacité'!$A$6:$BT$266,(MATCH('4.3 ACE EFF CAN'!Q$4,'7. PGE_Efficacité'!$A$4:$BU$4,0)+31),0)</f>
        <v>0</v>
      </c>
      <c r="R139" s="365">
        <f>VLOOKUP($E139,'7. PGE_Efficacité'!$A$6:$BT$266,(MATCH('4.3 ACE EFF CAN'!R$4,'7. PGE_Efficacité'!$A$4:$BU$4,0)+31),0)</f>
        <v>0</v>
      </c>
      <c r="S139" s="365">
        <f>VLOOKUP($E139,'7. PGE_Efficacité'!$A$6:$BT$266,(MATCH('4.3 ACE EFF CAN'!S$4,'7. PGE_Efficacité'!$A$4:$BU$4,0)+31),0)</f>
        <v>0</v>
      </c>
      <c r="T139" s="365">
        <f>VLOOKUP($E139,'7. PGE_Efficacité'!$A$6:$BT$266,(MATCH('4.3 ACE EFF CAN'!T$4,'7. PGE_Efficacité'!$A$4:$BU$4,0)+31),0)</f>
        <v>0</v>
      </c>
      <c r="U139" s="365">
        <f>VLOOKUP($E139,'7. PGE_Efficacité'!$A$6:$BT$266,(MATCH('4.3 ACE EFF CAN'!U$4,'7. PGE_Efficacité'!$A$4:$BU$4,0)+31),0)</f>
        <v>0</v>
      </c>
      <c r="V139" s="365">
        <f>VLOOKUP($E139,'7. PGE_Efficacité'!$A$6:$BT$266,(MATCH('4.3 ACE EFF CAN'!V$4,'7. PGE_Efficacité'!$A$4:$BU$4,0)+31),0)</f>
        <v>0</v>
      </c>
      <c r="W139" s="365">
        <f>VLOOKUP($E139,'7. PGE_Efficacité'!$A$6:$BT$266,(MATCH('4.3 ACE EFF CAN'!W$4,'7. PGE_Efficacité'!$A$4:$BU$4,0)+31),0)</f>
        <v>0</v>
      </c>
      <c r="X139" s="365">
        <f>VLOOKUP($E139,'7. PGE_Efficacité'!$A$6:$BT$266,(MATCH('4.3 ACE EFF CAN'!X$4,'7. PGE_Efficacité'!$A$4:$BU$4,0)+31),0)</f>
        <v>0</v>
      </c>
      <c r="Y139" s="365">
        <f>VLOOKUP($E139,'7. PGE_Efficacité'!$A$6:$BT$266,(MATCH('4.3 ACE EFF CAN'!Y$4,'7. PGE_Efficacité'!$A$4:$BU$4,0)+31),0)</f>
        <v>0</v>
      </c>
      <c r="Z139" s="365">
        <f>VLOOKUP($E139,'7. PGE_Efficacité'!$A$6:$BT$266,(MATCH('4.3 ACE EFF CAN'!Z$4,'7. PGE_Efficacité'!$A$4:$BU$4,0)+31),0)</f>
        <v>0</v>
      </c>
      <c r="AA139" s="365">
        <f>VLOOKUP($E139,'7. PGE_Efficacité'!$A$6:$BT$266,(MATCH('4.3 ACE EFF CAN'!AA$4,'7. PGE_Efficacité'!$A$4:$BU$4,0)+31),0)</f>
        <v>0</v>
      </c>
      <c r="AB139" s="365">
        <f>VLOOKUP($E139,'7. PGE_Efficacité'!$A$6:$BT$266,(MATCH('4.3 ACE EFF CAN'!AB$4,'7. PGE_Efficacité'!$A$4:$BU$4,0)+31),0)</f>
        <v>0</v>
      </c>
      <c r="AC139" s="365">
        <f>VLOOKUP($E139,'7. PGE_Efficacité'!$A$6:$BT$266,(MATCH('4.3 ACE EFF CAN'!AC$4,'7. PGE_Efficacité'!$A$4:$BU$4,0)+31),0)</f>
        <v>0</v>
      </c>
      <c r="AD139" s="365">
        <f>VLOOKUP($E139,'7. PGE_Efficacité'!$A$6:$BT$266,(MATCH('4.3 ACE EFF CAN'!AD$4,'7. PGE_Efficacité'!$A$4:$BU$4,0)+31),0)</f>
        <v>0</v>
      </c>
      <c r="AE139" s="365">
        <f>VLOOKUP($E139,'7. PGE_Efficacité'!$A$6:$BT$266,(MATCH('4.3 ACE EFF CAN'!AE$4,'7. PGE_Efficacité'!$A$4:$BU$4,0)+31),0)</f>
        <v>0</v>
      </c>
      <c r="AF139" s="365">
        <f>VLOOKUP($E139,'7. PGE_Efficacité'!$A$6:$BT$266,(MATCH('4.3 ACE EFF CAN'!AF$4,'7. PGE_Efficacité'!$A$4:$BU$4,0)+31),0)</f>
        <v>0</v>
      </c>
      <c r="AG139" s="365">
        <f>VLOOKUP($E139,'7. PGE_Efficacité'!$A$6:$BT$266,(MATCH('4.3 ACE EFF CAN'!AG$4,'7. PGE_Efficacité'!$A$4:$BU$4,0)+31),0)</f>
        <v>0</v>
      </c>
      <c r="AH139" s="365">
        <f>VLOOKUP($E139,'7. PGE_Efficacité'!$A$6:$BT$266,(MATCH('4.3 ACE EFF CAN'!AH$4,'7. PGE_Efficacité'!$A$4:$BU$4,0)+31),0)</f>
        <v>0</v>
      </c>
      <c r="AI139" s="365">
        <f>VLOOKUP($E139,'7. PGE_Efficacité'!$A$6:$BT$266,(MATCH('4.3 ACE EFF CAN'!AI$4,'7. PGE_Efficacité'!$A$4:$BU$4,0)+31),0)</f>
        <v>0</v>
      </c>
      <c r="AJ139" s="365">
        <f>VLOOKUP($E139,'7. PGE_Efficacité'!$A$6:$BT$266,(MATCH('4.3 ACE EFF CAN'!AJ$4,'7. PGE_Efficacité'!$A$4:$BU$4,0)+31),0)</f>
        <v>0</v>
      </c>
      <c r="AK139" s="365">
        <f>VLOOKUP($E139,'7. PGE_Efficacité'!$A$6:$BT$266,(MATCH('4.3 ACE EFF CAN'!AK$4,'7. PGE_Efficacité'!$A$4:$BU$4,0)+31),0)</f>
        <v>0</v>
      </c>
      <c r="AL139" s="365">
        <f>VLOOKUP($E139,'7. PGE_Efficacité'!$A$6:$BT$266,(MATCH('4.3 ACE EFF CAN'!AL$4,'7. PGE_Efficacité'!$A$4:$BU$4,0)+31),0)</f>
        <v>0</v>
      </c>
      <c r="AM139" s="365">
        <f>VLOOKUP($E139,'7. PGE_Efficacité'!$A$6:$BT$266,(MATCH('4.3 ACE EFF CAN'!AM$4,'7. PGE_Efficacité'!$A$4:$BU$4,0)+31),0)</f>
        <v>0</v>
      </c>
      <c r="AN139" s="365">
        <f>VLOOKUP($E139,'7. PGE_Efficacité'!$A$6:$BT$266,(MATCH('4.3 ACE EFF CAN'!AN$4,'7. PGE_Efficacité'!$A$4:$BU$4,0)+31),0)</f>
        <v>0</v>
      </c>
    </row>
    <row r="140" spans="1:40" outlineLevel="2" x14ac:dyDescent="0.25">
      <c r="A140" s="154" t="s">
        <v>1525</v>
      </c>
      <c r="B140" s="154">
        <v>3</v>
      </c>
      <c r="C140" s="154" t="s">
        <v>1525</v>
      </c>
      <c r="D140" s="330" t="s">
        <v>38</v>
      </c>
      <c r="E140" s="330" t="s">
        <v>893</v>
      </c>
      <c r="F140" s="330" t="s">
        <v>1483</v>
      </c>
      <c r="G140" s="330" t="s">
        <v>1522</v>
      </c>
      <c r="H140" s="330" t="s">
        <v>1290</v>
      </c>
      <c r="I140" s="364">
        <f>11916800*0.05/3</f>
        <v>198613.33333333334</v>
      </c>
      <c r="J140" s="365">
        <f>VLOOKUP($E140,'7. PGE_Efficacité'!$A$6:$BT$266,(MATCH('4.3 ACE EFF CAN'!J$4,'7. PGE_Efficacité'!$A$4:$BU$4,0)+31),0)</f>
        <v>0</v>
      </c>
      <c r="K140" s="365">
        <f>VLOOKUP($E140,'7. PGE_Efficacité'!$A$6:$BT$266,(MATCH('4.3 ACE EFF CAN'!K$4,'7. PGE_Efficacité'!$A$4:$BU$4,0)+31),0)</f>
        <v>0</v>
      </c>
      <c r="L140" s="365">
        <f>VLOOKUP($E140,'7. PGE_Efficacité'!$A$6:$BT$266,(MATCH('4.3 ACE EFF CAN'!L$4,'7. PGE_Efficacité'!$A$4:$BU$4,0)+31),0)</f>
        <v>0</v>
      </c>
      <c r="M140" s="365">
        <f>VLOOKUP($E140,'7. PGE_Efficacité'!$A$6:$BT$266,(MATCH('4.3 ACE EFF CAN'!M$4,'7. PGE_Efficacité'!$A$4:$BU$4,0)+31),0)</f>
        <v>0</v>
      </c>
      <c r="N140" s="365">
        <f>VLOOKUP($E140,'7. PGE_Efficacité'!$A$6:$BT$266,(MATCH('4.3 ACE EFF CAN'!N$4,'7. PGE_Efficacité'!$A$4:$BU$4,0)+31),0)</f>
        <v>0</v>
      </c>
      <c r="O140" s="365">
        <f>VLOOKUP($E140,'7. PGE_Efficacité'!$A$6:$BT$266,(MATCH('4.3 ACE EFF CAN'!O$4,'7. PGE_Efficacité'!$A$4:$BU$4,0)+31),0)</f>
        <v>0</v>
      </c>
      <c r="P140" s="365">
        <f>VLOOKUP($E140,'7. PGE_Efficacité'!$A$6:$BT$266,(MATCH('4.3 ACE EFF CAN'!P$4,'7. PGE_Efficacité'!$A$4:$BU$4,0)+31),0)</f>
        <v>0</v>
      </c>
      <c r="Q140" s="365">
        <f>VLOOKUP($E140,'7. PGE_Efficacité'!$A$6:$BT$266,(MATCH('4.3 ACE EFF CAN'!Q$4,'7. PGE_Efficacité'!$A$4:$BU$4,0)+31),0)</f>
        <v>0</v>
      </c>
      <c r="R140" s="365">
        <f>VLOOKUP($E140,'7. PGE_Efficacité'!$A$6:$BT$266,(MATCH('4.3 ACE EFF CAN'!R$4,'7. PGE_Efficacité'!$A$4:$BU$4,0)+31),0)</f>
        <v>0</v>
      </c>
      <c r="S140" s="365">
        <f>VLOOKUP($E140,'7. PGE_Efficacité'!$A$6:$BT$266,(MATCH('4.3 ACE EFF CAN'!S$4,'7. PGE_Efficacité'!$A$4:$BU$4,0)+31),0)</f>
        <v>0</v>
      </c>
      <c r="T140" s="365">
        <f>VLOOKUP($E140,'7. PGE_Efficacité'!$A$6:$BT$266,(MATCH('4.3 ACE EFF CAN'!T$4,'7. PGE_Efficacité'!$A$4:$BU$4,0)+31),0)</f>
        <v>0</v>
      </c>
      <c r="U140" s="365">
        <f>VLOOKUP($E140,'7. PGE_Efficacité'!$A$6:$BT$266,(MATCH('4.3 ACE EFF CAN'!U$4,'7. PGE_Efficacité'!$A$4:$BU$4,0)+31),0)</f>
        <v>0</v>
      </c>
      <c r="V140" s="365">
        <f>VLOOKUP($E140,'7. PGE_Efficacité'!$A$6:$BT$266,(MATCH('4.3 ACE EFF CAN'!V$4,'7. PGE_Efficacité'!$A$4:$BU$4,0)+31),0)</f>
        <v>0</v>
      </c>
      <c r="W140" s="365">
        <f>VLOOKUP($E140,'7. PGE_Efficacité'!$A$6:$BT$266,(MATCH('4.3 ACE EFF CAN'!W$4,'7. PGE_Efficacité'!$A$4:$BU$4,0)+31),0)</f>
        <v>0</v>
      </c>
      <c r="X140" s="365">
        <f>VLOOKUP($E140,'7. PGE_Efficacité'!$A$6:$BT$266,(MATCH('4.3 ACE EFF CAN'!X$4,'7. PGE_Efficacité'!$A$4:$BU$4,0)+31),0)</f>
        <v>0</v>
      </c>
      <c r="Y140" s="365">
        <f>VLOOKUP($E140,'7. PGE_Efficacité'!$A$6:$BT$266,(MATCH('4.3 ACE EFF CAN'!Y$4,'7. PGE_Efficacité'!$A$4:$BU$4,0)+31),0)</f>
        <v>0</v>
      </c>
      <c r="Z140" s="365">
        <f>VLOOKUP($E140,'7. PGE_Efficacité'!$A$6:$BT$266,(MATCH('4.3 ACE EFF CAN'!Z$4,'7. PGE_Efficacité'!$A$4:$BU$4,0)+31),0)</f>
        <v>0</v>
      </c>
      <c r="AA140" s="365">
        <f>VLOOKUP($E140,'7. PGE_Efficacité'!$A$6:$BT$266,(MATCH('4.3 ACE EFF CAN'!AA$4,'7. PGE_Efficacité'!$A$4:$BU$4,0)+31),0)</f>
        <v>0</v>
      </c>
      <c r="AB140" s="365">
        <f>VLOOKUP($E140,'7. PGE_Efficacité'!$A$6:$BT$266,(MATCH('4.3 ACE EFF CAN'!AB$4,'7. PGE_Efficacité'!$A$4:$BU$4,0)+31),0)</f>
        <v>0</v>
      </c>
      <c r="AC140" s="365">
        <f>VLOOKUP($E140,'7. PGE_Efficacité'!$A$6:$BT$266,(MATCH('4.3 ACE EFF CAN'!AC$4,'7. PGE_Efficacité'!$A$4:$BU$4,0)+31),0)</f>
        <v>0</v>
      </c>
      <c r="AD140" s="365">
        <f>VLOOKUP($E140,'7. PGE_Efficacité'!$A$6:$BT$266,(MATCH('4.3 ACE EFF CAN'!AD$4,'7. PGE_Efficacité'!$A$4:$BU$4,0)+31),0)</f>
        <v>0</v>
      </c>
      <c r="AE140" s="365">
        <f>VLOOKUP($E140,'7. PGE_Efficacité'!$A$6:$BT$266,(MATCH('4.3 ACE EFF CAN'!AE$4,'7. PGE_Efficacité'!$A$4:$BU$4,0)+31),0)</f>
        <v>0</v>
      </c>
      <c r="AF140" s="365">
        <f>VLOOKUP($E140,'7. PGE_Efficacité'!$A$6:$BT$266,(MATCH('4.3 ACE EFF CAN'!AF$4,'7. PGE_Efficacité'!$A$4:$BU$4,0)+31),0)</f>
        <v>0</v>
      </c>
      <c r="AG140" s="365">
        <f>VLOOKUP($E140,'7. PGE_Efficacité'!$A$6:$BT$266,(MATCH('4.3 ACE EFF CAN'!AG$4,'7. PGE_Efficacité'!$A$4:$BU$4,0)+31),0)</f>
        <v>0</v>
      </c>
      <c r="AH140" s="365">
        <f>VLOOKUP($E140,'7. PGE_Efficacité'!$A$6:$BT$266,(MATCH('4.3 ACE EFF CAN'!AH$4,'7. PGE_Efficacité'!$A$4:$BU$4,0)+31),0)</f>
        <v>0</v>
      </c>
      <c r="AI140" s="365">
        <f>VLOOKUP($E140,'7. PGE_Efficacité'!$A$6:$BT$266,(MATCH('4.3 ACE EFF CAN'!AI$4,'7. PGE_Efficacité'!$A$4:$BU$4,0)+31),0)</f>
        <v>0</v>
      </c>
      <c r="AJ140" s="365">
        <f>VLOOKUP($E140,'7. PGE_Efficacité'!$A$6:$BT$266,(MATCH('4.3 ACE EFF CAN'!AJ$4,'7. PGE_Efficacité'!$A$4:$BU$4,0)+31),0)</f>
        <v>0</v>
      </c>
      <c r="AK140" s="365">
        <f>VLOOKUP($E140,'7. PGE_Efficacité'!$A$6:$BT$266,(MATCH('4.3 ACE EFF CAN'!AK$4,'7. PGE_Efficacité'!$A$4:$BU$4,0)+31),0)</f>
        <v>0</v>
      </c>
      <c r="AL140" s="365">
        <f>VLOOKUP($E140,'7. PGE_Efficacité'!$A$6:$BT$266,(MATCH('4.3 ACE EFF CAN'!AL$4,'7. PGE_Efficacité'!$A$4:$BU$4,0)+31),0)</f>
        <v>0</v>
      </c>
      <c r="AM140" s="365">
        <f>VLOOKUP($E140,'7. PGE_Efficacité'!$A$6:$BT$266,(MATCH('4.3 ACE EFF CAN'!AM$4,'7. PGE_Efficacité'!$A$4:$BU$4,0)+31),0)</f>
        <v>0</v>
      </c>
      <c r="AN140" s="365">
        <f>VLOOKUP($E140,'7. PGE_Efficacité'!$A$6:$BT$266,(MATCH('4.3 ACE EFF CAN'!AN$4,'7. PGE_Efficacité'!$A$4:$BU$4,0)+31),0)</f>
        <v>0</v>
      </c>
    </row>
    <row r="141" spans="1:40" outlineLevel="2" x14ac:dyDescent="0.25">
      <c r="A141" s="154" t="s">
        <v>1525</v>
      </c>
      <c r="B141" s="154">
        <v>3</v>
      </c>
      <c r="C141" s="154" t="s">
        <v>1526</v>
      </c>
      <c r="D141" s="330" t="s">
        <v>38</v>
      </c>
      <c r="E141" s="330" t="s">
        <v>894</v>
      </c>
      <c r="F141" s="330" t="s">
        <v>1484</v>
      </c>
      <c r="G141" s="330" t="s">
        <v>1522</v>
      </c>
      <c r="H141" s="330" t="s">
        <v>1290</v>
      </c>
      <c r="I141" s="364">
        <v>0</v>
      </c>
      <c r="J141" s="365">
        <f>VLOOKUP($E141,'7. PGE_Efficacité'!$A$6:$BT$266,(MATCH('4.3 ACE EFF CAN'!J$4,'7. PGE_Efficacité'!$A$4:$BU$4,0)+31),0)</f>
        <v>0</v>
      </c>
      <c r="K141" s="365">
        <f>VLOOKUP($E141,'7. PGE_Efficacité'!$A$6:$BT$266,(MATCH('4.3 ACE EFF CAN'!K$4,'7. PGE_Efficacité'!$A$4:$BU$4,0)+31),0)</f>
        <v>0</v>
      </c>
      <c r="L141" s="365">
        <f>VLOOKUP($E141,'7. PGE_Efficacité'!$A$6:$BT$266,(MATCH('4.3 ACE EFF CAN'!L$4,'7. PGE_Efficacité'!$A$4:$BU$4,0)+31),0)</f>
        <v>0</v>
      </c>
      <c r="M141" s="365">
        <f>VLOOKUP($E141,'7. PGE_Efficacité'!$A$6:$BT$266,(MATCH('4.3 ACE EFF CAN'!M$4,'7. PGE_Efficacité'!$A$4:$BU$4,0)+31),0)</f>
        <v>0</v>
      </c>
      <c r="N141" s="365">
        <f>VLOOKUP($E141,'7. PGE_Efficacité'!$A$6:$BT$266,(MATCH('4.3 ACE EFF CAN'!N$4,'7. PGE_Efficacité'!$A$4:$BU$4,0)+31),0)</f>
        <v>0</v>
      </c>
      <c r="O141" s="365">
        <f>VLOOKUP($E141,'7. PGE_Efficacité'!$A$6:$BT$266,(MATCH('4.3 ACE EFF CAN'!O$4,'7. PGE_Efficacité'!$A$4:$BU$4,0)+31),0)</f>
        <v>0</v>
      </c>
      <c r="P141" s="365">
        <f>VLOOKUP($E141,'7. PGE_Efficacité'!$A$6:$BT$266,(MATCH('4.3 ACE EFF CAN'!P$4,'7. PGE_Efficacité'!$A$4:$BU$4,0)+31),0)</f>
        <v>0</v>
      </c>
      <c r="Q141" s="365">
        <f>VLOOKUP($E141,'7. PGE_Efficacité'!$A$6:$BT$266,(MATCH('4.3 ACE EFF CAN'!Q$4,'7. PGE_Efficacité'!$A$4:$BU$4,0)+31),0)</f>
        <v>0</v>
      </c>
      <c r="R141" s="365">
        <f>VLOOKUP($E141,'7. PGE_Efficacité'!$A$6:$BT$266,(MATCH('4.3 ACE EFF CAN'!R$4,'7. PGE_Efficacité'!$A$4:$BU$4,0)+31),0)</f>
        <v>0</v>
      </c>
      <c r="S141" s="365">
        <f>VLOOKUP($E141,'7. PGE_Efficacité'!$A$6:$BT$266,(MATCH('4.3 ACE EFF CAN'!S$4,'7. PGE_Efficacité'!$A$4:$BU$4,0)+31),0)</f>
        <v>0</v>
      </c>
      <c r="T141" s="365">
        <f>VLOOKUP($E141,'7. PGE_Efficacité'!$A$6:$BT$266,(MATCH('4.3 ACE EFF CAN'!T$4,'7. PGE_Efficacité'!$A$4:$BU$4,0)+31),0)</f>
        <v>0</v>
      </c>
      <c r="U141" s="365">
        <f>VLOOKUP($E141,'7. PGE_Efficacité'!$A$6:$BT$266,(MATCH('4.3 ACE EFF CAN'!U$4,'7. PGE_Efficacité'!$A$4:$BU$4,0)+31),0)</f>
        <v>0</v>
      </c>
      <c r="V141" s="365">
        <f>VLOOKUP($E141,'7. PGE_Efficacité'!$A$6:$BT$266,(MATCH('4.3 ACE EFF CAN'!V$4,'7. PGE_Efficacité'!$A$4:$BU$4,0)+31),0)</f>
        <v>0</v>
      </c>
      <c r="W141" s="365">
        <f>VLOOKUP($E141,'7. PGE_Efficacité'!$A$6:$BT$266,(MATCH('4.3 ACE EFF CAN'!W$4,'7. PGE_Efficacité'!$A$4:$BU$4,0)+31),0)</f>
        <v>0</v>
      </c>
      <c r="X141" s="365">
        <f>VLOOKUP($E141,'7. PGE_Efficacité'!$A$6:$BT$266,(MATCH('4.3 ACE EFF CAN'!X$4,'7. PGE_Efficacité'!$A$4:$BU$4,0)+31),0)</f>
        <v>0</v>
      </c>
      <c r="Y141" s="365">
        <f>VLOOKUP($E141,'7. PGE_Efficacité'!$A$6:$BT$266,(MATCH('4.3 ACE EFF CAN'!Y$4,'7. PGE_Efficacité'!$A$4:$BU$4,0)+31),0)</f>
        <v>0</v>
      </c>
      <c r="Z141" s="365">
        <f>VLOOKUP($E141,'7. PGE_Efficacité'!$A$6:$BT$266,(MATCH('4.3 ACE EFF CAN'!Z$4,'7. PGE_Efficacité'!$A$4:$BU$4,0)+31),0)</f>
        <v>0</v>
      </c>
      <c r="AA141" s="365">
        <f>VLOOKUP($E141,'7. PGE_Efficacité'!$A$6:$BT$266,(MATCH('4.3 ACE EFF CAN'!AA$4,'7. PGE_Efficacité'!$A$4:$BU$4,0)+31),0)</f>
        <v>0</v>
      </c>
      <c r="AB141" s="365">
        <f>VLOOKUP($E141,'7. PGE_Efficacité'!$A$6:$BT$266,(MATCH('4.3 ACE EFF CAN'!AB$4,'7. PGE_Efficacité'!$A$4:$BU$4,0)+31),0)</f>
        <v>0</v>
      </c>
      <c r="AC141" s="365">
        <f>VLOOKUP($E141,'7. PGE_Efficacité'!$A$6:$BT$266,(MATCH('4.3 ACE EFF CAN'!AC$4,'7. PGE_Efficacité'!$A$4:$BU$4,0)+31),0)</f>
        <v>0</v>
      </c>
      <c r="AD141" s="365">
        <f>VLOOKUP($E141,'7. PGE_Efficacité'!$A$6:$BT$266,(MATCH('4.3 ACE EFF CAN'!AD$4,'7. PGE_Efficacité'!$A$4:$BU$4,0)+31),0)</f>
        <v>0</v>
      </c>
      <c r="AE141" s="365">
        <f>VLOOKUP($E141,'7. PGE_Efficacité'!$A$6:$BT$266,(MATCH('4.3 ACE EFF CAN'!AE$4,'7. PGE_Efficacité'!$A$4:$BU$4,0)+31),0)</f>
        <v>0</v>
      </c>
      <c r="AF141" s="365">
        <f>VLOOKUP($E141,'7. PGE_Efficacité'!$A$6:$BT$266,(MATCH('4.3 ACE EFF CAN'!AF$4,'7. PGE_Efficacité'!$A$4:$BU$4,0)+31),0)</f>
        <v>0</v>
      </c>
      <c r="AG141" s="365">
        <f>VLOOKUP($E141,'7. PGE_Efficacité'!$A$6:$BT$266,(MATCH('4.3 ACE EFF CAN'!AG$4,'7. PGE_Efficacité'!$A$4:$BU$4,0)+31),0)</f>
        <v>0</v>
      </c>
      <c r="AH141" s="365">
        <f>VLOOKUP($E141,'7. PGE_Efficacité'!$A$6:$BT$266,(MATCH('4.3 ACE EFF CAN'!AH$4,'7. PGE_Efficacité'!$A$4:$BU$4,0)+31),0)</f>
        <v>0</v>
      </c>
      <c r="AI141" s="365">
        <f>VLOOKUP($E141,'7. PGE_Efficacité'!$A$6:$BT$266,(MATCH('4.3 ACE EFF CAN'!AI$4,'7. PGE_Efficacité'!$A$4:$BU$4,0)+31),0)</f>
        <v>0</v>
      </c>
      <c r="AJ141" s="365">
        <f>VLOOKUP($E141,'7. PGE_Efficacité'!$A$6:$BT$266,(MATCH('4.3 ACE EFF CAN'!AJ$4,'7. PGE_Efficacité'!$A$4:$BU$4,0)+31),0)</f>
        <v>0</v>
      </c>
      <c r="AK141" s="365">
        <f>VLOOKUP($E141,'7. PGE_Efficacité'!$A$6:$BT$266,(MATCH('4.3 ACE EFF CAN'!AK$4,'7. PGE_Efficacité'!$A$4:$BU$4,0)+31),0)</f>
        <v>0</v>
      </c>
      <c r="AL141" s="365">
        <f>VLOOKUP($E141,'7. PGE_Efficacité'!$A$6:$BT$266,(MATCH('4.3 ACE EFF CAN'!AL$4,'7. PGE_Efficacité'!$A$4:$BU$4,0)+31),0)</f>
        <v>0</v>
      </c>
      <c r="AM141" s="365">
        <f>VLOOKUP($E141,'7. PGE_Efficacité'!$A$6:$BT$266,(MATCH('4.3 ACE EFF CAN'!AM$4,'7. PGE_Efficacité'!$A$4:$BU$4,0)+31),0)</f>
        <v>0</v>
      </c>
      <c r="AN141" s="365">
        <f>VLOOKUP($E141,'7. PGE_Efficacité'!$A$6:$BT$266,(MATCH('4.3 ACE EFF CAN'!AN$4,'7. PGE_Efficacité'!$A$4:$BU$4,0)+31),0)</f>
        <v>0</v>
      </c>
    </row>
    <row r="142" spans="1:40" outlineLevel="2" x14ac:dyDescent="0.25">
      <c r="A142" s="154" t="s">
        <v>1525</v>
      </c>
      <c r="B142" s="154">
        <v>3</v>
      </c>
      <c r="C142" s="154" t="s">
        <v>1527</v>
      </c>
      <c r="D142" s="330" t="s">
        <v>38</v>
      </c>
      <c r="E142" s="330" t="s">
        <v>895</v>
      </c>
      <c r="F142" s="330" t="s">
        <v>1485</v>
      </c>
      <c r="G142" s="330" t="s">
        <v>1522</v>
      </c>
      <c r="H142" s="330" t="s">
        <v>1290</v>
      </c>
      <c r="I142" s="364">
        <f>340480000*0.05/3</f>
        <v>5674666.666666667</v>
      </c>
      <c r="J142" s="365">
        <f>VLOOKUP($E142,'7. PGE_Efficacité'!$A$6:$BT$266,(MATCH('4.3 ACE EFF CAN'!J$4,'7. PGE_Efficacité'!$A$4:$BU$4,0)+31),0)</f>
        <v>0</v>
      </c>
      <c r="K142" s="365" t="str">
        <f>VLOOKUP($E142,'7. PGE_Efficacité'!$A$6:$BT$266,(MATCH('4.3 ACE EFF CAN'!K$4,'7. PGE_Efficacité'!$A$4:$BU$4,0)+31),0)</f>
        <v>+</v>
      </c>
      <c r="L142" s="365" t="str">
        <f>VLOOKUP($E142,'7. PGE_Efficacité'!$A$6:$BT$266,(MATCH('4.3 ACE EFF CAN'!L$4,'7. PGE_Efficacité'!$A$4:$BU$4,0)+31),0)</f>
        <v>+</v>
      </c>
      <c r="M142" s="365" t="str">
        <f>VLOOKUP($E142,'7. PGE_Efficacité'!$A$6:$BT$266,(MATCH('4.3 ACE EFF CAN'!M$4,'7. PGE_Efficacité'!$A$4:$BU$4,0)+31),0)</f>
        <v>+</v>
      </c>
      <c r="N142" s="365" t="str">
        <f>VLOOKUP($E142,'7. PGE_Efficacité'!$A$6:$BT$266,(MATCH('4.3 ACE EFF CAN'!N$4,'7. PGE_Efficacité'!$A$4:$BU$4,0)+31),0)</f>
        <v>+</v>
      </c>
      <c r="O142" s="365" t="str">
        <f>VLOOKUP($E142,'7. PGE_Efficacité'!$A$6:$BT$266,(MATCH('4.3 ACE EFF CAN'!O$4,'7. PGE_Efficacité'!$A$4:$BU$4,0)+31),0)</f>
        <v>+</v>
      </c>
      <c r="P142" s="365">
        <f>VLOOKUP($E142,'7. PGE_Efficacité'!$A$6:$BT$266,(MATCH('4.3 ACE EFF CAN'!P$4,'7. PGE_Efficacité'!$A$4:$BU$4,0)+31),0)</f>
        <v>0</v>
      </c>
      <c r="Q142" s="365" t="str">
        <f>VLOOKUP($E142,'7. PGE_Efficacité'!$A$6:$BT$266,(MATCH('4.3 ACE EFF CAN'!Q$4,'7. PGE_Efficacité'!$A$4:$BU$4,0)+31),0)</f>
        <v>+</v>
      </c>
      <c r="R142" s="365" t="str">
        <f>VLOOKUP($E142,'7. PGE_Efficacité'!$A$6:$BT$266,(MATCH('4.3 ACE EFF CAN'!R$4,'7. PGE_Efficacité'!$A$4:$BU$4,0)+31),0)</f>
        <v>+</v>
      </c>
      <c r="S142" s="365">
        <f>VLOOKUP($E142,'7. PGE_Efficacité'!$A$6:$BT$266,(MATCH('4.3 ACE EFF CAN'!S$4,'7. PGE_Efficacité'!$A$4:$BU$4,0)+31),0)</f>
        <v>0</v>
      </c>
      <c r="T142" s="365">
        <f>VLOOKUP($E142,'7. PGE_Efficacité'!$A$6:$BT$266,(MATCH('4.3 ACE EFF CAN'!T$4,'7. PGE_Efficacité'!$A$4:$BU$4,0)+31),0)</f>
        <v>0</v>
      </c>
      <c r="U142" s="365" t="str">
        <f>VLOOKUP($E142,'7. PGE_Efficacité'!$A$6:$BT$266,(MATCH('4.3 ACE EFF CAN'!U$4,'7. PGE_Efficacité'!$A$4:$BU$4,0)+31),0)</f>
        <v>+</v>
      </c>
      <c r="V142" s="365" t="str">
        <f>VLOOKUP($E142,'7. PGE_Efficacité'!$A$6:$BT$266,(MATCH('4.3 ACE EFF CAN'!V$4,'7. PGE_Efficacité'!$A$4:$BU$4,0)+31),0)</f>
        <v>+</v>
      </c>
      <c r="W142" s="365" t="str">
        <f>VLOOKUP($E142,'7. PGE_Efficacité'!$A$6:$BT$266,(MATCH('4.3 ACE EFF CAN'!W$4,'7. PGE_Efficacité'!$A$4:$BU$4,0)+31),0)</f>
        <v>+</v>
      </c>
      <c r="X142" s="365">
        <f>VLOOKUP($E142,'7. PGE_Efficacité'!$A$6:$BT$266,(MATCH('4.3 ACE EFF CAN'!X$4,'7. PGE_Efficacité'!$A$4:$BU$4,0)+31),0)</f>
        <v>0</v>
      </c>
      <c r="Y142" s="365" t="str">
        <f>VLOOKUP($E142,'7. PGE_Efficacité'!$A$6:$BT$266,(MATCH('4.3 ACE EFF CAN'!Y$4,'7. PGE_Efficacité'!$A$4:$BU$4,0)+31),0)</f>
        <v>+</v>
      </c>
      <c r="Z142" s="365" t="str">
        <f>VLOOKUP($E142,'7. PGE_Efficacité'!$A$6:$BT$266,(MATCH('4.3 ACE EFF CAN'!Z$4,'7. PGE_Efficacité'!$A$4:$BU$4,0)+31),0)</f>
        <v>+</v>
      </c>
      <c r="AA142" s="365">
        <f>VLOOKUP($E142,'7. PGE_Efficacité'!$A$6:$BT$266,(MATCH('4.3 ACE EFF CAN'!AA$4,'7. PGE_Efficacité'!$A$4:$BU$4,0)+31),0)</f>
        <v>0</v>
      </c>
      <c r="AB142" s="365">
        <f>VLOOKUP($E142,'7. PGE_Efficacité'!$A$6:$BT$266,(MATCH('4.3 ACE EFF CAN'!AB$4,'7. PGE_Efficacité'!$A$4:$BU$4,0)+31),0)</f>
        <v>0</v>
      </c>
      <c r="AC142" s="365">
        <f>VLOOKUP($E142,'7. PGE_Efficacité'!$A$6:$BT$266,(MATCH('4.3 ACE EFF CAN'!AC$4,'7. PGE_Efficacité'!$A$4:$BU$4,0)+31),0)</f>
        <v>0</v>
      </c>
      <c r="AD142" s="365">
        <f>VLOOKUP($E142,'7. PGE_Efficacité'!$A$6:$BT$266,(MATCH('4.3 ACE EFF CAN'!AD$4,'7. PGE_Efficacité'!$A$4:$BU$4,0)+31),0)</f>
        <v>0</v>
      </c>
      <c r="AE142" s="365">
        <f>VLOOKUP($E142,'7. PGE_Efficacité'!$A$6:$BT$266,(MATCH('4.3 ACE EFF CAN'!AE$4,'7. PGE_Efficacité'!$A$4:$BU$4,0)+31),0)</f>
        <v>0</v>
      </c>
      <c r="AF142" s="365">
        <f>VLOOKUP($E142,'7. PGE_Efficacité'!$A$6:$BT$266,(MATCH('4.3 ACE EFF CAN'!AF$4,'7. PGE_Efficacité'!$A$4:$BU$4,0)+31),0)</f>
        <v>0</v>
      </c>
      <c r="AG142" s="365">
        <f>VLOOKUP($E142,'7. PGE_Efficacité'!$A$6:$BT$266,(MATCH('4.3 ACE EFF CAN'!AG$4,'7. PGE_Efficacité'!$A$4:$BU$4,0)+31),0)</f>
        <v>0</v>
      </c>
      <c r="AH142" s="365">
        <f>VLOOKUP($E142,'7. PGE_Efficacité'!$A$6:$BT$266,(MATCH('4.3 ACE EFF CAN'!AH$4,'7. PGE_Efficacité'!$A$4:$BU$4,0)+31),0)</f>
        <v>0</v>
      </c>
      <c r="AI142" s="365">
        <f>VLOOKUP($E142,'7. PGE_Efficacité'!$A$6:$BT$266,(MATCH('4.3 ACE EFF CAN'!AI$4,'7. PGE_Efficacité'!$A$4:$BU$4,0)+31),0)</f>
        <v>0</v>
      </c>
      <c r="AJ142" s="365">
        <f>VLOOKUP($E142,'7. PGE_Efficacité'!$A$6:$BT$266,(MATCH('4.3 ACE EFF CAN'!AJ$4,'7. PGE_Efficacité'!$A$4:$BU$4,0)+31),0)</f>
        <v>0</v>
      </c>
      <c r="AK142" s="365" t="str">
        <f>VLOOKUP($E142,'7. PGE_Efficacité'!$A$6:$BT$266,(MATCH('4.3 ACE EFF CAN'!AK$4,'7. PGE_Efficacité'!$A$4:$BU$4,0)+31),0)</f>
        <v>+</v>
      </c>
      <c r="AL142" s="365">
        <f>VLOOKUP($E142,'7. PGE_Efficacité'!$A$6:$BT$266,(MATCH('4.3 ACE EFF CAN'!AL$4,'7. PGE_Efficacité'!$A$4:$BU$4,0)+31),0)</f>
        <v>0</v>
      </c>
      <c r="AM142" s="365" t="str">
        <f>VLOOKUP($E142,'7. PGE_Efficacité'!$A$6:$BT$266,(MATCH('4.3 ACE EFF CAN'!AM$4,'7. PGE_Efficacité'!$A$4:$BU$4,0)+31),0)</f>
        <v>+</v>
      </c>
      <c r="AN142" s="365" t="str">
        <f>VLOOKUP($E142,'7. PGE_Efficacité'!$A$6:$BT$266,(MATCH('4.3 ACE EFF CAN'!AN$4,'7. PGE_Efficacité'!$A$4:$BU$4,0)+31),0)</f>
        <v>+</v>
      </c>
    </row>
    <row r="143" spans="1:40" outlineLevel="2" x14ac:dyDescent="0.25">
      <c r="A143" s="154" t="s">
        <v>1525</v>
      </c>
      <c r="B143" s="154">
        <v>3</v>
      </c>
      <c r="C143" s="154" t="s">
        <v>410</v>
      </c>
      <c r="D143" s="330" t="s">
        <v>38</v>
      </c>
      <c r="E143" s="330" t="s">
        <v>896</v>
      </c>
      <c r="F143" s="330" t="s">
        <v>1486</v>
      </c>
      <c r="G143" s="330" t="s">
        <v>1522</v>
      </c>
      <c r="H143" s="330" t="s">
        <v>1290</v>
      </c>
      <c r="I143" s="364">
        <f>15300000*0.45</f>
        <v>6885000</v>
      </c>
      <c r="J143" s="365">
        <f>VLOOKUP($E143,'7. PGE_Efficacité'!$A$6:$BT$266,(MATCH('4.3 ACE EFF CAN'!J$4,'7. PGE_Efficacité'!$A$4:$BU$4,0)+31),0)</f>
        <v>0</v>
      </c>
      <c r="K143" s="365">
        <f>VLOOKUP($E143,'7. PGE_Efficacité'!$A$6:$BT$266,(MATCH('4.3 ACE EFF CAN'!K$4,'7. PGE_Efficacité'!$A$4:$BU$4,0)+31),0)</f>
        <v>0</v>
      </c>
      <c r="L143" s="365">
        <f>VLOOKUP($E143,'7. PGE_Efficacité'!$A$6:$BT$266,(MATCH('4.3 ACE EFF CAN'!L$4,'7. PGE_Efficacité'!$A$4:$BU$4,0)+31),0)</f>
        <v>0</v>
      </c>
      <c r="M143" s="365">
        <f>VLOOKUP($E143,'7. PGE_Efficacité'!$A$6:$BT$266,(MATCH('4.3 ACE EFF CAN'!M$4,'7. PGE_Efficacité'!$A$4:$BU$4,0)+31),0)</f>
        <v>0</v>
      </c>
      <c r="N143" s="365">
        <f>VLOOKUP($E143,'7. PGE_Efficacité'!$A$6:$BT$266,(MATCH('4.3 ACE EFF CAN'!N$4,'7. PGE_Efficacité'!$A$4:$BU$4,0)+31),0)</f>
        <v>0</v>
      </c>
      <c r="O143" s="365">
        <f>VLOOKUP($E143,'7. PGE_Efficacité'!$A$6:$BT$266,(MATCH('4.3 ACE EFF CAN'!O$4,'7. PGE_Efficacité'!$A$4:$BU$4,0)+31),0)</f>
        <v>0</v>
      </c>
      <c r="P143" s="365">
        <f>VLOOKUP($E143,'7. PGE_Efficacité'!$A$6:$BT$266,(MATCH('4.3 ACE EFF CAN'!P$4,'7. PGE_Efficacité'!$A$4:$BU$4,0)+31),0)</f>
        <v>0</v>
      </c>
      <c r="Q143" s="365">
        <f>VLOOKUP($E143,'7. PGE_Efficacité'!$A$6:$BT$266,(MATCH('4.3 ACE EFF CAN'!Q$4,'7. PGE_Efficacité'!$A$4:$BU$4,0)+31),0)</f>
        <v>0</v>
      </c>
      <c r="R143" s="365">
        <f>VLOOKUP($E143,'7. PGE_Efficacité'!$A$6:$BT$266,(MATCH('4.3 ACE EFF CAN'!R$4,'7. PGE_Efficacité'!$A$4:$BU$4,0)+31),0)</f>
        <v>0</v>
      </c>
      <c r="S143" s="365">
        <f>VLOOKUP($E143,'7. PGE_Efficacité'!$A$6:$BT$266,(MATCH('4.3 ACE EFF CAN'!S$4,'7. PGE_Efficacité'!$A$4:$BU$4,0)+31),0)</f>
        <v>0</v>
      </c>
      <c r="T143" s="365">
        <f>VLOOKUP($E143,'7. PGE_Efficacité'!$A$6:$BT$266,(MATCH('4.3 ACE EFF CAN'!T$4,'7. PGE_Efficacité'!$A$4:$BU$4,0)+31),0)</f>
        <v>0</v>
      </c>
      <c r="U143" s="365">
        <f>VLOOKUP($E143,'7. PGE_Efficacité'!$A$6:$BT$266,(MATCH('4.3 ACE EFF CAN'!U$4,'7. PGE_Efficacité'!$A$4:$BU$4,0)+31),0)</f>
        <v>0</v>
      </c>
      <c r="V143" s="365">
        <f>VLOOKUP($E143,'7. PGE_Efficacité'!$A$6:$BT$266,(MATCH('4.3 ACE EFF CAN'!V$4,'7. PGE_Efficacité'!$A$4:$BU$4,0)+31),0)</f>
        <v>0</v>
      </c>
      <c r="W143" s="365">
        <f>VLOOKUP($E143,'7. PGE_Efficacité'!$A$6:$BT$266,(MATCH('4.3 ACE EFF CAN'!W$4,'7. PGE_Efficacité'!$A$4:$BU$4,0)+31),0)</f>
        <v>0</v>
      </c>
      <c r="X143" s="365">
        <f>VLOOKUP($E143,'7. PGE_Efficacité'!$A$6:$BT$266,(MATCH('4.3 ACE EFF CAN'!X$4,'7. PGE_Efficacité'!$A$4:$BU$4,0)+31),0)</f>
        <v>0</v>
      </c>
      <c r="Y143" s="365">
        <f>VLOOKUP($E143,'7. PGE_Efficacité'!$A$6:$BT$266,(MATCH('4.3 ACE EFF CAN'!Y$4,'7. PGE_Efficacité'!$A$4:$BU$4,0)+31),0)</f>
        <v>0</v>
      </c>
      <c r="Z143" s="365">
        <f>VLOOKUP($E143,'7. PGE_Efficacité'!$A$6:$BT$266,(MATCH('4.3 ACE EFF CAN'!Z$4,'7. PGE_Efficacité'!$A$4:$BU$4,0)+31),0)</f>
        <v>0</v>
      </c>
      <c r="AA143" s="365">
        <f>VLOOKUP($E143,'7. PGE_Efficacité'!$A$6:$BT$266,(MATCH('4.3 ACE EFF CAN'!AA$4,'7. PGE_Efficacité'!$A$4:$BU$4,0)+31),0)</f>
        <v>0</v>
      </c>
      <c r="AB143" s="365">
        <f>VLOOKUP($E143,'7. PGE_Efficacité'!$A$6:$BT$266,(MATCH('4.3 ACE EFF CAN'!AB$4,'7. PGE_Efficacité'!$A$4:$BU$4,0)+31),0)</f>
        <v>0</v>
      </c>
      <c r="AC143" s="365">
        <f>VLOOKUP($E143,'7. PGE_Efficacité'!$A$6:$BT$266,(MATCH('4.3 ACE EFF CAN'!AC$4,'7. PGE_Efficacité'!$A$4:$BU$4,0)+31),0)</f>
        <v>0</v>
      </c>
      <c r="AD143" s="365">
        <f>VLOOKUP($E143,'7. PGE_Efficacité'!$A$6:$BT$266,(MATCH('4.3 ACE EFF CAN'!AD$4,'7. PGE_Efficacité'!$A$4:$BU$4,0)+31),0)</f>
        <v>0</v>
      </c>
      <c r="AE143" s="365">
        <f>VLOOKUP($E143,'7. PGE_Efficacité'!$A$6:$BT$266,(MATCH('4.3 ACE EFF CAN'!AE$4,'7. PGE_Efficacité'!$A$4:$BU$4,0)+31),0)</f>
        <v>0</v>
      </c>
      <c r="AF143" s="365">
        <f>VLOOKUP($E143,'7. PGE_Efficacité'!$A$6:$BT$266,(MATCH('4.3 ACE EFF CAN'!AF$4,'7. PGE_Efficacité'!$A$4:$BU$4,0)+31),0)</f>
        <v>0</v>
      </c>
      <c r="AG143" s="365">
        <f>VLOOKUP($E143,'7. PGE_Efficacité'!$A$6:$BT$266,(MATCH('4.3 ACE EFF CAN'!AG$4,'7. PGE_Efficacité'!$A$4:$BU$4,0)+31),0)</f>
        <v>0</v>
      </c>
      <c r="AH143" s="365">
        <f>VLOOKUP($E143,'7. PGE_Efficacité'!$A$6:$BT$266,(MATCH('4.3 ACE EFF CAN'!AH$4,'7. PGE_Efficacité'!$A$4:$BU$4,0)+31),0)</f>
        <v>0</v>
      </c>
      <c r="AI143" s="365">
        <f>VLOOKUP($E143,'7. PGE_Efficacité'!$A$6:$BT$266,(MATCH('4.3 ACE EFF CAN'!AI$4,'7. PGE_Efficacité'!$A$4:$BU$4,0)+31),0)</f>
        <v>0</v>
      </c>
      <c r="AJ143" s="365">
        <f>VLOOKUP($E143,'7. PGE_Efficacité'!$A$6:$BT$266,(MATCH('4.3 ACE EFF CAN'!AJ$4,'7. PGE_Efficacité'!$A$4:$BU$4,0)+31),0)</f>
        <v>0</v>
      </c>
      <c r="AK143" s="365">
        <f>VLOOKUP($E143,'7. PGE_Efficacité'!$A$6:$BT$266,(MATCH('4.3 ACE EFF CAN'!AK$4,'7. PGE_Efficacité'!$A$4:$BU$4,0)+31),0)</f>
        <v>0</v>
      </c>
      <c r="AL143" s="365">
        <f>VLOOKUP($E143,'7. PGE_Efficacité'!$A$6:$BT$266,(MATCH('4.3 ACE EFF CAN'!AL$4,'7. PGE_Efficacité'!$A$4:$BU$4,0)+31),0)</f>
        <v>0</v>
      </c>
      <c r="AM143" s="365">
        <f>VLOOKUP($E143,'7. PGE_Efficacité'!$A$6:$BT$266,(MATCH('4.3 ACE EFF CAN'!AM$4,'7. PGE_Efficacité'!$A$4:$BU$4,0)+31),0)</f>
        <v>0</v>
      </c>
      <c r="AN143" s="365">
        <f>VLOOKUP($E143,'7. PGE_Efficacité'!$A$6:$BT$266,(MATCH('4.3 ACE EFF CAN'!AN$4,'7. PGE_Efficacité'!$A$4:$BU$4,0)+31),0)</f>
        <v>0</v>
      </c>
    </row>
    <row r="144" spans="1:40" outlineLevel="2" x14ac:dyDescent="0.25">
      <c r="A144" s="154" t="s">
        <v>1525</v>
      </c>
      <c r="B144" s="154">
        <v>3</v>
      </c>
      <c r="C144" s="154" t="s">
        <v>1528</v>
      </c>
      <c r="D144" s="330" t="s">
        <v>38</v>
      </c>
      <c r="E144" s="330" t="s">
        <v>897</v>
      </c>
      <c r="F144" s="330" t="s">
        <v>1487</v>
      </c>
      <c r="G144" s="330" t="s">
        <v>1522</v>
      </c>
      <c r="H144" s="330" t="s">
        <v>1290</v>
      </c>
      <c r="I144" s="364">
        <f>1980000*0.05/3</f>
        <v>33000</v>
      </c>
      <c r="J144" s="365">
        <f>VLOOKUP($E144,'7. PGE_Efficacité'!$A$6:$BT$266,(MATCH('4.3 ACE EFF CAN'!J$4,'7. PGE_Efficacité'!$A$4:$BU$4,0)+31),0)</f>
        <v>0</v>
      </c>
      <c r="K144" s="365">
        <f>VLOOKUP($E144,'7. PGE_Efficacité'!$A$6:$BT$266,(MATCH('4.3 ACE EFF CAN'!K$4,'7. PGE_Efficacité'!$A$4:$BU$4,0)+31),0)</f>
        <v>0</v>
      </c>
      <c r="L144" s="365">
        <f>VLOOKUP($E144,'7. PGE_Efficacité'!$A$6:$BT$266,(MATCH('4.3 ACE EFF CAN'!L$4,'7. PGE_Efficacité'!$A$4:$BU$4,0)+31),0)</f>
        <v>0</v>
      </c>
      <c r="M144" s="365">
        <f>VLOOKUP($E144,'7. PGE_Efficacité'!$A$6:$BT$266,(MATCH('4.3 ACE EFF CAN'!M$4,'7. PGE_Efficacité'!$A$4:$BU$4,0)+31),0)</f>
        <v>0</v>
      </c>
      <c r="N144" s="365">
        <f>VLOOKUP($E144,'7. PGE_Efficacité'!$A$6:$BT$266,(MATCH('4.3 ACE EFF CAN'!N$4,'7. PGE_Efficacité'!$A$4:$BU$4,0)+31),0)</f>
        <v>0</v>
      </c>
      <c r="O144" s="365">
        <f>VLOOKUP($E144,'7. PGE_Efficacité'!$A$6:$BT$266,(MATCH('4.3 ACE EFF CAN'!O$4,'7. PGE_Efficacité'!$A$4:$BU$4,0)+31),0)</f>
        <v>0</v>
      </c>
      <c r="P144" s="365">
        <f>VLOOKUP($E144,'7. PGE_Efficacité'!$A$6:$BT$266,(MATCH('4.3 ACE EFF CAN'!P$4,'7. PGE_Efficacité'!$A$4:$BU$4,0)+31),0)</f>
        <v>0</v>
      </c>
      <c r="Q144" s="365">
        <f>VLOOKUP($E144,'7. PGE_Efficacité'!$A$6:$BT$266,(MATCH('4.3 ACE EFF CAN'!Q$4,'7. PGE_Efficacité'!$A$4:$BU$4,0)+31),0)</f>
        <v>0</v>
      </c>
      <c r="R144" s="365">
        <f>VLOOKUP($E144,'7. PGE_Efficacité'!$A$6:$BT$266,(MATCH('4.3 ACE EFF CAN'!R$4,'7. PGE_Efficacité'!$A$4:$BU$4,0)+31),0)</f>
        <v>0</v>
      </c>
      <c r="S144" s="365">
        <f>VLOOKUP($E144,'7. PGE_Efficacité'!$A$6:$BT$266,(MATCH('4.3 ACE EFF CAN'!S$4,'7. PGE_Efficacité'!$A$4:$BU$4,0)+31),0)</f>
        <v>0</v>
      </c>
      <c r="T144" s="365">
        <f>VLOOKUP($E144,'7. PGE_Efficacité'!$A$6:$BT$266,(MATCH('4.3 ACE EFF CAN'!T$4,'7. PGE_Efficacité'!$A$4:$BU$4,0)+31),0)</f>
        <v>0</v>
      </c>
      <c r="U144" s="365">
        <f>VLOOKUP($E144,'7. PGE_Efficacité'!$A$6:$BT$266,(MATCH('4.3 ACE EFF CAN'!U$4,'7. PGE_Efficacité'!$A$4:$BU$4,0)+31),0)</f>
        <v>0</v>
      </c>
      <c r="V144" s="365">
        <f>VLOOKUP($E144,'7. PGE_Efficacité'!$A$6:$BT$266,(MATCH('4.3 ACE EFF CAN'!V$4,'7. PGE_Efficacité'!$A$4:$BU$4,0)+31),0)</f>
        <v>0</v>
      </c>
      <c r="W144" s="365">
        <f>VLOOKUP($E144,'7. PGE_Efficacité'!$A$6:$BT$266,(MATCH('4.3 ACE EFF CAN'!W$4,'7. PGE_Efficacité'!$A$4:$BU$4,0)+31),0)</f>
        <v>0</v>
      </c>
      <c r="X144" s="365">
        <f>VLOOKUP($E144,'7. PGE_Efficacité'!$A$6:$BT$266,(MATCH('4.3 ACE EFF CAN'!X$4,'7. PGE_Efficacité'!$A$4:$BU$4,0)+31),0)</f>
        <v>0</v>
      </c>
      <c r="Y144" s="365">
        <f>VLOOKUP($E144,'7. PGE_Efficacité'!$A$6:$BT$266,(MATCH('4.3 ACE EFF CAN'!Y$4,'7. PGE_Efficacité'!$A$4:$BU$4,0)+31),0)</f>
        <v>0</v>
      </c>
      <c r="Z144" s="365">
        <f>VLOOKUP($E144,'7. PGE_Efficacité'!$A$6:$BT$266,(MATCH('4.3 ACE EFF CAN'!Z$4,'7. PGE_Efficacité'!$A$4:$BU$4,0)+31),0)</f>
        <v>0</v>
      </c>
      <c r="AA144" s="365">
        <f>VLOOKUP($E144,'7. PGE_Efficacité'!$A$6:$BT$266,(MATCH('4.3 ACE EFF CAN'!AA$4,'7. PGE_Efficacité'!$A$4:$BU$4,0)+31),0)</f>
        <v>0</v>
      </c>
      <c r="AB144" s="365">
        <f>VLOOKUP($E144,'7. PGE_Efficacité'!$A$6:$BT$266,(MATCH('4.3 ACE EFF CAN'!AB$4,'7. PGE_Efficacité'!$A$4:$BU$4,0)+31),0)</f>
        <v>0</v>
      </c>
      <c r="AC144" s="365">
        <f>VLOOKUP($E144,'7. PGE_Efficacité'!$A$6:$BT$266,(MATCH('4.3 ACE EFF CAN'!AC$4,'7. PGE_Efficacité'!$A$4:$BU$4,0)+31),0)</f>
        <v>0</v>
      </c>
      <c r="AD144" s="365">
        <f>VLOOKUP($E144,'7. PGE_Efficacité'!$A$6:$BT$266,(MATCH('4.3 ACE EFF CAN'!AD$4,'7. PGE_Efficacité'!$A$4:$BU$4,0)+31),0)</f>
        <v>0</v>
      </c>
      <c r="AE144" s="365">
        <f>VLOOKUP($E144,'7. PGE_Efficacité'!$A$6:$BT$266,(MATCH('4.3 ACE EFF CAN'!AE$4,'7. PGE_Efficacité'!$A$4:$BU$4,0)+31),0)</f>
        <v>0</v>
      </c>
      <c r="AF144" s="365">
        <f>VLOOKUP($E144,'7. PGE_Efficacité'!$A$6:$BT$266,(MATCH('4.3 ACE EFF CAN'!AF$4,'7. PGE_Efficacité'!$A$4:$BU$4,0)+31),0)</f>
        <v>0</v>
      </c>
      <c r="AG144" s="365">
        <f>VLOOKUP($E144,'7. PGE_Efficacité'!$A$6:$BT$266,(MATCH('4.3 ACE EFF CAN'!AG$4,'7. PGE_Efficacité'!$A$4:$BU$4,0)+31),0)</f>
        <v>0</v>
      </c>
      <c r="AH144" s="365">
        <f>VLOOKUP($E144,'7. PGE_Efficacité'!$A$6:$BT$266,(MATCH('4.3 ACE EFF CAN'!AH$4,'7. PGE_Efficacité'!$A$4:$BU$4,0)+31),0)</f>
        <v>0</v>
      </c>
      <c r="AI144" s="365">
        <f>VLOOKUP($E144,'7. PGE_Efficacité'!$A$6:$BT$266,(MATCH('4.3 ACE EFF CAN'!AI$4,'7. PGE_Efficacité'!$A$4:$BU$4,0)+31),0)</f>
        <v>0</v>
      </c>
      <c r="AJ144" s="365">
        <f>VLOOKUP($E144,'7. PGE_Efficacité'!$A$6:$BT$266,(MATCH('4.3 ACE EFF CAN'!AJ$4,'7. PGE_Efficacité'!$A$4:$BU$4,0)+31),0)</f>
        <v>0</v>
      </c>
      <c r="AK144" s="365">
        <f>VLOOKUP($E144,'7. PGE_Efficacité'!$A$6:$BT$266,(MATCH('4.3 ACE EFF CAN'!AK$4,'7. PGE_Efficacité'!$A$4:$BU$4,0)+31),0)</f>
        <v>0</v>
      </c>
      <c r="AL144" s="365">
        <f>VLOOKUP($E144,'7. PGE_Efficacité'!$A$6:$BT$266,(MATCH('4.3 ACE EFF CAN'!AL$4,'7. PGE_Efficacité'!$A$4:$BU$4,0)+31),0)</f>
        <v>0</v>
      </c>
      <c r="AM144" s="365">
        <f>VLOOKUP($E144,'7. PGE_Efficacité'!$A$6:$BT$266,(MATCH('4.3 ACE EFF CAN'!AM$4,'7. PGE_Efficacité'!$A$4:$BU$4,0)+31),0)</f>
        <v>0</v>
      </c>
      <c r="AN144" s="365">
        <f>VLOOKUP($E144,'7. PGE_Efficacité'!$A$6:$BT$266,(MATCH('4.3 ACE EFF CAN'!AN$4,'7. PGE_Efficacité'!$A$4:$BU$4,0)+31),0)</f>
        <v>0</v>
      </c>
    </row>
    <row r="145" spans="1:40" ht="26.25" outlineLevel="1" x14ac:dyDescent="0.25">
      <c r="A145" s="154"/>
      <c r="B145" s="154"/>
      <c r="C145" s="154"/>
      <c r="D145" s="360" t="s">
        <v>65</v>
      </c>
      <c r="E145" s="360"/>
      <c r="F145" s="361" t="str">
        <f>VLOOKUP(D145,'1. Mesures'!$A$2:$B$116,2,0)</f>
        <v>Assurer le traitement des eaux résiduaires urbaines conformément à la directive 91/271/CEE et reprise de l’ensemble des ouvrages d’épuration par le secteur public</v>
      </c>
      <c r="G145" s="360"/>
      <c r="H145" s="360"/>
      <c r="I145" s="362">
        <f>SUBTOTAL(9,I146:I150)</f>
        <v>310800000</v>
      </c>
      <c r="J145" s="367"/>
      <c r="K145" s="367"/>
      <c r="L145" s="367"/>
      <c r="M145" s="367"/>
      <c r="N145" s="367"/>
      <c r="O145" s="367"/>
      <c r="P145" s="367"/>
      <c r="Q145" s="367"/>
      <c r="R145" s="367"/>
      <c r="S145" s="367"/>
      <c r="T145" s="367"/>
      <c r="U145" s="367"/>
      <c r="V145" s="367"/>
      <c r="W145" s="367"/>
      <c r="X145" s="367"/>
      <c r="Y145" s="367"/>
      <c r="Z145" s="367"/>
      <c r="AA145" s="367"/>
      <c r="AB145" s="367"/>
      <c r="AC145" s="367"/>
      <c r="AD145" s="367"/>
      <c r="AE145" s="367"/>
      <c r="AF145" s="367"/>
      <c r="AG145" s="367"/>
      <c r="AH145" s="367"/>
      <c r="AI145" s="367"/>
      <c r="AJ145" s="367"/>
      <c r="AK145" s="367"/>
      <c r="AL145" s="367"/>
      <c r="AM145" s="367"/>
      <c r="AN145" s="367"/>
    </row>
    <row r="146" spans="1:40" outlineLevel="2" x14ac:dyDescent="0.25">
      <c r="A146" s="154" t="s">
        <v>1526</v>
      </c>
      <c r="B146" s="154">
        <v>5</v>
      </c>
      <c r="C146" s="154" t="s">
        <v>1524</v>
      </c>
      <c r="D146" s="330" t="s">
        <v>65</v>
      </c>
      <c r="E146" s="330" t="s">
        <v>952</v>
      </c>
      <c r="F146" s="330" t="s">
        <v>1488</v>
      </c>
      <c r="G146" s="330" t="s">
        <v>1522</v>
      </c>
      <c r="H146" s="330" t="s">
        <v>1578</v>
      </c>
      <c r="I146" s="364">
        <v>310800000</v>
      </c>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row>
    <row r="147" spans="1:40" outlineLevel="2" x14ac:dyDescent="0.25">
      <c r="A147" s="154" t="s">
        <v>1526</v>
      </c>
      <c r="B147" s="154">
        <v>5</v>
      </c>
      <c r="C147" s="154" t="s">
        <v>1525</v>
      </c>
      <c r="D147" s="330" t="s">
        <v>65</v>
      </c>
      <c r="E147" s="330" t="s">
        <v>953</v>
      </c>
      <c r="F147" s="330" t="s">
        <v>1489</v>
      </c>
      <c r="G147" s="330" t="s">
        <v>1522</v>
      </c>
      <c r="H147" s="330" t="s">
        <v>1578</v>
      </c>
      <c r="I147" s="364">
        <v>0</v>
      </c>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c r="AK147" s="365"/>
      <c r="AL147" s="365"/>
      <c r="AM147" s="365"/>
      <c r="AN147" s="365"/>
    </row>
    <row r="148" spans="1:40" outlineLevel="2" x14ac:dyDescent="0.25">
      <c r="A148" s="154" t="s">
        <v>1526</v>
      </c>
      <c r="B148" s="154">
        <v>5</v>
      </c>
      <c r="C148" s="154" t="s">
        <v>1526</v>
      </c>
      <c r="D148" s="330" t="s">
        <v>65</v>
      </c>
      <c r="E148" s="330" t="s">
        <v>954</v>
      </c>
      <c r="F148" s="330" t="s">
        <v>1490</v>
      </c>
      <c r="G148" s="330" t="s">
        <v>1522</v>
      </c>
      <c r="H148" s="330" t="s">
        <v>1578</v>
      </c>
      <c r="I148" s="364">
        <v>0</v>
      </c>
      <c r="J148" s="365"/>
      <c r="K148" s="365"/>
      <c r="L148" s="365"/>
      <c r="M148" s="365"/>
      <c r="N148" s="365"/>
      <c r="O148" s="365"/>
      <c r="P148" s="365"/>
      <c r="Q148" s="365"/>
      <c r="R148" s="365"/>
      <c r="S148" s="365"/>
      <c r="T148" s="365"/>
      <c r="U148" s="365"/>
      <c r="V148" s="365"/>
      <c r="W148" s="365"/>
      <c r="X148" s="365"/>
      <c r="Y148" s="365"/>
      <c r="Z148" s="365"/>
      <c r="AA148" s="365"/>
      <c r="AB148" s="365"/>
      <c r="AC148" s="365"/>
      <c r="AD148" s="365"/>
      <c r="AE148" s="365"/>
      <c r="AF148" s="365"/>
      <c r="AG148" s="365"/>
      <c r="AH148" s="365"/>
      <c r="AI148" s="365"/>
      <c r="AJ148" s="365"/>
      <c r="AK148" s="365"/>
      <c r="AL148" s="365"/>
      <c r="AM148" s="365"/>
      <c r="AN148" s="365"/>
    </row>
    <row r="149" spans="1:40" outlineLevel="2" x14ac:dyDescent="0.25">
      <c r="A149" s="154" t="s">
        <v>1526</v>
      </c>
      <c r="B149" s="154">
        <v>5</v>
      </c>
      <c r="C149" s="154" t="s">
        <v>1527</v>
      </c>
      <c r="D149" s="330" t="s">
        <v>65</v>
      </c>
      <c r="E149" s="330" t="s">
        <v>955</v>
      </c>
      <c r="F149" s="330" t="s">
        <v>1491</v>
      </c>
      <c r="G149" s="330" t="s">
        <v>1522</v>
      </c>
      <c r="H149" s="330" t="s">
        <v>1578</v>
      </c>
      <c r="I149" s="364">
        <v>0</v>
      </c>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c r="AK149" s="365"/>
      <c r="AL149" s="365"/>
      <c r="AM149" s="365"/>
      <c r="AN149" s="365"/>
    </row>
    <row r="150" spans="1:40" outlineLevel="2" x14ac:dyDescent="0.25">
      <c r="A150" s="154" t="s">
        <v>1526</v>
      </c>
      <c r="B150" s="154">
        <v>5</v>
      </c>
      <c r="C150" s="154" t="s">
        <v>410</v>
      </c>
      <c r="D150" s="330" t="s">
        <v>65</v>
      </c>
      <c r="E150" s="330" t="s">
        <v>956</v>
      </c>
      <c r="F150" s="330" t="s">
        <v>1492</v>
      </c>
      <c r="G150" s="330" t="s">
        <v>1522</v>
      </c>
      <c r="H150" s="330" t="s">
        <v>1578</v>
      </c>
      <c r="I150" s="364">
        <v>0</v>
      </c>
      <c r="J150" s="365"/>
      <c r="K150" s="365"/>
      <c r="L150" s="365"/>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c r="AK150" s="365"/>
      <c r="AL150" s="365"/>
      <c r="AM150" s="365"/>
      <c r="AN150" s="365"/>
    </row>
    <row r="151" spans="1:40" ht="26.25" outlineLevel="1" x14ac:dyDescent="0.25">
      <c r="A151" s="154"/>
      <c r="B151" s="154"/>
      <c r="C151" s="154"/>
      <c r="D151" s="368" t="s">
        <v>79</v>
      </c>
      <c r="E151" s="368"/>
      <c r="F151" s="369" t="str">
        <f>VLOOKUP(D151,'1. Mesures'!$A$2:$B$116,2,0)</f>
        <v>Mettre en œuvre la GiEP dans l'espace public et privé, ainsi que les autres mesures de résilience climatique liées à la gestion de l’eau</v>
      </c>
      <c r="G151" s="368"/>
      <c r="H151" s="368"/>
      <c r="I151" s="370">
        <f>SUBTOTAL(9,I152:I162)</f>
        <v>50000</v>
      </c>
      <c r="J151" s="371"/>
      <c r="K151" s="371" t="s">
        <v>1575</v>
      </c>
      <c r="L151" s="371" t="s">
        <v>1590</v>
      </c>
      <c r="M151" s="371" t="s">
        <v>1575</v>
      </c>
      <c r="N151" s="371" t="s">
        <v>1575</v>
      </c>
      <c r="O151" s="371" t="s">
        <v>1575</v>
      </c>
      <c r="P151" s="371"/>
      <c r="Q151" s="371" t="s">
        <v>1590</v>
      </c>
      <c r="R151" s="371" t="s">
        <v>1590</v>
      </c>
      <c r="S151" s="371"/>
      <c r="T151" s="371" t="s">
        <v>1590</v>
      </c>
      <c r="U151" s="371" t="s">
        <v>1590</v>
      </c>
      <c r="V151" s="371" t="s">
        <v>1590</v>
      </c>
      <c r="W151" s="371" t="s">
        <v>1590</v>
      </c>
      <c r="X151" s="371"/>
      <c r="Y151" s="371" t="s">
        <v>1590</v>
      </c>
      <c r="Z151" s="371" t="s">
        <v>1590</v>
      </c>
      <c r="AA151" s="371"/>
      <c r="AB151" s="371"/>
      <c r="AC151" s="371"/>
      <c r="AD151" s="371"/>
      <c r="AE151" s="371"/>
      <c r="AF151" s="371"/>
      <c r="AG151" s="371" t="s">
        <v>1590</v>
      </c>
      <c r="AH151" s="371" t="s">
        <v>1590</v>
      </c>
      <c r="AI151" s="371"/>
      <c r="AJ151" s="371"/>
      <c r="AK151" s="371" t="s">
        <v>1590</v>
      </c>
      <c r="AL151" s="371"/>
      <c r="AM151" s="371" t="s">
        <v>1590</v>
      </c>
      <c r="AN151" s="371" t="s">
        <v>1590</v>
      </c>
    </row>
    <row r="152" spans="1:40" outlineLevel="2" x14ac:dyDescent="0.25">
      <c r="A152" s="154" t="s">
        <v>410</v>
      </c>
      <c r="B152" s="154">
        <v>4</v>
      </c>
      <c r="C152" s="154" t="s">
        <v>1524</v>
      </c>
      <c r="D152" s="358" t="s">
        <v>79</v>
      </c>
      <c r="E152" s="358" t="s">
        <v>417</v>
      </c>
      <c r="F152" s="358" t="s">
        <v>1293</v>
      </c>
      <c r="G152" s="358" t="s">
        <v>1520</v>
      </c>
      <c r="H152" s="358" t="s">
        <v>1290</v>
      </c>
      <c r="I152" s="358">
        <v>0</v>
      </c>
      <c r="J152" s="359"/>
      <c r="K152" s="359"/>
      <c r="L152" s="359"/>
      <c r="M152" s="359"/>
      <c r="N152" s="359"/>
      <c r="O152" s="359"/>
      <c r="P152" s="359"/>
      <c r="Q152" s="359"/>
      <c r="R152" s="359"/>
      <c r="S152" s="359"/>
      <c r="T152" s="359"/>
      <c r="U152" s="359"/>
      <c r="V152" s="359"/>
      <c r="W152" s="359"/>
      <c r="X152" s="359"/>
      <c r="Y152" s="359"/>
      <c r="Z152" s="359"/>
      <c r="AA152" s="359"/>
      <c r="AB152" s="359"/>
      <c r="AC152" s="359"/>
      <c r="AD152" s="359"/>
      <c r="AE152" s="359"/>
      <c r="AF152" s="359"/>
      <c r="AG152" s="359"/>
      <c r="AH152" s="359"/>
      <c r="AI152" s="359"/>
      <c r="AJ152" s="359"/>
      <c r="AK152" s="359"/>
      <c r="AL152" s="359"/>
      <c r="AM152" s="359"/>
      <c r="AN152" s="359"/>
    </row>
    <row r="153" spans="1:40" outlineLevel="2" x14ac:dyDescent="0.25">
      <c r="A153" s="154" t="s">
        <v>410</v>
      </c>
      <c r="B153" s="154">
        <v>4</v>
      </c>
      <c r="C153" s="154" t="s">
        <v>1525</v>
      </c>
      <c r="D153" s="358" t="s">
        <v>79</v>
      </c>
      <c r="E153" s="358" t="s">
        <v>418</v>
      </c>
      <c r="F153" s="358" t="s">
        <v>1294</v>
      </c>
      <c r="G153" s="358" t="s">
        <v>1520</v>
      </c>
      <c r="H153" s="358" t="s">
        <v>1290</v>
      </c>
      <c r="I153" s="358">
        <v>0</v>
      </c>
      <c r="J153" s="359"/>
      <c r="K153" s="359"/>
      <c r="L153" s="359"/>
      <c r="M153" s="359"/>
      <c r="N153" s="359"/>
      <c r="O153" s="359"/>
      <c r="P153" s="359"/>
      <c r="Q153" s="359"/>
      <c r="R153" s="359"/>
      <c r="S153" s="359"/>
      <c r="T153" s="359"/>
      <c r="U153" s="359"/>
      <c r="V153" s="359"/>
      <c r="W153" s="359"/>
      <c r="X153" s="359"/>
      <c r="Y153" s="359"/>
      <c r="Z153" s="359"/>
      <c r="AA153" s="359"/>
      <c r="AB153" s="359"/>
      <c r="AC153" s="359"/>
      <c r="AD153" s="359"/>
      <c r="AE153" s="359"/>
      <c r="AF153" s="359"/>
      <c r="AG153" s="359"/>
      <c r="AH153" s="359"/>
      <c r="AI153" s="359"/>
      <c r="AJ153" s="359"/>
      <c r="AK153" s="359"/>
      <c r="AL153" s="359"/>
      <c r="AM153" s="359"/>
      <c r="AN153" s="359"/>
    </row>
    <row r="154" spans="1:40" outlineLevel="2" x14ac:dyDescent="0.25">
      <c r="A154" s="154" t="s">
        <v>410</v>
      </c>
      <c r="B154" s="154">
        <v>4</v>
      </c>
      <c r="C154" s="154" t="s">
        <v>1526</v>
      </c>
      <c r="D154" s="358" t="s">
        <v>79</v>
      </c>
      <c r="E154" s="358" t="s">
        <v>419</v>
      </c>
      <c r="F154" s="358" t="s">
        <v>1295</v>
      </c>
      <c r="G154" s="358" t="s">
        <v>1520</v>
      </c>
      <c r="H154" s="358" t="s">
        <v>1290</v>
      </c>
      <c r="I154" s="358">
        <v>0</v>
      </c>
      <c r="J154" s="359"/>
      <c r="K154" s="359"/>
      <c r="L154" s="359"/>
      <c r="M154" s="359"/>
      <c r="N154" s="359"/>
      <c r="O154" s="359"/>
      <c r="P154" s="359"/>
      <c r="Q154" s="359"/>
      <c r="R154" s="359"/>
      <c r="S154" s="359"/>
      <c r="T154" s="359"/>
      <c r="U154" s="359"/>
      <c r="V154" s="359"/>
      <c r="W154" s="359"/>
      <c r="X154" s="359"/>
      <c r="Y154" s="359"/>
      <c r="Z154" s="359"/>
      <c r="AA154" s="359"/>
      <c r="AB154" s="359"/>
      <c r="AC154" s="359"/>
      <c r="AD154" s="359"/>
      <c r="AE154" s="359"/>
      <c r="AF154" s="359"/>
      <c r="AG154" s="359"/>
      <c r="AH154" s="359"/>
      <c r="AI154" s="359"/>
      <c r="AJ154" s="359"/>
      <c r="AK154" s="359"/>
      <c r="AL154" s="359"/>
      <c r="AM154" s="359"/>
      <c r="AN154" s="359"/>
    </row>
    <row r="155" spans="1:40" outlineLevel="2" x14ac:dyDescent="0.25">
      <c r="A155" s="154" t="s">
        <v>410</v>
      </c>
      <c r="B155" s="154">
        <v>4</v>
      </c>
      <c r="C155" s="154" t="s">
        <v>1527</v>
      </c>
      <c r="D155" s="358" t="s">
        <v>79</v>
      </c>
      <c r="E155" s="358" t="s">
        <v>420</v>
      </c>
      <c r="F155" s="358" t="s">
        <v>1296</v>
      </c>
      <c r="G155" s="358" t="s">
        <v>1520</v>
      </c>
      <c r="H155" s="358" t="s">
        <v>1290</v>
      </c>
      <c r="I155" s="358">
        <v>0</v>
      </c>
      <c r="J155" s="359"/>
      <c r="K155" s="359"/>
      <c r="L155" s="359"/>
      <c r="M155" s="359"/>
      <c r="N155" s="359"/>
      <c r="O155" s="359"/>
      <c r="P155" s="359"/>
      <c r="Q155" s="359"/>
      <c r="R155" s="359"/>
      <c r="S155" s="359"/>
      <c r="T155" s="359"/>
      <c r="U155" s="359"/>
      <c r="V155" s="359"/>
      <c r="W155" s="359"/>
      <c r="X155" s="359"/>
      <c r="Y155" s="359"/>
      <c r="Z155" s="359"/>
      <c r="AA155" s="359"/>
      <c r="AB155" s="359"/>
      <c r="AC155" s="359"/>
      <c r="AD155" s="359"/>
      <c r="AE155" s="359"/>
      <c r="AF155" s="359"/>
      <c r="AG155" s="359"/>
      <c r="AH155" s="359"/>
      <c r="AI155" s="359"/>
      <c r="AJ155" s="359"/>
      <c r="AK155" s="359"/>
      <c r="AL155" s="359"/>
      <c r="AM155" s="359"/>
      <c r="AN155" s="359"/>
    </row>
    <row r="156" spans="1:40" outlineLevel="2" x14ac:dyDescent="0.25">
      <c r="A156" s="154" t="s">
        <v>410</v>
      </c>
      <c r="B156" s="154">
        <v>4</v>
      </c>
      <c r="C156" s="154" t="s">
        <v>410</v>
      </c>
      <c r="D156" s="358" t="s">
        <v>79</v>
      </c>
      <c r="E156" s="358" t="s">
        <v>421</v>
      </c>
      <c r="F156" s="358" t="s">
        <v>1297</v>
      </c>
      <c r="G156" s="358" t="s">
        <v>1520</v>
      </c>
      <c r="H156" s="358" t="s">
        <v>1290</v>
      </c>
      <c r="I156" s="358">
        <f>200000*0.05</f>
        <v>10000</v>
      </c>
      <c r="J156" s="359"/>
      <c r="K156" s="359"/>
      <c r="L156" s="359"/>
      <c r="M156" s="359"/>
      <c r="N156" s="359"/>
      <c r="O156" s="359"/>
      <c r="P156" s="359"/>
      <c r="Q156" s="359"/>
      <c r="R156" s="359"/>
      <c r="S156" s="359"/>
      <c r="T156" s="359"/>
      <c r="U156" s="359"/>
      <c r="V156" s="359"/>
      <c r="W156" s="359"/>
      <c r="X156" s="359"/>
      <c r="Y156" s="359"/>
      <c r="Z156" s="359"/>
      <c r="AA156" s="359"/>
      <c r="AB156" s="359"/>
      <c r="AC156" s="359"/>
      <c r="AD156" s="359"/>
      <c r="AE156" s="359"/>
      <c r="AF156" s="359"/>
      <c r="AG156" s="359"/>
      <c r="AH156" s="359"/>
      <c r="AI156" s="359"/>
      <c r="AJ156" s="359"/>
      <c r="AK156" s="359"/>
      <c r="AL156" s="359"/>
      <c r="AM156" s="359"/>
      <c r="AN156" s="359"/>
    </row>
    <row r="157" spans="1:40" outlineLevel="2" x14ac:dyDescent="0.25">
      <c r="A157" s="154" t="s">
        <v>410</v>
      </c>
      <c r="B157" s="154">
        <v>4</v>
      </c>
      <c r="C157" s="154" t="s">
        <v>1528</v>
      </c>
      <c r="D157" s="358" t="s">
        <v>79</v>
      </c>
      <c r="E157" s="358" t="s">
        <v>422</v>
      </c>
      <c r="F157" s="358" t="s">
        <v>1298</v>
      </c>
      <c r="G157" s="358" t="s">
        <v>1520</v>
      </c>
      <c r="H157" s="358" t="s">
        <v>1290</v>
      </c>
      <c r="I157" s="358">
        <f>800000*0.05</f>
        <v>40000</v>
      </c>
      <c r="J157" s="359"/>
      <c r="K157" s="359"/>
      <c r="L157" s="359"/>
      <c r="M157" s="359"/>
      <c r="N157" s="359"/>
      <c r="O157" s="359"/>
      <c r="P157" s="359"/>
      <c r="Q157" s="359"/>
      <c r="R157" s="359"/>
      <c r="S157" s="359"/>
      <c r="T157" s="359"/>
      <c r="U157" s="359"/>
      <c r="V157" s="359"/>
      <c r="W157" s="359"/>
      <c r="X157" s="359"/>
      <c r="Y157" s="359"/>
      <c r="Z157" s="359"/>
      <c r="AA157" s="359"/>
      <c r="AB157" s="359"/>
      <c r="AC157" s="359"/>
      <c r="AD157" s="359"/>
      <c r="AE157" s="359"/>
      <c r="AF157" s="359"/>
      <c r="AG157" s="359"/>
      <c r="AH157" s="359"/>
      <c r="AI157" s="359"/>
      <c r="AJ157" s="359"/>
      <c r="AK157" s="359"/>
      <c r="AL157" s="359"/>
      <c r="AM157" s="359"/>
      <c r="AN157" s="359"/>
    </row>
    <row r="158" spans="1:40" outlineLevel="2" x14ac:dyDescent="0.25">
      <c r="A158" s="154" t="s">
        <v>410</v>
      </c>
      <c r="B158" s="154">
        <v>4</v>
      </c>
      <c r="C158" s="154" t="s">
        <v>1529</v>
      </c>
      <c r="D158" s="358" t="s">
        <v>79</v>
      </c>
      <c r="E158" s="358" t="s">
        <v>423</v>
      </c>
      <c r="F158" s="358" t="s">
        <v>1493</v>
      </c>
      <c r="G158" s="358" t="s">
        <v>1520</v>
      </c>
      <c r="H158" s="358">
        <v>0</v>
      </c>
      <c r="I158" s="358">
        <v>0</v>
      </c>
      <c r="J158" s="359"/>
      <c r="K158" s="359"/>
      <c r="L158" s="359"/>
      <c r="M158" s="359"/>
      <c r="N158" s="359"/>
      <c r="O158" s="359"/>
      <c r="P158" s="359"/>
      <c r="Q158" s="359"/>
      <c r="R158" s="359"/>
      <c r="S158" s="359"/>
      <c r="T158" s="359"/>
      <c r="U158" s="359"/>
      <c r="V158" s="359"/>
      <c r="W158" s="359"/>
      <c r="X158" s="359"/>
      <c r="Y158" s="359"/>
      <c r="Z158" s="359"/>
      <c r="AA158" s="359"/>
      <c r="AB158" s="359"/>
      <c r="AC158" s="359"/>
      <c r="AD158" s="359"/>
      <c r="AE158" s="359"/>
      <c r="AF158" s="359"/>
      <c r="AG158" s="359"/>
      <c r="AH158" s="359"/>
      <c r="AI158" s="359"/>
      <c r="AJ158" s="359"/>
      <c r="AK158" s="359"/>
      <c r="AL158" s="359"/>
      <c r="AM158" s="359"/>
      <c r="AN158" s="359"/>
    </row>
    <row r="159" spans="1:40" outlineLevel="2" x14ac:dyDescent="0.25">
      <c r="A159" s="154" t="s">
        <v>410</v>
      </c>
      <c r="B159" s="154">
        <v>4</v>
      </c>
      <c r="C159" s="154" t="s">
        <v>1532</v>
      </c>
      <c r="D159" s="358" t="s">
        <v>79</v>
      </c>
      <c r="E159" s="358" t="s">
        <v>424</v>
      </c>
      <c r="F159" s="358" t="s">
        <v>1494</v>
      </c>
      <c r="G159" s="358" t="s">
        <v>1520</v>
      </c>
      <c r="H159" s="358" t="s">
        <v>1290</v>
      </c>
      <c r="I159" s="358">
        <v>0</v>
      </c>
      <c r="J159" s="359"/>
      <c r="K159" s="359"/>
      <c r="L159" s="359"/>
      <c r="M159" s="359"/>
      <c r="N159" s="359"/>
      <c r="O159" s="359"/>
      <c r="P159" s="359"/>
      <c r="Q159" s="359"/>
      <c r="R159" s="359"/>
      <c r="S159" s="359"/>
      <c r="T159" s="359"/>
      <c r="U159" s="359"/>
      <c r="V159" s="359"/>
      <c r="W159" s="359"/>
      <c r="X159" s="359"/>
      <c r="Y159" s="359"/>
      <c r="Z159" s="359"/>
      <c r="AA159" s="359"/>
      <c r="AB159" s="359"/>
      <c r="AC159" s="359"/>
      <c r="AD159" s="359"/>
      <c r="AE159" s="359"/>
      <c r="AF159" s="359"/>
      <c r="AG159" s="359"/>
      <c r="AH159" s="359"/>
      <c r="AI159" s="359"/>
      <c r="AJ159" s="359"/>
      <c r="AK159" s="359"/>
      <c r="AL159" s="359"/>
      <c r="AM159" s="359"/>
      <c r="AN159" s="359"/>
    </row>
    <row r="160" spans="1:40" outlineLevel="2" x14ac:dyDescent="0.25">
      <c r="A160" s="154" t="s">
        <v>410</v>
      </c>
      <c r="B160" s="154">
        <v>4</v>
      </c>
      <c r="C160" s="154" t="s">
        <v>1533</v>
      </c>
      <c r="D160" s="358" t="s">
        <v>79</v>
      </c>
      <c r="E160" s="358" t="s">
        <v>425</v>
      </c>
      <c r="F160" s="358" t="s">
        <v>1495</v>
      </c>
      <c r="G160" s="358" t="s">
        <v>1520</v>
      </c>
      <c r="H160" s="358">
        <v>0</v>
      </c>
      <c r="I160" s="358">
        <v>0</v>
      </c>
      <c r="J160" s="359"/>
      <c r="K160" s="359"/>
      <c r="L160" s="359"/>
      <c r="M160" s="359"/>
      <c r="N160" s="359"/>
      <c r="O160" s="359"/>
      <c r="P160" s="359"/>
      <c r="Q160" s="359"/>
      <c r="R160" s="359"/>
      <c r="S160" s="359"/>
      <c r="T160" s="359"/>
      <c r="U160" s="359"/>
      <c r="V160" s="359"/>
      <c r="W160" s="359"/>
      <c r="X160" s="359"/>
      <c r="Y160" s="359"/>
      <c r="Z160" s="359"/>
      <c r="AA160" s="359"/>
      <c r="AB160" s="359"/>
      <c r="AC160" s="359"/>
      <c r="AD160" s="359"/>
      <c r="AE160" s="359"/>
      <c r="AF160" s="359"/>
      <c r="AG160" s="359"/>
      <c r="AH160" s="359"/>
      <c r="AI160" s="359"/>
      <c r="AJ160" s="359"/>
      <c r="AK160" s="359"/>
      <c r="AL160" s="359"/>
      <c r="AM160" s="359"/>
      <c r="AN160" s="359"/>
    </row>
    <row r="161" spans="1:40" outlineLevel="2" x14ac:dyDescent="0.25">
      <c r="A161" s="154" t="s">
        <v>410</v>
      </c>
      <c r="B161" s="154">
        <v>4</v>
      </c>
      <c r="C161" s="154" t="s">
        <v>1534</v>
      </c>
      <c r="D161" s="358" t="s">
        <v>79</v>
      </c>
      <c r="E161" s="358" t="s">
        <v>426</v>
      </c>
      <c r="F161" s="358" t="s">
        <v>1496</v>
      </c>
      <c r="G161" s="358" t="s">
        <v>1520</v>
      </c>
      <c r="H161" s="358" t="s">
        <v>1290</v>
      </c>
      <c r="I161" s="358">
        <v>0</v>
      </c>
      <c r="J161" s="359"/>
      <c r="K161" s="359"/>
      <c r="L161" s="359"/>
      <c r="M161" s="359"/>
      <c r="N161" s="359"/>
      <c r="O161" s="359"/>
      <c r="P161" s="359"/>
      <c r="Q161" s="359"/>
      <c r="R161" s="359"/>
      <c r="S161" s="359"/>
      <c r="T161" s="359"/>
      <c r="U161" s="359"/>
      <c r="V161" s="359"/>
      <c r="W161" s="359"/>
      <c r="X161" s="359"/>
      <c r="Y161" s="359"/>
      <c r="Z161" s="359"/>
      <c r="AA161" s="359"/>
      <c r="AB161" s="359"/>
      <c r="AC161" s="359"/>
      <c r="AD161" s="359"/>
      <c r="AE161" s="359"/>
      <c r="AF161" s="359"/>
      <c r="AG161" s="359"/>
      <c r="AH161" s="359"/>
      <c r="AI161" s="359"/>
      <c r="AJ161" s="359"/>
      <c r="AK161" s="359"/>
      <c r="AL161" s="359"/>
      <c r="AM161" s="359"/>
      <c r="AN161" s="359"/>
    </row>
    <row r="162" spans="1:40" outlineLevel="2" x14ac:dyDescent="0.25">
      <c r="A162" s="154" t="s">
        <v>410</v>
      </c>
      <c r="B162" s="154">
        <v>4</v>
      </c>
      <c r="C162" s="154" t="s">
        <v>1535</v>
      </c>
      <c r="D162" s="358" t="s">
        <v>79</v>
      </c>
      <c r="E162" s="358" t="s">
        <v>427</v>
      </c>
      <c r="F162" s="358" t="s">
        <v>1497</v>
      </c>
      <c r="G162" s="358" t="s">
        <v>1520</v>
      </c>
      <c r="H162" s="358" t="s">
        <v>1290</v>
      </c>
      <c r="I162" s="358">
        <v>0</v>
      </c>
      <c r="J162" s="359"/>
      <c r="K162" s="359"/>
      <c r="L162" s="359"/>
      <c r="M162" s="359"/>
      <c r="N162" s="359"/>
      <c r="O162" s="359"/>
      <c r="P162" s="359"/>
      <c r="Q162" s="359"/>
      <c r="R162" s="359"/>
      <c r="S162" s="359"/>
      <c r="T162" s="359"/>
      <c r="U162" s="359"/>
      <c r="V162" s="359"/>
      <c r="W162" s="359"/>
      <c r="X162" s="359"/>
      <c r="Y162" s="359"/>
      <c r="Z162" s="359"/>
      <c r="AA162" s="359"/>
      <c r="AB162" s="359"/>
      <c r="AC162" s="359"/>
      <c r="AD162" s="359"/>
      <c r="AE162" s="359"/>
      <c r="AF162" s="359"/>
      <c r="AG162" s="359"/>
      <c r="AH162" s="359"/>
      <c r="AI162" s="359"/>
      <c r="AJ162" s="359"/>
      <c r="AK162" s="359"/>
      <c r="AL162" s="359"/>
      <c r="AM162" s="359"/>
      <c r="AN162" s="359"/>
    </row>
    <row r="164" spans="1:40" x14ac:dyDescent="0.25">
      <c r="J164" s="150" t="s">
        <v>1613</v>
      </c>
    </row>
    <row r="165" spans="1:40" x14ac:dyDescent="0.25">
      <c r="J165" s="151" t="s">
        <v>1614</v>
      </c>
      <c r="K165" s="75"/>
      <c r="L165" s="75"/>
      <c r="M165" s="75"/>
      <c r="N165" s="75"/>
    </row>
    <row r="166" spans="1:40" x14ac:dyDescent="0.25">
      <c r="J166" s="152" t="s">
        <v>1615</v>
      </c>
      <c r="K166" s="152"/>
      <c r="L166" s="152"/>
      <c r="M166" s="152"/>
      <c r="N166" s="152"/>
    </row>
  </sheetData>
  <autoFilter ref="D5:AN162" xr:uid="{00000000-0009-0000-0000-000008000000}"/>
  <mergeCells count="9">
    <mergeCell ref="R3:T3"/>
    <mergeCell ref="U3:W3"/>
    <mergeCell ref="J2:W2"/>
    <mergeCell ref="J1:AN1"/>
    <mergeCell ref="J3:N3"/>
    <mergeCell ref="P3:Q3"/>
    <mergeCell ref="AG3:AI3"/>
    <mergeCell ref="AJ3:AN3"/>
    <mergeCell ref="Z3:AF3"/>
  </mergeCells>
  <conditionalFormatting sqref="I7 I14 I16 I31 I45 I53 I60 I66 I69 I73 I84 I89 I91 I97 I109 I120 I134 I136 I138 I145 I151">
    <cfRule type="cellIs" dxfId="26" priority="4" operator="greaterThan">
      <formula>10000000</formula>
    </cfRule>
    <cfRule type="cellIs" dxfId="25" priority="5" operator="between">
      <formula>1000000</formula>
      <formula>10000000</formula>
    </cfRule>
    <cfRule type="cellIs" dxfId="24" priority="6" operator="lessThanOrEqual">
      <formula>1000000</formula>
    </cfRule>
  </conditionalFormatting>
  <conditionalFormatting sqref="I132">
    <cfRule type="cellIs" dxfId="23" priority="1" operator="greaterThan">
      <formula>10000000</formula>
    </cfRule>
    <cfRule type="cellIs" dxfId="22" priority="2" operator="between">
      <formula>1000000</formula>
      <formula>10000000</formula>
    </cfRule>
    <cfRule type="cellIs" dxfId="21" priority="3" operator="lessThanOrEqual">
      <formula>1000000</formula>
    </cfRule>
  </conditionalFormatting>
  <pageMargins left="0.7" right="0.7" top="0.75" bottom="0.75" header="0.3" footer="0.3"/>
  <ignoredErrors>
    <ignoredError sqref="AN138 J134:AM138 J14:AN73 J84:AM1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2">
    <tabColor theme="6"/>
    <outlinePr summaryBelow="0"/>
    <pageSetUpPr fitToPage="1"/>
  </sheetPr>
  <dimension ref="A1:AK216"/>
  <sheetViews>
    <sheetView showGridLines="0" topLeftCell="A51" zoomScale="70" zoomScaleNormal="70" workbookViewId="0">
      <selection activeCell="C160" sqref="C160"/>
    </sheetView>
  </sheetViews>
  <sheetFormatPr baseColWidth="10" defaultColWidth="10.85546875" defaultRowHeight="15" outlineLevelRow="3" x14ac:dyDescent="0.25"/>
  <cols>
    <col min="1" max="1" width="10.42578125" customWidth="1"/>
    <col min="2" max="2" width="14.42578125" bestFit="1" customWidth="1"/>
    <col min="3" max="3" width="68" customWidth="1"/>
    <col min="4" max="4" width="11.42578125" customWidth="1"/>
    <col min="5" max="5" width="16.140625" bestFit="1" customWidth="1"/>
    <col min="6" max="6" width="21.140625" style="69" customWidth="1"/>
    <col min="12" max="12" width="6" bestFit="1" customWidth="1"/>
    <col min="33" max="33" width="8.85546875" customWidth="1"/>
    <col min="34" max="34" width="9.85546875" customWidth="1"/>
    <col min="35" max="35" width="8.85546875" customWidth="1"/>
    <col min="36" max="37" width="9.42578125" customWidth="1"/>
  </cols>
  <sheetData>
    <row r="1" spans="1:37" ht="20.25" x14ac:dyDescent="0.3">
      <c r="G1" s="52" t="s">
        <v>498</v>
      </c>
      <c r="H1" s="53"/>
      <c r="I1" s="53"/>
      <c r="J1" s="53"/>
      <c r="K1" s="53"/>
      <c r="L1" s="53"/>
      <c r="M1" s="53"/>
      <c r="N1" s="53"/>
      <c r="O1" s="53"/>
      <c r="P1" s="53"/>
      <c r="Q1" s="53"/>
      <c r="R1" s="53"/>
      <c r="S1" s="53"/>
      <c r="T1" s="53"/>
      <c r="U1" s="53"/>
      <c r="V1" s="54"/>
      <c r="W1" s="55"/>
      <c r="X1" s="53"/>
      <c r="Y1" s="53"/>
      <c r="Z1" s="53"/>
      <c r="AA1" s="53"/>
      <c r="AB1" s="53"/>
      <c r="AC1" s="53"/>
      <c r="AD1" s="55"/>
      <c r="AE1" s="53"/>
      <c r="AF1" s="53"/>
      <c r="AG1" s="55"/>
      <c r="AH1" s="53"/>
      <c r="AI1" s="53"/>
      <c r="AJ1" s="53"/>
      <c r="AK1" s="53"/>
    </row>
    <row r="2" spans="1:37" x14ac:dyDescent="0.25">
      <c r="G2" s="600" t="s">
        <v>1536</v>
      </c>
      <c r="H2" s="601"/>
      <c r="I2" s="601"/>
      <c r="J2" s="601"/>
      <c r="K2" s="601"/>
      <c r="L2" s="601"/>
      <c r="M2" s="601"/>
      <c r="N2" s="601"/>
      <c r="O2" s="601"/>
      <c r="P2" s="601"/>
      <c r="Q2" s="601"/>
      <c r="R2" s="601"/>
      <c r="S2" s="601"/>
      <c r="T2" s="601"/>
      <c r="U2" s="601"/>
      <c r="V2" s="602"/>
      <c r="W2" s="57"/>
      <c r="X2" s="56"/>
      <c r="Y2" s="56"/>
      <c r="Z2" s="56"/>
      <c r="AA2" s="56"/>
      <c r="AB2" s="56"/>
      <c r="AC2" s="56"/>
      <c r="AD2" s="58"/>
      <c r="AE2" s="56"/>
      <c r="AF2" s="56"/>
      <c r="AG2" s="58"/>
      <c r="AH2" s="56"/>
      <c r="AI2" s="56"/>
      <c r="AJ2" s="56"/>
      <c r="AK2" s="56"/>
    </row>
    <row r="3" spans="1:37" ht="28.5" customHeight="1" x14ac:dyDescent="0.25">
      <c r="G3" s="603" t="s">
        <v>1540</v>
      </c>
      <c r="H3" s="603"/>
      <c r="I3" s="603"/>
      <c r="J3" s="603"/>
      <c r="K3" s="604"/>
      <c r="L3" s="59" t="s">
        <v>1541</v>
      </c>
      <c r="M3" s="605" t="s">
        <v>2595</v>
      </c>
      <c r="N3" s="606"/>
      <c r="O3" s="380"/>
      <c r="P3" s="380" t="s">
        <v>1543</v>
      </c>
      <c r="Q3" s="381"/>
      <c r="R3" s="571" t="s">
        <v>1544</v>
      </c>
      <c r="S3" s="572"/>
      <c r="T3" s="572"/>
      <c r="U3" s="572"/>
      <c r="V3" s="573"/>
      <c r="W3" s="574" t="s">
        <v>1537</v>
      </c>
      <c r="X3" s="574"/>
      <c r="Y3" s="574"/>
      <c r="Z3" s="574"/>
      <c r="AA3" s="574"/>
      <c r="AB3" s="574"/>
      <c r="AC3" s="575"/>
      <c r="AD3" s="577" t="s">
        <v>1538</v>
      </c>
      <c r="AE3" s="577"/>
      <c r="AF3" s="577"/>
      <c r="AG3" s="563" t="s">
        <v>1539</v>
      </c>
      <c r="AH3" s="563"/>
      <c r="AI3" s="563"/>
      <c r="AJ3" s="563"/>
      <c r="AK3" s="563"/>
    </row>
    <row r="4" spans="1:37" ht="155.25" customHeight="1" x14ac:dyDescent="0.25">
      <c r="G4" s="163" t="s">
        <v>1545</v>
      </c>
      <c r="H4" s="163" t="s">
        <v>1546</v>
      </c>
      <c r="I4" s="164" t="s">
        <v>1547</v>
      </c>
      <c r="J4" s="164" t="s">
        <v>1548</v>
      </c>
      <c r="K4" s="165" t="s">
        <v>1549</v>
      </c>
      <c r="L4" s="166" t="s">
        <v>1616</v>
      </c>
      <c r="M4" s="167" t="s">
        <v>1550</v>
      </c>
      <c r="N4" s="168" t="s">
        <v>1551</v>
      </c>
      <c r="O4" s="379" t="s">
        <v>1552</v>
      </c>
      <c r="P4" s="169" t="s">
        <v>1553</v>
      </c>
      <c r="Q4" s="170" t="s">
        <v>1554</v>
      </c>
      <c r="R4" s="60" t="s">
        <v>1555</v>
      </c>
      <c r="S4" s="171" t="s">
        <v>1556</v>
      </c>
      <c r="T4" s="171" t="s">
        <v>1557</v>
      </c>
      <c r="U4" s="171" t="s">
        <v>1558</v>
      </c>
      <c r="V4" s="172" t="s">
        <v>1559</v>
      </c>
      <c r="W4" s="382" t="s">
        <v>1560</v>
      </c>
      <c r="X4" s="173" t="s">
        <v>1561</v>
      </c>
      <c r="Y4" s="173" t="s">
        <v>1562</v>
      </c>
      <c r="Z4" s="173" t="s">
        <v>1563</v>
      </c>
      <c r="AA4" s="173" t="s">
        <v>1564</v>
      </c>
      <c r="AB4" s="174" t="s">
        <v>1565</v>
      </c>
      <c r="AC4" s="175" t="s">
        <v>1566</v>
      </c>
      <c r="AD4" s="383" t="s">
        <v>1567</v>
      </c>
      <c r="AE4" s="176" t="s">
        <v>1568</v>
      </c>
      <c r="AF4" s="176" t="s">
        <v>1569</v>
      </c>
      <c r="AG4" s="177" t="s">
        <v>514</v>
      </c>
      <c r="AH4" s="176" t="s">
        <v>1570</v>
      </c>
      <c r="AI4" s="176" t="s">
        <v>1571</v>
      </c>
      <c r="AJ4" s="176" t="s">
        <v>1572</v>
      </c>
      <c r="AK4" s="176" t="s">
        <v>1573</v>
      </c>
    </row>
    <row r="5" spans="1:37" ht="26.25" x14ac:dyDescent="0.25">
      <c r="A5" s="16" t="s">
        <v>412</v>
      </c>
      <c r="B5" s="16" t="s">
        <v>413</v>
      </c>
      <c r="C5" s="16" t="s">
        <v>1519</v>
      </c>
      <c r="D5" s="16" t="s">
        <v>1500</v>
      </c>
      <c r="E5" s="16" t="s">
        <v>1501</v>
      </c>
      <c r="F5" s="16" t="s">
        <v>1640</v>
      </c>
      <c r="G5" s="214">
        <v>-0.5</v>
      </c>
      <c r="H5" s="214">
        <v>0.5</v>
      </c>
      <c r="I5" s="215">
        <v>0</v>
      </c>
      <c r="J5" s="215">
        <v>0.6</v>
      </c>
      <c r="K5" s="216">
        <v>0.6</v>
      </c>
      <c r="L5" s="217" t="s">
        <v>1574</v>
      </c>
      <c r="M5" s="218" t="s">
        <v>1575</v>
      </c>
      <c r="N5" s="219">
        <v>7</v>
      </c>
      <c r="O5" s="220">
        <v>6</v>
      </c>
      <c r="P5" s="220">
        <v>6</v>
      </c>
      <c r="Q5" s="221">
        <v>4</v>
      </c>
      <c r="R5" s="222">
        <v>6</v>
      </c>
      <c r="S5" s="222">
        <v>6</v>
      </c>
      <c r="T5" s="222">
        <v>6</v>
      </c>
      <c r="U5" s="223" t="s">
        <v>1576</v>
      </c>
      <c r="V5" s="224">
        <v>8</v>
      </c>
      <c r="W5" s="225"/>
      <c r="X5" s="225"/>
      <c r="Y5" s="225"/>
      <c r="Z5" s="225"/>
      <c r="AA5" s="225"/>
      <c r="AB5" s="226"/>
      <c r="AC5" s="227"/>
      <c r="AD5" s="228"/>
      <c r="AE5" s="228"/>
      <c r="AF5" s="228"/>
      <c r="AG5" s="228"/>
      <c r="AH5" s="228"/>
      <c r="AI5" s="228"/>
      <c r="AJ5" s="228"/>
      <c r="AK5" s="228"/>
    </row>
    <row r="6" spans="1:37" x14ac:dyDescent="0.25">
      <c r="A6" s="189" t="s">
        <v>1655</v>
      </c>
      <c r="B6" s="190"/>
      <c r="C6" s="190"/>
      <c r="D6" s="191"/>
      <c r="E6" s="190"/>
      <c r="F6" s="242">
        <f>SUM(F7:F200)</f>
        <v>1549302800</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row>
    <row r="7" spans="1:37" outlineLevel="1" collapsed="1" x14ac:dyDescent="0.25">
      <c r="A7" s="157" t="s">
        <v>0</v>
      </c>
      <c r="B7" s="63"/>
      <c r="C7" s="156" t="s">
        <v>238</v>
      </c>
      <c r="D7" s="63"/>
      <c r="E7" s="63"/>
      <c r="F7" s="72">
        <f>MEDIAN(VLOOKUP(A7,'4. Mesures_ACE_Budget'!$A$3:$J$31,9,0),VLOOKUP(A7,'4. Mesures_ACE_Budget'!$A$3:$J$31,10,0))</f>
        <v>102200000</v>
      </c>
      <c r="G7" s="182">
        <f>VLOOKUP($A7,'7. PGE_Efficacité'!$A$6:$CY$266,(MATCH('[2]4.4 ACE MAX SEN '!G$4,'7. PGE_Efficacité'!$A$4:$AO$4,0)),0)</f>
        <v>0</v>
      </c>
      <c r="H7" s="182">
        <f>VLOOKUP($A7,'7. PGE_Efficacité'!$A$6:$CY$266,(MATCH('[2]4.4 ACE MAX SEN '!H$4,'7. PGE_Efficacité'!$A$4:$AO$4,0)),0)</f>
        <v>0</v>
      </c>
      <c r="I7" s="182">
        <f>VLOOKUP($A7,'7. PGE_Efficacité'!$A$6:$CY$266,(MATCH('[2]4.4 ACE MAX SEN '!I$4,'7. PGE_Efficacité'!$A$4:$AO$4,0)),0)</f>
        <v>0</v>
      </c>
      <c r="J7" s="182">
        <f>VLOOKUP($A7,'7. PGE_Efficacité'!$A$6:$CY$266,(MATCH('[2]4.4 ACE MAX SEN '!J$4,'7. PGE_Efficacité'!$A$4:$AO$4,0)),0)</f>
        <v>0</v>
      </c>
      <c r="K7" s="182">
        <f>VLOOKUP($A7,'7. PGE_Efficacité'!$A$6:$CY$266,(MATCH('[2]4.4 ACE MAX SEN '!K$4,'7. PGE_Efficacité'!$A$4:$AO$4,0)),0)</f>
        <v>0</v>
      </c>
      <c r="L7" s="182">
        <f>VLOOKUP($A7,'7. PGE_Efficacité'!$A$6:$CY$266,(MATCH('[2]4.4 ACE MAX SEN '!L$4,'7. PGE_Efficacité'!$A$4:$AO$4,0)),0)</f>
        <v>0</v>
      </c>
      <c r="M7" s="182">
        <f>VLOOKUP($A7,'7. PGE_Efficacité'!$A$6:$CY$266,(MATCH('[2]4.4 ACE MAX SEN '!M$4,'7. PGE_Efficacité'!$A$4:$AO$4,0)),0)</f>
        <v>0</v>
      </c>
      <c r="N7" s="182">
        <f>VLOOKUP($A7,'7. PGE_Efficacité'!$A$6:$CY$266,(MATCH('[2]4.4 ACE MAX SEN '!N$4,'7. PGE_Efficacité'!$A$4:$AO$4,0)),0)</f>
        <v>0</v>
      </c>
      <c r="O7" s="182">
        <f>VLOOKUP($A7,'7. PGE_Efficacité'!$A$6:$CY$266,(MATCH('[2]4.4 ACE MAX SEN '!O$4,'7. PGE_Efficacité'!$A$4:$AO$4,0)),0)</f>
        <v>0</v>
      </c>
      <c r="P7" s="182">
        <f>VLOOKUP($A7,'7. PGE_Efficacité'!$A$6:$CY$266,(MATCH('[2]4.4 ACE MAX SEN '!P$4,'7. PGE_Efficacité'!$A$4:$AO$4,0)),0)</f>
        <v>0</v>
      </c>
      <c r="Q7" s="182">
        <f>VLOOKUP($A7,'7. PGE_Efficacité'!$A$6:$CY$266,(MATCH('[2]4.4 ACE MAX SEN '!Q$4,'7. PGE_Efficacité'!$A$4:$AO$4,0)),0)</f>
        <v>0</v>
      </c>
      <c r="R7" s="182">
        <f>VLOOKUP($A7,'7. PGE_Efficacité'!$A$6:$CY$266,(MATCH('[2]4.4 ACE MAX SEN '!R$4,'7. PGE_Efficacité'!$A$4:$AO$4,0)),0)</f>
        <v>0</v>
      </c>
      <c r="S7" s="182">
        <f>VLOOKUP($A7,'7. PGE_Efficacité'!$A$6:$CY$266,(MATCH('[2]4.4 ACE MAX SEN '!S$4,'7. PGE_Efficacité'!$A$4:$AO$4,0)),0)</f>
        <v>0</v>
      </c>
      <c r="T7" s="182">
        <f>VLOOKUP($A7,'7. PGE_Efficacité'!$A$6:$CY$266,(MATCH('[2]4.4 ACE MAX SEN '!T$4,'7. PGE_Efficacité'!$A$4:$AO$4,0)),0)</f>
        <v>0</v>
      </c>
      <c r="U7" s="182">
        <f>VLOOKUP($A7,'7. PGE_Efficacité'!$A$6:$CY$266,(MATCH('[2]4.4 ACE MAX SEN '!U$4,'7. PGE_Efficacité'!$A$4:$AO$4,0)),0)</f>
        <v>0</v>
      </c>
      <c r="V7" s="182">
        <f>VLOOKUP($A7,'7. PGE_Efficacité'!$A$6:$CY$266,(MATCH('[2]4.4 ACE MAX SEN '!V$4,'7. PGE_Efficacité'!$A$4:$AO$4,0)),0)</f>
        <v>0</v>
      </c>
      <c r="W7" s="182">
        <f>VLOOKUP($A7,'7. PGE_Efficacité'!$A$6:$CY$266,(MATCH('[2]4.4 ACE MAX SEN '!W$4,'7. PGE_Efficacité'!$A$4:$AO$4,0)),0)</f>
        <v>0</v>
      </c>
      <c r="X7" s="182">
        <f>VLOOKUP($A7,'7. PGE_Efficacité'!$A$6:$CY$266,(MATCH('[2]4.4 ACE MAX SEN '!X$4,'7. PGE_Efficacité'!$A$4:$AO$4,0)),0)</f>
        <v>0</v>
      </c>
      <c r="Y7" s="182">
        <f>VLOOKUP($A7,'7. PGE_Efficacité'!$A$6:$CY$266,(MATCH('[2]4.4 ACE MAX SEN '!Y$4,'7. PGE_Efficacité'!$A$4:$AO$4,0)),0)</f>
        <v>0</v>
      </c>
      <c r="Z7" s="182">
        <f>VLOOKUP($A7,'7. PGE_Efficacité'!$A$6:$CY$266,(MATCH('[2]4.4 ACE MAX SEN '!Z$4,'7. PGE_Efficacité'!$A$4:$AO$4,0)),0)</f>
        <v>0</v>
      </c>
      <c r="AA7" s="182">
        <f>VLOOKUP($A7,'7. PGE_Efficacité'!$A$6:$CY$266,(MATCH('[2]4.4 ACE MAX SEN '!AA$4,'7. PGE_Efficacité'!$A$4:$AO$4,0)),0)</f>
        <v>0</v>
      </c>
      <c r="AB7" s="182" t="str">
        <f>VLOOKUP($A7,'7. PGE_Efficacité'!$A$6:$CY$266,(MATCH('[2]4.4 ACE MAX SEN '!AB$4,'7. PGE_Efficacité'!$A$4:$AO$4,0)),0)</f>
        <v>+</v>
      </c>
      <c r="AC7" s="182">
        <f>VLOOKUP($A7,'7. PGE_Efficacité'!$A$6:$CY$266,(MATCH('[2]4.4 ACE MAX SEN '!AC$4,'7. PGE_Efficacité'!$A$4:$AO$4,0)),0)</f>
        <v>0</v>
      </c>
      <c r="AD7" s="182" t="str">
        <f>VLOOKUP($A7,'7. PGE_Efficacité'!$A$6:$CY$266,(MATCH('[2]4.4 ACE MAX SEN '!AD$4,'7. PGE_Efficacité'!$A$4:$AO$4,0)),0)</f>
        <v>+++</v>
      </c>
      <c r="AE7" s="182" t="str">
        <f>VLOOKUP($A7,'7. PGE_Efficacité'!$A$6:$CY$266,(MATCH('[2]4.4 ACE MAX SEN '!AE$4,'7. PGE_Efficacité'!$A$4:$AO$4,0)),0)</f>
        <v>+++</v>
      </c>
      <c r="AF7" s="182" t="str">
        <f>VLOOKUP($A7,'7. PGE_Efficacité'!$A$6:$CY$266,(MATCH('[2]4.4 ACE MAX SEN '!AF$4,'7. PGE_Efficacité'!$A$4:$AO$4,0)),0)</f>
        <v>+++</v>
      </c>
      <c r="AG7" s="182">
        <f>VLOOKUP($A7,'7. PGE_Efficacité'!$A$6:$CY$266,(MATCH('[2]4.4 ACE MAX SEN '!AG$4,'7. PGE_Efficacité'!$A$4:$AO$4,0)),0)</f>
        <v>0</v>
      </c>
      <c r="AH7" s="182" t="str">
        <f>VLOOKUP($A7,'7. PGE_Efficacité'!$A$6:$CY$266,(MATCH('[2]4.4 ACE MAX SEN '!AH$4,'7. PGE_Efficacité'!$A$4:$AO$4,0)),0)</f>
        <v>++</v>
      </c>
      <c r="AI7" s="182" t="str">
        <f>VLOOKUP($A7,'7. PGE_Efficacité'!$A$6:$CY$266,(MATCH('[2]4.4 ACE MAX SEN '!AI$4,'7. PGE_Efficacité'!$A$4:$AO$4,0)),0)</f>
        <v>+++</v>
      </c>
      <c r="AJ7" s="182" t="str">
        <f>VLOOKUP($A7,'7. PGE_Efficacité'!$A$6:$CY$266,(MATCH('[2]4.4 ACE MAX SEN '!AJ$4,'7. PGE_Efficacité'!$A$4:$AO$4,0)),0)</f>
        <v>+++</v>
      </c>
      <c r="AK7" s="182" t="str">
        <f>VLOOKUP($A7,'7. PGE_Efficacité'!$A$6:$CY$266,(MATCH('[2]4.4 ACE MAX SEN '!AK$4,'7. PGE_Efficacité'!$A$4:$AO$4,0)),0)</f>
        <v>+++</v>
      </c>
    </row>
    <row r="8" spans="1:37" hidden="1" outlineLevel="2" x14ac:dyDescent="0.25">
      <c r="A8" s="65" t="s">
        <v>0</v>
      </c>
      <c r="B8" s="65" t="s">
        <v>636</v>
      </c>
      <c r="C8" s="65" t="s">
        <v>1291</v>
      </c>
      <c r="D8" s="65" t="s">
        <v>1520</v>
      </c>
      <c r="E8" s="65" t="s">
        <v>415</v>
      </c>
      <c r="F8" s="73"/>
      <c r="G8" s="64">
        <f>VLOOKUP($B8,'7. PGE_Efficacité'!$A$6:$CY$266,(MATCH('[3]4.4 ACE MAX SEN '!G$4,'7. PGE_Efficacité'!$A$4:$AO$4,0)),0)</f>
        <v>0</v>
      </c>
      <c r="H8" s="64">
        <f>VLOOKUP($B8,'7. PGE_Efficacité'!$A$6:$CY$266,(MATCH('[3]4.4 ACE MAX SEN '!H$4,'7. PGE_Efficacité'!$A$4:$AO$4,0)),0)</f>
        <v>0</v>
      </c>
      <c r="I8" s="64">
        <f>VLOOKUP($B8,'7. PGE_Efficacité'!$A$6:$CY$266,(MATCH('[3]4.4 ACE MAX SEN '!I$4,'7. PGE_Efficacité'!$A$4:$AO$4,0)),0)</f>
        <v>0</v>
      </c>
      <c r="J8" s="64">
        <f>VLOOKUP($B8,'7. PGE_Efficacité'!$A$6:$CY$266,(MATCH('[3]4.4 ACE MAX SEN '!J$4,'7. PGE_Efficacité'!$A$4:$AO$4,0)),0)</f>
        <v>0</v>
      </c>
      <c r="K8" s="64">
        <f>VLOOKUP($B8,'7. PGE_Efficacité'!$A$6:$CY$266,(MATCH('[3]4.4 ACE MAX SEN '!K$4,'7. PGE_Efficacité'!$A$4:$AO$4,0)),0)</f>
        <v>0</v>
      </c>
      <c r="L8" s="64">
        <f>VLOOKUP($B8,'7. PGE_Efficacité'!$A$6:$CY$266,(MATCH('[3]4.4 ACE MAX SEN '!L$4,'7. PGE_Efficacité'!$A$4:$AO$4,0)),0)</f>
        <v>0</v>
      </c>
      <c r="M8" s="64">
        <f>VLOOKUP($B8,'7. PGE_Efficacité'!$A$6:$CY$266,(MATCH('[3]4.4 ACE MAX SEN '!M$4,'7. PGE_Efficacité'!$A$4:$AO$4,0)),0)</f>
        <v>0</v>
      </c>
      <c r="N8" s="64">
        <f>VLOOKUP($B8,'7. PGE_Efficacité'!$A$6:$CY$266,(MATCH('[3]4.4 ACE MAX SEN '!N$4,'7. PGE_Efficacité'!$A$4:$AO$4,0)),0)</f>
        <v>0</v>
      </c>
      <c r="O8" s="64">
        <f>VLOOKUP($B8,'7. PGE_Efficacité'!$A$6:$CY$266,(MATCH('[3]4.4 ACE MAX SEN '!O$4,'7. PGE_Efficacité'!$A$4:$AO$4,0)),0)</f>
        <v>0</v>
      </c>
      <c r="P8" s="64">
        <f>VLOOKUP($B8,'7. PGE_Efficacité'!$A$6:$CY$266,(MATCH('[3]4.4 ACE MAX SEN '!P$4,'7. PGE_Efficacité'!$A$4:$AO$4,0)),0)</f>
        <v>0</v>
      </c>
      <c r="Q8" s="64">
        <f>VLOOKUP($B8,'7. PGE_Efficacité'!$A$6:$CY$266,(MATCH('[3]4.4 ACE MAX SEN '!Q$4,'7. PGE_Efficacité'!$A$4:$AO$4,0)),0)</f>
        <v>0</v>
      </c>
      <c r="R8" s="64">
        <f>VLOOKUP($B8,'7. PGE_Efficacité'!$A$6:$CY$266,(MATCH('[3]4.4 ACE MAX SEN '!R$4,'7. PGE_Efficacité'!$A$4:$AO$4,0)),0)</f>
        <v>0</v>
      </c>
      <c r="S8" s="64">
        <f>VLOOKUP($B8,'7. PGE_Efficacité'!$A$6:$CY$266,(MATCH('[3]4.4 ACE MAX SEN '!S$4,'7. PGE_Efficacité'!$A$4:$AO$4,0)),0)</f>
        <v>0</v>
      </c>
      <c r="T8" s="64">
        <f>VLOOKUP($B8,'7. PGE_Efficacité'!$A$6:$CY$266,(MATCH('[3]4.4 ACE MAX SEN '!T$4,'7. PGE_Efficacité'!$A$4:$AO$4,0)),0)</f>
        <v>0</v>
      </c>
      <c r="U8" s="64">
        <f>VLOOKUP($B8,'7. PGE_Efficacité'!$A$6:$CY$266,(MATCH('[3]4.4 ACE MAX SEN '!U$4,'7. PGE_Efficacité'!$A$4:$AO$4,0)),0)</f>
        <v>0</v>
      </c>
      <c r="V8" s="64">
        <f>VLOOKUP($B8,'7. PGE_Efficacité'!$A$6:$CY$266,(MATCH('[3]4.4 ACE MAX SEN '!V$4,'7. PGE_Efficacité'!$A$4:$AO$4,0)),0)</f>
        <v>0</v>
      </c>
      <c r="W8" s="61">
        <f>VLOOKUP($B8,'7. PGE_Efficacité'!$A$6:$CY$266,(MATCH('[3]4.4 ACE MAX SEN '!W$4,'7. PGE_Efficacité'!$A$4:$AO$4,0)),0)</f>
        <v>0</v>
      </c>
      <c r="X8" s="61">
        <f>VLOOKUP($B8,'7. PGE_Efficacité'!$A$6:$CY$266,(MATCH('[3]4.4 ACE MAX SEN '!X$4,'7. PGE_Efficacité'!$A$4:$AO$4,0)),0)</f>
        <v>0</v>
      </c>
      <c r="Y8" s="61">
        <f>VLOOKUP($B8,'7. PGE_Efficacité'!$A$6:$CY$266,(MATCH('[3]4.4 ACE MAX SEN '!Y$4,'7. PGE_Efficacité'!$A$4:$AO$4,0)),0)</f>
        <v>0</v>
      </c>
      <c r="Z8" s="61">
        <f>VLOOKUP($B8,'7. PGE_Efficacité'!$A$6:$CY$266,(MATCH('[3]4.4 ACE MAX SEN '!Z$4,'7. PGE_Efficacité'!$A$4:$AO$4,0)),0)</f>
        <v>0</v>
      </c>
      <c r="AA8" s="61">
        <f>VLOOKUP($B8,'7. PGE_Efficacité'!$A$6:$CY$266,(MATCH('[3]4.4 ACE MAX SEN '!AA$4,'7. PGE_Efficacité'!$A$4:$AO$4,0)),0)</f>
        <v>0</v>
      </c>
      <c r="AB8" s="61">
        <f>VLOOKUP($B8,'7. PGE_Efficacité'!$A$6:$CY$266,(MATCH('[3]4.4 ACE MAX SEN '!AB$4,'7. PGE_Efficacité'!$A$4:$AO$4,0)),0)</f>
        <v>0</v>
      </c>
      <c r="AC8" s="61">
        <f>VLOOKUP($B8,'7. PGE_Efficacité'!$A$6:$CY$266,(MATCH('[3]4.4 ACE MAX SEN '!AC$4,'7. PGE_Efficacité'!$A$4:$AO$4,0)),0)</f>
        <v>0</v>
      </c>
      <c r="AD8" s="61">
        <f>VLOOKUP($B8,'7. PGE_Efficacité'!$A$6:$CY$266,(MATCH('[3]4.4 ACE MAX SEN '!AD$4,'7. PGE_Efficacité'!$A$4:$AO$4,0)),0)</f>
        <v>0</v>
      </c>
      <c r="AE8" s="61">
        <f>VLOOKUP($B8,'7. PGE_Efficacité'!$A$6:$CY$266,(MATCH('[3]4.4 ACE MAX SEN '!AE$4,'7. PGE_Efficacité'!$A$4:$AO$4,0)),0)</f>
        <v>0</v>
      </c>
      <c r="AF8" s="61">
        <f>VLOOKUP($B8,'7. PGE_Efficacité'!$A$6:$CY$266,(MATCH('[3]4.4 ACE MAX SEN '!AF$4,'7. PGE_Efficacité'!$A$4:$AO$4,0)),0)</f>
        <v>0</v>
      </c>
      <c r="AG8" s="61">
        <f>VLOOKUP($B8,'7. PGE_Efficacité'!$A$6:$CY$266,(MATCH('[3]4.4 ACE MAX SEN '!AG$4,'7. PGE_Efficacité'!$A$4:$AO$4,0)),0)</f>
        <v>0</v>
      </c>
      <c r="AH8" s="61">
        <f>VLOOKUP($B8,'7. PGE_Efficacité'!$A$6:$CY$266,(MATCH('[3]4.4 ACE MAX SEN '!AH$4,'7. PGE_Efficacité'!$A$4:$AO$4,0)),0)</f>
        <v>0</v>
      </c>
      <c r="AI8" s="61">
        <f>VLOOKUP($B8,'7. PGE_Efficacité'!$A$6:$CY$266,(MATCH('[3]4.4 ACE MAX SEN '!AI$4,'7. PGE_Efficacité'!$A$4:$AO$4,0)),0)</f>
        <v>0</v>
      </c>
      <c r="AJ8" s="61">
        <f>VLOOKUP($B8,'7. PGE_Efficacité'!$A$6:$CY$266,(MATCH('[3]4.4 ACE MAX SEN '!AJ$4,'7. PGE_Efficacité'!$A$4:$AO$4,0)),0)</f>
        <v>0</v>
      </c>
      <c r="AK8" s="61">
        <f>VLOOKUP($B8,'7. PGE_Efficacité'!$A$6:$CY$266,(MATCH('[3]4.4 ACE MAX SEN '!AK$4,'7. PGE_Efficacité'!$A$4:$AO$4,0)),0)</f>
        <v>0</v>
      </c>
    </row>
    <row r="9" spans="1:37" hidden="1" outlineLevel="2" x14ac:dyDescent="0.25">
      <c r="A9" s="65" t="s">
        <v>0</v>
      </c>
      <c r="B9" s="65" t="s">
        <v>640</v>
      </c>
      <c r="C9" s="65" t="s">
        <v>1291</v>
      </c>
      <c r="D9" s="65" t="s">
        <v>1520</v>
      </c>
      <c r="E9" s="65" t="s">
        <v>415</v>
      </c>
      <c r="F9" s="73"/>
      <c r="G9" s="64">
        <f>VLOOKUP($B9,'7. PGE_Efficacité'!$A$6:$CY$266,(MATCH('[3]4.4 ACE MAX SEN '!G$4,'7. PGE_Efficacité'!$A$4:$AO$4,0)),0)</f>
        <v>0</v>
      </c>
      <c r="H9" s="64">
        <f>VLOOKUP($B9,'7. PGE_Efficacité'!$A$6:$CY$266,(MATCH('[3]4.4 ACE MAX SEN '!H$4,'7. PGE_Efficacité'!$A$4:$AO$4,0)),0)</f>
        <v>0</v>
      </c>
      <c r="I9" s="64">
        <f>VLOOKUP($B9,'7. PGE_Efficacité'!$A$6:$CY$266,(MATCH('[3]4.4 ACE MAX SEN '!I$4,'7. PGE_Efficacité'!$A$4:$AO$4,0)),0)</f>
        <v>0</v>
      </c>
      <c r="J9" s="64">
        <f>VLOOKUP($B9,'7. PGE_Efficacité'!$A$6:$CY$266,(MATCH('[3]4.4 ACE MAX SEN '!J$4,'7. PGE_Efficacité'!$A$4:$AO$4,0)),0)</f>
        <v>0</v>
      </c>
      <c r="K9" s="64">
        <f>VLOOKUP($B9,'7. PGE_Efficacité'!$A$6:$CY$266,(MATCH('[3]4.4 ACE MAX SEN '!K$4,'7. PGE_Efficacité'!$A$4:$AO$4,0)),0)</f>
        <v>0</v>
      </c>
      <c r="L9" s="64">
        <f>VLOOKUP($B9,'7. PGE_Efficacité'!$A$6:$CY$266,(MATCH('[3]4.4 ACE MAX SEN '!L$4,'7. PGE_Efficacité'!$A$4:$AO$4,0)),0)</f>
        <v>0</v>
      </c>
      <c r="M9" s="64">
        <f>VLOOKUP($B9,'7. PGE_Efficacité'!$A$6:$CY$266,(MATCH('[3]4.4 ACE MAX SEN '!M$4,'7. PGE_Efficacité'!$A$4:$AO$4,0)),0)</f>
        <v>0</v>
      </c>
      <c r="N9" s="64">
        <f>VLOOKUP($B9,'7. PGE_Efficacité'!$A$6:$CY$266,(MATCH('[3]4.4 ACE MAX SEN '!N$4,'7. PGE_Efficacité'!$A$4:$AO$4,0)),0)</f>
        <v>0</v>
      </c>
      <c r="O9" s="64">
        <f>VLOOKUP($B9,'7. PGE_Efficacité'!$A$6:$CY$266,(MATCH('[3]4.4 ACE MAX SEN '!O$4,'7. PGE_Efficacité'!$A$4:$AO$4,0)),0)</f>
        <v>0</v>
      </c>
      <c r="P9" s="64">
        <f>VLOOKUP($B9,'7. PGE_Efficacité'!$A$6:$CY$266,(MATCH('[3]4.4 ACE MAX SEN '!P$4,'7. PGE_Efficacité'!$A$4:$AO$4,0)),0)</f>
        <v>0</v>
      </c>
      <c r="Q9" s="64">
        <f>VLOOKUP($B9,'7. PGE_Efficacité'!$A$6:$CY$266,(MATCH('[3]4.4 ACE MAX SEN '!Q$4,'7. PGE_Efficacité'!$A$4:$AO$4,0)),0)</f>
        <v>0</v>
      </c>
      <c r="R9" s="64">
        <f>VLOOKUP($B9,'7. PGE_Efficacité'!$A$6:$CY$266,(MATCH('[3]4.4 ACE MAX SEN '!R$4,'7. PGE_Efficacité'!$A$4:$AO$4,0)),0)</f>
        <v>0</v>
      </c>
      <c r="S9" s="64">
        <f>VLOOKUP($B9,'7. PGE_Efficacité'!$A$6:$CY$266,(MATCH('[3]4.4 ACE MAX SEN '!S$4,'7. PGE_Efficacité'!$A$4:$AO$4,0)),0)</f>
        <v>0</v>
      </c>
      <c r="T9" s="64">
        <f>VLOOKUP($B9,'7. PGE_Efficacité'!$A$6:$CY$266,(MATCH('[3]4.4 ACE MAX SEN '!T$4,'7. PGE_Efficacité'!$A$4:$AO$4,0)),0)</f>
        <v>0</v>
      </c>
      <c r="U9" s="64">
        <f>VLOOKUP($B9,'7. PGE_Efficacité'!$A$6:$CY$266,(MATCH('[3]4.4 ACE MAX SEN '!U$4,'7. PGE_Efficacité'!$A$4:$AO$4,0)),0)</f>
        <v>0</v>
      </c>
      <c r="V9" s="64">
        <f>VLOOKUP($B9,'7. PGE_Efficacité'!$A$6:$CY$266,(MATCH('[3]4.4 ACE MAX SEN '!V$4,'7. PGE_Efficacité'!$A$4:$AO$4,0)),0)</f>
        <v>0</v>
      </c>
      <c r="W9" s="61">
        <f>VLOOKUP($B9,'7. PGE_Efficacité'!$A$6:$CY$266,(MATCH('[3]4.4 ACE MAX SEN '!W$4,'7. PGE_Efficacité'!$A$4:$AO$4,0)),0)</f>
        <v>0</v>
      </c>
      <c r="X9" s="61">
        <f>VLOOKUP($B9,'7. PGE_Efficacité'!$A$6:$CY$266,(MATCH('[3]4.4 ACE MAX SEN '!X$4,'7. PGE_Efficacité'!$A$4:$AO$4,0)),0)</f>
        <v>0</v>
      </c>
      <c r="Y9" s="61">
        <f>VLOOKUP($B9,'7. PGE_Efficacité'!$A$6:$CY$266,(MATCH('[3]4.4 ACE MAX SEN '!Y$4,'7. PGE_Efficacité'!$A$4:$AO$4,0)),0)</f>
        <v>0</v>
      </c>
      <c r="Z9" s="61">
        <f>VLOOKUP($B9,'7. PGE_Efficacité'!$A$6:$CY$266,(MATCH('[3]4.4 ACE MAX SEN '!Z$4,'7. PGE_Efficacité'!$A$4:$AO$4,0)),0)</f>
        <v>0</v>
      </c>
      <c r="AA9" s="61">
        <f>VLOOKUP($B9,'7. PGE_Efficacité'!$A$6:$CY$266,(MATCH('[3]4.4 ACE MAX SEN '!AA$4,'7. PGE_Efficacité'!$A$4:$AO$4,0)),0)</f>
        <v>0</v>
      </c>
      <c r="AB9" s="61">
        <f>VLOOKUP($B9,'7. PGE_Efficacité'!$A$6:$CY$266,(MATCH('[3]4.4 ACE MAX SEN '!AB$4,'7. PGE_Efficacité'!$A$4:$AO$4,0)),0)</f>
        <v>0</v>
      </c>
      <c r="AC9" s="61">
        <f>VLOOKUP($B9,'7. PGE_Efficacité'!$A$6:$CY$266,(MATCH('[3]4.4 ACE MAX SEN '!AC$4,'7. PGE_Efficacité'!$A$4:$AO$4,0)),0)</f>
        <v>0</v>
      </c>
      <c r="AD9" s="61" t="str">
        <f>VLOOKUP($B9,'7. PGE_Efficacité'!$A$6:$CY$266,(MATCH('[3]4.4 ACE MAX SEN '!AD$4,'7. PGE_Efficacité'!$A$4:$AO$4,0)),0)</f>
        <v>++</v>
      </c>
      <c r="AE9" s="61" t="str">
        <f>VLOOKUP($B9,'7. PGE_Efficacité'!$A$6:$CY$266,(MATCH('[3]4.4 ACE MAX SEN '!AE$4,'7. PGE_Efficacité'!$A$4:$AO$4,0)),0)</f>
        <v>++</v>
      </c>
      <c r="AF9" s="61" t="str">
        <f>VLOOKUP($B9,'7. PGE_Efficacité'!$A$6:$CY$266,(MATCH('[3]4.4 ACE MAX SEN '!AF$4,'7. PGE_Efficacité'!$A$4:$AO$4,0)),0)</f>
        <v>++</v>
      </c>
      <c r="AG9" s="61">
        <f>VLOOKUP($B9,'7. PGE_Efficacité'!$A$6:$CY$266,(MATCH('[3]4.4 ACE MAX SEN '!AG$4,'7. PGE_Efficacité'!$A$4:$AO$4,0)),0)</f>
        <v>0</v>
      </c>
      <c r="AH9" s="61">
        <f>VLOOKUP($B9,'7. PGE_Efficacité'!$A$6:$CY$266,(MATCH('[3]4.4 ACE MAX SEN '!AH$4,'7. PGE_Efficacité'!$A$4:$AO$4,0)),0)</f>
        <v>0</v>
      </c>
      <c r="AI9" s="61">
        <f>VLOOKUP($B9,'7. PGE_Efficacité'!$A$6:$CY$266,(MATCH('[3]4.4 ACE MAX SEN '!AI$4,'7. PGE_Efficacité'!$A$4:$AO$4,0)),0)</f>
        <v>0</v>
      </c>
      <c r="AJ9" s="61">
        <f>VLOOKUP($B9,'7. PGE_Efficacité'!$A$6:$CY$266,(MATCH('[3]4.4 ACE MAX SEN '!AJ$4,'7. PGE_Efficacité'!$A$4:$AO$4,0)),0)</f>
        <v>0</v>
      </c>
      <c r="AK9" s="61">
        <f>VLOOKUP($B9,'7. PGE_Efficacité'!$A$6:$CY$266,(MATCH('[3]4.4 ACE MAX SEN '!AK$4,'7. PGE_Efficacité'!$A$4:$AO$4,0)),0)</f>
        <v>0</v>
      </c>
    </row>
    <row r="10" spans="1:37" hidden="1" outlineLevel="2" x14ac:dyDescent="0.25">
      <c r="A10" s="65" t="s">
        <v>0</v>
      </c>
      <c r="B10" s="65" t="s">
        <v>641</v>
      </c>
      <c r="C10" s="65" t="s">
        <v>1302</v>
      </c>
      <c r="D10" s="65" t="s">
        <v>1520</v>
      </c>
      <c r="E10" s="65" t="s">
        <v>415</v>
      </c>
      <c r="F10" s="73"/>
      <c r="G10" s="64">
        <f>VLOOKUP($B10,'7. PGE_Efficacité'!$A$6:$CY$266,(MATCH('[3]4.4 ACE MAX SEN '!G$4,'7. PGE_Efficacité'!$A$4:$AO$4,0)),0)</f>
        <v>0</v>
      </c>
      <c r="H10" s="64">
        <f>VLOOKUP($B10,'7. PGE_Efficacité'!$A$6:$CY$266,(MATCH('[3]4.4 ACE MAX SEN '!H$4,'7. PGE_Efficacité'!$A$4:$AO$4,0)),0)</f>
        <v>0</v>
      </c>
      <c r="I10" s="64">
        <f>VLOOKUP($B10,'7. PGE_Efficacité'!$A$6:$CY$266,(MATCH('[3]4.4 ACE MAX SEN '!I$4,'7. PGE_Efficacité'!$A$4:$AO$4,0)),0)</f>
        <v>0</v>
      </c>
      <c r="J10" s="64">
        <f>VLOOKUP($B10,'7. PGE_Efficacité'!$A$6:$CY$266,(MATCH('[3]4.4 ACE MAX SEN '!J$4,'7. PGE_Efficacité'!$A$4:$AO$4,0)),0)</f>
        <v>0</v>
      </c>
      <c r="K10" s="64">
        <f>VLOOKUP($B10,'7. PGE_Efficacité'!$A$6:$CY$266,(MATCH('[3]4.4 ACE MAX SEN '!K$4,'7. PGE_Efficacité'!$A$4:$AO$4,0)),0)</f>
        <v>0</v>
      </c>
      <c r="L10" s="64">
        <f>VLOOKUP($B10,'7. PGE_Efficacité'!$A$6:$CY$266,(MATCH('[3]4.4 ACE MAX SEN '!L$4,'7. PGE_Efficacité'!$A$4:$AO$4,0)),0)</f>
        <v>0</v>
      </c>
      <c r="M10" s="64">
        <f>VLOOKUP($B10,'7. PGE_Efficacité'!$A$6:$CY$266,(MATCH('[3]4.4 ACE MAX SEN '!M$4,'7. PGE_Efficacité'!$A$4:$AO$4,0)),0)</f>
        <v>0</v>
      </c>
      <c r="N10" s="64">
        <f>VLOOKUP($B10,'7. PGE_Efficacité'!$A$6:$CY$266,(MATCH('[3]4.4 ACE MAX SEN '!N$4,'7. PGE_Efficacité'!$A$4:$AO$4,0)),0)</f>
        <v>0</v>
      </c>
      <c r="O10" s="64">
        <f>VLOOKUP($B10,'7. PGE_Efficacité'!$A$6:$CY$266,(MATCH('[3]4.4 ACE MAX SEN '!O$4,'7. PGE_Efficacité'!$A$4:$AO$4,0)),0)</f>
        <v>0</v>
      </c>
      <c r="P10" s="64">
        <f>VLOOKUP($B10,'7. PGE_Efficacité'!$A$6:$CY$266,(MATCH('[3]4.4 ACE MAX SEN '!P$4,'7. PGE_Efficacité'!$A$4:$AO$4,0)),0)</f>
        <v>0</v>
      </c>
      <c r="Q10" s="64">
        <f>VLOOKUP($B10,'7. PGE_Efficacité'!$A$6:$CY$266,(MATCH('[3]4.4 ACE MAX SEN '!Q$4,'7. PGE_Efficacité'!$A$4:$AO$4,0)),0)</f>
        <v>0</v>
      </c>
      <c r="R10" s="64">
        <f>VLOOKUP($B10,'7. PGE_Efficacité'!$A$6:$CY$266,(MATCH('[3]4.4 ACE MAX SEN '!R$4,'7. PGE_Efficacité'!$A$4:$AO$4,0)),0)</f>
        <v>0</v>
      </c>
      <c r="S10" s="64">
        <f>VLOOKUP($B10,'7. PGE_Efficacité'!$A$6:$CY$266,(MATCH('[3]4.4 ACE MAX SEN '!S$4,'7. PGE_Efficacité'!$A$4:$AO$4,0)),0)</f>
        <v>0</v>
      </c>
      <c r="T10" s="64">
        <f>VLOOKUP($B10,'7. PGE_Efficacité'!$A$6:$CY$266,(MATCH('[3]4.4 ACE MAX SEN '!T$4,'7. PGE_Efficacité'!$A$4:$AO$4,0)),0)</f>
        <v>0</v>
      </c>
      <c r="U10" s="64">
        <f>VLOOKUP($B10,'7. PGE_Efficacité'!$A$6:$CY$266,(MATCH('[3]4.4 ACE MAX SEN '!U$4,'7. PGE_Efficacité'!$A$4:$AO$4,0)),0)</f>
        <v>0</v>
      </c>
      <c r="V10" s="64">
        <f>VLOOKUP($B10,'7. PGE_Efficacité'!$A$6:$CY$266,(MATCH('[3]4.4 ACE MAX SEN '!V$4,'7. PGE_Efficacité'!$A$4:$AO$4,0)),0)</f>
        <v>0</v>
      </c>
      <c r="W10" s="61">
        <f>VLOOKUP($B10,'7. PGE_Efficacité'!$A$6:$CY$266,(MATCH('[3]4.4 ACE MAX SEN '!W$4,'7. PGE_Efficacité'!$A$4:$AO$4,0)),0)</f>
        <v>0</v>
      </c>
      <c r="X10" s="61">
        <f>VLOOKUP($B10,'7. PGE_Efficacité'!$A$6:$CY$266,(MATCH('[3]4.4 ACE MAX SEN '!X$4,'7. PGE_Efficacité'!$A$4:$AO$4,0)),0)</f>
        <v>0</v>
      </c>
      <c r="Y10" s="61">
        <f>VLOOKUP($B10,'7. PGE_Efficacité'!$A$6:$CY$266,(MATCH('[3]4.4 ACE MAX SEN '!Y$4,'7. PGE_Efficacité'!$A$4:$AO$4,0)),0)</f>
        <v>0</v>
      </c>
      <c r="Z10" s="61">
        <f>VLOOKUP($B10,'7. PGE_Efficacité'!$A$6:$CY$266,(MATCH('[3]4.4 ACE MAX SEN '!Z$4,'7. PGE_Efficacité'!$A$4:$AO$4,0)),0)</f>
        <v>0</v>
      </c>
      <c r="AA10" s="61">
        <f>VLOOKUP($B10,'7. PGE_Efficacité'!$A$6:$CY$266,(MATCH('[3]4.4 ACE MAX SEN '!AA$4,'7. PGE_Efficacité'!$A$4:$AO$4,0)),0)</f>
        <v>0</v>
      </c>
      <c r="AB10" s="61">
        <f>VLOOKUP($B10,'7. PGE_Efficacité'!$A$6:$CY$266,(MATCH('[3]4.4 ACE MAX SEN '!AB$4,'7. PGE_Efficacité'!$A$4:$AO$4,0)),0)</f>
        <v>0</v>
      </c>
      <c r="AC10" s="61">
        <f>VLOOKUP($B10,'7. PGE_Efficacité'!$A$6:$CY$266,(MATCH('[3]4.4 ACE MAX SEN '!AC$4,'7. PGE_Efficacité'!$A$4:$AO$4,0)),0)</f>
        <v>0</v>
      </c>
      <c r="AD10" s="61">
        <f>VLOOKUP($B10,'7. PGE_Efficacité'!$A$6:$CY$266,(MATCH('[3]4.4 ACE MAX SEN '!AD$4,'7. PGE_Efficacité'!$A$4:$AO$4,0)),0)</f>
        <v>0</v>
      </c>
      <c r="AE10" s="61">
        <f>VLOOKUP($B10,'7. PGE_Efficacité'!$A$6:$CY$266,(MATCH('[3]4.4 ACE MAX SEN '!AE$4,'7. PGE_Efficacité'!$A$4:$AO$4,0)),0)</f>
        <v>0</v>
      </c>
      <c r="AF10" s="61">
        <f>VLOOKUP($B10,'7. PGE_Efficacité'!$A$6:$CY$266,(MATCH('[3]4.4 ACE MAX SEN '!AF$4,'7. PGE_Efficacité'!$A$4:$AO$4,0)),0)</f>
        <v>0</v>
      </c>
      <c r="AG10" s="61">
        <f>VLOOKUP($B10,'7. PGE_Efficacité'!$A$6:$CY$266,(MATCH('[3]4.4 ACE MAX SEN '!AG$4,'7. PGE_Efficacité'!$A$4:$AO$4,0)),0)</f>
        <v>0</v>
      </c>
      <c r="AH10" s="61">
        <f>VLOOKUP($B10,'7. PGE_Efficacité'!$A$6:$CY$266,(MATCH('[3]4.4 ACE MAX SEN '!AH$4,'7. PGE_Efficacité'!$A$4:$AO$4,0)),0)</f>
        <v>0</v>
      </c>
      <c r="AI10" s="61">
        <f>VLOOKUP($B10,'7. PGE_Efficacité'!$A$6:$CY$266,(MATCH('[3]4.4 ACE MAX SEN '!AI$4,'7. PGE_Efficacité'!$A$4:$AO$4,0)),0)</f>
        <v>0</v>
      </c>
      <c r="AJ10" s="61">
        <f>VLOOKUP($B10,'7. PGE_Efficacité'!$A$6:$CY$266,(MATCH('[3]4.4 ACE MAX SEN '!AJ$4,'7. PGE_Efficacité'!$A$4:$AO$4,0)),0)</f>
        <v>0</v>
      </c>
      <c r="AK10" s="61">
        <f>VLOOKUP($B10,'7. PGE_Efficacité'!$A$6:$CY$266,(MATCH('[3]4.4 ACE MAX SEN '!AK$4,'7. PGE_Efficacité'!$A$4:$AO$4,0)),0)</f>
        <v>0</v>
      </c>
    </row>
    <row r="11" spans="1:37" hidden="1" outlineLevel="2" x14ac:dyDescent="0.25">
      <c r="A11" s="65" t="s">
        <v>0</v>
      </c>
      <c r="B11" s="65" t="s">
        <v>642</v>
      </c>
      <c r="C11" s="65" t="s">
        <v>1303</v>
      </c>
      <c r="D11" s="65" t="s">
        <v>1520</v>
      </c>
      <c r="E11" s="65" t="s">
        <v>415</v>
      </c>
      <c r="F11" s="73"/>
      <c r="G11" s="64">
        <f>VLOOKUP($B11,'7. PGE_Efficacité'!$A$6:$CY$266,(MATCH('[3]4.4 ACE MAX SEN '!G$4,'7. PGE_Efficacité'!$A$4:$AO$4,0)),0)</f>
        <v>0</v>
      </c>
      <c r="H11" s="64">
        <f>VLOOKUP($B11,'7. PGE_Efficacité'!$A$6:$CY$266,(MATCH('[3]4.4 ACE MAX SEN '!H$4,'7. PGE_Efficacité'!$A$4:$AO$4,0)),0)</f>
        <v>0</v>
      </c>
      <c r="I11" s="64">
        <f>VLOOKUP($B11,'7. PGE_Efficacité'!$A$6:$CY$266,(MATCH('[3]4.4 ACE MAX SEN '!I$4,'7. PGE_Efficacité'!$A$4:$AO$4,0)),0)</f>
        <v>0</v>
      </c>
      <c r="J11" s="64">
        <f>VLOOKUP($B11,'7. PGE_Efficacité'!$A$6:$CY$266,(MATCH('[3]4.4 ACE MAX SEN '!J$4,'7. PGE_Efficacité'!$A$4:$AO$4,0)),0)</f>
        <v>0</v>
      </c>
      <c r="K11" s="64">
        <f>VLOOKUP($B11,'7. PGE_Efficacité'!$A$6:$CY$266,(MATCH('[3]4.4 ACE MAX SEN '!K$4,'7. PGE_Efficacité'!$A$4:$AO$4,0)),0)</f>
        <v>0</v>
      </c>
      <c r="L11" s="64">
        <f>VLOOKUP($B11,'7. PGE_Efficacité'!$A$6:$CY$266,(MATCH('[3]4.4 ACE MAX SEN '!L$4,'7. PGE_Efficacité'!$A$4:$AO$4,0)),0)</f>
        <v>0</v>
      </c>
      <c r="M11" s="64">
        <f>VLOOKUP($B11,'7. PGE_Efficacité'!$A$6:$CY$266,(MATCH('[3]4.4 ACE MAX SEN '!M$4,'7. PGE_Efficacité'!$A$4:$AO$4,0)),0)</f>
        <v>0</v>
      </c>
      <c r="N11" s="64">
        <f>VLOOKUP($B11,'7. PGE_Efficacité'!$A$6:$CY$266,(MATCH('[3]4.4 ACE MAX SEN '!N$4,'7. PGE_Efficacité'!$A$4:$AO$4,0)),0)</f>
        <v>0</v>
      </c>
      <c r="O11" s="64">
        <f>VLOOKUP($B11,'7. PGE_Efficacité'!$A$6:$CY$266,(MATCH('[3]4.4 ACE MAX SEN '!O$4,'7. PGE_Efficacité'!$A$4:$AO$4,0)),0)</f>
        <v>0</v>
      </c>
      <c r="P11" s="64">
        <f>VLOOKUP($B11,'7. PGE_Efficacité'!$A$6:$CY$266,(MATCH('[3]4.4 ACE MAX SEN '!P$4,'7. PGE_Efficacité'!$A$4:$AO$4,0)),0)</f>
        <v>0</v>
      </c>
      <c r="Q11" s="64">
        <f>VLOOKUP($B11,'7. PGE_Efficacité'!$A$6:$CY$266,(MATCH('[3]4.4 ACE MAX SEN '!Q$4,'7. PGE_Efficacité'!$A$4:$AO$4,0)),0)</f>
        <v>0</v>
      </c>
      <c r="R11" s="64">
        <f>VLOOKUP($B11,'7. PGE_Efficacité'!$A$6:$CY$266,(MATCH('[3]4.4 ACE MAX SEN '!R$4,'7. PGE_Efficacité'!$A$4:$AO$4,0)),0)</f>
        <v>0</v>
      </c>
      <c r="S11" s="64">
        <f>VLOOKUP($B11,'7. PGE_Efficacité'!$A$6:$CY$266,(MATCH('[3]4.4 ACE MAX SEN '!S$4,'7. PGE_Efficacité'!$A$4:$AO$4,0)),0)</f>
        <v>0</v>
      </c>
      <c r="T11" s="64">
        <f>VLOOKUP($B11,'7. PGE_Efficacité'!$A$6:$CY$266,(MATCH('[3]4.4 ACE MAX SEN '!T$4,'7. PGE_Efficacité'!$A$4:$AO$4,0)),0)</f>
        <v>0</v>
      </c>
      <c r="U11" s="64">
        <f>VLOOKUP($B11,'7. PGE_Efficacité'!$A$6:$CY$266,(MATCH('[3]4.4 ACE MAX SEN '!U$4,'7. PGE_Efficacité'!$A$4:$AO$4,0)),0)</f>
        <v>0</v>
      </c>
      <c r="V11" s="64">
        <f>VLOOKUP($B11,'7. PGE_Efficacité'!$A$6:$CY$266,(MATCH('[3]4.4 ACE MAX SEN '!V$4,'7. PGE_Efficacité'!$A$4:$AO$4,0)),0)</f>
        <v>0</v>
      </c>
      <c r="W11" s="61">
        <f>VLOOKUP($B11,'7. PGE_Efficacité'!$A$6:$CY$266,(MATCH('[3]4.4 ACE MAX SEN '!W$4,'7. PGE_Efficacité'!$A$4:$AO$4,0)),0)</f>
        <v>0</v>
      </c>
      <c r="X11" s="61">
        <f>VLOOKUP($B11,'7. PGE_Efficacité'!$A$6:$CY$266,(MATCH('[3]4.4 ACE MAX SEN '!X$4,'7. PGE_Efficacité'!$A$4:$AO$4,0)),0)</f>
        <v>0</v>
      </c>
      <c r="Y11" s="61">
        <f>VLOOKUP($B11,'7. PGE_Efficacité'!$A$6:$CY$266,(MATCH('[3]4.4 ACE MAX SEN '!Y$4,'7. PGE_Efficacité'!$A$4:$AO$4,0)),0)</f>
        <v>0</v>
      </c>
      <c r="Z11" s="61">
        <f>VLOOKUP($B11,'7. PGE_Efficacité'!$A$6:$CY$266,(MATCH('[3]4.4 ACE MAX SEN '!Z$4,'7. PGE_Efficacité'!$A$4:$AO$4,0)),0)</f>
        <v>0</v>
      </c>
      <c r="AA11" s="61">
        <f>VLOOKUP($B11,'7. PGE_Efficacité'!$A$6:$CY$266,(MATCH('[3]4.4 ACE MAX SEN '!AA$4,'7. PGE_Efficacité'!$A$4:$AO$4,0)),0)</f>
        <v>0</v>
      </c>
      <c r="AB11" s="61">
        <f>VLOOKUP($B11,'7. PGE_Efficacité'!$A$6:$CY$266,(MATCH('[3]4.4 ACE MAX SEN '!AB$4,'7. PGE_Efficacité'!$A$4:$AO$4,0)),0)</f>
        <v>0</v>
      </c>
      <c r="AC11" s="61">
        <f>VLOOKUP($B11,'7. PGE_Efficacité'!$A$6:$CY$266,(MATCH('[3]4.4 ACE MAX SEN '!AC$4,'7. PGE_Efficacité'!$A$4:$AO$4,0)),0)</f>
        <v>0</v>
      </c>
      <c r="AD11" s="61" t="str">
        <f>VLOOKUP($B11,'7. PGE_Efficacité'!$A$6:$CY$266,(MATCH('[3]4.4 ACE MAX SEN '!AD$4,'7. PGE_Efficacité'!$A$4:$AO$4,0)),0)</f>
        <v>+++</v>
      </c>
      <c r="AE11" s="61" t="str">
        <f>VLOOKUP($B11,'7. PGE_Efficacité'!$A$6:$CY$266,(MATCH('[3]4.4 ACE MAX SEN '!AE$4,'7. PGE_Efficacité'!$A$4:$AO$4,0)),0)</f>
        <v>+++</v>
      </c>
      <c r="AF11" s="61" t="str">
        <f>VLOOKUP($B11,'7. PGE_Efficacité'!$A$6:$CY$266,(MATCH('[3]4.4 ACE MAX SEN '!AF$4,'7. PGE_Efficacité'!$A$4:$AO$4,0)),0)</f>
        <v>+++</v>
      </c>
      <c r="AG11" s="61">
        <f>VLOOKUP($B11,'7. PGE_Efficacité'!$A$6:$CY$266,(MATCH('[3]4.4 ACE MAX SEN '!AG$4,'7. PGE_Efficacité'!$A$4:$AO$4,0)),0)</f>
        <v>0</v>
      </c>
      <c r="AH11" s="61">
        <f>VLOOKUP($B11,'7. PGE_Efficacité'!$A$6:$CY$266,(MATCH('[3]4.4 ACE MAX SEN '!AH$4,'7. PGE_Efficacité'!$A$4:$AO$4,0)),0)</f>
        <v>0</v>
      </c>
      <c r="AI11" s="61">
        <f>VLOOKUP($B11,'7. PGE_Efficacité'!$A$6:$CY$266,(MATCH('[3]4.4 ACE MAX SEN '!AI$4,'7. PGE_Efficacité'!$A$4:$AO$4,0)),0)</f>
        <v>0</v>
      </c>
      <c r="AJ11" s="61">
        <f>VLOOKUP($B11,'7. PGE_Efficacité'!$A$6:$CY$266,(MATCH('[3]4.4 ACE MAX SEN '!AJ$4,'7. PGE_Efficacité'!$A$4:$AO$4,0)),0)</f>
        <v>0</v>
      </c>
      <c r="AK11" s="61">
        <f>VLOOKUP($B11,'7. PGE_Efficacité'!$A$6:$CY$266,(MATCH('[3]4.4 ACE MAX SEN '!AK$4,'7. PGE_Efficacité'!$A$4:$AO$4,0)),0)</f>
        <v>0</v>
      </c>
    </row>
    <row r="12" spans="1:37" hidden="1" outlineLevel="2" x14ac:dyDescent="0.25">
      <c r="A12" s="65" t="s">
        <v>0</v>
      </c>
      <c r="B12" s="65" t="s">
        <v>643</v>
      </c>
      <c r="C12" s="65" t="s">
        <v>1304</v>
      </c>
      <c r="D12" s="65" t="s">
        <v>1520</v>
      </c>
      <c r="E12" s="65" t="s">
        <v>415</v>
      </c>
      <c r="F12" s="73"/>
      <c r="G12" s="64">
        <f>VLOOKUP($B12,'7. PGE_Efficacité'!$A$6:$CY$266,(MATCH('[3]4.4 ACE MAX SEN '!G$4,'7. PGE_Efficacité'!$A$4:$AO$4,0)),0)</f>
        <v>0</v>
      </c>
      <c r="H12" s="64">
        <f>VLOOKUP($B12,'7. PGE_Efficacité'!$A$6:$CY$266,(MATCH('[3]4.4 ACE MAX SEN '!H$4,'7. PGE_Efficacité'!$A$4:$AO$4,0)),0)</f>
        <v>0</v>
      </c>
      <c r="I12" s="64">
        <f>VLOOKUP($B12,'7. PGE_Efficacité'!$A$6:$CY$266,(MATCH('[3]4.4 ACE MAX SEN '!I$4,'7. PGE_Efficacité'!$A$4:$AO$4,0)),0)</f>
        <v>0</v>
      </c>
      <c r="J12" s="64">
        <f>VLOOKUP($B12,'7. PGE_Efficacité'!$A$6:$CY$266,(MATCH('[3]4.4 ACE MAX SEN '!J$4,'7. PGE_Efficacité'!$A$4:$AO$4,0)),0)</f>
        <v>0</v>
      </c>
      <c r="K12" s="64">
        <f>VLOOKUP($B12,'7. PGE_Efficacité'!$A$6:$CY$266,(MATCH('[3]4.4 ACE MAX SEN '!K$4,'7. PGE_Efficacité'!$A$4:$AO$4,0)),0)</f>
        <v>0</v>
      </c>
      <c r="L12" s="64">
        <f>VLOOKUP($B12,'7. PGE_Efficacité'!$A$6:$CY$266,(MATCH('[3]4.4 ACE MAX SEN '!L$4,'7. PGE_Efficacité'!$A$4:$AO$4,0)),0)</f>
        <v>0</v>
      </c>
      <c r="M12" s="64">
        <f>VLOOKUP($B12,'7. PGE_Efficacité'!$A$6:$CY$266,(MATCH('[3]4.4 ACE MAX SEN '!M$4,'7. PGE_Efficacité'!$A$4:$AO$4,0)),0)</f>
        <v>0</v>
      </c>
      <c r="N12" s="64">
        <f>VLOOKUP($B12,'7. PGE_Efficacité'!$A$6:$CY$266,(MATCH('[3]4.4 ACE MAX SEN '!N$4,'7. PGE_Efficacité'!$A$4:$AO$4,0)),0)</f>
        <v>0</v>
      </c>
      <c r="O12" s="64">
        <f>VLOOKUP($B12,'7. PGE_Efficacité'!$A$6:$CY$266,(MATCH('[3]4.4 ACE MAX SEN '!O$4,'7. PGE_Efficacité'!$A$4:$AO$4,0)),0)</f>
        <v>0</v>
      </c>
      <c r="P12" s="64">
        <f>VLOOKUP($B12,'7. PGE_Efficacité'!$A$6:$CY$266,(MATCH('[3]4.4 ACE MAX SEN '!P$4,'7. PGE_Efficacité'!$A$4:$AO$4,0)),0)</f>
        <v>0</v>
      </c>
      <c r="Q12" s="64">
        <f>VLOOKUP($B12,'7. PGE_Efficacité'!$A$6:$CY$266,(MATCH('[3]4.4 ACE MAX SEN '!Q$4,'7. PGE_Efficacité'!$A$4:$AO$4,0)),0)</f>
        <v>0</v>
      </c>
      <c r="R12" s="64">
        <f>VLOOKUP($B12,'7. PGE_Efficacité'!$A$6:$CY$266,(MATCH('[3]4.4 ACE MAX SEN '!R$4,'7. PGE_Efficacité'!$A$4:$AO$4,0)),0)</f>
        <v>0</v>
      </c>
      <c r="S12" s="64">
        <f>VLOOKUP($B12,'7. PGE_Efficacité'!$A$6:$CY$266,(MATCH('[3]4.4 ACE MAX SEN '!S$4,'7. PGE_Efficacité'!$A$4:$AO$4,0)),0)</f>
        <v>0</v>
      </c>
      <c r="T12" s="64">
        <f>VLOOKUP($B12,'7. PGE_Efficacité'!$A$6:$CY$266,(MATCH('[3]4.4 ACE MAX SEN '!T$4,'7. PGE_Efficacité'!$A$4:$AO$4,0)),0)</f>
        <v>0</v>
      </c>
      <c r="U12" s="64">
        <f>VLOOKUP($B12,'7. PGE_Efficacité'!$A$6:$CY$266,(MATCH('[3]4.4 ACE MAX SEN '!U$4,'7. PGE_Efficacité'!$A$4:$AO$4,0)),0)</f>
        <v>0</v>
      </c>
      <c r="V12" s="64">
        <f>VLOOKUP($B12,'7. PGE_Efficacité'!$A$6:$CY$266,(MATCH('[3]4.4 ACE MAX SEN '!V$4,'7. PGE_Efficacité'!$A$4:$AO$4,0)),0)</f>
        <v>0</v>
      </c>
      <c r="W12" s="61">
        <f>VLOOKUP($B12,'7. PGE_Efficacité'!$A$6:$CY$266,(MATCH('[3]4.4 ACE MAX SEN '!W$4,'7. PGE_Efficacité'!$A$4:$AO$4,0)),0)</f>
        <v>0</v>
      </c>
      <c r="X12" s="61">
        <f>VLOOKUP($B12,'7. PGE_Efficacité'!$A$6:$CY$266,(MATCH('[3]4.4 ACE MAX SEN '!X$4,'7. PGE_Efficacité'!$A$4:$AO$4,0)),0)</f>
        <v>0</v>
      </c>
      <c r="Y12" s="61">
        <f>VLOOKUP($B12,'7. PGE_Efficacité'!$A$6:$CY$266,(MATCH('[3]4.4 ACE MAX SEN '!Y$4,'7. PGE_Efficacité'!$A$4:$AO$4,0)),0)</f>
        <v>0</v>
      </c>
      <c r="Z12" s="61">
        <f>VLOOKUP($B12,'7. PGE_Efficacité'!$A$6:$CY$266,(MATCH('[3]4.4 ACE MAX SEN '!Z$4,'7. PGE_Efficacité'!$A$4:$AO$4,0)),0)</f>
        <v>0</v>
      </c>
      <c r="AA12" s="61">
        <f>VLOOKUP($B12,'7. PGE_Efficacité'!$A$6:$CY$266,(MATCH('[3]4.4 ACE MAX SEN '!AA$4,'7. PGE_Efficacité'!$A$4:$AO$4,0)),0)</f>
        <v>0</v>
      </c>
      <c r="AB12" s="61">
        <f>VLOOKUP($B12,'7. PGE_Efficacité'!$A$6:$CY$266,(MATCH('[3]4.4 ACE MAX SEN '!AB$4,'7. PGE_Efficacité'!$A$4:$AO$4,0)),0)</f>
        <v>0</v>
      </c>
      <c r="AC12" s="61">
        <f>VLOOKUP($B12,'7. PGE_Efficacité'!$A$6:$CY$266,(MATCH('[3]4.4 ACE MAX SEN '!AC$4,'7. PGE_Efficacité'!$A$4:$AO$4,0)),0)</f>
        <v>0</v>
      </c>
      <c r="AD12" s="61">
        <f>VLOOKUP($B12,'7. PGE_Efficacité'!$A$6:$CY$266,(MATCH('[3]4.4 ACE MAX SEN '!AD$4,'7. PGE_Efficacité'!$A$4:$AO$4,0)),0)</f>
        <v>0</v>
      </c>
      <c r="AE12" s="61">
        <f>VLOOKUP($B12,'7. PGE_Efficacité'!$A$6:$CY$266,(MATCH('[3]4.4 ACE MAX SEN '!AE$4,'7. PGE_Efficacité'!$A$4:$AO$4,0)),0)</f>
        <v>0</v>
      </c>
      <c r="AF12" s="61">
        <f>VLOOKUP($B12,'7. PGE_Efficacité'!$A$6:$CY$266,(MATCH('[3]4.4 ACE MAX SEN '!AF$4,'7. PGE_Efficacité'!$A$4:$AO$4,0)),0)</f>
        <v>0</v>
      </c>
      <c r="AG12" s="61">
        <f>VLOOKUP($B12,'7. PGE_Efficacité'!$A$6:$CY$266,(MATCH('[3]4.4 ACE MAX SEN '!AG$4,'7. PGE_Efficacité'!$A$4:$AO$4,0)),0)</f>
        <v>0</v>
      </c>
      <c r="AH12" s="61">
        <f>VLOOKUP($B12,'7. PGE_Efficacité'!$A$6:$CY$266,(MATCH('[3]4.4 ACE MAX SEN '!AH$4,'7. PGE_Efficacité'!$A$4:$AO$4,0)),0)</f>
        <v>0</v>
      </c>
      <c r="AI12" s="61">
        <f>VLOOKUP($B12,'7. PGE_Efficacité'!$A$6:$CY$266,(MATCH('[3]4.4 ACE MAX SEN '!AI$4,'7. PGE_Efficacité'!$A$4:$AO$4,0)),0)</f>
        <v>0</v>
      </c>
      <c r="AJ12" s="61">
        <f>VLOOKUP($B12,'7. PGE_Efficacité'!$A$6:$CY$266,(MATCH('[3]4.4 ACE MAX SEN '!AJ$4,'7. PGE_Efficacité'!$A$4:$AO$4,0)),0)</f>
        <v>0</v>
      </c>
      <c r="AK12" s="61">
        <f>VLOOKUP($B12,'7. PGE_Efficacité'!$A$6:$CY$266,(MATCH('[3]4.4 ACE MAX SEN '!AK$4,'7. PGE_Efficacité'!$A$4:$AO$4,0)),0)</f>
        <v>0</v>
      </c>
    </row>
    <row r="13" spans="1:37" hidden="1" outlineLevel="2" x14ac:dyDescent="0.25">
      <c r="A13" s="65" t="s">
        <v>0</v>
      </c>
      <c r="B13" s="65" t="s">
        <v>644</v>
      </c>
      <c r="C13" s="65" t="s">
        <v>1305</v>
      </c>
      <c r="D13" s="65" t="s">
        <v>1520</v>
      </c>
      <c r="E13" s="65" t="s">
        <v>415</v>
      </c>
      <c r="F13" s="73"/>
      <c r="G13" s="64">
        <f>VLOOKUP($B13,'7. PGE_Efficacité'!$A$6:$CY$266,(MATCH('[3]4.4 ACE MAX SEN '!G$4,'7. PGE_Efficacité'!$A$4:$AO$4,0)),0)</f>
        <v>0</v>
      </c>
      <c r="H13" s="64">
        <f>VLOOKUP($B13,'7. PGE_Efficacité'!$A$6:$CY$266,(MATCH('[3]4.4 ACE MAX SEN '!H$4,'7. PGE_Efficacité'!$A$4:$AO$4,0)),0)</f>
        <v>0</v>
      </c>
      <c r="I13" s="64">
        <f>VLOOKUP($B13,'7. PGE_Efficacité'!$A$6:$CY$266,(MATCH('[3]4.4 ACE MAX SEN '!I$4,'7. PGE_Efficacité'!$A$4:$AO$4,0)),0)</f>
        <v>0</v>
      </c>
      <c r="J13" s="64">
        <f>VLOOKUP($B13,'7. PGE_Efficacité'!$A$6:$CY$266,(MATCH('[3]4.4 ACE MAX SEN '!J$4,'7. PGE_Efficacité'!$A$4:$AO$4,0)),0)</f>
        <v>0</v>
      </c>
      <c r="K13" s="64">
        <f>VLOOKUP($B13,'7. PGE_Efficacité'!$A$6:$CY$266,(MATCH('[3]4.4 ACE MAX SEN '!K$4,'7. PGE_Efficacité'!$A$4:$AO$4,0)),0)</f>
        <v>0</v>
      </c>
      <c r="L13" s="64">
        <f>VLOOKUP($B13,'7. PGE_Efficacité'!$A$6:$CY$266,(MATCH('[3]4.4 ACE MAX SEN '!L$4,'7. PGE_Efficacité'!$A$4:$AO$4,0)),0)</f>
        <v>0</v>
      </c>
      <c r="M13" s="64">
        <f>VLOOKUP($B13,'7. PGE_Efficacité'!$A$6:$CY$266,(MATCH('[3]4.4 ACE MAX SEN '!M$4,'7. PGE_Efficacité'!$A$4:$AO$4,0)),0)</f>
        <v>0</v>
      </c>
      <c r="N13" s="64">
        <f>VLOOKUP($B13,'7. PGE_Efficacité'!$A$6:$CY$266,(MATCH('[3]4.4 ACE MAX SEN '!N$4,'7. PGE_Efficacité'!$A$4:$AO$4,0)),0)</f>
        <v>0</v>
      </c>
      <c r="O13" s="64">
        <f>VLOOKUP($B13,'7. PGE_Efficacité'!$A$6:$CY$266,(MATCH('[3]4.4 ACE MAX SEN '!O$4,'7. PGE_Efficacité'!$A$4:$AO$4,0)),0)</f>
        <v>0</v>
      </c>
      <c r="P13" s="64">
        <f>VLOOKUP($B13,'7. PGE_Efficacité'!$A$6:$CY$266,(MATCH('[3]4.4 ACE MAX SEN '!P$4,'7. PGE_Efficacité'!$A$4:$AO$4,0)),0)</f>
        <v>0</v>
      </c>
      <c r="Q13" s="64">
        <f>VLOOKUP($B13,'7. PGE_Efficacité'!$A$6:$CY$266,(MATCH('[3]4.4 ACE MAX SEN '!Q$4,'7. PGE_Efficacité'!$A$4:$AO$4,0)),0)</f>
        <v>0</v>
      </c>
      <c r="R13" s="64">
        <f>VLOOKUP($B13,'7. PGE_Efficacité'!$A$6:$CY$266,(MATCH('[3]4.4 ACE MAX SEN '!R$4,'7. PGE_Efficacité'!$A$4:$AO$4,0)),0)</f>
        <v>0</v>
      </c>
      <c r="S13" s="64">
        <f>VLOOKUP($B13,'7. PGE_Efficacité'!$A$6:$CY$266,(MATCH('[3]4.4 ACE MAX SEN '!S$4,'7. PGE_Efficacité'!$A$4:$AO$4,0)),0)</f>
        <v>0</v>
      </c>
      <c r="T13" s="64">
        <f>VLOOKUP($B13,'7. PGE_Efficacité'!$A$6:$CY$266,(MATCH('[3]4.4 ACE MAX SEN '!T$4,'7. PGE_Efficacité'!$A$4:$AO$4,0)),0)</f>
        <v>0</v>
      </c>
      <c r="U13" s="64">
        <f>VLOOKUP($B13,'7. PGE_Efficacité'!$A$6:$CY$266,(MATCH('[3]4.4 ACE MAX SEN '!U$4,'7. PGE_Efficacité'!$A$4:$AO$4,0)),0)</f>
        <v>0</v>
      </c>
      <c r="V13" s="64">
        <f>VLOOKUP($B13,'7. PGE_Efficacité'!$A$6:$CY$266,(MATCH('[3]4.4 ACE MAX SEN '!V$4,'7. PGE_Efficacité'!$A$4:$AO$4,0)),0)</f>
        <v>0</v>
      </c>
      <c r="W13" s="61">
        <f>VLOOKUP($B13,'7. PGE_Efficacité'!$A$6:$CY$266,(MATCH('[3]4.4 ACE MAX SEN '!W$4,'7. PGE_Efficacité'!$A$4:$AO$4,0)),0)</f>
        <v>0</v>
      </c>
      <c r="X13" s="61">
        <f>VLOOKUP($B13,'7. PGE_Efficacité'!$A$6:$CY$266,(MATCH('[3]4.4 ACE MAX SEN '!X$4,'7. PGE_Efficacité'!$A$4:$AO$4,0)),0)</f>
        <v>0</v>
      </c>
      <c r="Y13" s="61">
        <f>VLOOKUP($B13,'7. PGE_Efficacité'!$A$6:$CY$266,(MATCH('[3]4.4 ACE MAX SEN '!Y$4,'7. PGE_Efficacité'!$A$4:$AO$4,0)),0)</f>
        <v>0</v>
      </c>
      <c r="Z13" s="61">
        <f>VLOOKUP($B13,'7. PGE_Efficacité'!$A$6:$CY$266,(MATCH('[3]4.4 ACE MAX SEN '!Z$4,'7. PGE_Efficacité'!$A$4:$AO$4,0)),0)</f>
        <v>0</v>
      </c>
      <c r="AA13" s="61">
        <f>VLOOKUP($B13,'7. PGE_Efficacité'!$A$6:$CY$266,(MATCH('[3]4.4 ACE MAX SEN '!AA$4,'7. PGE_Efficacité'!$A$4:$AO$4,0)),0)</f>
        <v>0</v>
      </c>
      <c r="AB13" s="61">
        <f>VLOOKUP($B13,'7. PGE_Efficacité'!$A$6:$CY$266,(MATCH('[3]4.4 ACE MAX SEN '!AB$4,'7. PGE_Efficacité'!$A$4:$AO$4,0)),0)</f>
        <v>0</v>
      </c>
      <c r="AC13" s="61">
        <f>VLOOKUP($B13,'7. PGE_Efficacité'!$A$6:$CY$266,(MATCH('[3]4.4 ACE MAX SEN '!AC$4,'7. PGE_Efficacité'!$A$4:$AO$4,0)),0)</f>
        <v>0</v>
      </c>
      <c r="AD13" s="61" t="str">
        <f>VLOOKUP($B13,'7. PGE_Efficacité'!$A$6:$CY$266,(MATCH('[3]4.4 ACE MAX SEN '!AD$4,'7. PGE_Efficacité'!$A$4:$AO$4,0)),0)</f>
        <v>+</v>
      </c>
      <c r="AE13" s="61" t="str">
        <f>VLOOKUP($B13,'7. PGE_Efficacité'!$A$6:$CY$266,(MATCH('[3]4.4 ACE MAX SEN '!AE$4,'7. PGE_Efficacité'!$A$4:$AO$4,0)),0)</f>
        <v>+</v>
      </c>
      <c r="AF13" s="61" t="str">
        <f>VLOOKUP($B13,'7. PGE_Efficacité'!$A$6:$CY$266,(MATCH('[3]4.4 ACE MAX SEN '!AF$4,'7. PGE_Efficacité'!$A$4:$AO$4,0)),0)</f>
        <v>+</v>
      </c>
      <c r="AG13" s="61">
        <f>VLOOKUP($B13,'7. PGE_Efficacité'!$A$6:$CY$266,(MATCH('[3]4.4 ACE MAX SEN '!AG$4,'7. PGE_Efficacité'!$A$4:$AO$4,0)),0)</f>
        <v>0</v>
      </c>
      <c r="AH13" s="61">
        <f>VLOOKUP($B13,'7. PGE_Efficacité'!$A$6:$CY$266,(MATCH('[3]4.4 ACE MAX SEN '!AH$4,'7. PGE_Efficacité'!$A$4:$AO$4,0)),0)</f>
        <v>0</v>
      </c>
      <c r="AI13" s="61">
        <f>VLOOKUP($B13,'7. PGE_Efficacité'!$A$6:$CY$266,(MATCH('[3]4.4 ACE MAX SEN '!AI$4,'7. PGE_Efficacité'!$A$4:$AO$4,0)),0)</f>
        <v>0</v>
      </c>
      <c r="AJ13" s="61">
        <f>VLOOKUP($B13,'7. PGE_Efficacité'!$A$6:$CY$266,(MATCH('[3]4.4 ACE MAX SEN '!AJ$4,'7. PGE_Efficacité'!$A$4:$AO$4,0)),0)</f>
        <v>0</v>
      </c>
      <c r="AK13" s="61">
        <f>VLOOKUP($B13,'7. PGE_Efficacité'!$A$6:$CY$266,(MATCH('[3]4.4 ACE MAX SEN '!AK$4,'7. PGE_Efficacité'!$A$4:$AO$4,0)),0)</f>
        <v>0</v>
      </c>
    </row>
    <row r="14" spans="1:37" hidden="1" outlineLevel="2" x14ac:dyDescent="0.25">
      <c r="A14" s="65" t="s">
        <v>0</v>
      </c>
      <c r="B14" s="65" t="s">
        <v>638</v>
      </c>
      <c r="C14" s="65" t="s">
        <v>1300</v>
      </c>
      <c r="D14" s="65" t="s">
        <v>1520</v>
      </c>
      <c r="E14" s="65" t="s">
        <v>415</v>
      </c>
      <c r="F14" s="73"/>
      <c r="G14" s="64">
        <f>VLOOKUP($B14,'7. PGE_Efficacité'!$A$6:$CY$266,(MATCH('[3]4.4 ACE MAX SEN '!G$4,'7. PGE_Efficacité'!$A$4:$AO$4,0)),0)</f>
        <v>0</v>
      </c>
      <c r="H14" s="64">
        <f>VLOOKUP($B14,'7. PGE_Efficacité'!$A$6:$CY$266,(MATCH('[3]4.4 ACE MAX SEN '!H$4,'7. PGE_Efficacité'!$A$4:$AO$4,0)),0)</f>
        <v>0</v>
      </c>
      <c r="I14" s="64">
        <f>VLOOKUP($B14,'7. PGE_Efficacité'!$A$6:$CY$266,(MATCH('[3]4.4 ACE MAX SEN '!I$4,'7. PGE_Efficacité'!$A$4:$AO$4,0)),0)</f>
        <v>0</v>
      </c>
      <c r="J14" s="64">
        <f>VLOOKUP($B14,'7. PGE_Efficacité'!$A$6:$CY$266,(MATCH('[3]4.4 ACE MAX SEN '!J$4,'7. PGE_Efficacité'!$A$4:$AO$4,0)),0)</f>
        <v>0</v>
      </c>
      <c r="K14" s="64">
        <f>VLOOKUP($B14,'7. PGE_Efficacité'!$A$6:$CY$266,(MATCH('[3]4.4 ACE MAX SEN '!K$4,'7. PGE_Efficacité'!$A$4:$AO$4,0)),0)</f>
        <v>0</v>
      </c>
      <c r="L14" s="64">
        <f>VLOOKUP($B14,'7. PGE_Efficacité'!$A$6:$CY$266,(MATCH('[3]4.4 ACE MAX SEN '!L$4,'7. PGE_Efficacité'!$A$4:$AO$4,0)),0)</f>
        <v>0</v>
      </c>
      <c r="M14" s="64">
        <f>VLOOKUP($B14,'7. PGE_Efficacité'!$A$6:$CY$266,(MATCH('[3]4.4 ACE MAX SEN '!M$4,'7. PGE_Efficacité'!$A$4:$AO$4,0)),0)</f>
        <v>0</v>
      </c>
      <c r="N14" s="64">
        <f>VLOOKUP($B14,'7. PGE_Efficacité'!$A$6:$CY$266,(MATCH('[3]4.4 ACE MAX SEN '!N$4,'7. PGE_Efficacité'!$A$4:$AO$4,0)),0)</f>
        <v>0</v>
      </c>
      <c r="O14" s="64">
        <f>VLOOKUP($B14,'7. PGE_Efficacité'!$A$6:$CY$266,(MATCH('[3]4.4 ACE MAX SEN '!O$4,'7. PGE_Efficacité'!$A$4:$AO$4,0)),0)</f>
        <v>0</v>
      </c>
      <c r="P14" s="64">
        <f>VLOOKUP($B14,'7. PGE_Efficacité'!$A$6:$CY$266,(MATCH('[3]4.4 ACE MAX SEN '!P$4,'7. PGE_Efficacité'!$A$4:$AO$4,0)),0)</f>
        <v>0</v>
      </c>
      <c r="Q14" s="64">
        <f>VLOOKUP($B14,'7. PGE_Efficacité'!$A$6:$CY$266,(MATCH('[3]4.4 ACE MAX SEN '!Q$4,'7. PGE_Efficacité'!$A$4:$AO$4,0)),0)</f>
        <v>0</v>
      </c>
      <c r="R14" s="64">
        <f>VLOOKUP($B14,'7. PGE_Efficacité'!$A$6:$CY$266,(MATCH('[3]4.4 ACE MAX SEN '!R$4,'7. PGE_Efficacité'!$A$4:$AO$4,0)),0)</f>
        <v>0</v>
      </c>
      <c r="S14" s="64">
        <f>VLOOKUP($B14,'7. PGE_Efficacité'!$A$6:$CY$266,(MATCH('[3]4.4 ACE MAX SEN '!S$4,'7. PGE_Efficacité'!$A$4:$AO$4,0)),0)</f>
        <v>0</v>
      </c>
      <c r="T14" s="64">
        <f>VLOOKUP($B14,'7. PGE_Efficacité'!$A$6:$CY$266,(MATCH('[3]4.4 ACE MAX SEN '!T$4,'7. PGE_Efficacité'!$A$4:$AO$4,0)),0)</f>
        <v>0</v>
      </c>
      <c r="U14" s="64">
        <f>VLOOKUP($B14,'7. PGE_Efficacité'!$A$6:$CY$266,(MATCH('[3]4.4 ACE MAX SEN '!U$4,'7. PGE_Efficacité'!$A$4:$AO$4,0)),0)</f>
        <v>0</v>
      </c>
      <c r="V14" s="64">
        <f>VLOOKUP($B14,'7. PGE_Efficacité'!$A$6:$CY$266,(MATCH('[3]4.4 ACE MAX SEN '!V$4,'7. PGE_Efficacité'!$A$4:$AO$4,0)),0)</f>
        <v>0</v>
      </c>
      <c r="W14" s="61">
        <f>VLOOKUP($B14,'7. PGE_Efficacité'!$A$6:$CY$266,(MATCH('[3]4.4 ACE MAX SEN '!W$4,'7. PGE_Efficacité'!$A$4:$AO$4,0)),0)</f>
        <v>0</v>
      </c>
      <c r="X14" s="61">
        <f>VLOOKUP($B14,'7. PGE_Efficacité'!$A$6:$CY$266,(MATCH('[3]4.4 ACE MAX SEN '!X$4,'7. PGE_Efficacité'!$A$4:$AO$4,0)),0)</f>
        <v>0</v>
      </c>
      <c r="Y14" s="61">
        <f>VLOOKUP($B14,'7. PGE_Efficacité'!$A$6:$CY$266,(MATCH('[3]4.4 ACE MAX SEN '!Y$4,'7. PGE_Efficacité'!$A$4:$AO$4,0)),0)</f>
        <v>0</v>
      </c>
      <c r="Z14" s="61">
        <f>VLOOKUP($B14,'7. PGE_Efficacité'!$A$6:$CY$266,(MATCH('[3]4.4 ACE MAX SEN '!Z$4,'7. PGE_Efficacité'!$A$4:$AO$4,0)),0)</f>
        <v>0</v>
      </c>
      <c r="AA14" s="61">
        <f>VLOOKUP($B14,'7. PGE_Efficacité'!$A$6:$CY$266,(MATCH('[3]4.4 ACE MAX SEN '!AA$4,'7. PGE_Efficacité'!$A$4:$AO$4,0)),0)</f>
        <v>0</v>
      </c>
      <c r="AB14" s="61">
        <f>VLOOKUP($B14,'7. PGE_Efficacité'!$A$6:$CY$266,(MATCH('[3]4.4 ACE MAX SEN '!AB$4,'7. PGE_Efficacité'!$A$4:$AO$4,0)),0)</f>
        <v>0</v>
      </c>
      <c r="AC14" s="61">
        <f>VLOOKUP($B14,'7. PGE_Efficacité'!$A$6:$CY$266,(MATCH('[3]4.4 ACE MAX SEN '!AC$4,'7. PGE_Efficacité'!$A$4:$AO$4,0)),0)</f>
        <v>0</v>
      </c>
      <c r="AD14" s="61">
        <f>VLOOKUP($B14,'7. PGE_Efficacité'!$A$6:$CY$266,(MATCH('[3]4.4 ACE MAX SEN '!AD$4,'7. PGE_Efficacité'!$A$4:$AO$4,0)),0)</f>
        <v>0</v>
      </c>
      <c r="AE14" s="61">
        <f>VLOOKUP($B14,'7. PGE_Efficacité'!$A$6:$CY$266,(MATCH('[3]4.4 ACE MAX SEN '!AE$4,'7. PGE_Efficacité'!$A$4:$AO$4,0)),0)</f>
        <v>0</v>
      </c>
      <c r="AF14" s="61">
        <f>VLOOKUP($B14,'7. PGE_Efficacité'!$A$6:$CY$266,(MATCH('[3]4.4 ACE MAX SEN '!AF$4,'7. PGE_Efficacité'!$A$4:$AO$4,0)),0)</f>
        <v>0</v>
      </c>
      <c r="AG14" s="61">
        <f>VLOOKUP($B14,'7. PGE_Efficacité'!$A$6:$CY$266,(MATCH('[3]4.4 ACE MAX SEN '!AG$4,'7. PGE_Efficacité'!$A$4:$AO$4,0)),0)</f>
        <v>0</v>
      </c>
      <c r="AH14" s="61">
        <f>VLOOKUP($B14,'7. PGE_Efficacité'!$A$6:$CY$266,(MATCH('[3]4.4 ACE MAX SEN '!AH$4,'7. PGE_Efficacité'!$A$4:$AO$4,0)),0)</f>
        <v>0</v>
      </c>
      <c r="AI14" s="61">
        <f>VLOOKUP($B14,'7. PGE_Efficacité'!$A$6:$CY$266,(MATCH('[3]4.4 ACE MAX SEN '!AI$4,'7. PGE_Efficacité'!$A$4:$AO$4,0)),0)</f>
        <v>0</v>
      </c>
      <c r="AJ14" s="61">
        <f>VLOOKUP($B14,'7. PGE_Efficacité'!$A$6:$CY$266,(MATCH('[3]4.4 ACE MAX SEN '!AJ$4,'7. PGE_Efficacité'!$A$4:$AO$4,0)),0)</f>
        <v>0</v>
      </c>
      <c r="AK14" s="61">
        <f>VLOOKUP($B14,'7. PGE_Efficacité'!$A$6:$CY$266,(MATCH('[3]4.4 ACE MAX SEN '!AK$4,'7. PGE_Efficacité'!$A$4:$AO$4,0)),0)</f>
        <v>0</v>
      </c>
    </row>
    <row r="15" spans="1:37" hidden="1" outlineLevel="2" x14ac:dyDescent="0.25">
      <c r="A15" s="65" t="s">
        <v>0</v>
      </c>
      <c r="B15" s="65" t="s">
        <v>639</v>
      </c>
      <c r="C15" s="65" t="s">
        <v>1301</v>
      </c>
      <c r="D15" s="65" t="s">
        <v>1520</v>
      </c>
      <c r="E15" s="65" t="s">
        <v>415</v>
      </c>
      <c r="F15" s="73"/>
      <c r="G15" s="64">
        <f>VLOOKUP($B15,'7. PGE_Efficacité'!$A$6:$CY$266,(MATCH('[3]4.4 ACE MAX SEN '!G$4,'7. PGE_Efficacité'!$A$4:$AO$4,0)),0)</f>
        <v>0</v>
      </c>
      <c r="H15" s="64">
        <f>VLOOKUP($B15,'7. PGE_Efficacité'!$A$6:$CY$266,(MATCH('[3]4.4 ACE MAX SEN '!H$4,'7. PGE_Efficacité'!$A$4:$AO$4,0)),0)</f>
        <v>0</v>
      </c>
      <c r="I15" s="64">
        <f>VLOOKUP($B15,'7. PGE_Efficacité'!$A$6:$CY$266,(MATCH('[3]4.4 ACE MAX SEN '!I$4,'7. PGE_Efficacité'!$A$4:$AO$4,0)),0)</f>
        <v>0</v>
      </c>
      <c r="J15" s="64">
        <f>VLOOKUP($B15,'7. PGE_Efficacité'!$A$6:$CY$266,(MATCH('[3]4.4 ACE MAX SEN '!J$4,'7. PGE_Efficacité'!$A$4:$AO$4,0)),0)</f>
        <v>0</v>
      </c>
      <c r="K15" s="64">
        <f>VLOOKUP($B15,'7. PGE_Efficacité'!$A$6:$CY$266,(MATCH('[3]4.4 ACE MAX SEN '!K$4,'7. PGE_Efficacité'!$A$4:$AO$4,0)),0)</f>
        <v>0</v>
      </c>
      <c r="L15" s="64">
        <f>VLOOKUP($B15,'7. PGE_Efficacité'!$A$6:$CY$266,(MATCH('[3]4.4 ACE MAX SEN '!L$4,'7. PGE_Efficacité'!$A$4:$AO$4,0)),0)</f>
        <v>0</v>
      </c>
      <c r="M15" s="64">
        <f>VLOOKUP($B15,'7. PGE_Efficacité'!$A$6:$CY$266,(MATCH('[3]4.4 ACE MAX SEN '!M$4,'7. PGE_Efficacité'!$A$4:$AO$4,0)),0)</f>
        <v>0</v>
      </c>
      <c r="N15" s="64">
        <f>VLOOKUP($B15,'7. PGE_Efficacité'!$A$6:$CY$266,(MATCH('[3]4.4 ACE MAX SEN '!N$4,'7. PGE_Efficacité'!$A$4:$AO$4,0)),0)</f>
        <v>0</v>
      </c>
      <c r="O15" s="64">
        <f>VLOOKUP($B15,'7. PGE_Efficacité'!$A$6:$CY$266,(MATCH('[3]4.4 ACE MAX SEN '!O$4,'7. PGE_Efficacité'!$A$4:$AO$4,0)),0)</f>
        <v>0</v>
      </c>
      <c r="P15" s="64">
        <f>VLOOKUP($B15,'7. PGE_Efficacité'!$A$6:$CY$266,(MATCH('[3]4.4 ACE MAX SEN '!P$4,'7. PGE_Efficacité'!$A$4:$AO$4,0)),0)</f>
        <v>0</v>
      </c>
      <c r="Q15" s="64">
        <f>VLOOKUP($B15,'7. PGE_Efficacité'!$A$6:$CY$266,(MATCH('[3]4.4 ACE MAX SEN '!Q$4,'7. PGE_Efficacité'!$A$4:$AO$4,0)),0)</f>
        <v>0</v>
      </c>
      <c r="R15" s="64">
        <f>VLOOKUP($B15,'7. PGE_Efficacité'!$A$6:$CY$266,(MATCH('[3]4.4 ACE MAX SEN '!R$4,'7. PGE_Efficacité'!$A$4:$AO$4,0)),0)</f>
        <v>0</v>
      </c>
      <c r="S15" s="64">
        <f>VLOOKUP($B15,'7. PGE_Efficacité'!$A$6:$CY$266,(MATCH('[3]4.4 ACE MAX SEN '!S$4,'7. PGE_Efficacité'!$A$4:$AO$4,0)),0)</f>
        <v>0</v>
      </c>
      <c r="T15" s="64">
        <f>VLOOKUP($B15,'7. PGE_Efficacité'!$A$6:$CY$266,(MATCH('[3]4.4 ACE MAX SEN '!T$4,'7. PGE_Efficacité'!$A$4:$AO$4,0)),0)</f>
        <v>0</v>
      </c>
      <c r="U15" s="64">
        <f>VLOOKUP($B15,'7. PGE_Efficacité'!$A$6:$CY$266,(MATCH('[3]4.4 ACE MAX SEN '!U$4,'7. PGE_Efficacité'!$A$4:$AO$4,0)),0)</f>
        <v>0</v>
      </c>
      <c r="V15" s="64">
        <f>VLOOKUP($B15,'7. PGE_Efficacité'!$A$6:$CY$266,(MATCH('[3]4.4 ACE MAX SEN '!V$4,'7. PGE_Efficacité'!$A$4:$AO$4,0)),0)</f>
        <v>0</v>
      </c>
      <c r="W15" s="61">
        <f>VLOOKUP($B15,'7. PGE_Efficacité'!$A$6:$CY$266,(MATCH('[3]4.4 ACE MAX SEN '!W$4,'7. PGE_Efficacité'!$A$4:$AO$4,0)),0)</f>
        <v>0</v>
      </c>
      <c r="X15" s="61">
        <f>VLOOKUP($B15,'7. PGE_Efficacité'!$A$6:$CY$266,(MATCH('[3]4.4 ACE MAX SEN '!X$4,'7. PGE_Efficacité'!$A$4:$AO$4,0)),0)</f>
        <v>0</v>
      </c>
      <c r="Y15" s="61">
        <f>VLOOKUP($B15,'7. PGE_Efficacité'!$A$6:$CY$266,(MATCH('[3]4.4 ACE MAX SEN '!Y$4,'7. PGE_Efficacité'!$A$4:$AO$4,0)),0)</f>
        <v>0</v>
      </c>
      <c r="Z15" s="61">
        <f>VLOOKUP($B15,'7. PGE_Efficacité'!$A$6:$CY$266,(MATCH('[3]4.4 ACE MAX SEN '!Z$4,'7. PGE_Efficacité'!$A$4:$AO$4,0)),0)</f>
        <v>0</v>
      </c>
      <c r="AA15" s="61">
        <f>VLOOKUP($B15,'7. PGE_Efficacité'!$A$6:$CY$266,(MATCH('[3]4.4 ACE MAX SEN '!AA$4,'7. PGE_Efficacité'!$A$4:$AO$4,0)),0)</f>
        <v>0</v>
      </c>
      <c r="AB15" s="61">
        <f>VLOOKUP($B15,'7. PGE_Efficacité'!$A$6:$CY$266,(MATCH('[3]4.4 ACE MAX SEN '!AB$4,'7. PGE_Efficacité'!$A$4:$AO$4,0)),0)</f>
        <v>0</v>
      </c>
      <c r="AC15" s="61">
        <f>VLOOKUP($B15,'7. PGE_Efficacité'!$A$6:$CY$266,(MATCH('[3]4.4 ACE MAX SEN '!AC$4,'7. PGE_Efficacité'!$A$4:$AO$4,0)),0)</f>
        <v>0</v>
      </c>
      <c r="AD15" s="61">
        <f>VLOOKUP($B15,'7. PGE_Efficacité'!$A$6:$CY$266,(MATCH('[3]4.4 ACE MAX SEN '!AD$4,'7. PGE_Efficacité'!$A$4:$AO$4,0)),0)</f>
        <v>0</v>
      </c>
      <c r="AE15" s="61">
        <f>VLOOKUP($B15,'7. PGE_Efficacité'!$A$6:$CY$266,(MATCH('[3]4.4 ACE MAX SEN '!AE$4,'7. PGE_Efficacité'!$A$4:$AO$4,0)),0)</f>
        <v>0</v>
      </c>
      <c r="AF15" s="61">
        <f>VLOOKUP($B15,'7. PGE_Efficacité'!$A$6:$CY$266,(MATCH('[3]4.4 ACE MAX SEN '!AF$4,'7. PGE_Efficacité'!$A$4:$AO$4,0)),0)</f>
        <v>0</v>
      </c>
      <c r="AG15" s="61">
        <f>VLOOKUP($B15,'7. PGE_Efficacité'!$A$6:$CY$266,(MATCH('[3]4.4 ACE MAX SEN '!AG$4,'7. PGE_Efficacité'!$A$4:$AO$4,0)),0)</f>
        <v>0</v>
      </c>
      <c r="AH15" s="61">
        <f>VLOOKUP($B15,'7. PGE_Efficacité'!$A$6:$CY$266,(MATCH('[3]4.4 ACE MAX SEN '!AH$4,'7. PGE_Efficacité'!$A$4:$AO$4,0)),0)</f>
        <v>0</v>
      </c>
      <c r="AI15" s="61">
        <f>VLOOKUP($B15,'7. PGE_Efficacité'!$A$6:$CY$266,(MATCH('[3]4.4 ACE MAX SEN '!AI$4,'7. PGE_Efficacité'!$A$4:$AO$4,0)),0)</f>
        <v>0</v>
      </c>
      <c r="AJ15" s="61">
        <f>VLOOKUP($B15,'7. PGE_Efficacité'!$A$6:$CY$266,(MATCH('[3]4.4 ACE MAX SEN '!AJ$4,'7. PGE_Efficacité'!$A$4:$AO$4,0)),0)</f>
        <v>0</v>
      </c>
      <c r="AK15" s="61">
        <f>VLOOKUP($B15,'7. PGE_Efficacité'!$A$6:$CY$266,(MATCH('[3]4.4 ACE MAX SEN '!AK$4,'7. PGE_Efficacité'!$A$4:$AO$4,0)),0)</f>
        <v>0</v>
      </c>
    </row>
    <row r="16" spans="1:37" hidden="1" outlineLevel="2" x14ac:dyDescent="0.25">
      <c r="A16" s="65" t="s">
        <v>0</v>
      </c>
      <c r="B16" s="65" t="s">
        <v>648</v>
      </c>
      <c r="C16" s="65" t="s">
        <v>1309</v>
      </c>
      <c r="D16" s="65" t="s">
        <v>1520</v>
      </c>
      <c r="E16" s="65" t="s">
        <v>415</v>
      </c>
      <c r="F16" s="73"/>
      <c r="G16" s="64">
        <f>VLOOKUP($B16,'7. PGE_Efficacité'!$A$6:$CY$266,(MATCH('[3]4.4 ACE MAX SEN '!G$4,'7. PGE_Efficacité'!$A$4:$AO$4,0)),0)</f>
        <v>0</v>
      </c>
      <c r="H16" s="64">
        <f>VLOOKUP($B16,'7. PGE_Efficacité'!$A$6:$CY$266,(MATCH('[3]4.4 ACE MAX SEN '!H$4,'7. PGE_Efficacité'!$A$4:$AO$4,0)),0)</f>
        <v>0</v>
      </c>
      <c r="I16" s="64">
        <f>VLOOKUP($B16,'7. PGE_Efficacité'!$A$6:$CY$266,(MATCH('[3]4.4 ACE MAX SEN '!I$4,'7. PGE_Efficacité'!$A$4:$AO$4,0)),0)</f>
        <v>0</v>
      </c>
      <c r="J16" s="64">
        <f>VLOOKUP($B16,'7. PGE_Efficacité'!$A$6:$CY$266,(MATCH('[3]4.4 ACE MAX SEN '!J$4,'7. PGE_Efficacité'!$A$4:$AO$4,0)),0)</f>
        <v>0</v>
      </c>
      <c r="K16" s="64">
        <f>VLOOKUP($B16,'7. PGE_Efficacité'!$A$6:$CY$266,(MATCH('[3]4.4 ACE MAX SEN '!K$4,'7. PGE_Efficacité'!$A$4:$AO$4,0)),0)</f>
        <v>0</v>
      </c>
      <c r="L16" s="64">
        <f>VLOOKUP($B16,'7. PGE_Efficacité'!$A$6:$CY$266,(MATCH('[3]4.4 ACE MAX SEN '!L$4,'7. PGE_Efficacité'!$A$4:$AO$4,0)),0)</f>
        <v>0</v>
      </c>
      <c r="M16" s="64">
        <f>VLOOKUP($B16,'7. PGE_Efficacité'!$A$6:$CY$266,(MATCH('[3]4.4 ACE MAX SEN '!M$4,'7. PGE_Efficacité'!$A$4:$AO$4,0)),0)</f>
        <v>0</v>
      </c>
      <c r="N16" s="64">
        <f>VLOOKUP($B16,'7. PGE_Efficacité'!$A$6:$CY$266,(MATCH('[3]4.4 ACE MAX SEN '!N$4,'7. PGE_Efficacité'!$A$4:$AO$4,0)),0)</f>
        <v>0</v>
      </c>
      <c r="O16" s="64">
        <f>VLOOKUP($B16,'7. PGE_Efficacité'!$A$6:$CY$266,(MATCH('[3]4.4 ACE MAX SEN '!O$4,'7. PGE_Efficacité'!$A$4:$AO$4,0)),0)</f>
        <v>0</v>
      </c>
      <c r="P16" s="64">
        <f>VLOOKUP($B16,'7. PGE_Efficacité'!$A$6:$CY$266,(MATCH('[3]4.4 ACE MAX SEN '!P$4,'7. PGE_Efficacité'!$A$4:$AO$4,0)),0)</f>
        <v>0</v>
      </c>
      <c r="Q16" s="64">
        <f>VLOOKUP($B16,'7. PGE_Efficacité'!$A$6:$CY$266,(MATCH('[3]4.4 ACE MAX SEN '!Q$4,'7. PGE_Efficacité'!$A$4:$AO$4,0)),0)</f>
        <v>0</v>
      </c>
      <c r="R16" s="64">
        <f>VLOOKUP($B16,'7. PGE_Efficacité'!$A$6:$CY$266,(MATCH('[3]4.4 ACE MAX SEN '!R$4,'7. PGE_Efficacité'!$A$4:$AO$4,0)),0)</f>
        <v>0</v>
      </c>
      <c r="S16" s="64">
        <f>VLOOKUP($B16,'7. PGE_Efficacité'!$A$6:$CY$266,(MATCH('[3]4.4 ACE MAX SEN '!S$4,'7. PGE_Efficacité'!$A$4:$AO$4,0)),0)</f>
        <v>0</v>
      </c>
      <c r="T16" s="64">
        <f>VLOOKUP($B16,'7. PGE_Efficacité'!$A$6:$CY$266,(MATCH('[3]4.4 ACE MAX SEN '!T$4,'7. PGE_Efficacité'!$A$4:$AO$4,0)),0)</f>
        <v>0</v>
      </c>
      <c r="U16" s="64">
        <f>VLOOKUP($B16,'7. PGE_Efficacité'!$A$6:$CY$266,(MATCH('[3]4.4 ACE MAX SEN '!U$4,'7. PGE_Efficacité'!$A$4:$AO$4,0)),0)</f>
        <v>0</v>
      </c>
      <c r="V16" s="64">
        <f>VLOOKUP($B16,'7. PGE_Efficacité'!$A$6:$CY$266,(MATCH('[3]4.4 ACE MAX SEN '!V$4,'7. PGE_Efficacité'!$A$4:$AO$4,0)),0)</f>
        <v>0</v>
      </c>
      <c r="W16" s="61">
        <f>VLOOKUP($B16,'7. PGE_Efficacité'!$A$6:$CY$266,(MATCH('[3]4.4 ACE MAX SEN '!W$4,'7. PGE_Efficacité'!$A$4:$AO$4,0)),0)</f>
        <v>0</v>
      </c>
      <c r="X16" s="61">
        <f>VLOOKUP($B16,'7. PGE_Efficacité'!$A$6:$CY$266,(MATCH('[3]4.4 ACE MAX SEN '!X$4,'7. PGE_Efficacité'!$A$4:$AO$4,0)),0)</f>
        <v>0</v>
      </c>
      <c r="Y16" s="61">
        <f>VLOOKUP($B16,'7. PGE_Efficacité'!$A$6:$CY$266,(MATCH('[3]4.4 ACE MAX SEN '!Y$4,'7. PGE_Efficacité'!$A$4:$AO$4,0)),0)</f>
        <v>0</v>
      </c>
      <c r="Z16" s="61">
        <f>VLOOKUP($B16,'7. PGE_Efficacité'!$A$6:$CY$266,(MATCH('[3]4.4 ACE MAX SEN '!Z$4,'7. PGE_Efficacité'!$A$4:$AO$4,0)),0)</f>
        <v>0</v>
      </c>
      <c r="AA16" s="61">
        <f>VLOOKUP($B16,'7. PGE_Efficacité'!$A$6:$CY$266,(MATCH('[3]4.4 ACE MAX SEN '!AA$4,'7. PGE_Efficacité'!$A$4:$AO$4,0)),0)</f>
        <v>0</v>
      </c>
      <c r="AB16" s="61">
        <f>VLOOKUP($B16,'7. PGE_Efficacité'!$A$6:$CY$266,(MATCH('[3]4.4 ACE MAX SEN '!AB$4,'7. PGE_Efficacité'!$A$4:$AO$4,0)),0)</f>
        <v>0</v>
      </c>
      <c r="AC16" s="61">
        <f>VLOOKUP($B16,'7. PGE_Efficacité'!$A$6:$CY$266,(MATCH('[3]4.4 ACE MAX SEN '!AC$4,'7. PGE_Efficacité'!$A$4:$AO$4,0)),0)</f>
        <v>0</v>
      </c>
      <c r="AD16" s="61" t="str">
        <f>VLOOKUP($B16,'7. PGE_Efficacité'!$A$6:$CY$266,(MATCH('[3]4.4 ACE MAX SEN '!AD$4,'7. PGE_Efficacité'!$A$4:$AO$4,0)),0)</f>
        <v>++++</v>
      </c>
      <c r="AE16" s="61" t="str">
        <f>VLOOKUP($B16,'7. PGE_Efficacité'!$A$6:$CY$266,(MATCH('[3]4.4 ACE MAX SEN '!AE$4,'7. PGE_Efficacité'!$A$4:$AO$4,0)),0)</f>
        <v>++++</v>
      </c>
      <c r="AF16" s="61" t="str">
        <f>VLOOKUP($B16,'7. PGE_Efficacité'!$A$6:$CY$266,(MATCH('[3]4.4 ACE MAX SEN '!AF$4,'7. PGE_Efficacité'!$A$4:$AO$4,0)),0)</f>
        <v>++++</v>
      </c>
      <c r="AG16" s="61">
        <f>VLOOKUP($B16,'7. PGE_Efficacité'!$A$6:$CY$266,(MATCH('[3]4.4 ACE MAX SEN '!AG$4,'7. PGE_Efficacité'!$A$4:$AO$4,0)),0)</f>
        <v>0</v>
      </c>
      <c r="AH16" s="61">
        <f>VLOOKUP($B16,'7. PGE_Efficacité'!$A$6:$CY$266,(MATCH('[3]4.4 ACE MAX SEN '!AH$4,'7. PGE_Efficacité'!$A$4:$AO$4,0)),0)</f>
        <v>0</v>
      </c>
      <c r="AI16" s="61">
        <f>VLOOKUP($B16,'7. PGE_Efficacité'!$A$6:$CY$266,(MATCH('[3]4.4 ACE MAX SEN '!AI$4,'7. PGE_Efficacité'!$A$4:$AO$4,0)),0)</f>
        <v>0</v>
      </c>
      <c r="AJ16" s="61">
        <f>VLOOKUP($B16,'7. PGE_Efficacité'!$A$6:$CY$266,(MATCH('[3]4.4 ACE MAX SEN '!AJ$4,'7. PGE_Efficacité'!$A$4:$AO$4,0)),0)</f>
        <v>0</v>
      </c>
      <c r="AK16" s="61">
        <f>VLOOKUP($B16,'7. PGE_Efficacité'!$A$6:$CY$266,(MATCH('[3]4.4 ACE MAX SEN '!AK$4,'7. PGE_Efficacité'!$A$4:$AO$4,0)),0)</f>
        <v>0</v>
      </c>
    </row>
    <row r="17" spans="1:37" ht="39" outlineLevel="1" collapsed="1" x14ac:dyDescent="0.25">
      <c r="A17" s="157" t="s">
        <v>1</v>
      </c>
      <c r="B17" s="63"/>
      <c r="C17" s="156" t="s">
        <v>237</v>
      </c>
      <c r="D17" s="63"/>
      <c r="E17" s="63"/>
      <c r="F17" s="72">
        <f>MEDIAN(VLOOKUP(A17,'4. Mesures_ACE_Budget'!$A$3:$J$31,9,0),VLOOKUP(A17,'4. Mesures_ACE_Budget'!$A$3:$J$31,10,0))</f>
        <v>7360000</v>
      </c>
      <c r="G17" s="178">
        <f>VLOOKUP($A17,'7. PGE_Efficacité'!$A$6:$CY$266,(MATCH('[2]4.4 ACE MAX SEN '!G$4,'7. PGE_Efficacité'!$A$4:$AO$4,0)),0)</f>
        <v>0</v>
      </c>
      <c r="H17" s="178">
        <f>VLOOKUP($A17,'7. PGE_Efficacité'!$A$6:$CY$266,(MATCH('[2]4.4 ACE MAX SEN '!H$4,'7. PGE_Efficacité'!$A$4:$AO$4,0)),0)</f>
        <v>0</v>
      </c>
      <c r="I17" s="178">
        <f>VLOOKUP($A17,'7. PGE_Efficacité'!$A$6:$CY$266,(MATCH('[2]4.4 ACE MAX SEN '!I$4,'7. PGE_Efficacité'!$A$4:$AO$4,0)),0)</f>
        <v>0</v>
      </c>
      <c r="J17" s="178">
        <f>VLOOKUP($A17,'7. PGE_Efficacité'!$A$6:$CY$266,(MATCH('[2]4.4 ACE MAX SEN '!J$4,'7. PGE_Efficacité'!$A$4:$AO$4,0)),0)</f>
        <v>0</v>
      </c>
      <c r="K17" s="178">
        <f>VLOOKUP($A17,'7. PGE_Efficacité'!$A$6:$CY$266,(MATCH('[2]4.4 ACE MAX SEN '!K$4,'7. PGE_Efficacité'!$A$4:$AO$4,0)),0)</f>
        <v>0</v>
      </c>
      <c r="L17" s="178">
        <f>VLOOKUP($A17,'7. PGE_Efficacité'!$A$6:$CY$266,(MATCH('[2]4.4 ACE MAX SEN '!L$4,'7. PGE_Efficacité'!$A$4:$AO$4,0)),0)</f>
        <v>0</v>
      </c>
      <c r="M17" s="178">
        <f>VLOOKUP($A17,'7. PGE_Efficacité'!$A$6:$CY$266,(MATCH('[2]4.4 ACE MAX SEN '!M$4,'7. PGE_Efficacité'!$A$4:$AO$4,0)),0)</f>
        <v>0</v>
      </c>
      <c r="N17" s="178">
        <f>VLOOKUP($A17,'7. PGE_Efficacité'!$A$6:$CY$266,(MATCH('[2]4.4 ACE MAX SEN '!N$4,'7. PGE_Efficacité'!$A$4:$AO$4,0)),0)</f>
        <v>0</v>
      </c>
      <c r="O17" s="178">
        <f>VLOOKUP($A17,'7. PGE_Efficacité'!$A$6:$CY$266,(MATCH('[2]4.4 ACE MAX SEN '!O$4,'7. PGE_Efficacité'!$A$4:$AO$4,0)),0)</f>
        <v>0</v>
      </c>
      <c r="P17" s="178">
        <f>VLOOKUP($A17,'7. PGE_Efficacité'!$A$6:$CY$266,(MATCH('[2]4.4 ACE MAX SEN '!P$4,'7. PGE_Efficacité'!$A$4:$AO$4,0)),0)</f>
        <v>0</v>
      </c>
      <c r="Q17" s="178">
        <f>VLOOKUP($A17,'7. PGE_Efficacité'!$A$6:$CY$266,(MATCH('[2]4.4 ACE MAX SEN '!Q$4,'7. PGE_Efficacité'!$A$4:$AO$4,0)),0)</f>
        <v>0</v>
      </c>
      <c r="R17" s="178">
        <f>VLOOKUP($A17,'7. PGE_Efficacité'!$A$6:$CY$266,(MATCH('[2]4.4 ACE MAX SEN '!R$4,'7. PGE_Efficacité'!$A$4:$AO$4,0)),0)</f>
        <v>0</v>
      </c>
      <c r="S17" s="178">
        <f>VLOOKUP($A17,'7. PGE_Efficacité'!$A$6:$CY$266,(MATCH('[2]4.4 ACE MAX SEN '!S$4,'7. PGE_Efficacité'!$A$4:$AO$4,0)),0)</f>
        <v>0</v>
      </c>
      <c r="T17" s="178">
        <f>VLOOKUP($A17,'7. PGE_Efficacité'!$A$6:$CY$266,(MATCH('[2]4.4 ACE MAX SEN '!T$4,'7. PGE_Efficacité'!$A$4:$AO$4,0)),0)</f>
        <v>0</v>
      </c>
      <c r="U17" s="178">
        <f>VLOOKUP($A17,'7. PGE_Efficacité'!$A$6:$CY$266,(MATCH('[2]4.4 ACE MAX SEN '!U$4,'7. PGE_Efficacité'!$A$4:$AO$4,0)),0)</f>
        <v>0</v>
      </c>
      <c r="V17" s="178">
        <f>VLOOKUP($A17,'7. PGE_Efficacité'!$A$6:$CY$266,(MATCH('[2]4.4 ACE MAX SEN '!V$4,'7. PGE_Efficacité'!$A$4:$AO$4,0)),0)</f>
        <v>0</v>
      </c>
      <c r="W17" s="179">
        <f>VLOOKUP($A17,'7. PGE_Efficacité'!$A$6:$CY$266,(MATCH('[2]4.4 ACE MAX SEN '!W$4,'7. PGE_Efficacité'!$A$4:$AO$4,0)),0)</f>
        <v>0</v>
      </c>
      <c r="X17" s="179">
        <f>VLOOKUP($A17,'7. PGE_Efficacité'!$A$6:$CY$266,(MATCH('[2]4.4 ACE MAX SEN '!X$4,'7. PGE_Efficacité'!$A$4:$AO$4,0)),0)</f>
        <v>0</v>
      </c>
      <c r="Y17" s="179">
        <f>VLOOKUP($A17,'7. PGE_Efficacité'!$A$6:$CY$266,(MATCH('[2]4.4 ACE MAX SEN '!Y$4,'7. PGE_Efficacité'!$A$4:$AO$4,0)),0)</f>
        <v>0</v>
      </c>
      <c r="Z17" s="179">
        <f>VLOOKUP($A17,'7. PGE_Efficacité'!$A$6:$CY$266,(MATCH('[2]4.4 ACE MAX SEN '!Z$4,'7. PGE_Efficacité'!$A$4:$AO$4,0)),0)</f>
        <v>0</v>
      </c>
      <c r="AA17" s="179">
        <f>VLOOKUP($A17,'7. PGE_Efficacité'!$A$6:$CY$266,(MATCH('[2]4.4 ACE MAX SEN '!AA$4,'7. PGE_Efficacité'!$A$4:$AO$4,0)),0)</f>
        <v>0</v>
      </c>
      <c r="AB17" s="179" t="str">
        <f>VLOOKUP($A17,'7. PGE_Efficacité'!$A$6:$CY$266,(MATCH('[2]4.4 ACE MAX SEN '!AB$4,'7. PGE_Efficacité'!$A$4:$AO$4,0)),0)</f>
        <v>+</v>
      </c>
      <c r="AC17" s="179">
        <f>VLOOKUP($A17,'7. PGE_Efficacité'!$A$6:$CY$266,(MATCH('[2]4.4 ACE MAX SEN '!AC$4,'7. PGE_Efficacité'!$A$4:$AO$4,0)),0)</f>
        <v>0</v>
      </c>
      <c r="AD17" s="179" t="str">
        <f>VLOOKUP($A17,'7. PGE_Efficacité'!$A$6:$CY$266,(MATCH('[2]4.4 ACE MAX SEN '!AD$4,'7. PGE_Efficacité'!$A$4:$AO$4,0)),0)</f>
        <v>+++</v>
      </c>
      <c r="AE17" s="179" t="str">
        <f>VLOOKUP($A17,'7. PGE_Efficacité'!$A$6:$CY$266,(MATCH('[2]4.4 ACE MAX SEN '!AE$4,'7. PGE_Efficacité'!$A$4:$AO$4,0)),0)</f>
        <v>+++</v>
      </c>
      <c r="AF17" s="179" t="str">
        <f>VLOOKUP($A17,'7. PGE_Efficacité'!$A$6:$CY$266,(MATCH('[2]4.4 ACE MAX SEN '!AF$4,'7. PGE_Efficacité'!$A$4:$AO$4,0)),0)</f>
        <v>+++</v>
      </c>
      <c r="AG17" s="179">
        <f>VLOOKUP($A17,'7. PGE_Efficacité'!$A$6:$CY$266,(MATCH('[2]4.4 ACE MAX SEN '!AG$4,'7. PGE_Efficacité'!$A$4:$AO$4,0)),0)</f>
        <v>0</v>
      </c>
      <c r="AH17" s="179" t="str">
        <f>VLOOKUP($A17,'7. PGE_Efficacité'!$A$6:$CY$266,(MATCH('[2]4.4 ACE MAX SEN '!AH$4,'7. PGE_Efficacité'!$A$4:$AO$4,0)),0)</f>
        <v>++</v>
      </c>
      <c r="AI17" s="179" t="str">
        <f>VLOOKUP($A17,'7. PGE_Efficacité'!$A$6:$CY$266,(MATCH('[2]4.4 ACE MAX SEN '!AI$4,'7. PGE_Efficacité'!$A$4:$AO$4,0)),0)</f>
        <v>+++</v>
      </c>
      <c r="AJ17" s="179" t="str">
        <f>VLOOKUP($A17,'7. PGE_Efficacité'!$A$6:$CY$266,(MATCH('[2]4.4 ACE MAX SEN '!AJ$4,'7. PGE_Efficacité'!$A$4:$AO$4,0)),0)</f>
        <v>+++</v>
      </c>
      <c r="AK17" s="179" t="str">
        <f>VLOOKUP($A17,'7. PGE_Efficacité'!$A$6:$CY$266,(MATCH('[2]4.4 ACE MAX SEN '!AK$4,'7. PGE_Efficacité'!$A$4:$AO$4,0)),0)</f>
        <v>+++</v>
      </c>
    </row>
    <row r="18" spans="1:37" hidden="1" outlineLevel="2" x14ac:dyDescent="0.25">
      <c r="A18" s="65" t="s">
        <v>1</v>
      </c>
      <c r="B18" s="65" t="s">
        <v>700</v>
      </c>
      <c r="C18" s="65" t="s">
        <v>1360</v>
      </c>
      <c r="D18" s="65" t="s">
        <v>1520</v>
      </c>
      <c r="E18" s="65" t="s">
        <v>415</v>
      </c>
      <c r="F18" s="73"/>
      <c r="G18" s="64">
        <f>VLOOKUP($B18,'7. PGE_Efficacité'!$A$6:$CY$266,(MATCH('[3]4.4 ACE MAX SEN '!G$4,'7. PGE_Efficacité'!$A$4:$AO$4,0)),0)</f>
        <v>0</v>
      </c>
      <c r="H18" s="64">
        <f>VLOOKUP($B18,'7. PGE_Efficacité'!$A$6:$CY$266,(MATCH('[3]4.4 ACE MAX SEN '!H$4,'7. PGE_Efficacité'!$A$4:$AO$4,0)),0)</f>
        <v>0</v>
      </c>
      <c r="I18" s="64">
        <f>VLOOKUP($B18,'7. PGE_Efficacité'!$A$6:$CY$266,(MATCH('[3]4.4 ACE MAX SEN '!I$4,'7. PGE_Efficacité'!$A$4:$AO$4,0)),0)</f>
        <v>0</v>
      </c>
      <c r="J18" s="64">
        <f>VLOOKUP($B18,'7. PGE_Efficacité'!$A$6:$CY$266,(MATCH('[3]4.4 ACE MAX SEN '!J$4,'7. PGE_Efficacité'!$A$4:$AO$4,0)),0)</f>
        <v>0</v>
      </c>
      <c r="K18" s="64">
        <f>VLOOKUP($B18,'7. PGE_Efficacité'!$A$6:$CY$266,(MATCH('[3]4.4 ACE MAX SEN '!K$4,'7. PGE_Efficacité'!$A$4:$AO$4,0)),0)</f>
        <v>0</v>
      </c>
      <c r="L18" s="64">
        <f>VLOOKUP($B18,'7. PGE_Efficacité'!$A$6:$CY$266,(MATCH('[3]4.4 ACE MAX SEN '!L$4,'7. PGE_Efficacité'!$A$4:$AO$4,0)),0)</f>
        <v>0</v>
      </c>
      <c r="M18" s="64">
        <f>VLOOKUP($B18,'7. PGE_Efficacité'!$A$6:$CY$266,(MATCH('[3]4.4 ACE MAX SEN '!M$4,'7. PGE_Efficacité'!$A$4:$AO$4,0)),0)</f>
        <v>0</v>
      </c>
      <c r="N18" s="64">
        <f>VLOOKUP($B18,'7. PGE_Efficacité'!$A$6:$CY$266,(MATCH('[3]4.4 ACE MAX SEN '!N$4,'7. PGE_Efficacité'!$A$4:$AO$4,0)),0)</f>
        <v>0</v>
      </c>
      <c r="O18" s="64">
        <f>VLOOKUP($B18,'7. PGE_Efficacité'!$A$6:$CY$266,(MATCH('[3]4.4 ACE MAX SEN '!O$4,'7. PGE_Efficacité'!$A$4:$AO$4,0)),0)</f>
        <v>0</v>
      </c>
      <c r="P18" s="64">
        <f>VLOOKUP($B18,'7. PGE_Efficacité'!$A$6:$CY$266,(MATCH('[3]4.4 ACE MAX SEN '!P$4,'7. PGE_Efficacité'!$A$4:$AO$4,0)),0)</f>
        <v>0</v>
      </c>
      <c r="Q18" s="64">
        <f>VLOOKUP($B18,'7. PGE_Efficacité'!$A$6:$CY$266,(MATCH('[3]4.4 ACE MAX SEN '!Q$4,'7. PGE_Efficacité'!$A$4:$AO$4,0)),0)</f>
        <v>0</v>
      </c>
      <c r="R18" s="64">
        <f>VLOOKUP($B18,'7. PGE_Efficacité'!$A$6:$CY$266,(MATCH('[3]4.4 ACE MAX SEN '!R$4,'7. PGE_Efficacité'!$A$4:$AO$4,0)),0)</f>
        <v>0</v>
      </c>
      <c r="S18" s="64">
        <f>VLOOKUP($B18,'7. PGE_Efficacité'!$A$6:$CY$266,(MATCH('[3]4.4 ACE MAX SEN '!S$4,'7. PGE_Efficacité'!$A$4:$AO$4,0)),0)</f>
        <v>0</v>
      </c>
      <c r="T18" s="64">
        <f>VLOOKUP($B18,'7. PGE_Efficacité'!$A$6:$CY$266,(MATCH('[3]4.4 ACE MAX SEN '!T$4,'7. PGE_Efficacité'!$A$4:$AO$4,0)),0)</f>
        <v>0</v>
      </c>
      <c r="U18" s="64">
        <f>VLOOKUP($B18,'7. PGE_Efficacité'!$A$6:$CY$266,(MATCH('[3]4.4 ACE MAX SEN '!U$4,'7. PGE_Efficacité'!$A$4:$AO$4,0)),0)</f>
        <v>0</v>
      </c>
      <c r="V18" s="64">
        <f>VLOOKUP($B18,'7. PGE_Efficacité'!$A$6:$CY$266,(MATCH('[3]4.4 ACE MAX SEN '!V$4,'7. PGE_Efficacité'!$A$4:$AO$4,0)),0)</f>
        <v>0</v>
      </c>
      <c r="W18" s="61">
        <f>VLOOKUP($B18,'7. PGE_Efficacité'!$A$6:$CY$266,(MATCH('[3]4.4 ACE MAX SEN '!W$4,'7. PGE_Efficacité'!$A$4:$AO$4,0)),0)</f>
        <v>0</v>
      </c>
      <c r="X18" s="61">
        <f>VLOOKUP($B18,'7. PGE_Efficacité'!$A$6:$CY$266,(MATCH('[3]4.4 ACE MAX SEN '!X$4,'7. PGE_Efficacité'!$A$4:$AO$4,0)),0)</f>
        <v>0</v>
      </c>
      <c r="Y18" s="61">
        <f>VLOOKUP($B18,'7. PGE_Efficacité'!$A$6:$CY$266,(MATCH('[3]4.4 ACE MAX SEN '!Y$4,'7. PGE_Efficacité'!$A$4:$AO$4,0)),0)</f>
        <v>0</v>
      </c>
      <c r="Z18" s="61">
        <f>VLOOKUP($B18,'7. PGE_Efficacité'!$A$6:$CY$266,(MATCH('[3]4.4 ACE MAX SEN '!Z$4,'7. PGE_Efficacité'!$A$4:$AO$4,0)),0)</f>
        <v>0</v>
      </c>
      <c r="AA18" s="61">
        <f>VLOOKUP($B18,'7. PGE_Efficacité'!$A$6:$CY$266,(MATCH('[3]4.4 ACE MAX SEN '!AA$4,'7. PGE_Efficacité'!$A$4:$AO$4,0)),0)</f>
        <v>0</v>
      </c>
      <c r="AB18" s="61">
        <f>VLOOKUP($B18,'7. PGE_Efficacité'!$A$6:$CY$266,(MATCH('[3]4.4 ACE MAX SEN '!AB$4,'7. PGE_Efficacité'!$A$4:$AO$4,0)),0)</f>
        <v>0</v>
      </c>
      <c r="AC18" s="61">
        <f>VLOOKUP($B18,'7. PGE_Efficacité'!$A$6:$CY$266,(MATCH('[3]4.4 ACE MAX SEN '!AC$4,'7. PGE_Efficacité'!$A$4:$AO$4,0)),0)</f>
        <v>0</v>
      </c>
      <c r="AD18" s="61">
        <f>VLOOKUP($B18,'7. PGE_Efficacité'!$A$6:$CY$266,(MATCH('[3]4.4 ACE MAX SEN '!AD$4,'7. PGE_Efficacité'!$A$4:$AO$4,0)),0)</f>
        <v>0</v>
      </c>
      <c r="AE18" s="61">
        <f>VLOOKUP($B18,'7. PGE_Efficacité'!$A$6:$CY$266,(MATCH('[3]4.4 ACE MAX SEN '!AE$4,'7. PGE_Efficacité'!$A$4:$AO$4,0)),0)</f>
        <v>0</v>
      </c>
      <c r="AF18" s="61">
        <f>VLOOKUP($B18,'7. PGE_Efficacité'!$A$6:$CY$266,(MATCH('[3]4.4 ACE MAX SEN '!AF$4,'7. PGE_Efficacité'!$A$4:$AO$4,0)),0)</f>
        <v>0</v>
      </c>
      <c r="AG18" s="61">
        <f>VLOOKUP($B18,'7. PGE_Efficacité'!$A$6:$CY$266,(MATCH('[3]4.4 ACE MAX SEN '!AG$4,'7. PGE_Efficacité'!$A$4:$AO$4,0)),0)</f>
        <v>0</v>
      </c>
      <c r="AH18" s="61">
        <f>VLOOKUP($B18,'7. PGE_Efficacité'!$A$6:$CY$266,(MATCH('[3]4.4 ACE MAX SEN '!AH$4,'7. PGE_Efficacité'!$A$4:$AO$4,0)),0)</f>
        <v>0</v>
      </c>
      <c r="AI18" s="61">
        <f>VLOOKUP($B18,'7. PGE_Efficacité'!$A$6:$CY$266,(MATCH('[3]4.4 ACE MAX SEN '!AI$4,'7. PGE_Efficacité'!$A$4:$AO$4,0)),0)</f>
        <v>0</v>
      </c>
      <c r="AJ18" s="61">
        <f>VLOOKUP($B18,'7. PGE_Efficacité'!$A$6:$CY$266,(MATCH('[3]4.4 ACE MAX SEN '!AJ$4,'7. PGE_Efficacité'!$A$4:$AO$4,0)),0)</f>
        <v>0</v>
      </c>
      <c r="AK18" s="61">
        <f>VLOOKUP($B18,'7. PGE_Efficacité'!$A$6:$CY$266,(MATCH('[3]4.4 ACE MAX SEN '!AK$4,'7. PGE_Efficacité'!$A$4:$AO$4,0)),0)</f>
        <v>0</v>
      </c>
    </row>
    <row r="19" spans="1:37" hidden="1" outlineLevel="2" x14ac:dyDescent="0.25">
      <c r="A19" s="65" t="s">
        <v>1</v>
      </c>
      <c r="B19" s="65" t="s">
        <v>711</v>
      </c>
      <c r="C19" s="65" t="s">
        <v>1371</v>
      </c>
      <c r="D19" s="65" t="s">
        <v>1520</v>
      </c>
      <c r="E19" s="65" t="s">
        <v>415</v>
      </c>
      <c r="F19" s="73"/>
      <c r="G19" s="64">
        <f>VLOOKUP($B19,'7. PGE_Efficacité'!$A$6:$CY$266,(MATCH('[3]4.4 ACE MAX SEN '!G$4,'7. PGE_Efficacité'!$A$4:$AO$4,0)),0)</f>
        <v>0</v>
      </c>
      <c r="H19" s="64">
        <f>VLOOKUP($B19,'7. PGE_Efficacité'!$A$6:$CY$266,(MATCH('[3]4.4 ACE MAX SEN '!H$4,'7. PGE_Efficacité'!$A$4:$AO$4,0)),0)</f>
        <v>0</v>
      </c>
      <c r="I19" s="64">
        <f>VLOOKUP($B19,'7. PGE_Efficacité'!$A$6:$CY$266,(MATCH('[3]4.4 ACE MAX SEN '!I$4,'7. PGE_Efficacité'!$A$4:$AO$4,0)),0)</f>
        <v>0</v>
      </c>
      <c r="J19" s="64">
        <f>VLOOKUP($B19,'7. PGE_Efficacité'!$A$6:$CY$266,(MATCH('[3]4.4 ACE MAX SEN '!J$4,'7. PGE_Efficacité'!$A$4:$AO$4,0)),0)</f>
        <v>0</v>
      </c>
      <c r="K19" s="64">
        <f>VLOOKUP($B19,'7. PGE_Efficacité'!$A$6:$CY$266,(MATCH('[3]4.4 ACE MAX SEN '!K$4,'7. PGE_Efficacité'!$A$4:$AO$4,0)),0)</f>
        <v>0</v>
      </c>
      <c r="L19" s="64">
        <f>VLOOKUP($B19,'7. PGE_Efficacité'!$A$6:$CY$266,(MATCH('[3]4.4 ACE MAX SEN '!L$4,'7. PGE_Efficacité'!$A$4:$AO$4,0)),0)</f>
        <v>0</v>
      </c>
      <c r="M19" s="64">
        <f>VLOOKUP($B19,'7. PGE_Efficacité'!$A$6:$CY$266,(MATCH('[3]4.4 ACE MAX SEN '!M$4,'7. PGE_Efficacité'!$A$4:$AO$4,0)),0)</f>
        <v>0</v>
      </c>
      <c r="N19" s="64">
        <f>VLOOKUP($B19,'7. PGE_Efficacité'!$A$6:$CY$266,(MATCH('[3]4.4 ACE MAX SEN '!N$4,'7. PGE_Efficacité'!$A$4:$AO$4,0)),0)</f>
        <v>0</v>
      </c>
      <c r="O19" s="64">
        <f>VLOOKUP($B19,'7. PGE_Efficacité'!$A$6:$CY$266,(MATCH('[3]4.4 ACE MAX SEN '!O$4,'7. PGE_Efficacité'!$A$4:$AO$4,0)),0)</f>
        <v>0</v>
      </c>
      <c r="P19" s="64">
        <f>VLOOKUP($B19,'7. PGE_Efficacité'!$A$6:$CY$266,(MATCH('[3]4.4 ACE MAX SEN '!P$4,'7. PGE_Efficacité'!$A$4:$AO$4,0)),0)</f>
        <v>0</v>
      </c>
      <c r="Q19" s="64">
        <f>VLOOKUP($B19,'7. PGE_Efficacité'!$A$6:$CY$266,(MATCH('[3]4.4 ACE MAX SEN '!Q$4,'7. PGE_Efficacité'!$A$4:$AO$4,0)),0)</f>
        <v>0</v>
      </c>
      <c r="R19" s="64">
        <f>VLOOKUP($B19,'7. PGE_Efficacité'!$A$6:$CY$266,(MATCH('[3]4.4 ACE MAX SEN '!R$4,'7. PGE_Efficacité'!$A$4:$AO$4,0)),0)</f>
        <v>0</v>
      </c>
      <c r="S19" s="64">
        <f>VLOOKUP($B19,'7. PGE_Efficacité'!$A$6:$CY$266,(MATCH('[3]4.4 ACE MAX SEN '!S$4,'7. PGE_Efficacité'!$A$4:$AO$4,0)),0)</f>
        <v>0</v>
      </c>
      <c r="T19" s="64">
        <f>VLOOKUP($B19,'7. PGE_Efficacité'!$A$6:$CY$266,(MATCH('[3]4.4 ACE MAX SEN '!T$4,'7. PGE_Efficacité'!$A$4:$AO$4,0)),0)</f>
        <v>0</v>
      </c>
      <c r="U19" s="64">
        <f>VLOOKUP($B19,'7. PGE_Efficacité'!$A$6:$CY$266,(MATCH('[3]4.4 ACE MAX SEN '!U$4,'7. PGE_Efficacité'!$A$4:$AO$4,0)),0)</f>
        <v>0</v>
      </c>
      <c r="V19" s="64">
        <f>VLOOKUP($B19,'7. PGE_Efficacité'!$A$6:$CY$266,(MATCH('[3]4.4 ACE MAX SEN '!V$4,'7. PGE_Efficacité'!$A$4:$AO$4,0)),0)</f>
        <v>0</v>
      </c>
      <c r="W19" s="61">
        <f>VLOOKUP($B19,'7. PGE_Efficacité'!$A$6:$CY$266,(MATCH('[3]4.4 ACE MAX SEN '!W$4,'7. PGE_Efficacité'!$A$4:$AO$4,0)),0)</f>
        <v>0</v>
      </c>
      <c r="X19" s="61">
        <f>VLOOKUP($B19,'7. PGE_Efficacité'!$A$6:$CY$266,(MATCH('[3]4.4 ACE MAX SEN '!X$4,'7. PGE_Efficacité'!$A$4:$AO$4,0)),0)</f>
        <v>0</v>
      </c>
      <c r="Y19" s="61">
        <f>VLOOKUP($B19,'7. PGE_Efficacité'!$A$6:$CY$266,(MATCH('[3]4.4 ACE MAX SEN '!Y$4,'7. PGE_Efficacité'!$A$4:$AO$4,0)),0)</f>
        <v>0</v>
      </c>
      <c r="Z19" s="61">
        <f>VLOOKUP($B19,'7. PGE_Efficacité'!$A$6:$CY$266,(MATCH('[3]4.4 ACE MAX SEN '!Z$4,'7. PGE_Efficacité'!$A$4:$AO$4,0)),0)</f>
        <v>0</v>
      </c>
      <c r="AA19" s="61">
        <f>VLOOKUP($B19,'7. PGE_Efficacité'!$A$6:$CY$266,(MATCH('[3]4.4 ACE MAX SEN '!AA$4,'7. PGE_Efficacité'!$A$4:$AO$4,0)),0)</f>
        <v>0</v>
      </c>
      <c r="AB19" s="61">
        <f>VLOOKUP($B19,'7. PGE_Efficacité'!$A$6:$CY$266,(MATCH('[3]4.4 ACE MAX SEN '!AB$4,'7. PGE_Efficacité'!$A$4:$AO$4,0)),0)</f>
        <v>0</v>
      </c>
      <c r="AC19" s="61">
        <f>VLOOKUP($B19,'7. PGE_Efficacité'!$A$6:$CY$266,(MATCH('[3]4.4 ACE MAX SEN '!AC$4,'7. PGE_Efficacité'!$A$4:$AO$4,0)),0)</f>
        <v>0</v>
      </c>
      <c r="AD19" s="61" t="str">
        <f>VLOOKUP($B19,'7. PGE_Efficacité'!$A$6:$CY$266,(MATCH('[3]4.4 ACE MAX SEN '!AD$4,'7. PGE_Efficacité'!$A$4:$AO$4,0)),0)</f>
        <v>++</v>
      </c>
      <c r="AE19" s="61" t="str">
        <f>VLOOKUP($B19,'7. PGE_Efficacité'!$A$6:$CY$266,(MATCH('[3]4.4 ACE MAX SEN '!AE$4,'7. PGE_Efficacité'!$A$4:$AO$4,0)),0)</f>
        <v>++</v>
      </c>
      <c r="AF19" s="61" t="str">
        <f>VLOOKUP($B19,'7. PGE_Efficacité'!$A$6:$CY$266,(MATCH('[3]4.4 ACE MAX SEN '!AF$4,'7. PGE_Efficacité'!$A$4:$AO$4,0)),0)</f>
        <v>++</v>
      </c>
      <c r="AG19" s="61">
        <f>VLOOKUP($B19,'7. PGE_Efficacité'!$A$6:$CY$266,(MATCH('[3]4.4 ACE MAX SEN '!AG$4,'7. PGE_Efficacité'!$A$4:$AO$4,0)),0)</f>
        <v>0</v>
      </c>
      <c r="AH19" s="61">
        <f>VLOOKUP($B19,'7. PGE_Efficacité'!$A$6:$CY$266,(MATCH('[3]4.4 ACE MAX SEN '!AH$4,'7. PGE_Efficacité'!$A$4:$AO$4,0)),0)</f>
        <v>0</v>
      </c>
      <c r="AI19" s="61">
        <f>VLOOKUP($B19,'7. PGE_Efficacité'!$A$6:$CY$266,(MATCH('[3]4.4 ACE MAX SEN '!AI$4,'7. PGE_Efficacité'!$A$4:$AO$4,0)),0)</f>
        <v>0</v>
      </c>
      <c r="AJ19" s="61">
        <f>VLOOKUP($B19,'7. PGE_Efficacité'!$A$6:$CY$266,(MATCH('[3]4.4 ACE MAX SEN '!AJ$4,'7. PGE_Efficacité'!$A$4:$AO$4,0)),0)</f>
        <v>0</v>
      </c>
      <c r="AK19" s="61">
        <f>VLOOKUP($B19,'7. PGE_Efficacité'!$A$6:$CY$266,(MATCH('[3]4.4 ACE MAX SEN '!AK$4,'7. PGE_Efficacité'!$A$4:$AO$4,0)),0)</f>
        <v>0</v>
      </c>
    </row>
    <row r="20" spans="1:37" hidden="1" outlineLevel="2" x14ac:dyDescent="0.25">
      <c r="A20" s="65" t="s">
        <v>1</v>
      </c>
      <c r="B20" s="65" t="s">
        <v>721</v>
      </c>
      <c r="C20" s="65" t="s">
        <v>1381</v>
      </c>
      <c r="D20" s="65" t="s">
        <v>1520</v>
      </c>
      <c r="E20" s="65" t="s">
        <v>415</v>
      </c>
      <c r="F20" s="73"/>
      <c r="G20" s="64">
        <f>VLOOKUP($B20,'7. PGE_Efficacité'!$A$6:$CY$266,(MATCH('[3]4.4 ACE MAX SEN '!G$4,'7. PGE_Efficacité'!$A$4:$AO$4,0)),0)</f>
        <v>0</v>
      </c>
      <c r="H20" s="64">
        <f>VLOOKUP($B20,'7. PGE_Efficacité'!$A$6:$CY$266,(MATCH('[3]4.4 ACE MAX SEN '!H$4,'7. PGE_Efficacité'!$A$4:$AO$4,0)),0)</f>
        <v>0</v>
      </c>
      <c r="I20" s="64">
        <f>VLOOKUP($B20,'7. PGE_Efficacité'!$A$6:$CY$266,(MATCH('[3]4.4 ACE MAX SEN '!I$4,'7. PGE_Efficacité'!$A$4:$AO$4,0)),0)</f>
        <v>0</v>
      </c>
      <c r="J20" s="64">
        <f>VLOOKUP($B20,'7. PGE_Efficacité'!$A$6:$CY$266,(MATCH('[3]4.4 ACE MAX SEN '!J$4,'7. PGE_Efficacité'!$A$4:$AO$4,0)),0)</f>
        <v>0</v>
      </c>
      <c r="K20" s="64">
        <f>VLOOKUP($B20,'7. PGE_Efficacité'!$A$6:$CY$266,(MATCH('[3]4.4 ACE MAX SEN '!K$4,'7. PGE_Efficacité'!$A$4:$AO$4,0)),0)</f>
        <v>0</v>
      </c>
      <c r="L20" s="64">
        <f>VLOOKUP($B20,'7. PGE_Efficacité'!$A$6:$CY$266,(MATCH('[3]4.4 ACE MAX SEN '!L$4,'7. PGE_Efficacité'!$A$4:$AO$4,0)),0)</f>
        <v>0</v>
      </c>
      <c r="M20" s="64">
        <f>VLOOKUP($B20,'7. PGE_Efficacité'!$A$6:$CY$266,(MATCH('[3]4.4 ACE MAX SEN '!M$4,'7. PGE_Efficacité'!$A$4:$AO$4,0)),0)</f>
        <v>0</v>
      </c>
      <c r="N20" s="64">
        <f>VLOOKUP($B20,'7. PGE_Efficacité'!$A$6:$CY$266,(MATCH('[3]4.4 ACE MAX SEN '!N$4,'7. PGE_Efficacité'!$A$4:$AO$4,0)),0)</f>
        <v>0</v>
      </c>
      <c r="O20" s="64">
        <f>VLOOKUP($B20,'7. PGE_Efficacité'!$A$6:$CY$266,(MATCH('[3]4.4 ACE MAX SEN '!O$4,'7. PGE_Efficacité'!$A$4:$AO$4,0)),0)</f>
        <v>0</v>
      </c>
      <c r="P20" s="64">
        <f>VLOOKUP($B20,'7. PGE_Efficacité'!$A$6:$CY$266,(MATCH('[3]4.4 ACE MAX SEN '!P$4,'7. PGE_Efficacité'!$A$4:$AO$4,0)),0)</f>
        <v>0</v>
      </c>
      <c r="Q20" s="64">
        <f>VLOOKUP($B20,'7. PGE_Efficacité'!$A$6:$CY$266,(MATCH('[3]4.4 ACE MAX SEN '!Q$4,'7. PGE_Efficacité'!$A$4:$AO$4,0)),0)</f>
        <v>0</v>
      </c>
      <c r="R20" s="64">
        <f>VLOOKUP($B20,'7. PGE_Efficacité'!$A$6:$CY$266,(MATCH('[3]4.4 ACE MAX SEN '!R$4,'7. PGE_Efficacité'!$A$4:$AO$4,0)),0)</f>
        <v>0</v>
      </c>
      <c r="S20" s="64">
        <f>VLOOKUP($B20,'7. PGE_Efficacité'!$A$6:$CY$266,(MATCH('[3]4.4 ACE MAX SEN '!S$4,'7. PGE_Efficacité'!$A$4:$AO$4,0)),0)</f>
        <v>0</v>
      </c>
      <c r="T20" s="64">
        <f>VLOOKUP($B20,'7. PGE_Efficacité'!$A$6:$CY$266,(MATCH('[3]4.4 ACE MAX SEN '!T$4,'7. PGE_Efficacité'!$A$4:$AO$4,0)),0)</f>
        <v>0</v>
      </c>
      <c r="U20" s="64">
        <f>VLOOKUP($B20,'7. PGE_Efficacité'!$A$6:$CY$266,(MATCH('[3]4.4 ACE MAX SEN '!U$4,'7. PGE_Efficacité'!$A$4:$AO$4,0)),0)</f>
        <v>0</v>
      </c>
      <c r="V20" s="64">
        <f>VLOOKUP($B20,'7. PGE_Efficacité'!$A$6:$CY$266,(MATCH('[3]4.4 ACE MAX SEN '!V$4,'7. PGE_Efficacité'!$A$4:$AO$4,0)),0)</f>
        <v>0</v>
      </c>
      <c r="W20" s="61">
        <f>VLOOKUP($B20,'7. PGE_Efficacité'!$A$6:$CY$266,(MATCH('[3]4.4 ACE MAX SEN '!W$4,'7. PGE_Efficacité'!$A$4:$AO$4,0)),0)</f>
        <v>0</v>
      </c>
      <c r="X20" s="61">
        <f>VLOOKUP($B20,'7. PGE_Efficacité'!$A$6:$CY$266,(MATCH('[3]4.4 ACE MAX SEN '!X$4,'7. PGE_Efficacité'!$A$4:$AO$4,0)),0)</f>
        <v>0</v>
      </c>
      <c r="Y20" s="61">
        <f>VLOOKUP($B20,'7. PGE_Efficacité'!$A$6:$CY$266,(MATCH('[3]4.4 ACE MAX SEN '!Y$4,'7. PGE_Efficacité'!$A$4:$AO$4,0)),0)</f>
        <v>0</v>
      </c>
      <c r="Z20" s="61">
        <f>VLOOKUP($B20,'7. PGE_Efficacité'!$A$6:$CY$266,(MATCH('[3]4.4 ACE MAX SEN '!Z$4,'7. PGE_Efficacité'!$A$4:$AO$4,0)),0)</f>
        <v>0</v>
      </c>
      <c r="AA20" s="61">
        <f>VLOOKUP($B20,'7. PGE_Efficacité'!$A$6:$CY$266,(MATCH('[3]4.4 ACE MAX SEN '!AA$4,'7. PGE_Efficacité'!$A$4:$AO$4,0)),0)</f>
        <v>0</v>
      </c>
      <c r="AB20" s="61">
        <f>VLOOKUP($B20,'7. PGE_Efficacité'!$A$6:$CY$266,(MATCH('[3]4.4 ACE MAX SEN '!AB$4,'7. PGE_Efficacité'!$A$4:$AO$4,0)),0)</f>
        <v>0</v>
      </c>
      <c r="AC20" s="61">
        <f>VLOOKUP($B20,'7. PGE_Efficacité'!$A$6:$CY$266,(MATCH('[3]4.4 ACE MAX SEN '!AC$4,'7. PGE_Efficacité'!$A$4:$AO$4,0)),0)</f>
        <v>0</v>
      </c>
      <c r="AD20" s="61" t="str">
        <f>VLOOKUP($B20,'7. PGE_Efficacité'!$A$6:$CY$266,(MATCH('[3]4.4 ACE MAX SEN '!AD$4,'7. PGE_Efficacité'!$A$4:$AO$4,0)),0)</f>
        <v>++</v>
      </c>
      <c r="AE20" s="61" t="str">
        <f>VLOOKUP($B20,'7. PGE_Efficacité'!$A$6:$CY$266,(MATCH('[3]4.4 ACE MAX SEN '!AE$4,'7. PGE_Efficacité'!$A$4:$AO$4,0)),0)</f>
        <v>++</v>
      </c>
      <c r="AF20" s="61" t="str">
        <f>VLOOKUP($B20,'7. PGE_Efficacité'!$A$6:$CY$266,(MATCH('[3]4.4 ACE MAX SEN '!AF$4,'7. PGE_Efficacité'!$A$4:$AO$4,0)),0)</f>
        <v>++</v>
      </c>
      <c r="AG20" s="61">
        <f>VLOOKUP($B20,'7. PGE_Efficacité'!$A$6:$CY$266,(MATCH('[3]4.4 ACE MAX SEN '!AG$4,'7. PGE_Efficacité'!$A$4:$AO$4,0)),0)</f>
        <v>0</v>
      </c>
      <c r="AH20" s="61">
        <f>VLOOKUP($B20,'7. PGE_Efficacité'!$A$6:$CY$266,(MATCH('[3]4.4 ACE MAX SEN '!AH$4,'7. PGE_Efficacité'!$A$4:$AO$4,0)),0)</f>
        <v>0</v>
      </c>
      <c r="AI20" s="61">
        <f>VLOOKUP($B20,'7. PGE_Efficacité'!$A$6:$CY$266,(MATCH('[3]4.4 ACE MAX SEN '!AI$4,'7. PGE_Efficacité'!$A$4:$AO$4,0)),0)</f>
        <v>0</v>
      </c>
      <c r="AJ20" s="61">
        <f>VLOOKUP($B20,'7. PGE_Efficacité'!$A$6:$CY$266,(MATCH('[3]4.4 ACE MAX SEN '!AJ$4,'7. PGE_Efficacité'!$A$4:$AO$4,0)),0)</f>
        <v>0</v>
      </c>
      <c r="AK20" s="61">
        <f>VLOOKUP($B20,'7. PGE_Efficacité'!$A$6:$CY$266,(MATCH('[3]4.4 ACE MAX SEN '!AK$4,'7. PGE_Efficacité'!$A$4:$AO$4,0)),0)</f>
        <v>0</v>
      </c>
    </row>
    <row r="21" spans="1:37" hidden="1" outlineLevel="2" x14ac:dyDescent="0.25">
      <c r="A21" s="65" t="s">
        <v>1</v>
      </c>
      <c r="B21" s="65" t="s">
        <v>722</v>
      </c>
      <c r="C21" s="65" t="s">
        <v>1382</v>
      </c>
      <c r="D21" s="65" t="s">
        <v>1520</v>
      </c>
      <c r="E21" s="65" t="s">
        <v>415</v>
      </c>
      <c r="F21" s="73"/>
      <c r="G21" s="64">
        <f>VLOOKUP($B21,'7. PGE_Efficacité'!$A$6:$CY$266,(MATCH('[3]4.4 ACE MAX SEN '!G$4,'7. PGE_Efficacité'!$A$4:$AO$4,0)),0)</f>
        <v>0</v>
      </c>
      <c r="H21" s="64">
        <f>VLOOKUP($B21,'7. PGE_Efficacité'!$A$6:$CY$266,(MATCH('[3]4.4 ACE MAX SEN '!H$4,'7. PGE_Efficacité'!$A$4:$AO$4,0)),0)</f>
        <v>0</v>
      </c>
      <c r="I21" s="64">
        <f>VLOOKUP($B21,'7. PGE_Efficacité'!$A$6:$CY$266,(MATCH('[3]4.4 ACE MAX SEN '!I$4,'7. PGE_Efficacité'!$A$4:$AO$4,0)),0)</f>
        <v>0</v>
      </c>
      <c r="J21" s="64">
        <f>VLOOKUP($B21,'7. PGE_Efficacité'!$A$6:$CY$266,(MATCH('[3]4.4 ACE MAX SEN '!J$4,'7. PGE_Efficacité'!$A$4:$AO$4,0)),0)</f>
        <v>0</v>
      </c>
      <c r="K21" s="64">
        <f>VLOOKUP($B21,'7. PGE_Efficacité'!$A$6:$CY$266,(MATCH('[3]4.4 ACE MAX SEN '!K$4,'7. PGE_Efficacité'!$A$4:$AO$4,0)),0)</f>
        <v>0</v>
      </c>
      <c r="L21" s="64">
        <f>VLOOKUP($B21,'7. PGE_Efficacité'!$A$6:$CY$266,(MATCH('[3]4.4 ACE MAX SEN '!L$4,'7. PGE_Efficacité'!$A$4:$AO$4,0)),0)</f>
        <v>0</v>
      </c>
      <c r="M21" s="64">
        <f>VLOOKUP($B21,'7. PGE_Efficacité'!$A$6:$CY$266,(MATCH('[3]4.4 ACE MAX SEN '!M$4,'7. PGE_Efficacité'!$A$4:$AO$4,0)),0)</f>
        <v>0</v>
      </c>
      <c r="N21" s="64">
        <f>VLOOKUP($B21,'7. PGE_Efficacité'!$A$6:$CY$266,(MATCH('[3]4.4 ACE MAX SEN '!N$4,'7. PGE_Efficacité'!$A$4:$AO$4,0)),0)</f>
        <v>0</v>
      </c>
      <c r="O21" s="64">
        <f>VLOOKUP($B21,'7. PGE_Efficacité'!$A$6:$CY$266,(MATCH('[3]4.4 ACE MAX SEN '!O$4,'7. PGE_Efficacité'!$A$4:$AO$4,0)),0)</f>
        <v>0</v>
      </c>
      <c r="P21" s="64">
        <f>VLOOKUP($B21,'7. PGE_Efficacité'!$A$6:$CY$266,(MATCH('[3]4.4 ACE MAX SEN '!P$4,'7. PGE_Efficacité'!$A$4:$AO$4,0)),0)</f>
        <v>0</v>
      </c>
      <c r="Q21" s="64">
        <f>VLOOKUP($B21,'7. PGE_Efficacité'!$A$6:$CY$266,(MATCH('[3]4.4 ACE MAX SEN '!Q$4,'7. PGE_Efficacité'!$A$4:$AO$4,0)),0)</f>
        <v>0</v>
      </c>
      <c r="R21" s="64">
        <f>VLOOKUP($B21,'7. PGE_Efficacité'!$A$6:$CY$266,(MATCH('[3]4.4 ACE MAX SEN '!R$4,'7. PGE_Efficacité'!$A$4:$AO$4,0)),0)</f>
        <v>0</v>
      </c>
      <c r="S21" s="64">
        <f>VLOOKUP($B21,'7. PGE_Efficacité'!$A$6:$CY$266,(MATCH('[3]4.4 ACE MAX SEN '!S$4,'7. PGE_Efficacité'!$A$4:$AO$4,0)),0)</f>
        <v>0</v>
      </c>
      <c r="T21" s="64">
        <f>VLOOKUP($B21,'7. PGE_Efficacité'!$A$6:$CY$266,(MATCH('[3]4.4 ACE MAX SEN '!T$4,'7. PGE_Efficacité'!$A$4:$AO$4,0)),0)</f>
        <v>0</v>
      </c>
      <c r="U21" s="64">
        <f>VLOOKUP($B21,'7. PGE_Efficacité'!$A$6:$CY$266,(MATCH('[3]4.4 ACE MAX SEN '!U$4,'7. PGE_Efficacité'!$A$4:$AO$4,0)),0)</f>
        <v>0</v>
      </c>
      <c r="V21" s="64">
        <f>VLOOKUP($B21,'7. PGE_Efficacité'!$A$6:$CY$266,(MATCH('[3]4.4 ACE MAX SEN '!V$4,'7. PGE_Efficacité'!$A$4:$AO$4,0)),0)</f>
        <v>0</v>
      </c>
      <c r="W21" s="61">
        <f>VLOOKUP($B21,'7. PGE_Efficacité'!$A$6:$CY$266,(MATCH('[3]4.4 ACE MAX SEN '!W$4,'7. PGE_Efficacité'!$A$4:$AO$4,0)),0)</f>
        <v>0</v>
      </c>
      <c r="X21" s="61">
        <f>VLOOKUP($B21,'7. PGE_Efficacité'!$A$6:$CY$266,(MATCH('[3]4.4 ACE MAX SEN '!X$4,'7. PGE_Efficacité'!$A$4:$AO$4,0)),0)</f>
        <v>0</v>
      </c>
      <c r="Y21" s="61">
        <f>VLOOKUP($B21,'7. PGE_Efficacité'!$A$6:$CY$266,(MATCH('[3]4.4 ACE MAX SEN '!Y$4,'7. PGE_Efficacité'!$A$4:$AO$4,0)),0)</f>
        <v>0</v>
      </c>
      <c r="Z21" s="61">
        <f>VLOOKUP($B21,'7. PGE_Efficacité'!$A$6:$CY$266,(MATCH('[3]4.4 ACE MAX SEN '!Z$4,'7. PGE_Efficacité'!$A$4:$AO$4,0)),0)</f>
        <v>0</v>
      </c>
      <c r="AA21" s="61">
        <f>VLOOKUP($B21,'7. PGE_Efficacité'!$A$6:$CY$266,(MATCH('[3]4.4 ACE MAX SEN '!AA$4,'7. PGE_Efficacité'!$A$4:$AO$4,0)),0)</f>
        <v>0</v>
      </c>
      <c r="AB21" s="61">
        <f>VLOOKUP($B21,'7. PGE_Efficacité'!$A$6:$CY$266,(MATCH('[3]4.4 ACE MAX SEN '!AB$4,'7. PGE_Efficacité'!$A$4:$AO$4,0)),0)</f>
        <v>0</v>
      </c>
      <c r="AC21" s="61">
        <f>VLOOKUP($B21,'7. PGE_Efficacité'!$A$6:$CY$266,(MATCH('[3]4.4 ACE MAX SEN '!AC$4,'7. PGE_Efficacité'!$A$4:$AO$4,0)),0)</f>
        <v>0</v>
      </c>
      <c r="AD21" s="61">
        <f>VLOOKUP($B21,'7. PGE_Efficacité'!$A$6:$CY$266,(MATCH('[3]4.4 ACE MAX SEN '!AD$4,'7. PGE_Efficacité'!$A$4:$AO$4,0)),0)</f>
        <v>0</v>
      </c>
      <c r="AE21" s="61">
        <f>VLOOKUP($B21,'7. PGE_Efficacité'!$A$6:$CY$266,(MATCH('[3]4.4 ACE MAX SEN '!AE$4,'7. PGE_Efficacité'!$A$4:$AO$4,0)),0)</f>
        <v>0</v>
      </c>
      <c r="AF21" s="61">
        <f>VLOOKUP($B21,'7. PGE_Efficacité'!$A$6:$CY$266,(MATCH('[3]4.4 ACE MAX SEN '!AF$4,'7. PGE_Efficacité'!$A$4:$AO$4,0)),0)</f>
        <v>0</v>
      </c>
      <c r="AG21" s="61">
        <f>VLOOKUP($B21,'7. PGE_Efficacité'!$A$6:$CY$266,(MATCH('[3]4.4 ACE MAX SEN '!AG$4,'7. PGE_Efficacité'!$A$4:$AO$4,0)),0)</f>
        <v>0</v>
      </c>
      <c r="AH21" s="61">
        <f>VLOOKUP($B21,'7. PGE_Efficacité'!$A$6:$CY$266,(MATCH('[3]4.4 ACE MAX SEN '!AH$4,'7. PGE_Efficacité'!$A$4:$AO$4,0)),0)</f>
        <v>0</v>
      </c>
      <c r="AI21" s="61">
        <f>VLOOKUP($B21,'7. PGE_Efficacité'!$A$6:$CY$266,(MATCH('[3]4.4 ACE MAX SEN '!AI$4,'7. PGE_Efficacité'!$A$4:$AO$4,0)),0)</f>
        <v>0</v>
      </c>
      <c r="AJ21" s="61">
        <f>VLOOKUP($B21,'7. PGE_Efficacité'!$A$6:$CY$266,(MATCH('[3]4.4 ACE MAX SEN '!AJ$4,'7. PGE_Efficacité'!$A$4:$AO$4,0)),0)</f>
        <v>0</v>
      </c>
      <c r="AK21" s="61">
        <f>VLOOKUP($B21,'7. PGE_Efficacité'!$A$6:$CY$266,(MATCH('[3]4.4 ACE MAX SEN '!AK$4,'7. PGE_Efficacité'!$A$4:$AO$4,0)),0)</f>
        <v>0</v>
      </c>
    </row>
    <row r="22" spans="1:37" hidden="1" outlineLevel="2" x14ac:dyDescent="0.25">
      <c r="A22" s="65" t="s">
        <v>1</v>
      </c>
      <c r="B22" s="65" t="s">
        <v>723</v>
      </c>
      <c r="C22" s="65" t="s">
        <v>1382</v>
      </c>
      <c r="D22" s="65" t="s">
        <v>1520</v>
      </c>
      <c r="E22" s="65" t="s">
        <v>415</v>
      </c>
      <c r="F22" s="73"/>
      <c r="G22" s="64">
        <f>VLOOKUP($B22,'7. PGE_Efficacité'!$A$6:$CY$266,(MATCH('[3]4.4 ACE MAX SEN '!G$4,'7. PGE_Efficacité'!$A$4:$AO$4,0)),0)</f>
        <v>0</v>
      </c>
      <c r="H22" s="64">
        <f>VLOOKUP($B22,'7. PGE_Efficacité'!$A$6:$CY$266,(MATCH('[3]4.4 ACE MAX SEN '!H$4,'7. PGE_Efficacité'!$A$4:$AO$4,0)),0)</f>
        <v>0</v>
      </c>
      <c r="I22" s="64">
        <f>VLOOKUP($B22,'7. PGE_Efficacité'!$A$6:$CY$266,(MATCH('[3]4.4 ACE MAX SEN '!I$4,'7. PGE_Efficacité'!$A$4:$AO$4,0)),0)</f>
        <v>0</v>
      </c>
      <c r="J22" s="64">
        <f>VLOOKUP($B22,'7. PGE_Efficacité'!$A$6:$CY$266,(MATCH('[3]4.4 ACE MAX SEN '!J$4,'7. PGE_Efficacité'!$A$4:$AO$4,0)),0)</f>
        <v>0</v>
      </c>
      <c r="K22" s="64">
        <f>VLOOKUP($B22,'7. PGE_Efficacité'!$A$6:$CY$266,(MATCH('[3]4.4 ACE MAX SEN '!K$4,'7. PGE_Efficacité'!$A$4:$AO$4,0)),0)</f>
        <v>0</v>
      </c>
      <c r="L22" s="64">
        <f>VLOOKUP($B22,'7. PGE_Efficacité'!$A$6:$CY$266,(MATCH('[3]4.4 ACE MAX SEN '!L$4,'7. PGE_Efficacité'!$A$4:$AO$4,0)),0)</f>
        <v>0</v>
      </c>
      <c r="M22" s="64">
        <f>VLOOKUP($B22,'7. PGE_Efficacité'!$A$6:$CY$266,(MATCH('[3]4.4 ACE MAX SEN '!M$4,'7. PGE_Efficacité'!$A$4:$AO$4,0)),0)</f>
        <v>0</v>
      </c>
      <c r="N22" s="64">
        <f>VLOOKUP($B22,'7. PGE_Efficacité'!$A$6:$CY$266,(MATCH('[3]4.4 ACE MAX SEN '!N$4,'7. PGE_Efficacité'!$A$4:$AO$4,0)),0)</f>
        <v>0</v>
      </c>
      <c r="O22" s="64">
        <f>VLOOKUP($B22,'7. PGE_Efficacité'!$A$6:$CY$266,(MATCH('[3]4.4 ACE MAX SEN '!O$4,'7. PGE_Efficacité'!$A$4:$AO$4,0)),0)</f>
        <v>0</v>
      </c>
      <c r="P22" s="64">
        <f>VLOOKUP($B22,'7. PGE_Efficacité'!$A$6:$CY$266,(MATCH('[3]4.4 ACE MAX SEN '!P$4,'7. PGE_Efficacité'!$A$4:$AO$4,0)),0)</f>
        <v>0</v>
      </c>
      <c r="Q22" s="64">
        <f>VLOOKUP($B22,'7. PGE_Efficacité'!$A$6:$CY$266,(MATCH('[3]4.4 ACE MAX SEN '!Q$4,'7. PGE_Efficacité'!$A$4:$AO$4,0)),0)</f>
        <v>0</v>
      </c>
      <c r="R22" s="64">
        <f>VLOOKUP($B22,'7. PGE_Efficacité'!$A$6:$CY$266,(MATCH('[3]4.4 ACE MAX SEN '!R$4,'7. PGE_Efficacité'!$A$4:$AO$4,0)),0)</f>
        <v>0</v>
      </c>
      <c r="S22" s="64">
        <f>VLOOKUP($B22,'7. PGE_Efficacité'!$A$6:$CY$266,(MATCH('[3]4.4 ACE MAX SEN '!S$4,'7. PGE_Efficacité'!$A$4:$AO$4,0)),0)</f>
        <v>0</v>
      </c>
      <c r="T22" s="64">
        <f>VLOOKUP($B22,'7. PGE_Efficacité'!$A$6:$CY$266,(MATCH('[3]4.4 ACE MAX SEN '!T$4,'7. PGE_Efficacité'!$A$4:$AO$4,0)),0)</f>
        <v>0</v>
      </c>
      <c r="U22" s="64">
        <f>VLOOKUP($B22,'7. PGE_Efficacité'!$A$6:$CY$266,(MATCH('[3]4.4 ACE MAX SEN '!U$4,'7. PGE_Efficacité'!$A$4:$AO$4,0)),0)</f>
        <v>0</v>
      </c>
      <c r="V22" s="64">
        <f>VLOOKUP($B22,'7. PGE_Efficacité'!$A$6:$CY$266,(MATCH('[3]4.4 ACE MAX SEN '!V$4,'7. PGE_Efficacité'!$A$4:$AO$4,0)),0)</f>
        <v>0</v>
      </c>
      <c r="W22" s="61">
        <f>VLOOKUP($B22,'7. PGE_Efficacité'!$A$6:$CY$266,(MATCH('[3]4.4 ACE MAX SEN '!W$4,'7. PGE_Efficacité'!$A$4:$AO$4,0)),0)</f>
        <v>0</v>
      </c>
      <c r="X22" s="61">
        <f>VLOOKUP($B22,'7. PGE_Efficacité'!$A$6:$CY$266,(MATCH('[3]4.4 ACE MAX SEN '!X$4,'7. PGE_Efficacité'!$A$4:$AO$4,0)),0)</f>
        <v>0</v>
      </c>
      <c r="Y22" s="61">
        <f>VLOOKUP($B22,'7. PGE_Efficacité'!$A$6:$CY$266,(MATCH('[3]4.4 ACE MAX SEN '!Y$4,'7. PGE_Efficacité'!$A$4:$AO$4,0)),0)</f>
        <v>0</v>
      </c>
      <c r="Z22" s="61">
        <f>VLOOKUP($B22,'7. PGE_Efficacité'!$A$6:$CY$266,(MATCH('[3]4.4 ACE MAX SEN '!Z$4,'7. PGE_Efficacité'!$A$4:$AO$4,0)),0)</f>
        <v>0</v>
      </c>
      <c r="AA22" s="61">
        <f>VLOOKUP($B22,'7. PGE_Efficacité'!$A$6:$CY$266,(MATCH('[3]4.4 ACE MAX SEN '!AA$4,'7. PGE_Efficacité'!$A$4:$AO$4,0)),0)</f>
        <v>0</v>
      </c>
      <c r="AB22" s="61">
        <f>VLOOKUP($B22,'7. PGE_Efficacité'!$A$6:$CY$266,(MATCH('[3]4.4 ACE MAX SEN '!AB$4,'7. PGE_Efficacité'!$A$4:$AO$4,0)),0)</f>
        <v>0</v>
      </c>
      <c r="AC22" s="61">
        <f>VLOOKUP($B22,'7. PGE_Efficacité'!$A$6:$CY$266,(MATCH('[3]4.4 ACE MAX SEN '!AC$4,'7. PGE_Efficacité'!$A$4:$AO$4,0)),0)</f>
        <v>0</v>
      </c>
      <c r="AD22" s="61" t="str">
        <f>VLOOKUP($B22,'7. PGE_Efficacité'!$A$6:$CY$266,(MATCH('[3]4.4 ACE MAX SEN '!AD$4,'7. PGE_Efficacité'!$A$4:$AO$4,0)),0)</f>
        <v>+</v>
      </c>
      <c r="AE22" s="61" t="str">
        <f>VLOOKUP($B22,'7. PGE_Efficacité'!$A$6:$CY$266,(MATCH('[3]4.4 ACE MAX SEN '!AE$4,'7. PGE_Efficacité'!$A$4:$AO$4,0)),0)</f>
        <v>+</v>
      </c>
      <c r="AF22" s="61" t="str">
        <f>VLOOKUP($B22,'7. PGE_Efficacité'!$A$6:$CY$266,(MATCH('[3]4.4 ACE MAX SEN '!AF$4,'7. PGE_Efficacité'!$A$4:$AO$4,0)),0)</f>
        <v>+</v>
      </c>
      <c r="AG22" s="61">
        <f>VLOOKUP($B22,'7. PGE_Efficacité'!$A$6:$CY$266,(MATCH('[3]4.4 ACE MAX SEN '!AG$4,'7. PGE_Efficacité'!$A$4:$AO$4,0)),0)</f>
        <v>0</v>
      </c>
      <c r="AH22" s="61">
        <f>VLOOKUP($B22,'7. PGE_Efficacité'!$A$6:$CY$266,(MATCH('[3]4.4 ACE MAX SEN '!AH$4,'7. PGE_Efficacité'!$A$4:$AO$4,0)),0)</f>
        <v>0</v>
      </c>
      <c r="AI22" s="61">
        <f>VLOOKUP($B22,'7. PGE_Efficacité'!$A$6:$CY$266,(MATCH('[3]4.4 ACE MAX SEN '!AI$4,'7. PGE_Efficacité'!$A$4:$AO$4,0)),0)</f>
        <v>0</v>
      </c>
      <c r="AJ22" s="61">
        <f>VLOOKUP($B22,'7. PGE_Efficacité'!$A$6:$CY$266,(MATCH('[3]4.4 ACE MAX SEN '!AJ$4,'7. PGE_Efficacité'!$A$4:$AO$4,0)),0)</f>
        <v>0</v>
      </c>
      <c r="AK22" s="61">
        <f>VLOOKUP($B22,'7. PGE_Efficacité'!$A$6:$CY$266,(MATCH('[3]4.4 ACE MAX SEN '!AK$4,'7. PGE_Efficacité'!$A$4:$AO$4,0)),0)</f>
        <v>0</v>
      </c>
    </row>
    <row r="23" spans="1:37" hidden="1" outlineLevel="2" x14ac:dyDescent="0.25">
      <c r="A23" s="65" t="s">
        <v>1</v>
      </c>
      <c r="B23" s="65" t="s">
        <v>724</v>
      </c>
      <c r="C23" s="65" t="s">
        <v>1383</v>
      </c>
      <c r="D23" s="65" t="s">
        <v>1520</v>
      </c>
      <c r="E23" s="65" t="s">
        <v>415</v>
      </c>
      <c r="F23" s="73"/>
      <c r="G23" s="64">
        <f>VLOOKUP($B23,'7. PGE_Efficacité'!$A$6:$CY$266,(MATCH('[3]4.4 ACE MAX SEN '!G$4,'7. PGE_Efficacité'!$A$4:$AO$4,0)),0)</f>
        <v>0</v>
      </c>
      <c r="H23" s="64">
        <f>VLOOKUP($B23,'7. PGE_Efficacité'!$A$6:$CY$266,(MATCH('[3]4.4 ACE MAX SEN '!H$4,'7. PGE_Efficacité'!$A$4:$AO$4,0)),0)</f>
        <v>0</v>
      </c>
      <c r="I23" s="64">
        <f>VLOOKUP($B23,'7. PGE_Efficacité'!$A$6:$CY$266,(MATCH('[3]4.4 ACE MAX SEN '!I$4,'7. PGE_Efficacité'!$A$4:$AO$4,0)),0)</f>
        <v>0</v>
      </c>
      <c r="J23" s="64">
        <f>VLOOKUP($B23,'7. PGE_Efficacité'!$A$6:$CY$266,(MATCH('[3]4.4 ACE MAX SEN '!J$4,'7. PGE_Efficacité'!$A$4:$AO$4,0)),0)</f>
        <v>0</v>
      </c>
      <c r="K23" s="64">
        <f>VLOOKUP($B23,'7. PGE_Efficacité'!$A$6:$CY$266,(MATCH('[3]4.4 ACE MAX SEN '!K$4,'7. PGE_Efficacité'!$A$4:$AO$4,0)),0)</f>
        <v>0</v>
      </c>
      <c r="L23" s="64">
        <f>VLOOKUP($B23,'7. PGE_Efficacité'!$A$6:$CY$266,(MATCH('[3]4.4 ACE MAX SEN '!L$4,'7. PGE_Efficacité'!$A$4:$AO$4,0)),0)</f>
        <v>0</v>
      </c>
      <c r="M23" s="64">
        <f>VLOOKUP($B23,'7. PGE_Efficacité'!$A$6:$CY$266,(MATCH('[3]4.4 ACE MAX SEN '!M$4,'7. PGE_Efficacité'!$A$4:$AO$4,0)),0)</f>
        <v>0</v>
      </c>
      <c r="N23" s="64">
        <f>VLOOKUP($B23,'7. PGE_Efficacité'!$A$6:$CY$266,(MATCH('[3]4.4 ACE MAX SEN '!N$4,'7. PGE_Efficacité'!$A$4:$AO$4,0)),0)</f>
        <v>0</v>
      </c>
      <c r="O23" s="64">
        <f>VLOOKUP($B23,'7. PGE_Efficacité'!$A$6:$CY$266,(MATCH('[3]4.4 ACE MAX SEN '!O$4,'7. PGE_Efficacité'!$A$4:$AO$4,0)),0)</f>
        <v>0</v>
      </c>
      <c r="P23" s="64">
        <f>VLOOKUP($B23,'7. PGE_Efficacité'!$A$6:$CY$266,(MATCH('[3]4.4 ACE MAX SEN '!P$4,'7. PGE_Efficacité'!$A$4:$AO$4,0)),0)</f>
        <v>0</v>
      </c>
      <c r="Q23" s="64">
        <f>VLOOKUP($B23,'7. PGE_Efficacité'!$A$6:$CY$266,(MATCH('[3]4.4 ACE MAX SEN '!Q$4,'7. PGE_Efficacité'!$A$4:$AO$4,0)),0)</f>
        <v>0</v>
      </c>
      <c r="R23" s="64">
        <f>VLOOKUP($B23,'7. PGE_Efficacité'!$A$6:$CY$266,(MATCH('[3]4.4 ACE MAX SEN '!R$4,'7. PGE_Efficacité'!$A$4:$AO$4,0)),0)</f>
        <v>0</v>
      </c>
      <c r="S23" s="64">
        <f>VLOOKUP($B23,'7. PGE_Efficacité'!$A$6:$CY$266,(MATCH('[3]4.4 ACE MAX SEN '!S$4,'7. PGE_Efficacité'!$A$4:$AO$4,0)),0)</f>
        <v>0</v>
      </c>
      <c r="T23" s="64">
        <f>VLOOKUP($B23,'7. PGE_Efficacité'!$A$6:$CY$266,(MATCH('[3]4.4 ACE MAX SEN '!T$4,'7. PGE_Efficacité'!$A$4:$AO$4,0)),0)</f>
        <v>0</v>
      </c>
      <c r="U23" s="64">
        <f>VLOOKUP($B23,'7. PGE_Efficacité'!$A$6:$CY$266,(MATCH('[3]4.4 ACE MAX SEN '!U$4,'7. PGE_Efficacité'!$A$4:$AO$4,0)),0)</f>
        <v>0</v>
      </c>
      <c r="V23" s="64">
        <f>VLOOKUP($B23,'7. PGE_Efficacité'!$A$6:$CY$266,(MATCH('[3]4.4 ACE MAX SEN '!V$4,'7. PGE_Efficacité'!$A$4:$AO$4,0)),0)</f>
        <v>0</v>
      </c>
      <c r="W23" s="61">
        <f>VLOOKUP($B23,'7. PGE_Efficacité'!$A$6:$CY$266,(MATCH('[3]4.4 ACE MAX SEN '!W$4,'7. PGE_Efficacité'!$A$4:$AO$4,0)),0)</f>
        <v>0</v>
      </c>
      <c r="X23" s="61">
        <f>VLOOKUP($B23,'7. PGE_Efficacité'!$A$6:$CY$266,(MATCH('[3]4.4 ACE MAX SEN '!X$4,'7. PGE_Efficacité'!$A$4:$AO$4,0)),0)</f>
        <v>0</v>
      </c>
      <c r="Y23" s="61">
        <f>VLOOKUP($B23,'7. PGE_Efficacité'!$A$6:$CY$266,(MATCH('[3]4.4 ACE MAX SEN '!Y$4,'7. PGE_Efficacité'!$A$4:$AO$4,0)),0)</f>
        <v>0</v>
      </c>
      <c r="Z23" s="61">
        <f>VLOOKUP($B23,'7. PGE_Efficacité'!$A$6:$CY$266,(MATCH('[3]4.4 ACE MAX SEN '!Z$4,'7. PGE_Efficacité'!$A$4:$AO$4,0)),0)</f>
        <v>0</v>
      </c>
      <c r="AA23" s="61">
        <f>VLOOKUP($B23,'7. PGE_Efficacité'!$A$6:$CY$266,(MATCH('[3]4.4 ACE MAX SEN '!AA$4,'7. PGE_Efficacité'!$A$4:$AO$4,0)),0)</f>
        <v>0</v>
      </c>
      <c r="AB23" s="61">
        <f>VLOOKUP($B23,'7. PGE_Efficacité'!$A$6:$CY$266,(MATCH('[3]4.4 ACE MAX SEN '!AB$4,'7. PGE_Efficacité'!$A$4:$AO$4,0)),0)</f>
        <v>0</v>
      </c>
      <c r="AC23" s="61">
        <f>VLOOKUP($B23,'7. PGE_Efficacité'!$A$6:$CY$266,(MATCH('[3]4.4 ACE MAX SEN '!AC$4,'7. PGE_Efficacité'!$A$4:$AO$4,0)),0)</f>
        <v>0</v>
      </c>
      <c r="AD23" s="61">
        <f>VLOOKUP($B23,'7. PGE_Efficacité'!$A$6:$CY$266,(MATCH('[3]4.4 ACE MAX SEN '!AD$4,'7. PGE_Efficacité'!$A$4:$AO$4,0)),0)</f>
        <v>0</v>
      </c>
      <c r="AE23" s="61">
        <f>VLOOKUP($B23,'7. PGE_Efficacité'!$A$6:$CY$266,(MATCH('[3]4.4 ACE MAX SEN '!AE$4,'7. PGE_Efficacité'!$A$4:$AO$4,0)),0)</f>
        <v>0</v>
      </c>
      <c r="AF23" s="61">
        <f>VLOOKUP($B23,'7. PGE_Efficacité'!$A$6:$CY$266,(MATCH('[3]4.4 ACE MAX SEN '!AF$4,'7. PGE_Efficacité'!$A$4:$AO$4,0)),0)</f>
        <v>0</v>
      </c>
      <c r="AG23" s="61">
        <f>VLOOKUP($B23,'7. PGE_Efficacité'!$A$6:$CY$266,(MATCH('[3]4.4 ACE MAX SEN '!AG$4,'7. PGE_Efficacité'!$A$4:$AO$4,0)),0)</f>
        <v>0</v>
      </c>
      <c r="AH23" s="61">
        <f>VLOOKUP($B23,'7. PGE_Efficacité'!$A$6:$CY$266,(MATCH('[3]4.4 ACE MAX SEN '!AH$4,'7. PGE_Efficacité'!$A$4:$AO$4,0)),0)</f>
        <v>0</v>
      </c>
      <c r="AI23" s="61">
        <f>VLOOKUP($B23,'7. PGE_Efficacité'!$A$6:$CY$266,(MATCH('[3]4.4 ACE MAX SEN '!AI$4,'7. PGE_Efficacité'!$A$4:$AO$4,0)),0)</f>
        <v>0</v>
      </c>
      <c r="AJ23" s="61">
        <f>VLOOKUP($B23,'7. PGE_Efficacité'!$A$6:$CY$266,(MATCH('[3]4.4 ACE MAX SEN '!AJ$4,'7. PGE_Efficacité'!$A$4:$AO$4,0)),0)</f>
        <v>0</v>
      </c>
      <c r="AK23" s="61">
        <f>VLOOKUP($B23,'7. PGE_Efficacité'!$A$6:$CY$266,(MATCH('[3]4.4 ACE MAX SEN '!AK$4,'7. PGE_Efficacité'!$A$4:$AO$4,0)),0)</f>
        <v>0</v>
      </c>
    </row>
    <row r="24" spans="1:37" hidden="1" outlineLevel="2" x14ac:dyDescent="0.25">
      <c r="A24" s="65" t="s">
        <v>1</v>
      </c>
      <c r="B24" s="65" t="s">
        <v>725</v>
      </c>
      <c r="C24" s="65" t="s">
        <v>1384</v>
      </c>
      <c r="D24" s="65" t="s">
        <v>1520</v>
      </c>
      <c r="E24" s="65" t="s">
        <v>415</v>
      </c>
      <c r="F24" s="73"/>
      <c r="G24" s="64">
        <f>VLOOKUP($B24,'7. PGE_Efficacité'!$A$6:$CY$266,(MATCH('[3]4.4 ACE MAX SEN '!G$4,'7. PGE_Efficacité'!$A$4:$AO$4,0)),0)</f>
        <v>0</v>
      </c>
      <c r="H24" s="64">
        <f>VLOOKUP($B24,'7. PGE_Efficacité'!$A$6:$CY$266,(MATCH('[3]4.4 ACE MAX SEN '!H$4,'7. PGE_Efficacité'!$A$4:$AO$4,0)),0)</f>
        <v>0</v>
      </c>
      <c r="I24" s="64">
        <f>VLOOKUP($B24,'7. PGE_Efficacité'!$A$6:$CY$266,(MATCH('[3]4.4 ACE MAX SEN '!I$4,'7. PGE_Efficacité'!$A$4:$AO$4,0)),0)</f>
        <v>0</v>
      </c>
      <c r="J24" s="64">
        <f>VLOOKUP($B24,'7. PGE_Efficacité'!$A$6:$CY$266,(MATCH('[3]4.4 ACE MAX SEN '!J$4,'7. PGE_Efficacité'!$A$4:$AO$4,0)),0)</f>
        <v>0</v>
      </c>
      <c r="K24" s="64">
        <f>VLOOKUP($B24,'7. PGE_Efficacité'!$A$6:$CY$266,(MATCH('[3]4.4 ACE MAX SEN '!K$4,'7. PGE_Efficacité'!$A$4:$AO$4,0)),0)</f>
        <v>0</v>
      </c>
      <c r="L24" s="64">
        <f>VLOOKUP($B24,'7. PGE_Efficacité'!$A$6:$CY$266,(MATCH('[3]4.4 ACE MAX SEN '!L$4,'7. PGE_Efficacité'!$A$4:$AO$4,0)),0)</f>
        <v>0</v>
      </c>
      <c r="M24" s="64">
        <f>VLOOKUP($B24,'7. PGE_Efficacité'!$A$6:$CY$266,(MATCH('[3]4.4 ACE MAX SEN '!M$4,'7. PGE_Efficacité'!$A$4:$AO$4,0)),0)</f>
        <v>0</v>
      </c>
      <c r="N24" s="64">
        <f>VLOOKUP($B24,'7. PGE_Efficacité'!$A$6:$CY$266,(MATCH('[3]4.4 ACE MAX SEN '!N$4,'7. PGE_Efficacité'!$A$4:$AO$4,0)),0)</f>
        <v>0</v>
      </c>
      <c r="O24" s="64">
        <f>VLOOKUP($B24,'7. PGE_Efficacité'!$A$6:$CY$266,(MATCH('[3]4.4 ACE MAX SEN '!O$4,'7. PGE_Efficacité'!$A$4:$AO$4,0)),0)</f>
        <v>0</v>
      </c>
      <c r="P24" s="64">
        <f>VLOOKUP($B24,'7. PGE_Efficacité'!$A$6:$CY$266,(MATCH('[3]4.4 ACE MAX SEN '!P$4,'7. PGE_Efficacité'!$A$4:$AO$4,0)),0)</f>
        <v>0</v>
      </c>
      <c r="Q24" s="64">
        <f>VLOOKUP($B24,'7. PGE_Efficacité'!$A$6:$CY$266,(MATCH('[3]4.4 ACE MAX SEN '!Q$4,'7. PGE_Efficacité'!$A$4:$AO$4,0)),0)</f>
        <v>0</v>
      </c>
      <c r="R24" s="64">
        <f>VLOOKUP($B24,'7. PGE_Efficacité'!$A$6:$CY$266,(MATCH('[3]4.4 ACE MAX SEN '!R$4,'7. PGE_Efficacité'!$A$4:$AO$4,0)),0)</f>
        <v>0</v>
      </c>
      <c r="S24" s="64">
        <f>VLOOKUP($B24,'7. PGE_Efficacité'!$A$6:$CY$266,(MATCH('[3]4.4 ACE MAX SEN '!S$4,'7. PGE_Efficacité'!$A$4:$AO$4,0)),0)</f>
        <v>0</v>
      </c>
      <c r="T24" s="64">
        <f>VLOOKUP($B24,'7. PGE_Efficacité'!$A$6:$CY$266,(MATCH('[3]4.4 ACE MAX SEN '!T$4,'7. PGE_Efficacité'!$A$4:$AO$4,0)),0)</f>
        <v>0</v>
      </c>
      <c r="U24" s="64">
        <f>VLOOKUP($B24,'7. PGE_Efficacité'!$A$6:$CY$266,(MATCH('[3]4.4 ACE MAX SEN '!U$4,'7. PGE_Efficacité'!$A$4:$AO$4,0)),0)</f>
        <v>0</v>
      </c>
      <c r="V24" s="64">
        <f>VLOOKUP($B24,'7. PGE_Efficacité'!$A$6:$CY$266,(MATCH('[3]4.4 ACE MAX SEN '!V$4,'7. PGE_Efficacité'!$A$4:$AO$4,0)),0)</f>
        <v>0</v>
      </c>
      <c r="W24" s="61">
        <f>VLOOKUP($B24,'7. PGE_Efficacité'!$A$6:$CY$266,(MATCH('[3]4.4 ACE MAX SEN '!W$4,'7. PGE_Efficacité'!$A$4:$AO$4,0)),0)</f>
        <v>0</v>
      </c>
      <c r="X24" s="61">
        <f>VLOOKUP($B24,'7. PGE_Efficacité'!$A$6:$CY$266,(MATCH('[3]4.4 ACE MAX SEN '!X$4,'7. PGE_Efficacité'!$A$4:$AO$4,0)),0)</f>
        <v>0</v>
      </c>
      <c r="Y24" s="61">
        <f>VLOOKUP($B24,'7. PGE_Efficacité'!$A$6:$CY$266,(MATCH('[3]4.4 ACE MAX SEN '!Y$4,'7. PGE_Efficacité'!$A$4:$AO$4,0)),0)</f>
        <v>0</v>
      </c>
      <c r="Z24" s="61">
        <f>VLOOKUP($B24,'7. PGE_Efficacité'!$A$6:$CY$266,(MATCH('[3]4.4 ACE MAX SEN '!Z$4,'7. PGE_Efficacité'!$A$4:$AO$4,0)),0)</f>
        <v>0</v>
      </c>
      <c r="AA24" s="61">
        <f>VLOOKUP($B24,'7. PGE_Efficacité'!$A$6:$CY$266,(MATCH('[3]4.4 ACE MAX SEN '!AA$4,'7. PGE_Efficacité'!$A$4:$AO$4,0)),0)</f>
        <v>0</v>
      </c>
      <c r="AB24" s="61">
        <f>VLOOKUP($B24,'7. PGE_Efficacité'!$A$6:$CY$266,(MATCH('[3]4.4 ACE MAX SEN '!AB$4,'7. PGE_Efficacité'!$A$4:$AO$4,0)),0)</f>
        <v>0</v>
      </c>
      <c r="AC24" s="61">
        <f>VLOOKUP($B24,'7. PGE_Efficacité'!$A$6:$CY$266,(MATCH('[3]4.4 ACE MAX SEN '!AC$4,'7. PGE_Efficacité'!$A$4:$AO$4,0)),0)</f>
        <v>0</v>
      </c>
      <c r="AD24" s="61" t="str">
        <f>VLOOKUP($B24,'7. PGE_Efficacité'!$A$6:$CY$266,(MATCH('[3]4.4 ACE MAX SEN '!AD$4,'7. PGE_Efficacité'!$A$4:$AO$4,0)),0)</f>
        <v>+</v>
      </c>
      <c r="AE24" s="61" t="str">
        <f>VLOOKUP($B24,'7. PGE_Efficacité'!$A$6:$CY$266,(MATCH('[3]4.4 ACE MAX SEN '!AE$4,'7. PGE_Efficacité'!$A$4:$AO$4,0)),0)</f>
        <v>+</v>
      </c>
      <c r="AF24" s="61" t="str">
        <f>VLOOKUP($B24,'7. PGE_Efficacité'!$A$6:$CY$266,(MATCH('[3]4.4 ACE MAX SEN '!AF$4,'7. PGE_Efficacité'!$A$4:$AO$4,0)),0)</f>
        <v>+</v>
      </c>
      <c r="AG24" s="61">
        <f>VLOOKUP($B24,'7. PGE_Efficacité'!$A$6:$CY$266,(MATCH('[3]4.4 ACE MAX SEN '!AG$4,'7. PGE_Efficacité'!$A$4:$AO$4,0)),0)</f>
        <v>0</v>
      </c>
      <c r="AH24" s="61">
        <f>VLOOKUP($B24,'7. PGE_Efficacité'!$A$6:$CY$266,(MATCH('[3]4.4 ACE MAX SEN '!AH$4,'7. PGE_Efficacité'!$A$4:$AO$4,0)),0)</f>
        <v>0</v>
      </c>
      <c r="AI24" s="61">
        <f>VLOOKUP($B24,'7. PGE_Efficacité'!$A$6:$CY$266,(MATCH('[3]4.4 ACE MAX SEN '!AI$4,'7. PGE_Efficacité'!$A$4:$AO$4,0)),0)</f>
        <v>0</v>
      </c>
      <c r="AJ24" s="61">
        <f>VLOOKUP($B24,'7. PGE_Efficacité'!$A$6:$CY$266,(MATCH('[3]4.4 ACE MAX SEN '!AJ$4,'7. PGE_Efficacité'!$A$4:$AO$4,0)),0)</f>
        <v>0</v>
      </c>
      <c r="AK24" s="61">
        <f>VLOOKUP($B24,'7. PGE_Efficacité'!$A$6:$CY$266,(MATCH('[3]4.4 ACE MAX SEN '!AK$4,'7. PGE_Efficacité'!$A$4:$AO$4,0)),0)</f>
        <v>0</v>
      </c>
    </row>
    <row r="25" spans="1:37" hidden="1" outlineLevel="2" x14ac:dyDescent="0.25">
      <c r="A25" s="65" t="s">
        <v>1</v>
      </c>
      <c r="B25" s="65" t="s">
        <v>726</v>
      </c>
      <c r="C25" s="65" t="s">
        <v>1385</v>
      </c>
      <c r="D25" s="65" t="s">
        <v>1520</v>
      </c>
      <c r="E25" s="65" t="s">
        <v>415</v>
      </c>
      <c r="F25" s="73"/>
      <c r="G25" s="64">
        <f>VLOOKUP($B25,'7. PGE_Efficacité'!$A$6:$CY$266,(MATCH('[3]4.4 ACE MAX SEN '!G$4,'7. PGE_Efficacité'!$A$4:$AO$4,0)),0)</f>
        <v>0</v>
      </c>
      <c r="H25" s="64">
        <f>VLOOKUP($B25,'7. PGE_Efficacité'!$A$6:$CY$266,(MATCH('[3]4.4 ACE MAX SEN '!H$4,'7. PGE_Efficacité'!$A$4:$AO$4,0)),0)</f>
        <v>0</v>
      </c>
      <c r="I25" s="64">
        <f>VLOOKUP($B25,'7. PGE_Efficacité'!$A$6:$CY$266,(MATCH('[3]4.4 ACE MAX SEN '!I$4,'7. PGE_Efficacité'!$A$4:$AO$4,0)),0)</f>
        <v>0</v>
      </c>
      <c r="J25" s="64">
        <f>VLOOKUP($B25,'7. PGE_Efficacité'!$A$6:$CY$266,(MATCH('[3]4.4 ACE MAX SEN '!J$4,'7. PGE_Efficacité'!$A$4:$AO$4,0)),0)</f>
        <v>0</v>
      </c>
      <c r="K25" s="64">
        <f>VLOOKUP($B25,'7. PGE_Efficacité'!$A$6:$CY$266,(MATCH('[3]4.4 ACE MAX SEN '!K$4,'7. PGE_Efficacité'!$A$4:$AO$4,0)),0)</f>
        <v>0</v>
      </c>
      <c r="L25" s="64">
        <f>VLOOKUP($B25,'7. PGE_Efficacité'!$A$6:$CY$266,(MATCH('[3]4.4 ACE MAX SEN '!L$4,'7. PGE_Efficacité'!$A$4:$AO$4,0)),0)</f>
        <v>0</v>
      </c>
      <c r="M25" s="64">
        <f>VLOOKUP($B25,'7. PGE_Efficacité'!$A$6:$CY$266,(MATCH('[3]4.4 ACE MAX SEN '!M$4,'7. PGE_Efficacité'!$A$4:$AO$4,0)),0)</f>
        <v>0</v>
      </c>
      <c r="N25" s="64">
        <f>VLOOKUP($B25,'7. PGE_Efficacité'!$A$6:$CY$266,(MATCH('[3]4.4 ACE MAX SEN '!N$4,'7. PGE_Efficacité'!$A$4:$AO$4,0)),0)</f>
        <v>0</v>
      </c>
      <c r="O25" s="64">
        <f>VLOOKUP($B25,'7. PGE_Efficacité'!$A$6:$CY$266,(MATCH('[3]4.4 ACE MAX SEN '!O$4,'7. PGE_Efficacité'!$A$4:$AO$4,0)),0)</f>
        <v>0</v>
      </c>
      <c r="P25" s="64">
        <f>VLOOKUP($B25,'7. PGE_Efficacité'!$A$6:$CY$266,(MATCH('[3]4.4 ACE MAX SEN '!P$4,'7. PGE_Efficacité'!$A$4:$AO$4,0)),0)</f>
        <v>0</v>
      </c>
      <c r="Q25" s="64">
        <f>VLOOKUP($B25,'7. PGE_Efficacité'!$A$6:$CY$266,(MATCH('[3]4.4 ACE MAX SEN '!Q$4,'7. PGE_Efficacité'!$A$4:$AO$4,0)),0)</f>
        <v>0</v>
      </c>
      <c r="R25" s="64">
        <f>VLOOKUP($B25,'7. PGE_Efficacité'!$A$6:$CY$266,(MATCH('[3]4.4 ACE MAX SEN '!R$4,'7. PGE_Efficacité'!$A$4:$AO$4,0)),0)</f>
        <v>0</v>
      </c>
      <c r="S25" s="64">
        <f>VLOOKUP($B25,'7. PGE_Efficacité'!$A$6:$CY$266,(MATCH('[3]4.4 ACE MAX SEN '!S$4,'7. PGE_Efficacité'!$A$4:$AO$4,0)),0)</f>
        <v>0</v>
      </c>
      <c r="T25" s="64">
        <f>VLOOKUP($B25,'7. PGE_Efficacité'!$A$6:$CY$266,(MATCH('[3]4.4 ACE MAX SEN '!T$4,'7. PGE_Efficacité'!$A$4:$AO$4,0)),0)</f>
        <v>0</v>
      </c>
      <c r="U25" s="64">
        <f>VLOOKUP($B25,'7. PGE_Efficacité'!$A$6:$CY$266,(MATCH('[3]4.4 ACE MAX SEN '!U$4,'7. PGE_Efficacité'!$A$4:$AO$4,0)),0)</f>
        <v>0</v>
      </c>
      <c r="V25" s="64">
        <f>VLOOKUP($B25,'7. PGE_Efficacité'!$A$6:$CY$266,(MATCH('[3]4.4 ACE MAX SEN '!V$4,'7. PGE_Efficacité'!$A$4:$AO$4,0)),0)</f>
        <v>0</v>
      </c>
      <c r="W25" s="61">
        <f>VLOOKUP($B25,'7. PGE_Efficacité'!$A$6:$CY$266,(MATCH('[3]4.4 ACE MAX SEN '!W$4,'7. PGE_Efficacité'!$A$4:$AO$4,0)),0)</f>
        <v>0</v>
      </c>
      <c r="X25" s="61">
        <f>VLOOKUP($B25,'7. PGE_Efficacité'!$A$6:$CY$266,(MATCH('[3]4.4 ACE MAX SEN '!X$4,'7. PGE_Efficacité'!$A$4:$AO$4,0)),0)</f>
        <v>0</v>
      </c>
      <c r="Y25" s="61">
        <f>VLOOKUP($B25,'7. PGE_Efficacité'!$A$6:$CY$266,(MATCH('[3]4.4 ACE MAX SEN '!Y$4,'7. PGE_Efficacité'!$A$4:$AO$4,0)),0)</f>
        <v>0</v>
      </c>
      <c r="Z25" s="61">
        <f>VLOOKUP($B25,'7. PGE_Efficacité'!$A$6:$CY$266,(MATCH('[3]4.4 ACE MAX SEN '!Z$4,'7. PGE_Efficacité'!$A$4:$AO$4,0)),0)</f>
        <v>0</v>
      </c>
      <c r="AA25" s="61">
        <f>VLOOKUP($B25,'7. PGE_Efficacité'!$A$6:$CY$266,(MATCH('[3]4.4 ACE MAX SEN '!AA$4,'7. PGE_Efficacité'!$A$4:$AO$4,0)),0)</f>
        <v>0</v>
      </c>
      <c r="AB25" s="61">
        <f>VLOOKUP($B25,'7. PGE_Efficacité'!$A$6:$CY$266,(MATCH('[3]4.4 ACE MAX SEN '!AB$4,'7. PGE_Efficacité'!$A$4:$AO$4,0)),0)</f>
        <v>0</v>
      </c>
      <c r="AC25" s="61">
        <f>VLOOKUP($B25,'7. PGE_Efficacité'!$A$6:$CY$266,(MATCH('[3]4.4 ACE MAX SEN '!AC$4,'7. PGE_Efficacité'!$A$4:$AO$4,0)),0)</f>
        <v>0</v>
      </c>
      <c r="AD25" s="61">
        <f>VLOOKUP($B25,'7. PGE_Efficacité'!$A$6:$CY$266,(MATCH('[3]4.4 ACE MAX SEN '!AD$4,'7. PGE_Efficacité'!$A$4:$AO$4,0)),0)</f>
        <v>0</v>
      </c>
      <c r="AE25" s="61">
        <f>VLOOKUP($B25,'7. PGE_Efficacité'!$A$6:$CY$266,(MATCH('[3]4.4 ACE MAX SEN '!AE$4,'7. PGE_Efficacité'!$A$4:$AO$4,0)),0)</f>
        <v>0</v>
      </c>
      <c r="AF25" s="61">
        <f>VLOOKUP($B25,'7. PGE_Efficacité'!$A$6:$CY$266,(MATCH('[3]4.4 ACE MAX SEN '!AF$4,'7. PGE_Efficacité'!$A$4:$AO$4,0)),0)</f>
        <v>0</v>
      </c>
      <c r="AG25" s="61">
        <f>VLOOKUP($B25,'7. PGE_Efficacité'!$A$6:$CY$266,(MATCH('[3]4.4 ACE MAX SEN '!AG$4,'7. PGE_Efficacité'!$A$4:$AO$4,0)),0)</f>
        <v>0</v>
      </c>
      <c r="AH25" s="61">
        <f>VLOOKUP($B25,'7. PGE_Efficacité'!$A$6:$CY$266,(MATCH('[3]4.4 ACE MAX SEN '!AH$4,'7. PGE_Efficacité'!$A$4:$AO$4,0)),0)</f>
        <v>0</v>
      </c>
      <c r="AI25" s="61">
        <f>VLOOKUP($B25,'7. PGE_Efficacité'!$A$6:$CY$266,(MATCH('[3]4.4 ACE MAX SEN '!AI$4,'7. PGE_Efficacité'!$A$4:$AO$4,0)),0)</f>
        <v>0</v>
      </c>
      <c r="AJ25" s="61">
        <f>VLOOKUP($B25,'7. PGE_Efficacité'!$A$6:$CY$266,(MATCH('[3]4.4 ACE MAX SEN '!AJ$4,'7. PGE_Efficacité'!$A$4:$AO$4,0)),0)</f>
        <v>0</v>
      </c>
      <c r="AK25" s="61">
        <f>VLOOKUP($B25,'7. PGE_Efficacité'!$A$6:$CY$266,(MATCH('[3]4.4 ACE MAX SEN '!AK$4,'7. PGE_Efficacité'!$A$4:$AO$4,0)),0)</f>
        <v>0</v>
      </c>
    </row>
    <row r="26" spans="1:37" hidden="1" outlineLevel="2" x14ac:dyDescent="0.25">
      <c r="A26" s="65" t="s">
        <v>1</v>
      </c>
      <c r="B26" s="65" t="s">
        <v>727</v>
      </c>
      <c r="C26" s="65" t="s">
        <v>1361</v>
      </c>
      <c r="D26" s="65" t="s">
        <v>1520</v>
      </c>
      <c r="E26" s="65" t="s">
        <v>415</v>
      </c>
      <c r="F26" s="73"/>
      <c r="G26" s="64">
        <f>VLOOKUP($B26,'7. PGE_Efficacité'!$A$6:$CY$266,(MATCH('[3]4.4 ACE MAX SEN '!G$4,'7. PGE_Efficacité'!$A$4:$AO$4,0)),0)</f>
        <v>0</v>
      </c>
      <c r="H26" s="64">
        <f>VLOOKUP($B26,'7. PGE_Efficacité'!$A$6:$CY$266,(MATCH('[3]4.4 ACE MAX SEN '!H$4,'7. PGE_Efficacité'!$A$4:$AO$4,0)),0)</f>
        <v>0</v>
      </c>
      <c r="I26" s="64">
        <f>VLOOKUP($B26,'7. PGE_Efficacité'!$A$6:$CY$266,(MATCH('[3]4.4 ACE MAX SEN '!I$4,'7. PGE_Efficacité'!$A$4:$AO$4,0)),0)</f>
        <v>0</v>
      </c>
      <c r="J26" s="64">
        <f>VLOOKUP($B26,'7. PGE_Efficacité'!$A$6:$CY$266,(MATCH('[3]4.4 ACE MAX SEN '!J$4,'7. PGE_Efficacité'!$A$4:$AO$4,0)),0)</f>
        <v>0</v>
      </c>
      <c r="K26" s="64">
        <f>VLOOKUP($B26,'7. PGE_Efficacité'!$A$6:$CY$266,(MATCH('[3]4.4 ACE MAX SEN '!K$4,'7. PGE_Efficacité'!$A$4:$AO$4,0)),0)</f>
        <v>0</v>
      </c>
      <c r="L26" s="64">
        <f>VLOOKUP($B26,'7. PGE_Efficacité'!$A$6:$CY$266,(MATCH('[3]4.4 ACE MAX SEN '!L$4,'7. PGE_Efficacité'!$A$4:$AO$4,0)),0)</f>
        <v>0</v>
      </c>
      <c r="M26" s="64">
        <f>VLOOKUP($B26,'7. PGE_Efficacité'!$A$6:$CY$266,(MATCH('[3]4.4 ACE MAX SEN '!M$4,'7. PGE_Efficacité'!$A$4:$AO$4,0)),0)</f>
        <v>0</v>
      </c>
      <c r="N26" s="64">
        <f>VLOOKUP($B26,'7. PGE_Efficacité'!$A$6:$CY$266,(MATCH('[3]4.4 ACE MAX SEN '!N$4,'7. PGE_Efficacité'!$A$4:$AO$4,0)),0)</f>
        <v>0</v>
      </c>
      <c r="O26" s="64">
        <f>VLOOKUP($B26,'7. PGE_Efficacité'!$A$6:$CY$266,(MATCH('[3]4.4 ACE MAX SEN '!O$4,'7. PGE_Efficacité'!$A$4:$AO$4,0)),0)</f>
        <v>0</v>
      </c>
      <c r="P26" s="64">
        <f>VLOOKUP($B26,'7. PGE_Efficacité'!$A$6:$CY$266,(MATCH('[3]4.4 ACE MAX SEN '!P$4,'7. PGE_Efficacité'!$A$4:$AO$4,0)),0)</f>
        <v>0</v>
      </c>
      <c r="Q26" s="64">
        <f>VLOOKUP($B26,'7. PGE_Efficacité'!$A$6:$CY$266,(MATCH('[3]4.4 ACE MAX SEN '!Q$4,'7. PGE_Efficacité'!$A$4:$AO$4,0)),0)</f>
        <v>0</v>
      </c>
      <c r="R26" s="64">
        <f>VLOOKUP($B26,'7. PGE_Efficacité'!$A$6:$CY$266,(MATCH('[3]4.4 ACE MAX SEN '!R$4,'7. PGE_Efficacité'!$A$4:$AO$4,0)),0)</f>
        <v>0</v>
      </c>
      <c r="S26" s="64">
        <f>VLOOKUP($B26,'7. PGE_Efficacité'!$A$6:$CY$266,(MATCH('[3]4.4 ACE MAX SEN '!S$4,'7. PGE_Efficacité'!$A$4:$AO$4,0)),0)</f>
        <v>0</v>
      </c>
      <c r="T26" s="64">
        <f>VLOOKUP($B26,'7. PGE_Efficacité'!$A$6:$CY$266,(MATCH('[3]4.4 ACE MAX SEN '!T$4,'7. PGE_Efficacité'!$A$4:$AO$4,0)),0)</f>
        <v>0</v>
      </c>
      <c r="U26" s="64">
        <f>VLOOKUP($B26,'7. PGE_Efficacité'!$A$6:$CY$266,(MATCH('[3]4.4 ACE MAX SEN '!U$4,'7. PGE_Efficacité'!$A$4:$AO$4,0)),0)</f>
        <v>0</v>
      </c>
      <c r="V26" s="64">
        <f>VLOOKUP($B26,'7. PGE_Efficacité'!$A$6:$CY$266,(MATCH('[3]4.4 ACE MAX SEN '!V$4,'7. PGE_Efficacité'!$A$4:$AO$4,0)),0)</f>
        <v>0</v>
      </c>
      <c r="W26" s="61">
        <f>VLOOKUP($B26,'7. PGE_Efficacité'!$A$6:$CY$266,(MATCH('[3]4.4 ACE MAX SEN '!W$4,'7. PGE_Efficacité'!$A$4:$AO$4,0)),0)</f>
        <v>0</v>
      </c>
      <c r="X26" s="61">
        <f>VLOOKUP($B26,'7. PGE_Efficacité'!$A$6:$CY$266,(MATCH('[3]4.4 ACE MAX SEN '!X$4,'7. PGE_Efficacité'!$A$4:$AO$4,0)),0)</f>
        <v>0</v>
      </c>
      <c r="Y26" s="61">
        <f>VLOOKUP($B26,'7. PGE_Efficacité'!$A$6:$CY$266,(MATCH('[3]4.4 ACE MAX SEN '!Y$4,'7. PGE_Efficacité'!$A$4:$AO$4,0)),0)</f>
        <v>0</v>
      </c>
      <c r="Z26" s="61">
        <f>VLOOKUP($B26,'7. PGE_Efficacité'!$A$6:$CY$266,(MATCH('[3]4.4 ACE MAX SEN '!Z$4,'7. PGE_Efficacité'!$A$4:$AO$4,0)),0)</f>
        <v>0</v>
      </c>
      <c r="AA26" s="61">
        <f>VLOOKUP($B26,'7. PGE_Efficacité'!$A$6:$CY$266,(MATCH('[3]4.4 ACE MAX SEN '!AA$4,'7. PGE_Efficacité'!$A$4:$AO$4,0)),0)</f>
        <v>0</v>
      </c>
      <c r="AB26" s="61">
        <f>VLOOKUP($B26,'7. PGE_Efficacité'!$A$6:$CY$266,(MATCH('[3]4.4 ACE MAX SEN '!AB$4,'7. PGE_Efficacité'!$A$4:$AO$4,0)),0)</f>
        <v>0</v>
      </c>
      <c r="AC26" s="61">
        <f>VLOOKUP($B26,'7. PGE_Efficacité'!$A$6:$CY$266,(MATCH('[3]4.4 ACE MAX SEN '!AC$4,'7. PGE_Efficacité'!$A$4:$AO$4,0)),0)</f>
        <v>0</v>
      </c>
      <c r="AD26" s="61">
        <f>VLOOKUP($B26,'7. PGE_Efficacité'!$A$6:$CY$266,(MATCH('[3]4.4 ACE MAX SEN '!AD$4,'7. PGE_Efficacité'!$A$4:$AO$4,0)),0)</f>
        <v>0</v>
      </c>
      <c r="AE26" s="61">
        <f>VLOOKUP($B26,'7. PGE_Efficacité'!$A$6:$CY$266,(MATCH('[3]4.4 ACE MAX SEN '!AE$4,'7. PGE_Efficacité'!$A$4:$AO$4,0)),0)</f>
        <v>0</v>
      </c>
      <c r="AF26" s="61">
        <f>VLOOKUP($B26,'7. PGE_Efficacité'!$A$6:$CY$266,(MATCH('[3]4.4 ACE MAX SEN '!AF$4,'7. PGE_Efficacité'!$A$4:$AO$4,0)),0)</f>
        <v>0</v>
      </c>
      <c r="AG26" s="61">
        <f>VLOOKUP($B26,'7. PGE_Efficacité'!$A$6:$CY$266,(MATCH('[3]4.4 ACE MAX SEN '!AG$4,'7. PGE_Efficacité'!$A$4:$AO$4,0)),0)</f>
        <v>0</v>
      </c>
      <c r="AH26" s="61">
        <f>VLOOKUP($B26,'7. PGE_Efficacité'!$A$6:$CY$266,(MATCH('[3]4.4 ACE MAX SEN '!AH$4,'7. PGE_Efficacité'!$A$4:$AO$4,0)),0)</f>
        <v>0</v>
      </c>
      <c r="AI26" s="61">
        <f>VLOOKUP($B26,'7. PGE_Efficacité'!$A$6:$CY$266,(MATCH('[3]4.4 ACE MAX SEN '!AI$4,'7. PGE_Efficacité'!$A$4:$AO$4,0)),0)</f>
        <v>0</v>
      </c>
      <c r="AJ26" s="61">
        <f>VLOOKUP($B26,'7. PGE_Efficacité'!$A$6:$CY$266,(MATCH('[3]4.4 ACE MAX SEN '!AJ$4,'7. PGE_Efficacité'!$A$4:$AO$4,0)),0)</f>
        <v>0</v>
      </c>
      <c r="AK26" s="61">
        <f>VLOOKUP($B26,'7. PGE_Efficacité'!$A$6:$CY$266,(MATCH('[3]4.4 ACE MAX SEN '!AK$4,'7. PGE_Efficacité'!$A$4:$AO$4,0)),0)</f>
        <v>0</v>
      </c>
    </row>
    <row r="27" spans="1:37" hidden="1" outlineLevel="2" x14ac:dyDescent="0.25">
      <c r="A27" s="65" t="s">
        <v>1</v>
      </c>
      <c r="B27" s="65" t="s">
        <v>701</v>
      </c>
      <c r="C27" s="65" t="s">
        <v>1361</v>
      </c>
      <c r="D27" s="65" t="s">
        <v>1520</v>
      </c>
      <c r="E27" s="65" t="s">
        <v>415</v>
      </c>
      <c r="F27" s="73"/>
      <c r="G27" s="64">
        <f>VLOOKUP($B27,'7. PGE_Efficacité'!$A$6:$CY$266,(MATCH('[3]4.4 ACE MAX SEN '!G$4,'7. PGE_Efficacité'!$A$4:$AO$4,0)),0)</f>
        <v>0</v>
      </c>
      <c r="H27" s="64">
        <f>VLOOKUP($B27,'7. PGE_Efficacité'!$A$6:$CY$266,(MATCH('[3]4.4 ACE MAX SEN '!H$4,'7. PGE_Efficacité'!$A$4:$AO$4,0)),0)</f>
        <v>0</v>
      </c>
      <c r="I27" s="64">
        <f>VLOOKUP($B27,'7. PGE_Efficacité'!$A$6:$CY$266,(MATCH('[3]4.4 ACE MAX SEN '!I$4,'7. PGE_Efficacité'!$A$4:$AO$4,0)),0)</f>
        <v>0</v>
      </c>
      <c r="J27" s="64">
        <f>VLOOKUP($B27,'7. PGE_Efficacité'!$A$6:$CY$266,(MATCH('[3]4.4 ACE MAX SEN '!J$4,'7. PGE_Efficacité'!$A$4:$AO$4,0)),0)</f>
        <v>0</v>
      </c>
      <c r="K27" s="64">
        <f>VLOOKUP($B27,'7. PGE_Efficacité'!$A$6:$CY$266,(MATCH('[3]4.4 ACE MAX SEN '!K$4,'7. PGE_Efficacité'!$A$4:$AO$4,0)),0)</f>
        <v>0</v>
      </c>
      <c r="L27" s="64">
        <f>VLOOKUP($B27,'7. PGE_Efficacité'!$A$6:$CY$266,(MATCH('[3]4.4 ACE MAX SEN '!L$4,'7. PGE_Efficacité'!$A$4:$AO$4,0)),0)</f>
        <v>0</v>
      </c>
      <c r="M27" s="64">
        <f>VLOOKUP($B27,'7. PGE_Efficacité'!$A$6:$CY$266,(MATCH('[3]4.4 ACE MAX SEN '!M$4,'7. PGE_Efficacité'!$A$4:$AO$4,0)),0)</f>
        <v>0</v>
      </c>
      <c r="N27" s="64">
        <f>VLOOKUP($B27,'7. PGE_Efficacité'!$A$6:$CY$266,(MATCH('[3]4.4 ACE MAX SEN '!N$4,'7. PGE_Efficacité'!$A$4:$AO$4,0)),0)</f>
        <v>0</v>
      </c>
      <c r="O27" s="64">
        <f>VLOOKUP($B27,'7. PGE_Efficacité'!$A$6:$CY$266,(MATCH('[3]4.4 ACE MAX SEN '!O$4,'7. PGE_Efficacité'!$A$4:$AO$4,0)),0)</f>
        <v>0</v>
      </c>
      <c r="P27" s="64">
        <f>VLOOKUP($B27,'7. PGE_Efficacité'!$A$6:$CY$266,(MATCH('[3]4.4 ACE MAX SEN '!P$4,'7. PGE_Efficacité'!$A$4:$AO$4,0)),0)</f>
        <v>0</v>
      </c>
      <c r="Q27" s="64">
        <f>VLOOKUP($B27,'7. PGE_Efficacité'!$A$6:$CY$266,(MATCH('[3]4.4 ACE MAX SEN '!Q$4,'7. PGE_Efficacité'!$A$4:$AO$4,0)),0)</f>
        <v>0</v>
      </c>
      <c r="R27" s="64">
        <f>VLOOKUP($B27,'7. PGE_Efficacité'!$A$6:$CY$266,(MATCH('[3]4.4 ACE MAX SEN '!R$4,'7. PGE_Efficacité'!$A$4:$AO$4,0)),0)</f>
        <v>0</v>
      </c>
      <c r="S27" s="64">
        <f>VLOOKUP($B27,'7. PGE_Efficacité'!$A$6:$CY$266,(MATCH('[3]4.4 ACE MAX SEN '!S$4,'7. PGE_Efficacité'!$A$4:$AO$4,0)),0)</f>
        <v>0</v>
      </c>
      <c r="T27" s="64">
        <f>VLOOKUP($B27,'7. PGE_Efficacité'!$A$6:$CY$266,(MATCH('[3]4.4 ACE MAX SEN '!T$4,'7. PGE_Efficacité'!$A$4:$AO$4,0)),0)</f>
        <v>0</v>
      </c>
      <c r="U27" s="64">
        <f>VLOOKUP($B27,'7. PGE_Efficacité'!$A$6:$CY$266,(MATCH('[3]4.4 ACE MAX SEN '!U$4,'7. PGE_Efficacité'!$A$4:$AO$4,0)),0)</f>
        <v>0</v>
      </c>
      <c r="V27" s="64">
        <f>VLOOKUP($B27,'7. PGE_Efficacité'!$A$6:$CY$266,(MATCH('[3]4.4 ACE MAX SEN '!V$4,'7. PGE_Efficacité'!$A$4:$AO$4,0)),0)</f>
        <v>0</v>
      </c>
      <c r="W27" s="61">
        <f>VLOOKUP($B27,'7. PGE_Efficacité'!$A$6:$CY$266,(MATCH('[3]4.4 ACE MAX SEN '!W$4,'7. PGE_Efficacité'!$A$4:$AO$4,0)),0)</f>
        <v>0</v>
      </c>
      <c r="X27" s="61">
        <f>VLOOKUP($B27,'7. PGE_Efficacité'!$A$6:$CY$266,(MATCH('[3]4.4 ACE MAX SEN '!X$4,'7. PGE_Efficacité'!$A$4:$AO$4,0)),0)</f>
        <v>0</v>
      </c>
      <c r="Y27" s="61">
        <f>VLOOKUP($B27,'7. PGE_Efficacité'!$A$6:$CY$266,(MATCH('[3]4.4 ACE MAX SEN '!Y$4,'7. PGE_Efficacité'!$A$4:$AO$4,0)),0)</f>
        <v>0</v>
      </c>
      <c r="Z27" s="61">
        <f>VLOOKUP($B27,'7. PGE_Efficacité'!$A$6:$CY$266,(MATCH('[3]4.4 ACE MAX SEN '!Z$4,'7. PGE_Efficacité'!$A$4:$AO$4,0)),0)</f>
        <v>0</v>
      </c>
      <c r="AA27" s="61">
        <f>VLOOKUP($B27,'7. PGE_Efficacité'!$A$6:$CY$266,(MATCH('[3]4.4 ACE MAX SEN '!AA$4,'7. PGE_Efficacité'!$A$4:$AO$4,0)),0)</f>
        <v>0</v>
      </c>
      <c r="AB27" s="61">
        <f>VLOOKUP($B27,'7. PGE_Efficacité'!$A$6:$CY$266,(MATCH('[3]4.4 ACE MAX SEN '!AB$4,'7. PGE_Efficacité'!$A$4:$AO$4,0)),0)</f>
        <v>0</v>
      </c>
      <c r="AC27" s="61">
        <f>VLOOKUP($B27,'7. PGE_Efficacité'!$A$6:$CY$266,(MATCH('[3]4.4 ACE MAX SEN '!AC$4,'7. PGE_Efficacité'!$A$4:$AO$4,0)),0)</f>
        <v>0</v>
      </c>
      <c r="AD27" s="61" t="str">
        <f>VLOOKUP($B27,'7. PGE_Efficacité'!$A$6:$CY$266,(MATCH('[3]4.4 ACE MAX SEN '!AD$4,'7. PGE_Efficacité'!$A$4:$AO$4,0)),0)</f>
        <v>++</v>
      </c>
      <c r="AE27" s="61" t="str">
        <f>VLOOKUP($B27,'7. PGE_Efficacité'!$A$6:$CY$266,(MATCH('[3]4.4 ACE MAX SEN '!AE$4,'7. PGE_Efficacité'!$A$4:$AO$4,0)),0)</f>
        <v>++</v>
      </c>
      <c r="AF27" s="61" t="str">
        <f>VLOOKUP($B27,'7. PGE_Efficacité'!$A$6:$CY$266,(MATCH('[3]4.4 ACE MAX SEN '!AF$4,'7. PGE_Efficacité'!$A$4:$AO$4,0)),0)</f>
        <v>++</v>
      </c>
      <c r="AG27" s="61">
        <f>VLOOKUP($B27,'7. PGE_Efficacité'!$A$6:$CY$266,(MATCH('[3]4.4 ACE MAX SEN '!AG$4,'7. PGE_Efficacité'!$A$4:$AO$4,0)),0)</f>
        <v>0</v>
      </c>
      <c r="AH27" s="61">
        <f>VLOOKUP($B27,'7. PGE_Efficacité'!$A$6:$CY$266,(MATCH('[3]4.4 ACE MAX SEN '!AH$4,'7. PGE_Efficacité'!$A$4:$AO$4,0)),0)</f>
        <v>0</v>
      </c>
      <c r="AI27" s="61">
        <f>VLOOKUP($B27,'7. PGE_Efficacité'!$A$6:$CY$266,(MATCH('[3]4.4 ACE MAX SEN '!AI$4,'7. PGE_Efficacité'!$A$4:$AO$4,0)),0)</f>
        <v>0</v>
      </c>
      <c r="AJ27" s="61">
        <f>VLOOKUP($B27,'7. PGE_Efficacité'!$A$6:$CY$266,(MATCH('[3]4.4 ACE MAX SEN '!AJ$4,'7. PGE_Efficacité'!$A$4:$AO$4,0)),0)</f>
        <v>0</v>
      </c>
      <c r="AK27" s="61">
        <f>VLOOKUP($B27,'7. PGE_Efficacité'!$A$6:$CY$266,(MATCH('[3]4.4 ACE MAX SEN '!AK$4,'7. PGE_Efficacité'!$A$4:$AO$4,0)),0)</f>
        <v>0</v>
      </c>
    </row>
    <row r="28" spans="1:37" hidden="1" outlineLevel="2" x14ac:dyDescent="0.25">
      <c r="A28" s="65" t="s">
        <v>1</v>
      </c>
      <c r="B28" s="65" t="s">
        <v>702</v>
      </c>
      <c r="C28" s="65" t="s">
        <v>1362</v>
      </c>
      <c r="D28" s="65" t="s">
        <v>1520</v>
      </c>
      <c r="E28" s="65" t="s">
        <v>415</v>
      </c>
      <c r="F28" s="73"/>
      <c r="G28" s="64">
        <f>VLOOKUP($B28,'7. PGE_Efficacité'!$A$6:$CY$266,(MATCH('[3]4.4 ACE MAX SEN '!G$4,'7. PGE_Efficacité'!$A$4:$AO$4,0)),0)</f>
        <v>0</v>
      </c>
      <c r="H28" s="64">
        <f>VLOOKUP($B28,'7. PGE_Efficacité'!$A$6:$CY$266,(MATCH('[3]4.4 ACE MAX SEN '!H$4,'7. PGE_Efficacité'!$A$4:$AO$4,0)),0)</f>
        <v>0</v>
      </c>
      <c r="I28" s="64">
        <f>VLOOKUP($B28,'7. PGE_Efficacité'!$A$6:$CY$266,(MATCH('[3]4.4 ACE MAX SEN '!I$4,'7. PGE_Efficacité'!$A$4:$AO$4,0)),0)</f>
        <v>0</v>
      </c>
      <c r="J28" s="64">
        <f>VLOOKUP($B28,'7. PGE_Efficacité'!$A$6:$CY$266,(MATCH('[3]4.4 ACE MAX SEN '!J$4,'7. PGE_Efficacité'!$A$4:$AO$4,0)),0)</f>
        <v>0</v>
      </c>
      <c r="K28" s="64">
        <f>VLOOKUP($B28,'7. PGE_Efficacité'!$A$6:$CY$266,(MATCH('[3]4.4 ACE MAX SEN '!K$4,'7. PGE_Efficacité'!$A$4:$AO$4,0)),0)</f>
        <v>0</v>
      </c>
      <c r="L28" s="64">
        <f>VLOOKUP($B28,'7. PGE_Efficacité'!$A$6:$CY$266,(MATCH('[3]4.4 ACE MAX SEN '!L$4,'7. PGE_Efficacité'!$A$4:$AO$4,0)),0)</f>
        <v>0</v>
      </c>
      <c r="M28" s="64">
        <f>VLOOKUP($B28,'7. PGE_Efficacité'!$A$6:$CY$266,(MATCH('[3]4.4 ACE MAX SEN '!M$4,'7. PGE_Efficacité'!$A$4:$AO$4,0)),0)</f>
        <v>0</v>
      </c>
      <c r="N28" s="64">
        <f>VLOOKUP($B28,'7. PGE_Efficacité'!$A$6:$CY$266,(MATCH('[3]4.4 ACE MAX SEN '!N$4,'7. PGE_Efficacité'!$A$4:$AO$4,0)),0)</f>
        <v>0</v>
      </c>
      <c r="O28" s="64">
        <f>VLOOKUP($B28,'7. PGE_Efficacité'!$A$6:$CY$266,(MATCH('[3]4.4 ACE MAX SEN '!O$4,'7. PGE_Efficacité'!$A$4:$AO$4,0)),0)</f>
        <v>0</v>
      </c>
      <c r="P28" s="64">
        <f>VLOOKUP($B28,'7. PGE_Efficacité'!$A$6:$CY$266,(MATCH('[3]4.4 ACE MAX SEN '!P$4,'7. PGE_Efficacité'!$A$4:$AO$4,0)),0)</f>
        <v>0</v>
      </c>
      <c r="Q28" s="64">
        <f>VLOOKUP($B28,'7. PGE_Efficacité'!$A$6:$CY$266,(MATCH('[3]4.4 ACE MAX SEN '!Q$4,'7. PGE_Efficacité'!$A$4:$AO$4,0)),0)</f>
        <v>0</v>
      </c>
      <c r="R28" s="64">
        <f>VLOOKUP($B28,'7. PGE_Efficacité'!$A$6:$CY$266,(MATCH('[3]4.4 ACE MAX SEN '!R$4,'7. PGE_Efficacité'!$A$4:$AO$4,0)),0)</f>
        <v>0</v>
      </c>
      <c r="S28" s="64">
        <f>VLOOKUP($B28,'7. PGE_Efficacité'!$A$6:$CY$266,(MATCH('[3]4.4 ACE MAX SEN '!S$4,'7. PGE_Efficacité'!$A$4:$AO$4,0)),0)</f>
        <v>0</v>
      </c>
      <c r="T28" s="64">
        <f>VLOOKUP($B28,'7. PGE_Efficacité'!$A$6:$CY$266,(MATCH('[3]4.4 ACE MAX SEN '!T$4,'7. PGE_Efficacité'!$A$4:$AO$4,0)),0)</f>
        <v>0</v>
      </c>
      <c r="U28" s="64">
        <f>VLOOKUP($B28,'7. PGE_Efficacité'!$A$6:$CY$266,(MATCH('[3]4.4 ACE MAX SEN '!U$4,'7. PGE_Efficacité'!$A$4:$AO$4,0)),0)</f>
        <v>0</v>
      </c>
      <c r="V28" s="64">
        <f>VLOOKUP($B28,'7. PGE_Efficacité'!$A$6:$CY$266,(MATCH('[3]4.4 ACE MAX SEN '!V$4,'7. PGE_Efficacité'!$A$4:$AO$4,0)),0)</f>
        <v>0</v>
      </c>
      <c r="W28" s="61">
        <f>VLOOKUP($B28,'7. PGE_Efficacité'!$A$6:$CY$266,(MATCH('[3]4.4 ACE MAX SEN '!W$4,'7. PGE_Efficacité'!$A$4:$AO$4,0)),0)</f>
        <v>0</v>
      </c>
      <c r="X28" s="61">
        <f>VLOOKUP($B28,'7. PGE_Efficacité'!$A$6:$CY$266,(MATCH('[3]4.4 ACE MAX SEN '!X$4,'7. PGE_Efficacité'!$A$4:$AO$4,0)),0)</f>
        <v>0</v>
      </c>
      <c r="Y28" s="61">
        <f>VLOOKUP($B28,'7. PGE_Efficacité'!$A$6:$CY$266,(MATCH('[3]4.4 ACE MAX SEN '!Y$4,'7. PGE_Efficacité'!$A$4:$AO$4,0)),0)</f>
        <v>0</v>
      </c>
      <c r="Z28" s="61">
        <f>VLOOKUP($B28,'7. PGE_Efficacité'!$A$6:$CY$266,(MATCH('[3]4.4 ACE MAX SEN '!Z$4,'7. PGE_Efficacité'!$A$4:$AO$4,0)),0)</f>
        <v>0</v>
      </c>
      <c r="AA28" s="61">
        <f>VLOOKUP($B28,'7. PGE_Efficacité'!$A$6:$CY$266,(MATCH('[3]4.4 ACE MAX SEN '!AA$4,'7. PGE_Efficacité'!$A$4:$AO$4,0)),0)</f>
        <v>0</v>
      </c>
      <c r="AB28" s="61">
        <f>VLOOKUP($B28,'7. PGE_Efficacité'!$A$6:$CY$266,(MATCH('[3]4.4 ACE MAX SEN '!AB$4,'7. PGE_Efficacité'!$A$4:$AO$4,0)),0)</f>
        <v>0</v>
      </c>
      <c r="AC28" s="61">
        <f>VLOOKUP($B28,'7. PGE_Efficacité'!$A$6:$CY$266,(MATCH('[3]4.4 ACE MAX SEN '!AC$4,'7. PGE_Efficacité'!$A$4:$AO$4,0)),0)</f>
        <v>0</v>
      </c>
      <c r="AD28" s="61">
        <f>VLOOKUP($B28,'7. PGE_Efficacité'!$A$6:$CY$266,(MATCH('[3]4.4 ACE MAX SEN '!AD$4,'7. PGE_Efficacité'!$A$4:$AO$4,0)),0)</f>
        <v>0</v>
      </c>
      <c r="AE28" s="61">
        <f>VLOOKUP($B28,'7. PGE_Efficacité'!$A$6:$CY$266,(MATCH('[3]4.4 ACE MAX SEN '!AE$4,'7. PGE_Efficacité'!$A$4:$AO$4,0)),0)</f>
        <v>0</v>
      </c>
      <c r="AF28" s="61">
        <f>VLOOKUP($B28,'7. PGE_Efficacité'!$A$6:$CY$266,(MATCH('[3]4.4 ACE MAX SEN '!AF$4,'7. PGE_Efficacité'!$A$4:$AO$4,0)),0)</f>
        <v>0</v>
      </c>
      <c r="AG28" s="61">
        <f>VLOOKUP($B28,'7. PGE_Efficacité'!$A$6:$CY$266,(MATCH('[3]4.4 ACE MAX SEN '!AG$4,'7. PGE_Efficacité'!$A$4:$AO$4,0)),0)</f>
        <v>0</v>
      </c>
      <c r="AH28" s="61">
        <f>VLOOKUP($B28,'7. PGE_Efficacité'!$A$6:$CY$266,(MATCH('[3]4.4 ACE MAX SEN '!AH$4,'7. PGE_Efficacité'!$A$4:$AO$4,0)),0)</f>
        <v>0</v>
      </c>
      <c r="AI28" s="61">
        <f>VLOOKUP($B28,'7. PGE_Efficacité'!$A$6:$CY$266,(MATCH('[3]4.4 ACE MAX SEN '!AI$4,'7. PGE_Efficacité'!$A$4:$AO$4,0)),0)</f>
        <v>0</v>
      </c>
      <c r="AJ28" s="61">
        <f>VLOOKUP($B28,'7. PGE_Efficacité'!$A$6:$CY$266,(MATCH('[3]4.4 ACE MAX SEN '!AJ$4,'7. PGE_Efficacité'!$A$4:$AO$4,0)),0)</f>
        <v>0</v>
      </c>
      <c r="AK28" s="61">
        <f>VLOOKUP($B28,'7. PGE_Efficacité'!$A$6:$CY$266,(MATCH('[3]4.4 ACE MAX SEN '!AK$4,'7. PGE_Efficacité'!$A$4:$AO$4,0)),0)</f>
        <v>0</v>
      </c>
    </row>
    <row r="29" spans="1:37" hidden="1" outlineLevel="2" x14ac:dyDescent="0.25">
      <c r="A29" s="65" t="s">
        <v>1</v>
      </c>
      <c r="B29" s="65" t="s">
        <v>703</v>
      </c>
      <c r="C29" s="65" t="s">
        <v>1363</v>
      </c>
      <c r="D29" s="65" t="s">
        <v>1520</v>
      </c>
      <c r="E29" s="65" t="s">
        <v>415</v>
      </c>
      <c r="F29" s="73"/>
      <c r="G29" s="64">
        <f>VLOOKUP($B29,'7. PGE_Efficacité'!$A$6:$CY$266,(MATCH('[3]4.4 ACE MAX SEN '!G$4,'7. PGE_Efficacité'!$A$4:$AO$4,0)),0)</f>
        <v>0</v>
      </c>
      <c r="H29" s="64">
        <f>VLOOKUP($B29,'7. PGE_Efficacité'!$A$6:$CY$266,(MATCH('[3]4.4 ACE MAX SEN '!H$4,'7. PGE_Efficacité'!$A$4:$AO$4,0)),0)</f>
        <v>0</v>
      </c>
      <c r="I29" s="64">
        <f>VLOOKUP($B29,'7. PGE_Efficacité'!$A$6:$CY$266,(MATCH('[3]4.4 ACE MAX SEN '!I$4,'7. PGE_Efficacité'!$A$4:$AO$4,0)),0)</f>
        <v>0</v>
      </c>
      <c r="J29" s="64">
        <f>VLOOKUP($B29,'7. PGE_Efficacité'!$A$6:$CY$266,(MATCH('[3]4.4 ACE MAX SEN '!J$4,'7. PGE_Efficacité'!$A$4:$AO$4,0)),0)</f>
        <v>0</v>
      </c>
      <c r="K29" s="64">
        <f>VLOOKUP($B29,'7. PGE_Efficacité'!$A$6:$CY$266,(MATCH('[3]4.4 ACE MAX SEN '!K$4,'7. PGE_Efficacité'!$A$4:$AO$4,0)),0)</f>
        <v>0</v>
      </c>
      <c r="L29" s="64">
        <f>VLOOKUP($B29,'7. PGE_Efficacité'!$A$6:$CY$266,(MATCH('[3]4.4 ACE MAX SEN '!L$4,'7. PGE_Efficacité'!$A$4:$AO$4,0)),0)</f>
        <v>0</v>
      </c>
      <c r="M29" s="64">
        <f>VLOOKUP($B29,'7. PGE_Efficacité'!$A$6:$CY$266,(MATCH('[3]4.4 ACE MAX SEN '!M$4,'7. PGE_Efficacité'!$A$4:$AO$4,0)),0)</f>
        <v>0</v>
      </c>
      <c r="N29" s="64">
        <f>VLOOKUP($B29,'7. PGE_Efficacité'!$A$6:$CY$266,(MATCH('[3]4.4 ACE MAX SEN '!N$4,'7. PGE_Efficacité'!$A$4:$AO$4,0)),0)</f>
        <v>0</v>
      </c>
      <c r="O29" s="64">
        <f>VLOOKUP($B29,'7. PGE_Efficacité'!$A$6:$CY$266,(MATCH('[3]4.4 ACE MAX SEN '!O$4,'7. PGE_Efficacité'!$A$4:$AO$4,0)),0)</f>
        <v>0</v>
      </c>
      <c r="P29" s="64">
        <f>VLOOKUP($B29,'7. PGE_Efficacité'!$A$6:$CY$266,(MATCH('[3]4.4 ACE MAX SEN '!P$4,'7. PGE_Efficacité'!$A$4:$AO$4,0)),0)</f>
        <v>0</v>
      </c>
      <c r="Q29" s="64">
        <f>VLOOKUP($B29,'7. PGE_Efficacité'!$A$6:$CY$266,(MATCH('[3]4.4 ACE MAX SEN '!Q$4,'7. PGE_Efficacité'!$A$4:$AO$4,0)),0)</f>
        <v>0</v>
      </c>
      <c r="R29" s="64">
        <f>VLOOKUP($B29,'7. PGE_Efficacité'!$A$6:$CY$266,(MATCH('[3]4.4 ACE MAX SEN '!R$4,'7. PGE_Efficacité'!$A$4:$AO$4,0)),0)</f>
        <v>0</v>
      </c>
      <c r="S29" s="64">
        <f>VLOOKUP($B29,'7. PGE_Efficacité'!$A$6:$CY$266,(MATCH('[3]4.4 ACE MAX SEN '!S$4,'7. PGE_Efficacité'!$A$4:$AO$4,0)),0)</f>
        <v>0</v>
      </c>
      <c r="T29" s="64">
        <f>VLOOKUP($B29,'7. PGE_Efficacité'!$A$6:$CY$266,(MATCH('[3]4.4 ACE MAX SEN '!T$4,'7. PGE_Efficacité'!$A$4:$AO$4,0)),0)</f>
        <v>0</v>
      </c>
      <c r="U29" s="64">
        <f>VLOOKUP($B29,'7. PGE_Efficacité'!$A$6:$CY$266,(MATCH('[3]4.4 ACE MAX SEN '!U$4,'7. PGE_Efficacité'!$A$4:$AO$4,0)),0)</f>
        <v>0</v>
      </c>
      <c r="V29" s="64">
        <f>VLOOKUP($B29,'7. PGE_Efficacité'!$A$6:$CY$266,(MATCH('[3]4.4 ACE MAX SEN '!V$4,'7. PGE_Efficacité'!$A$4:$AO$4,0)),0)</f>
        <v>0</v>
      </c>
      <c r="W29" s="61">
        <f>VLOOKUP($B29,'7. PGE_Efficacité'!$A$6:$CY$266,(MATCH('[3]4.4 ACE MAX SEN '!W$4,'7. PGE_Efficacité'!$A$4:$AO$4,0)),0)</f>
        <v>0</v>
      </c>
      <c r="X29" s="61">
        <f>VLOOKUP($B29,'7. PGE_Efficacité'!$A$6:$CY$266,(MATCH('[3]4.4 ACE MAX SEN '!X$4,'7. PGE_Efficacité'!$A$4:$AO$4,0)),0)</f>
        <v>0</v>
      </c>
      <c r="Y29" s="61">
        <f>VLOOKUP($B29,'7. PGE_Efficacité'!$A$6:$CY$266,(MATCH('[3]4.4 ACE MAX SEN '!Y$4,'7. PGE_Efficacité'!$A$4:$AO$4,0)),0)</f>
        <v>0</v>
      </c>
      <c r="Z29" s="61">
        <f>VLOOKUP($B29,'7. PGE_Efficacité'!$A$6:$CY$266,(MATCH('[3]4.4 ACE MAX SEN '!Z$4,'7. PGE_Efficacité'!$A$4:$AO$4,0)),0)</f>
        <v>0</v>
      </c>
      <c r="AA29" s="61">
        <f>VLOOKUP($B29,'7. PGE_Efficacité'!$A$6:$CY$266,(MATCH('[3]4.4 ACE MAX SEN '!AA$4,'7. PGE_Efficacité'!$A$4:$AO$4,0)),0)</f>
        <v>0</v>
      </c>
      <c r="AB29" s="61">
        <f>VLOOKUP($B29,'7. PGE_Efficacité'!$A$6:$CY$266,(MATCH('[3]4.4 ACE MAX SEN '!AB$4,'7. PGE_Efficacité'!$A$4:$AO$4,0)),0)</f>
        <v>0</v>
      </c>
      <c r="AC29" s="61">
        <f>VLOOKUP($B29,'7. PGE_Efficacité'!$A$6:$CY$266,(MATCH('[3]4.4 ACE MAX SEN '!AC$4,'7. PGE_Efficacité'!$A$4:$AO$4,0)),0)</f>
        <v>0</v>
      </c>
      <c r="AD29" s="61" t="str">
        <f>VLOOKUP($B29,'7. PGE_Efficacité'!$A$6:$CY$266,(MATCH('[3]4.4 ACE MAX SEN '!AD$4,'7. PGE_Efficacité'!$A$4:$AO$4,0)),0)</f>
        <v>+++</v>
      </c>
      <c r="AE29" s="61" t="str">
        <f>VLOOKUP($B29,'7. PGE_Efficacité'!$A$6:$CY$266,(MATCH('[3]4.4 ACE MAX SEN '!AE$4,'7. PGE_Efficacité'!$A$4:$AO$4,0)),0)</f>
        <v>+++</v>
      </c>
      <c r="AF29" s="61" t="str">
        <f>VLOOKUP($B29,'7. PGE_Efficacité'!$A$6:$CY$266,(MATCH('[3]4.4 ACE MAX SEN '!AF$4,'7. PGE_Efficacité'!$A$4:$AO$4,0)),0)</f>
        <v>+++</v>
      </c>
      <c r="AG29" s="61">
        <f>VLOOKUP($B29,'7. PGE_Efficacité'!$A$6:$CY$266,(MATCH('[3]4.4 ACE MAX SEN '!AG$4,'7. PGE_Efficacité'!$A$4:$AO$4,0)),0)</f>
        <v>0</v>
      </c>
      <c r="AH29" s="61">
        <f>VLOOKUP($B29,'7. PGE_Efficacité'!$A$6:$CY$266,(MATCH('[3]4.4 ACE MAX SEN '!AH$4,'7. PGE_Efficacité'!$A$4:$AO$4,0)),0)</f>
        <v>0</v>
      </c>
      <c r="AI29" s="61">
        <f>VLOOKUP($B29,'7. PGE_Efficacité'!$A$6:$CY$266,(MATCH('[3]4.4 ACE MAX SEN '!AI$4,'7. PGE_Efficacité'!$A$4:$AO$4,0)),0)</f>
        <v>0</v>
      </c>
      <c r="AJ29" s="61">
        <f>VLOOKUP($B29,'7. PGE_Efficacité'!$A$6:$CY$266,(MATCH('[3]4.4 ACE MAX SEN '!AJ$4,'7. PGE_Efficacité'!$A$4:$AO$4,0)),0)</f>
        <v>0</v>
      </c>
      <c r="AK29" s="61">
        <f>VLOOKUP($B29,'7. PGE_Efficacité'!$A$6:$CY$266,(MATCH('[3]4.4 ACE MAX SEN '!AK$4,'7. PGE_Efficacité'!$A$4:$AO$4,0)),0)</f>
        <v>0</v>
      </c>
    </row>
    <row r="30" spans="1:37" hidden="1" outlineLevel="2" x14ac:dyDescent="0.25">
      <c r="A30" s="65" t="s">
        <v>1</v>
      </c>
      <c r="B30" s="65" t="s">
        <v>704</v>
      </c>
      <c r="C30" s="65" t="s">
        <v>1364</v>
      </c>
      <c r="D30" s="65" t="s">
        <v>1520</v>
      </c>
      <c r="E30" s="65" t="s">
        <v>415</v>
      </c>
      <c r="F30" s="73"/>
      <c r="G30" s="64">
        <f>VLOOKUP($B30,'7. PGE_Efficacité'!$A$6:$CY$266,(MATCH('[3]4.4 ACE MAX SEN '!G$4,'7. PGE_Efficacité'!$A$4:$AO$4,0)),0)</f>
        <v>0</v>
      </c>
      <c r="H30" s="64">
        <f>VLOOKUP($B30,'7. PGE_Efficacité'!$A$6:$CY$266,(MATCH('[3]4.4 ACE MAX SEN '!H$4,'7. PGE_Efficacité'!$A$4:$AO$4,0)),0)</f>
        <v>0</v>
      </c>
      <c r="I30" s="64">
        <f>VLOOKUP($B30,'7. PGE_Efficacité'!$A$6:$CY$266,(MATCH('[3]4.4 ACE MAX SEN '!I$4,'7. PGE_Efficacité'!$A$4:$AO$4,0)),0)</f>
        <v>0</v>
      </c>
      <c r="J30" s="64">
        <f>VLOOKUP($B30,'7. PGE_Efficacité'!$A$6:$CY$266,(MATCH('[3]4.4 ACE MAX SEN '!J$4,'7. PGE_Efficacité'!$A$4:$AO$4,0)),0)</f>
        <v>0</v>
      </c>
      <c r="K30" s="64">
        <f>VLOOKUP($B30,'7. PGE_Efficacité'!$A$6:$CY$266,(MATCH('[3]4.4 ACE MAX SEN '!K$4,'7. PGE_Efficacité'!$A$4:$AO$4,0)),0)</f>
        <v>0</v>
      </c>
      <c r="L30" s="64">
        <f>VLOOKUP($B30,'7. PGE_Efficacité'!$A$6:$CY$266,(MATCH('[3]4.4 ACE MAX SEN '!L$4,'7. PGE_Efficacité'!$A$4:$AO$4,0)),0)</f>
        <v>0</v>
      </c>
      <c r="M30" s="64">
        <f>VLOOKUP($B30,'7. PGE_Efficacité'!$A$6:$CY$266,(MATCH('[3]4.4 ACE MAX SEN '!M$4,'7. PGE_Efficacité'!$A$4:$AO$4,0)),0)</f>
        <v>0</v>
      </c>
      <c r="N30" s="64">
        <f>VLOOKUP($B30,'7. PGE_Efficacité'!$A$6:$CY$266,(MATCH('[3]4.4 ACE MAX SEN '!N$4,'7. PGE_Efficacité'!$A$4:$AO$4,0)),0)</f>
        <v>0</v>
      </c>
      <c r="O30" s="64">
        <f>VLOOKUP($B30,'7. PGE_Efficacité'!$A$6:$CY$266,(MATCH('[3]4.4 ACE MAX SEN '!O$4,'7. PGE_Efficacité'!$A$4:$AO$4,0)),0)</f>
        <v>0</v>
      </c>
      <c r="P30" s="64">
        <f>VLOOKUP($B30,'7. PGE_Efficacité'!$A$6:$CY$266,(MATCH('[3]4.4 ACE MAX SEN '!P$4,'7. PGE_Efficacité'!$A$4:$AO$4,0)),0)</f>
        <v>0</v>
      </c>
      <c r="Q30" s="64">
        <f>VLOOKUP($B30,'7. PGE_Efficacité'!$A$6:$CY$266,(MATCH('[3]4.4 ACE MAX SEN '!Q$4,'7. PGE_Efficacité'!$A$4:$AO$4,0)),0)</f>
        <v>0</v>
      </c>
      <c r="R30" s="64">
        <f>VLOOKUP($B30,'7. PGE_Efficacité'!$A$6:$CY$266,(MATCH('[3]4.4 ACE MAX SEN '!R$4,'7. PGE_Efficacité'!$A$4:$AO$4,0)),0)</f>
        <v>0</v>
      </c>
      <c r="S30" s="64">
        <f>VLOOKUP($B30,'7. PGE_Efficacité'!$A$6:$CY$266,(MATCH('[3]4.4 ACE MAX SEN '!S$4,'7. PGE_Efficacité'!$A$4:$AO$4,0)),0)</f>
        <v>0</v>
      </c>
      <c r="T30" s="64">
        <f>VLOOKUP($B30,'7. PGE_Efficacité'!$A$6:$CY$266,(MATCH('[3]4.4 ACE MAX SEN '!T$4,'7. PGE_Efficacité'!$A$4:$AO$4,0)),0)</f>
        <v>0</v>
      </c>
      <c r="U30" s="64">
        <f>VLOOKUP($B30,'7. PGE_Efficacité'!$A$6:$CY$266,(MATCH('[3]4.4 ACE MAX SEN '!U$4,'7. PGE_Efficacité'!$A$4:$AO$4,0)),0)</f>
        <v>0</v>
      </c>
      <c r="V30" s="64">
        <f>VLOOKUP($B30,'7. PGE_Efficacité'!$A$6:$CY$266,(MATCH('[3]4.4 ACE MAX SEN '!V$4,'7. PGE_Efficacité'!$A$4:$AO$4,0)),0)</f>
        <v>0</v>
      </c>
      <c r="W30" s="61">
        <f>VLOOKUP($B30,'7. PGE_Efficacité'!$A$6:$CY$266,(MATCH('[3]4.4 ACE MAX SEN '!W$4,'7. PGE_Efficacité'!$A$4:$AO$4,0)),0)</f>
        <v>0</v>
      </c>
      <c r="X30" s="61">
        <f>VLOOKUP($B30,'7. PGE_Efficacité'!$A$6:$CY$266,(MATCH('[3]4.4 ACE MAX SEN '!X$4,'7. PGE_Efficacité'!$A$4:$AO$4,0)),0)</f>
        <v>0</v>
      </c>
      <c r="Y30" s="61">
        <f>VLOOKUP($B30,'7. PGE_Efficacité'!$A$6:$CY$266,(MATCH('[3]4.4 ACE MAX SEN '!Y$4,'7. PGE_Efficacité'!$A$4:$AO$4,0)),0)</f>
        <v>0</v>
      </c>
      <c r="Z30" s="61">
        <f>VLOOKUP($B30,'7. PGE_Efficacité'!$A$6:$CY$266,(MATCH('[3]4.4 ACE MAX SEN '!Z$4,'7. PGE_Efficacité'!$A$4:$AO$4,0)),0)</f>
        <v>0</v>
      </c>
      <c r="AA30" s="61">
        <f>VLOOKUP($B30,'7. PGE_Efficacité'!$A$6:$CY$266,(MATCH('[3]4.4 ACE MAX SEN '!AA$4,'7. PGE_Efficacité'!$A$4:$AO$4,0)),0)</f>
        <v>0</v>
      </c>
      <c r="AB30" s="61">
        <f>VLOOKUP($B30,'7. PGE_Efficacité'!$A$6:$CY$266,(MATCH('[3]4.4 ACE MAX SEN '!AB$4,'7. PGE_Efficacité'!$A$4:$AO$4,0)),0)</f>
        <v>0</v>
      </c>
      <c r="AC30" s="61">
        <f>VLOOKUP($B30,'7. PGE_Efficacité'!$A$6:$CY$266,(MATCH('[3]4.4 ACE MAX SEN '!AC$4,'7. PGE_Efficacité'!$A$4:$AO$4,0)),0)</f>
        <v>0</v>
      </c>
      <c r="AD30" s="61" t="str">
        <f>VLOOKUP($B30,'7. PGE_Efficacité'!$A$6:$CY$266,(MATCH('[3]4.4 ACE MAX SEN '!AD$4,'7. PGE_Efficacité'!$A$4:$AO$4,0)),0)</f>
        <v>+</v>
      </c>
      <c r="AE30" s="61" t="str">
        <f>VLOOKUP($B30,'7. PGE_Efficacité'!$A$6:$CY$266,(MATCH('[3]4.4 ACE MAX SEN '!AE$4,'7. PGE_Efficacité'!$A$4:$AO$4,0)),0)</f>
        <v>+</v>
      </c>
      <c r="AF30" s="61" t="str">
        <f>VLOOKUP($B30,'7. PGE_Efficacité'!$A$6:$CY$266,(MATCH('[3]4.4 ACE MAX SEN '!AF$4,'7. PGE_Efficacité'!$A$4:$AO$4,0)),0)</f>
        <v>+</v>
      </c>
      <c r="AG30" s="61">
        <f>VLOOKUP($B30,'7. PGE_Efficacité'!$A$6:$CY$266,(MATCH('[3]4.4 ACE MAX SEN '!AG$4,'7. PGE_Efficacité'!$A$4:$AO$4,0)),0)</f>
        <v>0</v>
      </c>
      <c r="AH30" s="61">
        <f>VLOOKUP($B30,'7. PGE_Efficacité'!$A$6:$CY$266,(MATCH('[3]4.4 ACE MAX SEN '!AH$4,'7. PGE_Efficacité'!$A$4:$AO$4,0)),0)</f>
        <v>0</v>
      </c>
      <c r="AI30" s="61">
        <f>VLOOKUP($B30,'7. PGE_Efficacité'!$A$6:$CY$266,(MATCH('[3]4.4 ACE MAX SEN '!AI$4,'7. PGE_Efficacité'!$A$4:$AO$4,0)),0)</f>
        <v>0</v>
      </c>
      <c r="AJ30" s="61">
        <f>VLOOKUP($B30,'7. PGE_Efficacité'!$A$6:$CY$266,(MATCH('[3]4.4 ACE MAX SEN '!AJ$4,'7. PGE_Efficacité'!$A$4:$AO$4,0)),0)</f>
        <v>0</v>
      </c>
      <c r="AK30" s="61">
        <f>VLOOKUP($B30,'7. PGE_Efficacité'!$A$6:$CY$266,(MATCH('[3]4.4 ACE MAX SEN '!AK$4,'7. PGE_Efficacité'!$A$4:$AO$4,0)),0)</f>
        <v>0</v>
      </c>
    </row>
    <row r="31" spans="1:37" hidden="1" outlineLevel="2" x14ac:dyDescent="0.25">
      <c r="A31" s="65" t="s">
        <v>1</v>
      </c>
      <c r="B31" s="65" t="s">
        <v>718</v>
      </c>
      <c r="C31" s="65" t="s">
        <v>1378</v>
      </c>
      <c r="D31" s="65" t="s">
        <v>1520</v>
      </c>
      <c r="E31" s="65" t="s">
        <v>415</v>
      </c>
      <c r="F31" s="73"/>
      <c r="G31" s="64">
        <f>VLOOKUP($B31,'7. PGE_Efficacité'!$A$6:$CY$266,(MATCH('[3]4.4 ACE MAX SEN '!G$4,'7. PGE_Efficacité'!$A$4:$AO$4,0)),0)</f>
        <v>0</v>
      </c>
      <c r="H31" s="64">
        <f>VLOOKUP($B31,'7. PGE_Efficacité'!$A$6:$CY$266,(MATCH('[3]4.4 ACE MAX SEN '!H$4,'7. PGE_Efficacité'!$A$4:$AO$4,0)),0)</f>
        <v>0</v>
      </c>
      <c r="I31" s="64">
        <f>VLOOKUP($B31,'7. PGE_Efficacité'!$A$6:$CY$266,(MATCH('[3]4.4 ACE MAX SEN '!I$4,'7. PGE_Efficacité'!$A$4:$AO$4,0)),0)</f>
        <v>0</v>
      </c>
      <c r="J31" s="64">
        <f>VLOOKUP($B31,'7. PGE_Efficacité'!$A$6:$CY$266,(MATCH('[3]4.4 ACE MAX SEN '!J$4,'7. PGE_Efficacité'!$A$4:$AO$4,0)),0)</f>
        <v>0</v>
      </c>
      <c r="K31" s="64">
        <f>VLOOKUP($B31,'7. PGE_Efficacité'!$A$6:$CY$266,(MATCH('[3]4.4 ACE MAX SEN '!K$4,'7. PGE_Efficacité'!$A$4:$AO$4,0)),0)</f>
        <v>0</v>
      </c>
      <c r="L31" s="64">
        <f>VLOOKUP($B31,'7. PGE_Efficacité'!$A$6:$CY$266,(MATCH('[3]4.4 ACE MAX SEN '!L$4,'7. PGE_Efficacité'!$A$4:$AO$4,0)),0)</f>
        <v>0</v>
      </c>
      <c r="M31" s="64">
        <f>VLOOKUP($B31,'7. PGE_Efficacité'!$A$6:$CY$266,(MATCH('[3]4.4 ACE MAX SEN '!M$4,'7. PGE_Efficacité'!$A$4:$AO$4,0)),0)</f>
        <v>0</v>
      </c>
      <c r="N31" s="64">
        <f>VLOOKUP($B31,'7. PGE_Efficacité'!$A$6:$CY$266,(MATCH('[3]4.4 ACE MAX SEN '!N$4,'7. PGE_Efficacité'!$A$4:$AO$4,0)),0)</f>
        <v>0</v>
      </c>
      <c r="O31" s="64">
        <f>VLOOKUP($B31,'7. PGE_Efficacité'!$A$6:$CY$266,(MATCH('[3]4.4 ACE MAX SEN '!O$4,'7. PGE_Efficacité'!$A$4:$AO$4,0)),0)</f>
        <v>0</v>
      </c>
      <c r="P31" s="64">
        <f>VLOOKUP($B31,'7. PGE_Efficacité'!$A$6:$CY$266,(MATCH('[3]4.4 ACE MAX SEN '!P$4,'7. PGE_Efficacité'!$A$4:$AO$4,0)),0)</f>
        <v>0</v>
      </c>
      <c r="Q31" s="64">
        <f>VLOOKUP($B31,'7. PGE_Efficacité'!$A$6:$CY$266,(MATCH('[3]4.4 ACE MAX SEN '!Q$4,'7. PGE_Efficacité'!$A$4:$AO$4,0)),0)</f>
        <v>0</v>
      </c>
      <c r="R31" s="64">
        <f>VLOOKUP($B31,'7. PGE_Efficacité'!$A$6:$CY$266,(MATCH('[3]4.4 ACE MAX SEN '!R$4,'7. PGE_Efficacité'!$A$4:$AO$4,0)),0)</f>
        <v>0</v>
      </c>
      <c r="S31" s="64">
        <f>VLOOKUP($B31,'7. PGE_Efficacité'!$A$6:$CY$266,(MATCH('[3]4.4 ACE MAX SEN '!S$4,'7. PGE_Efficacité'!$A$4:$AO$4,0)),0)</f>
        <v>0</v>
      </c>
      <c r="T31" s="64">
        <f>VLOOKUP($B31,'7. PGE_Efficacité'!$A$6:$CY$266,(MATCH('[3]4.4 ACE MAX SEN '!T$4,'7. PGE_Efficacité'!$A$4:$AO$4,0)),0)</f>
        <v>0</v>
      </c>
      <c r="U31" s="64">
        <f>VLOOKUP($B31,'7. PGE_Efficacité'!$A$6:$CY$266,(MATCH('[3]4.4 ACE MAX SEN '!U$4,'7. PGE_Efficacité'!$A$4:$AO$4,0)),0)</f>
        <v>0</v>
      </c>
      <c r="V31" s="64">
        <f>VLOOKUP($B31,'7. PGE_Efficacité'!$A$6:$CY$266,(MATCH('[3]4.4 ACE MAX SEN '!V$4,'7. PGE_Efficacité'!$A$4:$AO$4,0)),0)</f>
        <v>0</v>
      </c>
      <c r="W31" s="61">
        <f>VLOOKUP($B31,'7. PGE_Efficacité'!$A$6:$CY$266,(MATCH('[3]4.4 ACE MAX SEN '!W$4,'7. PGE_Efficacité'!$A$4:$AO$4,0)),0)</f>
        <v>0</v>
      </c>
      <c r="X31" s="61">
        <f>VLOOKUP($B31,'7. PGE_Efficacité'!$A$6:$CY$266,(MATCH('[3]4.4 ACE MAX SEN '!X$4,'7. PGE_Efficacité'!$A$4:$AO$4,0)),0)</f>
        <v>0</v>
      </c>
      <c r="Y31" s="61">
        <f>VLOOKUP($B31,'7. PGE_Efficacité'!$A$6:$CY$266,(MATCH('[3]4.4 ACE MAX SEN '!Y$4,'7. PGE_Efficacité'!$A$4:$AO$4,0)),0)</f>
        <v>0</v>
      </c>
      <c r="Z31" s="61">
        <f>VLOOKUP($B31,'7. PGE_Efficacité'!$A$6:$CY$266,(MATCH('[3]4.4 ACE MAX SEN '!Z$4,'7. PGE_Efficacité'!$A$4:$AO$4,0)),0)</f>
        <v>0</v>
      </c>
      <c r="AA31" s="61">
        <f>VLOOKUP($B31,'7. PGE_Efficacité'!$A$6:$CY$266,(MATCH('[3]4.4 ACE MAX SEN '!AA$4,'7. PGE_Efficacité'!$A$4:$AO$4,0)),0)</f>
        <v>0</v>
      </c>
      <c r="AB31" s="61">
        <f>VLOOKUP($B31,'7. PGE_Efficacité'!$A$6:$CY$266,(MATCH('[3]4.4 ACE MAX SEN '!AB$4,'7. PGE_Efficacité'!$A$4:$AO$4,0)),0)</f>
        <v>0</v>
      </c>
      <c r="AC31" s="61">
        <f>VLOOKUP($B31,'7. PGE_Efficacité'!$A$6:$CY$266,(MATCH('[3]4.4 ACE MAX SEN '!AC$4,'7. PGE_Efficacité'!$A$4:$AO$4,0)),0)</f>
        <v>0</v>
      </c>
      <c r="AD31" s="61">
        <f>VLOOKUP($B31,'7. PGE_Efficacité'!$A$6:$CY$266,(MATCH('[3]4.4 ACE MAX SEN '!AD$4,'7. PGE_Efficacité'!$A$4:$AO$4,0)),0)</f>
        <v>0</v>
      </c>
      <c r="AE31" s="61">
        <f>VLOOKUP($B31,'7. PGE_Efficacité'!$A$6:$CY$266,(MATCH('[3]4.4 ACE MAX SEN '!AE$4,'7. PGE_Efficacité'!$A$4:$AO$4,0)),0)</f>
        <v>0</v>
      </c>
      <c r="AF31" s="61">
        <f>VLOOKUP($B31,'7. PGE_Efficacité'!$A$6:$CY$266,(MATCH('[3]4.4 ACE MAX SEN '!AF$4,'7. PGE_Efficacité'!$A$4:$AO$4,0)),0)</f>
        <v>0</v>
      </c>
      <c r="AG31" s="61">
        <f>VLOOKUP($B31,'7. PGE_Efficacité'!$A$6:$CY$266,(MATCH('[3]4.4 ACE MAX SEN '!AG$4,'7. PGE_Efficacité'!$A$4:$AO$4,0)),0)</f>
        <v>0</v>
      </c>
      <c r="AH31" s="61">
        <f>VLOOKUP($B31,'7. PGE_Efficacité'!$A$6:$CY$266,(MATCH('[3]4.4 ACE MAX SEN '!AH$4,'7. PGE_Efficacité'!$A$4:$AO$4,0)),0)</f>
        <v>0</v>
      </c>
      <c r="AI31" s="61">
        <f>VLOOKUP($B31,'7. PGE_Efficacité'!$A$6:$CY$266,(MATCH('[3]4.4 ACE MAX SEN '!AI$4,'7. PGE_Efficacité'!$A$4:$AO$4,0)),0)</f>
        <v>0</v>
      </c>
      <c r="AJ31" s="61">
        <f>VLOOKUP($B31,'7. PGE_Efficacité'!$A$6:$CY$266,(MATCH('[3]4.4 ACE MAX SEN '!AJ$4,'7. PGE_Efficacité'!$A$4:$AO$4,0)),0)</f>
        <v>0</v>
      </c>
      <c r="AK31" s="61">
        <f>VLOOKUP($B31,'7. PGE_Efficacité'!$A$6:$CY$266,(MATCH('[3]4.4 ACE MAX SEN '!AK$4,'7. PGE_Efficacité'!$A$4:$AO$4,0)),0)</f>
        <v>0</v>
      </c>
    </row>
    <row r="32" spans="1:37" hidden="1" outlineLevel="2" x14ac:dyDescent="0.25">
      <c r="A32" s="65" t="s">
        <v>1</v>
      </c>
      <c r="B32" s="65" t="s">
        <v>719</v>
      </c>
      <c r="C32" s="65" t="s">
        <v>1379</v>
      </c>
      <c r="D32" s="65" t="s">
        <v>1520</v>
      </c>
      <c r="E32" s="65" t="s">
        <v>415</v>
      </c>
      <c r="F32" s="73"/>
      <c r="G32" s="64">
        <f>VLOOKUP($B32,'7. PGE_Efficacité'!$A$6:$CY$266,(MATCH('[3]4.4 ACE MAX SEN '!G$4,'7. PGE_Efficacité'!$A$4:$AO$4,0)),0)</f>
        <v>0</v>
      </c>
      <c r="H32" s="64">
        <f>VLOOKUP($B32,'7. PGE_Efficacité'!$A$6:$CY$266,(MATCH('[3]4.4 ACE MAX SEN '!H$4,'7. PGE_Efficacité'!$A$4:$AO$4,0)),0)</f>
        <v>0</v>
      </c>
      <c r="I32" s="64">
        <f>VLOOKUP($B32,'7. PGE_Efficacité'!$A$6:$CY$266,(MATCH('[3]4.4 ACE MAX SEN '!I$4,'7. PGE_Efficacité'!$A$4:$AO$4,0)),0)</f>
        <v>0</v>
      </c>
      <c r="J32" s="64">
        <f>VLOOKUP($B32,'7. PGE_Efficacité'!$A$6:$CY$266,(MATCH('[3]4.4 ACE MAX SEN '!J$4,'7. PGE_Efficacité'!$A$4:$AO$4,0)),0)</f>
        <v>0</v>
      </c>
      <c r="K32" s="64">
        <f>VLOOKUP($B32,'7. PGE_Efficacité'!$A$6:$CY$266,(MATCH('[3]4.4 ACE MAX SEN '!K$4,'7. PGE_Efficacité'!$A$4:$AO$4,0)),0)</f>
        <v>0</v>
      </c>
      <c r="L32" s="64">
        <f>VLOOKUP($B32,'7. PGE_Efficacité'!$A$6:$CY$266,(MATCH('[3]4.4 ACE MAX SEN '!L$4,'7. PGE_Efficacité'!$A$4:$AO$4,0)),0)</f>
        <v>0</v>
      </c>
      <c r="M32" s="64">
        <f>VLOOKUP($B32,'7. PGE_Efficacité'!$A$6:$CY$266,(MATCH('[3]4.4 ACE MAX SEN '!M$4,'7. PGE_Efficacité'!$A$4:$AO$4,0)),0)</f>
        <v>0</v>
      </c>
      <c r="N32" s="64">
        <f>VLOOKUP($B32,'7. PGE_Efficacité'!$A$6:$CY$266,(MATCH('[3]4.4 ACE MAX SEN '!N$4,'7. PGE_Efficacité'!$A$4:$AO$4,0)),0)</f>
        <v>0</v>
      </c>
      <c r="O32" s="64">
        <f>VLOOKUP($B32,'7. PGE_Efficacité'!$A$6:$CY$266,(MATCH('[3]4.4 ACE MAX SEN '!O$4,'7. PGE_Efficacité'!$A$4:$AO$4,0)),0)</f>
        <v>0</v>
      </c>
      <c r="P32" s="64">
        <f>VLOOKUP($B32,'7. PGE_Efficacité'!$A$6:$CY$266,(MATCH('[3]4.4 ACE MAX SEN '!P$4,'7. PGE_Efficacité'!$A$4:$AO$4,0)),0)</f>
        <v>0</v>
      </c>
      <c r="Q32" s="64">
        <f>VLOOKUP($B32,'7. PGE_Efficacité'!$A$6:$CY$266,(MATCH('[3]4.4 ACE MAX SEN '!Q$4,'7. PGE_Efficacité'!$A$4:$AO$4,0)),0)</f>
        <v>0</v>
      </c>
      <c r="R32" s="64">
        <f>VLOOKUP($B32,'7. PGE_Efficacité'!$A$6:$CY$266,(MATCH('[3]4.4 ACE MAX SEN '!R$4,'7. PGE_Efficacité'!$A$4:$AO$4,0)),0)</f>
        <v>0</v>
      </c>
      <c r="S32" s="64">
        <f>VLOOKUP($B32,'7. PGE_Efficacité'!$A$6:$CY$266,(MATCH('[3]4.4 ACE MAX SEN '!S$4,'7. PGE_Efficacité'!$A$4:$AO$4,0)),0)</f>
        <v>0</v>
      </c>
      <c r="T32" s="64">
        <f>VLOOKUP($B32,'7. PGE_Efficacité'!$A$6:$CY$266,(MATCH('[3]4.4 ACE MAX SEN '!T$4,'7. PGE_Efficacité'!$A$4:$AO$4,0)),0)</f>
        <v>0</v>
      </c>
      <c r="U32" s="64">
        <f>VLOOKUP($B32,'7. PGE_Efficacité'!$A$6:$CY$266,(MATCH('[3]4.4 ACE MAX SEN '!U$4,'7. PGE_Efficacité'!$A$4:$AO$4,0)),0)</f>
        <v>0</v>
      </c>
      <c r="V32" s="64">
        <f>VLOOKUP($B32,'7. PGE_Efficacité'!$A$6:$CY$266,(MATCH('[3]4.4 ACE MAX SEN '!V$4,'7. PGE_Efficacité'!$A$4:$AO$4,0)),0)</f>
        <v>0</v>
      </c>
      <c r="W32" s="61">
        <f>VLOOKUP($B32,'7. PGE_Efficacité'!$A$6:$CY$266,(MATCH('[3]4.4 ACE MAX SEN '!W$4,'7. PGE_Efficacité'!$A$4:$AO$4,0)),0)</f>
        <v>0</v>
      </c>
      <c r="X32" s="61">
        <f>VLOOKUP($B32,'7. PGE_Efficacité'!$A$6:$CY$266,(MATCH('[3]4.4 ACE MAX SEN '!X$4,'7. PGE_Efficacité'!$A$4:$AO$4,0)),0)</f>
        <v>0</v>
      </c>
      <c r="Y32" s="61">
        <f>VLOOKUP($B32,'7. PGE_Efficacité'!$A$6:$CY$266,(MATCH('[3]4.4 ACE MAX SEN '!Y$4,'7. PGE_Efficacité'!$A$4:$AO$4,0)),0)</f>
        <v>0</v>
      </c>
      <c r="Z32" s="61">
        <f>VLOOKUP($B32,'7. PGE_Efficacité'!$A$6:$CY$266,(MATCH('[3]4.4 ACE MAX SEN '!Z$4,'7. PGE_Efficacité'!$A$4:$AO$4,0)),0)</f>
        <v>0</v>
      </c>
      <c r="AA32" s="61">
        <f>VLOOKUP($B32,'7. PGE_Efficacité'!$A$6:$CY$266,(MATCH('[3]4.4 ACE MAX SEN '!AA$4,'7. PGE_Efficacité'!$A$4:$AO$4,0)),0)</f>
        <v>0</v>
      </c>
      <c r="AB32" s="61">
        <f>VLOOKUP($B32,'7. PGE_Efficacité'!$A$6:$CY$266,(MATCH('[3]4.4 ACE MAX SEN '!AB$4,'7. PGE_Efficacité'!$A$4:$AO$4,0)),0)</f>
        <v>0</v>
      </c>
      <c r="AC32" s="61">
        <f>VLOOKUP($B32,'7. PGE_Efficacité'!$A$6:$CY$266,(MATCH('[3]4.4 ACE MAX SEN '!AC$4,'7. PGE_Efficacité'!$A$4:$AO$4,0)),0)</f>
        <v>0</v>
      </c>
      <c r="AD32" s="61">
        <f>VLOOKUP($B32,'7. PGE_Efficacité'!$A$6:$CY$266,(MATCH('[3]4.4 ACE MAX SEN '!AD$4,'7. PGE_Efficacité'!$A$4:$AO$4,0)),0)</f>
        <v>0</v>
      </c>
      <c r="AE32" s="61">
        <f>VLOOKUP($B32,'7. PGE_Efficacité'!$A$6:$CY$266,(MATCH('[3]4.4 ACE MAX SEN '!AE$4,'7. PGE_Efficacité'!$A$4:$AO$4,0)),0)</f>
        <v>0</v>
      </c>
      <c r="AF32" s="61">
        <f>VLOOKUP($B32,'7. PGE_Efficacité'!$A$6:$CY$266,(MATCH('[3]4.4 ACE MAX SEN '!AF$4,'7. PGE_Efficacité'!$A$4:$AO$4,0)),0)</f>
        <v>0</v>
      </c>
      <c r="AG32" s="61">
        <f>VLOOKUP($B32,'7. PGE_Efficacité'!$A$6:$CY$266,(MATCH('[3]4.4 ACE MAX SEN '!AG$4,'7. PGE_Efficacité'!$A$4:$AO$4,0)),0)</f>
        <v>0</v>
      </c>
      <c r="AH32" s="61">
        <f>VLOOKUP($B32,'7. PGE_Efficacité'!$A$6:$CY$266,(MATCH('[3]4.4 ACE MAX SEN '!AH$4,'7. PGE_Efficacité'!$A$4:$AO$4,0)),0)</f>
        <v>0</v>
      </c>
      <c r="AI32" s="61">
        <f>VLOOKUP($B32,'7. PGE_Efficacité'!$A$6:$CY$266,(MATCH('[3]4.4 ACE MAX SEN '!AI$4,'7. PGE_Efficacité'!$A$4:$AO$4,0)),0)</f>
        <v>0</v>
      </c>
      <c r="AJ32" s="61">
        <f>VLOOKUP($B32,'7. PGE_Efficacité'!$A$6:$CY$266,(MATCH('[3]4.4 ACE MAX SEN '!AJ$4,'7. PGE_Efficacité'!$A$4:$AO$4,0)),0)</f>
        <v>0</v>
      </c>
      <c r="AK32" s="61">
        <f>VLOOKUP($B32,'7. PGE_Efficacité'!$A$6:$CY$266,(MATCH('[3]4.4 ACE MAX SEN '!AK$4,'7. PGE_Efficacité'!$A$4:$AO$4,0)),0)</f>
        <v>0</v>
      </c>
    </row>
    <row r="33" spans="1:37" hidden="1" outlineLevel="2" x14ac:dyDescent="0.25">
      <c r="A33" s="65" t="s">
        <v>1</v>
      </c>
      <c r="B33" s="65" t="s">
        <v>720</v>
      </c>
      <c r="C33" s="65" t="s">
        <v>1380</v>
      </c>
      <c r="D33" s="65" t="s">
        <v>1520</v>
      </c>
      <c r="E33" s="65" t="s">
        <v>415</v>
      </c>
      <c r="F33" s="73"/>
      <c r="G33" s="64">
        <f>VLOOKUP($B33,'7. PGE_Efficacité'!$A$6:$CY$266,(MATCH('[3]4.4 ACE MAX SEN '!G$4,'7. PGE_Efficacité'!$A$4:$AO$4,0)),0)</f>
        <v>0</v>
      </c>
      <c r="H33" s="64">
        <f>VLOOKUP($B33,'7. PGE_Efficacité'!$A$6:$CY$266,(MATCH('[3]4.4 ACE MAX SEN '!H$4,'7. PGE_Efficacité'!$A$4:$AO$4,0)),0)</f>
        <v>0</v>
      </c>
      <c r="I33" s="64">
        <f>VLOOKUP($B33,'7. PGE_Efficacité'!$A$6:$CY$266,(MATCH('[3]4.4 ACE MAX SEN '!I$4,'7. PGE_Efficacité'!$A$4:$AO$4,0)),0)</f>
        <v>0</v>
      </c>
      <c r="J33" s="64">
        <f>VLOOKUP($B33,'7. PGE_Efficacité'!$A$6:$CY$266,(MATCH('[3]4.4 ACE MAX SEN '!J$4,'7. PGE_Efficacité'!$A$4:$AO$4,0)),0)</f>
        <v>0</v>
      </c>
      <c r="K33" s="64">
        <f>VLOOKUP($B33,'7. PGE_Efficacité'!$A$6:$CY$266,(MATCH('[3]4.4 ACE MAX SEN '!K$4,'7. PGE_Efficacité'!$A$4:$AO$4,0)),0)</f>
        <v>0</v>
      </c>
      <c r="L33" s="64">
        <f>VLOOKUP($B33,'7. PGE_Efficacité'!$A$6:$CY$266,(MATCH('[3]4.4 ACE MAX SEN '!L$4,'7. PGE_Efficacité'!$A$4:$AO$4,0)),0)</f>
        <v>0</v>
      </c>
      <c r="M33" s="64">
        <f>VLOOKUP($B33,'7. PGE_Efficacité'!$A$6:$CY$266,(MATCH('[3]4.4 ACE MAX SEN '!M$4,'7. PGE_Efficacité'!$A$4:$AO$4,0)),0)</f>
        <v>0</v>
      </c>
      <c r="N33" s="64">
        <f>VLOOKUP($B33,'7. PGE_Efficacité'!$A$6:$CY$266,(MATCH('[3]4.4 ACE MAX SEN '!N$4,'7. PGE_Efficacité'!$A$4:$AO$4,0)),0)</f>
        <v>0</v>
      </c>
      <c r="O33" s="64">
        <f>VLOOKUP($B33,'7. PGE_Efficacité'!$A$6:$CY$266,(MATCH('[3]4.4 ACE MAX SEN '!O$4,'7. PGE_Efficacité'!$A$4:$AO$4,0)),0)</f>
        <v>0</v>
      </c>
      <c r="P33" s="64">
        <f>VLOOKUP($B33,'7. PGE_Efficacité'!$A$6:$CY$266,(MATCH('[3]4.4 ACE MAX SEN '!P$4,'7. PGE_Efficacité'!$A$4:$AO$4,0)),0)</f>
        <v>0</v>
      </c>
      <c r="Q33" s="64">
        <f>VLOOKUP($B33,'7. PGE_Efficacité'!$A$6:$CY$266,(MATCH('[3]4.4 ACE MAX SEN '!Q$4,'7. PGE_Efficacité'!$A$4:$AO$4,0)),0)</f>
        <v>0</v>
      </c>
      <c r="R33" s="64">
        <f>VLOOKUP($B33,'7. PGE_Efficacité'!$A$6:$CY$266,(MATCH('[3]4.4 ACE MAX SEN '!R$4,'7. PGE_Efficacité'!$A$4:$AO$4,0)),0)</f>
        <v>0</v>
      </c>
      <c r="S33" s="64">
        <f>VLOOKUP($B33,'7. PGE_Efficacité'!$A$6:$CY$266,(MATCH('[3]4.4 ACE MAX SEN '!S$4,'7. PGE_Efficacité'!$A$4:$AO$4,0)),0)</f>
        <v>0</v>
      </c>
      <c r="T33" s="64">
        <f>VLOOKUP($B33,'7. PGE_Efficacité'!$A$6:$CY$266,(MATCH('[3]4.4 ACE MAX SEN '!T$4,'7. PGE_Efficacité'!$A$4:$AO$4,0)),0)</f>
        <v>0</v>
      </c>
      <c r="U33" s="64">
        <f>VLOOKUP($B33,'7. PGE_Efficacité'!$A$6:$CY$266,(MATCH('[3]4.4 ACE MAX SEN '!U$4,'7. PGE_Efficacité'!$A$4:$AO$4,0)),0)</f>
        <v>0</v>
      </c>
      <c r="V33" s="64">
        <f>VLOOKUP($B33,'7. PGE_Efficacité'!$A$6:$CY$266,(MATCH('[3]4.4 ACE MAX SEN '!V$4,'7. PGE_Efficacité'!$A$4:$AO$4,0)),0)</f>
        <v>0</v>
      </c>
      <c r="W33" s="61">
        <f>VLOOKUP($B33,'7. PGE_Efficacité'!$A$6:$CY$266,(MATCH('[3]4.4 ACE MAX SEN '!W$4,'7. PGE_Efficacité'!$A$4:$AO$4,0)),0)</f>
        <v>0</v>
      </c>
      <c r="X33" s="61">
        <f>VLOOKUP($B33,'7. PGE_Efficacité'!$A$6:$CY$266,(MATCH('[3]4.4 ACE MAX SEN '!X$4,'7. PGE_Efficacité'!$A$4:$AO$4,0)),0)</f>
        <v>0</v>
      </c>
      <c r="Y33" s="61">
        <f>VLOOKUP($B33,'7. PGE_Efficacité'!$A$6:$CY$266,(MATCH('[3]4.4 ACE MAX SEN '!Y$4,'7. PGE_Efficacité'!$A$4:$AO$4,0)),0)</f>
        <v>0</v>
      </c>
      <c r="Z33" s="61">
        <f>VLOOKUP($B33,'7. PGE_Efficacité'!$A$6:$CY$266,(MATCH('[3]4.4 ACE MAX SEN '!Z$4,'7. PGE_Efficacité'!$A$4:$AO$4,0)),0)</f>
        <v>0</v>
      </c>
      <c r="AA33" s="61">
        <f>VLOOKUP($B33,'7. PGE_Efficacité'!$A$6:$CY$266,(MATCH('[3]4.4 ACE MAX SEN '!AA$4,'7. PGE_Efficacité'!$A$4:$AO$4,0)),0)</f>
        <v>0</v>
      </c>
      <c r="AB33" s="61">
        <f>VLOOKUP($B33,'7. PGE_Efficacité'!$A$6:$CY$266,(MATCH('[3]4.4 ACE MAX SEN '!AB$4,'7. PGE_Efficacité'!$A$4:$AO$4,0)),0)</f>
        <v>0</v>
      </c>
      <c r="AC33" s="61">
        <f>VLOOKUP($B33,'7. PGE_Efficacité'!$A$6:$CY$266,(MATCH('[3]4.4 ACE MAX SEN '!AC$4,'7. PGE_Efficacité'!$A$4:$AO$4,0)),0)</f>
        <v>0</v>
      </c>
      <c r="AD33" s="61">
        <f>VLOOKUP($B33,'7. PGE_Efficacité'!$A$6:$CY$266,(MATCH('[3]4.4 ACE MAX SEN '!AD$4,'7. PGE_Efficacité'!$A$4:$AO$4,0)),0)</f>
        <v>0</v>
      </c>
      <c r="AE33" s="61">
        <f>VLOOKUP($B33,'7. PGE_Efficacité'!$A$6:$CY$266,(MATCH('[3]4.4 ACE MAX SEN '!AE$4,'7. PGE_Efficacité'!$A$4:$AO$4,0)),0)</f>
        <v>0</v>
      </c>
      <c r="AF33" s="61">
        <f>VLOOKUP($B33,'7. PGE_Efficacité'!$A$6:$CY$266,(MATCH('[3]4.4 ACE MAX SEN '!AF$4,'7. PGE_Efficacité'!$A$4:$AO$4,0)),0)</f>
        <v>0</v>
      </c>
      <c r="AG33" s="61">
        <f>VLOOKUP($B33,'7. PGE_Efficacité'!$A$6:$CY$266,(MATCH('[3]4.4 ACE MAX SEN '!AG$4,'7. PGE_Efficacité'!$A$4:$AO$4,0)),0)</f>
        <v>0</v>
      </c>
      <c r="AH33" s="61">
        <f>VLOOKUP($B33,'7. PGE_Efficacité'!$A$6:$CY$266,(MATCH('[3]4.4 ACE MAX SEN '!AH$4,'7. PGE_Efficacité'!$A$4:$AO$4,0)),0)</f>
        <v>0</v>
      </c>
      <c r="AI33" s="61">
        <f>VLOOKUP($B33,'7. PGE_Efficacité'!$A$6:$CY$266,(MATCH('[3]4.4 ACE MAX SEN '!AI$4,'7. PGE_Efficacité'!$A$4:$AO$4,0)),0)</f>
        <v>0</v>
      </c>
      <c r="AJ33" s="61">
        <f>VLOOKUP($B33,'7. PGE_Efficacité'!$A$6:$CY$266,(MATCH('[3]4.4 ACE MAX SEN '!AJ$4,'7. PGE_Efficacité'!$A$4:$AO$4,0)),0)</f>
        <v>0</v>
      </c>
      <c r="AK33" s="61">
        <f>VLOOKUP($B33,'7. PGE_Efficacité'!$A$6:$CY$266,(MATCH('[3]4.4 ACE MAX SEN '!AK$4,'7. PGE_Efficacité'!$A$4:$AO$4,0)),0)</f>
        <v>0</v>
      </c>
    </row>
    <row r="34" spans="1:37" outlineLevel="1" collapsed="1" x14ac:dyDescent="0.25">
      <c r="A34" s="157" t="s">
        <v>2</v>
      </c>
      <c r="B34" s="63"/>
      <c r="C34" s="156" t="s">
        <v>236</v>
      </c>
      <c r="D34" s="63"/>
      <c r="E34" s="63"/>
      <c r="F34" s="72">
        <f>MEDIAN(VLOOKUP(A34,'4. Mesures_ACE_Budget'!$A$3:$J$31,9,0),VLOOKUP(A34,'4. Mesures_ACE_Budget'!$A$3:$J$31,10,0))</f>
        <v>810000</v>
      </c>
      <c r="G34" s="180">
        <f>VLOOKUP($A34,'7. PGE_Efficacité'!$A$6:$CY$266,(MATCH('[2]4.4 ACE MAX SEN '!G$4,'7. PGE_Efficacité'!$A$4:$AO$4,0)),0)</f>
        <v>0</v>
      </c>
      <c r="H34" s="180">
        <f>VLOOKUP($A34,'7. PGE_Efficacité'!$A$6:$CY$266,(MATCH('[2]4.4 ACE MAX SEN '!H$4,'7. PGE_Efficacité'!$A$4:$AO$4,0)),0)</f>
        <v>0</v>
      </c>
      <c r="I34" s="180">
        <f>VLOOKUP($A34,'7. PGE_Efficacité'!$A$6:$CY$266,(MATCH('[2]4.4 ACE MAX SEN '!I$4,'7. PGE_Efficacité'!$A$4:$AO$4,0)),0)</f>
        <v>0</v>
      </c>
      <c r="J34" s="180">
        <f>VLOOKUP($A34,'7. PGE_Efficacité'!$A$6:$CY$266,(MATCH('[2]4.4 ACE MAX SEN '!J$4,'7. PGE_Efficacité'!$A$4:$AO$4,0)),0)</f>
        <v>0</v>
      </c>
      <c r="K34" s="180">
        <f>VLOOKUP($A34,'7. PGE_Efficacité'!$A$6:$CY$266,(MATCH('[2]4.4 ACE MAX SEN '!K$4,'7. PGE_Efficacité'!$A$4:$AO$4,0)),0)</f>
        <v>0</v>
      </c>
      <c r="L34" s="180">
        <f>VLOOKUP($A34,'7. PGE_Efficacité'!$A$6:$CY$266,(MATCH('[2]4.4 ACE MAX SEN '!L$4,'7. PGE_Efficacité'!$A$4:$AO$4,0)),0)</f>
        <v>0</v>
      </c>
      <c r="M34" s="180">
        <f>VLOOKUP($A34,'7. PGE_Efficacité'!$A$6:$CY$266,(MATCH('[2]4.4 ACE MAX SEN '!M$4,'7. PGE_Efficacité'!$A$4:$AO$4,0)),0)</f>
        <v>0</v>
      </c>
      <c r="N34" s="180">
        <f>VLOOKUP($A34,'7. PGE_Efficacité'!$A$6:$CY$266,(MATCH('[2]4.4 ACE MAX SEN '!N$4,'7. PGE_Efficacité'!$A$4:$AO$4,0)),0)</f>
        <v>0</v>
      </c>
      <c r="O34" s="180">
        <f>VLOOKUP($A34,'7. PGE_Efficacité'!$A$6:$CY$266,(MATCH('[2]4.4 ACE MAX SEN '!O$4,'7. PGE_Efficacité'!$A$4:$AO$4,0)),0)</f>
        <v>0</v>
      </c>
      <c r="P34" s="180">
        <f>VLOOKUP($A34,'7. PGE_Efficacité'!$A$6:$CY$266,(MATCH('[2]4.4 ACE MAX SEN '!P$4,'7. PGE_Efficacité'!$A$4:$AO$4,0)),0)</f>
        <v>0</v>
      </c>
      <c r="Q34" s="180">
        <f>VLOOKUP($A34,'7. PGE_Efficacité'!$A$6:$CY$266,(MATCH('[2]4.4 ACE MAX SEN '!Q$4,'7. PGE_Efficacité'!$A$4:$AO$4,0)),0)</f>
        <v>0</v>
      </c>
      <c r="R34" s="180">
        <f>VLOOKUP($A34,'7. PGE_Efficacité'!$A$6:$CY$266,(MATCH('[2]4.4 ACE MAX SEN '!R$4,'7. PGE_Efficacité'!$A$4:$AO$4,0)),0)</f>
        <v>0</v>
      </c>
      <c r="S34" s="180">
        <f>VLOOKUP($A34,'7. PGE_Efficacité'!$A$6:$CY$266,(MATCH('[2]4.4 ACE MAX SEN '!S$4,'7. PGE_Efficacité'!$A$4:$AO$4,0)),0)</f>
        <v>0</v>
      </c>
      <c r="T34" s="180">
        <f>VLOOKUP($A34,'7. PGE_Efficacité'!$A$6:$CY$266,(MATCH('[2]4.4 ACE MAX SEN '!T$4,'7. PGE_Efficacité'!$A$4:$AO$4,0)),0)</f>
        <v>0</v>
      </c>
      <c r="U34" s="180">
        <f>VLOOKUP($A34,'7. PGE_Efficacité'!$A$6:$CY$266,(MATCH('[2]4.4 ACE MAX SEN '!U$4,'7. PGE_Efficacité'!$A$4:$AO$4,0)),0)</f>
        <v>0</v>
      </c>
      <c r="V34" s="180">
        <f>VLOOKUP($A34,'7. PGE_Efficacité'!$A$6:$CY$266,(MATCH('[2]4.4 ACE MAX SEN '!V$4,'7. PGE_Efficacité'!$A$4:$AO$4,0)),0)</f>
        <v>0</v>
      </c>
      <c r="W34" s="181">
        <f>VLOOKUP($A34,'7. PGE_Efficacité'!$A$6:$CY$266,(MATCH('[2]4.4 ACE MAX SEN '!W$4,'7. PGE_Efficacité'!$A$4:$AO$4,0)),0)</f>
        <v>0</v>
      </c>
      <c r="X34" s="181">
        <f>VLOOKUP($A34,'7. PGE_Efficacité'!$A$6:$CY$266,(MATCH('[2]4.4 ACE MAX SEN '!X$4,'7. PGE_Efficacité'!$A$4:$AO$4,0)),0)</f>
        <v>0</v>
      </c>
      <c r="Y34" s="181">
        <f>VLOOKUP($A34,'7. PGE_Efficacité'!$A$6:$CY$266,(MATCH('[2]4.4 ACE MAX SEN '!Y$4,'7. PGE_Efficacité'!$A$4:$AO$4,0)),0)</f>
        <v>0</v>
      </c>
      <c r="Z34" s="181">
        <f>VLOOKUP($A34,'7. PGE_Efficacité'!$A$6:$CY$266,(MATCH('[2]4.4 ACE MAX SEN '!Z$4,'7. PGE_Efficacité'!$A$4:$AO$4,0)),0)</f>
        <v>0</v>
      </c>
      <c r="AA34" s="181">
        <f>VLOOKUP($A34,'7. PGE_Efficacité'!$A$6:$CY$266,(MATCH('[2]4.4 ACE MAX SEN '!AA$4,'7. PGE_Efficacité'!$A$4:$AO$4,0)),0)</f>
        <v>0</v>
      </c>
      <c r="AB34" s="181">
        <f>VLOOKUP($A34,'7. PGE_Efficacité'!$A$6:$CY$266,(MATCH('[2]4.4 ACE MAX SEN '!AB$4,'7. PGE_Efficacité'!$A$4:$AO$4,0)),0)</f>
        <v>0</v>
      </c>
      <c r="AC34" s="181">
        <f>VLOOKUP($A34,'7. PGE_Efficacité'!$A$6:$CY$266,(MATCH('[2]4.4 ACE MAX SEN '!AC$4,'7. PGE_Efficacité'!$A$4:$AO$4,0)),0)</f>
        <v>0</v>
      </c>
      <c r="AD34" s="181" t="str">
        <f>VLOOKUP($A34,'7. PGE_Efficacité'!$A$6:$CY$266,(MATCH('[2]4.4 ACE MAX SEN '!AD$4,'7. PGE_Efficacité'!$A$4:$AO$4,0)),0)</f>
        <v>++</v>
      </c>
      <c r="AE34" s="181">
        <f>VLOOKUP($A34,'7. PGE_Efficacité'!$A$6:$CY$266,(MATCH('[2]4.4 ACE MAX SEN '!AE$4,'7. PGE_Efficacité'!$A$4:$AO$4,0)),0)</f>
        <v>0</v>
      </c>
      <c r="AF34" s="181">
        <f>VLOOKUP($A34,'7. PGE_Efficacité'!$A$6:$CY$266,(MATCH('[2]4.4 ACE MAX SEN '!AF$4,'7. PGE_Efficacité'!$A$4:$AO$4,0)),0)</f>
        <v>0</v>
      </c>
      <c r="AG34" s="181">
        <f>VLOOKUP($A34,'7. PGE_Efficacité'!$A$6:$CY$266,(MATCH('[2]4.4 ACE MAX SEN '!AG$4,'7. PGE_Efficacité'!$A$4:$AO$4,0)),0)</f>
        <v>0</v>
      </c>
      <c r="AH34" s="181">
        <f>VLOOKUP($A34,'7. PGE_Efficacité'!$A$6:$CY$266,(MATCH('[2]4.4 ACE MAX SEN '!AH$4,'7. PGE_Efficacité'!$A$4:$AO$4,0)),0)</f>
        <v>0</v>
      </c>
      <c r="AI34" s="181">
        <f>VLOOKUP($A34,'7. PGE_Efficacité'!$A$6:$CY$266,(MATCH('[2]4.4 ACE MAX SEN '!AI$4,'7. PGE_Efficacité'!$A$4:$AO$4,0)),0)</f>
        <v>0</v>
      </c>
      <c r="AJ34" s="181">
        <f>VLOOKUP($A34,'7. PGE_Efficacité'!$A$6:$CY$266,(MATCH('[2]4.4 ACE MAX SEN '!AJ$4,'7. PGE_Efficacité'!$A$4:$AO$4,0)),0)</f>
        <v>0</v>
      </c>
      <c r="AK34" s="181" t="str">
        <f>VLOOKUP($A34,'7. PGE_Efficacité'!$A$6:$CY$266,(MATCH('[2]4.4 ACE MAX SEN '!AK$4,'7. PGE_Efficacité'!$A$4:$AO$4,0)),0)</f>
        <v>++</v>
      </c>
    </row>
    <row r="35" spans="1:37" hidden="1" outlineLevel="2" x14ac:dyDescent="0.25">
      <c r="A35" s="65" t="s">
        <v>2</v>
      </c>
      <c r="B35" s="65" t="s">
        <v>779</v>
      </c>
      <c r="C35" s="65" t="s">
        <v>1417</v>
      </c>
      <c r="D35" s="65" t="s">
        <v>1520</v>
      </c>
      <c r="E35" s="65" t="s">
        <v>415</v>
      </c>
      <c r="F35" s="73"/>
      <c r="G35" s="64">
        <f>VLOOKUP($B35,'7. PGE_Efficacité'!$A$6:$CY$266,(MATCH('[3]4.4 ACE MAX SEN '!G$4,'7. PGE_Efficacité'!$A$4:$AO$4,0)),0)</f>
        <v>0</v>
      </c>
      <c r="H35" s="64">
        <f>VLOOKUP($B35,'7. PGE_Efficacité'!$A$6:$CY$266,(MATCH('[3]4.4 ACE MAX SEN '!H$4,'7. PGE_Efficacité'!$A$4:$AO$4,0)),0)</f>
        <v>0</v>
      </c>
      <c r="I35" s="64">
        <f>VLOOKUP($B35,'7. PGE_Efficacité'!$A$6:$CY$266,(MATCH('[3]4.4 ACE MAX SEN '!I$4,'7. PGE_Efficacité'!$A$4:$AO$4,0)),0)</f>
        <v>0</v>
      </c>
      <c r="J35" s="64">
        <f>VLOOKUP($B35,'7. PGE_Efficacité'!$A$6:$CY$266,(MATCH('[3]4.4 ACE MAX SEN '!J$4,'7. PGE_Efficacité'!$A$4:$AO$4,0)),0)</f>
        <v>0</v>
      </c>
      <c r="K35" s="64">
        <f>VLOOKUP($B35,'7. PGE_Efficacité'!$A$6:$CY$266,(MATCH('[3]4.4 ACE MAX SEN '!K$4,'7. PGE_Efficacité'!$A$4:$AO$4,0)),0)</f>
        <v>0</v>
      </c>
      <c r="L35" s="64">
        <f>VLOOKUP($B35,'7. PGE_Efficacité'!$A$6:$CY$266,(MATCH('[3]4.4 ACE MAX SEN '!L$4,'7. PGE_Efficacité'!$A$4:$AO$4,0)),0)</f>
        <v>0</v>
      </c>
      <c r="M35" s="64">
        <f>VLOOKUP($B35,'7. PGE_Efficacité'!$A$6:$CY$266,(MATCH('[3]4.4 ACE MAX SEN '!M$4,'7. PGE_Efficacité'!$A$4:$AO$4,0)),0)</f>
        <v>0</v>
      </c>
      <c r="N35" s="64">
        <f>VLOOKUP($B35,'7. PGE_Efficacité'!$A$6:$CY$266,(MATCH('[3]4.4 ACE MAX SEN '!N$4,'7. PGE_Efficacité'!$A$4:$AO$4,0)),0)</f>
        <v>0</v>
      </c>
      <c r="O35" s="64">
        <f>VLOOKUP($B35,'7. PGE_Efficacité'!$A$6:$CY$266,(MATCH('[3]4.4 ACE MAX SEN '!O$4,'7. PGE_Efficacité'!$A$4:$AO$4,0)),0)</f>
        <v>0</v>
      </c>
      <c r="P35" s="64">
        <f>VLOOKUP($B35,'7. PGE_Efficacité'!$A$6:$CY$266,(MATCH('[3]4.4 ACE MAX SEN '!P$4,'7. PGE_Efficacité'!$A$4:$AO$4,0)),0)</f>
        <v>0</v>
      </c>
      <c r="Q35" s="64">
        <f>VLOOKUP($B35,'7. PGE_Efficacité'!$A$6:$CY$266,(MATCH('[3]4.4 ACE MAX SEN '!Q$4,'7. PGE_Efficacité'!$A$4:$AO$4,0)),0)</f>
        <v>0</v>
      </c>
      <c r="R35" s="64">
        <f>VLOOKUP($B35,'7. PGE_Efficacité'!$A$6:$CY$266,(MATCH('[3]4.4 ACE MAX SEN '!R$4,'7. PGE_Efficacité'!$A$4:$AO$4,0)),0)</f>
        <v>0</v>
      </c>
      <c r="S35" s="64">
        <f>VLOOKUP($B35,'7. PGE_Efficacité'!$A$6:$CY$266,(MATCH('[3]4.4 ACE MAX SEN '!S$4,'7. PGE_Efficacité'!$A$4:$AO$4,0)),0)</f>
        <v>0</v>
      </c>
      <c r="T35" s="64">
        <f>VLOOKUP($B35,'7. PGE_Efficacité'!$A$6:$CY$266,(MATCH('[3]4.4 ACE MAX SEN '!T$4,'7. PGE_Efficacité'!$A$4:$AO$4,0)),0)</f>
        <v>0</v>
      </c>
      <c r="U35" s="64">
        <f>VLOOKUP($B35,'7. PGE_Efficacité'!$A$6:$CY$266,(MATCH('[3]4.4 ACE MAX SEN '!U$4,'7. PGE_Efficacité'!$A$4:$AO$4,0)),0)</f>
        <v>0</v>
      </c>
      <c r="V35" s="64">
        <f>VLOOKUP($B35,'7. PGE_Efficacité'!$A$6:$CY$266,(MATCH('[3]4.4 ACE MAX SEN '!V$4,'7. PGE_Efficacité'!$A$4:$AO$4,0)),0)</f>
        <v>0</v>
      </c>
      <c r="W35" s="61">
        <f>VLOOKUP($B35,'7. PGE_Efficacité'!$A$6:$CY$266,(MATCH('[3]4.4 ACE MAX SEN '!W$4,'7. PGE_Efficacité'!$A$4:$AO$4,0)),0)</f>
        <v>0</v>
      </c>
      <c r="X35" s="61">
        <f>VLOOKUP($B35,'7. PGE_Efficacité'!$A$6:$CY$266,(MATCH('[3]4.4 ACE MAX SEN '!X$4,'7. PGE_Efficacité'!$A$4:$AO$4,0)),0)</f>
        <v>0</v>
      </c>
      <c r="Y35" s="61">
        <f>VLOOKUP($B35,'7. PGE_Efficacité'!$A$6:$CY$266,(MATCH('[3]4.4 ACE MAX SEN '!Y$4,'7. PGE_Efficacité'!$A$4:$AO$4,0)),0)</f>
        <v>0</v>
      </c>
      <c r="Z35" s="61">
        <f>VLOOKUP($B35,'7. PGE_Efficacité'!$A$6:$CY$266,(MATCH('[3]4.4 ACE MAX SEN '!Z$4,'7. PGE_Efficacité'!$A$4:$AO$4,0)),0)</f>
        <v>0</v>
      </c>
      <c r="AA35" s="61">
        <f>VLOOKUP($B35,'7. PGE_Efficacité'!$A$6:$CY$266,(MATCH('[3]4.4 ACE MAX SEN '!AA$4,'7. PGE_Efficacité'!$A$4:$AO$4,0)),0)</f>
        <v>0</v>
      </c>
      <c r="AB35" s="61">
        <f>VLOOKUP($B35,'7. PGE_Efficacité'!$A$6:$CY$266,(MATCH('[3]4.4 ACE MAX SEN '!AB$4,'7. PGE_Efficacité'!$A$4:$AO$4,0)),0)</f>
        <v>0</v>
      </c>
      <c r="AC35" s="61">
        <f>VLOOKUP($B35,'7. PGE_Efficacité'!$A$6:$CY$266,(MATCH('[3]4.4 ACE MAX SEN '!AC$4,'7. PGE_Efficacité'!$A$4:$AO$4,0)),0)</f>
        <v>0</v>
      </c>
      <c r="AD35" s="61" t="str">
        <f>VLOOKUP($B35,'7. PGE_Efficacité'!$A$6:$CY$266,(MATCH('[3]4.4 ACE MAX SEN '!AD$4,'7. PGE_Efficacité'!$A$4:$AO$4,0)),0)</f>
        <v>++</v>
      </c>
      <c r="AE35" s="61">
        <f>VLOOKUP($B35,'7. PGE_Efficacité'!$A$6:$CY$266,(MATCH('[3]4.4 ACE MAX SEN '!AE$4,'7. PGE_Efficacité'!$A$4:$AO$4,0)),0)</f>
        <v>0</v>
      </c>
      <c r="AF35" s="61">
        <f>VLOOKUP($B35,'7. PGE_Efficacité'!$A$6:$CY$266,(MATCH('[3]4.4 ACE MAX SEN '!AF$4,'7. PGE_Efficacité'!$A$4:$AO$4,0)),0)</f>
        <v>0</v>
      </c>
      <c r="AG35" s="61">
        <f>VLOOKUP($B35,'7. PGE_Efficacité'!$A$6:$CY$266,(MATCH('[3]4.4 ACE MAX SEN '!AG$4,'7. PGE_Efficacité'!$A$4:$AO$4,0)),0)</f>
        <v>0</v>
      </c>
      <c r="AH35" s="61">
        <f>VLOOKUP($B35,'7. PGE_Efficacité'!$A$6:$CY$266,(MATCH('[3]4.4 ACE MAX SEN '!AH$4,'7. PGE_Efficacité'!$A$4:$AO$4,0)),0)</f>
        <v>0</v>
      </c>
      <c r="AI35" s="61">
        <f>VLOOKUP($B35,'7. PGE_Efficacité'!$A$6:$CY$266,(MATCH('[3]4.4 ACE MAX SEN '!AI$4,'7. PGE_Efficacité'!$A$4:$AO$4,0)),0)</f>
        <v>0</v>
      </c>
      <c r="AJ35" s="61">
        <f>VLOOKUP($B35,'7. PGE_Efficacité'!$A$6:$CY$266,(MATCH('[3]4.4 ACE MAX SEN '!AJ$4,'7. PGE_Efficacité'!$A$4:$AO$4,0)),0)</f>
        <v>0</v>
      </c>
      <c r="AK35" s="61" t="str">
        <f>VLOOKUP($B35,'7. PGE_Efficacité'!$A$6:$CY$266,(MATCH('[3]4.4 ACE MAX SEN '!AK$4,'7. PGE_Efficacité'!$A$4:$AO$4,0)),0)</f>
        <v>++</v>
      </c>
    </row>
    <row r="36" spans="1:37" ht="26.25" outlineLevel="1" collapsed="1" x14ac:dyDescent="0.25">
      <c r="A36" s="157" t="s">
        <v>3</v>
      </c>
      <c r="B36" s="63"/>
      <c r="C36" s="156" t="s">
        <v>235</v>
      </c>
      <c r="D36" s="63"/>
      <c r="E36" s="63"/>
      <c r="F36" s="72">
        <f>MEDIAN(VLOOKUP(A36,'4. Mesures_ACE_Budget'!$A$3:$J$31,9,0),VLOOKUP(A36,'4. Mesures_ACE_Budget'!$A$3:$J$31,10,0))</f>
        <v>0</v>
      </c>
      <c r="G36" s="180">
        <f>VLOOKUP($A36,'7. PGE_Efficacité'!$A$6:$CY$266,(MATCH('[2]4.4 ACE MAX SEN '!G$4,'7. PGE_Efficacité'!$A$4:$AO$4,0)),0)</f>
        <v>0</v>
      </c>
      <c r="H36" s="180">
        <f>VLOOKUP($A36,'7. PGE_Efficacité'!$A$6:$CY$266,(MATCH('[2]4.4 ACE MAX SEN '!H$4,'7. PGE_Efficacité'!$A$4:$AO$4,0)),0)</f>
        <v>0</v>
      </c>
      <c r="I36" s="180">
        <f>VLOOKUP($A36,'7. PGE_Efficacité'!$A$6:$CY$266,(MATCH('[2]4.4 ACE MAX SEN '!I$4,'7. PGE_Efficacité'!$A$4:$AO$4,0)),0)</f>
        <v>0</v>
      </c>
      <c r="J36" s="180">
        <f>VLOOKUP($A36,'7. PGE_Efficacité'!$A$6:$CY$266,(MATCH('[2]4.4 ACE MAX SEN '!J$4,'7. PGE_Efficacité'!$A$4:$AO$4,0)),0)</f>
        <v>0</v>
      </c>
      <c r="K36" s="180">
        <f>VLOOKUP($A36,'7. PGE_Efficacité'!$A$6:$CY$266,(MATCH('[2]4.4 ACE MAX SEN '!K$4,'7. PGE_Efficacité'!$A$4:$AO$4,0)),0)</f>
        <v>0</v>
      </c>
      <c r="L36" s="180">
        <f>VLOOKUP($A36,'7. PGE_Efficacité'!$A$6:$CY$266,(MATCH('[2]4.4 ACE MAX SEN '!L$4,'7. PGE_Efficacité'!$A$4:$AO$4,0)),0)</f>
        <v>0</v>
      </c>
      <c r="M36" s="180">
        <f>VLOOKUP($A36,'7. PGE_Efficacité'!$A$6:$CY$266,(MATCH('[2]4.4 ACE MAX SEN '!M$4,'7. PGE_Efficacité'!$A$4:$AO$4,0)),0)</f>
        <v>0</v>
      </c>
      <c r="N36" s="180">
        <f>VLOOKUP($A36,'7. PGE_Efficacité'!$A$6:$CY$266,(MATCH('[2]4.4 ACE MAX SEN '!N$4,'7. PGE_Efficacité'!$A$4:$AO$4,0)),0)</f>
        <v>0</v>
      </c>
      <c r="O36" s="180">
        <f>VLOOKUP($A36,'7. PGE_Efficacité'!$A$6:$CY$266,(MATCH('[2]4.4 ACE MAX SEN '!O$4,'7. PGE_Efficacité'!$A$4:$AO$4,0)),0)</f>
        <v>0</v>
      </c>
      <c r="P36" s="180">
        <f>VLOOKUP($A36,'7. PGE_Efficacité'!$A$6:$CY$266,(MATCH('[2]4.4 ACE MAX SEN '!P$4,'7. PGE_Efficacité'!$A$4:$AO$4,0)),0)</f>
        <v>0</v>
      </c>
      <c r="Q36" s="180">
        <f>VLOOKUP($A36,'7. PGE_Efficacité'!$A$6:$CY$266,(MATCH('[2]4.4 ACE MAX SEN '!Q$4,'7. PGE_Efficacité'!$A$4:$AO$4,0)),0)</f>
        <v>0</v>
      </c>
      <c r="R36" s="180">
        <f>VLOOKUP($A36,'7. PGE_Efficacité'!$A$6:$CY$266,(MATCH('[2]4.4 ACE MAX SEN '!R$4,'7. PGE_Efficacité'!$A$4:$AO$4,0)),0)</f>
        <v>0</v>
      </c>
      <c r="S36" s="180">
        <f>VLOOKUP($A36,'7. PGE_Efficacité'!$A$6:$CY$266,(MATCH('[2]4.4 ACE MAX SEN '!S$4,'7. PGE_Efficacité'!$A$4:$AO$4,0)),0)</f>
        <v>0</v>
      </c>
      <c r="T36" s="180">
        <f>VLOOKUP($A36,'7. PGE_Efficacité'!$A$6:$CY$266,(MATCH('[2]4.4 ACE MAX SEN '!T$4,'7. PGE_Efficacité'!$A$4:$AO$4,0)),0)</f>
        <v>0</v>
      </c>
      <c r="U36" s="180">
        <f>VLOOKUP($A36,'7. PGE_Efficacité'!$A$6:$CY$266,(MATCH('[2]4.4 ACE MAX SEN '!U$4,'7. PGE_Efficacité'!$A$4:$AO$4,0)),0)</f>
        <v>0</v>
      </c>
      <c r="V36" s="180">
        <f>VLOOKUP($A36,'7. PGE_Efficacité'!$A$6:$CY$266,(MATCH('[2]4.4 ACE MAX SEN '!V$4,'7. PGE_Efficacité'!$A$4:$AO$4,0)),0)</f>
        <v>0</v>
      </c>
      <c r="W36" s="181">
        <f>VLOOKUP($A36,'7. PGE_Efficacité'!$A$6:$CY$266,(MATCH('[2]4.4 ACE MAX SEN '!W$4,'7. PGE_Efficacité'!$A$4:$AO$4,0)),0)</f>
        <v>0</v>
      </c>
      <c r="X36" s="181">
        <f>VLOOKUP($A36,'7. PGE_Efficacité'!$A$6:$CY$266,(MATCH('[2]4.4 ACE MAX SEN '!X$4,'7. PGE_Efficacité'!$A$4:$AO$4,0)),0)</f>
        <v>0</v>
      </c>
      <c r="Y36" s="181">
        <f>VLOOKUP($A36,'7. PGE_Efficacité'!$A$6:$CY$266,(MATCH('[2]4.4 ACE MAX SEN '!Y$4,'7. PGE_Efficacité'!$A$4:$AO$4,0)),0)</f>
        <v>0</v>
      </c>
      <c r="Z36" s="181">
        <f>VLOOKUP($A36,'7. PGE_Efficacité'!$A$6:$CY$266,(MATCH('[2]4.4 ACE MAX SEN '!Z$4,'7. PGE_Efficacité'!$A$4:$AO$4,0)),0)</f>
        <v>0</v>
      </c>
      <c r="AA36" s="181">
        <f>VLOOKUP($A36,'7. PGE_Efficacité'!$A$6:$CY$266,(MATCH('[2]4.4 ACE MAX SEN '!AA$4,'7. PGE_Efficacité'!$A$4:$AO$4,0)),0)</f>
        <v>0</v>
      </c>
      <c r="AB36" s="181">
        <f>VLOOKUP($A36,'7. PGE_Efficacité'!$A$6:$CY$266,(MATCH('[2]4.4 ACE MAX SEN '!AB$4,'7. PGE_Efficacité'!$A$4:$AO$4,0)),0)</f>
        <v>0</v>
      </c>
      <c r="AC36" s="181">
        <f>VLOOKUP($A36,'7. PGE_Efficacité'!$A$6:$CY$266,(MATCH('[2]4.4 ACE MAX SEN '!AC$4,'7. PGE_Efficacité'!$A$4:$AO$4,0)),0)</f>
        <v>0</v>
      </c>
      <c r="AD36" s="181">
        <f>VLOOKUP($A36,'7. PGE_Efficacité'!$A$6:$CY$266,(MATCH('[2]4.4 ACE MAX SEN '!AD$4,'7. PGE_Efficacité'!$A$4:$AO$4,0)),0)</f>
        <v>0</v>
      </c>
      <c r="AE36" s="181">
        <f>VLOOKUP($A36,'7. PGE_Efficacité'!$A$6:$CY$266,(MATCH('[2]4.4 ACE MAX SEN '!AE$4,'7. PGE_Efficacité'!$A$4:$AO$4,0)),0)</f>
        <v>0</v>
      </c>
      <c r="AF36" s="181">
        <f>VLOOKUP($A36,'7. PGE_Efficacité'!$A$6:$CY$266,(MATCH('[2]4.4 ACE MAX SEN '!AF$4,'7. PGE_Efficacité'!$A$4:$AO$4,0)),0)</f>
        <v>0</v>
      </c>
      <c r="AG36" s="181">
        <f>VLOOKUP($A36,'7. PGE_Efficacité'!$A$6:$CY$266,(MATCH('[2]4.4 ACE MAX SEN '!AG$4,'7. PGE_Efficacité'!$A$4:$AO$4,0)),0)</f>
        <v>0</v>
      </c>
      <c r="AH36" s="181">
        <f>VLOOKUP($A36,'7. PGE_Efficacité'!$A$6:$CY$266,(MATCH('[2]4.4 ACE MAX SEN '!AH$4,'7. PGE_Efficacité'!$A$4:$AO$4,0)),0)</f>
        <v>0</v>
      </c>
      <c r="AI36" s="181" t="str">
        <f>VLOOKUP($A36,'7. PGE_Efficacité'!$A$6:$CY$266,(MATCH('[2]4.4 ACE MAX SEN '!AI$4,'7. PGE_Efficacité'!$A$4:$AO$4,0)),0)</f>
        <v>+</v>
      </c>
      <c r="AJ36" s="181" t="str">
        <f>VLOOKUP($A36,'7. PGE_Efficacité'!$A$6:$CY$266,(MATCH('[2]4.4 ACE MAX SEN '!AJ$4,'7. PGE_Efficacité'!$A$4:$AO$4,0)),0)</f>
        <v>+</v>
      </c>
      <c r="AK36" s="181" t="str">
        <f>VLOOKUP($A36,'7. PGE_Efficacité'!$A$6:$CY$266,(MATCH('[2]4.4 ACE MAX SEN '!AK$4,'7. PGE_Efficacité'!$A$4:$AO$4,0)),0)</f>
        <v>+</v>
      </c>
    </row>
    <row r="37" spans="1:37" hidden="1" outlineLevel="2" x14ac:dyDescent="0.25">
      <c r="A37" s="65" t="s">
        <v>3</v>
      </c>
      <c r="B37" s="65" t="s">
        <v>784</v>
      </c>
      <c r="C37" s="65" t="s">
        <v>1422</v>
      </c>
      <c r="D37" s="65" t="s">
        <v>1520</v>
      </c>
      <c r="E37" s="65" t="s">
        <v>1290</v>
      </c>
      <c r="F37" s="73"/>
      <c r="G37" s="64">
        <f>VLOOKUP($B37,'7. PGE_Efficacité'!$A$6:$CY$266,(MATCH('[3]4.4 ACE MAX SEN '!G$4,'7. PGE_Efficacité'!$A$4:$AO$4,0)),0)</f>
        <v>0</v>
      </c>
      <c r="H37" s="64">
        <f>VLOOKUP($B37,'7. PGE_Efficacité'!$A$6:$CY$266,(MATCH('[3]4.4 ACE MAX SEN '!H$4,'7. PGE_Efficacité'!$A$4:$AO$4,0)),0)</f>
        <v>0</v>
      </c>
      <c r="I37" s="64">
        <f>VLOOKUP($B37,'7. PGE_Efficacité'!$A$6:$CY$266,(MATCH('[3]4.4 ACE MAX SEN '!I$4,'7. PGE_Efficacité'!$A$4:$AO$4,0)),0)</f>
        <v>0</v>
      </c>
      <c r="J37" s="64">
        <f>VLOOKUP($B37,'7. PGE_Efficacité'!$A$6:$CY$266,(MATCH('[3]4.4 ACE MAX SEN '!J$4,'7. PGE_Efficacité'!$A$4:$AO$4,0)),0)</f>
        <v>0</v>
      </c>
      <c r="K37" s="64">
        <f>VLOOKUP($B37,'7. PGE_Efficacité'!$A$6:$CY$266,(MATCH('[3]4.4 ACE MAX SEN '!K$4,'7. PGE_Efficacité'!$A$4:$AO$4,0)),0)</f>
        <v>0</v>
      </c>
      <c r="L37" s="64">
        <f>VLOOKUP($B37,'7. PGE_Efficacité'!$A$6:$CY$266,(MATCH('[3]4.4 ACE MAX SEN '!L$4,'7. PGE_Efficacité'!$A$4:$AO$4,0)),0)</f>
        <v>0</v>
      </c>
      <c r="M37" s="64">
        <f>VLOOKUP($B37,'7. PGE_Efficacité'!$A$6:$CY$266,(MATCH('[3]4.4 ACE MAX SEN '!M$4,'7. PGE_Efficacité'!$A$4:$AO$4,0)),0)</f>
        <v>0</v>
      </c>
      <c r="N37" s="64">
        <f>VLOOKUP($B37,'7. PGE_Efficacité'!$A$6:$CY$266,(MATCH('[3]4.4 ACE MAX SEN '!N$4,'7. PGE_Efficacité'!$A$4:$AO$4,0)),0)</f>
        <v>0</v>
      </c>
      <c r="O37" s="64">
        <f>VLOOKUP($B37,'7. PGE_Efficacité'!$A$6:$CY$266,(MATCH('[3]4.4 ACE MAX SEN '!O$4,'7. PGE_Efficacité'!$A$4:$AO$4,0)),0)</f>
        <v>0</v>
      </c>
      <c r="P37" s="64">
        <f>VLOOKUP($B37,'7. PGE_Efficacité'!$A$6:$CY$266,(MATCH('[3]4.4 ACE MAX SEN '!P$4,'7. PGE_Efficacité'!$A$4:$AO$4,0)),0)</f>
        <v>0</v>
      </c>
      <c r="Q37" s="64">
        <f>VLOOKUP($B37,'7. PGE_Efficacité'!$A$6:$CY$266,(MATCH('[3]4.4 ACE MAX SEN '!Q$4,'7. PGE_Efficacité'!$A$4:$AO$4,0)),0)</f>
        <v>0</v>
      </c>
      <c r="R37" s="64">
        <f>VLOOKUP($B37,'7. PGE_Efficacité'!$A$6:$CY$266,(MATCH('[3]4.4 ACE MAX SEN '!R$4,'7. PGE_Efficacité'!$A$4:$AO$4,0)),0)</f>
        <v>0</v>
      </c>
      <c r="S37" s="64">
        <f>VLOOKUP($B37,'7. PGE_Efficacité'!$A$6:$CY$266,(MATCH('[3]4.4 ACE MAX SEN '!S$4,'7. PGE_Efficacité'!$A$4:$AO$4,0)),0)</f>
        <v>0</v>
      </c>
      <c r="T37" s="64">
        <f>VLOOKUP($B37,'7. PGE_Efficacité'!$A$6:$CY$266,(MATCH('[3]4.4 ACE MAX SEN '!T$4,'7. PGE_Efficacité'!$A$4:$AO$4,0)),0)</f>
        <v>0</v>
      </c>
      <c r="U37" s="64">
        <f>VLOOKUP($B37,'7. PGE_Efficacité'!$A$6:$CY$266,(MATCH('[3]4.4 ACE MAX SEN '!U$4,'7. PGE_Efficacité'!$A$4:$AO$4,0)),0)</f>
        <v>0</v>
      </c>
      <c r="V37" s="64">
        <f>VLOOKUP($B37,'7. PGE_Efficacité'!$A$6:$CY$266,(MATCH('[3]4.4 ACE MAX SEN '!V$4,'7. PGE_Efficacité'!$A$4:$AO$4,0)),0)</f>
        <v>0</v>
      </c>
      <c r="W37" s="61">
        <f>VLOOKUP($B37,'7. PGE_Efficacité'!$A$6:$CY$266,(MATCH('[3]4.4 ACE MAX SEN '!W$4,'7. PGE_Efficacité'!$A$4:$AO$4,0)),0)</f>
        <v>0</v>
      </c>
      <c r="X37" s="61">
        <f>VLOOKUP($B37,'7. PGE_Efficacité'!$A$6:$CY$266,(MATCH('[3]4.4 ACE MAX SEN '!X$4,'7. PGE_Efficacité'!$A$4:$AO$4,0)),0)</f>
        <v>0</v>
      </c>
      <c r="Y37" s="61">
        <f>VLOOKUP($B37,'7. PGE_Efficacité'!$A$6:$CY$266,(MATCH('[3]4.4 ACE MAX SEN '!Y$4,'7. PGE_Efficacité'!$A$4:$AO$4,0)),0)</f>
        <v>0</v>
      </c>
      <c r="Z37" s="61">
        <f>VLOOKUP($B37,'7. PGE_Efficacité'!$A$6:$CY$266,(MATCH('[3]4.4 ACE MAX SEN '!Z$4,'7. PGE_Efficacité'!$A$4:$AO$4,0)),0)</f>
        <v>0</v>
      </c>
      <c r="AA37" s="61">
        <f>VLOOKUP($B37,'7. PGE_Efficacité'!$A$6:$CY$266,(MATCH('[3]4.4 ACE MAX SEN '!AA$4,'7. PGE_Efficacité'!$A$4:$AO$4,0)),0)</f>
        <v>0</v>
      </c>
      <c r="AB37" s="61">
        <f>VLOOKUP($B37,'7. PGE_Efficacité'!$A$6:$CY$266,(MATCH('[3]4.4 ACE MAX SEN '!AB$4,'7. PGE_Efficacité'!$A$4:$AO$4,0)),0)</f>
        <v>0</v>
      </c>
      <c r="AC37" s="61">
        <f>VLOOKUP($B37,'7. PGE_Efficacité'!$A$6:$CY$266,(MATCH('[3]4.4 ACE MAX SEN '!AC$4,'7. PGE_Efficacité'!$A$4:$AO$4,0)),0)</f>
        <v>0</v>
      </c>
      <c r="AD37" s="61">
        <f>VLOOKUP($B37,'7. PGE_Efficacité'!$A$6:$CY$266,(MATCH('[3]4.4 ACE MAX SEN '!AD$4,'7. PGE_Efficacité'!$A$4:$AO$4,0)),0)</f>
        <v>0</v>
      </c>
      <c r="AE37" s="61">
        <f>VLOOKUP($B37,'7. PGE_Efficacité'!$A$6:$CY$266,(MATCH('[3]4.4 ACE MAX SEN '!AE$4,'7. PGE_Efficacité'!$A$4:$AO$4,0)),0)</f>
        <v>0</v>
      </c>
      <c r="AF37" s="61">
        <f>VLOOKUP($B37,'7. PGE_Efficacité'!$A$6:$CY$266,(MATCH('[3]4.4 ACE MAX SEN '!AF$4,'7. PGE_Efficacité'!$A$4:$AO$4,0)),0)</f>
        <v>0</v>
      </c>
      <c r="AG37" s="61">
        <f>VLOOKUP($B37,'7. PGE_Efficacité'!$A$6:$CY$266,(MATCH('[3]4.4 ACE MAX SEN '!AG$4,'7. PGE_Efficacité'!$A$4:$AO$4,0)),0)</f>
        <v>0</v>
      </c>
      <c r="AH37" s="61">
        <f>VLOOKUP($B37,'7. PGE_Efficacité'!$A$6:$CY$266,(MATCH('[3]4.4 ACE MAX SEN '!AH$4,'7. PGE_Efficacité'!$A$4:$AO$4,0)),0)</f>
        <v>0</v>
      </c>
      <c r="AI37" s="61">
        <f>VLOOKUP($B37,'7. PGE_Efficacité'!$A$6:$CY$266,(MATCH('[3]4.4 ACE MAX SEN '!AI$4,'7. PGE_Efficacité'!$A$4:$AO$4,0)),0)</f>
        <v>0</v>
      </c>
      <c r="AJ37" s="61">
        <f>VLOOKUP($B37,'7. PGE_Efficacité'!$A$6:$CY$266,(MATCH('[3]4.4 ACE MAX SEN '!AJ$4,'7. PGE_Efficacité'!$A$4:$AO$4,0)),0)</f>
        <v>0</v>
      </c>
      <c r="AK37" s="61">
        <f>VLOOKUP($B37,'7. PGE_Efficacité'!$A$6:$CY$266,(MATCH('[3]4.4 ACE MAX SEN '!AK$4,'7. PGE_Efficacité'!$A$4:$AO$4,0)),0)</f>
        <v>0</v>
      </c>
    </row>
    <row r="38" spans="1:37" hidden="1" outlineLevel="2" x14ac:dyDescent="0.25">
      <c r="A38" s="65" t="s">
        <v>3</v>
      </c>
      <c r="B38" s="65" t="s">
        <v>789</v>
      </c>
      <c r="C38" s="65" t="s">
        <v>1427</v>
      </c>
      <c r="D38" s="65" t="s">
        <v>1520</v>
      </c>
      <c r="E38" s="65" t="s">
        <v>1290</v>
      </c>
      <c r="F38" s="73"/>
      <c r="G38" s="64">
        <f>VLOOKUP($B38,'7. PGE_Efficacité'!$A$6:$CY$266,(MATCH('[3]4.4 ACE MAX SEN '!G$4,'7. PGE_Efficacité'!$A$4:$AO$4,0)),0)</f>
        <v>0</v>
      </c>
      <c r="H38" s="64">
        <f>VLOOKUP($B38,'7. PGE_Efficacité'!$A$6:$CY$266,(MATCH('[3]4.4 ACE MAX SEN '!H$4,'7. PGE_Efficacité'!$A$4:$AO$4,0)),0)</f>
        <v>0</v>
      </c>
      <c r="I38" s="64">
        <f>VLOOKUP($B38,'7. PGE_Efficacité'!$A$6:$CY$266,(MATCH('[3]4.4 ACE MAX SEN '!I$4,'7. PGE_Efficacité'!$A$4:$AO$4,0)),0)</f>
        <v>0</v>
      </c>
      <c r="J38" s="64">
        <f>VLOOKUP($B38,'7. PGE_Efficacité'!$A$6:$CY$266,(MATCH('[3]4.4 ACE MAX SEN '!J$4,'7. PGE_Efficacité'!$A$4:$AO$4,0)),0)</f>
        <v>0</v>
      </c>
      <c r="K38" s="64">
        <f>VLOOKUP($B38,'7. PGE_Efficacité'!$A$6:$CY$266,(MATCH('[3]4.4 ACE MAX SEN '!K$4,'7. PGE_Efficacité'!$A$4:$AO$4,0)),0)</f>
        <v>0</v>
      </c>
      <c r="L38" s="64">
        <f>VLOOKUP($B38,'7. PGE_Efficacité'!$A$6:$CY$266,(MATCH('[3]4.4 ACE MAX SEN '!L$4,'7. PGE_Efficacité'!$A$4:$AO$4,0)),0)</f>
        <v>0</v>
      </c>
      <c r="M38" s="64">
        <f>VLOOKUP($B38,'7. PGE_Efficacité'!$A$6:$CY$266,(MATCH('[3]4.4 ACE MAX SEN '!M$4,'7. PGE_Efficacité'!$A$4:$AO$4,0)),0)</f>
        <v>0</v>
      </c>
      <c r="N38" s="64">
        <f>VLOOKUP($B38,'7. PGE_Efficacité'!$A$6:$CY$266,(MATCH('[3]4.4 ACE MAX SEN '!N$4,'7. PGE_Efficacité'!$A$4:$AO$4,0)),0)</f>
        <v>0</v>
      </c>
      <c r="O38" s="64">
        <f>VLOOKUP($B38,'7. PGE_Efficacité'!$A$6:$CY$266,(MATCH('[3]4.4 ACE MAX SEN '!O$4,'7. PGE_Efficacité'!$A$4:$AO$4,0)),0)</f>
        <v>0</v>
      </c>
      <c r="P38" s="64">
        <f>VLOOKUP($B38,'7. PGE_Efficacité'!$A$6:$CY$266,(MATCH('[3]4.4 ACE MAX SEN '!P$4,'7. PGE_Efficacité'!$A$4:$AO$4,0)),0)</f>
        <v>0</v>
      </c>
      <c r="Q38" s="64">
        <f>VLOOKUP($B38,'7. PGE_Efficacité'!$A$6:$CY$266,(MATCH('[3]4.4 ACE MAX SEN '!Q$4,'7. PGE_Efficacité'!$A$4:$AO$4,0)),0)</f>
        <v>0</v>
      </c>
      <c r="R38" s="64">
        <f>VLOOKUP($B38,'7. PGE_Efficacité'!$A$6:$CY$266,(MATCH('[3]4.4 ACE MAX SEN '!R$4,'7. PGE_Efficacité'!$A$4:$AO$4,0)),0)</f>
        <v>0</v>
      </c>
      <c r="S38" s="64">
        <f>VLOOKUP($B38,'7. PGE_Efficacité'!$A$6:$CY$266,(MATCH('[3]4.4 ACE MAX SEN '!S$4,'7. PGE_Efficacité'!$A$4:$AO$4,0)),0)</f>
        <v>0</v>
      </c>
      <c r="T38" s="64">
        <f>VLOOKUP($B38,'7. PGE_Efficacité'!$A$6:$CY$266,(MATCH('[3]4.4 ACE MAX SEN '!T$4,'7. PGE_Efficacité'!$A$4:$AO$4,0)),0)</f>
        <v>0</v>
      </c>
      <c r="U38" s="64">
        <f>VLOOKUP($B38,'7. PGE_Efficacité'!$A$6:$CY$266,(MATCH('[3]4.4 ACE MAX SEN '!U$4,'7. PGE_Efficacité'!$A$4:$AO$4,0)),0)</f>
        <v>0</v>
      </c>
      <c r="V38" s="64">
        <f>VLOOKUP($B38,'7. PGE_Efficacité'!$A$6:$CY$266,(MATCH('[3]4.4 ACE MAX SEN '!V$4,'7. PGE_Efficacité'!$A$4:$AO$4,0)),0)</f>
        <v>0</v>
      </c>
      <c r="W38" s="61">
        <f>VLOOKUP($B38,'7. PGE_Efficacité'!$A$6:$CY$266,(MATCH('[3]4.4 ACE MAX SEN '!W$4,'7. PGE_Efficacité'!$A$4:$AO$4,0)),0)</f>
        <v>0</v>
      </c>
      <c r="X38" s="61">
        <f>VLOOKUP($B38,'7. PGE_Efficacité'!$A$6:$CY$266,(MATCH('[3]4.4 ACE MAX SEN '!X$4,'7. PGE_Efficacité'!$A$4:$AO$4,0)),0)</f>
        <v>0</v>
      </c>
      <c r="Y38" s="61">
        <f>VLOOKUP($B38,'7. PGE_Efficacité'!$A$6:$CY$266,(MATCH('[3]4.4 ACE MAX SEN '!Y$4,'7. PGE_Efficacité'!$A$4:$AO$4,0)),0)</f>
        <v>0</v>
      </c>
      <c r="Z38" s="61">
        <f>VLOOKUP($B38,'7. PGE_Efficacité'!$A$6:$CY$266,(MATCH('[3]4.4 ACE MAX SEN '!Z$4,'7. PGE_Efficacité'!$A$4:$AO$4,0)),0)</f>
        <v>0</v>
      </c>
      <c r="AA38" s="61">
        <f>VLOOKUP($B38,'7. PGE_Efficacité'!$A$6:$CY$266,(MATCH('[3]4.4 ACE MAX SEN '!AA$4,'7. PGE_Efficacité'!$A$4:$AO$4,0)),0)</f>
        <v>0</v>
      </c>
      <c r="AB38" s="61">
        <f>VLOOKUP($B38,'7. PGE_Efficacité'!$A$6:$CY$266,(MATCH('[3]4.4 ACE MAX SEN '!AB$4,'7. PGE_Efficacité'!$A$4:$AO$4,0)),0)</f>
        <v>0</v>
      </c>
      <c r="AC38" s="61">
        <f>VLOOKUP($B38,'7. PGE_Efficacité'!$A$6:$CY$266,(MATCH('[3]4.4 ACE MAX SEN '!AC$4,'7. PGE_Efficacité'!$A$4:$AO$4,0)),0)</f>
        <v>0</v>
      </c>
      <c r="AD38" s="61">
        <f>VLOOKUP($B38,'7. PGE_Efficacité'!$A$6:$CY$266,(MATCH('[3]4.4 ACE MAX SEN '!AD$4,'7. PGE_Efficacité'!$A$4:$AO$4,0)),0)</f>
        <v>0</v>
      </c>
      <c r="AE38" s="61">
        <f>VLOOKUP($B38,'7. PGE_Efficacité'!$A$6:$CY$266,(MATCH('[3]4.4 ACE MAX SEN '!AE$4,'7. PGE_Efficacité'!$A$4:$AO$4,0)),0)</f>
        <v>0</v>
      </c>
      <c r="AF38" s="61">
        <f>VLOOKUP($B38,'7. PGE_Efficacité'!$A$6:$CY$266,(MATCH('[3]4.4 ACE MAX SEN '!AF$4,'7. PGE_Efficacité'!$A$4:$AO$4,0)),0)</f>
        <v>0</v>
      </c>
      <c r="AG38" s="61">
        <f>VLOOKUP($B38,'7. PGE_Efficacité'!$A$6:$CY$266,(MATCH('[3]4.4 ACE MAX SEN '!AG$4,'7. PGE_Efficacité'!$A$4:$AO$4,0)),0)</f>
        <v>0</v>
      </c>
      <c r="AH38" s="61">
        <f>VLOOKUP($B38,'7. PGE_Efficacité'!$A$6:$CY$266,(MATCH('[3]4.4 ACE MAX SEN '!AH$4,'7. PGE_Efficacité'!$A$4:$AO$4,0)),0)</f>
        <v>0</v>
      </c>
      <c r="AI38" s="61">
        <f>VLOOKUP($B38,'7. PGE_Efficacité'!$A$6:$CY$266,(MATCH('[3]4.4 ACE MAX SEN '!AI$4,'7. PGE_Efficacité'!$A$4:$AO$4,0)),0)</f>
        <v>0</v>
      </c>
      <c r="AJ38" s="61">
        <f>VLOOKUP($B38,'7. PGE_Efficacité'!$A$6:$CY$266,(MATCH('[3]4.4 ACE MAX SEN '!AJ$4,'7. PGE_Efficacité'!$A$4:$AO$4,0)),0)</f>
        <v>0</v>
      </c>
      <c r="AK38" s="61">
        <f>VLOOKUP($B38,'7. PGE_Efficacité'!$A$6:$CY$266,(MATCH('[3]4.4 ACE MAX SEN '!AK$4,'7. PGE_Efficacité'!$A$4:$AO$4,0)),0)</f>
        <v>0</v>
      </c>
    </row>
    <row r="39" spans="1:37" hidden="1" outlineLevel="2" x14ac:dyDescent="0.25">
      <c r="A39" s="65" t="s">
        <v>3</v>
      </c>
      <c r="B39" s="65" t="s">
        <v>790</v>
      </c>
      <c r="C39" s="65" t="s">
        <v>1428</v>
      </c>
      <c r="D39" s="65" t="s">
        <v>1520</v>
      </c>
      <c r="E39" s="65" t="s">
        <v>1290</v>
      </c>
      <c r="F39" s="73"/>
      <c r="G39" s="64">
        <f>VLOOKUP($B39,'7. PGE_Efficacité'!$A$6:$CY$266,(MATCH('[3]4.4 ACE MAX SEN '!G$4,'7. PGE_Efficacité'!$A$4:$AO$4,0)),0)</f>
        <v>0</v>
      </c>
      <c r="H39" s="64">
        <f>VLOOKUP($B39,'7. PGE_Efficacité'!$A$6:$CY$266,(MATCH('[3]4.4 ACE MAX SEN '!H$4,'7. PGE_Efficacité'!$A$4:$AO$4,0)),0)</f>
        <v>0</v>
      </c>
      <c r="I39" s="64">
        <f>VLOOKUP($B39,'7. PGE_Efficacité'!$A$6:$CY$266,(MATCH('[3]4.4 ACE MAX SEN '!I$4,'7. PGE_Efficacité'!$A$4:$AO$4,0)),0)</f>
        <v>0</v>
      </c>
      <c r="J39" s="64">
        <f>VLOOKUP($B39,'7. PGE_Efficacité'!$A$6:$CY$266,(MATCH('[3]4.4 ACE MAX SEN '!J$4,'7. PGE_Efficacité'!$A$4:$AO$4,0)),0)</f>
        <v>0</v>
      </c>
      <c r="K39" s="64">
        <f>VLOOKUP($B39,'7. PGE_Efficacité'!$A$6:$CY$266,(MATCH('[3]4.4 ACE MAX SEN '!K$4,'7. PGE_Efficacité'!$A$4:$AO$4,0)),0)</f>
        <v>0</v>
      </c>
      <c r="L39" s="64">
        <f>VLOOKUP($B39,'7. PGE_Efficacité'!$A$6:$CY$266,(MATCH('[3]4.4 ACE MAX SEN '!L$4,'7. PGE_Efficacité'!$A$4:$AO$4,0)),0)</f>
        <v>0</v>
      </c>
      <c r="M39" s="64">
        <f>VLOOKUP($B39,'7. PGE_Efficacité'!$A$6:$CY$266,(MATCH('[3]4.4 ACE MAX SEN '!M$4,'7. PGE_Efficacité'!$A$4:$AO$4,0)),0)</f>
        <v>0</v>
      </c>
      <c r="N39" s="64">
        <f>VLOOKUP($B39,'7. PGE_Efficacité'!$A$6:$CY$266,(MATCH('[3]4.4 ACE MAX SEN '!N$4,'7. PGE_Efficacité'!$A$4:$AO$4,0)),0)</f>
        <v>0</v>
      </c>
      <c r="O39" s="64">
        <f>VLOOKUP($B39,'7. PGE_Efficacité'!$A$6:$CY$266,(MATCH('[3]4.4 ACE MAX SEN '!O$4,'7. PGE_Efficacité'!$A$4:$AO$4,0)),0)</f>
        <v>0</v>
      </c>
      <c r="P39" s="64">
        <f>VLOOKUP($B39,'7. PGE_Efficacité'!$A$6:$CY$266,(MATCH('[3]4.4 ACE MAX SEN '!P$4,'7. PGE_Efficacité'!$A$4:$AO$4,0)),0)</f>
        <v>0</v>
      </c>
      <c r="Q39" s="64">
        <f>VLOOKUP($B39,'7. PGE_Efficacité'!$A$6:$CY$266,(MATCH('[3]4.4 ACE MAX SEN '!Q$4,'7. PGE_Efficacité'!$A$4:$AO$4,0)),0)</f>
        <v>0</v>
      </c>
      <c r="R39" s="64">
        <f>VLOOKUP($B39,'7. PGE_Efficacité'!$A$6:$CY$266,(MATCH('[3]4.4 ACE MAX SEN '!R$4,'7. PGE_Efficacité'!$A$4:$AO$4,0)),0)</f>
        <v>0</v>
      </c>
      <c r="S39" s="64">
        <f>VLOOKUP($B39,'7. PGE_Efficacité'!$A$6:$CY$266,(MATCH('[3]4.4 ACE MAX SEN '!S$4,'7. PGE_Efficacité'!$A$4:$AO$4,0)),0)</f>
        <v>0</v>
      </c>
      <c r="T39" s="64">
        <f>VLOOKUP($B39,'7. PGE_Efficacité'!$A$6:$CY$266,(MATCH('[3]4.4 ACE MAX SEN '!T$4,'7. PGE_Efficacité'!$A$4:$AO$4,0)),0)</f>
        <v>0</v>
      </c>
      <c r="U39" s="64">
        <f>VLOOKUP($B39,'7. PGE_Efficacité'!$A$6:$CY$266,(MATCH('[3]4.4 ACE MAX SEN '!U$4,'7. PGE_Efficacité'!$A$4:$AO$4,0)),0)</f>
        <v>0</v>
      </c>
      <c r="V39" s="64">
        <f>VLOOKUP($B39,'7. PGE_Efficacité'!$A$6:$CY$266,(MATCH('[3]4.4 ACE MAX SEN '!V$4,'7. PGE_Efficacité'!$A$4:$AO$4,0)),0)</f>
        <v>0</v>
      </c>
      <c r="W39" s="61">
        <f>VLOOKUP($B39,'7. PGE_Efficacité'!$A$6:$CY$266,(MATCH('[3]4.4 ACE MAX SEN '!W$4,'7. PGE_Efficacité'!$A$4:$AO$4,0)),0)</f>
        <v>0</v>
      </c>
      <c r="X39" s="61">
        <f>VLOOKUP($B39,'7. PGE_Efficacité'!$A$6:$CY$266,(MATCH('[3]4.4 ACE MAX SEN '!X$4,'7. PGE_Efficacité'!$A$4:$AO$4,0)),0)</f>
        <v>0</v>
      </c>
      <c r="Y39" s="61">
        <f>VLOOKUP($B39,'7. PGE_Efficacité'!$A$6:$CY$266,(MATCH('[3]4.4 ACE MAX SEN '!Y$4,'7. PGE_Efficacité'!$A$4:$AO$4,0)),0)</f>
        <v>0</v>
      </c>
      <c r="Z39" s="61">
        <f>VLOOKUP($B39,'7. PGE_Efficacité'!$A$6:$CY$266,(MATCH('[3]4.4 ACE MAX SEN '!Z$4,'7. PGE_Efficacité'!$A$4:$AO$4,0)),0)</f>
        <v>0</v>
      </c>
      <c r="AA39" s="61">
        <f>VLOOKUP($B39,'7. PGE_Efficacité'!$A$6:$CY$266,(MATCH('[3]4.4 ACE MAX SEN '!AA$4,'7. PGE_Efficacité'!$A$4:$AO$4,0)),0)</f>
        <v>0</v>
      </c>
      <c r="AB39" s="61">
        <f>VLOOKUP($B39,'7. PGE_Efficacité'!$A$6:$CY$266,(MATCH('[3]4.4 ACE MAX SEN '!AB$4,'7. PGE_Efficacité'!$A$4:$AO$4,0)),0)</f>
        <v>0</v>
      </c>
      <c r="AC39" s="61">
        <f>VLOOKUP($B39,'7. PGE_Efficacité'!$A$6:$CY$266,(MATCH('[3]4.4 ACE MAX SEN '!AC$4,'7. PGE_Efficacité'!$A$4:$AO$4,0)),0)</f>
        <v>0</v>
      </c>
      <c r="AD39" s="61">
        <f>VLOOKUP($B39,'7. PGE_Efficacité'!$A$6:$CY$266,(MATCH('[3]4.4 ACE MAX SEN '!AD$4,'7. PGE_Efficacité'!$A$4:$AO$4,0)),0)</f>
        <v>0</v>
      </c>
      <c r="AE39" s="61">
        <f>VLOOKUP($B39,'7. PGE_Efficacité'!$A$6:$CY$266,(MATCH('[3]4.4 ACE MAX SEN '!AE$4,'7. PGE_Efficacité'!$A$4:$AO$4,0)),0)</f>
        <v>0</v>
      </c>
      <c r="AF39" s="61">
        <f>VLOOKUP($B39,'7. PGE_Efficacité'!$A$6:$CY$266,(MATCH('[3]4.4 ACE MAX SEN '!AF$4,'7. PGE_Efficacité'!$A$4:$AO$4,0)),0)</f>
        <v>0</v>
      </c>
      <c r="AG39" s="61">
        <f>VLOOKUP($B39,'7. PGE_Efficacité'!$A$6:$CY$266,(MATCH('[3]4.4 ACE MAX SEN '!AG$4,'7. PGE_Efficacité'!$A$4:$AO$4,0)),0)</f>
        <v>0</v>
      </c>
      <c r="AH39" s="61">
        <f>VLOOKUP($B39,'7. PGE_Efficacité'!$A$6:$CY$266,(MATCH('[3]4.4 ACE MAX SEN '!AH$4,'7. PGE_Efficacité'!$A$4:$AO$4,0)),0)</f>
        <v>0</v>
      </c>
      <c r="AI39" s="61">
        <f>VLOOKUP($B39,'7. PGE_Efficacité'!$A$6:$CY$266,(MATCH('[3]4.4 ACE MAX SEN '!AI$4,'7. PGE_Efficacité'!$A$4:$AO$4,0)),0)</f>
        <v>0</v>
      </c>
      <c r="AJ39" s="61">
        <f>VLOOKUP($B39,'7. PGE_Efficacité'!$A$6:$CY$266,(MATCH('[3]4.4 ACE MAX SEN '!AJ$4,'7. PGE_Efficacité'!$A$4:$AO$4,0)),0)</f>
        <v>0</v>
      </c>
      <c r="AK39" s="61">
        <f>VLOOKUP($B39,'7. PGE_Efficacité'!$A$6:$CY$266,(MATCH('[3]4.4 ACE MAX SEN '!AK$4,'7. PGE_Efficacité'!$A$4:$AO$4,0)),0)</f>
        <v>0</v>
      </c>
    </row>
    <row r="40" spans="1:37" hidden="1" outlineLevel="2" x14ac:dyDescent="0.25">
      <c r="A40" s="65" t="s">
        <v>3</v>
      </c>
      <c r="B40" s="65" t="s">
        <v>791</v>
      </c>
      <c r="C40" s="65" t="s">
        <v>1429</v>
      </c>
      <c r="D40" s="65" t="s">
        <v>1520</v>
      </c>
      <c r="E40" s="65" t="s">
        <v>1290</v>
      </c>
      <c r="F40" s="73"/>
      <c r="G40" s="64">
        <f>VLOOKUP($B40,'7. PGE_Efficacité'!$A$6:$CY$266,(MATCH('[3]4.4 ACE MAX SEN '!G$4,'7. PGE_Efficacité'!$A$4:$AO$4,0)),0)</f>
        <v>0</v>
      </c>
      <c r="H40" s="64">
        <f>VLOOKUP($B40,'7. PGE_Efficacité'!$A$6:$CY$266,(MATCH('[3]4.4 ACE MAX SEN '!H$4,'7. PGE_Efficacité'!$A$4:$AO$4,0)),0)</f>
        <v>0</v>
      </c>
      <c r="I40" s="64">
        <f>VLOOKUP($B40,'7. PGE_Efficacité'!$A$6:$CY$266,(MATCH('[3]4.4 ACE MAX SEN '!I$4,'7. PGE_Efficacité'!$A$4:$AO$4,0)),0)</f>
        <v>0</v>
      </c>
      <c r="J40" s="64">
        <f>VLOOKUP($B40,'7. PGE_Efficacité'!$A$6:$CY$266,(MATCH('[3]4.4 ACE MAX SEN '!J$4,'7. PGE_Efficacité'!$A$4:$AO$4,0)),0)</f>
        <v>0</v>
      </c>
      <c r="K40" s="64">
        <f>VLOOKUP($B40,'7. PGE_Efficacité'!$A$6:$CY$266,(MATCH('[3]4.4 ACE MAX SEN '!K$4,'7. PGE_Efficacité'!$A$4:$AO$4,0)),0)</f>
        <v>0</v>
      </c>
      <c r="L40" s="64">
        <f>VLOOKUP($B40,'7. PGE_Efficacité'!$A$6:$CY$266,(MATCH('[3]4.4 ACE MAX SEN '!L$4,'7. PGE_Efficacité'!$A$4:$AO$4,0)),0)</f>
        <v>0</v>
      </c>
      <c r="M40" s="64">
        <f>VLOOKUP($B40,'7. PGE_Efficacité'!$A$6:$CY$266,(MATCH('[3]4.4 ACE MAX SEN '!M$4,'7. PGE_Efficacité'!$A$4:$AO$4,0)),0)</f>
        <v>0</v>
      </c>
      <c r="N40" s="64">
        <f>VLOOKUP($B40,'7. PGE_Efficacité'!$A$6:$CY$266,(MATCH('[3]4.4 ACE MAX SEN '!N$4,'7. PGE_Efficacité'!$A$4:$AO$4,0)),0)</f>
        <v>0</v>
      </c>
      <c r="O40" s="64">
        <f>VLOOKUP($B40,'7. PGE_Efficacité'!$A$6:$CY$266,(MATCH('[3]4.4 ACE MAX SEN '!O$4,'7. PGE_Efficacité'!$A$4:$AO$4,0)),0)</f>
        <v>0</v>
      </c>
      <c r="P40" s="64">
        <f>VLOOKUP($B40,'7. PGE_Efficacité'!$A$6:$CY$266,(MATCH('[3]4.4 ACE MAX SEN '!P$4,'7. PGE_Efficacité'!$A$4:$AO$4,0)),0)</f>
        <v>0</v>
      </c>
      <c r="Q40" s="64">
        <f>VLOOKUP($B40,'7. PGE_Efficacité'!$A$6:$CY$266,(MATCH('[3]4.4 ACE MAX SEN '!Q$4,'7. PGE_Efficacité'!$A$4:$AO$4,0)),0)</f>
        <v>0</v>
      </c>
      <c r="R40" s="64">
        <f>VLOOKUP($B40,'7. PGE_Efficacité'!$A$6:$CY$266,(MATCH('[3]4.4 ACE MAX SEN '!R$4,'7. PGE_Efficacité'!$A$4:$AO$4,0)),0)</f>
        <v>0</v>
      </c>
      <c r="S40" s="64">
        <f>VLOOKUP($B40,'7. PGE_Efficacité'!$A$6:$CY$266,(MATCH('[3]4.4 ACE MAX SEN '!S$4,'7. PGE_Efficacité'!$A$4:$AO$4,0)),0)</f>
        <v>0</v>
      </c>
      <c r="T40" s="64">
        <f>VLOOKUP($B40,'7. PGE_Efficacité'!$A$6:$CY$266,(MATCH('[3]4.4 ACE MAX SEN '!T$4,'7. PGE_Efficacité'!$A$4:$AO$4,0)),0)</f>
        <v>0</v>
      </c>
      <c r="U40" s="64">
        <f>VLOOKUP($B40,'7. PGE_Efficacité'!$A$6:$CY$266,(MATCH('[3]4.4 ACE MAX SEN '!U$4,'7. PGE_Efficacité'!$A$4:$AO$4,0)),0)</f>
        <v>0</v>
      </c>
      <c r="V40" s="64">
        <f>VLOOKUP($B40,'7. PGE_Efficacité'!$A$6:$CY$266,(MATCH('[3]4.4 ACE MAX SEN '!V$4,'7. PGE_Efficacité'!$A$4:$AO$4,0)),0)</f>
        <v>0</v>
      </c>
      <c r="W40" s="61">
        <f>VLOOKUP($B40,'7. PGE_Efficacité'!$A$6:$CY$266,(MATCH('[3]4.4 ACE MAX SEN '!W$4,'7. PGE_Efficacité'!$A$4:$AO$4,0)),0)</f>
        <v>0</v>
      </c>
      <c r="X40" s="61">
        <f>VLOOKUP($B40,'7. PGE_Efficacité'!$A$6:$CY$266,(MATCH('[3]4.4 ACE MAX SEN '!X$4,'7. PGE_Efficacité'!$A$4:$AO$4,0)),0)</f>
        <v>0</v>
      </c>
      <c r="Y40" s="61">
        <f>VLOOKUP($B40,'7. PGE_Efficacité'!$A$6:$CY$266,(MATCH('[3]4.4 ACE MAX SEN '!Y$4,'7. PGE_Efficacité'!$A$4:$AO$4,0)),0)</f>
        <v>0</v>
      </c>
      <c r="Z40" s="61">
        <f>VLOOKUP($B40,'7. PGE_Efficacité'!$A$6:$CY$266,(MATCH('[3]4.4 ACE MAX SEN '!Z$4,'7. PGE_Efficacité'!$A$4:$AO$4,0)),0)</f>
        <v>0</v>
      </c>
      <c r="AA40" s="61">
        <f>VLOOKUP($B40,'7. PGE_Efficacité'!$A$6:$CY$266,(MATCH('[3]4.4 ACE MAX SEN '!AA$4,'7. PGE_Efficacité'!$A$4:$AO$4,0)),0)</f>
        <v>0</v>
      </c>
      <c r="AB40" s="61">
        <f>VLOOKUP($B40,'7. PGE_Efficacité'!$A$6:$CY$266,(MATCH('[3]4.4 ACE MAX SEN '!AB$4,'7. PGE_Efficacité'!$A$4:$AO$4,0)),0)</f>
        <v>0</v>
      </c>
      <c r="AC40" s="61">
        <f>VLOOKUP($B40,'7. PGE_Efficacité'!$A$6:$CY$266,(MATCH('[3]4.4 ACE MAX SEN '!AC$4,'7. PGE_Efficacité'!$A$4:$AO$4,0)),0)</f>
        <v>0</v>
      </c>
      <c r="AD40" s="61">
        <f>VLOOKUP($B40,'7. PGE_Efficacité'!$A$6:$CY$266,(MATCH('[3]4.4 ACE MAX SEN '!AD$4,'7. PGE_Efficacité'!$A$4:$AO$4,0)),0)</f>
        <v>0</v>
      </c>
      <c r="AE40" s="61">
        <f>VLOOKUP($B40,'7. PGE_Efficacité'!$A$6:$CY$266,(MATCH('[3]4.4 ACE MAX SEN '!AE$4,'7. PGE_Efficacité'!$A$4:$AO$4,0)),0)</f>
        <v>0</v>
      </c>
      <c r="AF40" s="61">
        <f>VLOOKUP($B40,'7. PGE_Efficacité'!$A$6:$CY$266,(MATCH('[3]4.4 ACE MAX SEN '!AF$4,'7. PGE_Efficacité'!$A$4:$AO$4,0)),0)</f>
        <v>0</v>
      </c>
      <c r="AG40" s="61">
        <f>VLOOKUP($B40,'7. PGE_Efficacité'!$A$6:$CY$266,(MATCH('[3]4.4 ACE MAX SEN '!AG$4,'7. PGE_Efficacité'!$A$4:$AO$4,0)),0)</f>
        <v>0</v>
      </c>
      <c r="AH40" s="61">
        <f>VLOOKUP($B40,'7. PGE_Efficacité'!$A$6:$CY$266,(MATCH('[3]4.4 ACE MAX SEN '!AH$4,'7. PGE_Efficacité'!$A$4:$AO$4,0)),0)</f>
        <v>0</v>
      </c>
      <c r="AI40" s="61">
        <f>VLOOKUP($B40,'7. PGE_Efficacité'!$A$6:$CY$266,(MATCH('[3]4.4 ACE MAX SEN '!AI$4,'7. PGE_Efficacité'!$A$4:$AO$4,0)),0)</f>
        <v>0</v>
      </c>
      <c r="AJ40" s="61">
        <f>VLOOKUP($B40,'7. PGE_Efficacité'!$A$6:$CY$266,(MATCH('[3]4.4 ACE MAX SEN '!AJ$4,'7. PGE_Efficacité'!$A$4:$AO$4,0)),0)</f>
        <v>0</v>
      </c>
      <c r="AK40" s="61">
        <f>VLOOKUP($B40,'7. PGE_Efficacité'!$A$6:$CY$266,(MATCH('[3]4.4 ACE MAX SEN '!AK$4,'7. PGE_Efficacité'!$A$4:$AO$4,0)),0)</f>
        <v>0</v>
      </c>
    </row>
    <row r="41" spans="1:37" hidden="1" outlineLevel="2" x14ac:dyDescent="0.25">
      <c r="A41" s="65" t="s">
        <v>3</v>
      </c>
      <c r="B41" s="65" t="s">
        <v>792</v>
      </c>
      <c r="C41" s="65" t="s">
        <v>1430</v>
      </c>
      <c r="D41" s="65" t="s">
        <v>1520</v>
      </c>
      <c r="E41" s="65" t="s">
        <v>1290</v>
      </c>
      <c r="F41" s="73"/>
      <c r="G41" s="64">
        <f>VLOOKUP($B41,'7. PGE_Efficacité'!$A$6:$CY$266,(MATCH('[3]4.4 ACE MAX SEN '!G$4,'7. PGE_Efficacité'!$A$4:$AO$4,0)),0)</f>
        <v>0</v>
      </c>
      <c r="H41" s="64">
        <f>VLOOKUP($B41,'7. PGE_Efficacité'!$A$6:$CY$266,(MATCH('[3]4.4 ACE MAX SEN '!H$4,'7. PGE_Efficacité'!$A$4:$AO$4,0)),0)</f>
        <v>0</v>
      </c>
      <c r="I41" s="64">
        <f>VLOOKUP($B41,'7. PGE_Efficacité'!$A$6:$CY$266,(MATCH('[3]4.4 ACE MAX SEN '!I$4,'7. PGE_Efficacité'!$A$4:$AO$4,0)),0)</f>
        <v>0</v>
      </c>
      <c r="J41" s="64">
        <f>VLOOKUP($B41,'7. PGE_Efficacité'!$A$6:$CY$266,(MATCH('[3]4.4 ACE MAX SEN '!J$4,'7. PGE_Efficacité'!$A$4:$AO$4,0)),0)</f>
        <v>0</v>
      </c>
      <c r="K41" s="64">
        <f>VLOOKUP($B41,'7. PGE_Efficacité'!$A$6:$CY$266,(MATCH('[3]4.4 ACE MAX SEN '!K$4,'7. PGE_Efficacité'!$A$4:$AO$4,0)),0)</f>
        <v>0</v>
      </c>
      <c r="L41" s="64">
        <f>VLOOKUP($B41,'7. PGE_Efficacité'!$A$6:$CY$266,(MATCH('[3]4.4 ACE MAX SEN '!L$4,'7. PGE_Efficacité'!$A$4:$AO$4,0)),0)</f>
        <v>0</v>
      </c>
      <c r="M41" s="64">
        <f>VLOOKUP($B41,'7. PGE_Efficacité'!$A$6:$CY$266,(MATCH('[3]4.4 ACE MAX SEN '!M$4,'7. PGE_Efficacité'!$A$4:$AO$4,0)),0)</f>
        <v>0</v>
      </c>
      <c r="N41" s="64">
        <f>VLOOKUP($B41,'7. PGE_Efficacité'!$A$6:$CY$266,(MATCH('[3]4.4 ACE MAX SEN '!N$4,'7. PGE_Efficacité'!$A$4:$AO$4,0)),0)</f>
        <v>0</v>
      </c>
      <c r="O41" s="64">
        <f>VLOOKUP($B41,'7. PGE_Efficacité'!$A$6:$CY$266,(MATCH('[3]4.4 ACE MAX SEN '!O$4,'7. PGE_Efficacité'!$A$4:$AO$4,0)),0)</f>
        <v>0</v>
      </c>
      <c r="P41" s="64">
        <f>VLOOKUP($B41,'7. PGE_Efficacité'!$A$6:$CY$266,(MATCH('[3]4.4 ACE MAX SEN '!P$4,'7. PGE_Efficacité'!$A$4:$AO$4,0)),0)</f>
        <v>0</v>
      </c>
      <c r="Q41" s="64">
        <f>VLOOKUP($B41,'7. PGE_Efficacité'!$A$6:$CY$266,(MATCH('[3]4.4 ACE MAX SEN '!Q$4,'7. PGE_Efficacité'!$A$4:$AO$4,0)),0)</f>
        <v>0</v>
      </c>
      <c r="R41" s="64">
        <f>VLOOKUP($B41,'7. PGE_Efficacité'!$A$6:$CY$266,(MATCH('[3]4.4 ACE MAX SEN '!R$4,'7. PGE_Efficacité'!$A$4:$AO$4,0)),0)</f>
        <v>0</v>
      </c>
      <c r="S41" s="64">
        <f>VLOOKUP($B41,'7. PGE_Efficacité'!$A$6:$CY$266,(MATCH('[3]4.4 ACE MAX SEN '!S$4,'7. PGE_Efficacité'!$A$4:$AO$4,0)),0)</f>
        <v>0</v>
      </c>
      <c r="T41" s="64">
        <f>VLOOKUP($B41,'7. PGE_Efficacité'!$A$6:$CY$266,(MATCH('[3]4.4 ACE MAX SEN '!T$4,'7. PGE_Efficacité'!$A$4:$AO$4,0)),0)</f>
        <v>0</v>
      </c>
      <c r="U41" s="64">
        <f>VLOOKUP($B41,'7. PGE_Efficacité'!$A$6:$CY$266,(MATCH('[3]4.4 ACE MAX SEN '!U$4,'7. PGE_Efficacité'!$A$4:$AO$4,0)),0)</f>
        <v>0</v>
      </c>
      <c r="V41" s="64">
        <f>VLOOKUP($B41,'7. PGE_Efficacité'!$A$6:$CY$266,(MATCH('[3]4.4 ACE MAX SEN '!V$4,'7. PGE_Efficacité'!$A$4:$AO$4,0)),0)</f>
        <v>0</v>
      </c>
      <c r="W41" s="61">
        <f>VLOOKUP($B41,'7. PGE_Efficacité'!$A$6:$CY$266,(MATCH('[3]4.4 ACE MAX SEN '!W$4,'7. PGE_Efficacité'!$A$4:$AO$4,0)),0)</f>
        <v>0</v>
      </c>
      <c r="X41" s="61">
        <f>VLOOKUP($B41,'7. PGE_Efficacité'!$A$6:$CY$266,(MATCH('[3]4.4 ACE MAX SEN '!X$4,'7. PGE_Efficacité'!$A$4:$AO$4,0)),0)</f>
        <v>0</v>
      </c>
      <c r="Y41" s="61">
        <f>VLOOKUP($B41,'7. PGE_Efficacité'!$A$6:$CY$266,(MATCH('[3]4.4 ACE MAX SEN '!Y$4,'7. PGE_Efficacité'!$A$4:$AO$4,0)),0)</f>
        <v>0</v>
      </c>
      <c r="Z41" s="61">
        <f>VLOOKUP($B41,'7. PGE_Efficacité'!$A$6:$CY$266,(MATCH('[3]4.4 ACE MAX SEN '!Z$4,'7. PGE_Efficacité'!$A$4:$AO$4,0)),0)</f>
        <v>0</v>
      </c>
      <c r="AA41" s="61">
        <f>VLOOKUP($B41,'7. PGE_Efficacité'!$A$6:$CY$266,(MATCH('[3]4.4 ACE MAX SEN '!AA$4,'7. PGE_Efficacité'!$A$4:$AO$4,0)),0)</f>
        <v>0</v>
      </c>
      <c r="AB41" s="61">
        <f>VLOOKUP($B41,'7. PGE_Efficacité'!$A$6:$CY$266,(MATCH('[3]4.4 ACE MAX SEN '!AB$4,'7. PGE_Efficacité'!$A$4:$AO$4,0)),0)</f>
        <v>0</v>
      </c>
      <c r="AC41" s="61">
        <f>VLOOKUP($B41,'7. PGE_Efficacité'!$A$6:$CY$266,(MATCH('[3]4.4 ACE MAX SEN '!AC$4,'7. PGE_Efficacité'!$A$4:$AO$4,0)),0)</f>
        <v>0</v>
      </c>
      <c r="AD41" s="61">
        <f>VLOOKUP($B41,'7. PGE_Efficacité'!$A$6:$CY$266,(MATCH('[3]4.4 ACE MAX SEN '!AD$4,'7. PGE_Efficacité'!$A$4:$AO$4,0)),0)</f>
        <v>0</v>
      </c>
      <c r="AE41" s="61">
        <f>VLOOKUP($B41,'7. PGE_Efficacité'!$A$6:$CY$266,(MATCH('[3]4.4 ACE MAX SEN '!AE$4,'7. PGE_Efficacité'!$A$4:$AO$4,0)),0)</f>
        <v>0</v>
      </c>
      <c r="AF41" s="61">
        <f>VLOOKUP($B41,'7. PGE_Efficacité'!$A$6:$CY$266,(MATCH('[3]4.4 ACE MAX SEN '!AF$4,'7. PGE_Efficacité'!$A$4:$AO$4,0)),0)</f>
        <v>0</v>
      </c>
      <c r="AG41" s="61">
        <f>VLOOKUP($B41,'7. PGE_Efficacité'!$A$6:$CY$266,(MATCH('[3]4.4 ACE MAX SEN '!AG$4,'7. PGE_Efficacité'!$A$4:$AO$4,0)),0)</f>
        <v>0</v>
      </c>
      <c r="AH41" s="61">
        <f>VLOOKUP($B41,'7. PGE_Efficacité'!$A$6:$CY$266,(MATCH('[3]4.4 ACE MAX SEN '!AH$4,'7. PGE_Efficacité'!$A$4:$AO$4,0)),0)</f>
        <v>0</v>
      </c>
      <c r="AI41" s="61">
        <f>VLOOKUP($B41,'7. PGE_Efficacité'!$A$6:$CY$266,(MATCH('[3]4.4 ACE MAX SEN '!AI$4,'7. PGE_Efficacité'!$A$4:$AO$4,0)),0)</f>
        <v>0</v>
      </c>
      <c r="AJ41" s="61">
        <f>VLOOKUP($B41,'7. PGE_Efficacité'!$A$6:$CY$266,(MATCH('[3]4.4 ACE MAX SEN '!AJ$4,'7. PGE_Efficacité'!$A$4:$AO$4,0)),0)</f>
        <v>0</v>
      </c>
      <c r="AK41" s="61">
        <f>VLOOKUP($B41,'7. PGE_Efficacité'!$A$6:$CY$266,(MATCH('[3]4.4 ACE MAX SEN '!AK$4,'7. PGE_Efficacité'!$A$4:$AO$4,0)),0)</f>
        <v>0</v>
      </c>
    </row>
    <row r="42" spans="1:37" hidden="1" outlineLevel="2" x14ac:dyDescent="0.25">
      <c r="A42" s="65" t="s">
        <v>3</v>
      </c>
      <c r="B42" s="65" t="s">
        <v>793</v>
      </c>
      <c r="C42" s="65" t="s">
        <v>1431</v>
      </c>
      <c r="D42" s="65" t="s">
        <v>1520</v>
      </c>
      <c r="E42" s="65" t="s">
        <v>1290</v>
      </c>
      <c r="F42" s="73"/>
      <c r="G42" s="64">
        <f>VLOOKUP($B42,'7. PGE_Efficacité'!$A$6:$CY$266,(MATCH('[3]4.4 ACE MAX SEN '!G$4,'7. PGE_Efficacité'!$A$4:$AO$4,0)),0)</f>
        <v>0</v>
      </c>
      <c r="H42" s="64">
        <f>VLOOKUP($B42,'7. PGE_Efficacité'!$A$6:$CY$266,(MATCH('[3]4.4 ACE MAX SEN '!H$4,'7. PGE_Efficacité'!$A$4:$AO$4,0)),0)</f>
        <v>0</v>
      </c>
      <c r="I42" s="64">
        <f>VLOOKUP($B42,'7. PGE_Efficacité'!$A$6:$CY$266,(MATCH('[3]4.4 ACE MAX SEN '!I$4,'7. PGE_Efficacité'!$A$4:$AO$4,0)),0)</f>
        <v>0</v>
      </c>
      <c r="J42" s="64">
        <f>VLOOKUP($B42,'7. PGE_Efficacité'!$A$6:$CY$266,(MATCH('[3]4.4 ACE MAX SEN '!J$4,'7. PGE_Efficacité'!$A$4:$AO$4,0)),0)</f>
        <v>0</v>
      </c>
      <c r="K42" s="64">
        <f>VLOOKUP($B42,'7. PGE_Efficacité'!$A$6:$CY$266,(MATCH('[3]4.4 ACE MAX SEN '!K$4,'7. PGE_Efficacité'!$A$4:$AO$4,0)),0)</f>
        <v>0</v>
      </c>
      <c r="L42" s="64">
        <f>VLOOKUP($B42,'7. PGE_Efficacité'!$A$6:$CY$266,(MATCH('[3]4.4 ACE MAX SEN '!L$4,'7. PGE_Efficacité'!$A$4:$AO$4,0)),0)</f>
        <v>0</v>
      </c>
      <c r="M42" s="64">
        <f>VLOOKUP($B42,'7. PGE_Efficacité'!$A$6:$CY$266,(MATCH('[3]4.4 ACE MAX SEN '!M$4,'7. PGE_Efficacité'!$A$4:$AO$4,0)),0)</f>
        <v>0</v>
      </c>
      <c r="N42" s="64">
        <f>VLOOKUP($B42,'7. PGE_Efficacité'!$A$6:$CY$266,(MATCH('[3]4.4 ACE MAX SEN '!N$4,'7. PGE_Efficacité'!$A$4:$AO$4,0)),0)</f>
        <v>0</v>
      </c>
      <c r="O42" s="64">
        <f>VLOOKUP($B42,'7. PGE_Efficacité'!$A$6:$CY$266,(MATCH('[3]4.4 ACE MAX SEN '!O$4,'7. PGE_Efficacité'!$A$4:$AO$4,0)),0)</f>
        <v>0</v>
      </c>
      <c r="P42" s="64">
        <f>VLOOKUP($B42,'7. PGE_Efficacité'!$A$6:$CY$266,(MATCH('[3]4.4 ACE MAX SEN '!P$4,'7. PGE_Efficacité'!$A$4:$AO$4,0)),0)</f>
        <v>0</v>
      </c>
      <c r="Q42" s="64">
        <f>VLOOKUP($B42,'7. PGE_Efficacité'!$A$6:$CY$266,(MATCH('[3]4.4 ACE MAX SEN '!Q$4,'7. PGE_Efficacité'!$A$4:$AO$4,0)),0)</f>
        <v>0</v>
      </c>
      <c r="R42" s="64">
        <f>VLOOKUP($B42,'7. PGE_Efficacité'!$A$6:$CY$266,(MATCH('[3]4.4 ACE MAX SEN '!R$4,'7. PGE_Efficacité'!$A$4:$AO$4,0)),0)</f>
        <v>0</v>
      </c>
      <c r="S42" s="64">
        <f>VLOOKUP($B42,'7. PGE_Efficacité'!$A$6:$CY$266,(MATCH('[3]4.4 ACE MAX SEN '!S$4,'7. PGE_Efficacité'!$A$4:$AO$4,0)),0)</f>
        <v>0</v>
      </c>
      <c r="T42" s="64">
        <f>VLOOKUP($B42,'7. PGE_Efficacité'!$A$6:$CY$266,(MATCH('[3]4.4 ACE MAX SEN '!T$4,'7. PGE_Efficacité'!$A$4:$AO$4,0)),0)</f>
        <v>0</v>
      </c>
      <c r="U42" s="64">
        <f>VLOOKUP($B42,'7. PGE_Efficacité'!$A$6:$CY$266,(MATCH('[3]4.4 ACE MAX SEN '!U$4,'7. PGE_Efficacité'!$A$4:$AO$4,0)),0)</f>
        <v>0</v>
      </c>
      <c r="V42" s="64">
        <f>VLOOKUP($B42,'7. PGE_Efficacité'!$A$6:$CY$266,(MATCH('[3]4.4 ACE MAX SEN '!V$4,'7. PGE_Efficacité'!$A$4:$AO$4,0)),0)</f>
        <v>0</v>
      </c>
      <c r="W42" s="61">
        <f>VLOOKUP($B42,'7. PGE_Efficacité'!$A$6:$CY$266,(MATCH('[3]4.4 ACE MAX SEN '!W$4,'7. PGE_Efficacité'!$A$4:$AO$4,0)),0)</f>
        <v>0</v>
      </c>
      <c r="X42" s="61">
        <f>VLOOKUP($B42,'7. PGE_Efficacité'!$A$6:$CY$266,(MATCH('[3]4.4 ACE MAX SEN '!X$4,'7. PGE_Efficacité'!$A$4:$AO$4,0)),0)</f>
        <v>0</v>
      </c>
      <c r="Y42" s="61">
        <f>VLOOKUP($B42,'7. PGE_Efficacité'!$A$6:$CY$266,(MATCH('[3]4.4 ACE MAX SEN '!Y$4,'7. PGE_Efficacité'!$A$4:$AO$4,0)),0)</f>
        <v>0</v>
      </c>
      <c r="Z42" s="61">
        <f>VLOOKUP($B42,'7. PGE_Efficacité'!$A$6:$CY$266,(MATCH('[3]4.4 ACE MAX SEN '!Z$4,'7. PGE_Efficacité'!$A$4:$AO$4,0)),0)</f>
        <v>0</v>
      </c>
      <c r="AA42" s="61">
        <f>VLOOKUP($B42,'7. PGE_Efficacité'!$A$6:$CY$266,(MATCH('[3]4.4 ACE MAX SEN '!AA$4,'7. PGE_Efficacité'!$A$4:$AO$4,0)),0)</f>
        <v>0</v>
      </c>
      <c r="AB42" s="61">
        <f>VLOOKUP($B42,'7. PGE_Efficacité'!$A$6:$CY$266,(MATCH('[3]4.4 ACE MAX SEN '!AB$4,'7. PGE_Efficacité'!$A$4:$AO$4,0)),0)</f>
        <v>0</v>
      </c>
      <c r="AC42" s="61">
        <f>VLOOKUP($B42,'7. PGE_Efficacité'!$A$6:$CY$266,(MATCH('[3]4.4 ACE MAX SEN '!AC$4,'7. PGE_Efficacité'!$A$4:$AO$4,0)),0)</f>
        <v>0</v>
      </c>
      <c r="AD42" s="61">
        <f>VLOOKUP($B42,'7. PGE_Efficacité'!$A$6:$CY$266,(MATCH('[3]4.4 ACE MAX SEN '!AD$4,'7. PGE_Efficacité'!$A$4:$AO$4,0)),0)</f>
        <v>0</v>
      </c>
      <c r="AE42" s="61">
        <f>VLOOKUP($B42,'7. PGE_Efficacité'!$A$6:$CY$266,(MATCH('[3]4.4 ACE MAX SEN '!AE$4,'7. PGE_Efficacité'!$A$4:$AO$4,0)),0)</f>
        <v>0</v>
      </c>
      <c r="AF42" s="61">
        <f>VLOOKUP($B42,'7. PGE_Efficacité'!$A$6:$CY$266,(MATCH('[3]4.4 ACE MAX SEN '!AF$4,'7. PGE_Efficacité'!$A$4:$AO$4,0)),0)</f>
        <v>0</v>
      </c>
      <c r="AG42" s="61">
        <f>VLOOKUP($B42,'7. PGE_Efficacité'!$A$6:$CY$266,(MATCH('[3]4.4 ACE MAX SEN '!AG$4,'7. PGE_Efficacité'!$A$4:$AO$4,0)),0)</f>
        <v>0</v>
      </c>
      <c r="AH42" s="61">
        <f>VLOOKUP($B42,'7. PGE_Efficacité'!$A$6:$CY$266,(MATCH('[3]4.4 ACE MAX SEN '!AH$4,'7. PGE_Efficacité'!$A$4:$AO$4,0)),0)</f>
        <v>0</v>
      </c>
      <c r="AI42" s="61">
        <f>VLOOKUP($B42,'7. PGE_Efficacité'!$A$6:$CY$266,(MATCH('[3]4.4 ACE MAX SEN '!AI$4,'7. PGE_Efficacité'!$A$4:$AO$4,0)),0)</f>
        <v>0</v>
      </c>
      <c r="AJ42" s="61">
        <f>VLOOKUP($B42,'7. PGE_Efficacité'!$A$6:$CY$266,(MATCH('[3]4.4 ACE MAX SEN '!AJ$4,'7. PGE_Efficacité'!$A$4:$AO$4,0)),0)</f>
        <v>0</v>
      </c>
      <c r="AK42" s="61">
        <f>VLOOKUP($B42,'7. PGE_Efficacité'!$A$6:$CY$266,(MATCH('[3]4.4 ACE MAX SEN '!AK$4,'7. PGE_Efficacité'!$A$4:$AO$4,0)),0)</f>
        <v>0</v>
      </c>
    </row>
    <row r="43" spans="1:37" hidden="1" outlineLevel="2" x14ac:dyDescent="0.25">
      <c r="A43" s="65" t="s">
        <v>3</v>
      </c>
      <c r="B43" s="65" t="s">
        <v>794</v>
      </c>
      <c r="C43" s="65" t="s">
        <v>1432</v>
      </c>
      <c r="D43" s="65" t="s">
        <v>1520</v>
      </c>
      <c r="E43" s="65" t="s">
        <v>1290</v>
      </c>
      <c r="F43" s="73"/>
      <c r="G43" s="64">
        <f>VLOOKUP($B43,'7. PGE_Efficacité'!$A$6:$CY$266,(MATCH('[3]4.4 ACE MAX SEN '!G$4,'7. PGE_Efficacité'!$A$4:$AO$4,0)),0)</f>
        <v>0</v>
      </c>
      <c r="H43" s="64">
        <f>VLOOKUP($B43,'7. PGE_Efficacité'!$A$6:$CY$266,(MATCH('[3]4.4 ACE MAX SEN '!H$4,'7. PGE_Efficacité'!$A$4:$AO$4,0)),0)</f>
        <v>0</v>
      </c>
      <c r="I43" s="64">
        <f>VLOOKUP($B43,'7. PGE_Efficacité'!$A$6:$CY$266,(MATCH('[3]4.4 ACE MAX SEN '!I$4,'7. PGE_Efficacité'!$A$4:$AO$4,0)),0)</f>
        <v>0</v>
      </c>
      <c r="J43" s="64">
        <f>VLOOKUP($B43,'7. PGE_Efficacité'!$A$6:$CY$266,(MATCH('[3]4.4 ACE MAX SEN '!J$4,'7. PGE_Efficacité'!$A$4:$AO$4,0)),0)</f>
        <v>0</v>
      </c>
      <c r="K43" s="64">
        <f>VLOOKUP($B43,'7. PGE_Efficacité'!$A$6:$CY$266,(MATCH('[3]4.4 ACE MAX SEN '!K$4,'7. PGE_Efficacité'!$A$4:$AO$4,0)),0)</f>
        <v>0</v>
      </c>
      <c r="L43" s="64">
        <f>VLOOKUP($B43,'7. PGE_Efficacité'!$A$6:$CY$266,(MATCH('[3]4.4 ACE MAX SEN '!L$4,'7. PGE_Efficacité'!$A$4:$AO$4,0)),0)</f>
        <v>0</v>
      </c>
      <c r="M43" s="64">
        <f>VLOOKUP($B43,'7. PGE_Efficacité'!$A$6:$CY$266,(MATCH('[3]4.4 ACE MAX SEN '!M$4,'7. PGE_Efficacité'!$A$4:$AO$4,0)),0)</f>
        <v>0</v>
      </c>
      <c r="N43" s="64">
        <f>VLOOKUP($B43,'7. PGE_Efficacité'!$A$6:$CY$266,(MATCH('[3]4.4 ACE MAX SEN '!N$4,'7. PGE_Efficacité'!$A$4:$AO$4,0)),0)</f>
        <v>0</v>
      </c>
      <c r="O43" s="64">
        <f>VLOOKUP($B43,'7. PGE_Efficacité'!$A$6:$CY$266,(MATCH('[3]4.4 ACE MAX SEN '!O$4,'7. PGE_Efficacité'!$A$4:$AO$4,0)),0)</f>
        <v>0</v>
      </c>
      <c r="P43" s="64">
        <f>VLOOKUP($B43,'7. PGE_Efficacité'!$A$6:$CY$266,(MATCH('[3]4.4 ACE MAX SEN '!P$4,'7. PGE_Efficacité'!$A$4:$AO$4,0)),0)</f>
        <v>0</v>
      </c>
      <c r="Q43" s="64">
        <f>VLOOKUP($B43,'7. PGE_Efficacité'!$A$6:$CY$266,(MATCH('[3]4.4 ACE MAX SEN '!Q$4,'7. PGE_Efficacité'!$A$4:$AO$4,0)),0)</f>
        <v>0</v>
      </c>
      <c r="R43" s="64">
        <f>VLOOKUP($B43,'7. PGE_Efficacité'!$A$6:$CY$266,(MATCH('[3]4.4 ACE MAX SEN '!R$4,'7. PGE_Efficacité'!$A$4:$AO$4,0)),0)</f>
        <v>0</v>
      </c>
      <c r="S43" s="64">
        <f>VLOOKUP($B43,'7. PGE_Efficacité'!$A$6:$CY$266,(MATCH('[3]4.4 ACE MAX SEN '!S$4,'7. PGE_Efficacité'!$A$4:$AO$4,0)),0)</f>
        <v>0</v>
      </c>
      <c r="T43" s="64">
        <f>VLOOKUP($B43,'7. PGE_Efficacité'!$A$6:$CY$266,(MATCH('[3]4.4 ACE MAX SEN '!T$4,'7. PGE_Efficacité'!$A$4:$AO$4,0)),0)</f>
        <v>0</v>
      </c>
      <c r="U43" s="64">
        <f>VLOOKUP($B43,'7. PGE_Efficacité'!$A$6:$CY$266,(MATCH('[3]4.4 ACE MAX SEN '!U$4,'7. PGE_Efficacité'!$A$4:$AO$4,0)),0)</f>
        <v>0</v>
      </c>
      <c r="V43" s="64">
        <f>VLOOKUP($B43,'7. PGE_Efficacité'!$A$6:$CY$266,(MATCH('[3]4.4 ACE MAX SEN '!V$4,'7. PGE_Efficacité'!$A$4:$AO$4,0)),0)</f>
        <v>0</v>
      </c>
      <c r="W43" s="61">
        <f>VLOOKUP($B43,'7. PGE_Efficacité'!$A$6:$CY$266,(MATCH('[3]4.4 ACE MAX SEN '!W$4,'7. PGE_Efficacité'!$A$4:$AO$4,0)),0)</f>
        <v>0</v>
      </c>
      <c r="X43" s="61">
        <f>VLOOKUP($B43,'7. PGE_Efficacité'!$A$6:$CY$266,(MATCH('[3]4.4 ACE MAX SEN '!X$4,'7. PGE_Efficacité'!$A$4:$AO$4,0)),0)</f>
        <v>0</v>
      </c>
      <c r="Y43" s="61">
        <f>VLOOKUP($B43,'7. PGE_Efficacité'!$A$6:$CY$266,(MATCH('[3]4.4 ACE MAX SEN '!Y$4,'7. PGE_Efficacité'!$A$4:$AO$4,0)),0)</f>
        <v>0</v>
      </c>
      <c r="Z43" s="61">
        <f>VLOOKUP($B43,'7. PGE_Efficacité'!$A$6:$CY$266,(MATCH('[3]4.4 ACE MAX SEN '!Z$4,'7. PGE_Efficacité'!$A$4:$AO$4,0)),0)</f>
        <v>0</v>
      </c>
      <c r="AA43" s="61">
        <f>VLOOKUP($B43,'7. PGE_Efficacité'!$A$6:$CY$266,(MATCH('[3]4.4 ACE MAX SEN '!AA$4,'7. PGE_Efficacité'!$A$4:$AO$4,0)),0)</f>
        <v>0</v>
      </c>
      <c r="AB43" s="61">
        <f>VLOOKUP($B43,'7. PGE_Efficacité'!$A$6:$CY$266,(MATCH('[3]4.4 ACE MAX SEN '!AB$4,'7. PGE_Efficacité'!$A$4:$AO$4,0)),0)</f>
        <v>0</v>
      </c>
      <c r="AC43" s="61">
        <f>VLOOKUP($B43,'7. PGE_Efficacité'!$A$6:$CY$266,(MATCH('[3]4.4 ACE MAX SEN '!AC$4,'7. PGE_Efficacité'!$A$4:$AO$4,0)),0)</f>
        <v>0</v>
      </c>
      <c r="AD43" s="61">
        <f>VLOOKUP($B43,'7. PGE_Efficacité'!$A$6:$CY$266,(MATCH('[3]4.4 ACE MAX SEN '!AD$4,'7. PGE_Efficacité'!$A$4:$AO$4,0)),0)</f>
        <v>0</v>
      </c>
      <c r="AE43" s="61">
        <f>VLOOKUP($B43,'7. PGE_Efficacité'!$A$6:$CY$266,(MATCH('[3]4.4 ACE MAX SEN '!AE$4,'7. PGE_Efficacité'!$A$4:$AO$4,0)),0)</f>
        <v>0</v>
      </c>
      <c r="AF43" s="61">
        <f>VLOOKUP($B43,'7. PGE_Efficacité'!$A$6:$CY$266,(MATCH('[3]4.4 ACE MAX SEN '!AF$4,'7. PGE_Efficacité'!$A$4:$AO$4,0)),0)</f>
        <v>0</v>
      </c>
      <c r="AG43" s="61">
        <f>VLOOKUP($B43,'7. PGE_Efficacité'!$A$6:$CY$266,(MATCH('[3]4.4 ACE MAX SEN '!AG$4,'7. PGE_Efficacité'!$A$4:$AO$4,0)),0)</f>
        <v>0</v>
      </c>
      <c r="AH43" s="61">
        <f>VLOOKUP($B43,'7. PGE_Efficacité'!$A$6:$CY$266,(MATCH('[3]4.4 ACE MAX SEN '!AH$4,'7. PGE_Efficacité'!$A$4:$AO$4,0)),0)</f>
        <v>0</v>
      </c>
      <c r="AI43" s="61">
        <f>VLOOKUP($B43,'7. PGE_Efficacité'!$A$6:$CY$266,(MATCH('[3]4.4 ACE MAX SEN '!AI$4,'7. PGE_Efficacité'!$A$4:$AO$4,0)),0)</f>
        <v>0</v>
      </c>
      <c r="AJ43" s="61">
        <f>VLOOKUP($B43,'7. PGE_Efficacité'!$A$6:$CY$266,(MATCH('[3]4.4 ACE MAX SEN '!AJ$4,'7. PGE_Efficacité'!$A$4:$AO$4,0)),0)</f>
        <v>0</v>
      </c>
      <c r="AK43" s="61">
        <f>VLOOKUP($B43,'7. PGE_Efficacité'!$A$6:$CY$266,(MATCH('[3]4.4 ACE MAX SEN '!AK$4,'7. PGE_Efficacité'!$A$4:$AO$4,0)),0)</f>
        <v>0</v>
      </c>
    </row>
    <row r="44" spans="1:37" hidden="1" outlineLevel="2" x14ac:dyDescent="0.25">
      <c r="A44" s="65" t="s">
        <v>3</v>
      </c>
      <c r="B44" s="65" t="s">
        <v>795</v>
      </c>
      <c r="C44" s="65" t="s">
        <v>1433</v>
      </c>
      <c r="D44" s="65" t="s">
        <v>1520</v>
      </c>
      <c r="E44" s="65" t="s">
        <v>1290</v>
      </c>
      <c r="F44" s="73"/>
      <c r="G44" s="64">
        <f>VLOOKUP($B44,'7. PGE_Efficacité'!$A$6:$CY$266,(MATCH('[3]4.4 ACE MAX SEN '!G$4,'7. PGE_Efficacité'!$A$4:$AO$4,0)),0)</f>
        <v>0</v>
      </c>
      <c r="H44" s="64">
        <f>VLOOKUP($B44,'7. PGE_Efficacité'!$A$6:$CY$266,(MATCH('[3]4.4 ACE MAX SEN '!H$4,'7. PGE_Efficacité'!$A$4:$AO$4,0)),0)</f>
        <v>0</v>
      </c>
      <c r="I44" s="64">
        <f>VLOOKUP($B44,'7. PGE_Efficacité'!$A$6:$CY$266,(MATCH('[3]4.4 ACE MAX SEN '!I$4,'7. PGE_Efficacité'!$A$4:$AO$4,0)),0)</f>
        <v>0</v>
      </c>
      <c r="J44" s="64">
        <f>VLOOKUP($B44,'7. PGE_Efficacité'!$A$6:$CY$266,(MATCH('[3]4.4 ACE MAX SEN '!J$4,'7. PGE_Efficacité'!$A$4:$AO$4,0)),0)</f>
        <v>0</v>
      </c>
      <c r="K44" s="64">
        <f>VLOOKUP($B44,'7. PGE_Efficacité'!$A$6:$CY$266,(MATCH('[3]4.4 ACE MAX SEN '!K$4,'7. PGE_Efficacité'!$A$4:$AO$4,0)),0)</f>
        <v>0</v>
      </c>
      <c r="L44" s="64">
        <f>VLOOKUP($B44,'7. PGE_Efficacité'!$A$6:$CY$266,(MATCH('[3]4.4 ACE MAX SEN '!L$4,'7. PGE_Efficacité'!$A$4:$AO$4,0)),0)</f>
        <v>0</v>
      </c>
      <c r="M44" s="64">
        <f>VLOOKUP($B44,'7. PGE_Efficacité'!$A$6:$CY$266,(MATCH('[3]4.4 ACE MAX SEN '!M$4,'7. PGE_Efficacité'!$A$4:$AO$4,0)),0)</f>
        <v>0</v>
      </c>
      <c r="N44" s="64">
        <f>VLOOKUP($B44,'7. PGE_Efficacité'!$A$6:$CY$266,(MATCH('[3]4.4 ACE MAX SEN '!N$4,'7. PGE_Efficacité'!$A$4:$AO$4,0)),0)</f>
        <v>0</v>
      </c>
      <c r="O44" s="64">
        <f>VLOOKUP($B44,'7. PGE_Efficacité'!$A$6:$CY$266,(MATCH('[3]4.4 ACE MAX SEN '!O$4,'7. PGE_Efficacité'!$A$4:$AO$4,0)),0)</f>
        <v>0</v>
      </c>
      <c r="P44" s="64">
        <f>VLOOKUP($B44,'7. PGE_Efficacité'!$A$6:$CY$266,(MATCH('[3]4.4 ACE MAX SEN '!P$4,'7. PGE_Efficacité'!$A$4:$AO$4,0)),0)</f>
        <v>0</v>
      </c>
      <c r="Q44" s="64">
        <f>VLOOKUP($B44,'7. PGE_Efficacité'!$A$6:$CY$266,(MATCH('[3]4.4 ACE MAX SEN '!Q$4,'7. PGE_Efficacité'!$A$4:$AO$4,0)),0)</f>
        <v>0</v>
      </c>
      <c r="R44" s="64">
        <f>VLOOKUP($B44,'7. PGE_Efficacité'!$A$6:$CY$266,(MATCH('[3]4.4 ACE MAX SEN '!R$4,'7. PGE_Efficacité'!$A$4:$AO$4,0)),0)</f>
        <v>0</v>
      </c>
      <c r="S44" s="64">
        <f>VLOOKUP($B44,'7. PGE_Efficacité'!$A$6:$CY$266,(MATCH('[3]4.4 ACE MAX SEN '!S$4,'7. PGE_Efficacité'!$A$4:$AO$4,0)),0)</f>
        <v>0</v>
      </c>
      <c r="T44" s="64">
        <f>VLOOKUP($B44,'7. PGE_Efficacité'!$A$6:$CY$266,(MATCH('[3]4.4 ACE MAX SEN '!T$4,'7. PGE_Efficacité'!$A$4:$AO$4,0)),0)</f>
        <v>0</v>
      </c>
      <c r="U44" s="64">
        <f>VLOOKUP($B44,'7. PGE_Efficacité'!$A$6:$CY$266,(MATCH('[3]4.4 ACE MAX SEN '!U$4,'7. PGE_Efficacité'!$A$4:$AO$4,0)),0)</f>
        <v>0</v>
      </c>
      <c r="V44" s="64">
        <f>VLOOKUP($B44,'7. PGE_Efficacité'!$A$6:$CY$266,(MATCH('[3]4.4 ACE MAX SEN '!V$4,'7. PGE_Efficacité'!$A$4:$AO$4,0)),0)</f>
        <v>0</v>
      </c>
      <c r="W44" s="61">
        <f>VLOOKUP($B44,'7. PGE_Efficacité'!$A$6:$CY$266,(MATCH('[3]4.4 ACE MAX SEN '!W$4,'7. PGE_Efficacité'!$A$4:$AO$4,0)),0)</f>
        <v>0</v>
      </c>
      <c r="X44" s="61">
        <f>VLOOKUP($B44,'7. PGE_Efficacité'!$A$6:$CY$266,(MATCH('[3]4.4 ACE MAX SEN '!X$4,'7. PGE_Efficacité'!$A$4:$AO$4,0)),0)</f>
        <v>0</v>
      </c>
      <c r="Y44" s="61">
        <f>VLOOKUP($B44,'7. PGE_Efficacité'!$A$6:$CY$266,(MATCH('[3]4.4 ACE MAX SEN '!Y$4,'7. PGE_Efficacité'!$A$4:$AO$4,0)),0)</f>
        <v>0</v>
      </c>
      <c r="Z44" s="61">
        <f>VLOOKUP($B44,'7. PGE_Efficacité'!$A$6:$CY$266,(MATCH('[3]4.4 ACE MAX SEN '!Z$4,'7. PGE_Efficacité'!$A$4:$AO$4,0)),0)</f>
        <v>0</v>
      </c>
      <c r="AA44" s="61">
        <f>VLOOKUP($B44,'7. PGE_Efficacité'!$A$6:$CY$266,(MATCH('[3]4.4 ACE MAX SEN '!AA$4,'7. PGE_Efficacité'!$A$4:$AO$4,0)),0)</f>
        <v>0</v>
      </c>
      <c r="AB44" s="61">
        <f>VLOOKUP($B44,'7. PGE_Efficacité'!$A$6:$CY$266,(MATCH('[3]4.4 ACE MAX SEN '!AB$4,'7. PGE_Efficacité'!$A$4:$AO$4,0)),0)</f>
        <v>0</v>
      </c>
      <c r="AC44" s="61">
        <f>VLOOKUP($B44,'7. PGE_Efficacité'!$A$6:$CY$266,(MATCH('[3]4.4 ACE MAX SEN '!AC$4,'7. PGE_Efficacité'!$A$4:$AO$4,0)),0)</f>
        <v>0</v>
      </c>
      <c r="AD44" s="61">
        <f>VLOOKUP($B44,'7. PGE_Efficacité'!$A$6:$CY$266,(MATCH('[3]4.4 ACE MAX SEN '!AD$4,'7. PGE_Efficacité'!$A$4:$AO$4,0)),0)</f>
        <v>0</v>
      </c>
      <c r="AE44" s="61">
        <f>VLOOKUP($B44,'7. PGE_Efficacité'!$A$6:$CY$266,(MATCH('[3]4.4 ACE MAX SEN '!AE$4,'7. PGE_Efficacité'!$A$4:$AO$4,0)),0)</f>
        <v>0</v>
      </c>
      <c r="AF44" s="61">
        <f>VLOOKUP($B44,'7. PGE_Efficacité'!$A$6:$CY$266,(MATCH('[3]4.4 ACE MAX SEN '!AF$4,'7. PGE_Efficacité'!$A$4:$AO$4,0)),0)</f>
        <v>0</v>
      </c>
      <c r="AG44" s="61">
        <f>VLOOKUP($B44,'7. PGE_Efficacité'!$A$6:$CY$266,(MATCH('[3]4.4 ACE MAX SEN '!AG$4,'7. PGE_Efficacité'!$A$4:$AO$4,0)),0)</f>
        <v>0</v>
      </c>
      <c r="AH44" s="61">
        <f>VLOOKUP($B44,'7. PGE_Efficacité'!$A$6:$CY$266,(MATCH('[3]4.4 ACE MAX SEN '!AH$4,'7. PGE_Efficacité'!$A$4:$AO$4,0)),0)</f>
        <v>0</v>
      </c>
      <c r="AI44" s="61">
        <f>VLOOKUP($B44,'7. PGE_Efficacité'!$A$6:$CY$266,(MATCH('[3]4.4 ACE MAX SEN '!AI$4,'7. PGE_Efficacité'!$A$4:$AO$4,0)),0)</f>
        <v>0</v>
      </c>
      <c r="AJ44" s="61">
        <f>VLOOKUP($B44,'7. PGE_Efficacité'!$A$6:$CY$266,(MATCH('[3]4.4 ACE MAX SEN '!AJ$4,'7. PGE_Efficacité'!$A$4:$AO$4,0)),0)</f>
        <v>0</v>
      </c>
      <c r="AK44" s="61">
        <f>VLOOKUP($B44,'7. PGE_Efficacité'!$A$6:$CY$266,(MATCH('[3]4.4 ACE MAX SEN '!AK$4,'7. PGE_Efficacité'!$A$4:$AO$4,0)),0)</f>
        <v>0</v>
      </c>
    </row>
    <row r="45" spans="1:37" hidden="1" outlineLevel="2" x14ac:dyDescent="0.25">
      <c r="A45" s="65" t="s">
        <v>3</v>
      </c>
      <c r="B45" s="65" t="s">
        <v>796</v>
      </c>
      <c r="C45" s="65" t="s">
        <v>1434</v>
      </c>
      <c r="D45" s="65" t="s">
        <v>1520</v>
      </c>
      <c r="E45" s="65" t="s">
        <v>1290</v>
      </c>
      <c r="F45" s="73"/>
      <c r="G45" s="64">
        <f>VLOOKUP($B45,'7. PGE_Efficacité'!$A$6:$CY$266,(MATCH('[3]4.4 ACE MAX SEN '!G$4,'7. PGE_Efficacité'!$A$4:$AO$4,0)),0)</f>
        <v>0</v>
      </c>
      <c r="H45" s="64">
        <f>VLOOKUP($B45,'7. PGE_Efficacité'!$A$6:$CY$266,(MATCH('[3]4.4 ACE MAX SEN '!H$4,'7. PGE_Efficacité'!$A$4:$AO$4,0)),0)</f>
        <v>0</v>
      </c>
      <c r="I45" s="64">
        <f>VLOOKUP($B45,'7. PGE_Efficacité'!$A$6:$CY$266,(MATCH('[3]4.4 ACE MAX SEN '!I$4,'7. PGE_Efficacité'!$A$4:$AO$4,0)),0)</f>
        <v>0</v>
      </c>
      <c r="J45" s="64">
        <f>VLOOKUP($B45,'7. PGE_Efficacité'!$A$6:$CY$266,(MATCH('[3]4.4 ACE MAX SEN '!J$4,'7. PGE_Efficacité'!$A$4:$AO$4,0)),0)</f>
        <v>0</v>
      </c>
      <c r="K45" s="64">
        <f>VLOOKUP($B45,'7. PGE_Efficacité'!$A$6:$CY$266,(MATCH('[3]4.4 ACE MAX SEN '!K$4,'7. PGE_Efficacité'!$A$4:$AO$4,0)),0)</f>
        <v>0</v>
      </c>
      <c r="L45" s="64">
        <f>VLOOKUP($B45,'7. PGE_Efficacité'!$A$6:$CY$266,(MATCH('[3]4.4 ACE MAX SEN '!L$4,'7. PGE_Efficacité'!$A$4:$AO$4,0)),0)</f>
        <v>0</v>
      </c>
      <c r="M45" s="64">
        <f>VLOOKUP($B45,'7. PGE_Efficacité'!$A$6:$CY$266,(MATCH('[3]4.4 ACE MAX SEN '!M$4,'7. PGE_Efficacité'!$A$4:$AO$4,0)),0)</f>
        <v>0</v>
      </c>
      <c r="N45" s="64">
        <f>VLOOKUP($B45,'7. PGE_Efficacité'!$A$6:$CY$266,(MATCH('[3]4.4 ACE MAX SEN '!N$4,'7. PGE_Efficacité'!$A$4:$AO$4,0)),0)</f>
        <v>0</v>
      </c>
      <c r="O45" s="64">
        <f>VLOOKUP($B45,'7. PGE_Efficacité'!$A$6:$CY$266,(MATCH('[3]4.4 ACE MAX SEN '!O$4,'7. PGE_Efficacité'!$A$4:$AO$4,0)),0)</f>
        <v>0</v>
      </c>
      <c r="P45" s="64">
        <f>VLOOKUP($B45,'7. PGE_Efficacité'!$A$6:$CY$266,(MATCH('[3]4.4 ACE MAX SEN '!P$4,'7. PGE_Efficacité'!$A$4:$AO$4,0)),0)</f>
        <v>0</v>
      </c>
      <c r="Q45" s="64">
        <f>VLOOKUP($B45,'7. PGE_Efficacité'!$A$6:$CY$266,(MATCH('[3]4.4 ACE MAX SEN '!Q$4,'7. PGE_Efficacité'!$A$4:$AO$4,0)),0)</f>
        <v>0</v>
      </c>
      <c r="R45" s="64">
        <f>VLOOKUP($B45,'7. PGE_Efficacité'!$A$6:$CY$266,(MATCH('[3]4.4 ACE MAX SEN '!R$4,'7. PGE_Efficacité'!$A$4:$AO$4,0)),0)</f>
        <v>0</v>
      </c>
      <c r="S45" s="64">
        <f>VLOOKUP($B45,'7. PGE_Efficacité'!$A$6:$CY$266,(MATCH('[3]4.4 ACE MAX SEN '!S$4,'7. PGE_Efficacité'!$A$4:$AO$4,0)),0)</f>
        <v>0</v>
      </c>
      <c r="T45" s="64">
        <f>VLOOKUP($B45,'7. PGE_Efficacité'!$A$6:$CY$266,(MATCH('[3]4.4 ACE MAX SEN '!T$4,'7. PGE_Efficacité'!$A$4:$AO$4,0)),0)</f>
        <v>0</v>
      </c>
      <c r="U45" s="64">
        <f>VLOOKUP($B45,'7. PGE_Efficacité'!$A$6:$CY$266,(MATCH('[3]4.4 ACE MAX SEN '!U$4,'7. PGE_Efficacité'!$A$4:$AO$4,0)),0)</f>
        <v>0</v>
      </c>
      <c r="V45" s="64">
        <f>VLOOKUP($B45,'7. PGE_Efficacité'!$A$6:$CY$266,(MATCH('[3]4.4 ACE MAX SEN '!V$4,'7. PGE_Efficacité'!$A$4:$AO$4,0)),0)</f>
        <v>0</v>
      </c>
      <c r="W45" s="61">
        <f>VLOOKUP($B45,'7. PGE_Efficacité'!$A$6:$CY$266,(MATCH('[3]4.4 ACE MAX SEN '!W$4,'7. PGE_Efficacité'!$A$4:$AO$4,0)),0)</f>
        <v>0</v>
      </c>
      <c r="X45" s="61">
        <f>VLOOKUP($B45,'7. PGE_Efficacité'!$A$6:$CY$266,(MATCH('[3]4.4 ACE MAX SEN '!X$4,'7. PGE_Efficacité'!$A$4:$AO$4,0)),0)</f>
        <v>0</v>
      </c>
      <c r="Y45" s="61">
        <f>VLOOKUP($B45,'7. PGE_Efficacité'!$A$6:$CY$266,(MATCH('[3]4.4 ACE MAX SEN '!Y$4,'7. PGE_Efficacité'!$A$4:$AO$4,0)),0)</f>
        <v>0</v>
      </c>
      <c r="Z45" s="61">
        <f>VLOOKUP($B45,'7. PGE_Efficacité'!$A$6:$CY$266,(MATCH('[3]4.4 ACE MAX SEN '!Z$4,'7. PGE_Efficacité'!$A$4:$AO$4,0)),0)</f>
        <v>0</v>
      </c>
      <c r="AA45" s="61">
        <f>VLOOKUP($B45,'7. PGE_Efficacité'!$A$6:$CY$266,(MATCH('[3]4.4 ACE MAX SEN '!AA$4,'7. PGE_Efficacité'!$A$4:$AO$4,0)),0)</f>
        <v>0</v>
      </c>
      <c r="AB45" s="61">
        <f>VLOOKUP($B45,'7. PGE_Efficacité'!$A$6:$CY$266,(MATCH('[3]4.4 ACE MAX SEN '!AB$4,'7. PGE_Efficacité'!$A$4:$AO$4,0)),0)</f>
        <v>0</v>
      </c>
      <c r="AC45" s="61">
        <f>VLOOKUP($B45,'7. PGE_Efficacité'!$A$6:$CY$266,(MATCH('[3]4.4 ACE MAX SEN '!AC$4,'7. PGE_Efficacité'!$A$4:$AO$4,0)),0)</f>
        <v>0</v>
      </c>
      <c r="AD45" s="61">
        <f>VLOOKUP($B45,'7. PGE_Efficacité'!$A$6:$CY$266,(MATCH('[3]4.4 ACE MAX SEN '!AD$4,'7. PGE_Efficacité'!$A$4:$AO$4,0)),0)</f>
        <v>0</v>
      </c>
      <c r="AE45" s="61">
        <f>VLOOKUP($B45,'7. PGE_Efficacité'!$A$6:$CY$266,(MATCH('[3]4.4 ACE MAX SEN '!AE$4,'7. PGE_Efficacité'!$A$4:$AO$4,0)),0)</f>
        <v>0</v>
      </c>
      <c r="AF45" s="61">
        <f>VLOOKUP($B45,'7. PGE_Efficacité'!$A$6:$CY$266,(MATCH('[3]4.4 ACE MAX SEN '!AF$4,'7. PGE_Efficacité'!$A$4:$AO$4,0)),0)</f>
        <v>0</v>
      </c>
      <c r="AG45" s="61">
        <f>VLOOKUP($B45,'7. PGE_Efficacité'!$A$6:$CY$266,(MATCH('[3]4.4 ACE MAX SEN '!AG$4,'7. PGE_Efficacité'!$A$4:$AO$4,0)),0)</f>
        <v>0</v>
      </c>
      <c r="AH45" s="61">
        <f>VLOOKUP($B45,'7. PGE_Efficacité'!$A$6:$CY$266,(MATCH('[3]4.4 ACE MAX SEN '!AH$4,'7. PGE_Efficacité'!$A$4:$AO$4,0)),0)</f>
        <v>0</v>
      </c>
      <c r="AI45" s="61">
        <f>VLOOKUP($B45,'7. PGE_Efficacité'!$A$6:$CY$266,(MATCH('[3]4.4 ACE MAX SEN '!AI$4,'7. PGE_Efficacité'!$A$4:$AO$4,0)),0)</f>
        <v>0</v>
      </c>
      <c r="AJ45" s="61">
        <f>VLOOKUP($B45,'7. PGE_Efficacité'!$A$6:$CY$266,(MATCH('[3]4.4 ACE MAX SEN '!AJ$4,'7. PGE_Efficacité'!$A$4:$AO$4,0)),0)</f>
        <v>0</v>
      </c>
      <c r="AK45" s="61">
        <f>VLOOKUP($B45,'7. PGE_Efficacité'!$A$6:$CY$266,(MATCH('[3]4.4 ACE MAX SEN '!AK$4,'7. PGE_Efficacité'!$A$4:$AO$4,0)),0)</f>
        <v>0</v>
      </c>
    </row>
    <row r="46" spans="1:37" hidden="1" outlineLevel="2" x14ac:dyDescent="0.25">
      <c r="A46" s="65" t="s">
        <v>3</v>
      </c>
      <c r="B46" s="65" t="s">
        <v>785</v>
      </c>
      <c r="C46" s="65" t="s">
        <v>1423</v>
      </c>
      <c r="D46" s="65" t="s">
        <v>1520</v>
      </c>
      <c r="E46" s="65" t="s">
        <v>1290</v>
      </c>
      <c r="F46" s="73"/>
      <c r="G46" s="64">
        <f>VLOOKUP($B46,'7. PGE_Efficacité'!$A$6:$CY$266,(MATCH('[3]4.4 ACE MAX SEN '!G$4,'7. PGE_Efficacité'!$A$4:$AO$4,0)),0)</f>
        <v>0</v>
      </c>
      <c r="H46" s="64">
        <f>VLOOKUP($B46,'7. PGE_Efficacité'!$A$6:$CY$266,(MATCH('[3]4.4 ACE MAX SEN '!H$4,'7. PGE_Efficacité'!$A$4:$AO$4,0)),0)</f>
        <v>0</v>
      </c>
      <c r="I46" s="64">
        <f>VLOOKUP($B46,'7. PGE_Efficacité'!$A$6:$CY$266,(MATCH('[3]4.4 ACE MAX SEN '!I$4,'7. PGE_Efficacité'!$A$4:$AO$4,0)),0)</f>
        <v>0</v>
      </c>
      <c r="J46" s="64">
        <f>VLOOKUP($B46,'7. PGE_Efficacité'!$A$6:$CY$266,(MATCH('[3]4.4 ACE MAX SEN '!J$4,'7. PGE_Efficacité'!$A$4:$AO$4,0)),0)</f>
        <v>0</v>
      </c>
      <c r="K46" s="64">
        <f>VLOOKUP($B46,'7. PGE_Efficacité'!$A$6:$CY$266,(MATCH('[3]4.4 ACE MAX SEN '!K$4,'7. PGE_Efficacité'!$A$4:$AO$4,0)),0)</f>
        <v>0</v>
      </c>
      <c r="L46" s="64">
        <f>VLOOKUP($B46,'7. PGE_Efficacité'!$A$6:$CY$266,(MATCH('[3]4.4 ACE MAX SEN '!L$4,'7. PGE_Efficacité'!$A$4:$AO$4,0)),0)</f>
        <v>0</v>
      </c>
      <c r="M46" s="64">
        <f>VLOOKUP($B46,'7. PGE_Efficacité'!$A$6:$CY$266,(MATCH('[3]4.4 ACE MAX SEN '!M$4,'7. PGE_Efficacité'!$A$4:$AO$4,0)),0)</f>
        <v>0</v>
      </c>
      <c r="N46" s="64">
        <f>VLOOKUP($B46,'7. PGE_Efficacité'!$A$6:$CY$266,(MATCH('[3]4.4 ACE MAX SEN '!N$4,'7. PGE_Efficacité'!$A$4:$AO$4,0)),0)</f>
        <v>0</v>
      </c>
      <c r="O46" s="64">
        <f>VLOOKUP($B46,'7. PGE_Efficacité'!$A$6:$CY$266,(MATCH('[3]4.4 ACE MAX SEN '!O$4,'7. PGE_Efficacité'!$A$4:$AO$4,0)),0)</f>
        <v>0</v>
      </c>
      <c r="P46" s="64">
        <f>VLOOKUP($B46,'7. PGE_Efficacité'!$A$6:$CY$266,(MATCH('[3]4.4 ACE MAX SEN '!P$4,'7. PGE_Efficacité'!$A$4:$AO$4,0)),0)</f>
        <v>0</v>
      </c>
      <c r="Q46" s="64">
        <f>VLOOKUP($B46,'7. PGE_Efficacité'!$A$6:$CY$266,(MATCH('[3]4.4 ACE MAX SEN '!Q$4,'7. PGE_Efficacité'!$A$4:$AO$4,0)),0)</f>
        <v>0</v>
      </c>
      <c r="R46" s="64">
        <f>VLOOKUP($B46,'7. PGE_Efficacité'!$A$6:$CY$266,(MATCH('[3]4.4 ACE MAX SEN '!R$4,'7. PGE_Efficacité'!$A$4:$AO$4,0)),0)</f>
        <v>0</v>
      </c>
      <c r="S46" s="64">
        <f>VLOOKUP($B46,'7. PGE_Efficacité'!$A$6:$CY$266,(MATCH('[3]4.4 ACE MAX SEN '!S$4,'7. PGE_Efficacité'!$A$4:$AO$4,0)),0)</f>
        <v>0</v>
      </c>
      <c r="T46" s="64">
        <f>VLOOKUP($B46,'7. PGE_Efficacité'!$A$6:$CY$266,(MATCH('[3]4.4 ACE MAX SEN '!T$4,'7. PGE_Efficacité'!$A$4:$AO$4,0)),0)</f>
        <v>0</v>
      </c>
      <c r="U46" s="64">
        <f>VLOOKUP($B46,'7. PGE_Efficacité'!$A$6:$CY$266,(MATCH('[3]4.4 ACE MAX SEN '!U$4,'7. PGE_Efficacité'!$A$4:$AO$4,0)),0)</f>
        <v>0</v>
      </c>
      <c r="V46" s="64">
        <f>VLOOKUP($B46,'7. PGE_Efficacité'!$A$6:$CY$266,(MATCH('[3]4.4 ACE MAX SEN '!V$4,'7. PGE_Efficacité'!$A$4:$AO$4,0)),0)</f>
        <v>0</v>
      </c>
      <c r="W46" s="61">
        <f>VLOOKUP($B46,'7. PGE_Efficacité'!$A$6:$CY$266,(MATCH('[3]4.4 ACE MAX SEN '!W$4,'7. PGE_Efficacité'!$A$4:$AO$4,0)),0)</f>
        <v>0</v>
      </c>
      <c r="X46" s="61">
        <f>VLOOKUP($B46,'7. PGE_Efficacité'!$A$6:$CY$266,(MATCH('[3]4.4 ACE MAX SEN '!X$4,'7. PGE_Efficacité'!$A$4:$AO$4,0)),0)</f>
        <v>0</v>
      </c>
      <c r="Y46" s="61">
        <f>VLOOKUP($B46,'7. PGE_Efficacité'!$A$6:$CY$266,(MATCH('[3]4.4 ACE MAX SEN '!Y$4,'7. PGE_Efficacité'!$A$4:$AO$4,0)),0)</f>
        <v>0</v>
      </c>
      <c r="Z46" s="61">
        <f>VLOOKUP($B46,'7. PGE_Efficacité'!$A$6:$CY$266,(MATCH('[3]4.4 ACE MAX SEN '!Z$4,'7. PGE_Efficacité'!$A$4:$AO$4,0)),0)</f>
        <v>0</v>
      </c>
      <c r="AA46" s="61">
        <f>VLOOKUP($B46,'7. PGE_Efficacité'!$A$6:$CY$266,(MATCH('[3]4.4 ACE MAX SEN '!AA$4,'7. PGE_Efficacité'!$A$4:$AO$4,0)),0)</f>
        <v>0</v>
      </c>
      <c r="AB46" s="61">
        <f>VLOOKUP($B46,'7. PGE_Efficacité'!$A$6:$CY$266,(MATCH('[3]4.4 ACE MAX SEN '!AB$4,'7. PGE_Efficacité'!$A$4:$AO$4,0)),0)</f>
        <v>0</v>
      </c>
      <c r="AC46" s="61">
        <f>VLOOKUP($B46,'7. PGE_Efficacité'!$A$6:$CY$266,(MATCH('[3]4.4 ACE MAX SEN '!AC$4,'7. PGE_Efficacité'!$A$4:$AO$4,0)),0)</f>
        <v>0</v>
      </c>
      <c r="AD46" s="61">
        <f>VLOOKUP($B46,'7. PGE_Efficacité'!$A$6:$CY$266,(MATCH('[3]4.4 ACE MAX SEN '!AD$4,'7. PGE_Efficacité'!$A$4:$AO$4,0)),0)</f>
        <v>0</v>
      </c>
      <c r="AE46" s="61">
        <f>VLOOKUP($B46,'7. PGE_Efficacité'!$A$6:$CY$266,(MATCH('[3]4.4 ACE MAX SEN '!AE$4,'7. PGE_Efficacité'!$A$4:$AO$4,0)),0)</f>
        <v>0</v>
      </c>
      <c r="AF46" s="61">
        <f>VLOOKUP($B46,'7. PGE_Efficacité'!$A$6:$CY$266,(MATCH('[3]4.4 ACE MAX SEN '!AF$4,'7. PGE_Efficacité'!$A$4:$AO$4,0)),0)</f>
        <v>0</v>
      </c>
      <c r="AG46" s="61">
        <f>VLOOKUP($B46,'7. PGE_Efficacité'!$A$6:$CY$266,(MATCH('[3]4.4 ACE MAX SEN '!AG$4,'7. PGE_Efficacité'!$A$4:$AO$4,0)),0)</f>
        <v>0</v>
      </c>
      <c r="AH46" s="61">
        <f>VLOOKUP($B46,'7. PGE_Efficacité'!$A$6:$CY$266,(MATCH('[3]4.4 ACE MAX SEN '!AH$4,'7. PGE_Efficacité'!$A$4:$AO$4,0)),0)</f>
        <v>0</v>
      </c>
      <c r="AI46" s="61">
        <f>VLOOKUP($B46,'7. PGE_Efficacité'!$A$6:$CY$266,(MATCH('[3]4.4 ACE MAX SEN '!AI$4,'7. PGE_Efficacité'!$A$4:$AO$4,0)),0)</f>
        <v>0</v>
      </c>
      <c r="AJ46" s="61">
        <f>VLOOKUP($B46,'7. PGE_Efficacité'!$A$6:$CY$266,(MATCH('[3]4.4 ACE MAX SEN '!AJ$4,'7. PGE_Efficacité'!$A$4:$AO$4,0)),0)</f>
        <v>0</v>
      </c>
      <c r="AK46" s="61">
        <f>VLOOKUP($B46,'7. PGE_Efficacité'!$A$6:$CY$266,(MATCH('[3]4.4 ACE MAX SEN '!AK$4,'7. PGE_Efficacité'!$A$4:$AO$4,0)),0)</f>
        <v>0</v>
      </c>
    </row>
    <row r="47" spans="1:37" hidden="1" outlineLevel="2" x14ac:dyDescent="0.25">
      <c r="A47" s="65" t="s">
        <v>3</v>
      </c>
      <c r="B47" s="65" t="s">
        <v>786</v>
      </c>
      <c r="C47" s="65" t="s">
        <v>1424</v>
      </c>
      <c r="D47" s="65" t="s">
        <v>1520</v>
      </c>
      <c r="E47" s="65" t="s">
        <v>1290</v>
      </c>
      <c r="F47" s="73"/>
      <c r="G47" s="64">
        <f>VLOOKUP($B47,'7. PGE_Efficacité'!$A$6:$CY$266,(MATCH('[3]4.4 ACE MAX SEN '!G$4,'7. PGE_Efficacité'!$A$4:$AO$4,0)),0)</f>
        <v>0</v>
      </c>
      <c r="H47" s="64">
        <f>VLOOKUP($B47,'7. PGE_Efficacité'!$A$6:$CY$266,(MATCH('[3]4.4 ACE MAX SEN '!H$4,'7. PGE_Efficacité'!$A$4:$AO$4,0)),0)</f>
        <v>0</v>
      </c>
      <c r="I47" s="64">
        <f>VLOOKUP($B47,'7. PGE_Efficacité'!$A$6:$CY$266,(MATCH('[3]4.4 ACE MAX SEN '!I$4,'7. PGE_Efficacité'!$A$4:$AO$4,0)),0)</f>
        <v>0</v>
      </c>
      <c r="J47" s="64">
        <f>VLOOKUP($B47,'7. PGE_Efficacité'!$A$6:$CY$266,(MATCH('[3]4.4 ACE MAX SEN '!J$4,'7. PGE_Efficacité'!$A$4:$AO$4,0)),0)</f>
        <v>0</v>
      </c>
      <c r="K47" s="64">
        <f>VLOOKUP($B47,'7. PGE_Efficacité'!$A$6:$CY$266,(MATCH('[3]4.4 ACE MAX SEN '!K$4,'7. PGE_Efficacité'!$A$4:$AO$4,0)),0)</f>
        <v>0</v>
      </c>
      <c r="L47" s="64">
        <f>VLOOKUP($B47,'7. PGE_Efficacité'!$A$6:$CY$266,(MATCH('[3]4.4 ACE MAX SEN '!L$4,'7. PGE_Efficacité'!$A$4:$AO$4,0)),0)</f>
        <v>0</v>
      </c>
      <c r="M47" s="64">
        <f>VLOOKUP($B47,'7. PGE_Efficacité'!$A$6:$CY$266,(MATCH('[3]4.4 ACE MAX SEN '!M$4,'7. PGE_Efficacité'!$A$4:$AO$4,0)),0)</f>
        <v>0</v>
      </c>
      <c r="N47" s="64">
        <f>VLOOKUP($B47,'7. PGE_Efficacité'!$A$6:$CY$266,(MATCH('[3]4.4 ACE MAX SEN '!N$4,'7. PGE_Efficacité'!$A$4:$AO$4,0)),0)</f>
        <v>0</v>
      </c>
      <c r="O47" s="64">
        <f>VLOOKUP($B47,'7. PGE_Efficacité'!$A$6:$CY$266,(MATCH('[3]4.4 ACE MAX SEN '!O$4,'7. PGE_Efficacité'!$A$4:$AO$4,0)),0)</f>
        <v>0</v>
      </c>
      <c r="P47" s="64">
        <f>VLOOKUP($B47,'7. PGE_Efficacité'!$A$6:$CY$266,(MATCH('[3]4.4 ACE MAX SEN '!P$4,'7. PGE_Efficacité'!$A$4:$AO$4,0)),0)</f>
        <v>0</v>
      </c>
      <c r="Q47" s="64">
        <f>VLOOKUP($B47,'7. PGE_Efficacité'!$A$6:$CY$266,(MATCH('[3]4.4 ACE MAX SEN '!Q$4,'7. PGE_Efficacité'!$A$4:$AO$4,0)),0)</f>
        <v>0</v>
      </c>
      <c r="R47" s="64">
        <f>VLOOKUP($B47,'7. PGE_Efficacité'!$A$6:$CY$266,(MATCH('[3]4.4 ACE MAX SEN '!R$4,'7. PGE_Efficacité'!$A$4:$AO$4,0)),0)</f>
        <v>0</v>
      </c>
      <c r="S47" s="64">
        <f>VLOOKUP($B47,'7. PGE_Efficacité'!$A$6:$CY$266,(MATCH('[3]4.4 ACE MAX SEN '!S$4,'7. PGE_Efficacité'!$A$4:$AO$4,0)),0)</f>
        <v>0</v>
      </c>
      <c r="T47" s="64">
        <f>VLOOKUP($B47,'7. PGE_Efficacité'!$A$6:$CY$266,(MATCH('[3]4.4 ACE MAX SEN '!T$4,'7. PGE_Efficacité'!$A$4:$AO$4,0)),0)</f>
        <v>0</v>
      </c>
      <c r="U47" s="64">
        <f>VLOOKUP($B47,'7. PGE_Efficacité'!$A$6:$CY$266,(MATCH('[3]4.4 ACE MAX SEN '!U$4,'7. PGE_Efficacité'!$A$4:$AO$4,0)),0)</f>
        <v>0</v>
      </c>
      <c r="V47" s="64">
        <f>VLOOKUP($B47,'7. PGE_Efficacité'!$A$6:$CY$266,(MATCH('[3]4.4 ACE MAX SEN '!V$4,'7. PGE_Efficacité'!$A$4:$AO$4,0)),0)</f>
        <v>0</v>
      </c>
      <c r="W47" s="61">
        <f>VLOOKUP($B47,'7. PGE_Efficacité'!$A$6:$CY$266,(MATCH('[3]4.4 ACE MAX SEN '!W$4,'7. PGE_Efficacité'!$A$4:$AO$4,0)),0)</f>
        <v>0</v>
      </c>
      <c r="X47" s="61">
        <f>VLOOKUP($B47,'7. PGE_Efficacité'!$A$6:$CY$266,(MATCH('[3]4.4 ACE MAX SEN '!X$4,'7. PGE_Efficacité'!$A$4:$AO$4,0)),0)</f>
        <v>0</v>
      </c>
      <c r="Y47" s="61">
        <f>VLOOKUP($B47,'7. PGE_Efficacité'!$A$6:$CY$266,(MATCH('[3]4.4 ACE MAX SEN '!Y$4,'7. PGE_Efficacité'!$A$4:$AO$4,0)),0)</f>
        <v>0</v>
      </c>
      <c r="Z47" s="61">
        <f>VLOOKUP($B47,'7. PGE_Efficacité'!$A$6:$CY$266,(MATCH('[3]4.4 ACE MAX SEN '!Z$4,'7. PGE_Efficacité'!$A$4:$AO$4,0)),0)</f>
        <v>0</v>
      </c>
      <c r="AA47" s="61">
        <f>VLOOKUP($B47,'7. PGE_Efficacité'!$A$6:$CY$266,(MATCH('[3]4.4 ACE MAX SEN '!AA$4,'7. PGE_Efficacité'!$A$4:$AO$4,0)),0)</f>
        <v>0</v>
      </c>
      <c r="AB47" s="61">
        <f>VLOOKUP($B47,'7. PGE_Efficacité'!$A$6:$CY$266,(MATCH('[3]4.4 ACE MAX SEN '!AB$4,'7. PGE_Efficacité'!$A$4:$AO$4,0)),0)</f>
        <v>0</v>
      </c>
      <c r="AC47" s="61">
        <f>VLOOKUP($B47,'7. PGE_Efficacité'!$A$6:$CY$266,(MATCH('[3]4.4 ACE MAX SEN '!AC$4,'7. PGE_Efficacité'!$A$4:$AO$4,0)),0)</f>
        <v>0</v>
      </c>
      <c r="AD47" s="61">
        <f>VLOOKUP($B47,'7. PGE_Efficacité'!$A$6:$CY$266,(MATCH('[3]4.4 ACE MAX SEN '!AD$4,'7. PGE_Efficacité'!$A$4:$AO$4,0)),0)</f>
        <v>0</v>
      </c>
      <c r="AE47" s="61">
        <f>VLOOKUP($B47,'7. PGE_Efficacité'!$A$6:$CY$266,(MATCH('[3]4.4 ACE MAX SEN '!AE$4,'7. PGE_Efficacité'!$A$4:$AO$4,0)),0)</f>
        <v>0</v>
      </c>
      <c r="AF47" s="61">
        <f>VLOOKUP($B47,'7. PGE_Efficacité'!$A$6:$CY$266,(MATCH('[3]4.4 ACE MAX SEN '!AF$4,'7. PGE_Efficacité'!$A$4:$AO$4,0)),0)</f>
        <v>0</v>
      </c>
      <c r="AG47" s="61">
        <f>VLOOKUP($B47,'7. PGE_Efficacité'!$A$6:$CY$266,(MATCH('[3]4.4 ACE MAX SEN '!AG$4,'7. PGE_Efficacité'!$A$4:$AO$4,0)),0)</f>
        <v>0</v>
      </c>
      <c r="AH47" s="61">
        <f>VLOOKUP($B47,'7. PGE_Efficacité'!$A$6:$CY$266,(MATCH('[3]4.4 ACE MAX SEN '!AH$4,'7. PGE_Efficacité'!$A$4:$AO$4,0)),0)</f>
        <v>0</v>
      </c>
      <c r="AI47" s="61">
        <f>VLOOKUP($B47,'7. PGE_Efficacité'!$A$6:$CY$266,(MATCH('[3]4.4 ACE MAX SEN '!AI$4,'7. PGE_Efficacité'!$A$4:$AO$4,0)),0)</f>
        <v>0</v>
      </c>
      <c r="AJ47" s="61">
        <f>VLOOKUP($B47,'7. PGE_Efficacité'!$A$6:$CY$266,(MATCH('[3]4.4 ACE MAX SEN '!AJ$4,'7. PGE_Efficacité'!$A$4:$AO$4,0)),0)</f>
        <v>0</v>
      </c>
      <c r="AK47" s="61">
        <f>VLOOKUP($B47,'7. PGE_Efficacité'!$A$6:$CY$266,(MATCH('[3]4.4 ACE MAX SEN '!AK$4,'7. PGE_Efficacité'!$A$4:$AO$4,0)),0)</f>
        <v>0</v>
      </c>
    </row>
    <row r="48" spans="1:37" hidden="1" outlineLevel="2" x14ac:dyDescent="0.25">
      <c r="A48" s="65" t="s">
        <v>3</v>
      </c>
      <c r="B48" s="65" t="s">
        <v>787</v>
      </c>
      <c r="C48" s="65" t="s">
        <v>1425</v>
      </c>
      <c r="D48" s="65" t="s">
        <v>1520</v>
      </c>
      <c r="E48" s="65" t="s">
        <v>1290</v>
      </c>
      <c r="F48" s="73"/>
      <c r="G48" s="64">
        <f>VLOOKUP($B48,'7. PGE_Efficacité'!$A$6:$CY$266,(MATCH('[3]4.4 ACE MAX SEN '!G$4,'7. PGE_Efficacité'!$A$4:$AO$4,0)),0)</f>
        <v>0</v>
      </c>
      <c r="H48" s="64">
        <f>VLOOKUP($B48,'7. PGE_Efficacité'!$A$6:$CY$266,(MATCH('[3]4.4 ACE MAX SEN '!H$4,'7. PGE_Efficacité'!$A$4:$AO$4,0)),0)</f>
        <v>0</v>
      </c>
      <c r="I48" s="64">
        <f>VLOOKUP($B48,'7. PGE_Efficacité'!$A$6:$CY$266,(MATCH('[3]4.4 ACE MAX SEN '!I$4,'7. PGE_Efficacité'!$A$4:$AO$4,0)),0)</f>
        <v>0</v>
      </c>
      <c r="J48" s="64">
        <f>VLOOKUP($B48,'7. PGE_Efficacité'!$A$6:$CY$266,(MATCH('[3]4.4 ACE MAX SEN '!J$4,'7. PGE_Efficacité'!$A$4:$AO$4,0)),0)</f>
        <v>0</v>
      </c>
      <c r="K48" s="64">
        <f>VLOOKUP($B48,'7. PGE_Efficacité'!$A$6:$CY$266,(MATCH('[3]4.4 ACE MAX SEN '!K$4,'7. PGE_Efficacité'!$A$4:$AO$4,0)),0)</f>
        <v>0</v>
      </c>
      <c r="L48" s="64">
        <f>VLOOKUP($B48,'7. PGE_Efficacité'!$A$6:$CY$266,(MATCH('[3]4.4 ACE MAX SEN '!L$4,'7. PGE_Efficacité'!$A$4:$AO$4,0)),0)</f>
        <v>0</v>
      </c>
      <c r="M48" s="64">
        <f>VLOOKUP($B48,'7. PGE_Efficacité'!$A$6:$CY$266,(MATCH('[3]4.4 ACE MAX SEN '!M$4,'7. PGE_Efficacité'!$A$4:$AO$4,0)),0)</f>
        <v>0</v>
      </c>
      <c r="N48" s="64">
        <f>VLOOKUP($B48,'7. PGE_Efficacité'!$A$6:$CY$266,(MATCH('[3]4.4 ACE MAX SEN '!N$4,'7. PGE_Efficacité'!$A$4:$AO$4,0)),0)</f>
        <v>0</v>
      </c>
      <c r="O48" s="64">
        <f>VLOOKUP($B48,'7. PGE_Efficacité'!$A$6:$CY$266,(MATCH('[3]4.4 ACE MAX SEN '!O$4,'7. PGE_Efficacité'!$A$4:$AO$4,0)),0)</f>
        <v>0</v>
      </c>
      <c r="P48" s="64">
        <f>VLOOKUP($B48,'7. PGE_Efficacité'!$A$6:$CY$266,(MATCH('[3]4.4 ACE MAX SEN '!P$4,'7. PGE_Efficacité'!$A$4:$AO$4,0)),0)</f>
        <v>0</v>
      </c>
      <c r="Q48" s="64">
        <f>VLOOKUP($B48,'7. PGE_Efficacité'!$A$6:$CY$266,(MATCH('[3]4.4 ACE MAX SEN '!Q$4,'7. PGE_Efficacité'!$A$4:$AO$4,0)),0)</f>
        <v>0</v>
      </c>
      <c r="R48" s="64">
        <f>VLOOKUP($B48,'7. PGE_Efficacité'!$A$6:$CY$266,(MATCH('[3]4.4 ACE MAX SEN '!R$4,'7. PGE_Efficacité'!$A$4:$AO$4,0)),0)</f>
        <v>0</v>
      </c>
      <c r="S48" s="64">
        <f>VLOOKUP($B48,'7. PGE_Efficacité'!$A$6:$CY$266,(MATCH('[3]4.4 ACE MAX SEN '!S$4,'7. PGE_Efficacité'!$A$4:$AO$4,0)),0)</f>
        <v>0</v>
      </c>
      <c r="T48" s="64">
        <f>VLOOKUP($B48,'7. PGE_Efficacité'!$A$6:$CY$266,(MATCH('[3]4.4 ACE MAX SEN '!T$4,'7. PGE_Efficacité'!$A$4:$AO$4,0)),0)</f>
        <v>0</v>
      </c>
      <c r="U48" s="64">
        <f>VLOOKUP($B48,'7. PGE_Efficacité'!$A$6:$CY$266,(MATCH('[3]4.4 ACE MAX SEN '!U$4,'7. PGE_Efficacité'!$A$4:$AO$4,0)),0)</f>
        <v>0</v>
      </c>
      <c r="V48" s="64">
        <f>VLOOKUP($B48,'7. PGE_Efficacité'!$A$6:$CY$266,(MATCH('[3]4.4 ACE MAX SEN '!V$4,'7. PGE_Efficacité'!$A$4:$AO$4,0)),0)</f>
        <v>0</v>
      </c>
      <c r="W48" s="61">
        <f>VLOOKUP($B48,'7. PGE_Efficacité'!$A$6:$CY$266,(MATCH('[3]4.4 ACE MAX SEN '!W$4,'7. PGE_Efficacité'!$A$4:$AO$4,0)),0)</f>
        <v>0</v>
      </c>
      <c r="X48" s="61">
        <f>VLOOKUP($B48,'7. PGE_Efficacité'!$A$6:$CY$266,(MATCH('[3]4.4 ACE MAX SEN '!X$4,'7. PGE_Efficacité'!$A$4:$AO$4,0)),0)</f>
        <v>0</v>
      </c>
      <c r="Y48" s="61">
        <f>VLOOKUP($B48,'7. PGE_Efficacité'!$A$6:$CY$266,(MATCH('[3]4.4 ACE MAX SEN '!Y$4,'7. PGE_Efficacité'!$A$4:$AO$4,0)),0)</f>
        <v>0</v>
      </c>
      <c r="Z48" s="61">
        <f>VLOOKUP($B48,'7. PGE_Efficacité'!$A$6:$CY$266,(MATCH('[3]4.4 ACE MAX SEN '!Z$4,'7. PGE_Efficacité'!$A$4:$AO$4,0)),0)</f>
        <v>0</v>
      </c>
      <c r="AA48" s="61">
        <f>VLOOKUP($B48,'7. PGE_Efficacité'!$A$6:$CY$266,(MATCH('[3]4.4 ACE MAX SEN '!AA$4,'7. PGE_Efficacité'!$A$4:$AO$4,0)),0)</f>
        <v>0</v>
      </c>
      <c r="AB48" s="61">
        <f>VLOOKUP($B48,'7. PGE_Efficacité'!$A$6:$CY$266,(MATCH('[3]4.4 ACE MAX SEN '!AB$4,'7. PGE_Efficacité'!$A$4:$AO$4,0)),0)</f>
        <v>0</v>
      </c>
      <c r="AC48" s="61">
        <f>VLOOKUP($B48,'7. PGE_Efficacité'!$A$6:$CY$266,(MATCH('[3]4.4 ACE MAX SEN '!AC$4,'7. PGE_Efficacité'!$A$4:$AO$4,0)),0)</f>
        <v>0</v>
      </c>
      <c r="AD48" s="61">
        <f>VLOOKUP($B48,'7. PGE_Efficacité'!$A$6:$CY$266,(MATCH('[3]4.4 ACE MAX SEN '!AD$4,'7. PGE_Efficacité'!$A$4:$AO$4,0)),0)</f>
        <v>0</v>
      </c>
      <c r="AE48" s="61">
        <f>VLOOKUP($B48,'7. PGE_Efficacité'!$A$6:$CY$266,(MATCH('[3]4.4 ACE MAX SEN '!AE$4,'7. PGE_Efficacité'!$A$4:$AO$4,0)),0)</f>
        <v>0</v>
      </c>
      <c r="AF48" s="61">
        <f>VLOOKUP($B48,'7. PGE_Efficacité'!$A$6:$CY$266,(MATCH('[3]4.4 ACE MAX SEN '!AF$4,'7. PGE_Efficacité'!$A$4:$AO$4,0)),0)</f>
        <v>0</v>
      </c>
      <c r="AG48" s="61">
        <f>VLOOKUP($B48,'7. PGE_Efficacité'!$A$6:$CY$266,(MATCH('[3]4.4 ACE MAX SEN '!AG$4,'7. PGE_Efficacité'!$A$4:$AO$4,0)),0)</f>
        <v>0</v>
      </c>
      <c r="AH48" s="61">
        <f>VLOOKUP($B48,'7. PGE_Efficacité'!$A$6:$CY$266,(MATCH('[3]4.4 ACE MAX SEN '!AH$4,'7. PGE_Efficacité'!$A$4:$AO$4,0)),0)</f>
        <v>0</v>
      </c>
      <c r="AI48" s="61">
        <f>VLOOKUP($B48,'7. PGE_Efficacité'!$A$6:$CY$266,(MATCH('[3]4.4 ACE MAX SEN '!AI$4,'7. PGE_Efficacité'!$A$4:$AO$4,0)),0)</f>
        <v>0</v>
      </c>
      <c r="AJ48" s="61">
        <f>VLOOKUP($B48,'7. PGE_Efficacité'!$A$6:$CY$266,(MATCH('[3]4.4 ACE MAX SEN '!AJ$4,'7. PGE_Efficacité'!$A$4:$AO$4,0)),0)</f>
        <v>0</v>
      </c>
      <c r="AK48" s="61">
        <f>VLOOKUP($B48,'7. PGE_Efficacité'!$A$6:$CY$266,(MATCH('[3]4.4 ACE MAX SEN '!AK$4,'7. PGE_Efficacité'!$A$4:$AO$4,0)),0)</f>
        <v>0</v>
      </c>
    </row>
    <row r="49" spans="1:37" hidden="1" outlineLevel="2" x14ac:dyDescent="0.25">
      <c r="A49" s="65" t="s">
        <v>3</v>
      </c>
      <c r="B49" s="65" t="s">
        <v>788</v>
      </c>
      <c r="C49" s="65" t="s">
        <v>1426</v>
      </c>
      <c r="D49" s="65" t="s">
        <v>1520</v>
      </c>
      <c r="E49" s="65" t="s">
        <v>1290</v>
      </c>
      <c r="F49" s="73"/>
      <c r="G49" s="64">
        <f>VLOOKUP($B49,'7. PGE_Efficacité'!$A$6:$CY$266,(MATCH('[3]4.4 ACE MAX SEN '!G$4,'7. PGE_Efficacité'!$A$4:$AO$4,0)),0)</f>
        <v>0</v>
      </c>
      <c r="H49" s="64">
        <f>VLOOKUP($B49,'7. PGE_Efficacité'!$A$6:$CY$266,(MATCH('[3]4.4 ACE MAX SEN '!H$4,'7. PGE_Efficacité'!$A$4:$AO$4,0)),0)</f>
        <v>0</v>
      </c>
      <c r="I49" s="64">
        <f>VLOOKUP($B49,'7. PGE_Efficacité'!$A$6:$CY$266,(MATCH('[3]4.4 ACE MAX SEN '!I$4,'7. PGE_Efficacité'!$A$4:$AO$4,0)),0)</f>
        <v>0</v>
      </c>
      <c r="J49" s="64">
        <f>VLOOKUP($B49,'7. PGE_Efficacité'!$A$6:$CY$266,(MATCH('[3]4.4 ACE MAX SEN '!J$4,'7. PGE_Efficacité'!$A$4:$AO$4,0)),0)</f>
        <v>0</v>
      </c>
      <c r="K49" s="64">
        <f>VLOOKUP($B49,'7. PGE_Efficacité'!$A$6:$CY$266,(MATCH('[3]4.4 ACE MAX SEN '!K$4,'7. PGE_Efficacité'!$A$4:$AO$4,0)),0)</f>
        <v>0</v>
      </c>
      <c r="L49" s="64">
        <f>VLOOKUP($B49,'7. PGE_Efficacité'!$A$6:$CY$266,(MATCH('[3]4.4 ACE MAX SEN '!L$4,'7. PGE_Efficacité'!$A$4:$AO$4,0)),0)</f>
        <v>0</v>
      </c>
      <c r="M49" s="64">
        <f>VLOOKUP($B49,'7. PGE_Efficacité'!$A$6:$CY$266,(MATCH('[3]4.4 ACE MAX SEN '!M$4,'7. PGE_Efficacité'!$A$4:$AO$4,0)),0)</f>
        <v>0</v>
      </c>
      <c r="N49" s="64">
        <f>VLOOKUP($B49,'7. PGE_Efficacité'!$A$6:$CY$266,(MATCH('[3]4.4 ACE MAX SEN '!N$4,'7. PGE_Efficacité'!$A$4:$AO$4,0)),0)</f>
        <v>0</v>
      </c>
      <c r="O49" s="64">
        <f>VLOOKUP($B49,'7. PGE_Efficacité'!$A$6:$CY$266,(MATCH('[3]4.4 ACE MAX SEN '!O$4,'7. PGE_Efficacité'!$A$4:$AO$4,0)),0)</f>
        <v>0</v>
      </c>
      <c r="P49" s="64">
        <f>VLOOKUP($B49,'7. PGE_Efficacité'!$A$6:$CY$266,(MATCH('[3]4.4 ACE MAX SEN '!P$4,'7. PGE_Efficacité'!$A$4:$AO$4,0)),0)</f>
        <v>0</v>
      </c>
      <c r="Q49" s="64">
        <f>VLOOKUP($B49,'7. PGE_Efficacité'!$A$6:$CY$266,(MATCH('[3]4.4 ACE MAX SEN '!Q$4,'7. PGE_Efficacité'!$A$4:$AO$4,0)),0)</f>
        <v>0</v>
      </c>
      <c r="R49" s="64">
        <f>VLOOKUP($B49,'7. PGE_Efficacité'!$A$6:$CY$266,(MATCH('[3]4.4 ACE MAX SEN '!R$4,'7. PGE_Efficacité'!$A$4:$AO$4,0)),0)</f>
        <v>0</v>
      </c>
      <c r="S49" s="64">
        <f>VLOOKUP($B49,'7. PGE_Efficacité'!$A$6:$CY$266,(MATCH('[3]4.4 ACE MAX SEN '!S$4,'7. PGE_Efficacité'!$A$4:$AO$4,0)),0)</f>
        <v>0</v>
      </c>
      <c r="T49" s="64">
        <f>VLOOKUP($B49,'7. PGE_Efficacité'!$A$6:$CY$266,(MATCH('[3]4.4 ACE MAX SEN '!T$4,'7. PGE_Efficacité'!$A$4:$AO$4,0)),0)</f>
        <v>0</v>
      </c>
      <c r="U49" s="64">
        <f>VLOOKUP($B49,'7. PGE_Efficacité'!$A$6:$CY$266,(MATCH('[3]4.4 ACE MAX SEN '!U$4,'7. PGE_Efficacité'!$A$4:$AO$4,0)),0)</f>
        <v>0</v>
      </c>
      <c r="V49" s="64">
        <f>VLOOKUP($B49,'7. PGE_Efficacité'!$A$6:$CY$266,(MATCH('[3]4.4 ACE MAX SEN '!V$4,'7. PGE_Efficacité'!$A$4:$AO$4,0)),0)</f>
        <v>0</v>
      </c>
      <c r="W49" s="61">
        <f>VLOOKUP($B49,'7. PGE_Efficacité'!$A$6:$CY$266,(MATCH('[3]4.4 ACE MAX SEN '!W$4,'7. PGE_Efficacité'!$A$4:$AO$4,0)),0)</f>
        <v>0</v>
      </c>
      <c r="X49" s="61">
        <f>VLOOKUP($B49,'7. PGE_Efficacité'!$A$6:$CY$266,(MATCH('[3]4.4 ACE MAX SEN '!X$4,'7. PGE_Efficacité'!$A$4:$AO$4,0)),0)</f>
        <v>0</v>
      </c>
      <c r="Y49" s="61">
        <f>VLOOKUP($B49,'7. PGE_Efficacité'!$A$6:$CY$266,(MATCH('[3]4.4 ACE MAX SEN '!Y$4,'7. PGE_Efficacité'!$A$4:$AO$4,0)),0)</f>
        <v>0</v>
      </c>
      <c r="Z49" s="61">
        <f>VLOOKUP($B49,'7. PGE_Efficacité'!$A$6:$CY$266,(MATCH('[3]4.4 ACE MAX SEN '!Z$4,'7. PGE_Efficacité'!$A$4:$AO$4,0)),0)</f>
        <v>0</v>
      </c>
      <c r="AA49" s="61">
        <f>VLOOKUP($B49,'7. PGE_Efficacité'!$A$6:$CY$266,(MATCH('[3]4.4 ACE MAX SEN '!AA$4,'7. PGE_Efficacité'!$A$4:$AO$4,0)),0)</f>
        <v>0</v>
      </c>
      <c r="AB49" s="61">
        <f>VLOOKUP($B49,'7. PGE_Efficacité'!$A$6:$CY$266,(MATCH('[3]4.4 ACE MAX SEN '!AB$4,'7. PGE_Efficacité'!$A$4:$AO$4,0)),0)</f>
        <v>0</v>
      </c>
      <c r="AC49" s="61">
        <f>VLOOKUP($B49,'7. PGE_Efficacité'!$A$6:$CY$266,(MATCH('[3]4.4 ACE MAX SEN '!AC$4,'7. PGE_Efficacité'!$A$4:$AO$4,0)),0)</f>
        <v>0</v>
      </c>
      <c r="AD49" s="61">
        <f>VLOOKUP($B49,'7. PGE_Efficacité'!$A$6:$CY$266,(MATCH('[3]4.4 ACE MAX SEN '!AD$4,'7. PGE_Efficacité'!$A$4:$AO$4,0)),0)</f>
        <v>0</v>
      </c>
      <c r="AE49" s="61">
        <f>VLOOKUP($B49,'7. PGE_Efficacité'!$A$6:$CY$266,(MATCH('[3]4.4 ACE MAX SEN '!AE$4,'7. PGE_Efficacité'!$A$4:$AO$4,0)),0)</f>
        <v>0</v>
      </c>
      <c r="AF49" s="61">
        <f>VLOOKUP($B49,'7. PGE_Efficacité'!$A$6:$CY$266,(MATCH('[3]4.4 ACE MAX SEN '!AF$4,'7. PGE_Efficacité'!$A$4:$AO$4,0)),0)</f>
        <v>0</v>
      </c>
      <c r="AG49" s="61">
        <f>VLOOKUP($B49,'7. PGE_Efficacité'!$A$6:$CY$266,(MATCH('[3]4.4 ACE MAX SEN '!AG$4,'7. PGE_Efficacité'!$A$4:$AO$4,0)),0)</f>
        <v>0</v>
      </c>
      <c r="AH49" s="61">
        <f>VLOOKUP($B49,'7. PGE_Efficacité'!$A$6:$CY$266,(MATCH('[3]4.4 ACE MAX SEN '!AH$4,'7. PGE_Efficacité'!$A$4:$AO$4,0)),0)</f>
        <v>0</v>
      </c>
      <c r="AI49" s="61">
        <f>VLOOKUP($B49,'7. PGE_Efficacité'!$A$6:$CY$266,(MATCH('[3]4.4 ACE MAX SEN '!AI$4,'7. PGE_Efficacité'!$A$4:$AO$4,0)),0)</f>
        <v>0</v>
      </c>
      <c r="AJ49" s="61">
        <f>VLOOKUP($B49,'7. PGE_Efficacité'!$A$6:$CY$266,(MATCH('[3]4.4 ACE MAX SEN '!AJ$4,'7. PGE_Efficacité'!$A$4:$AO$4,0)),0)</f>
        <v>0</v>
      </c>
      <c r="AK49" s="61">
        <f>VLOOKUP($B49,'7. PGE_Efficacité'!$A$6:$CY$266,(MATCH('[3]4.4 ACE MAX SEN '!AK$4,'7. PGE_Efficacité'!$A$4:$AO$4,0)),0)</f>
        <v>0</v>
      </c>
    </row>
    <row r="50" spans="1:37" hidden="1" outlineLevel="2" x14ac:dyDescent="0.25">
      <c r="A50" s="65" t="s">
        <v>3</v>
      </c>
      <c r="B50" s="65" t="s">
        <v>797</v>
      </c>
      <c r="C50" s="65" t="s">
        <v>1435</v>
      </c>
      <c r="D50" s="65" t="s">
        <v>1520</v>
      </c>
      <c r="E50" s="65" t="s">
        <v>1290</v>
      </c>
      <c r="F50" s="73"/>
      <c r="G50" s="64">
        <f>VLOOKUP($B50,'7. PGE_Efficacité'!$A$6:$CY$266,(MATCH('[3]4.4 ACE MAX SEN '!G$4,'7. PGE_Efficacité'!$A$4:$AO$4,0)),0)</f>
        <v>0</v>
      </c>
      <c r="H50" s="64">
        <f>VLOOKUP($B50,'7. PGE_Efficacité'!$A$6:$CY$266,(MATCH('[3]4.4 ACE MAX SEN '!H$4,'7. PGE_Efficacité'!$A$4:$AO$4,0)),0)</f>
        <v>0</v>
      </c>
      <c r="I50" s="64">
        <f>VLOOKUP($B50,'7. PGE_Efficacité'!$A$6:$CY$266,(MATCH('[3]4.4 ACE MAX SEN '!I$4,'7. PGE_Efficacité'!$A$4:$AO$4,0)),0)</f>
        <v>0</v>
      </c>
      <c r="J50" s="64">
        <f>VLOOKUP($B50,'7. PGE_Efficacité'!$A$6:$CY$266,(MATCH('[3]4.4 ACE MAX SEN '!J$4,'7. PGE_Efficacité'!$A$4:$AO$4,0)),0)</f>
        <v>0</v>
      </c>
      <c r="K50" s="64">
        <f>VLOOKUP($B50,'7. PGE_Efficacité'!$A$6:$CY$266,(MATCH('[3]4.4 ACE MAX SEN '!K$4,'7. PGE_Efficacité'!$A$4:$AO$4,0)),0)</f>
        <v>0</v>
      </c>
      <c r="L50" s="64">
        <f>VLOOKUP($B50,'7. PGE_Efficacité'!$A$6:$CY$266,(MATCH('[3]4.4 ACE MAX SEN '!L$4,'7. PGE_Efficacité'!$A$4:$AO$4,0)),0)</f>
        <v>0</v>
      </c>
      <c r="M50" s="64">
        <f>VLOOKUP($B50,'7. PGE_Efficacité'!$A$6:$CY$266,(MATCH('[3]4.4 ACE MAX SEN '!M$4,'7. PGE_Efficacité'!$A$4:$AO$4,0)),0)</f>
        <v>0</v>
      </c>
      <c r="N50" s="64">
        <f>VLOOKUP($B50,'7. PGE_Efficacité'!$A$6:$CY$266,(MATCH('[3]4.4 ACE MAX SEN '!N$4,'7. PGE_Efficacité'!$A$4:$AO$4,0)),0)</f>
        <v>0</v>
      </c>
      <c r="O50" s="64">
        <f>VLOOKUP($B50,'7. PGE_Efficacité'!$A$6:$CY$266,(MATCH('[3]4.4 ACE MAX SEN '!O$4,'7. PGE_Efficacité'!$A$4:$AO$4,0)),0)</f>
        <v>0</v>
      </c>
      <c r="P50" s="64">
        <f>VLOOKUP($B50,'7. PGE_Efficacité'!$A$6:$CY$266,(MATCH('[3]4.4 ACE MAX SEN '!P$4,'7. PGE_Efficacité'!$A$4:$AO$4,0)),0)</f>
        <v>0</v>
      </c>
      <c r="Q50" s="64">
        <f>VLOOKUP($B50,'7. PGE_Efficacité'!$A$6:$CY$266,(MATCH('[3]4.4 ACE MAX SEN '!Q$4,'7. PGE_Efficacité'!$A$4:$AO$4,0)),0)</f>
        <v>0</v>
      </c>
      <c r="R50" s="64">
        <f>VLOOKUP($B50,'7. PGE_Efficacité'!$A$6:$CY$266,(MATCH('[3]4.4 ACE MAX SEN '!R$4,'7. PGE_Efficacité'!$A$4:$AO$4,0)),0)</f>
        <v>0</v>
      </c>
      <c r="S50" s="64">
        <f>VLOOKUP($B50,'7. PGE_Efficacité'!$A$6:$CY$266,(MATCH('[3]4.4 ACE MAX SEN '!S$4,'7. PGE_Efficacité'!$A$4:$AO$4,0)),0)</f>
        <v>0</v>
      </c>
      <c r="T50" s="64">
        <f>VLOOKUP($B50,'7. PGE_Efficacité'!$A$6:$CY$266,(MATCH('[3]4.4 ACE MAX SEN '!T$4,'7. PGE_Efficacité'!$A$4:$AO$4,0)),0)</f>
        <v>0</v>
      </c>
      <c r="U50" s="64">
        <f>VLOOKUP($B50,'7. PGE_Efficacité'!$A$6:$CY$266,(MATCH('[3]4.4 ACE MAX SEN '!U$4,'7. PGE_Efficacité'!$A$4:$AO$4,0)),0)</f>
        <v>0</v>
      </c>
      <c r="V50" s="64">
        <f>VLOOKUP($B50,'7. PGE_Efficacité'!$A$6:$CY$266,(MATCH('[3]4.4 ACE MAX SEN '!V$4,'7. PGE_Efficacité'!$A$4:$AO$4,0)),0)</f>
        <v>0</v>
      </c>
      <c r="W50" s="61">
        <f>VLOOKUP($B50,'7. PGE_Efficacité'!$A$6:$CY$266,(MATCH('[3]4.4 ACE MAX SEN '!W$4,'7. PGE_Efficacité'!$A$4:$AO$4,0)),0)</f>
        <v>0</v>
      </c>
      <c r="X50" s="61">
        <f>VLOOKUP($B50,'7. PGE_Efficacité'!$A$6:$CY$266,(MATCH('[3]4.4 ACE MAX SEN '!X$4,'7. PGE_Efficacité'!$A$4:$AO$4,0)),0)</f>
        <v>0</v>
      </c>
      <c r="Y50" s="61">
        <f>VLOOKUP($B50,'7. PGE_Efficacité'!$A$6:$CY$266,(MATCH('[3]4.4 ACE MAX SEN '!Y$4,'7. PGE_Efficacité'!$A$4:$AO$4,0)),0)</f>
        <v>0</v>
      </c>
      <c r="Z50" s="61">
        <f>VLOOKUP($B50,'7. PGE_Efficacité'!$A$6:$CY$266,(MATCH('[3]4.4 ACE MAX SEN '!Z$4,'7. PGE_Efficacité'!$A$4:$AO$4,0)),0)</f>
        <v>0</v>
      </c>
      <c r="AA50" s="61">
        <f>VLOOKUP($B50,'7. PGE_Efficacité'!$A$6:$CY$266,(MATCH('[3]4.4 ACE MAX SEN '!AA$4,'7. PGE_Efficacité'!$A$4:$AO$4,0)),0)</f>
        <v>0</v>
      </c>
      <c r="AB50" s="61">
        <f>VLOOKUP($B50,'7. PGE_Efficacité'!$A$6:$CY$266,(MATCH('[3]4.4 ACE MAX SEN '!AB$4,'7. PGE_Efficacité'!$A$4:$AO$4,0)),0)</f>
        <v>0</v>
      </c>
      <c r="AC50" s="61">
        <f>VLOOKUP($B50,'7. PGE_Efficacité'!$A$6:$CY$266,(MATCH('[3]4.4 ACE MAX SEN '!AC$4,'7. PGE_Efficacité'!$A$4:$AO$4,0)),0)</f>
        <v>0</v>
      </c>
      <c r="AD50" s="61">
        <f>VLOOKUP($B50,'7. PGE_Efficacité'!$A$6:$CY$266,(MATCH('[3]4.4 ACE MAX SEN '!AD$4,'7. PGE_Efficacité'!$A$4:$AO$4,0)),0)</f>
        <v>0</v>
      </c>
      <c r="AE50" s="61">
        <f>VLOOKUP($B50,'7. PGE_Efficacité'!$A$6:$CY$266,(MATCH('[3]4.4 ACE MAX SEN '!AE$4,'7. PGE_Efficacité'!$A$4:$AO$4,0)),0)</f>
        <v>0</v>
      </c>
      <c r="AF50" s="61">
        <f>VLOOKUP($B50,'7. PGE_Efficacité'!$A$6:$CY$266,(MATCH('[3]4.4 ACE MAX SEN '!AF$4,'7. PGE_Efficacité'!$A$4:$AO$4,0)),0)</f>
        <v>0</v>
      </c>
      <c r="AG50" s="61">
        <f>VLOOKUP($B50,'7. PGE_Efficacité'!$A$6:$CY$266,(MATCH('[3]4.4 ACE MAX SEN '!AG$4,'7. PGE_Efficacité'!$A$4:$AO$4,0)),0)</f>
        <v>0</v>
      </c>
      <c r="AH50" s="61">
        <f>VLOOKUP($B50,'7. PGE_Efficacité'!$A$6:$CY$266,(MATCH('[3]4.4 ACE MAX SEN '!AH$4,'7. PGE_Efficacité'!$A$4:$AO$4,0)),0)</f>
        <v>0</v>
      </c>
      <c r="AI50" s="61">
        <f>VLOOKUP($B50,'7. PGE_Efficacité'!$A$6:$CY$266,(MATCH('[3]4.4 ACE MAX SEN '!AI$4,'7. PGE_Efficacité'!$A$4:$AO$4,0)),0)</f>
        <v>0</v>
      </c>
      <c r="AJ50" s="61">
        <f>VLOOKUP($B50,'7. PGE_Efficacité'!$A$6:$CY$266,(MATCH('[3]4.4 ACE MAX SEN '!AJ$4,'7. PGE_Efficacité'!$A$4:$AO$4,0)),0)</f>
        <v>0</v>
      </c>
      <c r="AK50" s="61">
        <f>VLOOKUP($B50,'7. PGE_Efficacité'!$A$6:$CY$266,(MATCH('[3]4.4 ACE MAX SEN '!AK$4,'7. PGE_Efficacité'!$A$4:$AO$4,0)),0)</f>
        <v>0</v>
      </c>
    </row>
    <row r="51" spans="1:37" outlineLevel="1" collapsed="1" x14ac:dyDescent="0.25">
      <c r="A51" s="157" t="s">
        <v>4</v>
      </c>
      <c r="B51" s="63"/>
      <c r="C51" s="156" t="s">
        <v>234</v>
      </c>
      <c r="D51" s="63"/>
      <c r="E51" s="63"/>
      <c r="F51" s="72">
        <f>MEDIAN(VLOOKUP(A51,'4. Mesures_ACE_Budget'!$A$3:$J$31,9,0),VLOOKUP(A51,'4. Mesures_ACE_Budget'!$A$3:$J$31,10,0))</f>
        <v>0</v>
      </c>
      <c r="G51" s="180">
        <f>VLOOKUP($A51,'7. PGE_Efficacité'!$A$6:$CY$266,(MATCH('[2]4.4 ACE MAX SEN '!G$4,'7. PGE_Efficacité'!$A$4:$AO$4,0)),0)</f>
        <v>0</v>
      </c>
      <c r="H51" s="180">
        <f>VLOOKUP($A51,'7. PGE_Efficacité'!$A$6:$CY$266,(MATCH('[2]4.4 ACE MAX SEN '!H$4,'7. PGE_Efficacité'!$A$4:$AO$4,0)),0)</f>
        <v>0</v>
      </c>
      <c r="I51" s="180">
        <f>VLOOKUP($A51,'7. PGE_Efficacité'!$A$6:$CY$266,(MATCH('[2]4.4 ACE MAX SEN '!I$4,'7. PGE_Efficacité'!$A$4:$AO$4,0)),0)</f>
        <v>0</v>
      </c>
      <c r="J51" s="180">
        <f>VLOOKUP($A51,'7. PGE_Efficacité'!$A$6:$CY$266,(MATCH('[2]4.4 ACE MAX SEN '!J$4,'7. PGE_Efficacité'!$A$4:$AO$4,0)),0)</f>
        <v>0</v>
      </c>
      <c r="K51" s="180">
        <f>VLOOKUP($A51,'7. PGE_Efficacité'!$A$6:$CY$266,(MATCH('[2]4.4 ACE MAX SEN '!K$4,'7. PGE_Efficacité'!$A$4:$AO$4,0)),0)</f>
        <v>0</v>
      </c>
      <c r="L51" s="180">
        <f>VLOOKUP($A51,'7. PGE_Efficacité'!$A$6:$CY$266,(MATCH('[2]4.4 ACE MAX SEN '!L$4,'7. PGE_Efficacité'!$A$4:$AO$4,0)),0)</f>
        <v>0</v>
      </c>
      <c r="M51" s="180">
        <f>VLOOKUP($A51,'7. PGE_Efficacité'!$A$6:$CY$266,(MATCH('[2]4.4 ACE MAX SEN '!M$4,'7. PGE_Efficacité'!$A$4:$AO$4,0)),0)</f>
        <v>0</v>
      </c>
      <c r="N51" s="180">
        <f>VLOOKUP($A51,'7. PGE_Efficacité'!$A$6:$CY$266,(MATCH('[2]4.4 ACE MAX SEN '!N$4,'7. PGE_Efficacité'!$A$4:$AO$4,0)),0)</f>
        <v>0</v>
      </c>
      <c r="O51" s="180">
        <f>VLOOKUP($A51,'7. PGE_Efficacité'!$A$6:$CY$266,(MATCH('[2]4.4 ACE MAX SEN '!O$4,'7. PGE_Efficacité'!$A$4:$AO$4,0)),0)</f>
        <v>0</v>
      </c>
      <c r="P51" s="180">
        <f>VLOOKUP($A51,'7. PGE_Efficacité'!$A$6:$CY$266,(MATCH('[2]4.4 ACE MAX SEN '!P$4,'7. PGE_Efficacité'!$A$4:$AO$4,0)),0)</f>
        <v>0</v>
      </c>
      <c r="Q51" s="180">
        <f>VLOOKUP($A51,'7. PGE_Efficacité'!$A$6:$CY$266,(MATCH('[2]4.4 ACE MAX SEN '!Q$4,'7. PGE_Efficacité'!$A$4:$AO$4,0)),0)</f>
        <v>0</v>
      </c>
      <c r="R51" s="180">
        <f>VLOOKUP($A51,'7. PGE_Efficacité'!$A$6:$CY$266,(MATCH('[2]4.4 ACE MAX SEN '!R$4,'7. PGE_Efficacité'!$A$4:$AO$4,0)),0)</f>
        <v>0</v>
      </c>
      <c r="S51" s="180">
        <f>VLOOKUP($A51,'7. PGE_Efficacité'!$A$6:$CY$266,(MATCH('[2]4.4 ACE MAX SEN '!S$4,'7. PGE_Efficacité'!$A$4:$AO$4,0)),0)</f>
        <v>0</v>
      </c>
      <c r="T51" s="180">
        <f>VLOOKUP($A51,'7. PGE_Efficacité'!$A$6:$CY$266,(MATCH('[2]4.4 ACE MAX SEN '!T$4,'7. PGE_Efficacité'!$A$4:$AO$4,0)),0)</f>
        <v>0</v>
      </c>
      <c r="U51" s="180">
        <f>VLOOKUP($A51,'7. PGE_Efficacité'!$A$6:$CY$266,(MATCH('[2]4.4 ACE MAX SEN '!U$4,'7. PGE_Efficacité'!$A$4:$AO$4,0)),0)</f>
        <v>0</v>
      </c>
      <c r="V51" s="180">
        <f>VLOOKUP($A51,'7. PGE_Efficacité'!$A$6:$CY$266,(MATCH('[2]4.4 ACE MAX SEN '!V$4,'7. PGE_Efficacité'!$A$4:$AO$4,0)),0)</f>
        <v>0</v>
      </c>
      <c r="W51" s="181">
        <f>VLOOKUP($A51,'7. PGE_Efficacité'!$A$6:$CY$266,(MATCH('[2]4.4 ACE MAX SEN '!W$4,'7. PGE_Efficacité'!$A$4:$AO$4,0)),0)</f>
        <v>0</v>
      </c>
      <c r="X51" s="181">
        <f>VLOOKUP($A51,'7. PGE_Efficacité'!$A$6:$CY$266,(MATCH('[2]4.4 ACE MAX SEN '!X$4,'7. PGE_Efficacité'!$A$4:$AO$4,0)),0)</f>
        <v>0</v>
      </c>
      <c r="Y51" s="181">
        <f>VLOOKUP($A51,'7. PGE_Efficacité'!$A$6:$CY$266,(MATCH('[2]4.4 ACE MAX SEN '!Y$4,'7. PGE_Efficacité'!$A$4:$AO$4,0)),0)</f>
        <v>0</v>
      </c>
      <c r="Z51" s="181">
        <f>VLOOKUP($A51,'7. PGE_Efficacité'!$A$6:$CY$266,(MATCH('[2]4.4 ACE MAX SEN '!Z$4,'7. PGE_Efficacité'!$A$4:$AO$4,0)),0)</f>
        <v>0</v>
      </c>
      <c r="AA51" s="181">
        <f>VLOOKUP($A51,'7. PGE_Efficacité'!$A$6:$CY$266,(MATCH('[2]4.4 ACE MAX SEN '!AA$4,'7. PGE_Efficacité'!$A$4:$AO$4,0)),0)</f>
        <v>0</v>
      </c>
      <c r="AB51" s="181">
        <f>VLOOKUP($A51,'7. PGE_Efficacité'!$A$6:$CY$266,(MATCH('[2]4.4 ACE MAX SEN '!AB$4,'7. PGE_Efficacité'!$A$4:$AO$4,0)),0)</f>
        <v>0</v>
      </c>
      <c r="AC51" s="181">
        <f>VLOOKUP($A51,'7. PGE_Efficacité'!$A$6:$CY$266,(MATCH('[2]4.4 ACE MAX SEN '!AC$4,'7. PGE_Efficacité'!$A$4:$AO$4,0)),0)</f>
        <v>0</v>
      </c>
      <c r="AD51" s="181">
        <f>VLOOKUP($A51,'7. PGE_Efficacité'!$A$6:$CY$266,(MATCH('[2]4.4 ACE MAX SEN '!AD$4,'7. PGE_Efficacité'!$A$4:$AO$4,0)),0)</f>
        <v>0</v>
      </c>
      <c r="AE51" s="181">
        <f>VLOOKUP($A51,'7. PGE_Efficacité'!$A$6:$CY$266,(MATCH('[2]4.4 ACE MAX SEN '!AE$4,'7. PGE_Efficacité'!$A$4:$AO$4,0)),0)</f>
        <v>0</v>
      </c>
      <c r="AF51" s="181">
        <f>VLOOKUP($A51,'7. PGE_Efficacité'!$A$6:$CY$266,(MATCH('[2]4.4 ACE MAX SEN '!AF$4,'7. PGE_Efficacité'!$A$4:$AO$4,0)),0)</f>
        <v>0</v>
      </c>
      <c r="AG51" s="181">
        <f>VLOOKUP($A51,'7. PGE_Efficacité'!$A$6:$CY$266,(MATCH('[2]4.4 ACE MAX SEN '!AG$4,'7. PGE_Efficacité'!$A$4:$AO$4,0)),0)</f>
        <v>0</v>
      </c>
      <c r="AH51" s="181">
        <f>VLOOKUP($A51,'7. PGE_Efficacité'!$A$6:$CY$266,(MATCH('[2]4.4 ACE MAX SEN '!AH$4,'7. PGE_Efficacité'!$A$4:$AO$4,0)),0)</f>
        <v>0</v>
      </c>
      <c r="AI51" s="181">
        <f>VLOOKUP($A51,'7. PGE_Efficacité'!$A$6:$CY$266,(MATCH('[2]4.4 ACE MAX SEN '!AI$4,'7. PGE_Efficacité'!$A$4:$AO$4,0)),0)</f>
        <v>0</v>
      </c>
      <c r="AJ51" s="181">
        <f>VLOOKUP($A51,'7. PGE_Efficacité'!$A$6:$CY$266,(MATCH('[2]4.4 ACE MAX SEN '!AJ$4,'7. PGE_Efficacité'!$A$4:$AO$4,0)),0)</f>
        <v>0</v>
      </c>
      <c r="AK51" s="181">
        <f>VLOOKUP($A51,'7. PGE_Efficacité'!$A$6:$CY$266,(MATCH('[2]4.4 ACE MAX SEN '!AK$4,'7. PGE_Efficacité'!$A$4:$AO$4,0)),0)</f>
        <v>0</v>
      </c>
    </row>
    <row r="52" spans="1:37" hidden="1" outlineLevel="3" x14ac:dyDescent="0.25">
      <c r="A52" t="s">
        <v>4</v>
      </c>
      <c r="B52" s="65" t="s">
        <v>798</v>
      </c>
      <c r="C52" s="65" t="s">
        <v>1617</v>
      </c>
      <c r="D52" s="65"/>
      <c r="E52" s="65" t="s">
        <v>1290</v>
      </c>
      <c r="F52" s="73"/>
      <c r="G52" s="64">
        <f>VLOOKUP($B52,'7. PGE_Efficacité'!$A$6:$CY$266,(MATCH('[3]4.4 ACE MAX SEN '!G$4,'7. PGE_Efficacité'!$A$4:$AO$4,0)),0)</f>
        <v>0</v>
      </c>
      <c r="H52" s="64">
        <f>VLOOKUP($B52,'7. PGE_Efficacité'!$A$6:$CY$266,(MATCH('[3]4.4 ACE MAX SEN '!H$4,'7. PGE_Efficacité'!$A$4:$AO$4,0)),0)</f>
        <v>0</v>
      </c>
      <c r="I52" s="64">
        <f>VLOOKUP($B52,'7. PGE_Efficacité'!$A$6:$CY$266,(MATCH('[3]4.4 ACE MAX SEN '!I$4,'7. PGE_Efficacité'!$A$4:$AO$4,0)),0)</f>
        <v>0</v>
      </c>
      <c r="J52" s="64">
        <f>VLOOKUP($B52,'7. PGE_Efficacité'!$A$6:$CY$266,(MATCH('[3]4.4 ACE MAX SEN '!J$4,'7. PGE_Efficacité'!$A$4:$AO$4,0)),0)</f>
        <v>0</v>
      </c>
      <c r="K52" s="64">
        <f>VLOOKUP($B52,'7. PGE_Efficacité'!$A$6:$CY$266,(MATCH('[3]4.4 ACE MAX SEN '!K$4,'7. PGE_Efficacité'!$A$4:$AO$4,0)),0)</f>
        <v>0</v>
      </c>
      <c r="L52" s="64">
        <f>VLOOKUP($B52,'7. PGE_Efficacité'!$A$6:$CY$266,(MATCH('[3]4.4 ACE MAX SEN '!L$4,'7. PGE_Efficacité'!$A$4:$AO$4,0)),0)</f>
        <v>0</v>
      </c>
      <c r="M52" s="64">
        <f>VLOOKUP($B52,'7. PGE_Efficacité'!$A$6:$CY$266,(MATCH('[3]4.4 ACE MAX SEN '!M$4,'7. PGE_Efficacité'!$A$4:$AO$4,0)),0)</f>
        <v>0</v>
      </c>
      <c r="N52" s="64">
        <f>VLOOKUP($B52,'7. PGE_Efficacité'!$A$6:$CY$266,(MATCH('[3]4.4 ACE MAX SEN '!N$4,'7. PGE_Efficacité'!$A$4:$AO$4,0)),0)</f>
        <v>0</v>
      </c>
      <c r="O52" s="64">
        <f>VLOOKUP($B52,'7. PGE_Efficacité'!$A$6:$CY$266,(MATCH('[3]4.4 ACE MAX SEN '!O$4,'7. PGE_Efficacité'!$A$4:$AO$4,0)),0)</f>
        <v>0</v>
      </c>
      <c r="P52" s="64">
        <f>VLOOKUP($B52,'7. PGE_Efficacité'!$A$6:$CY$266,(MATCH('[3]4.4 ACE MAX SEN '!P$4,'7. PGE_Efficacité'!$A$4:$AO$4,0)),0)</f>
        <v>0</v>
      </c>
      <c r="Q52" s="64">
        <f>VLOOKUP($B52,'7. PGE_Efficacité'!$A$6:$CY$266,(MATCH('[3]4.4 ACE MAX SEN '!Q$4,'7. PGE_Efficacité'!$A$4:$AO$4,0)),0)</f>
        <v>0</v>
      </c>
      <c r="R52" s="64">
        <f>VLOOKUP($B52,'7. PGE_Efficacité'!$A$6:$CY$266,(MATCH('[3]4.4 ACE MAX SEN '!R$4,'7. PGE_Efficacité'!$A$4:$AO$4,0)),0)</f>
        <v>0</v>
      </c>
      <c r="S52" s="64">
        <f>VLOOKUP($B52,'7. PGE_Efficacité'!$A$6:$CY$266,(MATCH('[3]4.4 ACE MAX SEN '!S$4,'7. PGE_Efficacité'!$A$4:$AO$4,0)),0)</f>
        <v>0</v>
      </c>
      <c r="T52" s="64">
        <f>VLOOKUP($B52,'7. PGE_Efficacité'!$A$6:$CY$266,(MATCH('[3]4.4 ACE MAX SEN '!T$4,'7. PGE_Efficacité'!$A$4:$AO$4,0)),0)</f>
        <v>0</v>
      </c>
      <c r="U52" s="64">
        <f>VLOOKUP($B52,'7. PGE_Efficacité'!$A$6:$CY$266,(MATCH('[3]4.4 ACE MAX SEN '!U$4,'7. PGE_Efficacité'!$A$4:$AO$4,0)),0)</f>
        <v>0</v>
      </c>
      <c r="V52" s="64">
        <f>VLOOKUP($B52,'7. PGE_Efficacité'!$A$6:$CY$266,(MATCH('[3]4.4 ACE MAX SEN '!V$4,'7. PGE_Efficacité'!$A$4:$AO$4,0)),0)</f>
        <v>0</v>
      </c>
      <c r="W52" s="61">
        <f>VLOOKUP($B52,'7. PGE_Efficacité'!$A$6:$CY$266,(MATCH('[3]4.4 ACE MAX SEN '!W$4,'7. PGE_Efficacité'!$A$4:$AO$4,0)),0)</f>
        <v>0</v>
      </c>
      <c r="X52" s="61">
        <f>VLOOKUP($B52,'7. PGE_Efficacité'!$A$6:$CY$266,(MATCH('[3]4.4 ACE MAX SEN '!X$4,'7. PGE_Efficacité'!$A$4:$AO$4,0)),0)</f>
        <v>0</v>
      </c>
      <c r="Y52" s="61">
        <f>VLOOKUP($B52,'7. PGE_Efficacité'!$A$6:$CY$266,(MATCH('[3]4.4 ACE MAX SEN '!Y$4,'7. PGE_Efficacité'!$A$4:$AO$4,0)),0)</f>
        <v>0</v>
      </c>
      <c r="Z52" s="61">
        <f>VLOOKUP($B52,'7. PGE_Efficacité'!$A$6:$CY$266,(MATCH('[3]4.4 ACE MAX SEN '!Z$4,'7. PGE_Efficacité'!$A$4:$AO$4,0)),0)</f>
        <v>0</v>
      </c>
      <c r="AA52" s="61">
        <f>VLOOKUP($B52,'7. PGE_Efficacité'!$A$6:$CY$266,(MATCH('[3]4.4 ACE MAX SEN '!AA$4,'7. PGE_Efficacité'!$A$4:$AO$4,0)),0)</f>
        <v>0</v>
      </c>
      <c r="AB52" s="61">
        <f>VLOOKUP($B52,'7. PGE_Efficacité'!$A$6:$CY$266,(MATCH('[3]4.4 ACE MAX SEN '!AB$4,'7. PGE_Efficacité'!$A$4:$AO$4,0)),0)</f>
        <v>0</v>
      </c>
      <c r="AC52" s="61">
        <f>VLOOKUP($B52,'7. PGE_Efficacité'!$A$6:$CY$266,(MATCH('[3]4.4 ACE MAX SEN '!AC$4,'7. PGE_Efficacité'!$A$4:$AO$4,0)),0)</f>
        <v>0</v>
      </c>
      <c r="AD52" s="61">
        <f>VLOOKUP($B52,'7. PGE_Efficacité'!$A$6:$CY$266,(MATCH('[3]4.4 ACE MAX SEN '!AD$4,'7. PGE_Efficacité'!$A$4:$AO$4,0)),0)</f>
        <v>0</v>
      </c>
      <c r="AE52" s="61">
        <f>VLOOKUP($B52,'7. PGE_Efficacité'!$A$6:$CY$266,(MATCH('[3]4.4 ACE MAX SEN '!AE$4,'7. PGE_Efficacité'!$A$4:$AO$4,0)),0)</f>
        <v>0</v>
      </c>
      <c r="AF52" s="61">
        <f>VLOOKUP($B52,'7. PGE_Efficacité'!$A$6:$CY$266,(MATCH('[3]4.4 ACE MAX SEN '!AF$4,'7. PGE_Efficacité'!$A$4:$AO$4,0)),0)</f>
        <v>0</v>
      </c>
      <c r="AG52" s="61">
        <f>VLOOKUP($B52,'7. PGE_Efficacité'!$A$6:$CY$266,(MATCH('[3]4.4 ACE MAX SEN '!AG$4,'7. PGE_Efficacité'!$A$4:$AO$4,0)),0)</f>
        <v>0</v>
      </c>
      <c r="AH52" s="61">
        <f>VLOOKUP($B52,'7. PGE_Efficacité'!$A$6:$CY$266,(MATCH('[3]4.4 ACE MAX SEN '!AH$4,'7. PGE_Efficacité'!$A$4:$AO$4,0)),0)</f>
        <v>0</v>
      </c>
      <c r="AI52" s="61">
        <f>VLOOKUP($B52,'7. PGE_Efficacité'!$A$6:$CY$266,(MATCH('[3]4.4 ACE MAX SEN '!AI$4,'7. PGE_Efficacité'!$A$4:$AO$4,0)),0)</f>
        <v>0</v>
      </c>
      <c r="AJ52" s="61">
        <f>VLOOKUP($B52,'7. PGE_Efficacité'!$A$6:$CY$266,(MATCH('[3]4.4 ACE MAX SEN '!AJ$4,'7. PGE_Efficacité'!$A$4:$AO$4,0)),0)</f>
        <v>0</v>
      </c>
      <c r="AK52" s="61">
        <f>VLOOKUP($B52,'7. PGE_Efficacité'!$A$6:$CY$266,(MATCH('[3]4.4 ACE MAX SEN '!AK$4,'7. PGE_Efficacité'!$A$4:$AO$4,0)),0)</f>
        <v>0</v>
      </c>
    </row>
    <row r="53" spans="1:37" hidden="1" outlineLevel="3" x14ac:dyDescent="0.25">
      <c r="A53" t="s">
        <v>4</v>
      </c>
      <c r="B53" s="65" t="s">
        <v>809</v>
      </c>
      <c r="C53" s="65" t="s">
        <v>1618</v>
      </c>
      <c r="D53" s="65"/>
      <c r="E53" s="65" t="s">
        <v>1290</v>
      </c>
      <c r="F53" s="73"/>
      <c r="G53" s="64">
        <f>VLOOKUP($B53,'7. PGE_Efficacité'!$A$6:$CY$266,(MATCH('[3]4.4 ACE MAX SEN '!G$4,'7. PGE_Efficacité'!$A$4:$AO$4,0)),0)</f>
        <v>0</v>
      </c>
      <c r="H53" s="64">
        <f>VLOOKUP($B53,'7. PGE_Efficacité'!$A$6:$CY$266,(MATCH('[3]4.4 ACE MAX SEN '!H$4,'7. PGE_Efficacité'!$A$4:$AO$4,0)),0)</f>
        <v>0</v>
      </c>
      <c r="I53" s="64">
        <f>VLOOKUP($B53,'7. PGE_Efficacité'!$A$6:$CY$266,(MATCH('[3]4.4 ACE MAX SEN '!I$4,'7. PGE_Efficacité'!$A$4:$AO$4,0)),0)</f>
        <v>0</v>
      </c>
      <c r="J53" s="64">
        <f>VLOOKUP($B53,'7. PGE_Efficacité'!$A$6:$CY$266,(MATCH('[3]4.4 ACE MAX SEN '!J$4,'7. PGE_Efficacité'!$A$4:$AO$4,0)),0)</f>
        <v>0</v>
      </c>
      <c r="K53" s="64">
        <f>VLOOKUP($B53,'7. PGE_Efficacité'!$A$6:$CY$266,(MATCH('[3]4.4 ACE MAX SEN '!K$4,'7. PGE_Efficacité'!$A$4:$AO$4,0)),0)</f>
        <v>0</v>
      </c>
      <c r="L53" s="64">
        <f>VLOOKUP($B53,'7. PGE_Efficacité'!$A$6:$CY$266,(MATCH('[3]4.4 ACE MAX SEN '!L$4,'7. PGE_Efficacité'!$A$4:$AO$4,0)),0)</f>
        <v>0</v>
      </c>
      <c r="M53" s="64">
        <f>VLOOKUP($B53,'7. PGE_Efficacité'!$A$6:$CY$266,(MATCH('[3]4.4 ACE MAX SEN '!M$4,'7. PGE_Efficacité'!$A$4:$AO$4,0)),0)</f>
        <v>0</v>
      </c>
      <c r="N53" s="64">
        <f>VLOOKUP($B53,'7. PGE_Efficacité'!$A$6:$CY$266,(MATCH('[3]4.4 ACE MAX SEN '!N$4,'7. PGE_Efficacité'!$A$4:$AO$4,0)),0)</f>
        <v>0</v>
      </c>
      <c r="O53" s="64">
        <f>VLOOKUP($B53,'7. PGE_Efficacité'!$A$6:$CY$266,(MATCH('[3]4.4 ACE MAX SEN '!O$4,'7. PGE_Efficacité'!$A$4:$AO$4,0)),0)</f>
        <v>0</v>
      </c>
      <c r="P53" s="64">
        <f>VLOOKUP($B53,'7. PGE_Efficacité'!$A$6:$CY$266,(MATCH('[3]4.4 ACE MAX SEN '!P$4,'7. PGE_Efficacité'!$A$4:$AO$4,0)),0)</f>
        <v>0</v>
      </c>
      <c r="Q53" s="64">
        <f>VLOOKUP($B53,'7. PGE_Efficacité'!$A$6:$CY$266,(MATCH('[3]4.4 ACE MAX SEN '!Q$4,'7. PGE_Efficacité'!$A$4:$AO$4,0)),0)</f>
        <v>0</v>
      </c>
      <c r="R53" s="64">
        <f>VLOOKUP($B53,'7. PGE_Efficacité'!$A$6:$CY$266,(MATCH('[3]4.4 ACE MAX SEN '!R$4,'7. PGE_Efficacité'!$A$4:$AO$4,0)),0)</f>
        <v>0</v>
      </c>
      <c r="S53" s="64">
        <f>VLOOKUP($B53,'7. PGE_Efficacité'!$A$6:$CY$266,(MATCH('[3]4.4 ACE MAX SEN '!S$4,'7. PGE_Efficacité'!$A$4:$AO$4,0)),0)</f>
        <v>0</v>
      </c>
      <c r="T53" s="64">
        <f>VLOOKUP($B53,'7. PGE_Efficacité'!$A$6:$CY$266,(MATCH('[3]4.4 ACE MAX SEN '!T$4,'7. PGE_Efficacité'!$A$4:$AO$4,0)),0)</f>
        <v>0</v>
      </c>
      <c r="U53" s="64">
        <f>VLOOKUP($B53,'7. PGE_Efficacité'!$A$6:$CY$266,(MATCH('[3]4.4 ACE MAX SEN '!U$4,'7. PGE_Efficacité'!$A$4:$AO$4,0)),0)</f>
        <v>0</v>
      </c>
      <c r="V53" s="64">
        <f>VLOOKUP($B53,'7. PGE_Efficacité'!$A$6:$CY$266,(MATCH('[3]4.4 ACE MAX SEN '!V$4,'7. PGE_Efficacité'!$A$4:$AO$4,0)),0)</f>
        <v>0</v>
      </c>
      <c r="W53" s="61">
        <f>VLOOKUP($B53,'7. PGE_Efficacité'!$A$6:$CY$266,(MATCH('[3]4.4 ACE MAX SEN '!W$4,'7. PGE_Efficacité'!$A$4:$AO$4,0)),0)</f>
        <v>0</v>
      </c>
      <c r="X53" s="61">
        <f>VLOOKUP($B53,'7. PGE_Efficacité'!$A$6:$CY$266,(MATCH('[3]4.4 ACE MAX SEN '!X$4,'7. PGE_Efficacité'!$A$4:$AO$4,0)),0)</f>
        <v>0</v>
      </c>
      <c r="Y53" s="61">
        <f>VLOOKUP($B53,'7. PGE_Efficacité'!$A$6:$CY$266,(MATCH('[3]4.4 ACE MAX SEN '!Y$4,'7. PGE_Efficacité'!$A$4:$AO$4,0)),0)</f>
        <v>0</v>
      </c>
      <c r="Z53" s="61">
        <f>VLOOKUP($B53,'7. PGE_Efficacité'!$A$6:$CY$266,(MATCH('[3]4.4 ACE MAX SEN '!Z$4,'7. PGE_Efficacité'!$A$4:$AO$4,0)),0)</f>
        <v>0</v>
      </c>
      <c r="AA53" s="61">
        <f>VLOOKUP($B53,'7. PGE_Efficacité'!$A$6:$CY$266,(MATCH('[3]4.4 ACE MAX SEN '!AA$4,'7. PGE_Efficacité'!$A$4:$AO$4,0)),0)</f>
        <v>0</v>
      </c>
      <c r="AB53" s="61">
        <f>VLOOKUP($B53,'7. PGE_Efficacité'!$A$6:$CY$266,(MATCH('[3]4.4 ACE MAX SEN '!AB$4,'7. PGE_Efficacité'!$A$4:$AO$4,0)),0)</f>
        <v>0</v>
      </c>
      <c r="AC53" s="61">
        <f>VLOOKUP($B53,'7. PGE_Efficacité'!$A$6:$CY$266,(MATCH('[3]4.4 ACE MAX SEN '!AC$4,'7. PGE_Efficacité'!$A$4:$AO$4,0)),0)</f>
        <v>0</v>
      </c>
      <c r="AD53" s="61">
        <f>VLOOKUP($B53,'7. PGE_Efficacité'!$A$6:$CY$266,(MATCH('[3]4.4 ACE MAX SEN '!AD$4,'7. PGE_Efficacité'!$A$4:$AO$4,0)),0)</f>
        <v>0</v>
      </c>
      <c r="AE53" s="61">
        <f>VLOOKUP($B53,'7. PGE_Efficacité'!$A$6:$CY$266,(MATCH('[3]4.4 ACE MAX SEN '!AE$4,'7. PGE_Efficacité'!$A$4:$AO$4,0)),0)</f>
        <v>0</v>
      </c>
      <c r="AF53" s="61">
        <f>VLOOKUP($B53,'7. PGE_Efficacité'!$A$6:$CY$266,(MATCH('[3]4.4 ACE MAX SEN '!AF$4,'7. PGE_Efficacité'!$A$4:$AO$4,0)),0)</f>
        <v>0</v>
      </c>
      <c r="AG53" s="61">
        <f>VLOOKUP($B53,'7. PGE_Efficacité'!$A$6:$CY$266,(MATCH('[3]4.4 ACE MAX SEN '!AG$4,'7. PGE_Efficacité'!$A$4:$AO$4,0)),0)</f>
        <v>0</v>
      </c>
      <c r="AH53" s="61">
        <f>VLOOKUP($B53,'7. PGE_Efficacité'!$A$6:$CY$266,(MATCH('[3]4.4 ACE MAX SEN '!AH$4,'7. PGE_Efficacité'!$A$4:$AO$4,0)),0)</f>
        <v>0</v>
      </c>
      <c r="AI53" s="61">
        <f>VLOOKUP($B53,'7. PGE_Efficacité'!$A$6:$CY$266,(MATCH('[3]4.4 ACE MAX SEN '!AI$4,'7. PGE_Efficacité'!$A$4:$AO$4,0)),0)</f>
        <v>0</v>
      </c>
      <c r="AJ53" s="61">
        <f>VLOOKUP($B53,'7. PGE_Efficacité'!$A$6:$CY$266,(MATCH('[3]4.4 ACE MAX SEN '!AJ$4,'7. PGE_Efficacité'!$A$4:$AO$4,0)),0)</f>
        <v>0</v>
      </c>
      <c r="AK53" s="61">
        <f>VLOOKUP($B53,'7. PGE_Efficacité'!$A$6:$CY$266,(MATCH('[3]4.4 ACE MAX SEN '!AK$4,'7. PGE_Efficacité'!$A$4:$AO$4,0)),0)</f>
        <v>0</v>
      </c>
    </row>
    <row r="54" spans="1:37" hidden="1" outlineLevel="3" x14ac:dyDescent="0.25">
      <c r="A54" t="s">
        <v>4</v>
      </c>
      <c r="B54" s="65" t="s">
        <v>814</v>
      </c>
      <c r="C54" s="65" t="s">
        <v>1619</v>
      </c>
      <c r="D54" s="65"/>
      <c r="E54" s="65" t="s">
        <v>1290</v>
      </c>
      <c r="F54" s="73"/>
      <c r="G54" s="64">
        <f>VLOOKUP($B54,'7. PGE_Efficacité'!$A$6:$CY$266,(MATCH('[3]4.4 ACE MAX SEN '!G$4,'7. PGE_Efficacité'!$A$4:$AO$4,0)),0)</f>
        <v>0</v>
      </c>
      <c r="H54" s="64">
        <f>VLOOKUP($B54,'7. PGE_Efficacité'!$A$6:$CY$266,(MATCH('[3]4.4 ACE MAX SEN '!H$4,'7. PGE_Efficacité'!$A$4:$AO$4,0)),0)</f>
        <v>0</v>
      </c>
      <c r="I54" s="64">
        <f>VLOOKUP($B54,'7. PGE_Efficacité'!$A$6:$CY$266,(MATCH('[3]4.4 ACE MAX SEN '!I$4,'7. PGE_Efficacité'!$A$4:$AO$4,0)),0)</f>
        <v>0</v>
      </c>
      <c r="J54" s="64">
        <f>VLOOKUP($B54,'7. PGE_Efficacité'!$A$6:$CY$266,(MATCH('[3]4.4 ACE MAX SEN '!J$4,'7. PGE_Efficacité'!$A$4:$AO$4,0)),0)</f>
        <v>0</v>
      </c>
      <c r="K54" s="64">
        <f>VLOOKUP($B54,'7. PGE_Efficacité'!$A$6:$CY$266,(MATCH('[3]4.4 ACE MAX SEN '!K$4,'7. PGE_Efficacité'!$A$4:$AO$4,0)),0)</f>
        <v>0</v>
      </c>
      <c r="L54" s="64">
        <f>VLOOKUP($B54,'7. PGE_Efficacité'!$A$6:$CY$266,(MATCH('[3]4.4 ACE MAX SEN '!L$4,'7. PGE_Efficacité'!$A$4:$AO$4,0)),0)</f>
        <v>0</v>
      </c>
      <c r="M54" s="64">
        <f>VLOOKUP($B54,'7. PGE_Efficacité'!$A$6:$CY$266,(MATCH('[3]4.4 ACE MAX SEN '!M$4,'7. PGE_Efficacité'!$A$4:$AO$4,0)),0)</f>
        <v>0</v>
      </c>
      <c r="N54" s="64">
        <f>VLOOKUP($B54,'7. PGE_Efficacité'!$A$6:$CY$266,(MATCH('[3]4.4 ACE MAX SEN '!N$4,'7. PGE_Efficacité'!$A$4:$AO$4,0)),0)</f>
        <v>0</v>
      </c>
      <c r="O54" s="64">
        <f>VLOOKUP($B54,'7. PGE_Efficacité'!$A$6:$CY$266,(MATCH('[3]4.4 ACE MAX SEN '!O$4,'7. PGE_Efficacité'!$A$4:$AO$4,0)),0)</f>
        <v>0</v>
      </c>
      <c r="P54" s="64">
        <f>VLOOKUP($B54,'7. PGE_Efficacité'!$A$6:$CY$266,(MATCH('[3]4.4 ACE MAX SEN '!P$4,'7. PGE_Efficacité'!$A$4:$AO$4,0)),0)</f>
        <v>0</v>
      </c>
      <c r="Q54" s="64">
        <f>VLOOKUP($B54,'7. PGE_Efficacité'!$A$6:$CY$266,(MATCH('[3]4.4 ACE MAX SEN '!Q$4,'7. PGE_Efficacité'!$A$4:$AO$4,0)),0)</f>
        <v>0</v>
      </c>
      <c r="R54" s="64">
        <f>VLOOKUP($B54,'7. PGE_Efficacité'!$A$6:$CY$266,(MATCH('[3]4.4 ACE MAX SEN '!R$4,'7. PGE_Efficacité'!$A$4:$AO$4,0)),0)</f>
        <v>0</v>
      </c>
      <c r="S54" s="64">
        <f>VLOOKUP($B54,'7. PGE_Efficacité'!$A$6:$CY$266,(MATCH('[3]4.4 ACE MAX SEN '!S$4,'7. PGE_Efficacité'!$A$4:$AO$4,0)),0)</f>
        <v>0</v>
      </c>
      <c r="T54" s="64">
        <f>VLOOKUP($B54,'7. PGE_Efficacité'!$A$6:$CY$266,(MATCH('[3]4.4 ACE MAX SEN '!T$4,'7. PGE_Efficacité'!$A$4:$AO$4,0)),0)</f>
        <v>0</v>
      </c>
      <c r="U54" s="64">
        <f>VLOOKUP($B54,'7. PGE_Efficacité'!$A$6:$CY$266,(MATCH('[3]4.4 ACE MAX SEN '!U$4,'7. PGE_Efficacité'!$A$4:$AO$4,0)),0)</f>
        <v>0</v>
      </c>
      <c r="V54" s="64">
        <f>VLOOKUP($B54,'7. PGE_Efficacité'!$A$6:$CY$266,(MATCH('[3]4.4 ACE MAX SEN '!V$4,'7. PGE_Efficacité'!$A$4:$AO$4,0)),0)</f>
        <v>0</v>
      </c>
      <c r="W54" s="61">
        <f>VLOOKUP($B54,'7. PGE_Efficacité'!$A$6:$CY$266,(MATCH('[3]4.4 ACE MAX SEN '!W$4,'7. PGE_Efficacité'!$A$4:$AO$4,0)),0)</f>
        <v>0</v>
      </c>
      <c r="X54" s="61">
        <f>VLOOKUP($B54,'7. PGE_Efficacité'!$A$6:$CY$266,(MATCH('[3]4.4 ACE MAX SEN '!X$4,'7. PGE_Efficacité'!$A$4:$AO$4,0)),0)</f>
        <v>0</v>
      </c>
      <c r="Y54" s="61">
        <f>VLOOKUP($B54,'7. PGE_Efficacité'!$A$6:$CY$266,(MATCH('[3]4.4 ACE MAX SEN '!Y$4,'7. PGE_Efficacité'!$A$4:$AO$4,0)),0)</f>
        <v>0</v>
      </c>
      <c r="Z54" s="61">
        <f>VLOOKUP($B54,'7. PGE_Efficacité'!$A$6:$CY$266,(MATCH('[3]4.4 ACE MAX SEN '!Z$4,'7. PGE_Efficacité'!$A$4:$AO$4,0)),0)</f>
        <v>0</v>
      </c>
      <c r="AA54" s="61">
        <f>VLOOKUP($B54,'7. PGE_Efficacité'!$A$6:$CY$266,(MATCH('[3]4.4 ACE MAX SEN '!AA$4,'7. PGE_Efficacité'!$A$4:$AO$4,0)),0)</f>
        <v>0</v>
      </c>
      <c r="AB54" s="61">
        <f>VLOOKUP($B54,'7. PGE_Efficacité'!$A$6:$CY$266,(MATCH('[3]4.4 ACE MAX SEN '!AB$4,'7. PGE_Efficacité'!$A$4:$AO$4,0)),0)</f>
        <v>0</v>
      </c>
      <c r="AC54" s="61">
        <f>VLOOKUP($B54,'7. PGE_Efficacité'!$A$6:$CY$266,(MATCH('[3]4.4 ACE MAX SEN '!AC$4,'7. PGE_Efficacité'!$A$4:$AO$4,0)),0)</f>
        <v>0</v>
      </c>
      <c r="AD54" s="61">
        <f>VLOOKUP($B54,'7. PGE_Efficacité'!$A$6:$CY$266,(MATCH('[3]4.4 ACE MAX SEN '!AD$4,'7. PGE_Efficacité'!$A$4:$AO$4,0)),0)</f>
        <v>0</v>
      </c>
      <c r="AE54" s="61">
        <f>VLOOKUP($B54,'7. PGE_Efficacité'!$A$6:$CY$266,(MATCH('[3]4.4 ACE MAX SEN '!AE$4,'7. PGE_Efficacité'!$A$4:$AO$4,0)),0)</f>
        <v>0</v>
      </c>
      <c r="AF54" s="61">
        <f>VLOOKUP($B54,'7. PGE_Efficacité'!$A$6:$CY$266,(MATCH('[3]4.4 ACE MAX SEN '!AF$4,'7. PGE_Efficacité'!$A$4:$AO$4,0)),0)</f>
        <v>0</v>
      </c>
      <c r="AG54" s="61">
        <f>VLOOKUP($B54,'7. PGE_Efficacité'!$A$6:$CY$266,(MATCH('[3]4.4 ACE MAX SEN '!AG$4,'7. PGE_Efficacité'!$A$4:$AO$4,0)),0)</f>
        <v>0</v>
      </c>
      <c r="AH54" s="61">
        <f>VLOOKUP($B54,'7. PGE_Efficacité'!$A$6:$CY$266,(MATCH('[3]4.4 ACE MAX SEN '!AH$4,'7. PGE_Efficacité'!$A$4:$AO$4,0)),0)</f>
        <v>0</v>
      </c>
      <c r="AI54" s="61">
        <f>VLOOKUP($B54,'7. PGE_Efficacité'!$A$6:$CY$266,(MATCH('[3]4.4 ACE MAX SEN '!AI$4,'7. PGE_Efficacité'!$A$4:$AO$4,0)),0)</f>
        <v>0</v>
      </c>
      <c r="AJ54" s="61">
        <f>VLOOKUP($B54,'7. PGE_Efficacité'!$A$6:$CY$266,(MATCH('[3]4.4 ACE MAX SEN '!AJ$4,'7. PGE_Efficacité'!$A$4:$AO$4,0)),0)</f>
        <v>0</v>
      </c>
      <c r="AK54" s="61">
        <f>VLOOKUP($B54,'7. PGE_Efficacité'!$A$6:$CY$266,(MATCH('[3]4.4 ACE MAX SEN '!AK$4,'7. PGE_Efficacité'!$A$4:$AO$4,0)),0)</f>
        <v>0</v>
      </c>
    </row>
    <row r="55" spans="1:37" hidden="1" outlineLevel="3" x14ac:dyDescent="0.25">
      <c r="A55" t="s">
        <v>4</v>
      </c>
      <c r="B55" s="65" t="s">
        <v>815</v>
      </c>
      <c r="C55" s="65" t="s">
        <v>1620</v>
      </c>
      <c r="D55" s="65"/>
      <c r="E55" s="65" t="s">
        <v>1290</v>
      </c>
      <c r="F55" s="73"/>
      <c r="G55" s="64">
        <f>VLOOKUP($B55,'7. PGE_Efficacité'!$A$6:$CY$266,(MATCH('[3]4.4 ACE MAX SEN '!G$4,'7. PGE_Efficacité'!$A$4:$AO$4,0)),0)</f>
        <v>0</v>
      </c>
      <c r="H55" s="64">
        <f>VLOOKUP($B55,'7. PGE_Efficacité'!$A$6:$CY$266,(MATCH('[3]4.4 ACE MAX SEN '!H$4,'7. PGE_Efficacité'!$A$4:$AO$4,0)),0)</f>
        <v>0</v>
      </c>
      <c r="I55" s="64">
        <f>VLOOKUP($B55,'7. PGE_Efficacité'!$A$6:$CY$266,(MATCH('[3]4.4 ACE MAX SEN '!I$4,'7. PGE_Efficacité'!$A$4:$AO$4,0)),0)</f>
        <v>0</v>
      </c>
      <c r="J55" s="64">
        <f>VLOOKUP($B55,'7. PGE_Efficacité'!$A$6:$CY$266,(MATCH('[3]4.4 ACE MAX SEN '!J$4,'7. PGE_Efficacité'!$A$4:$AO$4,0)),0)</f>
        <v>0</v>
      </c>
      <c r="K55" s="64">
        <f>VLOOKUP($B55,'7. PGE_Efficacité'!$A$6:$CY$266,(MATCH('[3]4.4 ACE MAX SEN '!K$4,'7. PGE_Efficacité'!$A$4:$AO$4,0)),0)</f>
        <v>0</v>
      </c>
      <c r="L55" s="64">
        <f>VLOOKUP($B55,'7. PGE_Efficacité'!$A$6:$CY$266,(MATCH('[3]4.4 ACE MAX SEN '!L$4,'7. PGE_Efficacité'!$A$4:$AO$4,0)),0)</f>
        <v>0</v>
      </c>
      <c r="M55" s="64">
        <f>VLOOKUP($B55,'7. PGE_Efficacité'!$A$6:$CY$266,(MATCH('[3]4.4 ACE MAX SEN '!M$4,'7. PGE_Efficacité'!$A$4:$AO$4,0)),0)</f>
        <v>0</v>
      </c>
      <c r="N55" s="64">
        <f>VLOOKUP($B55,'7. PGE_Efficacité'!$A$6:$CY$266,(MATCH('[3]4.4 ACE MAX SEN '!N$4,'7. PGE_Efficacité'!$A$4:$AO$4,0)),0)</f>
        <v>0</v>
      </c>
      <c r="O55" s="64">
        <f>VLOOKUP($B55,'7. PGE_Efficacité'!$A$6:$CY$266,(MATCH('[3]4.4 ACE MAX SEN '!O$4,'7. PGE_Efficacité'!$A$4:$AO$4,0)),0)</f>
        <v>0</v>
      </c>
      <c r="P55" s="64">
        <f>VLOOKUP($B55,'7. PGE_Efficacité'!$A$6:$CY$266,(MATCH('[3]4.4 ACE MAX SEN '!P$4,'7. PGE_Efficacité'!$A$4:$AO$4,0)),0)</f>
        <v>0</v>
      </c>
      <c r="Q55" s="64">
        <f>VLOOKUP($B55,'7. PGE_Efficacité'!$A$6:$CY$266,(MATCH('[3]4.4 ACE MAX SEN '!Q$4,'7. PGE_Efficacité'!$A$4:$AO$4,0)),0)</f>
        <v>0</v>
      </c>
      <c r="R55" s="64">
        <f>VLOOKUP($B55,'7. PGE_Efficacité'!$A$6:$CY$266,(MATCH('[3]4.4 ACE MAX SEN '!R$4,'7. PGE_Efficacité'!$A$4:$AO$4,0)),0)</f>
        <v>0</v>
      </c>
      <c r="S55" s="64">
        <f>VLOOKUP($B55,'7. PGE_Efficacité'!$A$6:$CY$266,(MATCH('[3]4.4 ACE MAX SEN '!S$4,'7. PGE_Efficacité'!$A$4:$AO$4,0)),0)</f>
        <v>0</v>
      </c>
      <c r="T55" s="64">
        <f>VLOOKUP($B55,'7. PGE_Efficacité'!$A$6:$CY$266,(MATCH('[3]4.4 ACE MAX SEN '!T$4,'7. PGE_Efficacité'!$A$4:$AO$4,0)),0)</f>
        <v>0</v>
      </c>
      <c r="U55" s="64">
        <f>VLOOKUP($B55,'7. PGE_Efficacité'!$A$6:$CY$266,(MATCH('[3]4.4 ACE MAX SEN '!U$4,'7. PGE_Efficacité'!$A$4:$AO$4,0)),0)</f>
        <v>0</v>
      </c>
      <c r="V55" s="64">
        <f>VLOOKUP($B55,'7. PGE_Efficacité'!$A$6:$CY$266,(MATCH('[3]4.4 ACE MAX SEN '!V$4,'7. PGE_Efficacité'!$A$4:$AO$4,0)),0)</f>
        <v>0</v>
      </c>
      <c r="W55" s="61">
        <f>VLOOKUP($B55,'7. PGE_Efficacité'!$A$6:$CY$266,(MATCH('[3]4.4 ACE MAX SEN '!W$4,'7. PGE_Efficacité'!$A$4:$AO$4,0)),0)</f>
        <v>0</v>
      </c>
      <c r="X55" s="61">
        <f>VLOOKUP($B55,'7. PGE_Efficacité'!$A$6:$CY$266,(MATCH('[3]4.4 ACE MAX SEN '!X$4,'7. PGE_Efficacité'!$A$4:$AO$4,0)),0)</f>
        <v>0</v>
      </c>
      <c r="Y55" s="61">
        <f>VLOOKUP($B55,'7. PGE_Efficacité'!$A$6:$CY$266,(MATCH('[3]4.4 ACE MAX SEN '!Y$4,'7. PGE_Efficacité'!$A$4:$AO$4,0)),0)</f>
        <v>0</v>
      </c>
      <c r="Z55" s="61">
        <f>VLOOKUP($B55,'7. PGE_Efficacité'!$A$6:$CY$266,(MATCH('[3]4.4 ACE MAX SEN '!Z$4,'7. PGE_Efficacité'!$A$4:$AO$4,0)),0)</f>
        <v>0</v>
      </c>
      <c r="AA55" s="61">
        <f>VLOOKUP($B55,'7. PGE_Efficacité'!$A$6:$CY$266,(MATCH('[3]4.4 ACE MAX SEN '!AA$4,'7. PGE_Efficacité'!$A$4:$AO$4,0)),0)</f>
        <v>0</v>
      </c>
      <c r="AB55" s="61">
        <f>VLOOKUP($B55,'7. PGE_Efficacité'!$A$6:$CY$266,(MATCH('[3]4.4 ACE MAX SEN '!AB$4,'7. PGE_Efficacité'!$A$4:$AO$4,0)),0)</f>
        <v>0</v>
      </c>
      <c r="AC55" s="61">
        <f>VLOOKUP($B55,'7. PGE_Efficacité'!$A$6:$CY$266,(MATCH('[3]4.4 ACE MAX SEN '!AC$4,'7. PGE_Efficacité'!$A$4:$AO$4,0)),0)</f>
        <v>0</v>
      </c>
      <c r="AD55" s="61">
        <f>VLOOKUP($B55,'7. PGE_Efficacité'!$A$6:$CY$266,(MATCH('[3]4.4 ACE MAX SEN '!AD$4,'7. PGE_Efficacité'!$A$4:$AO$4,0)),0)</f>
        <v>0</v>
      </c>
      <c r="AE55" s="61">
        <f>VLOOKUP($B55,'7. PGE_Efficacité'!$A$6:$CY$266,(MATCH('[3]4.4 ACE MAX SEN '!AE$4,'7. PGE_Efficacité'!$A$4:$AO$4,0)),0)</f>
        <v>0</v>
      </c>
      <c r="AF55" s="61">
        <f>VLOOKUP($B55,'7. PGE_Efficacité'!$A$6:$CY$266,(MATCH('[3]4.4 ACE MAX SEN '!AF$4,'7. PGE_Efficacité'!$A$4:$AO$4,0)),0)</f>
        <v>0</v>
      </c>
      <c r="AG55" s="61">
        <f>VLOOKUP($B55,'7. PGE_Efficacité'!$A$6:$CY$266,(MATCH('[3]4.4 ACE MAX SEN '!AG$4,'7. PGE_Efficacité'!$A$4:$AO$4,0)),0)</f>
        <v>0</v>
      </c>
      <c r="AH55" s="61">
        <f>VLOOKUP($B55,'7. PGE_Efficacité'!$A$6:$CY$266,(MATCH('[3]4.4 ACE MAX SEN '!AH$4,'7. PGE_Efficacité'!$A$4:$AO$4,0)),0)</f>
        <v>0</v>
      </c>
      <c r="AI55" s="61">
        <f>VLOOKUP($B55,'7. PGE_Efficacité'!$A$6:$CY$266,(MATCH('[3]4.4 ACE MAX SEN '!AI$4,'7. PGE_Efficacité'!$A$4:$AO$4,0)),0)</f>
        <v>0</v>
      </c>
      <c r="AJ55" s="61">
        <f>VLOOKUP($B55,'7. PGE_Efficacité'!$A$6:$CY$266,(MATCH('[3]4.4 ACE MAX SEN '!AJ$4,'7. PGE_Efficacité'!$A$4:$AO$4,0)),0)</f>
        <v>0</v>
      </c>
      <c r="AK55" s="61">
        <f>VLOOKUP($B55,'7. PGE_Efficacité'!$A$6:$CY$266,(MATCH('[3]4.4 ACE MAX SEN '!AK$4,'7. PGE_Efficacité'!$A$4:$AO$4,0)),0)</f>
        <v>0</v>
      </c>
    </row>
    <row r="56" spans="1:37" hidden="1" outlineLevel="3" x14ac:dyDescent="0.25">
      <c r="A56" t="s">
        <v>4</v>
      </c>
      <c r="B56" s="65" t="s">
        <v>816</v>
      </c>
      <c r="C56" s="65" t="s">
        <v>1621</v>
      </c>
      <c r="D56" s="65"/>
      <c r="E56" s="65" t="s">
        <v>1290</v>
      </c>
      <c r="F56" s="73"/>
      <c r="G56" s="64">
        <f>VLOOKUP($B56,'7. PGE_Efficacité'!$A$6:$CY$266,(MATCH('[3]4.4 ACE MAX SEN '!G$4,'7. PGE_Efficacité'!$A$4:$AO$4,0)),0)</f>
        <v>0</v>
      </c>
      <c r="H56" s="64">
        <f>VLOOKUP($B56,'7. PGE_Efficacité'!$A$6:$CY$266,(MATCH('[3]4.4 ACE MAX SEN '!H$4,'7. PGE_Efficacité'!$A$4:$AO$4,0)),0)</f>
        <v>0</v>
      </c>
      <c r="I56" s="64">
        <f>VLOOKUP($B56,'7. PGE_Efficacité'!$A$6:$CY$266,(MATCH('[3]4.4 ACE MAX SEN '!I$4,'7. PGE_Efficacité'!$A$4:$AO$4,0)),0)</f>
        <v>0</v>
      </c>
      <c r="J56" s="64">
        <f>VLOOKUP($B56,'7. PGE_Efficacité'!$A$6:$CY$266,(MATCH('[3]4.4 ACE MAX SEN '!J$4,'7. PGE_Efficacité'!$A$4:$AO$4,0)),0)</f>
        <v>0</v>
      </c>
      <c r="K56" s="64">
        <f>VLOOKUP($B56,'7. PGE_Efficacité'!$A$6:$CY$266,(MATCH('[3]4.4 ACE MAX SEN '!K$4,'7. PGE_Efficacité'!$A$4:$AO$4,0)),0)</f>
        <v>0</v>
      </c>
      <c r="L56" s="64">
        <f>VLOOKUP($B56,'7. PGE_Efficacité'!$A$6:$CY$266,(MATCH('[3]4.4 ACE MAX SEN '!L$4,'7. PGE_Efficacité'!$A$4:$AO$4,0)),0)</f>
        <v>0</v>
      </c>
      <c r="M56" s="64">
        <f>VLOOKUP($B56,'7. PGE_Efficacité'!$A$6:$CY$266,(MATCH('[3]4.4 ACE MAX SEN '!M$4,'7. PGE_Efficacité'!$A$4:$AO$4,0)),0)</f>
        <v>0</v>
      </c>
      <c r="N56" s="64">
        <f>VLOOKUP($B56,'7. PGE_Efficacité'!$A$6:$CY$266,(MATCH('[3]4.4 ACE MAX SEN '!N$4,'7. PGE_Efficacité'!$A$4:$AO$4,0)),0)</f>
        <v>0</v>
      </c>
      <c r="O56" s="64">
        <f>VLOOKUP($B56,'7. PGE_Efficacité'!$A$6:$CY$266,(MATCH('[3]4.4 ACE MAX SEN '!O$4,'7. PGE_Efficacité'!$A$4:$AO$4,0)),0)</f>
        <v>0</v>
      </c>
      <c r="P56" s="64">
        <f>VLOOKUP($B56,'7. PGE_Efficacité'!$A$6:$CY$266,(MATCH('[3]4.4 ACE MAX SEN '!P$4,'7. PGE_Efficacité'!$A$4:$AO$4,0)),0)</f>
        <v>0</v>
      </c>
      <c r="Q56" s="64">
        <f>VLOOKUP($B56,'7. PGE_Efficacité'!$A$6:$CY$266,(MATCH('[3]4.4 ACE MAX SEN '!Q$4,'7. PGE_Efficacité'!$A$4:$AO$4,0)),0)</f>
        <v>0</v>
      </c>
      <c r="R56" s="64">
        <f>VLOOKUP($B56,'7. PGE_Efficacité'!$A$6:$CY$266,(MATCH('[3]4.4 ACE MAX SEN '!R$4,'7. PGE_Efficacité'!$A$4:$AO$4,0)),0)</f>
        <v>0</v>
      </c>
      <c r="S56" s="64">
        <f>VLOOKUP($B56,'7. PGE_Efficacité'!$A$6:$CY$266,(MATCH('[3]4.4 ACE MAX SEN '!S$4,'7. PGE_Efficacité'!$A$4:$AO$4,0)),0)</f>
        <v>0</v>
      </c>
      <c r="T56" s="64">
        <f>VLOOKUP($B56,'7. PGE_Efficacité'!$A$6:$CY$266,(MATCH('[3]4.4 ACE MAX SEN '!T$4,'7. PGE_Efficacité'!$A$4:$AO$4,0)),0)</f>
        <v>0</v>
      </c>
      <c r="U56" s="64">
        <f>VLOOKUP($B56,'7. PGE_Efficacité'!$A$6:$CY$266,(MATCH('[3]4.4 ACE MAX SEN '!U$4,'7. PGE_Efficacité'!$A$4:$AO$4,0)),0)</f>
        <v>0</v>
      </c>
      <c r="V56" s="64">
        <f>VLOOKUP($B56,'7. PGE_Efficacité'!$A$6:$CY$266,(MATCH('[3]4.4 ACE MAX SEN '!V$4,'7. PGE_Efficacité'!$A$4:$AO$4,0)),0)</f>
        <v>0</v>
      </c>
      <c r="W56" s="61">
        <f>VLOOKUP($B56,'7. PGE_Efficacité'!$A$6:$CY$266,(MATCH('[3]4.4 ACE MAX SEN '!W$4,'7. PGE_Efficacité'!$A$4:$AO$4,0)),0)</f>
        <v>0</v>
      </c>
      <c r="X56" s="61">
        <f>VLOOKUP($B56,'7. PGE_Efficacité'!$A$6:$CY$266,(MATCH('[3]4.4 ACE MAX SEN '!X$4,'7. PGE_Efficacité'!$A$4:$AO$4,0)),0)</f>
        <v>0</v>
      </c>
      <c r="Y56" s="61">
        <f>VLOOKUP($B56,'7. PGE_Efficacité'!$A$6:$CY$266,(MATCH('[3]4.4 ACE MAX SEN '!Y$4,'7. PGE_Efficacité'!$A$4:$AO$4,0)),0)</f>
        <v>0</v>
      </c>
      <c r="Z56" s="61">
        <f>VLOOKUP($B56,'7. PGE_Efficacité'!$A$6:$CY$266,(MATCH('[3]4.4 ACE MAX SEN '!Z$4,'7. PGE_Efficacité'!$A$4:$AO$4,0)),0)</f>
        <v>0</v>
      </c>
      <c r="AA56" s="61">
        <f>VLOOKUP($B56,'7. PGE_Efficacité'!$A$6:$CY$266,(MATCH('[3]4.4 ACE MAX SEN '!AA$4,'7. PGE_Efficacité'!$A$4:$AO$4,0)),0)</f>
        <v>0</v>
      </c>
      <c r="AB56" s="61">
        <f>VLOOKUP($B56,'7. PGE_Efficacité'!$A$6:$CY$266,(MATCH('[3]4.4 ACE MAX SEN '!AB$4,'7. PGE_Efficacité'!$A$4:$AO$4,0)),0)</f>
        <v>0</v>
      </c>
      <c r="AC56" s="61">
        <f>VLOOKUP($B56,'7. PGE_Efficacité'!$A$6:$CY$266,(MATCH('[3]4.4 ACE MAX SEN '!AC$4,'7. PGE_Efficacité'!$A$4:$AO$4,0)),0)</f>
        <v>0</v>
      </c>
      <c r="AD56" s="61">
        <f>VLOOKUP($B56,'7. PGE_Efficacité'!$A$6:$CY$266,(MATCH('[3]4.4 ACE MAX SEN '!AD$4,'7. PGE_Efficacité'!$A$4:$AO$4,0)),0)</f>
        <v>0</v>
      </c>
      <c r="AE56" s="61">
        <f>VLOOKUP($B56,'7. PGE_Efficacité'!$A$6:$CY$266,(MATCH('[3]4.4 ACE MAX SEN '!AE$4,'7. PGE_Efficacité'!$A$4:$AO$4,0)),0)</f>
        <v>0</v>
      </c>
      <c r="AF56" s="61">
        <f>VLOOKUP($B56,'7. PGE_Efficacité'!$A$6:$CY$266,(MATCH('[3]4.4 ACE MAX SEN '!AF$4,'7. PGE_Efficacité'!$A$4:$AO$4,0)),0)</f>
        <v>0</v>
      </c>
      <c r="AG56" s="61">
        <f>VLOOKUP($B56,'7. PGE_Efficacité'!$A$6:$CY$266,(MATCH('[3]4.4 ACE MAX SEN '!AG$4,'7. PGE_Efficacité'!$A$4:$AO$4,0)),0)</f>
        <v>0</v>
      </c>
      <c r="AH56" s="61">
        <f>VLOOKUP($B56,'7. PGE_Efficacité'!$A$6:$CY$266,(MATCH('[3]4.4 ACE MAX SEN '!AH$4,'7. PGE_Efficacité'!$A$4:$AO$4,0)),0)</f>
        <v>0</v>
      </c>
      <c r="AI56" s="61">
        <f>VLOOKUP($B56,'7. PGE_Efficacité'!$A$6:$CY$266,(MATCH('[3]4.4 ACE MAX SEN '!AI$4,'7. PGE_Efficacité'!$A$4:$AO$4,0)),0)</f>
        <v>0</v>
      </c>
      <c r="AJ56" s="61">
        <f>VLOOKUP($B56,'7. PGE_Efficacité'!$A$6:$CY$266,(MATCH('[3]4.4 ACE MAX SEN '!AJ$4,'7. PGE_Efficacité'!$A$4:$AO$4,0)),0)</f>
        <v>0</v>
      </c>
      <c r="AK56" s="61">
        <f>VLOOKUP($B56,'7. PGE_Efficacité'!$A$6:$CY$266,(MATCH('[3]4.4 ACE MAX SEN '!AK$4,'7. PGE_Efficacité'!$A$4:$AO$4,0)),0)</f>
        <v>0</v>
      </c>
    </row>
    <row r="57" spans="1:37" hidden="1" outlineLevel="3" x14ac:dyDescent="0.25">
      <c r="A57" t="s">
        <v>4</v>
      </c>
      <c r="B57" s="65" t="s">
        <v>817</v>
      </c>
      <c r="C57" s="65" t="s">
        <v>1622</v>
      </c>
      <c r="D57" s="65"/>
      <c r="E57" s="65" t="s">
        <v>1290</v>
      </c>
      <c r="F57" s="73"/>
      <c r="G57" s="64">
        <f>VLOOKUP($B57,'7. PGE_Efficacité'!$A$6:$CY$266,(MATCH('[3]4.4 ACE MAX SEN '!G$4,'7. PGE_Efficacité'!$A$4:$AO$4,0)),0)</f>
        <v>0</v>
      </c>
      <c r="H57" s="64">
        <f>VLOOKUP($B57,'7. PGE_Efficacité'!$A$6:$CY$266,(MATCH('[3]4.4 ACE MAX SEN '!H$4,'7. PGE_Efficacité'!$A$4:$AO$4,0)),0)</f>
        <v>0</v>
      </c>
      <c r="I57" s="64">
        <f>VLOOKUP($B57,'7. PGE_Efficacité'!$A$6:$CY$266,(MATCH('[3]4.4 ACE MAX SEN '!I$4,'7. PGE_Efficacité'!$A$4:$AO$4,0)),0)</f>
        <v>0</v>
      </c>
      <c r="J57" s="64">
        <f>VLOOKUP($B57,'7. PGE_Efficacité'!$A$6:$CY$266,(MATCH('[3]4.4 ACE MAX SEN '!J$4,'7. PGE_Efficacité'!$A$4:$AO$4,0)),0)</f>
        <v>0</v>
      </c>
      <c r="K57" s="64">
        <f>VLOOKUP($B57,'7. PGE_Efficacité'!$A$6:$CY$266,(MATCH('[3]4.4 ACE MAX SEN '!K$4,'7. PGE_Efficacité'!$A$4:$AO$4,0)),0)</f>
        <v>0</v>
      </c>
      <c r="L57" s="64">
        <f>VLOOKUP($B57,'7. PGE_Efficacité'!$A$6:$CY$266,(MATCH('[3]4.4 ACE MAX SEN '!L$4,'7. PGE_Efficacité'!$A$4:$AO$4,0)),0)</f>
        <v>0</v>
      </c>
      <c r="M57" s="64">
        <f>VLOOKUP($B57,'7. PGE_Efficacité'!$A$6:$CY$266,(MATCH('[3]4.4 ACE MAX SEN '!M$4,'7. PGE_Efficacité'!$A$4:$AO$4,0)),0)</f>
        <v>0</v>
      </c>
      <c r="N57" s="64">
        <f>VLOOKUP($B57,'7. PGE_Efficacité'!$A$6:$CY$266,(MATCH('[3]4.4 ACE MAX SEN '!N$4,'7. PGE_Efficacité'!$A$4:$AO$4,0)),0)</f>
        <v>0</v>
      </c>
      <c r="O57" s="64">
        <f>VLOOKUP($B57,'7. PGE_Efficacité'!$A$6:$CY$266,(MATCH('[3]4.4 ACE MAX SEN '!O$4,'7. PGE_Efficacité'!$A$4:$AO$4,0)),0)</f>
        <v>0</v>
      </c>
      <c r="P57" s="64">
        <f>VLOOKUP($B57,'7. PGE_Efficacité'!$A$6:$CY$266,(MATCH('[3]4.4 ACE MAX SEN '!P$4,'7. PGE_Efficacité'!$A$4:$AO$4,0)),0)</f>
        <v>0</v>
      </c>
      <c r="Q57" s="64">
        <f>VLOOKUP($B57,'7. PGE_Efficacité'!$A$6:$CY$266,(MATCH('[3]4.4 ACE MAX SEN '!Q$4,'7. PGE_Efficacité'!$A$4:$AO$4,0)),0)</f>
        <v>0</v>
      </c>
      <c r="R57" s="64">
        <f>VLOOKUP($B57,'7. PGE_Efficacité'!$A$6:$CY$266,(MATCH('[3]4.4 ACE MAX SEN '!R$4,'7. PGE_Efficacité'!$A$4:$AO$4,0)),0)</f>
        <v>0</v>
      </c>
      <c r="S57" s="64">
        <f>VLOOKUP($B57,'7. PGE_Efficacité'!$A$6:$CY$266,(MATCH('[3]4.4 ACE MAX SEN '!S$4,'7. PGE_Efficacité'!$A$4:$AO$4,0)),0)</f>
        <v>0</v>
      </c>
      <c r="T57" s="64">
        <f>VLOOKUP($B57,'7. PGE_Efficacité'!$A$6:$CY$266,(MATCH('[3]4.4 ACE MAX SEN '!T$4,'7. PGE_Efficacité'!$A$4:$AO$4,0)),0)</f>
        <v>0</v>
      </c>
      <c r="U57" s="64">
        <f>VLOOKUP($B57,'7. PGE_Efficacité'!$A$6:$CY$266,(MATCH('[3]4.4 ACE MAX SEN '!U$4,'7. PGE_Efficacité'!$A$4:$AO$4,0)),0)</f>
        <v>0</v>
      </c>
      <c r="V57" s="64">
        <f>VLOOKUP($B57,'7. PGE_Efficacité'!$A$6:$CY$266,(MATCH('[3]4.4 ACE MAX SEN '!V$4,'7. PGE_Efficacité'!$A$4:$AO$4,0)),0)</f>
        <v>0</v>
      </c>
      <c r="W57" s="61">
        <f>VLOOKUP($B57,'7. PGE_Efficacité'!$A$6:$CY$266,(MATCH('[3]4.4 ACE MAX SEN '!W$4,'7. PGE_Efficacité'!$A$4:$AO$4,0)),0)</f>
        <v>0</v>
      </c>
      <c r="X57" s="61">
        <f>VLOOKUP($B57,'7. PGE_Efficacité'!$A$6:$CY$266,(MATCH('[3]4.4 ACE MAX SEN '!X$4,'7. PGE_Efficacité'!$A$4:$AO$4,0)),0)</f>
        <v>0</v>
      </c>
      <c r="Y57" s="61">
        <f>VLOOKUP($B57,'7. PGE_Efficacité'!$A$6:$CY$266,(MATCH('[3]4.4 ACE MAX SEN '!Y$4,'7. PGE_Efficacité'!$A$4:$AO$4,0)),0)</f>
        <v>0</v>
      </c>
      <c r="Z57" s="61">
        <f>VLOOKUP($B57,'7. PGE_Efficacité'!$A$6:$CY$266,(MATCH('[3]4.4 ACE MAX SEN '!Z$4,'7. PGE_Efficacité'!$A$4:$AO$4,0)),0)</f>
        <v>0</v>
      </c>
      <c r="AA57" s="61">
        <f>VLOOKUP($B57,'7. PGE_Efficacité'!$A$6:$CY$266,(MATCH('[3]4.4 ACE MAX SEN '!AA$4,'7. PGE_Efficacité'!$A$4:$AO$4,0)),0)</f>
        <v>0</v>
      </c>
      <c r="AB57" s="61">
        <f>VLOOKUP($B57,'7. PGE_Efficacité'!$A$6:$CY$266,(MATCH('[3]4.4 ACE MAX SEN '!AB$4,'7. PGE_Efficacité'!$A$4:$AO$4,0)),0)</f>
        <v>0</v>
      </c>
      <c r="AC57" s="61">
        <f>VLOOKUP($B57,'7. PGE_Efficacité'!$A$6:$CY$266,(MATCH('[3]4.4 ACE MAX SEN '!AC$4,'7. PGE_Efficacité'!$A$4:$AO$4,0)),0)</f>
        <v>0</v>
      </c>
      <c r="AD57" s="61">
        <f>VLOOKUP($B57,'7. PGE_Efficacité'!$A$6:$CY$266,(MATCH('[3]4.4 ACE MAX SEN '!AD$4,'7. PGE_Efficacité'!$A$4:$AO$4,0)),0)</f>
        <v>0</v>
      </c>
      <c r="AE57" s="61">
        <f>VLOOKUP($B57,'7. PGE_Efficacité'!$A$6:$CY$266,(MATCH('[3]4.4 ACE MAX SEN '!AE$4,'7. PGE_Efficacité'!$A$4:$AO$4,0)),0)</f>
        <v>0</v>
      </c>
      <c r="AF57" s="61">
        <f>VLOOKUP($B57,'7. PGE_Efficacité'!$A$6:$CY$266,(MATCH('[3]4.4 ACE MAX SEN '!AF$4,'7. PGE_Efficacité'!$A$4:$AO$4,0)),0)</f>
        <v>0</v>
      </c>
      <c r="AG57" s="61">
        <f>VLOOKUP($B57,'7. PGE_Efficacité'!$A$6:$CY$266,(MATCH('[3]4.4 ACE MAX SEN '!AG$4,'7. PGE_Efficacité'!$A$4:$AO$4,0)),0)</f>
        <v>0</v>
      </c>
      <c r="AH57" s="61">
        <f>VLOOKUP($B57,'7. PGE_Efficacité'!$A$6:$CY$266,(MATCH('[3]4.4 ACE MAX SEN '!AH$4,'7. PGE_Efficacité'!$A$4:$AO$4,0)),0)</f>
        <v>0</v>
      </c>
      <c r="AI57" s="61">
        <f>VLOOKUP($B57,'7. PGE_Efficacité'!$A$6:$CY$266,(MATCH('[3]4.4 ACE MAX SEN '!AI$4,'7. PGE_Efficacité'!$A$4:$AO$4,0)),0)</f>
        <v>0</v>
      </c>
      <c r="AJ57" s="61">
        <f>VLOOKUP($B57,'7. PGE_Efficacité'!$A$6:$CY$266,(MATCH('[3]4.4 ACE MAX SEN '!AJ$4,'7. PGE_Efficacité'!$A$4:$AO$4,0)),0)</f>
        <v>0</v>
      </c>
      <c r="AK57" s="61">
        <f>VLOOKUP($B57,'7. PGE_Efficacité'!$A$6:$CY$266,(MATCH('[3]4.4 ACE MAX SEN '!AK$4,'7. PGE_Efficacité'!$A$4:$AO$4,0)),0)</f>
        <v>0</v>
      </c>
    </row>
    <row r="58" spans="1:37" hidden="1" outlineLevel="3" x14ac:dyDescent="0.25">
      <c r="A58" t="s">
        <v>4</v>
      </c>
      <c r="B58" s="65" t="s">
        <v>818</v>
      </c>
      <c r="C58" s="65" t="s">
        <v>1623</v>
      </c>
      <c r="D58" s="65"/>
      <c r="E58" s="65" t="s">
        <v>1290</v>
      </c>
      <c r="F58" s="73"/>
      <c r="G58" s="64">
        <f>VLOOKUP($B58,'7. PGE_Efficacité'!$A$6:$CY$266,(MATCH('[3]4.4 ACE MAX SEN '!G$4,'7. PGE_Efficacité'!$A$4:$AO$4,0)),0)</f>
        <v>0</v>
      </c>
      <c r="H58" s="64">
        <f>VLOOKUP($B58,'7. PGE_Efficacité'!$A$6:$CY$266,(MATCH('[3]4.4 ACE MAX SEN '!H$4,'7. PGE_Efficacité'!$A$4:$AO$4,0)),0)</f>
        <v>0</v>
      </c>
      <c r="I58" s="64">
        <f>VLOOKUP($B58,'7. PGE_Efficacité'!$A$6:$CY$266,(MATCH('[3]4.4 ACE MAX SEN '!I$4,'7. PGE_Efficacité'!$A$4:$AO$4,0)),0)</f>
        <v>0</v>
      </c>
      <c r="J58" s="64">
        <f>VLOOKUP($B58,'7. PGE_Efficacité'!$A$6:$CY$266,(MATCH('[3]4.4 ACE MAX SEN '!J$4,'7. PGE_Efficacité'!$A$4:$AO$4,0)),0)</f>
        <v>0</v>
      </c>
      <c r="K58" s="64">
        <f>VLOOKUP($B58,'7. PGE_Efficacité'!$A$6:$CY$266,(MATCH('[3]4.4 ACE MAX SEN '!K$4,'7. PGE_Efficacité'!$A$4:$AO$4,0)),0)</f>
        <v>0</v>
      </c>
      <c r="L58" s="64">
        <f>VLOOKUP($B58,'7. PGE_Efficacité'!$A$6:$CY$266,(MATCH('[3]4.4 ACE MAX SEN '!L$4,'7. PGE_Efficacité'!$A$4:$AO$4,0)),0)</f>
        <v>0</v>
      </c>
      <c r="M58" s="64">
        <f>VLOOKUP($B58,'7. PGE_Efficacité'!$A$6:$CY$266,(MATCH('[3]4.4 ACE MAX SEN '!M$4,'7. PGE_Efficacité'!$A$4:$AO$4,0)),0)</f>
        <v>0</v>
      </c>
      <c r="N58" s="64">
        <f>VLOOKUP($B58,'7. PGE_Efficacité'!$A$6:$CY$266,(MATCH('[3]4.4 ACE MAX SEN '!N$4,'7. PGE_Efficacité'!$A$4:$AO$4,0)),0)</f>
        <v>0</v>
      </c>
      <c r="O58" s="64">
        <f>VLOOKUP($B58,'7. PGE_Efficacité'!$A$6:$CY$266,(MATCH('[3]4.4 ACE MAX SEN '!O$4,'7. PGE_Efficacité'!$A$4:$AO$4,0)),0)</f>
        <v>0</v>
      </c>
      <c r="P58" s="64">
        <f>VLOOKUP($B58,'7. PGE_Efficacité'!$A$6:$CY$266,(MATCH('[3]4.4 ACE MAX SEN '!P$4,'7. PGE_Efficacité'!$A$4:$AO$4,0)),0)</f>
        <v>0</v>
      </c>
      <c r="Q58" s="64">
        <f>VLOOKUP($B58,'7. PGE_Efficacité'!$A$6:$CY$266,(MATCH('[3]4.4 ACE MAX SEN '!Q$4,'7. PGE_Efficacité'!$A$4:$AO$4,0)),0)</f>
        <v>0</v>
      </c>
      <c r="R58" s="64">
        <f>VLOOKUP($B58,'7. PGE_Efficacité'!$A$6:$CY$266,(MATCH('[3]4.4 ACE MAX SEN '!R$4,'7. PGE_Efficacité'!$A$4:$AO$4,0)),0)</f>
        <v>0</v>
      </c>
      <c r="S58" s="64">
        <f>VLOOKUP($B58,'7. PGE_Efficacité'!$A$6:$CY$266,(MATCH('[3]4.4 ACE MAX SEN '!S$4,'7. PGE_Efficacité'!$A$4:$AO$4,0)),0)</f>
        <v>0</v>
      </c>
      <c r="T58" s="64">
        <f>VLOOKUP($B58,'7. PGE_Efficacité'!$A$6:$CY$266,(MATCH('[3]4.4 ACE MAX SEN '!T$4,'7. PGE_Efficacité'!$A$4:$AO$4,0)),0)</f>
        <v>0</v>
      </c>
      <c r="U58" s="64">
        <f>VLOOKUP($B58,'7. PGE_Efficacité'!$A$6:$CY$266,(MATCH('[3]4.4 ACE MAX SEN '!U$4,'7. PGE_Efficacité'!$A$4:$AO$4,0)),0)</f>
        <v>0</v>
      </c>
      <c r="V58" s="64">
        <f>VLOOKUP($B58,'7. PGE_Efficacité'!$A$6:$CY$266,(MATCH('[3]4.4 ACE MAX SEN '!V$4,'7. PGE_Efficacité'!$A$4:$AO$4,0)),0)</f>
        <v>0</v>
      </c>
      <c r="W58" s="61">
        <f>VLOOKUP($B58,'7. PGE_Efficacité'!$A$6:$CY$266,(MATCH('[3]4.4 ACE MAX SEN '!W$4,'7. PGE_Efficacité'!$A$4:$AO$4,0)),0)</f>
        <v>0</v>
      </c>
      <c r="X58" s="61">
        <f>VLOOKUP($B58,'7. PGE_Efficacité'!$A$6:$CY$266,(MATCH('[3]4.4 ACE MAX SEN '!X$4,'7. PGE_Efficacité'!$A$4:$AO$4,0)),0)</f>
        <v>0</v>
      </c>
      <c r="Y58" s="61">
        <f>VLOOKUP($B58,'7. PGE_Efficacité'!$A$6:$CY$266,(MATCH('[3]4.4 ACE MAX SEN '!Y$4,'7. PGE_Efficacité'!$A$4:$AO$4,0)),0)</f>
        <v>0</v>
      </c>
      <c r="Z58" s="61">
        <f>VLOOKUP($B58,'7. PGE_Efficacité'!$A$6:$CY$266,(MATCH('[3]4.4 ACE MAX SEN '!Z$4,'7. PGE_Efficacité'!$A$4:$AO$4,0)),0)</f>
        <v>0</v>
      </c>
      <c r="AA58" s="61">
        <f>VLOOKUP($B58,'7. PGE_Efficacité'!$A$6:$CY$266,(MATCH('[3]4.4 ACE MAX SEN '!AA$4,'7. PGE_Efficacité'!$A$4:$AO$4,0)),0)</f>
        <v>0</v>
      </c>
      <c r="AB58" s="61">
        <f>VLOOKUP($B58,'7. PGE_Efficacité'!$A$6:$CY$266,(MATCH('[3]4.4 ACE MAX SEN '!AB$4,'7. PGE_Efficacité'!$A$4:$AO$4,0)),0)</f>
        <v>0</v>
      </c>
      <c r="AC58" s="61">
        <f>VLOOKUP($B58,'7. PGE_Efficacité'!$A$6:$CY$266,(MATCH('[3]4.4 ACE MAX SEN '!AC$4,'7. PGE_Efficacité'!$A$4:$AO$4,0)),0)</f>
        <v>0</v>
      </c>
      <c r="AD58" s="61">
        <f>VLOOKUP($B58,'7. PGE_Efficacité'!$A$6:$CY$266,(MATCH('[3]4.4 ACE MAX SEN '!AD$4,'7. PGE_Efficacité'!$A$4:$AO$4,0)),0)</f>
        <v>0</v>
      </c>
      <c r="AE58" s="61">
        <f>VLOOKUP($B58,'7. PGE_Efficacité'!$A$6:$CY$266,(MATCH('[3]4.4 ACE MAX SEN '!AE$4,'7. PGE_Efficacité'!$A$4:$AO$4,0)),0)</f>
        <v>0</v>
      </c>
      <c r="AF58" s="61">
        <f>VLOOKUP($B58,'7. PGE_Efficacité'!$A$6:$CY$266,(MATCH('[3]4.4 ACE MAX SEN '!AF$4,'7. PGE_Efficacité'!$A$4:$AO$4,0)),0)</f>
        <v>0</v>
      </c>
      <c r="AG58" s="61">
        <f>VLOOKUP($B58,'7. PGE_Efficacité'!$A$6:$CY$266,(MATCH('[3]4.4 ACE MAX SEN '!AG$4,'7. PGE_Efficacité'!$A$4:$AO$4,0)),0)</f>
        <v>0</v>
      </c>
      <c r="AH58" s="61">
        <f>VLOOKUP($B58,'7. PGE_Efficacité'!$A$6:$CY$266,(MATCH('[3]4.4 ACE MAX SEN '!AH$4,'7. PGE_Efficacité'!$A$4:$AO$4,0)),0)</f>
        <v>0</v>
      </c>
      <c r="AI58" s="61">
        <f>VLOOKUP($B58,'7. PGE_Efficacité'!$A$6:$CY$266,(MATCH('[3]4.4 ACE MAX SEN '!AI$4,'7. PGE_Efficacité'!$A$4:$AO$4,0)),0)</f>
        <v>0</v>
      </c>
      <c r="AJ58" s="61">
        <f>VLOOKUP($B58,'7. PGE_Efficacité'!$A$6:$CY$266,(MATCH('[3]4.4 ACE MAX SEN '!AJ$4,'7. PGE_Efficacité'!$A$4:$AO$4,0)),0)</f>
        <v>0</v>
      </c>
      <c r="AK58" s="61">
        <f>VLOOKUP($B58,'7. PGE_Efficacité'!$A$6:$CY$266,(MATCH('[3]4.4 ACE MAX SEN '!AK$4,'7. PGE_Efficacité'!$A$4:$AO$4,0)),0)</f>
        <v>0</v>
      </c>
    </row>
    <row r="59" spans="1:37" hidden="1" outlineLevel="3" x14ac:dyDescent="0.25">
      <c r="A59" t="s">
        <v>4</v>
      </c>
      <c r="B59" s="65" t="s">
        <v>819</v>
      </c>
      <c r="C59" s="65" t="s">
        <v>1624</v>
      </c>
      <c r="D59" s="65"/>
      <c r="E59" s="65" t="s">
        <v>1290</v>
      </c>
      <c r="F59" s="73"/>
      <c r="G59" s="64">
        <f>VLOOKUP($B59,'7. PGE_Efficacité'!$A$6:$CY$266,(MATCH('[3]4.4 ACE MAX SEN '!G$4,'7. PGE_Efficacité'!$A$4:$AO$4,0)),0)</f>
        <v>0</v>
      </c>
      <c r="H59" s="64">
        <f>VLOOKUP($B59,'7. PGE_Efficacité'!$A$6:$CY$266,(MATCH('[3]4.4 ACE MAX SEN '!H$4,'7. PGE_Efficacité'!$A$4:$AO$4,0)),0)</f>
        <v>0</v>
      </c>
      <c r="I59" s="64">
        <f>VLOOKUP($B59,'7. PGE_Efficacité'!$A$6:$CY$266,(MATCH('[3]4.4 ACE MAX SEN '!I$4,'7. PGE_Efficacité'!$A$4:$AO$4,0)),0)</f>
        <v>0</v>
      </c>
      <c r="J59" s="64">
        <f>VLOOKUP($B59,'7. PGE_Efficacité'!$A$6:$CY$266,(MATCH('[3]4.4 ACE MAX SEN '!J$4,'7. PGE_Efficacité'!$A$4:$AO$4,0)),0)</f>
        <v>0</v>
      </c>
      <c r="K59" s="64">
        <f>VLOOKUP($B59,'7. PGE_Efficacité'!$A$6:$CY$266,(MATCH('[3]4.4 ACE MAX SEN '!K$4,'7. PGE_Efficacité'!$A$4:$AO$4,0)),0)</f>
        <v>0</v>
      </c>
      <c r="L59" s="64">
        <f>VLOOKUP($B59,'7. PGE_Efficacité'!$A$6:$CY$266,(MATCH('[3]4.4 ACE MAX SEN '!L$4,'7. PGE_Efficacité'!$A$4:$AO$4,0)),0)</f>
        <v>0</v>
      </c>
      <c r="M59" s="64">
        <f>VLOOKUP($B59,'7. PGE_Efficacité'!$A$6:$CY$266,(MATCH('[3]4.4 ACE MAX SEN '!M$4,'7. PGE_Efficacité'!$A$4:$AO$4,0)),0)</f>
        <v>0</v>
      </c>
      <c r="N59" s="64">
        <f>VLOOKUP($B59,'7. PGE_Efficacité'!$A$6:$CY$266,(MATCH('[3]4.4 ACE MAX SEN '!N$4,'7. PGE_Efficacité'!$A$4:$AO$4,0)),0)</f>
        <v>0</v>
      </c>
      <c r="O59" s="64">
        <f>VLOOKUP($B59,'7. PGE_Efficacité'!$A$6:$CY$266,(MATCH('[3]4.4 ACE MAX SEN '!O$4,'7. PGE_Efficacité'!$A$4:$AO$4,0)),0)</f>
        <v>0</v>
      </c>
      <c r="P59" s="64">
        <f>VLOOKUP($B59,'7. PGE_Efficacité'!$A$6:$CY$266,(MATCH('[3]4.4 ACE MAX SEN '!P$4,'7. PGE_Efficacité'!$A$4:$AO$4,0)),0)</f>
        <v>0</v>
      </c>
      <c r="Q59" s="64">
        <f>VLOOKUP($B59,'7. PGE_Efficacité'!$A$6:$CY$266,(MATCH('[3]4.4 ACE MAX SEN '!Q$4,'7. PGE_Efficacité'!$A$4:$AO$4,0)),0)</f>
        <v>0</v>
      </c>
      <c r="R59" s="64">
        <f>VLOOKUP($B59,'7. PGE_Efficacité'!$A$6:$CY$266,(MATCH('[3]4.4 ACE MAX SEN '!R$4,'7. PGE_Efficacité'!$A$4:$AO$4,0)),0)</f>
        <v>0</v>
      </c>
      <c r="S59" s="64">
        <f>VLOOKUP($B59,'7. PGE_Efficacité'!$A$6:$CY$266,(MATCH('[3]4.4 ACE MAX SEN '!S$4,'7. PGE_Efficacité'!$A$4:$AO$4,0)),0)</f>
        <v>0</v>
      </c>
      <c r="T59" s="64">
        <f>VLOOKUP($B59,'7. PGE_Efficacité'!$A$6:$CY$266,(MATCH('[3]4.4 ACE MAX SEN '!T$4,'7. PGE_Efficacité'!$A$4:$AO$4,0)),0)</f>
        <v>0</v>
      </c>
      <c r="U59" s="64">
        <f>VLOOKUP($B59,'7. PGE_Efficacité'!$A$6:$CY$266,(MATCH('[3]4.4 ACE MAX SEN '!U$4,'7. PGE_Efficacité'!$A$4:$AO$4,0)),0)</f>
        <v>0</v>
      </c>
      <c r="V59" s="64">
        <f>VLOOKUP($B59,'7. PGE_Efficacité'!$A$6:$CY$266,(MATCH('[3]4.4 ACE MAX SEN '!V$4,'7. PGE_Efficacité'!$A$4:$AO$4,0)),0)</f>
        <v>0</v>
      </c>
      <c r="W59" s="61">
        <f>VLOOKUP($B59,'7. PGE_Efficacité'!$A$6:$CY$266,(MATCH('[3]4.4 ACE MAX SEN '!W$4,'7. PGE_Efficacité'!$A$4:$AO$4,0)),0)</f>
        <v>0</v>
      </c>
      <c r="X59" s="61">
        <f>VLOOKUP($B59,'7. PGE_Efficacité'!$A$6:$CY$266,(MATCH('[3]4.4 ACE MAX SEN '!X$4,'7. PGE_Efficacité'!$A$4:$AO$4,0)),0)</f>
        <v>0</v>
      </c>
      <c r="Y59" s="61">
        <f>VLOOKUP($B59,'7. PGE_Efficacité'!$A$6:$CY$266,(MATCH('[3]4.4 ACE MAX SEN '!Y$4,'7. PGE_Efficacité'!$A$4:$AO$4,0)),0)</f>
        <v>0</v>
      </c>
      <c r="Z59" s="61">
        <f>VLOOKUP($B59,'7. PGE_Efficacité'!$A$6:$CY$266,(MATCH('[3]4.4 ACE MAX SEN '!Z$4,'7. PGE_Efficacité'!$A$4:$AO$4,0)),0)</f>
        <v>0</v>
      </c>
      <c r="AA59" s="61">
        <f>VLOOKUP($B59,'7. PGE_Efficacité'!$A$6:$CY$266,(MATCH('[3]4.4 ACE MAX SEN '!AA$4,'7. PGE_Efficacité'!$A$4:$AO$4,0)),0)</f>
        <v>0</v>
      </c>
      <c r="AB59" s="61">
        <f>VLOOKUP($B59,'7. PGE_Efficacité'!$A$6:$CY$266,(MATCH('[3]4.4 ACE MAX SEN '!AB$4,'7. PGE_Efficacité'!$A$4:$AO$4,0)),0)</f>
        <v>0</v>
      </c>
      <c r="AC59" s="61">
        <f>VLOOKUP($B59,'7. PGE_Efficacité'!$A$6:$CY$266,(MATCH('[3]4.4 ACE MAX SEN '!AC$4,'7. PGE_Efficacité'!$A$4:$AO$4,0)),0)</f>
        <v>0</v>
      </c>
      <c r="AD59" s="61">
        <f>VLOOKUP($B59,'7. PGE_Efficacité'!$A$6:$CY$266,(MATCH('[3]4.4 ACE MAX SEN '!AD$4,'7. PGE_Efficacité'!$A$4:$AO$4,0)),0)</f>
        <v>0</v>
      </c>
      <c r="AE59" s="61">
        <f>VLOOKUP($B59,'7. PGE_Efficacité'!$A$6:$CY$266,(MATCH('[3]4.4 ACE MAX SEN '!AE$4,'7. PGE_Efficacité'!$A$4:$AO$4,0)),0)</f>
        <v>0</v>
      </c>
      <c r="AF59" s="61">
        <f>VLOOKUP($B59,'7. PGE_Efficacité'!$A$6:$CY$266,(MATCH('[3]4.4 ACE MAX SEN '!AF$4,'7. PGE_Efficacité'!$A$4:$AO$4,0)),0)</f>
        <v>0</v>
      </c>
      <c r="AG59" s="61">
        <f>VLOOKUP($B59,'7. PGE_Efficacité'!$A$6:$CY$266,(MATCH('[3]4.4 ACE MAX SEN '!AG$4,'7. PGE_Efficacité'!$A$4:$AO$4,0)),0)</f>
        <v>0</v>
      </c>
      <c r="AH59" s="61">
        <f>VLOOKUP($B59,'7. PGE_Efficacité'!$A$6:$CY$266,(MATCH('[3]4.4 ACE MAX SEN '!AH$4,'7. PGE_Efficacité'!$A$4:$AO$4,0)),0)</f>
        <v>0</v>
      </c>
      <c r="AI59" s="61">
        <f>VLOOKUP($B59,'7. PGE_Efficacité'!$A$6:$CY$266,(MATCH('[3]4.4 ACE MAX SEN '!AI$4,'7. PGE_Efficacité'!$A$4:$AO$4,0)),0)</f>
        <v>0</v>
      </c>
      <c r="AJ59" s="61">
        <f>VLOOKUP($B59,'7. PGE_Efficacité'!$A$6:$CY$266,(MATCH('[3]4.4 ACE MAX SEN '!AJ$4,'7. PGE_Efficacité'!$A$4:$AO$4,0)),0)</f>
        <v>0</v>
      </c>
      <c r="AK59" s="61">
        <f>VLOOKUP($B59,'7. PGE_Efficacité'!$A$6:$CY$266,(MATCH('[3]4.4 ACE MAX SEN '!AK$4,'7. PGE_Efficacité'!$A$4:$AO$4,0)),0)</f>
        <v>0</v>
      </c>
    </row>
    <row r="60" spans="1:37" hidden="1" outlineLevel="3" x14ac:dyDescent="0.25">
      <c r="A60" t="s">
        <v>4</v>
      </c>
      <c r="B60" s="65" t="s">
        <v>820</v>
      </c>
      <c r="C60" s="65" t="s">
        <v>1625</v>
      </c>
      <c r="D60" s="65"/>
      <c r="E60" s="65" t="s">
        <v>415</v>
      </c>
      <c r="F60" s="73"/>
      <c r="G60" s="64">
        <f>VLOOKUP($B60,'7. PGE_Efficacité'!$A$6:$CY$266,(MATCH('[3]4.4 ACE MAX SEN '!G$4,'7. PGE_Efficacité'!$A$4:$AO$4,0)),0)</f>
        <v>0</v>
      </c>
      <c r="H60" s="64">
        <f>VLOOKUP($B60,'7. PGE_Efficacité'!$A$6:$CY$266,(MATCH('[3]4.4 ACE MAX SEN '!H$4,'7. PGE_Efficacité'!$A$4:$AO$4,0)),0)</f>
        <v>0</v>
      </c>
      <c r="I60" s="64">
        <f>VLOOKUP($B60,'7. PGE_Efficacité'!$A$6:$CY$266,(MATCH('[3]4.4 ACE MAX SEN '!I$4,'7. PGE_Efficacité'!$A$4:$AO$4,0)),0)</f>
        <v>0</v>
      </c>
      <c r="J60" s="64">
        <f>VLOOKUP($B60,'7. PGE_Efficacité'!$A$6:$CY$266,(MATCH('[3]4.4 ACE MAX SEN '!J$4,'7. PGE_Efficacité'!$A$4:$AO$4,0)),0)</f>
        <v>0</v>
      </c>
      <c r="K60" s="64">
        <f>VLOOKUP($B60,'7. PGE_Efficacité'!$A$6:$CY$266,(MATCH('[3]4.4 ACE MAX SEN '!K$4,'7. PGE_Efficacité'!$A$4:$AO$4,0)),0)</f>
        <v>0</v>
      </c>
      <c r="L60" s="64">
        <f>VLOOKUP($B60,'7. PGE_Efficacité'!$A$6:$CY$266,(MATCH('[3]4.4 ACE MAX SEN '!L$4,'7. PGE_Efficacité'!$A$4:$AO$4,0)),0)</f>
        <v>0</v>
      </c>
      <c r="M60" s="64">
        <f>VLOOKUP($B60,'7. PGE_Efficacité'!$A$6:$CY$266,(MATCH('[3]4.4 ACE MAX SEN '!M$4,'7. PGE_Efficacité'!$A$4:$AO$4,0)),0)</f>
        <v>0</v>
      </c>
      <c r="N60" s="64">
        <f>VLOOKUP($B60,'7. PGE_Efficacité'!$A$6:$CY$266,(MATCH('[3]4.4 ACE MAX SEN '!N$4,'7. PGE_Efficacité'!$A$4:$AO$4,0)),0)</f>
        <v>0</v>
      </c>
      <c r="O60" s="64">
        <f>VLOOKUP($B60,'7. PGE_Efficacité'!$A$6:$CY$266,(MATCH('[3]4.4 ACE MAX SEN '!O$4,'7. PGE_Efficacité'!$A$4:$AO$4,0)),0)</f>
        <v>0</v>
      </c>
      <c r="P60" s="64">
        <f>VLOOKUP($B60,'7. PGE_Efficacité'!$A$6:$CY$266,(MATCH('[3]4.4 ACE MAX SEN '!P$4,'7. PGE_Efficacité'!$A$4:$AO$4,0)),0)</f>
        <v>0</v>
      </c>
      <c r="Q60" s="64">
        <f>VLOOKUP($B60,'7. PGE_Efficacité'!$A$6:$CY$266,(MATCH('[3]4.4 ACE MAX SEN '!Q$4,'7. PGE_Efficacité'!$A$4:$AO$4,0)),0)</f>
        <v>0</v>
      </c>
      <c r="R60" s="64">
        <f>VLOOKUP($B60,'7. PGE_Efficacité'!$A$6:$CY$266,(MATCH('[3]4.4 ACE MAX SEN '!R$4,'7. PGE_Efficacité'!$A$4:$AO$4,0)),0)</f>
        <v>0</v>
      </c>
      <c r="S60" s="64">
        <f>VLOOKUP($B60,'7. PGE_Efficacité'!$A$6:$CY$266,(MATCH('[3]4.4 ACE MAX SEN '!S$4,'7. PGE_Efficacité'!$A$4:$AO$4,0)),0)</f>
        <v>0</v>
      </c>
      <c r="T60" s="64">
        <f>VLOOKUP($B60,'7. PGE_Efficacité'!$A$6:$CY$266,(MATCH('[3]4.4 ACE MAX SEN '!T$4,'7. PGE_Efficacité'!$A$4:$AO$4,0)),0)</f>
        <v>0</v>
      </c>
      <c r="U60" s="64">
        <f>VLOOKUP($B60,'7. PGE_Efficacité'!$A$6:$CY$266,(MATCH('[3]4.4 ACE MAX SEN '!U$4,'7. PGE_Efficacité'!$A$4:$AO$4,0)),0)</f>
        <v>0</v>
      </c>
      <c r="V60" s="64">
        <f>VLOOKUP($B60,'7. PGE_Efficacité'!$A$6:$CY$266,(MATCH('[3]4.4 ACE MAX SEN '!V$4,'7. PGE_Efficacité'!$A$4:$AO$4,0)),0)</f>
        <v>0</v>
      </c>
      <c r="W60" s="61">
        <f>VLOOKUP($B60,'7. PGE_Efficacité'!$A$6:$CY$266,(MATCH('[3]4.4 ACE MAX SEN '!W$4,'7. PGE_Efficacité'!$A$4:$AO$4,0)),0)</f>
        <v>0</v>
      </c>
      <c r="X60" s="61">
        <f>VLOOKUP($B60,'7. PGE_Efficacité'!$A$6:$CY$266,(MATCH('[3]4.4 ACE MAX SEN '!X$4,'7. PGE_Efficacité'!$A$4:$AO$4,0)),0)</f>
        <v>0</v>
      </c>
      <c r="Y60" s="61">
        <f>VLOOKUP($B60,'7. PGE_Efficacité'!$A$6:$CY$266,(MATCH('[3]4.4 ACE MAX SEN '!Y$4,'7. PGE_Efficacité'!$A$4:$AO$4,0)),0)</f>
        <v>0</v>
      </c>
      <c r="Z60" s="61">
        <f>VLOOKUP($B60,'7. PGE_Efficacité'!$A$6:$CY$266,(MATCH('[3]4.4 ACE MAX SEN '!Z$4,'7. PGE_Efficacité'!$A$4:$AO$4,0)),0)</f>
        <v>0</v>
      </c>
      <c r="AA60" s="61">
        <f>VLOOKUP($B60,'7. PGE_Efficacité'!$A$6:$CY$266,(MATCH('[3]4.4 ACE MAX SEN '!AA$4,'7. PGE_Efficacité'!$A$4:$AO$4,0)),0)</f>
        <v>0</v>
      </c>
      <c r="AB60" s="61">
        <f>VLOOKUP($B60,'7. PGE_Efficacité'!$A$6:$CY$266,(MATCH('[3]4.4 ACE MAX SEN '!AB$4,'7. PGE_Efficacité'!$A$4:$AO$4,0)),0)</f>
        <v>0</v>
      </c>
      <c r="AC60" s="61">
        <f>VLOOKUP($B60,'7. PGE_Efficacité'!$A$6:$CY$266,(MATCH('[3]4.4 ACE MAX SEN '!AC$4,'7. PGE_Efficacité'!$A$4:$AO$4,0)),0)</f>
        <v>0</v>
      </c>
      <c r="AD60" s="61">
        <f>VLOOKUP($B60,'7. PGE_Efficacité'!$A$6:$CY$266,(MATCH('[3]4.4 ACE MAX SEN '!AD$4,'7. PGE_Efficacité'!$A$4:$AO$4,0)),0)</f>
        <v>0</v>
      </c>
      <c r="AE60" s="61">
        <f>VLOOKUP($B60,'7. PGE_Efficacité'!$A$6:$CY$266,(MATCH('[3]4.4 ACE MAX SEN '!AE$4,'7. PGE_Efficacité'!$A$4:$AO$4,0)),0)</f>
        <v>0</v>
      </c>
      <c r="AF60" s="61">
        <f>VLOOKUP($B60,'7. PGE_Efficacité'!$A$6:$CY$266,(MATCH('[3]4.4 ACE MAX SEN '!AF$4,'7. PGE_Efficacité'!$A$4:$AO$4,0)),0)</f>
        <v>0</v>
      </c>
      <c r="AG60" s="61">
        <f>VLOOKUP($B60,'7. PGE_Efficacité'!$A$6:$CY$266,(MATCH('[3]4.4 ACE MAX SEN '!AG$4,'7. PGE_Efficacité'!$A$4:$AO$4,0)),0)</f>
        <v>0</v>
      </c>
      <c r="AH60" s="61">
        <f>VLOOKUP($B60,'7. PGE_Efficacité'!$A$6:$CY$266,(MATCH('[3]4.4 ACE MAX SEN '!AH$4,'7. PGE_Efficacité'!$A$4:$AO$4,0)),0)</f>
        <v>0</v>
      </c>
      <c r="AI60" s="61">
        <f>VLOOKUP($B60,'7. PGE_Efficacité'!$A$6:$CY$266,(MATCH('[3]4.4 ACE MAX SEN '!AI$4,'7. PGE_Efficacité'!$A$4:$AO$4,0)),0)</f>
        <v>0</v>
      </c>
      <c r="AJ60" s="61">
        <f>VLOOKUP($B60,'7. PGE_Efficacité'!$A$6:$CY$266,(MATCH('[3]4.4 ACE MAX SEN '!AJ$4,'7. PGE_Efficacité'!$A$4:$AO$4,0)),0)</f>
        <v>0</v>
      </c>
      <c r="AK60" s="61">
        <f>VLOOKUP($B60,'7. PGE_Efficacité'!$A$6:$CY$266,(MATCH('[3]4.4 ACE MAX SEN '!AK$4,'7. PGE_Efficacité'!$A$4:$AO$4,0)),0)</f>
        <v>0</v>
      </c>
    </row>
    <row r="61" spans="1:37" hidden="1" outlineLevel="3" x14ac:dyDescent="0.25">
      <c r="A61" t="s">
        <v>4</v>
      </c>
      <c r="B61" s="65" t="s">
        <v>799</v>
      </c>
      <c r="C61" s="65" t="s">
        <v>1626</v>
      </c>
      <c r="D61" s="65"/>
      <c r="E61" s="65" t="s">
        <v>415</v>
      </c>
      <c r="F61" s="73"/>
      <c r="G61" s="64">
        <f>VLOOKUP($B61,'7. PGE_Efficacité'!$A$6:$CY$266,(MATCH('[3]4.4 ACE MAX SEN '!G$4,'7. PGE_Efficacité'!$A$4:$AO$4,0)),0)</f>
        <v>0</v>
      </c>
      <c r="H61" s="64">
        <f>VLOOKUP($B61,'7. PGE_Efficacité'!$A$6:$CY$266,(MATCH('[3]4.4 ACE MAX SEN '!H$4,'7. PGE_Efficacité'!$A$4:$AO$4,0)),0)</f>
        <v>0</v>
      </c>
      <c r="I61" s="64">
        <f>VLOOKUP($B61,'7. PGE_Efficacité'!$A$6:$CY$266,(MATCH('[3]4.4 ACE MAX SEN '!I$4,'7. PGE_Efficacité'!$A$4:$AO$4,0)),0)</f>
        <v>0</v>
      </c>
      <c r="J61" s="64">
        <f>VLOOKUP($B61,'7. PGE_Efficacité'!$A$6:$CY$266,(MATCH('[3]4.4 ACE MAX SEN '!J$4,'7. PGE_Efficacité'!$A$4:$AO$4,0)),0)</f>
        <v>0</v>
      </c>
      <c r="K61" s="64">
        <f>VLOOKUP($B61,'7. PGE_Efficacité'!$A$6:$CY$266,(MATCH('[3]4.4 ACE MAX SEN '!K$4,'7. PGE_Efficacité'!$A$4:$AO$4,0)),0)</f>
        <v>0</v>
      </c>
      <c r="L61" s="64">
        <f>VLOOKUP($B61,'7. PGE_Efficacité'!$A$6:$CY$266,(MATCH('[3]4.4 ACE MAX SEN '!L$4,'7. PGE_Efficacité'!$A$4:$AO$4,0)),0)</f>
        <v>0</v>
      </c>
      <c r="M61" s="64">
        <f>VLOOKUP($B61,'7. PGE_Efficacité'!$A$6:$CY$266,(MATCH('[3]4.4 ACE MAX SEN '!M$4,'7. PGE_Efficacité'!$A$4:$AO$4,0)),0)</f>
        <v>0</v>
      </c>
      <c r="N61" s="64">
        <f>VLOOKUP($B61,'7. PGE_Efficacité'!$A$6:$CY$266,(MATCH('[3]4.4 ACE MAX SEN '!N$4,'7. PGE_Efficacité'!$A$4:$AO$4,0)),0)</f>
        <v>0</v>
      </c>
      <c r="O61" s="64">
        <f>VLOOKUP($B61,'7. PGE_Efficacité'!$A$6:$CY$266,(MATCH('[3]4.4 ACE MAX SEN '!O$4,'7. PGE_Efficacité'!$A$4:$AO$4,0)),0)</f>
        <v>0</v>
      </c>
      <c r="P61" s="64">
        <f>VLOOKUP($B61,'7. PGE_Efficacité'!$A$6:$CY$266,(MATCH('[3]4.4 ACE MAX SEN '!P$4,'7. PGE_Efficacité'!$A$4:$AO$4,0)),0)</f>
        <v>0</v>
      </c>
      <c r="Q61" s="64">
        <f>VLOOKUP($B61,'7. PGE_Efficacité'!$A$6:$CY$266,(MATCH('[3]4.4 ACE MAX SEN '!Q$4,'7. PGE_Efficacité'!$A$4:$AO$4,0)),0)</f>
        <v>0</v>
      </c>
      <c r="R61" s="64">
        <f>VLOOKUP($B61,'7. PGE_Efficacité'!$A$6:$CY$266,(MATCH('[3]4.4 ACE MAX SEN '!R$4,'7. PGE_Efficacité'!$A$4:$AO$4,0)),0)</f>
        <v>0</v>
      </c>
      <c r="S61" s="64">
        <f>VLOOKUP($B61,'7. PGE_Efficacité'!$A$6:$CY$266,(MATCH('[3]4.4 ACE MAX SEN '!S$4,'7. PGE_Efficacité'!$A$4:$AO$4,0)),0)</f>
        <v>0</v>
      </c>
      <c r="T61" s="64">
        <f>VLOOKUP($B61,'7. PGE_Efficacité'!$A$6:$CY$266,(MATCH('[3]4.4 ACE MAX SEN '!T$4,'7. PGE_Efficacité'!$A$4:$AO$4,0)),0)</f>
        <v>0</v>
      </c>
      <c r="U61" s="64">
        <f>VLOOKUP($B61,'7. PGE_Efficacité'!$A$6:$CY$266,(MATCH('[3]4.4 ACE MAX SEN '!U$4,'7. PGE_Efficacité'!$A$4:$AO$4,0)),0)</f>
        <v>0</v>
      </c>
      <c r="V61" s="64">
        <f>VLOOKUP($B61,'7. PGE_Efficacité'!$A$6:$CY$266,(MATCH('[3]4.4 ACE MAX SEN '!V$4,'7. PGE_Efficacité'!$A$4:$AO$4,0)),0)</f>
        <v>0</v>
      </c>
      <c r="W61" s="61">
        <f>VLOOKUP($B61,'7. PGE_Efficacité'!$A$6:$CY$266,(MATCH('[3]4.4 ACE MAX SEN '!W$4,'7. PGE_Efficacité'!$A$4:$AO$4,0)),0)</f>
        <v>0</v>
      </c>
      <c r="X61" s="61">
        <f>VLOOKUP($B61,'7. PGE_Efficacité'!$A$6:$CY$266,(MATCH('[3]4.4 ACE MAX SEN '!X$4,'7. PGE_Efficacité'!$A$4:$AO$4,0)),0)</f>
        <v>0</v>
      </c>
      <c r="Y61" s="61">
        <f>VLOOKUP($B61,'7. PGE_Efficacité'!$A$6:$CY$266,(MATCH('[3]4.4 ACE MAX SEN '!Y$4,'7. PGE_Efficacité'!$A$4:$AO$4,0)),0)</f>
        <v>0</v>
      </c>
      <c r="Z61" s="61">
        <f>VLOOKUP($B61,'7. PGE_Efficacité'!$A$6:$CY$266,(MATCH('[3]4.4 ACE MAX SEN '!Z$4,'7. PGE_Efficacité'!$A$4:$AO$4,0)),0)</f>
        <v>0</v>
      </c>
      <c r="AA61" s="61">
        <f>VLOOKUP($B61,'7. PGE_Efficacité'!$A$6:$CY$266,(MATCH('[3]4.4 ACE MAX SEN '!AA$4,'7. PGE_Efficacité'!$A$4:$AO$4,0)),0)</f>
        <v>0</v>
      </c>
      <c r="AB61" s="61">
        <f>VLOOKUP($B61,'7. PGE_Efficacité'!$A$6:$CY$266,(MATCH('[3]4.4 ACE MAX SEN '!AB$4,'7. PGE_Efficacité'!$A$4:$AO$4,0)),0)</f>
        <v>0</v>
      </c>
      <c r="AC61" s="61">
        <f>VLOOKUP($B61,'7. PGE_Efficacité'!$A$6:$CY$266,(MATCH('[3]4.4 ACE MAX SEN '!AC$4,'7. PGE_Efficacité'!$A$4:$AO$4,0)),0)</f>
        <v>0</v>
      </c>
      <c r="AD61" s="61">
        <f>VLOOKUP($B61,'7. PGE_Efficacité'!$A$6:$CY$266,(MATCH('[3]4.4 ACE MAX SEN '!AD$4,'7. PGE_Efficacité'!$A$4:$AO$4,0)),0)</f>
        <v>0</v>
      </c>
      <c r="AE61" s="61">
        <f>VLOOKUP($B61,'7. PGE_Efficacité'!$A$6:$CY$266,(MATCH('[3]4.4 ACE MAX SEN '!AE$4,'7. PGE_Efficacité'!$A$4:$AO$4,0)),0)</f>
        <v>0</v>
      </c>
      <c r="AF61" s="61">
        <f>VLOOKUP($B61,'7. PGE_Efficacité'!$A$6:$CY$266,(MATCH('[3]4.4 ACE MAX SEN '!AF$4,'7. PGE_Efficacité'!$A$4:$AO$4,0)),0)</f>
        <v>0</v>
      </c>
      <c r="AG61" s="61">
        <f>VLOOKUP($B61,'7. PGE_Efficacité'!$A$6:$CY$266,(MATCH('[3]4.4 ACE MAX SEN '!AG$4,'7. PGE_Efficacité'!$A$4:$AO$4,0)),0)</f>
        <v>0</v>
      </c>
      <c r="AH61" s="61">
        <f>VLOOKUP($B61,'7. PGE_Efficacité'!$A$6:$CY$266,(MATCH('[3]4.4 ACE MAX SEN '!AH$4,'7. PGE_Efficacité'!$A$4:$AO$4,0)),0)</f>
        <v>0</v>
      </c>
      <c r="AI61" s="61">
        <f>VLOOKUP($B61,'7. PGE_Efficacité'!$A$6:$CY$266,(MATCH('[3]4.4 ACE MAX SEN '!AI$4,'7. PGE_Efficacité'!$A$4:$AO$4,0)),0)</f>
        <v>0</v>
      </c>
      <c r="AJ61" s="61">
        <f>VLOOKUP($B61,'7. PGE_Efficacité'!$A$6:$CY$266,(MATCH('[3]4.4 ACE MAX SEN '!AJ$4,'7. PGE_Efficacité'!$A$4:$AO$4,0)),0)</f>
        <v>0</v>
      </c>
      <c r="AK61" s="61">
        <f>VLOOKUP($B61,'7. PGE_Efficacité'!$A$6:$CY$266,(MATCH('[3]4.4 ACE MAX SEN '!AK$4,'7. PGE_Efficacité'!$A$4:$AO$4,0)),0)</f>
        <v>0</v>
      </c>
    </row>
    <row r="62" spans="1:37" hidden="1" outlineLevel="3" x14ac:dyDescent="0.25">
      <c r="A62" t="s">
        <v>4</v>
      </c>
      <c r="B62" s="65" t="s">
        <v>800</v>
      </c>
      <c r="C62" s="65" t="s">
        <v>1627</v>
      </c>
      <c r="D62" s="65"/>
      <c r="E62" s="65" t="s">
        <v>415</v>
      </c>
      <c r="F62" s="73"/>
      <c r="G62" s="64">
        <f>VLOOKUP($B62,'7. PGE_Efficacité'!$A$6:$CY$266,(MATCH('[3]4.4 ACE MAX SEN '!G$4,'7. PGE_Efficacité'!$A$4:$AO$4,0)),0)</f>
        <v>0</v>
      </c>
      <c r="H62" s="64">
        <f>VLOOKUP($B62,'7. PGE_Efficacité'!$A$6:$CY$266,(MATCH('[3]4.4 ACE MAX SEN '!H$4,'7. PGE_Efficacité'!$A$4:$AO$4,0)),0)</f>
        <v>0</v>
      </c>
      <c r="I62" s="64">
        <f>VLOOKUP($B62,'7. PGE_Efficacité'!$A$6:$CY$266,(MATCH('[3]4.4 ACE MAX SEN '!I$4,'7. PGE_Efficacité'!$A$4:$AO$4,0)),0)</f>
        <v>0</v>
      </c>
      <c r="J62" s="64">
        <f>VLOOKUP($B62,'7. PGE_Efficacité'!$A$6:$CY$266,(MATCH('[3]4.4 ACE MAX SEN '!J$4,'7. PGE_Efficacité'!$A$4:$AO$4,0)),0)</f>
        <v>0</v>
      </c>
      <c r="K62" s="64">
        <f>VLOOKUP($B62,'7. PGE_Efficacité'!$A$6:$CY$266,(MATCH('[3]4.4 ACE MAX SEN '!K$4,'7. PGE_Efficacité'!$A$4:$AO$4,0)),0)</f>
        <v>0</v>
      </c>
      <c r="L62" s="64">
        <f>VLOOKUP($B62,'7. PGE_Efficacité'!$A$6:$CY$266,(MATCH('[3]4.4 ACE MAX SEN '!L$4,'7. PGE_Efficacité'!$A$4:$AO$4,0)),0)</f>
        <v>0</v>
      </c>
      <c r="M62" s="64">
        <f>VLOOKUP($B62,'7. PGE_Efficacité'!$A$6:$CY$266,(MATCH('[3]4.4 ACE MAX SEN '!M$4,'7. PGE_Efficacité'!$A$4:$AO$4,0)),0)</f>
        <v>0</v>
      </c>
      <c r="N62" s="64">
        <f>VLOOKUP($B62,'7. PGE_Efficacité'!$A$6:$CY$266,(MATCH('[3]4.4 ACE MAX SEN '!N$4,'7. PGE_Efficacité'!$A$4:$AO$4,0)),0)</f>
        <v>0</v>
      </c>
      <c r="O62" s="64">
        <f>VLOOKUP($B62,'7. PGE_Efficacité'!$A$6:$CY$266,(MATCH('[3]4.4 ACE MAX SEN '!O$4,'7. PGE_Efficacité'!$A$4:$AO$4,0)),0)</f>
        <v>0</v>
      </c>
      <c r="P62" s="64">
        <f>VLOOKUP($B62,'7. PGE_Efficacité'!$A$6:$CY$266,(MATCH('[3]4.4 ACE MAX SEN '!P$4,'7. PGE_Efficacité'!$A$4:$AO$4,0)),0)</f>
        <v>0</v>
      </c>
      <c r="Q62" s="64">
        <f>VLOOKUP($B62,'7. PGE_Efficacité'!$A$6:$CY$266,(MATCH('[3]4.4 ACE MAX SEN '!Q$4,'7. PGE_Efficacité'!$A$4:$AO$4,0)),0)</f>
        <v>0</v>
      </c>
      <c r="R62" s="64">
        <f>VLOOKUP($B62,'7. PGE_Efficacité'!$A$6:$CY$266,(MATCH('[3]4.4 ACE MAX SEN '!R$4,'7. PGE_Efficacité'!$A$4:$AO$4,0)),0)</f>
        <v>0</v>
      </c>
      <c r="S62" s="64">
        <f>VLOOKUP($B62,'7. PGE_Efficacité'!$A$6:$CY$266,(MATCH('[3]4.4 ACE MAX SEN '!S$4,'7. PGE_Efficacité'!$A$4:$AO$4,0)),0)</f>
        <v>0</v>
      </c>
      <c r="T62" s="64">
        <f>VLOOKUP($B62,'7. PGE_Efficacité'!$A$6:$CY$266,(MATCH('[3]4.4 ACE MAX SEN '!T$4,'7. PGE_Efficacité'!$A$4:$AO$4,0)),0)</f>
        <v>0</v>
      </c>
      <c r="U62" s="64">
        <f>VLOOKUP($B62,'7. PGE_Efficacité'!$A$6:$CY$266,(MATCH('[3]4.4 ACE MAX SEN '!U$4,'7. PGE_Efficacité'!$A$4:$AO$4,0)),0)</f>
        <v>0</v>
      </c>
      <c r="V62" s="64">
        <f>VLOOKUP($B62,'7. PGE_Efficacité'!$A$6:$CY$266,(MATCH('[3]4.4 ACE MAX SEN '!V$4,'7. PGE_Efficacité'!$A$4:$AO$4,0)),0)</f>
        <v>0</v>
      </c>
      <c r="W62" s="61">
        <f>VLOOKUP($B62,'7. PGE_Efficacité'!$A$6:$CY$266,(MATCH('[3]4.4 ACE MAX SEN '!W$4,'7. PGE_Efficacité'!$A$4:$AO$4,0)),0)</f>
        <v>0</v>
      </c>
      <c r="X62" s="61">
        <f>VLOOKUP($B62,'7. PGE_Efficacité'!$A$6:$CY$266,(MATCH('[3]4.4 ACE MAX SEN '!X$4,'7. PGE_Efficacité'!$A$4:$AO$4,0)),0)</f>
        <v>0</v>
      </c>
      <c r="Y62" s="61">
        <f>VLOOKUP($B62,'7. PGE_Efficacité'!$A$6:$CY$266,(MATCH('[3]4.4 ACE MAX SEN '!Y$4,'7. PGE_Efficacité'!$A$4:$AO$4,0)),0)</f>
        <v>0</v>
      </c>
      <c r="Z62" s="61">
        <f>VLOOKUP($B62,'7. PGE_Efficacité'!$A$6:$CY$266,(MATCH('[3]4.4 ACE MAX SEN '!Z$4,'7. PGE_Efficacité'!$A$4:$AO$4,0)),0)</f>
        <v>0</v>
      </c>
      <c r="AA62" s="61">
        <f>VLOOKUP($B62,'7. PGE_Efficacité'!$A$6:$CY$266,(MATCH('[3]4.4 ACE MAX SEN '!AA$4,'7. PGE_Efficacité'!$A$4:$AO$4,0)),0)</f>
        <v>0</v>
      </c>
      <c r="AB62" s="61">
        <f>VLOOKUP($B62,'7. PGE_Efficacité'!$A$6:$CY$266,(MATCH('[3]4.4 ACE MAX SEN '!AB$4,'7. PGE_Efficacité'!$A$4:$AO$4,0)),0)</f>
        <v>0</v>
      </c>
      <c r="AC62" s="61">
        <f>VLOOKUP($B62,'7. PGE_Efficacité'!$A$6:$CY$266,(MATCH('[3]4.4 ACE MAX SEN '!AC$4,'7. PGE_Efficacité'!$A$4:$AO$4,0)),0)</f>
        <v>0</v>
      </c>
      <c r="AD62" s="61">
        <f>VLOOKUP($B62,'7. PGE_Efficacité'!$A$6:$CY$266,(MATCH('[3]4.4 ACE MAX SEN '!AD$4,'7. PGE_Efficacité'!$A$4:$AO$4,0)),0)</f>
        <v>0</v>
      </c>
      <c r="AE62" s="61">
        <f>VLOOKUP($B62,'7. PGE_Efficacité'!$A$6:$CY$266,(MATCH('[3]4.4 ACE MAX SEN '!AE$4,'7. PGE_Efficacité'!$A$4:$AO$4,0)),0)</f>
        <v>0</v>
      </c>
      <c r="AF62" s="61">
        <f>VLOOKUP($B62,'7. PGE_Efficacité'!$A$6:$CY$266,(MATCH('[3]4.4 ACE MAX SEN '!AF$4,'7. PGE_Efficacité'!$A$4:$AO$4,0)),0)</f>
        <v>0</v>
      </c>
      <c r="AG62" s="61">
        <f>VLOOKUP($B62,'7. PGE_Efficacité'!$A$6:$CY$266,(MATCH('[3]4.4 ACE MAX SEN '!AG$4,'7. PGE_Efficacité'!$A$4:$AO$4,0)),0)</f>
        <v>0</v>
      </c>
      <c r="AH62" s="61">
        <f>VLOOKUP($B62,'7. PGE_Efficacité'!$A$6:$CY$266,(MATCH('[3]4.4 ACE MAX SEN '!AH$4,'7. PGE_Efficacité'!$A$4:$AO$4,0)),0)</f>
        <v>0</v>
      </c>
      <c r="AI62" s="61">
        <f>VLOOKUP($B62,'7. PGE_Efficacité'!$A$6:$CY$266,(MATCH('[3]4.4 ACE MAX SEN '!AI$4,'7. PGE_Efficacité'!$A$4:$AO$4,0)),0)</f>
        <v>0</v>
      </c>
      <c r="AJ62" s="61">
        <f>VLOOKUP($B62,'7. PGE_Efficacité'!$A$6:$CY$266,(MATCH('[3]4.4 ACE MAX SEN '!AJ$4,'7. PGE_Efficacité'!$A$4:$AO$4,0)),0)</f>
        <v>0</v>
      </c>
      <c r="AK62" s="61">
        <f>VLOOKUP($B62,'7. PGE_Efficacité'!$A$6:$CY$266,(MATCH('[3]4.4 ACE MAX SEN '!AK$4,'7. PGE_Efficacité'!$A$4:$AO$4,0)),0)</f>
        <v>0</v>
      </c>
    </row>
    <row r="63" spans="1:37" hidden="1" outlineLevel="3" x14ac:dyDescent="0.25">
      <c r="A63" t="s">
        <v>4</v>
      </c>
      <c r="B63" s="65" t="s">
        <v>801</v>
      </c>
      <c r="C63" s="65" t="s">
        <v>1628</v>
      </c>
      <c r="D63" s="65"/>
      <c r="E63" s="65" t="s">
        <v>415</v>
      </c>
      <c r="F63" s="73"/>
      <c r="G63" s="64">
        <f>VLOOKUP($B63,'7. PGE_Efficacité'!$A$6:$CY$266,(MATCH('[3]4.4 ACE MAX SEN '!G$4,'7. PGE_Efficacité'!$A$4:$AO$4,0)),0)</f>
        <v>0</v>
      </c>
      <c r="H63" s="64">
        <f>VLOOKUP($B63,'7. PGE_Efficacité'!$A$6:$CY$266,(MATCH('[3]4.4 ACE MAX SEN '!H$4,'7. PGE_Efficacité'!$A$4:$AO$4,0)),0)</f>
        <v>0</v>
      </c>
      <c r="I63" s="64">
        <f>VLOOKUP($B63,'7. PGE_Efficacité'!$A$6:$CY$266,(MATCH('[3]4.4 ACE MAX SEN '!I$4,'7. PGE_Efficacité'!$A$4:$AO$4,0)),0)</f>
        <v>0</v>
      </c>
      <c r="J63" s="64">
        <f>VLOOKUP($B63,'7. PGE_Efficacité'!$A$6:$CY$266,(MATCH('[3]4.4 ACE MAX SEN '!J$4,'7. PGE_Efficacité'!$A$4:$AO$4,0)),0)</f>
        <v>0</v>
      </c>
      <c r="K63" s="64">
        <f>VLOOKUP($B63,'7. PGE_Efficacité'!$A$6:$CY$266,(MATCH('[3]4.4 ACE MAX SEN '!K$4,'7. PGE_Efficacité'!$A$4:$AO$4,0)),0)</f>
        <v>0</v>
      </c>
      <c r="L63" s="64">
        <f>VLOOKUP($B63,'7. PGE_Efficacité'!$A$6:$CY$266,(MATCH('[3]4.4 ACE MAX SEN '!L$4,'7. PGE_Efficacité'!$A$4:$AO$4,0)),0)</f>
        <v>0</v>
      </c>
      <c r="M63" s="64">
        <f>VLOOKUP($B63,'7. PGE_Efficacité'!$A$6:$CY$266,(MATCH('[3]4.4 ACE MAX SEN '!M$4,'7. PGE_Efficacité'!$A$4:$AO$4,0)),0)</f>
        <v>0</v>
      </c>
      <c r="N63" s="64">
        <f>VLOOKUP($B63,'7. PGE_Efficacité'!$A$6:$CY$266,(MATCH('[3]4.4 ACE MAX SEN '!N$4,'7. PGE_Efficacité'!$A$4:$AO$4,0)),0)</f>
        <v>0</v>
      </c>
      <c r="O63" s="64">
        <f>VLOOKUP($B63,'7. PGE_Efficacité'!$A$6:$CY$266,(MATCH('[3]4.4 ACE MAX SEN '!O$4,'7. PGE_Efficacité'!$A$4:$AO$4,0)),0)</f>
        <v>0</v>
      </c>
      <c r="P63" s="64">
        <f>VLOOKUP($B63,'7. PGE_Efficacité'!$A$6:$CY$266,(MATCH('[3]4.4 ACE MAX SEN '!P$4,'7. PGE_Efficacité'!$A$4:$AO$4,0)),0)</f>
        <v>0</v>
      </c>
      <c r="Q63" s="64">
        <f>VLOOKUP($B63,'7. PGE_Efficacité'!$A$6:$CY$266,(MATCH('[3]4.4 ACE MAX SEN '!Q$4,'7. PGE_Efficacité'!$A$4:$AO$4,0)),0)</f>
        <v>0</v>
      </c>
      <c r="R63" s="64">
        <f>VLOOKUP($B63,'7. PGE_Efficacité'!$A$6:$CY$266,(MATCH('[3]4.4 ACE MAX SEN '!R$4,'7. PGE_Efficacité'!$A$4:$AO$4,0)),0)</f>
        <v>0</v>
      </c>
      <c r="S63" s="64">
        <f>VLOOKUP($B63,'7. PGE_Efficacité'!$A$6:$CY$266,(MATCH('[3]4.4 ACE MAX SEN '!S$4,'7. PGE_Efficacité'!$A$4:$AO$4,0)),0)</f>
        <v>0</v>
      </c>
      <c r="T63" s="64">
        <f>VLOOKUP($B63,'7. PGE_Efficacité'!$A$6:$CY$266,(MATCH('[3]4.4 ACE MAX SEN '!T$4,'7. PGE_Efficacité'!$A$4:$AO$4,0)),0)</f>
        <v>0</v>
      </c>
      <c r="U63" s="64">
        <f>VLOOKUP($B63,'7. PGE_Efficacité'!$A$6:$CY$266,(MATCH('[3]4.4 ACE MAX SEN '!U$4,'7. PGE_Efficacité'!$A$4:$AO$4,0)),0)</f>
        <v>0</v>
      </c>
      <c r="V63" s="64">
        <f>VLOOKUP($B63,'7. PGE_Efficacité'!$A$6:$CY$266,(MATCH('[3]4.4 ACE MAX SEN '!V$4,'7. PGE_Efficacité'!$A$4:$AO$4,0)),0)</f>
        <v>0</v>
      </c>
      <c r="W63" s="61">
        <f>VLOOKUP($B63,'7. PGE_Efficacité'!$A$6:$CY$266,(MATCH('[3]4.4 ACE MAX SEN '!W$4,'7. PGE_Efficacité'!$A$4:$AO$4,0)),0)</f>
        <v>0</v>
      </c>
      <c r="X63" s="61">
        <f>VLOOKUP($B63,'7. PGE_Efficacité'!$A$6:$CY$266,(MATCH('[3]4.4 ACE MAX SEN '!X$4,'7. PGE_Efficacité'!$A$4:$AO$4,0)),0)</f>
        <v>0</v>
      </c>
      <c r="Y63" s="61">
        <f>VLOOKUP($B63,'7. PGE_Efficacité'!$A$6:$CY$266,(MATCH('[3]4.4 ACE MAX SEN '!Y$4,'7. PGE_Efficacité'!$A$4:$AO$4,0)),0)</f>
        <v>0</v>
      </c>
      <c r="Z63" s="61">
        <f>VLOOKUP($B63,'7. PGE_Efficacité'!$A$6:$CY$266,(MATCH('[3]4.4 ACE MAX SEN '!Z$4,'7. PGE_Efficacité'!$A$4:$AO$4,0)),0)</f>
        <v>0</v>
      </c>
      <c r="AA63" s="61">
        <f>VLOOKUP($B63,'7. PGE_Efficacité'!$A$6:$CY$266,(MATCH('[3]4.4 ACE MAX SEN '!AA$4,'7. PGE_Efficacité'!$A$4:$AO$4,0)),0)</f>
        <v>0</v>
      </c>
      <c r="AB63" s="61">
        <f>VLOOKUP($B63,'7. PGE_Efficacité'!$A$6:$CY$266,(MATCH('[3]4.4 ACE MAX SEN '!AB$4,'7. PGE_Efficacité'!$A$4:$AO$4,0)),0)</f>
        <v>0</v>
      </c>
      <c r="AC63" s="61">
        <f>VLOOKUP($B63,'7. PGE_Efficacité'!$A$6:$CY$266,(MATCH('[3]4.4 ACE MAX SEN '!AC$4,'7. PGE_Efficacité'!$A$4:$AO$4,0)),0)</f>
        <v>0</v>
      </c>
      <c r="AD63" s="61">
        <f>VLOOKUP($B63,'7. PGE_Efficacité'!$A$6:$CY$266,(MATCH('[3]4.4 ACE MAX SEN '!AD$4,'7. PGE_Efficacité'!$A$4:$AO$4,0)),0)</f>
        <v>0</v>
      </c>
      <c r="AE63" s="61">
        <f>VLOOKUP($B63,'7. PGE_Efficacité'!$A$6:$CY$266,(MATCH('[3]4.4 ACE MAX SEN '!AE$4,'7. PGE_Efficacité'!$A$4:$AO$4,0)),0)</f>
        <v>0</v>
      </c>
      <c r="AF63" s="61">
        <f>VLOOKUP($B63,'7. PGE_Efficacité'!$A$6:$CY$266,(MATCH('[3]4.4 ACE MAX SEN '!AF$4,'7. PGE_Efficacité'!$A$4:$AO$4,0)),0)</f>
        <v>0</v>
      </c>
      <c r="AG63" s="61">
        <f>VLOOKUP($B63,'7. PGE_Efficacité'!$A$6:$CY$266,(MATCH('[3]4.4 ACE MAX SEN '!AG$4,'7. PGE_Efficacité'!$A$4:$AO$4,0)),0)</f>
        <v>0</v>
      </c>
      <c r="AH63" s="61">
        <f>VLOOKUP($B63,'7. PGE_Efficacité'!$A$6:$CY$266,(MATCH('[3]4.4 ACE MAX SEN '!AH$4,'7. PGE_Efficacité'!$A$4:$AO$4,0)),0)</f>
        <v>0</v>
      </c>
      <c r="AI63" s="61">
        <f>VLOOKUP($B63,'7. PGE_Efficacité'!$A$6:$CY$266,(MATCH('[3]4.4 ACE MAX SEN '!AI$4,'7. PGE_Efficacité'!$A$4:$AO$4,0)),0)</f>
        <v>0</v>
      </c>
      <c r="AJ63" s="61">
        <f>VLOOKUP($B63,'7. PGE_Efficacité'!$A$6:$CY$266,(MATCH('[3]4.4 ACE MAX SEN '!AJ$4,'7. PGE_Efficacité'!$A$4:$AO$4,0)),0)</f>
        <v>0</v>
      </c>
      <c r="AK63" s="61">
        <f>VLOOKUP($B63,'7. PGE_Efficacité'!$A$6:$CY$266,(MATCH('[3]4.4 ACE MAX SEN '!AK$4,'7. PGE_Efficacité'!$A$4:$AO$4,0)),0)</f>
        <v>0</v>
      </c>
    </row>
    <row r="64" spans="1:37" hidden="1" outlineLevel="3" x14ac:dyDescent="0.25">
      <c r="A64" t="s">
        <v>4</v>
      </c>
      <c r="B64" s="65" t="s">
        <v>802</v>
      </c>
      <c r="C64" s="65" t="s">
        <v>1629</v>
      </c>
      <c r="D64" s="65"/>
      <c r="E64" s="65" t="s">
        <v>415</v>
      </c>
      <c r="F64" s="73"/>
      <c r="G64" s="64">
        <f>VLOOKUP($B64,'7. PGE_Efficacité'!$A$6:$CY$266,(MATCH('[3]4.4 ACE MAX SEN '!G$4,'7. PGE_Efficacité'!$A$4:$AO$4,0)),0)</f>
        <v>0</v>
      </c>
      <c r="H64" s="64">
        <f>VLOOKUP($B64,'7. PGE_Efficacité'!$A$6:$CY$266,(MATCH('[3]4.4 ACE MAX SEN '!H$4,'7. PGE_Efficacité'!$A$4:$AO$4,0)),0)</f>
        <v>0</v>
      </c>
      <c r="I64" s="64">
        <f>VLOOKUP($B64,'7. PGE_Efficacité'!$A$6:$CY$266,(MATCH('[3]4.4 ACE MAX SEN '!I$4,'7. PGE_Efficacité'!$A$4:$AO$4,0)),0)</f>
        <v>0</v>
      </c>
      <c r="J64" s="64">
        <f>VLOOKUP($B64,'7. PGE_Efficacité'!$A$6:$CY$266,(MATCH('[3]4.4 ACE MAX SEN '!J$4,'7. PGE_Efficacité'!$A$4:$AO$4,0)),0)</f>
        <v>0</v>
      </c>
      <c r="K64" s="64">
        <f>VLOOKUP($B64,'7. PGE_Efficacité'!$A$6:$CY$266,(MATCH('[3]4.4 ACE MAX SEN '!K$4,'7. PGE_Efficacité'!$A$4:$AO$4,0)),0)</f>
        <v>0</v>
      </c>
      <c r="L64" s="64">
        <f>VLOOKUP($B64,'7. PGE_Efficacité'!$A$6:$CY$266,(MATCH('[3]4.4 ACE MAX SEN '!L$4,'7. PGE_Efficacité'!$A$4:$AO$4,0)),0)</f>
        <v>0</v>
      </c>
      <c r="M64" s="64">
        <f>VLOOKUP($B64,'7. PGE_Efficacité'!$A$6:$CY$266,(MATCH('[3]4.4 ACE MAX SEN '!M$4,'7. PGE_Efficacité'!$A$4:$AO$4,0)),0)</f>
        <v>0</v>
      </c>
      <c r="N64" s="64">
        <f>VLOOKUP($B64,'7. PGE_Efficacité'!$A$6:$CY$266,(MATCH('[3]4.4 ACE MAX SEN '!N$4,'7. PGE_Efficacité'!$A$4:$AO$4,0)),0)</f>
        <v>0</v>
      </c>
      <c r="O64" s="64">
        <f>VLOOKUP($B64,'7. PGE_Efficacité'!$A$6:$CY$266,(MATCH('[3]4.4 ACE MAX SEN '!O$4,'7. PGE_Efficacité'!$A$4:$AO$4,0)),0)</f>
        <v>0</v>
      </c>
      <c r="P64" s="64">
        <f>VLOOKUP($B64,'7. PGE_Efficacité'!$A$6:$CY$266,(MATCH('[3]4.4 ACE MAX SEN '!P$4,'7. PGE_Efficacité'!$A$4:$AO$4,0)),0)</f>
        <v>0</v>
      </c>
      <c r="Q64" s="64">
        <f>VLOOKUP($B64,'7. PGE_Efficacité'!$A$6:$CY$266,(MATCH('[3]4.4 ACE MAX SEN '!Q$4,'7. PGE_Efficacité'!$A$4:$AO$4,0)),0)</f>
        <v>0</v>
      </c>
      <c r="R64" s="64">
        <f>VLOOKUP($B64,'7. PGE_Efficacité'!$A$6:$CY$266,(MATCH('[3]4.4 ACE MAX SEN '!R$4,'7. PGE_Efficacité'!$A$4:$AO$4,0)),0)</f>
        <v>0</v>
      </c>
      <c r="S64" s="64">
        <f>VLOOKUP($B64,'7. PGE_Efficacité'!$A$6:$CY$266,(MATCH('[3]4.4 ACE MAX SEN '!S$4,'7. PGE_Efficacité'!$A$4:$AO$4,0)),0)</f>
        <v>0</v>
      </c>
      <c r="T64" s="64">
        <f>VLOOKUP($B64,'7. PGE_Efficacité'!$A$6:$CY$266,(MATCH('[3]4.4 ACE MAX SEN '!T$4,'7. PGE_Efficacité'!$A$4:$AO$4,0)),0)</f>
        <v>0</v>
      </c>
      <c r="U64" s="64">
        <f>VLOOKUP($B64,'7. PGE_Efficacité'!$A$6:$CY$266,(MATCH('[3]4.4 ACE MAX SEN '!U$4,'7. PGE_Efficacité'!$A$4:$AO$4,0)),0)</f>
        <v>0</v>
      </c>
      <c r="V64" s="64">
        <f>VLOOKUP($B64,'7. PGE_Efficacité'!$A$6:$CY$266,(MATCH('[3]4.4 ACE MAX SEN '!V$4,'7. PGE_Efficacité'!$A$4:$AO$4,0)),0)</f>
        <v>0</v>
      </c>
      <c r="W64" s="61">
        <f>VLOOKUP($B64,'7. PGE_Efficacité'!$A$6:$CY$266,(MATCH('[3]4.4 ACE MAX SEN '!W$4,'7. PGE_Efficacité'!$A$4:$AO$4,0)),0)</f>
        <v>0</v>
      </c>
      <c r="X64" s="61">
        <f>VLOOKUP($B64,'7. PGE_Efficacité'!$A$6:$CY$266,(MATCH('[3]4.4 ACE MAX SEN '!X$4,'7. PGE_Efficacité'!$A$4:$AO$4,0)),0)</f>
        <v>0</v>
      </c>
      <c r="Y64" s="61">
        <f>VLOOKUP($B64,'7. PGE_Efficacité'!$A$6:$CY$266,(MATCH('[3]4.4 ACE MAX SEN '!Y$4,'7. PGE_Efficacité'!$A$4:$AO$4,0)),0)</f>
        <v>0</v>
      </c>
      <c r="Z64" s="61">
        <f>VLOOKUP($B64,'7. PGE_Efficacité'!$A$6:$CY$266,(MATCH('[3]4.4 ACE MAX SEN '!Z$4,'7. PGE_Efficacité'!$A$4:$AO$4,0)),0)</f>
        <v>0</v>
      </c>
      <c r="AA64" s="61">
        <f>VLOOKUP($B64,'7. PGE_Efficacité'!$A$6:$CY$266,(MATCH('[3]4.4 ACE MAX SEN '!AA$4,'7. PGE_Efficacité'!$A$4:$AO$4,0)),0)</f>
        <v>0</v>
      </c>
      <c r="AB64" s="61">
        <f>VLOOKUP($B64,'7. PGE_Efficacité'!$A$6:$CY$266,(MATCH('[3]4.4 ACE MAX SEN '!AB$4,'7. PGE_Efficacité'!$A$4:$AO$4,0)),0)</f>
        <v>0</v>
      </c>
      <c r="AC64" s="61">
        <f>VLOOKUP($B64,'7. PGE_Efficacité'!$A$6:$CY$266,(MATCH('[3]4.4 ACE MAX SEN '!AC$4,'7. PGE_Efficacité'!$A$4:$AO$4,0)),0)</f>
        <v>0</v>
      </c>
      <c r="AD64" s="61">
        <f>VLOOKUP($B64,'7. PGE_Efficacité'!$A$6:$CY$266,(MATCH('[3]4.4 ACE MAX SEN '!AD$4,'7. PGE_Efficacité'!$A$4:$AO$4,0)),0)</f>
        <v>0</v>
      </c>
      <c r="AE64" s="61">
        <f>VLOOKUP($B64,'7. PGE_Efficacité'!$A$6:$CY$266,(MATCH('[3]4.4 ACE MAX SEN '!AE$4,'7. PGE_Efficacité'!$A$4:$AO$4,0)),0)</f>
        <v>0</v>
      </c>
      <c r="AF64" s="61">
        <f>VLOOKUP($B64,'7. PGE_Efficacité'!$A$6:$CY$266,(MATCH('[3]4.4 ACE MAX SEN '!AF$4,'7. PGE_Efficacité'!$A$4:$AO$4,0)),0)</f>
        <v>0</v>
      </c>
      <c r="AG64" s="61">
        <f>VLOOKUP($B64,'7. PGE_Efficacité'!$A$6:$CY$266,(MATCH('[3]4.4 ACE MAX SEN '!AG$4,'7. PGE_Efficacité'!$A$4:$AO$4,0)),0)</f>
        <v>0</v>
      </c>
      <c r="AH64" s="61">
        <f>VLOOKUP($B64,'7. PGE_Efficacité'!$A$6:$CY$266,(MATCH('[3]4.4 ACE MAX SEN '!AH$4,'7. PGE_Efficacité'!$A$4:$AO$4,0)),0)</f>
        <v>0</v>
      </c>
      <c r="AI64" s="61">
        <f>VLOOKUP($B64,'7. PGE_Efficacité'!$A$6:$CY$266,(MATCH('[3]4.4 ACE MAX SEN '!AI$4,'7. PGE_Efficacité'!$A$4:$AO$4,0)),0)</f>
        <v>0</v>
      </c>
      <c r="AJ64" s="61">
        <f>VLOOKUP($B64,'7. PGE_Efficacité'!$A$6:$CY$266,(MATCH('[3]4.4 ACE MAX SEN '!AJ$4,'7. PGE_Efficacité'!$A$4:$AO$4,0)),0)</f>
        <v>0</v>
      </c>
      <c r="AK64" s="61">
        <f>VLOOKUP($B64,'7. PGE_Efficacité'!$A$6:$CY$266,(MATCH('[3]4.4 ACE MAX SEN '!AK$4,'7. PGE_Efficacité'!$A$4:$AO$4,0)),0)</f>
        <v>0</v>
      </c>
    </row>
    <row r="65" spans="1:37" hidden="1" outlineLevel="3" x14ac:dyDescent="0.25">
      <c r="A65" t="s">
        <v>4</v>
      </c>
      <c r="B65" s="65" t="s">
        <v>803</v>
      </c>
      <c r="C65" s="65" t="s">
        <v>1630</v>
      </c>
      <c r="D65" s="65"/>
      <c r="E65" s="65" t="s">
        <v>415</v>
      </c>
      <c r="F65" s="73"/>
      <c r="G65" s="64">
        <f>VLOOKUP($B65,'7. PGE_Efficacité'!$A$6:$CY$266,(MATCH('[3]4.4 ACE MAX SEN '!G$4,'7. PGE_Efficacité'!$A$4:$AO$4,0)),0)</f>
        <v>0</v>
      </c>
      <c r="H65" s="64">
        <f>VLOOKUP($B65,'7. PGE_Efficacité'!$A$6:$CY$266,(MATCH('[3]4.4 ACE MAX SEN '!H$4,'7. PGE_Efficacité'!$A$4:$AO$4,0)),0)</f>
        <v>0</v>
      </c>
      <c r="I65" s="64">
        <f>VLOOKUP($B65,'7. PGE_Efficacité'!$A$6:$CY$266,(MATCH('[3]4.4 ACE MAX SEN '!I$4,'7. PGE_Efficacité'!$A$4:$AO$4,0)),0)</f>
        <v>0</v>
      </c>
      <c r="J65" s="64">
        <f>VLOOKUP($B65,'7. PGE_Efficacité'!$A$6:$CY$266,(MATCH('[3]4.4 ACE MAX SEN '!J$4,'7. PGE_Efficacité'!$A$4:$AO$4,0)),0)</f>
        <v>0</v>
      </c>
      <c r="K65" s="64">
        <f>VLOOKUP($B65,'7. PGE_Efficacité'!$A$6:$CY$266,(MATCH('[3]4.4 ACE MAX SEN '!K$4,'7. PGE_Efficacité'!$A$4:$AO$4,0)),0)</f>
        <v>0</v>
      </c>
      <c r="L65" s="64">
        <f>VLOOKUP($B65,'7. PGE_Efficacité'!$A$6:$CY$266,(MATCH('[3]4.4 ACE MAX SEN '!L$4,'7. PGE_Efficacité'!$A$4:$AO$4,0)),0)</f>
        <v>0</v>
      </c>
      <c r="M65" s="64">
        <f>VLOOKUP($B65,'7. PGE_Efficacité'!$A$6:$CY$266,(MATCH('[3]4.4 ACE MAX SEN '!M$4,'7. PGE_Efficacité'!$A$4:$AO$4,0)),0)</f>
        <v>0</v>
      </c>
      <c r="N65" s="64">
        <f>VLOOKUP($B65,'7. PGE_Efficacité'!$A$6:$CY$266,(MATCH('[3]4.4 ACE MAX SEN '!N$4,'7. PGE_Efficacité'!$A$4:$AO$4,0)),0)</f>
        <v>0</v>
      </c>
      <c r="O65" s="64">
        <f>VLOOKUP($B65,'7. PGE_Efficacité'!$A$6:$CY$266,(MATCH('[3]4.4 ACE MAX SEN '!O$4,'7. PGE_Efficacité'!$A$4:$AO$4,0)),0)</f>
        <v>0</v>
      </c>
      <c r="P65" s="64">
        <f>VLOOKUP($B65,'7. PGE_Efficacité'!$A$6:$CY$266,(MATCH('[3]4.4 ACE MAX SEN '!P$4,'7. PGE_Efficacité'!$A$4:$AO$4,0)),0)</f>
        <v>0</v>
      </c>
      <c r="Q65" s="64">
        <f>VLOOKUP($B65,'7. PGE_Efficacité'!$A$6:$CY$266,(MATCH('[3]4.4 ACE MAX SEN '!Q$4,'7. PGE_Efficacité'!$A$4:$AO$4,0)),0)</f>
        <v>0</v>
      </c>
      <c r="R65" s="64">
        <f>VLOOKUP($B65,'7. PGE_Efficacité'!$A$6:$CY$266,(MATCH('[3]4.4 ACE MAX SEN '!R$4,'7. PGE_Efficacité'!$A$4:$AO$4,0)),0)</f>
        <v>0</v>
      </c>
      <c r="S65" s="64">
        <f>VLOOKUP($B65,'7. PGE_Efficacité'!$A$6:$CY$266,(MATCH('[3]4.4 ACE MAX SEN '!S$4,'7. PGE_Efficacité'!$A$4:$AO$4,0)),0)</f>
        <v>0</v>
      </c>
      <c r="T65" s="64">
        <f>VLOOKUP($B65,'7. PGE_Efficacité'!$A$6:$CY$266,(MATCH('[3]4.4 ACE MAX SEN '!T$4,'7. PGE_Efficacité'!$A$4:$AO$4,0)),0)</f>
        <v>0</v>
      </c>
      <c r="U65" s="64">
        <f>VLOOKUP($B65,'7. PGE_Efficacité'!$A$6:$CY$266,(MATCH('[3]4.4 ACE MAX SEN '!U$4,'7. PGE_Efficacité'!$A$4:$AO$4,0)),0)</f>
        <v>0</v>
      </c>
      <c r="V65" s="64">
        <f>VLOOKUP($B65,'7. PGE_Efficacité'!$A$6:$CY$266,(MATCH('[3]4.4 ACE MAX SEN '!V$4,'7. PGE_Efficacité'!$A$4:$AO$4,0)),0)</f>
        <v>0</v>
      </c>
      <c r="W65" s="61">
        <f>VLOOKUP($B65,'7. PGE_Efficacité'!$A$6:$CY$266,(MATCH('[3]4.4 ACE MAX SEN '!W$4,'7. PGE_Efficacité'!$A$4:$AO$4,0)),0)</f>
        <v>0</v>
      </c>
      <c r="X65" s="61">
        <f>VLOOKUP($B65,'7. PGE_Efficacité'!$A$6:$CY$266,(MATCH('[3]4.4 ACE MAX SEN '!X$4,'7. PGE_Efficacité'!$A$4:$AO$4,0)),0)</f>
        <v>0</v>
      </c>
      <c r="Y65" s="61">
        <f>VLOOKUP($B65,'7. PGE_Efficacité'!$A$6:$CY$266,(MATCH('[3]4.4 ACE MAX SEN '!Y$4,'7. PGE_Efficacité'!$A$4:$AO$4,0)),0)</f>
        <v>0</v>
      </c>
      <c r="Z65" s="61">
        <f>VLOOKUP($B65,'7. PGE_Efficacité'!$A$6:$CY$266,(MATCH('[3]4.4 ACE MAX SEN '!Z$4,'7. PGE_Efficacité'!$A$4:$AO$4,0)),0)</f>
        <v>0</v>
      </c>
      <c r="AA65" s="61">
        <f>VLOOKUP($B65,'7. PGE_Efficacité'!$A$6:$CY$266,(MATCH('[3]4.4 ACE MAX SEN '!AA$4,'7. PGE_Efficacité'!$A$4:$AO$4,0)),0)</f>
        <v>0</v>
      </c>
      <c r="AB65" s="61">
        <f>VLOOKUP($B65,'7. PGE_Efficacité'!$A$6:$CY$266,(MATCH('[3]4.4 ACE MAX SEN '!AB$4,'7. PGE_Efficacité'!$A$4:$AO$4,0)),0)</f>
        <v>0</v>
      </c>
      <c r="AC65" s="61">
        <f>VLOOKUP($B65,'7. PGE_Efficacité'!$A$6:$CY$266,(MATCH('[3]4.4 ACE MAX SEN '!AC$4,'7. PGE_Efficacité'!$A$4:$AO$4,0)),0)</f>
        <v>0</v>
      </c>
      <c r="AD65" s="61">
        <f>VLOOKUP($B65,'7. PGE_Efficacité'!$A$6:$CY$266,(MATCH('[3]4.4 ACE MAX SEN '!AD$4,'7. PGE_Efficacité'!$A$4:$AO$4,0)),0)</f>
        <v>0</v>
      </c>
      <c r="AE65" s="61">
        <f>VLOOKUP($B65,'7. PGE_Efficacité'!$A$6:$CY$266,(MATCH('[3]4.4 ACE MAX SEN '!AE$4,'7. PGE_Efficacité'!$A$4:$AO$4,0)),0)</f>
        <v>0</v>
      </c>
      <c r="AF65" s="61">
        <f>VLOOKUP($B65,'7. PGE_Efficacité'!$A$6:$CY$266,(MATCH('[3]4.4 ACE MAX SEN '!AF$4,'7. PGE_Efficacité'!$A$4:$AO$4,0)),0)</f>
        <v>0</v>
      </c>
      <c r="AG65" s="61">
        <f>VLOOKUP($B65,'7. PGE_Efficacité'!$A$6:$CY$266,(MATCH('[3]4.4 ACE MAX SEN '!AG$4,'7. PGE_Efficacité'!$A$4:$AO$4,0)),0)</f>
        <v>0</v>
      </c>
      <c r="AH65" s="61">
        <f>VLOOKUP($B65,'7. PGE_Efficacité'!$A$6:$CY$266,(MATCH('[3]4.4 ACE MAX SEN '!AH$4,'7. PGE_Efficacité'!$A$4:$AO$4,0)),0)</f>
        <v>0</v>
      </c>
      <c r="AI65" s="61">
        <f>VLOOKUP($B65,'7. PGE_Efficacité'!$A$6:$CY$266,(MATCH('[3]4.4 ACE MAX SEN '!AI$4,'7. PGE_Efficacité'!$A$4:$AO$4,0)),0)</f>
        <v>0</v>
      </c>
      <c r="AJ65" s="61">
        <f>VLOOKUP($B65,'7. PGE_Efficacité'!$A$6:$CY$266,(MATCH('[3]4.4 ACE MAX SEN '!AJ$4,'7. PGE_Efficacité'!$A$4:$AO$4,0)),0)</f>
        <v>0</v>
      </c>
      <c r="AK65" s="61">
        <f>VLOOKUP($B65,'7. PGE_Efficacité'!$A$6:$CY$266,(MATCH('[3]4.4 ACE MAX SEN '!AK$4,'7. PGE_Efficacité'!$A$4:$AO$4,0)),0)</f>
        <v>0</v>
      </c>
    </row>
    <row r="66" spans="1:37" hidden="1" outlineLevel="3" x14ac:dyDescent="0.25">
      <c r="A66" t="s">
        <v>4</v>
      </c>
      <c r="B66" s="65" t="s">
        <v>804</v>
      </c>
      <c r="C66" s="65" t="s">
        <v>1631</v>
      </c>
      <c r="D66" s="65"/>
      <c r="E66" s="65" t="s">
        <v>415</v>
      </c>
      <c r="F66" s="73"/>
      <c r="G66" s="64">
        <f>VLOOKUP($B66,'7. PGE_Efficacité'!$A$6:$CY$266,(MATCH('[3]4.4 ACE MAX SEN '!G$4,'7. PGE_Efficacité'!$A$4:$AO$4,0)),0)</f>
        <v>0</v>
      </c>
      <c r="H66" s="64">
        <f>VLOOKUP($B66,'7. PGE_Efficacité'!$A$6:$CY$266,(MATCH('[3]4.4 ACE MAX SEN '!H$4,'7. PGE_Efficacité'!$A$4:$AO$4,0)),0)</f>
        <v>0</v>
      </c>
      <c r="I66" s="64">
        <f>VLOOKUP($B66,'7. PGE_Efficacité'!$A$6:$CY$266,(MATCH('[3]4.4 ACE MAX SEN '!I$4,'7. PGE_Efficacité'!$A$4:$AO$4,0)),0)</f>
        <v>0</v>
      </c>
      <c r="J66" s="64">
        <f>VLOOKUP($B66,'7. PGE_Efficacité'!$A$6:$CY$266,(MATCH('[3]4.4 ACE MAX SEN '!J$4,'7. PGE_Efficacité'!$A$4:$AO$4,0)),0)</f>
        <v>0</v>
      </c>
      <c r="K66" s="64">
        <f>VLOOKUP($B66,'7. PGE_Efficacité'!$A$6:$CY$266,(MATCH('[3]4.4 ACE MAX SEN '!K$4,'7. PGE_Efficacité'!$A$4:$AO$4,0)),0)</f>
        <v>0</v>
      </c>
      <c r="L66" s="64">
        <f>VLOOKUP($B66,'7. PGE_Efficacité'!$A$6:$CY$266,(MATCH('[3]4.4 ACE MAX SEN '!L$4,'7. PGE_Efficacité'!$A$4:$AO$4,0)),0)</f>
        <v>0</v>
      </c>
      <c r="M66" s="64">
        <f>VLOOKUP($B66,'7. PGE_Efficacité'!$A$6:$CY$266,(MATCH('[3]4.4 ACE MAX SEN '!M$4,'7. PGE_Efficacité'!$A$4:$AO$4,0)),0)</f>
        <v>0</v>
      </c>
      <c r="N66" s="64">
        <f>VLOOKUP($B66,'7. PGE_Efficacité'!$A$6:$CY$266,(MATCH('[3]4.4 ACE MAX SEN '!N$4,'7. PGE_Efficacité'!$A$4:$AO$4,0)),0)</f>
        <v>0</v>
      </c>
      <c r="O66" s="64">
        <f>VLOOKUP($B66,'7. PGE_Efficacité'!$A$6:$CY$266,(MATCH('[3]4.4 ACE MAX SEN '!O$4,'7. PGE_Efficacité'!$A$4:$AO$4,0)),0)</f>
        <v>0</v>
      </c>
      <c r="P66" s="64">
        <f>VLOOKUP($B66,'7. PGE_Efficacité'!$A$6:$CY$266,(MATCH('[3]4.4 ACE MAX SEN '!P$4,'7. PGE_Efficacité'!$A$4:$AO$4,0)),0)</f>
        <v>0</v>
      </c>
      <c r="Q66" s="64">
        <f>VLOOKUP($B66,'7. PGE_Efficacité'!$A$6:$CY$266,(MATCH('[3]4.4 ACE MAX SEN '!Q$4,'7. PGE_Efficacité'!$A$4:$AO$4,0)),0)</f>
        <v>0</v>
      </c>
      <c r="R66" s="64">
        <f>VLOOKUP($B66,'7. PGE_Efficacité'!$A$6:$CY$266,(MATCH('[3]4.4 ACE MAX SEN '!R$4,'7. PGE_Efficacité'!$A$4:$AO$4,0)),0)</f>
        <v>0</v>
      </c>
      <c r="S66" s="64">
        <f>VLOOKUP($B66,'7. PGE_Efficacité'!$A$6:$CY$266,(MATCH('[3]4.4 ACE MAX SEN '!S$4,'7. PGE_Efficacité'!$A$4:$AO$4,0)),0)</f>
        <v>0</v>
      </c>
      <c r="T66" s="64">
        <f>VLOOKUP($B66,'7. PGE_Efficacité'!$A$6:$CY$266,(MATCH('[3]4.4 ACE MAX SEN '!T$4,'7. PGE_Efficacité'!$A$4:$AO$4,0)),0)</f>
        <v>0</v>
      </c>
      <c r="U66" s="64">
        <f>VLOOKUP($B66,'7. PGE_Efficacité'!$A$6:$CY$266,(MATCH('[3]4.4 ACE MAX SEN '!U$4,'7. PGE_Efficacité'!$A$4:$AO$4,0)),0)</f>
        <v>0</v>
      </c>
      <c r="V66" s="64">
        <f>VLOOKUP($B66,'7. PGE_Efficacité'!$A$6:$CY$266,(MATCH('[3]4.4 ACE MAX SEN '!V$4,'7. PGE_Efficacité'!$A$4:$AO$4,0)),0)</f>
        <v>0</v>
      </c>
      <c r="W66" s="61">
        <f>VLOOKUP($B66,'7. PGE_Efficacité'!$A$6:$CY$266,(MATCH('[3]4.4 ACE MAX SEN '!W$4,'7. PGE_Efficacité'!$A$4:$AO$4,0)),0)</f>
        <v>0</v>
      </c>
      <c r="X66" s="61">
        <f>VLOOKUP($B66,'7. PGE_Efficacité'!$A$6:$CY$266,(MATCH('[3]4.4 ACE MAX SEN '!X$4,'7. PGE_Efficacité'!$A$4:$AO$4,0)),0)</f>
        <v>0</v>
      </c>
      <c r="Y66" s="61">
        <f>VLOOKUP($B66,'7. PGE_Efficacité'!$A$6:$CY$266,(MATCH('[3]4.4 ACE MAX SEN '!Y$4,'7. PGE_Efficacité'!$A$4:$AO$4,0)),0)</f>
        <v>0</v>
      </c>
      <c r="Z66" s="61">
        <f>VLOOKUP($B66,'7. PGE_Efficacité'!$A$6:$CY$266,(MATCH('[3]4.4 ACE MAX SEN '!Z$4,'7. PGE_Efficacité'!$A$4:$AO$4,0)),0)</f>
        <v>0</v>
      </c>
      <c r="AA66" s="61">
        <f>VLOOKUP($B66,'7. PGE_Efficacité'!$A$6:$CY$266,(MATCH('[3]4.4 ACE MAX SEN '!AA$4,'7. PGE_Efficacité'!$A$4:$AO$4,0)),0)</f>
        <v>0</v>
      </c>
      <c r="AB66" s="61">
        <f>VLOOKUP($B66,'7. PGE_Efficacité'!$A$6:$CY$266,(MATCH('[3]4.4 ACE MAX SEN '!AB$4,'7. PGE_Efficacité'!$A$4:$AO$4,0)),0)</f>
        <v>0</v>
      </c>
      <c r="AC66" s="61">
        <f>VLOOKUP($B66,'7. PGE_Efficacité'!$A$6:$CY$266,(MATCH('[3]4.4 ACE MAX SEN '!AC$4,'7. PGE_Efficacité'!$A$4:$AO$4,0)),0)</f>
        <v>0</v>
      </c>
      <c r="AD66" s="61">
        <f>VLOOKUP($B66,'7. PGE_Efficacité'!$A$6:$CY$266,(MATCH('[3]4.4 ACE MAX SEN '!AD$4,'7. PGE_Efficacité'!$A$4:$AO$4,0)),0)</f>
        <v>0</v>
      </c>
      <c r="AE66" s="61">
        <f>VLOOKUP($B66,'7. PGE_Efficacité'!$A$6:$CY$266,(MATCH('[3]4.4 ACE MAX SEN '!AE$4,'7. PGE_Efficacité'!$A$4:$AO$4,0)),0)</f>
        <v>0</v>
      </c>
      <c r="AF66" s="61">
        <f>VLOOKUP($B66,'7. PGE_Efficacité'!$A$6:$CY$266,(MATCH('[3]4.4 ACE MAX SEN '!AF$4,'7. PGE_Efficacité'!$A$4:$AO$4,0)),0)</f>
        <v>0</v>
      </c>
      <c r="AG66" s="61">
        <f>VLOOKUP($B66,'7. PGE_Efficacité'!$A$6:$CY$266,(MATCH('[3]4.4 ACE MAX SEN '!AG$4,'7. PGE_Efficacité'!$A$4:$AO$4,0)),0)</f>
        <v>0</v>
      </c>
      <c r="AH66" s="61">
        <f>VLOOKUP($B66,'7. PGE_Efficacité'!$A$6:$CY$266,(MATCH('[3]4.4 ACE MAX SEN '!AH$4,'7. PGE_Efficacité'!$A$4:$AO$4,0)),0)</f>
        <v>0</v>
      </c>
      <c r="AI66" s="61">
        <f>VLOOKUP($B66,'7. PGE_Efficacité'!$A$6:$CY$266,(MATCH('[3]4.4 ACE MAX SEN '!AI$4,'7. PGE_Efficacité'!$A$4:$AO$4,0)),0)</f>
        <v>0</v>
      </c>
      <c r="AJ66" s="61">
        <f>VLOOKUP($B66,'7. PGE_Efficacité'!$A$6:$CY$266,(MATCH('[3]4.4 ACE MAX SEN '!AJ$4,'7. PGE_Efficacité'!$A$4:$AO$4,0)),0)</f>
        <v>0</v>
      </c>
      <c r="AK66" s="61">
        <f>VLOOKUP($B66,'7. PGE_Efficacité'!$A$6:$CY$266,(MATCH('[3]4.4 ACE MAX SEN '!AK$4,'7. PGE_Efficacité'!$A$4:$AO$4,0)),0)</f>
        <v>0</v>
      </c>
    </row>
    <row r="67" spans="1:37" hidden="1" outlineLevel="3" x14ac:dyDescent="0.25">
      <c r="A67" t="s">
        <v>4</v>
      </c>
      <c r="B67" s="65" t="s">
        <v>805</v>
      </c>
      <c r="C67" s="65" t="s">
        <v>1632</v>
      </c>
      <c r="D67" s="65"/>
      <c r="E67" s="65" t="s">
        <v>415</v>
      </c>
      <c r="F67" s="73"/>
      <c r="G67" s="64">
        <f>VLOOKUP($B67,'7. PGE_Efficacité'!$A$6:$CY$266,(MATCH('[3]4.4 ACE MAX SEN '!G$4,'7. PGE_Efficacité'!$A$4:$AO$4,0)),0)</f>
        <v>0</v>
      </c>
      <c r="H67" s="64">
        <f>VLOOKUP($B67,'7. PGE_Efficacité'!$A$6:$CY$266,(MATCH('[3]4.4 ACE MAX SEN '!H$4,'7. PGE_Efficacité'!$A$4:$AO$4,0)),0)</f>
        <v>0</v>
      </c>
      <c r="I67" s="64">
        <f>VLOOKUP($B67,'7. PGE_Efficacité'!$A$6:$CY$266,(MATCH('[3]4.4 ACE MAX SEN '!I$4,'7. PGE_Efficacité'!$A$4:$AO$4,0)),0)</f>
        <v>0</v>
      </c>
      <c r="J67" s="64">
        <f>VLOOKUP($B67,'7. PGE_Efficacité'!$A$6:$CY$266,(MATCH('[3]4.4 ACE MAX SEN '!J$4,'7. PGE_Efficacité'!$A$4:$AO$4,0)),0)</f>
        <v>0</v>
      </c>
      <c r="K67" s="64">
        <f>VLOOKUP($B67,'7. PGE_Efficacité'!$A$6:$CY$266,(MATCH('[3]4.4 ACE MAX SEN '!K$4,'7. PGE_Efficacité'!$A$4:$AO$4,0)),0)</f>
        <v>0</v>
      </c>
      <c r="L67" s="64">
        <f>VLOOKUP($B67,'7. PGE_Efficacité'!$A$6:$CY$266,(MATCH('[3]4.4 ACE MAX SEN '!L$4,'7. PGE_Efficacité'!$A$4:$AO$4,0)),0)</f>
        <v>0</v>
      </c>
      <c r="M67" s="64">
        <f>VLOOKUP($B67,'7. PGE_Efficacité'!$A$6:$CY$266,(MATCH('[3]4.4 ACE MAX SEN '!M$4,'7. PGE_Efficacité'!$A$4:$AO$4,0)),0)</f>
        <v>0</v>
      </c>
      <c r="N67" s="64">
        <f>VLOOKUP($B67,'7. PGE_Efficacité'!$A$6:$CY$266,(MATCH('[3]4.4 ACE MAX SEN '!N$4,'7. PGE_Efficacité'!$A$4:$AO$4,0)),0)</f>
        <v>0</v>
      </c>
      <c r="O67" s="64">
        <f>VLOOKUP($B67,'7. PGE_Efficacité'!$A$6:$CY$266,(MATCH('[3]4.4 ACE MAX SEN '!O$4,'7. PGE_Efficacité'!$A$4:$AO$4,0)),0)</f>
        <v>0</v>
      </c>
      <c r="P67" s="64">
        <f>VLOOKUP($B67,'7. PGE_Efficacité'!$A$6:$CY$266,(MATCH('[3]4.4 ACE MAX SEN '!P$4,'7. PGE_Efficacité'!$A$4:$AO$4,0)),0)</f>
        <v>0</v>
      </c>
      <c r="Q67" s="64">
        <f>VLOOKUP($B67,'7. PGE_Efficacité'!$A$6:$CY$266,(MATCH('[3]4.4 ACE MAX SEN '!Q$4,'7. PGE_Efficacité'!$A$4:$AO$4,0)),0)</f>
        <v>0</v>
      </c>
      <c r="R67" s="64">
        <f>VLOOKUP($B67,'7. PGE_Efficacité'!$A$6:$CY$266,(MATCH('[3]4.4 ACE MAX SEN '!R$4,'7. PGE_Efficacité'!$A$4:$AO$4,0)),0)</f>
        <v>0</v>
      </c>
      <c r="S67" s="64">
        <f>VLOOKUP($B67,'7. PGE_Efficacité'!$A$6:$CY$266,(MATCH('[3]4.4 ACE MAX SEN '!S$4,'7. PGE_Efficacité'!$A$4:$AO$4,0)),0)</f>
        <v>0</v>
      </c>
      <c r="T67" s="64">
        <f>VLOOKUP($B67,'7. PGE_Efficacité'!$A$6:$CY$266,(MATCH('[3]4.4 ACE MAX SEN '!T$4,'7. PGE_Efficacité'!$A$4:$AO$4,0)),0)</f>
        <v>0</v>
      </c>
      <c r="U67" s="64">
        <f>VLOOKUP($B67,'7. PGE_Efficacité'!$A$6:$CY$266,(MATCH('[3]4.4 ACE MAX SEN '!U$4,'7. PGE_Efficacité'!$A$4:$AO$4,0)),0)</f>
        <v>0</v>
      </c>
      <c r="V67" s="64">
        <f>VLOOKUP($B67,'7. PGE_Efficacité'!$A$6:$CY$266,(MATCH('[3]4.4 ACE MAX SEN '!V$4,'7. PGE_Efficacité'!$A$4:$AO$4,0)),0)</f>
        <v>0</v>
      </c>
      <c r="W67" s="61">
        <f>VLOOKUP($B67,'7. PGE_Efficacité'!$A$6:$CY$266,(MATCH('[3]4.4 ACE MAX SEN '!W$4,'7. PGE_Efficacité'!$A$4:$AO$4,0)),0)</f>
        <v>0</v>
      </c>
      <c r="X67" s="61">
        <f>VLOOKUP($B67,'7. PGE_Efficacité'!$A$6:$CY$266,(MATCH('[3]4.4 ACE MAX SEN '!X$4,'7. PGE_Efficacité'!$A$4:$AO$4,0)),0)</f>
        <v>0</v>
      </c>
      <c r="Y67" s="61">
        <f>VLOOKUP($B67,'7. PGE_Efficacité'!$A$6:$CY$266,(MATCH('[3]4.4 ACE MAX SEN '!Y$4,'7. PGE_Efficacité'!$A$4:$AO$4,0)),0)</f>
        <v>0</v>
      </c>
      <c r="Z67" s="61">
        <f>VLOOKUP($B67,'7. PGE_Efficacité'!$A$6:$CY$266,(MATCH('[3]4.4 ACE MAX SEN '!Z$4,'7. PGE_Efficacité'!$A$4:$AO$4,0)),0)</f>
        <v>0</v>
      </c>
      <c r="AA67" s="61">
        <f>VLOOKUP($B67,'7. PGE_Efficacité'!$A$6:$CY$266,(MATCH('[3]4.4 ACE MAX SEN '!AA$4,'7. PGE_Efficacité'!$A$4:$AO$4,0)),0)</f>
        <v>0</v>
      </c>
      <c r="AB67" s="61">
        <f>VLOOKUP($B67,'7. PGE_Efficacité'!$A$6:$CY$266,(MATCH('[3]4.4 ACE MAX SEN '!AB$4,'7. PGE_Efficacité'!$A$4:$AO$4,0)),0)</f>
        <v>0</v>
      </c>
      <c r="AC67" s="61">
        <f>VLOOKUP($B67,'7. PGE_Efficacité'!$A$6:$CY$266,(MATCH('[3]4.4 ACE MAX SEN '!AC$4,'7. PGE_Efficacité'!$A$4:$AO$4,0)),0)</f>
        <v>0</v>
      </c>
      <c r="AD67" s="61">
        <f>VLOOKUP($B67,'7. PGE_Efficacité'!$A$6:$CY$266,(MATCH('[3]4.4 ACE MAX SEN '!AD$4,'7. PGE_Efficacité'!$A$4:$AO$4,0)),0)</f>
        <v>0</v>
      </c>
      <c r="AE67" s="61">
        <f>VLOOKUP($B67,'7. PGE_Efficacité'!$A$6:$CY$266,(MATCH('[3]4.4 ACE MAX SEN '!AE$4,'7. PGE_Efficacité'!$A$4:$AO$4,0)),0)</f>
        <v>0</v>
      </c>
      <c r="AF67" s="61">
        <f>VLOOKUP($B67,'7. PGE_Efficacité'!$A$6:$CY$266,(MATCH('[3]4.4 ACE MAX SEN '!AF$4,'7. PGE_Efficacité'!$A$4:$AO$4,0)),0)</f>
        <v>0</v>
      </c>
      <c r="AG67" s="61">
        <f>VLOOKUP($B67,'7. PGE_Efficacité'!$A$6:$CY$266,(MATCH('[3]4.4 ACE MAX SEN '!AG$4,'7. PGE_Efficacité'!$A$4:$AO$4,0)),0)</f>
        <v>0</v>
      </c>
      <c r="AH67" s="61">
        <f>VLOOKUP($B67,'7. PGE_Efficacité'!$A$6:$CY$266,(MATCH('[3]4.4 ACE MAX SEN '!AH$4,'7. PGE_Efficacité'!$A$4:$AO$4,0)),0)</f>
        <v>0</v>
      </c>
      <c r="AI67" s="61">
        <f>VLOOKUP($B67,'7. PGE_Efficacité'!$A$6:$CY$266,(MATCH('[3]4.4 ACE MAX SEN '!AI$4,'7. PGE_Efficacité'!$A$4:$AO$4,0)),0)</f>
        <v>0</v>
      </c>
      <c r="AJ67" s="61">
        <f>VLOOKUP($B67,'7. PGE_Efficacité'!$A$6:$CY$266,(MATCH('[3]4.4 ACE MAX SEN '!AJ$4,'7. PGE_Efficacité'!$A$4:$AO$4,0)),0)</f>
        <v>0</v>
      </c>
      <c r="AK67" s="61">
        <f>VLOOKUP($B67,'7. PGE_Efficacité'!$A$6:$CY$266,(MATCH('[3]4.4 ACE MAX SEN '!AK$4,'7. PGE_Efficacité'!$A$4:$AO$4,0)),0)</f>
        <v>0</v>
      </c>
    </row>
    <row r="68" spans="1:37" hidden="1" outlineLevel="3" x14ac:dyDescent="0.25">
      <c r="A68" t="s">
        <v>4</v>
      </c>
      <c r="B68" s="65" t="s">
        <v>806</v>
      </c>
      <c r="C68" s="65" t="s">
        <v>1633</v>
      </c>
      <c r="D68" s="65"/>
      <c r="E68" s="65" t="s">
        <v>414</v>
      </c>
      <c r="F68" s="73"/>
      <c r="G68" s="64">
        <f>VLOOKUP($B68,'7. PGE_Efficacité'!$A$6:$CY$266,(MATCH('[3]4.4 ACE MAX SEN '!G$4,'7. PGE_Efficacité'!$A$4:$AO$4,0)),0)</f>
        <v>0</v>
      </c>
      <c r="H68" s="64">
        <f>VLOOKUP($B68,'7. PGE_Efficacité'!$A$6:$CY$266,(MATCH('[3]4.4 ACE MAX SEN '!H$4,'7. PGE_Efficacité'!$A$4:$AO$4,0)),0)</f>
        <v>0</v>
      </c>
      <c r="I68" s="64">
        <f>VLOOKUP($B68,'7. PGE_Efficacité'!$A$6:$CY$266,(MATCH('[3]4.4 ACE MAX SEN '!I$4,'7. PGE_Efficacité'!$A$4:$AO$4,0)),0)</f>
        <v>0</v>
      </c>
      <c r="J68" s="64">
        <f>VLOOKUP($B68,'7. PGE_Efficacité'!$A$6:$CY$266,(MATCH('[3]4.4 ACE MAX SEN '!J$4,'7. PGE_Efficacité'!$A$4:$AO$4,0)),0)</f>
        <v>0</v>
      </c>
      <c r="K68" s="64">
        <f>VLOOKUP($B68,'7. PGE_Efficacité'!$A$6:$CY$266,(MATCH('[3]4.4 ACE MAX SEN '!K$4,'7. PGE_Efficacité'!$A$4:$AO$4,0)),0)</f>
        <v>0</v>
      </c>
      <c r="L68" s="64">
        <f>VLOOKUP($B68,'7. PGE_Efficacité'!$A$6:$CY$266,(MATCH('[3]4.4 ACE MAX SEN '!L$4,'7. PGE_Efficacité'!$A$4:$AO$4,0)),0)</f>
        <v>0</v>
      </c>
      <c r="M68" s="64">
        <f>VLOOKUP($B68,'7. PGE_Efficacité'!$A$6:$CY$266,(MATCH('[3]4.4 ACE MAX SEN '!M$4,'7. PGE_Efficacité'!$A$4:$AO$4,0)),0)</f>
        <v>0</v>
      </c>
      <c r="N68" s="64">
        <f>VLOOKUP($B68,'7. PGE_Efficacité'!$A$6:$CY$266,(MATCH('[3]4.4 ACE MAX SEN '!N$4,'7. PGE_Efficacité'!$A$4:$AO$4,0)),0)</f>
        <v>0</v>
      </c>
      <c r="O68" s="64">
        <f>VLOOKUP($B68,'7. PGE_Efficacité'!$A$6:$CY$266,(MATCH('[3]4.4 ACE MAX SEN '!O$4,'7. PGE_Efficacité'!$A$4:$AO$4,0)),0)</f>
        <v>0</v>
      </c>
      <c r="P68" s="64">
        <f>VLOOKUP($B68,'7. PGE_Efficacité'!$A$6:$CY$266,(MATCH('[3]4.4 ACE MAX SEN '!P$4,'7. PGE_Efficacité'!$A$4:$AO$4,0)),0)</f>
        <v>0</v>
      </c>
      <c r="Q68" s="64">
        <f>VLOOKUP($B68,'7. PGE_Efficacité'!$A$6:$CY$266,(MATCH('[3]4.4 ACE MAX SEN '!Q$4,'7. PGE_Efficacité'!$A$4:$AO$4,0)),0)</f>
        <v>0</v>
      </c>
      <c r="R68" s="64">
        <f>VLOOKUP($B68,'7. PGE_Efficacité'!$A$6:$CY$266,(MATCH('[3]4.4 ACE MAX SEN '!R$4,'7. PGE_Efficacité'!$A$4:$AO$4,0)),0)</f>
        <v>0</v>
      </c>
      <c r="S68" s="64">
        <f>VLOOKUP($B68,'7. PGE_Efficacité'!$A$6:$CY$266,(MATCH('[3]4.4 ACE MAX SEN '!S$4,'7. PGE_Efficacité'!$A$4:$AO$4,0)),0)</f>
        <v>0</v>
      </c>
      <c r="T68" s="64">
        <f>VLOOKUP($B68,'7. PGE_Efficacité'!$A$6:$CY$266,(MATCH('[3]4.4 ACE MAX SEN '!T$4,'7. PGE_Efficacité'!$A$4:$AO$4,0)),0)</f>
        <v>0</v>
      </c>
      <c r="U68" s="64">
        <f>VLOOKUP($B68,'7. PGE_Efficacité'!$A$6:$CY$266,(MATCH('[3]4.4 ACE MAX SEN '!U$4,'7. PGE_Efficacité'!$A$4:$AO$4,0)),0)</f>
        <v>0</v>
      </c>
      <c r="V68" s="64">
        <f>VLOOKUP($B68,'7. PGE_Efficacité'!$A$6:$CY$266,(MATCH('[3]4.4 ACE MAX SEN '!V$4,'7. PGE_Efficacité'!$A$4:$AO$4,0)),0)</f>
        <v>0</v>
      </c>
      <c r="W68" s="61">
        <f>VLOOKUP($B68,'7. PGE_Efficacité'!$A$6:$CY$266,(MATCH('[3]4.4 ACE MAX SEN '!W$4,'7. PGE_Efficacité'!$A$4:$AO$4,0)),0)</f>
        <v>0</v>
      </c>
      <c r="X68" s="61">
        <f>VLOOKUP($B68,'7. PGE_Efficacité'!$A$6:$CY$266,(MATCH('[3]4.4 ACE MAX SEN '!X$4,'7. PGE_Efficacité'!$A$4:$AO$4,0)),0)</f>
        <v>0</v>
      </c>
      <c r="Y68" s="61">
        <f>VLOOKUP($B68,'7. PGE_Efficacité'!$A$6:$CY$266,(MATCH('[3]4.4 ACE MAX SEN '!Y$4,'7. PGE_Efficacité'!$A$4:$AO$4,0)),0)</f>
        <v>0</v>
      </c>
      <c r="Z68" s="61">
        <f>VLOOKUP($B68,'7. PGE_Efficacité'!$A$6:$CY$266,(MATCH('[3]4.4 ACE MAX SEN '!Z$4,'7. PGE_Efficacité'!$A$4:$AO$4,0)),0)</f>
        <v>0</v>
      </c>
      <c r="AA68" s="61">
        <f>VLOOKUP($B68,'7. PGE_Efficacité'!$A$6:$CY$266,(MATCH('[3]4.4 ACE MAX SEN '!AA$4,'7. PGE_Efficacité'!$A$4:$AO$4,0)),0)</f>
        <v>0</v>
      </c>
      <c r="AB68" s="61">
        <f>VLOOKUP($B68,'7. PGE_Efficacité'!$A$6:$CY$266,(MATCH('[3]4.4 ACE MAX SEN '!AB$4,'7. PGE_Efficacité'!$A$4:$AO$4,0)),0)</f>
        <v>0</v>
      </c>
      <c r="AC68" s="61">
        <f>VLOOKUP($B68,'7. PGE_Efficacité'!$A$6:$CY$266,(MATCH('[3]4.4 ACE MAX SEN '!AC$4,'7. PGE_Efficacité'!$A$4:$AO$4,0)),0)</f>
        <v>0</v>
      </c>
      <c r="AD68" s="61">
        <f>VLOOKUP($B68,'7. PGE_Efficacité'!$A$6:$CY$266,(MATCH('[3]4.4 ACE MAX SEN '!AD$4,'7. PGE_Efficacité'!$A$4:$AO$4,0)),0)</f>
        <v>0</v>
      </c>
      <c r="AE68" s="61">
        <f>VLOOKUP($B68,'7. PGE_Efficacité'!$A$6:$CY$266,(MATCH('[3]4.4 ACE MAX SEN '!AE$4,'7. PGE_Efficacité'!$A$4:$AO$4,0)),0)</f>
        <v>0</v>
      </c>
      <c r="AF68" s="61">
        <f>VLOOKUP($B68,'7. PGE_Efficacité'!$A$6:$CY$266,(MATCH('[3]4.4 ACE MAX SEN '!AF$4,'7. PGE_Efficacité'!$A$4:$AO$4,0)),0)</f>
        <v>0</v>
      </c>
      <c r="AG68" s="61">
        <f>VLOOKUP($B68,'7. PGE_Efficacité'!$A$6:$CY$266,(MATCH('[3]4.4 ACE MAX SEN '!AG$4,'7. PGE_Efficacité'!$A$4:$AO$4,0)),0)</f>
        <v>0</v>
      </c>
      <c r="AH68" s="61">
        <f>VLOOKUP($B68,'7. PGE_Efficacité'!$A$6:$CY$266,(MATCH('[3]4.4 ACE MAX SEN '!AH$4,'7. PGE_Efficacité'!$A$4:$AO$4,0)),0)</f>
        <v>0</v>
      </c>
      <c r="AI68" s="61">
        <f>VLOOKUP($B68,'7. PGE_Efficacité'!$A$6:$CY$266,(MATCH('[3]4.4 ACE MAX SEN '!AI$4,'7. PGE_Efficacité'!$A$4:$AO$4,0)),0)</f>
        <v>0</v>
      </c>
      <c r="AJ68" s="61">
        <f>VLOOKUP($B68,'7. PGE_Efficacité'!$A$6:$CY$266,(MATCH('[3]4.4 ACE MAX SEN '!AJ$4,'7. PGE_Efficacité'!$A$4:$AO$4,0)),0)</f>
        <v>0</v>
      </c>
      <c r="AK68" s="61">
        <f>VLOOKUP($B68,'7. PGE_Efficacité'!$A$6:$CY$266,(MATCH('[3]4.4 ACE MAX SEN '!AK$4,'7. PGE_Efficacité'!$A$4:$AO$4,0)),0)</f>
        <v>0</v>
      </c>
    </row>
    <row r="69" spans="1:37" hidden="1" outlineLevel="3" x14ac:dyDescent="0.25">
      <c r="A69" t="s">
        <v>4</v>
      </c>
      <c r="B69" s="65" t="s">
        <v>807</v>
      </c>
      <c r="C69" s="65" t="s">
        <v>1634</v>
      </c>
      <c r="D69" s="65"/>
      <c r="E69" s="65" t="s">
        <v>414</v>
      </c>
      <c r="F69" s="73"/>
      <c r="G69" s="64">
        <f>VLOOKUP($B69,'7. PGE_Efficacité'!$A$6:$CY$266,(MATCH('[3]4.4 ACE MAX SEN '!G$4,'7. PGE_Efficacité'!$A$4:$AO$4,0)),0)</f>
        <v>0</v>
      </c>
      <c r="H69" s="64">
        <f>VLOOKUP($B69,'7. PGE_Efficacité'!$A$6:$CY$266,(MATCH('[3]4.4 ACE MAX SEN '!H$4,'7. PGE_Efficacité'!$A$4:$AO$4,0)),0)</f>
        <v>0</v>
      </c>
      <c r="I69" s="64">
        <f>VLOOKUP($B69,'7. PGE_Efficacité'!$A$6:$CY$266,(MATCH('[3]4.4 ACE MAX SEN '!I$4,'7. PGE_Efficacité'!$A$4:$AO$4,0)),0)</f>
        <v>0</v>
      </c>
      <c r="J69" s="64">
        <f>VLOOKUP($B69,'7. PGE_Efficacité'!$A$6:$CY$266,(MATCH('[3]4.4 ACE MAX SEN '!J$4,'7. PGE_Efficacité'!$A$4:$AO$4,0)),0)</f>
        <v>0</v>
      </c>
      <c r="K69" s="64">
        <f>VLOOKUP($B69,'7. PGE_Efficacité'!$A$6:$CY$266,(MATCH('[3]4.4 ACE MAX SEN '!K$4,'7. PGE_Efficacité'!$A$4:$AO$4,0)),0)</f>
        <v>0</v>
      </c>
      <c r="L69" s="64">
        <f>VLOOKUP($B69,'7. PGE_Efficacité'!$A$6:$CY$266,(MATCH('[3]4.4 ACE MAX SEN '!L$4,'7. PGE_Efficacité'!$A$4:$AO$4,0)),0)</f>
        <v>0</v>
      </c>
      <c r="M69" s="64">
        <f>VLOOKUP($B69,'7. PGE_Efficacité'!$A$6:$CY$266,(MATCH('[3]4.4 ACE MAX SEN '!M$4,'7. PGE_Efficacité'!$A$4:$AO$4,0)),0)</f>
        <v>0</v>
      </c>
      <c r="N69" s="64">
        <f>VLOOKUP($B69,'7. PGE_Efficacité'!$A$6:$CY$266,(MATCH('[3]4.4 ACE MAX SEN '!N$4,'7. PGE_Efficacité'!$A$4:$AO$4,0)),0)</f>
        <v>0</v>
      </c>
      <c r="O69" s="64">
        <f>VLOOKUP($B69,'7. PGE_Efficacité'!$A$6:$CY$266,(MATCH('[3]4.4 ACE MAX SEN '!O$4,'7. PGE_Efficacité'!$A$4:$AO$4,0)),0)</f>
        <v>0</v>
      </c>
      <c r="P69" s="64">
        <f>VLOOKUP($B69,'7. PGE_Efficacité'!$A$6:$CY$266,(MATCH('[3]4.4 ACE MAX SEN '!P$4,'7. PGE_Efficacité'!$A$4:$AO$4,0)),0)</f>
        <v>0</v>
      </c>
      <c r="Q69" s="64">
        <f>VLOOKUP($B69,'7. PGE_Efficacité'!$A$6:$CY$266,(MATCH('[3]4.4 ACE MAX SEN '!Q$4,'7. PGE_Efficacité'!$A$4:$AO$4,0)),0)</f>
        <v>0</v>
      </c>
      <c r="R69" s="64">
        <f>VLOOKUP($B69,'7. PGE_Efficacité'!$A$6:$CY$266,(MATCH('[3]4.4 ACE MAX SEN '!R$4,'7. PGE_Efficacité'!$A$4:$AO$4,0)),0)</f>
        <v>0</v>
      </c>
      <c r="S69" s="64">
        <f>VLOOKUP($B69,'7. PGE_Efficacité'!$A$6:$CY$266,(MATCH('[3]4.4 ACE MAX SEN '!S$4,'7. PGE_Efficacité'!$A$4:$AO$4,0)),0)</f>
        <v>0</v>
      </c>
      <c r="T69" s="64">
        <f>VLOOKUP($B69,'7. PGE_Efficacité'!$A$6:$CY$266,(MATCH('[3]4.4 ACE MAX SEN '!T$4,'7. PGE_Efficacité'!$A$4:$AO$4,0)),0)</f>
        <v>0</v>
      </c>
      <c r="U69" s="64">
        <f>VLOOKUP($B69,'7. PGE_Efficacité'!$A$6:$CY$266,(MATCH('[3]4.4 ACE MAX SEN '!U$4,'7. PGE_Efficacité'!$A$4:$AO$4,0)),0)</f>
        <v>0</v>
      </c>
      <c r="V69" s="64">
        <f>VLOOKUP($B69,'7. PGE_Efficacité'!$A$6:$CY$266,(MATCH('[3]4.4 ACE MAX SEN '!V$4,'7. PGE_Efficacité'!$A$4:$AO$4,0)),0)</f>
        <v>0</v>
      </c>
      <c r="W69" s="61">
        <f>VLOOKUP($B69,'7. PGE_Efficacité'!$A$6:$CY$266,(MATCH('[3]4.4 ACE MAX SEN '!W$4,'7. PGE_Efficacité'!$A$4:$AO$4,0)),0)</f>
        <v>0</v>
      </c>
      <c r="X69" s="61">
        <f>VLOOKUP($B69,'7. PGE_Efficacité'!$A$6:$CY$266,(MATCH('[3]4.4 ACE MAX SEN '!X$4,'7. PGE_Efficacité'!$A$4:$AO$4,0)),0)</f>
        <v>0</v>
      </c>
      <c r="Y69" s="61">
        <f>VLOOKUP($B69,'7. PGE_Efficacité'!$A$6:$CY$266,(MATCH('[3]4.4 ACE MAX SEN '!Y$4,'7. PGE_Efficacité'!$A$4:$AO$4,0)),0)</f>
        <v>0</v>
      </c>
      <c r="Z69" s="61">
        <f>VLOOKUP($B69,'7. PGE_Efficacité'!$A$6:$CY$266,(MATCH('[3]4.4 ACE MAX SEN '!Z$4,'7. PGE_Efficacité'!$A$4:$AO$4,0)),0)</f>
        <v>0</v>
      </c>
      <c r="AA69" s="61">
        <f>VLOOKUP($B69,'7. PGE_Efficacité'!$A$6:$CY$266,(MATCH('[3]4.4 ACE MAX SEN '!AA$4,'7. PGE_Efficacité'!$A$4:$AO$4,0)),0)</f>
        <v>0</v>
      </c>
      <c r="AB69" s="61">
        <f>VLOOKUP($B69,'7. PGE_Efficacité'!$A$6:$CY$266,(MATCH('[3]4.4 ACE MAX SEN '!AB$4,'7. PGE_Efficacité'!$A$4:$AO$4,0)),0)</f>
        <v>0</v>
      </c>
      <c r="AC69" s="61">
        <f>VLOOKUP($B69,'7. PGE_Efficacité'!$A$6:$CY$266,(MATCH('[3]4.4 ACE MAX SEN '!AC$4,'7. PGE_Efficacité'!$A$4:$AO$4,0)),0)</f>
        <v>0</v>
      </c>
      <c r="AD69" s="61">
        <f>VLOOKUP($B69,'7. PGE_Efficacité'!$A$6:$CY$266,(MATCH('[3]4.4 ACE MAX SEN '!AD$4,'7. PGE_Efficacité'!$A$4:$AO$4,0)),0)</f>
        <v>0</v>
      </c>
      <c r="AE69" s="61">
        <f>VLOOKUP($B69,'7. PGE_Efficacité'!$A$6:$CY$266,(MATCH('[3]4.4 ACE MAX SEN '!AE$4,'7. PGE_Efficacité'!$A$4:$AO$4,0)),0)</f>
        <v>0</v>
      </c>
      <c r="AF69" s="61">
        <f>VLOOKUP($B69,'7. PGE_Efficacité'!$A$6:$CY$266,(MATCH('[3]4.4 ACE MAX SEN '!AF$4,'7. PGE_Efficacité'!$A$4:$AO$4,0)),0)</f>
        <v>0</v>
      </c>
      <c r="AG69" s="61">
        <f>VLOOKUP($B69,'7. PGE_Efficacité'!$A$6:$CY$266,(MATCH('[3]4.4 ACE MAX SEN '!AG$4,'7. PGE_Efficacité'!$A$4:$AO$4,0)),0)</f>
        <v>0</v>
      </c>
      <c r="AH69" s="61">
        <f>VLOOKUP($B69,'7. PGE_Efficacité'!$A$6:$CY$266,(MATCH('[3]4.4 ACE MAX SEN '!AH$4,'7. PGE_Efficacité'!$A$4:$AO$4,0)),0)</f>
        <v>0</v>
      </c>
      <c r="AI69" s="61">
        <f>VLOOKUP($B69,'7. PGE_Efficacité'!$A$6:$CY$266,(MATCH('[3]4.4 ACE MAX SEN '!AI$4,'7. PGE_Efficacité'!$A$4:$AO$4,0)),0)</f>
        <v>0</v>
      </c>
      <c r="AJ69" s="61">
        <f>VLOOKUP($B69,'7. PGE_Efficacité'!$A$6:$CY$266,(MATCH('[3]4.4 ACE MAX SEN '!AJ$4,'7. PGE_Efficacité'!$A$4:$AO$4,0)),0)</f>
        <v>0</v>
      </c>
      <c r="AK69" s="61">
        <f>VLOOKUP($B69,'7. PGE_Efficacité'!$A$6:$CY$266,(MATCH('[3]4.4 ACE MAX SEN '!AK$4,'7. PGE_Efficacité'!$A$4:$AO$4,0)),0)</f>
        <v>0</v>
      </c>
    </row>
    <row r="70" spans="1:37" hidden="1" outlineLevel="3" x14ac:dyDescent="0.25">
      <c r="A70" t="s">
        <v>4</v>
      </c>
      <c r="B70" s="65" t="s">
        <v>808</v>
      </c>
      <c r="C70" s="65" t="s">
        <v>1635</v>
      </c>
      <c r="D70" s="65"/>
      <c r="E70" s="65" t="s">
        <v>414</v>
      </c>
      <c r="F70" s="73"/>
      <c r="G70" s="64">
        <f>VLOOKUP($B70,'7. PGE_Efficacité'!$A$6:$CY$266,(MATCH('[3]4.4 ACE MAX SEN '!G$4,'7. PGE_Efficacité'!$A$4:$AO$4,0)),0)</f>
        <v>0</v>
      </c>
      <c r="H70" s="64">
        <f>VLOOKUP($B70,'7. PGE_Efficacité'!$A$6:$CY$266,(MATCH('[3]4.4 ACE MAX SEN '!H$4,'7. PGE_Efficacité'!$A$4:$AO$4,0)),0)</f>
        <v>0</v>
      </c>
      <c r="I70" s="64">
        <f>VLOOKUP($B70,'7. PGE_Efficacité'!$A$6:$CY$266,(MATCH('[3]4.4 ACE MAX SEN '!I$4,'7. PGE_Efficacité'!$A$4:$AO$4,0)),0)</f>
        <v>0</v>
      </c>
      <c r="J70" s="64">
        <f>VLOOKUP($B70,'7. PGE_Efficacité'!$A$6:$CY$266,(MATCH('[3]4.4 ACE MAX SEN '!J$4,'7. PGE_Efficacité'!$A$4:$AO$4,0)),0)</f>
        <v>0</v>
      </c>
      <c r="K70" s="64">
        <f>VLOOKUP($B70,'7. PGE_Efficacité'!$A$6:$CY$266,(MATCH('[3]4.4 ACE MAX SEN '!K$4,'7. PGE_Efficacité'!$A$4:$AO$4,0)),0)</f>
        <v>0</v>
      </c>
      <c r="L70" s="64">
        <f>VLOOKUP($B70,'7. PGE_Efficacité'!$A$6:$CY$266,(MATCH('[3]4.4 ACE MAX SEN '!L$4,'7. PGE_Efficacité'!$A$4:$AO$4,0)),0)</f>
        <v>0</v>
      </c>
      <c r="M70" s="64">
        <f>VLOOKUP($B70,'7. PGE_Efficacité'!$A$6:$CY$266,(MATCH('[3]4.4 ACE MAX SEN '!M$4,'7. PGE_Efficacité'!$A$4:$AO$4,0)),0)</f>
        <v>0</v>
      </c>
      <c r="N70" s="64">
        <f>VLOOKUP($B70,'7. PGE_Efficacité'!$A$6:$CY$266,(MATCH('[3]4.4 ACE MAX SEN '!N$4,'7. PGE_Efficacité'!$A$4:$AO$4,0)),0)</f>
        <v>0</v>
      </c>
      <c r="O70" s="64">
        <f>VLOOKUP($B70,'7. PGE_Efficacité'!$A$6:$CY$266,(MATCH('[3]4.4 ACE MAX SEN '!O$4,'7. PGE_Efficacité'!$A$4:$AO$4,0)),0)</f>
        <v>0</v>
      </c>
      <c r="P70" s="64">
        <f>VLOOKUP($B70,'7. PGE_Efficacité'!$A$6:$CY$266,(MATCH('[3]4.4 ACE MAX SEN '!P$4,'7. PGE_Efficacité'!$A$4:$AO$4,0)),0)</f>
        <v>0</v>
      </c>
      <c r="Q70" s="64">
        <f>VLOOKUP($B70,'7. PGE_Efficacité'!$A$6:$CY$266,(MATCH('[3]4.4 ACE MAX SEN '!Q$4,'7. PGE_Efficacité'!$A$4:$AO$4,0)),0)</f>
        <v>0</v>
      </c>
      <c r="R70" s="64">
        <f>VLOOKUP($B70,'7. PGE_Efficacité'!$A$6:$CY$266,(MATCH('[3]4.4 ACE MAX SEN '!R$4,'7. PGE_Efficacité'!$A$4:$AO$4,0)),0)</f>
        <v>0</v>
      </c>
      <c r="S70" s="64">
        <f>VLOOKUP($B70,'7. PGE_Efficacité'!$A$6:$CY$266,(MATCH('[3]4.4 ACE MAX SEN '!S$4,'7. PGE_Efficacité'!$A$4:$AO$4,0)),0)</f>
        <v>0</v>
      </c>
      <c r="T70" s="64">
        <f>VLOOKUP($B70,'7. PGE_Efficacité'!$A$6:$CY$266,(MATCH('[3]4.4 ACE MAX SEN '!T$4,'7. PGE_Efficacité'!$A$4:$AO$4,0)),0)</f>
        <v>0</v>
      </c>
      <c r="U70" s="64">
        <f>VLOOKUP($B70,'7. PGE_Efficacité'!$A$6:$CY$266,(MATCH('[3]4.4 ACE MAX SEN '!U$4,'7. PGE_Efficacité'!$A$4:$AO$4,0)),0)</f>
        <v>0</v>
      </c>
      <c r="V70" s="64">
        <f>VLOOKUP($B70,'7. PGE_Efficacité'!$A$6:$CY$266,(MATCH('[3]4.4 ACE MAX SEN '!V$4,'7. PGE_Efficacité'!$A$4:$AO$4,0)),0)</f>
        <v>0</v>
      </c>
      <c r="W70" s="61">
        <f>VLOOKUP($B70,'7. PGE_Efficacité'!$A$6:$CY$266,(MATCH('[3]4.4 ACE MAX SEN '!W$4,'7. PGE_Efficacité'!$A$4:$AO$4,0)),0)</f>
        <v>0</v>
      </c>
      <c r="X70" s="61">
        <f>VLOOKUP($B70,'7. PGE_Efficacité'!$A$6:$CY$266,(MATCH('[3]4.4 ACE MAX SEN '!X$4,'7. PGE_Efficacité'!$A$4:$AO$4,0)),0)</f>
        <v>0</v>
      </c>
      <c r="Y70" s="61">
        <f>VLOOKUP($B70,'7. PGE_Efficacité'!$A$6:$CY$266,(MATCH('[3]4.4 ACE MAX SEN '!Y$4,'7. PGE_Efficacité'!$A$4:$AO$4,0)),0)</f>
        <v>0</v>
      </c>
      <c r="Z70" s="61">
        <f>VLOOKUP($B70,'7. PGE_Efficacité'!$A$6:$CY$266,(MATCH('[3]4.4 ACE MAX SEN '!Z$4,'7. PGE_Efficacité'!$A$4:$AO$4,0)),0)</f>
        <v>0</v>
      </c>
      <c r="AA70" s="61">
        <f>VLOOKUP($B70,'7. PGE_Efficacité'!$A$6:$CY$266,(MATCH('[3]4.4 ACE MAX SEN '!AA$4,'7. PGE_Efficacité'!$A$4:$AO$4,0)),0)</f>
        <v>0</v>
      </c>
      <c r="AB70" s="61">
        <f>VLOOKUP($B70,'7. PGE_Efficacité'!$A$6:$CY$266,(MATCH('[3]4.4 ACE MAX SEN '!AB$4,'7. PGE_Efficacité'!$A$4:$AO$4,0)),0)</f>
        <v>0</v>
      </c>
      <c r="AC70" s="61">
        <f>VLOOKUP($B70,'7. PGE_Efficacité'!$A$6:$CY$266,(MATCH('[3]4.4 ACE MAX SEN '!AC$4,'7. PGE_Efficacité'!$A$4:$AO$4,0)),0)</f>
        <v>0</v>
      </c>
      <c r="AD70" s="61">
        <f>VLOOKUP($B70,'7. PGE_Efficacité'!$A$6:$CY$266,(MATCH('[3]4.4 ACE MAX SEN '!AD$4,'7. PGE_Efficacité'!$A$4:$AO$4,0)),0)</f>
        <v>0</v>
      </c>
      <c r="AE70" s="61">
        <f>VLOOKUP($B70,'7. PGE_Efficacité'!$A$6:$CY$266,(MATCH('[3]4.4 ACE MAX SEN '!AE$4,'7. PGE_Efficacité'!$A$4:$AO$4,0)),0)</f>
        <v>0</v>
      </c>
      <c r="AF70" s="61">
        <f>VLOOKUP($B70,'7. PGE_Efficacité'!$A$6:$CY$266,(MATCH('[3]4.4 ACE MAX SEN '!AF$4,'7. PGE_Efficacité'!$A$4:$AO$4,0)),0)</f>
        <v>0</v>
      </c>
      <c r="AG70" s="61">
        <f>VLOOKUP($B70,'7. PGE_Efficacité'!$A$6:$CY$266,(MATCH('[3]4.4 ACE MAX SEN '!AG$4,'7. PGE_Efficacité'!$A$4:$AO$4,0)),0)</f>
        <v>0</v>
      </c>
      <c r="AH70" s="61">
        <f>VLOOKUP($B70,'7. PGE_Efficacité'!$A$6:$CY$266,(MATCH('[3]4.4 ACE MAX SEN '!AH$4,'7. PGE_Efficacité'!$A$4:$AO$4,0)),0)</f>
        <v>0</v>
      </c>
      <c r="AI70" s="61">
        <f>VLOOKUP($B70,'7. PGE_Efficacité'!$A$6:$CY$266,(MATCH('[3]4.4 ACE MAX SEN '!AI$4,'7. PGE_Efficacité'!$A$4:$AO$4,0)),0)</f>
        <v>0</v>
      </c>
      <c r="AJ70" s="61">
        <f>VLOOKUP($B70,'7. PGE_Efficacité'!$A$6:$CY$266,(MATCH('[3]4.4 ACE MAX SEN '!AJ$4,'7. PGE_Efficacité'!$A$4:$AO$4,0)),0)</f>
        <v>0</v>
      </c>
      <c r="AK70" s="61">
        <f>VLOOKUP($B70,'7. PGE_Efficacité'!$A$6:$CY$266,(MATCH('[3]4.4 ACE MAX SEN '!AK$4,'7. PGE_Efficacité'!$A$4:$AO$4,0)),0)</f>
        <v>0</v>
      </c>
    </row>
    <row r="71" spans="1:37" hidden="1" outlineLevel="3" x14ac:dyDescent="0.25">
      <c r="A71" t="s">
        <v>4</v>
      </c>
      <c r="B71" s="65" t="s">
        <v>810</v>
      </c>
      <c r="C71" s="65" t="s">
        <v>1636</v>
      </c>
      <c r="D71" s="65"/>
      <c r="E71" s="65" t="s">
        <v>414</v>
      </c>
      <c r="F71" s="73"/>
      <c r="G71" s="64">
        <f>VLOOKUP($B71,'7. PGE_Efficacité'!$A$6:$CY$266,(MATCH('[3]4.4 ACE MAX SEN '!G$4,'7. PGE_Efficacité'!$A$4:$AO$4,0)),0)</f>
        <v>0</v>
      </c>
      <c r="H71" s="64">
        <f>VLOOKUP($B71,'7. PGE_Efficacité'!$A$6:$CY$266,(MATCH('[3]4.4 ACE MAX SEN '!H$4,'7. PGE_Efficacité'!$A$4:$AO$4,0)),0)</f>
        <v>0</v>
      </c>
      <c r="I71" s="64">
        <f>VLOOKUP($B71,'7. PGE_Efficacité'!$A$6:$CY$266,(MATCH('[3]4.4 ACE MAX SEN '!I$4,'7. PGE_Efficacité'!$A$4:$AO$4,0)),0)</f>
        <v>0</v>
      </c>
      <c r="J71" s="64">
        <f>VLOOKUP($B71,'7. PGE_Efficacité'!$A$6:$CY$266,(MATCH('[3]4.4 ACE MAX SEN '!J$4,'7. PGE_Efficacité'!$A$4:$AO$4,0)),0)</f>
        <v>0</v>
      </c>
      <c r="K71" s="64">
        <f>VLOOKUP($B71,'7. PGE_Efficacité'!$A$6:$CY$266,(MATCH('[3]4.4 ACE MAX SEN '!K$4,'7. PGE_Efficacité'!$A$4:$AO$4,0)),0)</f>
        <v>0</v>
      </c>
      <c r="L71" s="64">
        <f>VLOOKUP($B71,'7. PGE_Efficacité'!$A$6:$CY$266,(MATCH('[3]4.4 ACE MAX SEN '!L$4,'7. PGE_Efficacité'!$A$4:$AO$4,0)),0)</f>
        <v>0</v>
      </c>
      <c r="M71" s="64">
        <f>VLOOKUP($B71,'7. PGE_Efficacité'!$A$6:$CY$266,(MATCH('[3]4.4 ACE MAX SEN '!M$4,'7. PGE_Efficacité'!$A$4:$AO$4,0)),0)</f>
        <v>0</v>
      </c>
      <c r="N71" s="64">
        <f>VLOOKUP($B71,'7. PGE_Efficacité'!$A$6:$CY$266,(MATCH('[3]4.4 ACE MAX SEN '!N$4,'7. PGE_Efficacité'!$A$4:$AO$4,0)),0)</f>
        <v>0</v>
      </c>
      <c r="O71" s="64">
        <f>VLOOKUP($B71,'7. PGE_Efficacité'!$A$6:$CY$266,(MATCH('[3]4.4 ACE MAX SEN '!O$4,'7. PGE_Efficacité'!$A$4:$AO$4,0)),0)</f>
        <v>0</v>
      </c>
      <c r="P71" s="64">
        <f>VLOOKUP($B71,'7. PGE_Efficacité'!$A$6:$CY$266,(MATCH('[3]4.4 ACE MAX SEN '!P$4,'7. PGE_Efficacité'!$A$4:$AO$4,0)),0)</f>
        <v>0</v>
      </c>
      <c r="Q71" s="64">
        <f>VLOOKUP($B71,'7. PGE_Efficacité'!$A$6:$CY$266,(MATCH('[3]4.4 ACE MAX SEN '!Q$4,'7. PGE_Efficacité'!$A$4:$AO$4,0)),0)</f>
        <v>0</v>
      </c>
      <c r="R71" s="64">
        <f>VLOOKUP($B71,'7. PGE_Efficacité'!$A$6:$CY$266,(MATCH('[3]4.4 ACE MAX SEN '!R$4,'7. PGE_Efficacité'!$A$4:$AO$4,0)),0)</f>
        <v>0</v>
      </c>
      <c r="S71" s="64">
        <f>VLOOKUP($B71,'7. PGE_Efficacité'!$A$6:$CY$266,(MATCH('[3]4.4 ACE MAX SEN '!S$4,'7. PGE_Efficacité'!$A$4:$AO$4,0)),0)</f>
        <v>0</v>
      </c>
      <c r="T71" s="64">
        <f>VLOOKUP($B71,'7. PGE_Efficacité'!$A$6:$CY$266,(MATCH('[3]4.4 ACE MAX SEN '!T$4,'7. PGE_Efficacité'!$A$4:$AO$4,0)),0)</f>
        <v>0</v>
      </c>
      <c r="U71" s="64">
        <f>VLOOKUP($B71,'7. PGE_Efficacité'!$A$6:$CY$266,(MATCH('[3]4.4 ACE MAX SEN '!U$4,'7. PGE_Efficacité'!$A$4:$AO$4,0)),0)</f>
        <v>0</v>
      </c>
      <c r="V71" s="64">
        <f>VLOOKUP($B71,'7. PGE_Efficacité'!$A$6:$CY$266,(MATCH('[3]4.4 ACE MAX SEN '!V$4,'7. PGE_Efficacité'!$A$4:$AO$4,0)),0)</f>
        <v>0</v>
      </c>
      <c r="W71" s="61">
        <f>VLOOKUP($B71,'7. PGE_Efficacité'!$A$6:$CY$266,(MATCH('[3]4.4 ACE MAX SEN '!W$4,'7. PGE_Efficacité'!$A$4:$AO$4,0)),0)</f>
        <v>0</v>
      </c>
      <c r="X71" s="61">
        <f>VLOOKUP($B71,'7. PGE_Efficacité'!$A$6:$CY$266,(MATCH('[3]4.4 ACE MAX SEN '!X$4,'7. PGE_Efficacité'!$A$4:$AO$4,0)),0)</f>
        <v>0</v>
      </c>
      <c r="Y71" s="61">
        <f>VLOOKUP($B71,'7. PGE_Efficacité'!$A$6:$CY$266,(MATCH('[3]4.4 ACE MAX SEN '!Y$4,'7. PGE_Efficacité'!$A$4:$AO$4,0)),0)</f>
        <v>0</v>
      </c>
      <c r="Z71" s="61">
        <f>VLOOKUP($B71,'7. PGE_Efficacité'!$A$6:$CY$266,(MATCH('[3]4.4 ACE MAX SEN '!Z$4,'7. PGE_Efficacité'!$A$4:$AO$4,0)),0)</f>
        <v>0</v>
      </c>
      <c r="AA71" s="61">
        <f>VLOOKUP($B71,'7. PGE_Efficacité'!$A$6:$CY$266,(MATCH('[3]4.4 ACE MAX SEN '!AA$4,'7. PGE_Efficacité'!$A$4:$AO$4,0)),0)</f>
        <v>0</v>
      </c>
      <c r="AB71" s="61">
        <f>VLOOKUP($B71,'7. PGE_Efficacité'!$A$6:$CY$266,(MATCH('[3]4.4 ACE MAX SEN '!AB$4,'7. PGE_Efficacité'!$A$4:$AO$4,0)),0)</f>
        <v>0</v>
      </c>
      <c r="AC71" s="61">
        <f>VLOOKUP($B71,'7. PGE_Efficacité'!$A$6:$CY$266,(MATCH('[3]4.4 ACE MAX SEN '!AC$4,'7. PGE_Efficacité'!$A$4:$AO$4,0)),0)</f>
        <v>0</v>
      </c>
      <c r="AD71" s="61">
        <f>VLOOKUP($B71,'7. PGE_Efficacité'!$A$6:$CY$266,(MATCH('[3]4.4 ACE MAX SEN '!AD$4,'7. PGE_Efficacité'!$A$4:$AO$4,0)),0)</f>
        <v>0</v>
      </c>
      <c r="AE71" s="61">
        <f>VLOOKUP($B71,'7. PGE_Efficacité'!$A$6:$CY$266,(MATCH('[3]4.4 ACE MAX SEN '!AE$4,'7. PGE_Efficacité'!$A$4:$AO$4,0)),0)</f>
        <v>0</v>
      </c>
      <c r="AF71" s="61">
        <f>VLOOKUP($B71,'7. PGE_Efficacité'!$A$6:$CY$266,(MATCH('[3]4.4 ACE MAX SEN '!AF$4,'7. PGE_Efficacité'!$A$4:$AO$4,0)),0)</f>
        <v>0</v>
      </c>
      <c r="AG71" s="61">
        <f>VLOOKUP($B71,'7. PGE_Efficacité'!$A$6:$CY$266,(MATCH('[3]4.4 ACE MAX SEN '!AG$4,'7. PGE_Efficacité'!$A$4:$AO$4,0)),0)</f>
        <v>0</v>
      </c>
      <c r="AH71" s="61">
        <f>VLOOKUP($B71,'7. PGE_Efficacité'!$A$6:$CY$266,(MATCH('[3]4.4 ACE MAX SEN '!AH$4,'7. PGE_Efficacité'!$A$4:$AO$4,0)),0)</f>
        <v>0</v>
      </c>
      <c r="AI71" s="61">
        <f>VLOOKUP($B71,'7. PGE_Efficacité'!$A$6:$CY$266,(MATCH('[3]4.4 ACE MAX SEN '!AI$4,'7. PGE_Efficacité'!$A$4:$AO$4,0)),0)</f>
        <v>0</v>
      </c>
      <c r="AJ71" s="61">
        <f>VLOOKUP($B71,'7. PGE_Efficacité'!$A$6:$CY$266,(MATCH('[3]4.4 ACE MAX SEN '!AJ$4,'7. PGE_Efficacité'!$A$4:$AO$4,0)),0)</f>
        <v>0</v>
      </c>
      <c r="AK71" s="61">
        <f>VLOOKUP($B71,'7. PGE_Efficacité'!$A$6:$CY$266,(MATCH('[3]4.4 ACE MAX SEN '!AK$4,'7. PGE_Efficacité'!$A$4:$AO$4,0)),0)</f>
        <v>0</v>
      </c>
    </row>
    <row r="72" spans="1:37" hidden="1" outlineLevel="3" x14ac:dyDescent="0.25">
      <c r="A72" t="s">
        <v>4</v>
      </c>
      <c r="B72" s="65" t="s">
        <v>811</v>
      </c>
      <c r="C72" s="65" t="s">
        <v>1637</v>
      </c>
      <c r="D72" s="65"/>
      <c r="E72" s="65" t="s">
        <v>414</v>
      </c>
      <c r="F72" s="73"/>
      <c r="G72" s="64">
        <f>VLOOKUP($B72,'7. PGE_Efficacité'!$A$6:$CY$266,(MATCH('[3]4.4 ACE MAX SEN '!G$4,'7. PGE_Efficacité'!$A$4:$AO$4,0)),0)</f>
        <v>0</v>
      </c>
      <c r="H72" s="64">
        <f>VLOOKUP($B72,'7. PGE_Efficacité'!$A$6:$CY$266,(MATCH('[3]4.4 ACE MAX SEN '!H$4,'7. PGE_Efficacité'!$A$4:$AO$4,0)),0)</f>
        <v>0</v>
      </c>
      <c r="I72" s="64">
        <f>VLOOKUP($B72,'7. PGE_Efficacité'!$A$6:$CY$266,(MATCH('[3]4.4 ACE MAX SEN '!I$4,'7. PGE_Efficacité'!$A$4:$AO$4,0)),0)</f>
        <v>0</v>
      </c>
      <c r="J72" s="64">
        <f>VLOOKUP($B72,'7. PGE_Efficacité'!$A$6:$CY$266,(MATCH('[3]4.4 ACE MAX SEN '!J$4,'7. PGE_Efficacité'!$A$4:$AO$4,0)),0)</f>
        <v>0</v>
      </c>
      <c r="K72" s="64">
        <f>VLOOKUP($B72,'7. PGE_Efficacité'!$A$6:$CY$266,(MATCH('[3]4.4 ACE MAX SEN '!K$4,'7. PGE_Efficacité'!$A$4:$AO$4,0)),0)</f>
        <v>0</v>
      </c>
      <c r="L72" s="64">
        <f>VLOOKUP($B72,'7. PGE_Efficacité'!$A$6:$CY$266,(MATCH('[3]4.4 ACE MAX SEN '!L$4,'7. PGE_Efficacité'!$A$4:$AO$4,0)),0)</f>
        <v>0</v>
      </c>
      <c r="M72" s="64">
        <f>VLOOKUP($B72,'7. PGE_Efficacité'!$A$6:$CY$266,(MATCH('[3]4.4 ACE MAX SEN '!M$4,'7. PGE_Efficacité'!$A$4:$AO$4,0)),0)</f>
        <v>0</v>
      </c>
      <c r="N72" s="64">
        <f>VLOOKUP($B72,'7. PGE_Efficacité'!$A$6:$CY$266,(MATCH('[3]4.4 ACE MAX SEN '!N$4,'7. PGE_Efficacité'!$A$4:$AO$4,0)),0)</f>
        <v>0</v>
      </c>
      <c r="O72" s="64">
        <f>VLOOKUP($B72,'7. PGE_Efficacité'!$A$6:$CY$266,(MATCH('[3]4.4 ACE MAX SEN '!O$4,'7. PGE_Efficacité'!$A$4:$AO$4,0)),0)</f>
        <v>0</v>
      </c>
      <c r="P72" s="64">
        <f>VLOOKUP($B72,'7. PGE_Efficacité'!$A$6:$CY$266,(MATCH('[3]4.4 ACE MAX SEN '!P$4,'7. PGE_Efficacité'!$A$4:$AO$4,0)),0)</f>
        <v>0</v>
      </c>
      <c r="Q72" s="64">
        <f>VLOOKUP($B72,'7. PGE_Efficacité'!$A$6:$CY$266,(MATCH('[3]4.4 ACE MAX SEN '!Q$4,'7. PGE_Efficacité'!$A$4:$AO$4,0)),0)</f>
        <v>0</v>
      </c>
      <c r="R72" s="64">
        <f>VLOOKUP($B72,'7. PGE_Efficacité'!$A$6:$CY$266,(MATCH('[3]4.4 ACE MAX SEN '!R$4,'7. PGE_Efficacité'!$A$4:$AO$4,0)),0)</f>
        <v>0</v>
      </c>
      <c r="S72" s="64">
        <f>VLOOKUP($B72,'7. PGE_Efficacité'!$A$6:$CY$266,(MATCH('[3]4.4 ACE MAX SEN '!S$4,'7. PGE_Efficacité'!$A$4:$AO$4,0)),0)</f>
        <v>0</v>
      </c>
      <c r="T72" s="64">
        <f>VLOOKUP($B72,'7. PGE_Efficacité'!$A$6:$CY$266,(MATCH('[3]4.4 ACE MAX SEN '!T$4,'7. PGE_Efficacité'!$A$4:$AO$4,0)),0)</f>
        <v>0</v>
      </c>
      <c r="U72" s="64">
        <f>VLOOKUP($B72,'7. PGE_Efficacité'!$A$6:$CY$266,(MATCH('[3]4.4 ACE MAX SEN '!U$4,'7. PGE_Efficacité'!$A$4:$AO$4,0)),0)</f>
        <v>0</v>
      </c>
      <c r="V72" s="64">
        <f>VLOOKUP($B72,'7. PGE_Efficacité'!$A$6:$CY$266,(MATCH('[3]4.4 ACE MAX SEN '!V$4,'7. PGE_Efficacité'!$A$4:$AO$4,0)),0)</f>
        <v>0</v>
      </c>
      <c r="W72" s="61">
        <f>VLOOKUP($B72,'7. PGE_Efficacité'!$A$6:$CY$266,(MATCH('[3]4.4 ACE MAX SEN '!W$4,'7. PGE_Efficacité'!$A$4:$AO$4,0)),0)</f>
        <v>0</v>
      </c>
      <c r="X72" s="61">
        <f>VLOOKUP($B72,'7. PGE_Efficacité'!$A$6:$CY$266,(MATCH('[3]4.4 ACE MAX SEN '!X$4,'7. PGE_Efficacité'!$A$4:$AO$4,0)),0)</f>
        <v>0</v>
      </c>
      <c r="Y72" s="61">
        <f>VLOOKUP($B72,'7. PGE_Efficacité'!$A$6:$CY$266,(MATCH('[3]4.4 ACE MAX SEN '!Y$4,'7. PGE_Efficacité'!$A$4:$AO$4,0)),0)</f>
        <v>0</v>
      </c>
      <c r="Z72" s="61">
        <f>VLOOKUP($B72,'7. PGE_Efficacité'!$A$6:$CY$266,(MATCH('[3]4.4 ACE MAX SEN '!Z$4,'7. PGE_Efficacité'!$A$4:$AO$4,0)),0)</f>
        <v>0</v>
      </c>
      <c r="AA72" s="61">
        <f>VLOOKUP($B72,'7. PGE_Efficacité'!$A$6:$CY$266,(MATCH('[3]4.4 ACE MAX SEN '!AA$4,'7. PGE_Efficacité'!$A$4:$AO$4,0)),0)</f>
        <v>0</v>
      </c>
      <c r="AB72" s="61">
        <f>VLOOKUP($B72,'7. PGE_Efficacité'!$A$6:$CY$266,(MATCH('[3]4.4 ACE MAX SEN '!AB$4,'7. PGE_Efficacité'!$A$4:$AO$4,0)),0)</f>
        <v>0</v>
      </c>
      <c r="AC72" s="61">
        <f>VLOOKUP($B72,'7. PGE_Efficacité'!$A$6:$CY$266,(MATCH('[3]4.4 ACE MAX SEN '!AC$4,'7. PGE_Efficacité'!$A$4:$AO$4,0)),0)</f>
        <v>0</v>
      </c>
      <c r="AD72" s="61">
        <f>VLOOKUP($B72,'7. PGE_Efficacité'!$A$6:$CY$266,(MATCH('[3]4.4 ACE MAX SEN '!AD$4,'7. PGE_Efficacité'!$A$4:$AO$4,0)),0)</f>
        <v>0</v>
      </c>
      <c r="AE72" s="61">
        <f>VLOOKUP($B72,'7. PGE_Efficacité'!$A$6:$CY$266,(MATCH('[3]4.4 ACE MAX SEN '!AE$4,'7. PGE_Efficacité'!$A$4:$AO$4,0)),0)</f>
        <v>0</v>
      </c>
      <c r="AF72" s="61">
        <f>VLOOKUP($B72,'7. PGE_Efficacité'!$A$6:$CY$266,(MATCH('[3]4.4 ACE MAX SEN '!AF$4,'7. PGE_Efficacité'!$A$4:$AO$4,0)),0)</f>
        <v>0</v>
      </c>
      <c r="AG72" s="61">
        <f>VLOOKUP($B72,'7. PGE_Efficacité'!$A$6:$CY$266,(MATCH('[3]4.4 ACE MAX SEN '!AG$4,'7. PGE_Efficacité'!$A$4:$AO$4,0)),0)</f>
        <v>0</v>
      </c>
      <c r="AH72" s="61">
        <f>VLOOKUP($B72,'7. PGE_Efficacité'!$A$6:$CY$266,(MATCH('[3]4.4 ACE MAX SEN '!AH$4,'7. PGE_Efficacité'!$A$4:$AO$4,0)),0)</f>
        <v>0</v>
      </c>
      <c r="AI72" s="61">
        <f>VLOOKUP($B72,'7. PGE_Efficacité'!$A$6:$CY$266,(MATCH('[3]4.4 ACE MAX SEN '!AI$4,'7. PGE_Efficacité'!$A$4:$AO$4,0)),0)</f>
        <v>0</v>
      </c>
      <c r="AJ72" s="61">
        <f>VLOOKUP($B72,'7. PGE_Efficacité'!$A$6:$CY$266,(MATCH('[3]4.4 ACE MAX SEN '!AJ$4,'7. PGE_Efficacité'!$A$4:$AO$4,0)),0)</f>
        <v>0</v>
      </c>
      <c r="AK72" s="61">
        <f>VLOOKUP($B72,'7. PGE_Efficacité'!$A$6:$CY$266,(MATCH('[3]4.4 ACE MAX SEN '!AK$4,'7. PGE_Efficacité'!$A$4:$AO$4,0)),0)</f>
        <v>0</v>
      </c>
    </row>
    <row r="73" spans="1:37" hidden="1" outlineLevel="3" x14ac:dyDescent="0.25">
      <c r="A73" t="s">
        <v>4</v>
      </c>
      <c r="B73" s="65" t="s">
        <v>812</v>
      </c>
      <c r="C73" s="65" t="s">
        <v>1638</v>
      </c>
      <c r="D73" s="65"/>
      <c r="E73" s="65" t="s">
        <v>416</v>
      </c>
      <c r="F73" s="73"/>
      <c r="G73" s="64">
        <f>VLOOKUP($B73,'7. PGE_Efficacité'!$A$6:$CY$266,(MATCH('[3]4.4 ACE MAX SEN '!G$4,'7. PGE_Efficacité'!$A$4:$AO$4,0)),0)</f>
        <v>0</v>
      </c>
      <c r="H73" s="64">
        <f>VLOOKUP($B73,'7. PGE_Efficacité'!$A$6:$CY$266,(MATCH('[3]4.4 ACE MAX SEN '!H$4,'7. PGE_Efficacité'!$A$4:$AO$4,0)),0)</f>
        <v>0</v>
      </c>
      <c r="I73" s="64">
        <f>VLOOKUP($B73,'7. PGE_Efficacité'!$A$6:$CY$266,(MATCH('[3]4.4 ACE MAX SEN '!I$4,'7. PGE_Efficacité'!$A$4:$AO$4,0)),0)</f>
        <v>0</v>
      </c>
      <c r="J73" s="64">
        <f>VLOOKUP($B73,'7. PGE_Efficacité'!$A$6:$CY$266,(MATCH('[3]4.4 ACE MAX SEN '!J$4,'7. PGE_Efficacité'!$A$4:$AO$4,0)),0)</f>
        <v>0</v>
      </c>
      <c r="K73" s="64">
        <f>VLOOKUP($B73,'7. PGE_Efficacité'!$A$6:$CY$266,(MATCH('[3]4.4 ACE MAX SEN '!K$4,'7. PGE_Efficacité'!$A$4:$AO$4,0)),0)</f>
        <v>0</v>
      </c>
      <c r="L73" s="64">
        <f>VLOOKUP($B73,'7. PGE_Efficacité'!$A$6:$CY$266,(MATCH('[3]4.4 ACE MAX SEN '!L$4,'7. PGE_Efficacité'!$A$4:$AO$4,0)),0)</f>
        <v>0</v>
      </c>
      <c r="M73" s="64">
        <f>VLOOKUP($B73,'7. PGE_Efficacité'!$A$6:$CY$266,(MATCH('[3]4.4 ACE MAX SEN '!M$4,'7. PGE_Efficacité'!$A$4:$AO$4,0)),0)</f>
        <v>0</v>
      </c>
      <c r="N73" s="64">
        <f>VLOOKUP($B73,'7. PGE_Efficacité'!$A$6:$CY$266,(MATCH('[3]4.4 ACE MAX SEN '!N$4,'7. PGE_Efficacité'!$A$4:$AO$4,0)),0)</f>
        <v>0</v>
      </c>
      <c r="O73" s="64">
        <f>VLOOKUP($B73,'7. PGE_Efficacité'!$A$6:$CY$266,(MATCH('[3]4.4 ACE MAX SEN '!O$4,'7. PGE_Efficacité'!$A$4:$AO$4,0)),0)</f>
        <v>0</v>
      </c>
      <c r="P73" s="64">
        <f>VLOOKUP($B73,'7. PGE_Efficacité'!$A$6:$CY$266,(MATCH('[3]4.4 ACE MAX SEN '!P$4,'7. PGE_Efficacité'!$A$4:$AO$4,0)),0)</f>
        <v>0</v>
      </c>
      <c r="Q73" s="64">
        <f>VLOOKUP($B73,'7. PGE_Efficacité'!$A$6:$CY$266,(MATCH('[3]4.4 ACE MAX SEN '!Q$4,'7. PGE_Efficacité'!$A$4:$AO$4,0)),0)</f>
        <v>0</v>
      </c>
      <c r="R73" s="64">
        <f>VLOOKUP($B73,'7. PGE_Efficacité'!$A$6:$CY$266,(MATCH('[3]4.4 ACE MAX SEN '!R$4,'7. PGE_Efficacité'!$A$4:$AO$4,0)),0)</f>
        <v>0</v>
      </c>
      <c r="S73" s="64">
        <f>VLOOKUP($B73,'7. PGE_Efficacité'!$A$6:$CY$266,(MATCH('[3]4.4 ACE MAX SEN '!S$4,'7. PGE_Efficacité'!$A$4:$AO$4,0)),0)</f>
        <v>0</v>
      </c>
      <c r="T73" s="64">
        <f>VLOOKUP($B73,'7. PGE_Efficacité'!$A$6:$CY$266,(MATCH('[3]4.4 ACE MAX SEN '!T$4,'7. PGE_Efficacité'!$A$4:$AO$4,0)),0)</f>
        <v>0</v>
      </c>
      <c r="U73" s="64">
        <f>VLOOKUP($B73,'7. PGE_Efficacité'!$A$6:$CY$266,(MATCH('[3]4.4 ACE MAX SEN '!U$4,'7. PGE_Efficacité'!$A$4:$AO$4,0)),0)</f>
        <v>0</v>
      </c>
      <c r="V73" s="64">
        <f>VLOOKUP($B73,'7. PGE_Efficacité'!$A$6:$CY$266,(MATCH('[3]4.4 ACE MAX SEN '!V$4,'7. PGE_Efficacité'!$A$4:$AO$4,0)),0)</f>
        <v>0</v>
      </c>
      <c r="W73" s="61">
        <f>VLOOKUP($B73,'7. PGE_Efficacité'!$A$6:$CY$266,(MATCH('[3]4.4 ACE MAX SEN '!W$4,'7. PGE_Efficacité'!$A$4:$AO$4,0)),0)</f>
        <v>0</v>
      </c>
      <c r="X73" s="61">
        <f>VLOOKUP($B73,'7. PGE_Efficacité'!$A$6:$CY$266,(MATCH('[3]4.4 ACE MAX SEN '!X$4,'7. PGE_Efficacité'!$A$4:$AO$4,0)),0)</f>
        <v>0</v>
      </c>
      <c r="Y73" s="61">
        <f>VLOOKUP($B73,'7. PGE_Efficacité'!$A$6:$CY$266,(MATCH('[3]4.4 ACE MAX SEN '!Y$4,'7. PGE_Efficacité'!$A$4:$AO$4,0)),0)</f>
        <v>0</v>
      </c>
      <c r="Z73" s="61">
        <f>VLOOKUP($B73,'7. PGE_Efficacité'!$A$6:$CY$266,(MATCH('[3]4.4 ACE MAX SEN '!Z$4,'7. PGE_Efficacité'!$A$4:$AO$4,0)),0)</f>
        <v>0</v>
      </c>
      <c r="AA73" s="61">
        <f>VLOOKUP($B73,'7. PGE_Efficacité'!$A$6:$CY$266,(MATCH('[3]4.4 ACE MAX SEN '!AA$4,'7. PGE_Efficacité'!$A$4:$AO$4,0)),0)</f>
        <v>0</v>
      </c>
      <c r="AB73" s="61">
        <f>VLOOKUP($B73,'7. PGE_Efficacité'!$A$6:$CY$266,(MATCH('[3]4.4 ACE MAX SEN '!AB$4,'7. PGE_Efficacité'!$A$4:$AO$4,0)),0)</f>
        <v>0</v>
      </c>
      <c r="AC73" s="61">
        <f>VLOOKUP($B73,'7. PGE_Efficacité'!$A$6:$CY$266,(MATCH('[3]4.4 ACE MAX SEN '!AC$4,'7. PGE_Efficacité'!$A$4:$AO$4,0)),0)</f>
        <v>0</v>
      </c>
      <c r="AD73" s="61">
        <f>VLOOKUP($B73,'7. PGE_Efficacité'!$A$6:$CY$266,(MATCH('[3]4.4 ACE MAX SEN '!AD$4,'7. PGE_Efficacité'!$A$4:$AO$4,0)),0)</f>
        <v>0</v>
      </c>
      <c r="AE73" s="61">
        <f>VLOOKUP($B73,'7. PGE_Efficacité'!$A$6:$CY$266,(MATCH('[3]4.4 ACE MAX SEN '!AE$4,'7. PGE_Efficacité'!$A$4:$AO$4,0)),0)</f>
        <v>0</v>
      </c>
      <c r="AF73" s="61">
        <f>VLOOKUP($B73,'7. PGE_Efficacité'!$A$6:$CY$266,(MATCH('[3]4.4 ACE MAX SEN '!AF$4,'7. PGE_Efficacité'!$A$4:$AO$4,0)),0)</f>
        <v>0</v>
      </c>
      <c r="AG73" s="61">
        <f>VLOOKUP($B73,'7. PGE_Efficacité'!$A$6:$CY$266,(MATCH('[3]4.4 ACE MAX SEN '!AG$4,'7. PGE_Efficacité'!$A$4:$AO$4,0)),0)</f>
        <v>0</v>
      </c>
      <c r="AH73" s="61">
        <f>VLOOKUP($B73,'7. PGE_Efficacité'!$A$6:$CY$266,(MATCH('[3]4.4 ACE MAX SEN '!AH$4,'7. PGE_Efficacité'!$A$4:$AO$4,0)),0)</f>
        <v>0</v>
      </c>
      <c r="AI73" s="61">
        <f>VLOOKUP($B73,'7. PGE_Efficacité'!$A$6:$CY$266,(MATCH('[3]4.4 ACE MAX SEN '!AI$4,'7. PGE_Efficacité'!$A$4:$AO$4,0)),0)</f>
        <v>0</v>
      </c>
      <c r="AJ73" s="61">
        <f>VLOOKUP($B73,'7. PGE_Efficacité'!$A$6:$CY$266,(MATCH('[3]4.4 ACE MAX SEN '!AJ$4,'7. PGE_Efficacité'!$A$4:$AO$4,0)),0)</f>
        <v>0</v>
      </c>
      <c r="AK73" s="61">
        <f>VLOOKUP($B73,'7. PGE_Efficacité'!$A$6:$CY$266,(MATCH('[3]4.4 ACE MAX SEN '!AK$4,'7. PGE_Efficacité'!$A$4:$AO$4,0)),0)</f>
        <v>0</v>
      </c>
    </row>
    <row r="74" spans="1:37" hidden="1" outlineLevel="3" x14ac:dyDescent="0.25">
      <c r="A74" t="s">
        <v>4</v>
      </c>
      <c r="B74" s="65" t="s">
        <v>813</v>
      </c>
      <c r="C74" s="65" t="s">
        <v>1639</v>
      </c>
      <c r="D74" s="65"/>
      <c r="E74" s="65" t="s">
        <v>416</v>
      </c>
      <c r="F74" s="73"/>
      <c r="G74" s="64">
        <f>VLOOKUP($B74,'7. PGE_Efficacité'!$A$6:$CY$266,(MATCH('[3]4.4 ACE MAX SEN '!G$4,'7. PGE_Efficacité'!$A$4:$AO$4,0)),0)</f>
        <v>0</v>
      </c>
      <c r="H74" s="64">
        <f>VLOOKUP($B74,'7. PGE_Efficacité'!$A$6:$CY$266,(MATCH('[3]4.4 ACE MAX SEN '!H$4,'7. PGE_Efficacité'!$A$4:$AO$4,0)),0)</f>
        <v>0</v>
      </c>
      <c r="I74" s="64">
        <f>VLOOKUP($B74,'7. PGE_Efficacité'!$A$6:$CY$266,(MATCH('[3]4.4 ACE MAX SEN '!I$4,'7. PGE_Efficacité'!$A$4:$AO$4,0)),0)</f>
        <v>0</v>
      </c>
      <c r="J74" s="64">
        <f>VLOOKUP($B74,'7. PGE_Efficacité'!$A$6:$CY$266,(MATCH('[3]4.4 ACE MAX SEN '!J$4,'7. PGE_Efficacité'!$A$4:$AO$4,0)),0)</f>
        <v>0</v>
      </c>
      <c r="K74" s="64">
        <f>VLOOKUP($B74,'7. PGE_Efficacité'!$A$6:$CY$266,(MATCH('[3]4.4 ACE MAX SEN '!K$4,'7. PGE_Efficacité'!$A$4:$AO$4,0)),0)</f>
        <v>0</v>
      </c>
      <c r="L74" s="64">
        <f>VLOOKUP($B74,'7. PGE_Efficacité'!$A$6:$CY$266,(MATCH('[3]4.4 ACE MAX SEN '!L$4,'7. PGE_Efficacité'!$A$4:$AO$4,0)),0)</f>
        <v>0</v>
      </c>
      <c r="M74" s="64">
        <f>VLOOKUP($B74,'7. PGE_Efficacité'!$A$6:$CY$266,(MATCH('[3]4.4 ACE MAX SEN '!M$4,'7. PGE_Efficacité'!$A$4:$AO$4,0)),0)</f>
        <v>0</v>
      </c>
      <c r="N74" s="64">
        <f>VLOOKUP($B74,'7. PGE_Efficacité'!$A$6:$CY$266,(MATCH('[3]4.4 ACE MAX SEN '!N$4,'7. PGE_Efficacité'!$A$4:$AO$4,0)),0)</f>
        <v>0</v>
      </c>
      <c r="O74" s="64">
        <f>VLOOKUP($B74,'7. PGE_Efficacité'!$A$6:$CY$266,(MATCH('[3]4.4 ACE MAX SEN '!O$4,'7. PGE_Efficacité'!$A$4:$AO$4,0)),0)</f>
        <v>0</v>
      </c>
      <c r="P74" s="64">
        <f>VLOOKUP($B74,'7. PGE_Efficacité'!$A$6:$CY$266,(MATCH('[3]4.4 ACE MAX SEN '!P$4,'7. PGE_Efficacité'!$A$4:$AO$4,0)),0)</f>
        <v>0</v>
      </c>
      <c r="Q74" s="64">
        <f>VLOOKUP($B74,'7. PGE_Efficacité'!$A$6:$CY$266,(MATCH('[3]4.4 ACE MAX SEN '!Q$4,'7. PGE_Efficacité'!$A$4:$AO$4,0)),0)</f>
        <v>0</v>
      </c>
      <c r="R74" s="64">
        <f>VLOOKUP($B74,'7. PGE_Efficacité'!$A$6:$CY$266,(MATCH('[3]4.4 ACE MAX SEN '!R$4,'7. PGE_Efficacité'!$A$4:$AO$4,0)),0)</f>
        <v>0</v>
      </c>
      <c r="S74" s="64">
        <f>VLOOKUP($B74,'7. PGE_Efficacité'!$A$6:$CY$266,(MATCH('[3]4.4 ACE MAX SEN '!S$4,'7. PGE_Efficacité'!$A$4:$AO$4,0)),0)</f>
        <v>0</v>
      </c>
      <c r="T74" s="64">
        <f>VLOOKUP($B74,'7. PGE_Efficacité'!$A$6:$CY$266,(MATCH('[3]4.4 ACE MAX SEN '!T$4,'7. PGE_Efficacité'!$A$4:$AO$4,0)),0)</f>
        <v>0</v>
      </c>
      <c r="U74" s="64">
        <f>VLOOKUP($B74,'7. PGE_Efficacité'!$A$6:$CY$266,(MATCH('[3]4.4 ACE MAX SEN '!U$4,'7. PGE_Efficacité'!$A$4:$AO$4,0)),0)</f>
        <v>0</v>
      </c>
      <c r="V74" s="64">
        <f>VLOOKUP($B74,'7. PGE_Efficacité'!$A$6:$CY$266,(MATCH('[3]4.4 ACE MAX SEN '!V$4,'7. PGE_Efficacité'!$A$4:$AO$4,0)),0)</f>
        <v>0</v>
      </c>
      <c r="W74" s="61">
        <f>VLOOKUP($B74,'7. PGE_Efficacité'!$A$6:$CY$266,(MATCH('[3]4.4 ACE MAX SEN '!W$4,'7. PGE_Efficacité'!$A$4:$AO$4,0)),0)</f>
        <v>0</v>
      </c>
      <c r="X74" s="61">
        <f>VLOOKUP($B74,'7. PGE_Efficacité'!$A$6:$CY$266,(MATCH('[3]4.4 ACE MAX SEN '!X$4,'7. PGE_Efficacité'!$A$4:$AO$4,0)),0)</f>
        <v>0</v>
      </c>
      <c r="Y74" s="61">
        <f>VLOOKUP($B74,'7. PGE_Efficacité'!$A$6:$CY$266,(MATCH('[3]4.4 ACE MAX SEN '!Y$4,'7. PGE_Efficacité'!$A$4:$AO$4,0)),0)</f>
        <v>0</v>
      </c>
      <c r="Z74" s="61">
        <f>VLOOKUP($B74,'7. PGE_Efficacité'!$A$6:$CY$266,(MATCH('[3]4.4 ACE MAX SEN '!Z$4,'7. PGE_Efficacité'!$A$4:$AO$4,0)),0)</f>
        <v>0</v>
      </c>
      <c r="AA74" s="61">
        <f>VLOOKUP($B74,'7. PGE_Efficacité'!$A$6:$CY$266,(MATCH('[3]4.4 ACE MAX SEN '!AA$4,'7. PGE_Efficacité'!$A$4:$AO$4,0)),0)</f>
        <v>0</v>
      </c>
      <c r="AB74" s="61">
        <f>VLOOKUP($B74,'7. PGE_Efficacité'!$A$6:$CY$266,(MATCH('[3]4.4 ACE MAX SEN '!AB$4,'7. PGE_Efficacité'!$A$4:$AO$4,0)),0)</f>
        <v>0</v>
      </c>
      <c r="AC74" s="61">
        <f>VLOOKUP($B74,'7. PGE_Efficacité'!$A$6:$CY$266,(MATCH('[3]4.4 ACE MAX SEN '!AC$4,'7. PGE_Efficacité'!$A$4:$AO$4,0)),0)</f>
        <v>0</v>
      </c>
      <c r="AD74" s="61">
        <f>VLOOKUP($B74,'7. PGE_Efficacité'!$A$6:$CY$266,(MATCH('[3]4.4 ACE MAX SEN '!AD$4,'7. PGE_Efficacité'!$A$4:$AO$4,0)),0)</f>
        <v>0</v>
      </c>
      <c r="AE74" s="61">
        <f>VLOOKUP($B74,'7. PGE_Efficacité'!$A$6:$CY$266,(MATCH('[3]4.4 ACE MAX SEN '!AE$4,'7. PGE_Efficacité'!$A$4:$AO$4,0)),0)</f>
        <v>0</v>
      </c>
      <c r="AF74" s="61">
        <f>VLOOKUP($B74,'7. PGE_Efficacité'!$A$6:$CY$266,(MATCH('[3]4.4 ACE MAX SEN '!AF$4,'7. PGE_Efficacité'!$A$4:$AO$4,0)),0)</f>
        <v>0</v>
      </c>
      <c r="AG74" s="61">
        <f>VLOOKUP($B74,'7. PGE_Efficacité'!$A$6:$CY$266,(MATCH('[3]4.4 ACE MAX SEN '!AG$4,'7. PGE_Efficacité'!$A$4:$AO$4,0)),0)</f>
        <v>0</v>
      </c>
      <c r="AH74" s="61">
        <f>VLOOKUP($B74,'7. PGE_Efficacité'!$A$6:$CY$266,(MATCH('[3]4.4 ACE MAX SEN '!AH$4,'7. PGE_Efficacité'!$A$4:$AO$4,0)),0)</f>
        <v>0</v>
      </c>
      <c r="AI74" s="61">
        <f>VLOOKUP($B74,'7. PGE_Efficacité'!$A$6:$CY$266,(MATCH('[3]4.4 ACE MAX SEN '!AI$4,'7. PGE_Efficacité'!$A$4:$AO$4,0)),0)</f>
        <v>0</v>
      </c>
      <c r="AJ74" s="61">
        <f>VLOOKUP($B74,'7. PGE_Efficacité'!$A$6:$CY$266,(MATCH('[3]4.4 ACE MAX SEN '!AJ$4,'7. PGE_Efficacité'!$A$4:$AO$4,0)),0)</f>
        <v>0</v>
      </c>
      <c r="AK74" s="61">
        <f>VLOOKUP($B74,'7. PGE_Efficacité'!$A$6:$CY$266,(MATCH('[3]4.4 ACE MAX SEN '!AK$4,'7. PGE_Efficacité'!$A$4:$AO$4,0)),0)</f>
        <v>0</v>
      </c>
    </row>
    <row r="75" spans="1:37" ht="39" outlineLevel="1" collapsed="1" x14ac:dyDescent="0.25">
      <c r="A75" s="157" t="s">
        <v>7</v>
      </c>
      <c r="B75" s="63"/>
      <c r="C75" s="156" t="s">
        <v>231</v>
      </c>
      <c r="D75" s="63"/>
      <c r="E75" s="63"/>
      <c r="F75" s="72">
        <f>MEDIAN(VLOOKUP(A75,'4. Mesures_ACE_Budget'!$A$3:$J$31,9,0),VLOOKUP(A75,'4. Mesures_ACE_Budget'!$A$3:$J$31,10,0))</f>
        <v>421200000</v>
      </c>
      <c r="G75" s="182" t="str">
        <f>VLOOKUP($A75,'7. PGE_Efficacité'!$A$6:$CY$266,(MATCH('[2]4.4 ACE MAX SEN '!G$4,'7. PGE_Efficacité'!$A$4:$AO$4,0)),0)</f>
        <v>++</v>
      </c>
      <c r="H75" s="182" t="str">
        <f>VLOOKUP($A75,'7. PGE_Efficacité'!$A$6:$CY$266,(MATCH('[2]4.4 ACE MAX SEN '!H$4,'7. PGE_Efficacité'!$A$4:$AO$4,0)),0)</f>
        <v>++</v>
      </c>
      <c r="I75" s="182" t="str">
        <f>VLOOKUP($A75,'7. PGE_Efficacité'!$A$6:$CY$266,(MATCH('[2]4.4 ACE MAX SEN '!I$4,'7. PGE_Efficacité'!$A$4:$AO$4,0)),0)</f>
        <v>++</v>
      </c>
      <c r="J75" s="182" t="str">
        <f>VLOOKUP($A75,'7. PGE_Efficacité'!$A$6:$CY$266,(MATCH('[2]4.4 ACE MAX SEN '!J$4,'7. PGE_Efficacité'!$A$4:$AO$4,0)),0)</f>
        <v>++</v>
      </c>
      <c r="K75" s="182" t="str">
        <f>VLOOKUP($A75,'7. PGE_Efficacité'!$A$6:$CY$266,(MATCH('[2]4.4 ACE MAX SEN '!K$4,'7. PGE_Efficacité'!$A$4:$AO$4,0)),0)</f>
        <v>++</v>
      </c>
      <c r="L75" s="182" t="str">
        <f>VLOOKUP($A75,'7. PGE_Efficacité'!$A$6:$CY$266,(MATCH('[2]4.4 ACE MAX SEN '!L$4,'7. PGE_Efficacité'!$A$4:$AO$4,0)),0)</f>
        <v>++</v>
      </c>
      <c r="M75" s="182" t="str">
        <f>VLOOKUP($A75,'7. PGE_Efficacité'!$A$6:$CY$266,(MATCH('[2]4.4 ACE MAX SEN '!M$4,'7. PGE_Efficacité'!$A$4:$AO$4,0)),0)</f>
        <v>+++</v>
      </c>
      <c r="N75" s="182" t="str">
        <f>VLOOKUP($A75,'7. PGE_Efficacité'!$A$6:$CY$266,(MATCH('[2]4.4 ACE MAX SEN '!N$4,'7. PGE_Efficacité'!$A$4:$AO$4,0)),0)</f>
        <v>++</v>
      </c>
      <c r="O75" s="182" t="str">
        <f>VLOOKUP($A75,'7. PGE_Efficacité'!$A$6:$CY$266,(MATCH('[2]4.4 ACE MAX SEN '!O$4,'7. PGE_Efficacité'!$A$4:$AO$4,0)),0)</f>
        <v>+</v>
      </c>
      <c r="P75" s="182" t="str">
        <f>VLOOKUP($A75,'7. PGE_Efficacité'!$A$6:$CY$266,(MATCH('[2]4.4 ACE MAX SEN '!P$4,'7. PGE_Efficacité'!$A$4:$AO$4,0)),0)</f>
        <v>+</v>
      </c>
      <c r="Q75" s="182" t="str">
        <f>VLOOKUP($A75,'7. PGE_Efficacité'!$A$6:$CY$266,(MATCH('[2]4.4 ACE MAX SEN '!Q$4,'7. PGE_Efficacité'!$A$4:$AO$4,0)),0)</f>
        <v>+</v>
      </c>
      <c r="R75" s="182">
        <f>VLOOKUP($A75,'7. PGE_Efficacité'!$A$6:$CY$266,(MATCH('[2]4.4 ACE MAX SEN '!R$4,'7. PGE_Efficacité'!$A$4:$AO$4,0)),0)</f>
        <v>0</v>
      </c>
      <c r="S75" s="182" t="str">
        <f>VLOOKUP($A75,'7. PGE_Efficacité'!$A$6:$CY$266,(MATCH('[2]4.4 ACE MAX SEN '!S$4,'7. PGE_Efficacité'!$A$4:$AO$4,0)),0)</f>
        <v>+</v>
      </c>
      <c r="T75" s="182" t="str">
        <f>VLOOKUP($A75,'7. PGE_Efficacité'!$A$6:$CY$266,(MATCH('[2]4.4 ACE MAX SEN '!T$4,'7. PGE_Efficacité'!$A$4:$AO$4,0)),0)</f>
        <v>++</v>
      </c>
      <c r="U75" s="182" t="str">
        <f>VLOOKUP($A75,'7. PGE_Efficacité'!$A$6:$CY$266,(MATCH('[2]4.4 ACE MAX SEN '!U$4,'7. PGE_Efficacité'!$A$4:$AO$4,0)),0)</f>
        <v>+</v>
      </c>
      <c r="V75" s="182" t="str">
        <f>VLOOKUP($A75,'7. PGE_Efficacité'!$A$6:$CY$266,(MATCH('[2]4.4 ACE MAX SEN '!V$4,'7. PGE_Efficacité'!$A$4:$AO$4,0)),0)</f>
        <v>++</v>
      </c>
      <c r="W75" s="183" t="str">
        <f>VLOOKUP($A75,'7. PGE_Efficacité'!$A$6:$CY$266,(MATCH('[2]4.4 ACE MAX SEN '!W$4,'7. PGE_Efficacité'!$A$4:$AO$4,0)),0)</f>
        <v>+++</v>
      </c>
      <c r="X75" s="183" t="str">
        <f>VLOOKUP($A75,'7. PGE_Efficacité'!$A$6:$CY$266,(MATCH('[2]4.4 ACE MAX SEN '!X$4,'7. PGE_Efficacité'!$A$4:$AO$4,0)),0)</f>
        <v>+++</v>
      </c>
      <c r="Y75" s="183" t="str">
        <f>VLOOKUP($A75,'7. PGE_Efficacité'!$A$6:$CY$266,(MATCH('[2]4.4 ACE MAX SEN '!Y$4,'7. PGE_Efficacité'!$A$4:$AO$4,0)),0)</f>
        <v>+++</v>
      </c>
      <c r="Z75" s="183" t="str">
        <f>VLOOKUP($A75,'7. PGE_Efficacité'!$A$6:$CY$266,(MATCH('[2]4.4 ACE MAX SEN '!Z$4,'7. PGE_Efficacité'!$A$4:$AO$4,0)),0)</f>
        <v>+++</v>
      </c>
      <c r="AA75" s="183" t="str">
        <f>VLOOKUP($A75,'7. PGE_Efficacité'!$A$6:$CY$266,(MATCH('[2]4.4 ACE MAX SEN '!AA$4,'7. PGE_Efficacité'!$A$4:$AO$4,0)),0)</f>
        <v>+++</v>
      </c>
      <c r="AB75" s="183" t="str">
        <f>VLOOKUP($A75,'7. PGE_Efficacité'!$A$6:$CY$266,(MATCH('[2]4.4 ACE MAX SEN '!AB$4,'7. PGE_Efficacité'!$A$4:$AO$4,0)),0)</f>
        <v>+++</v>
      </c>
      <c r="AC75" s="183" t="str">
        <f>VLOOKUP($A75,'7. PGE_Efficacité'!$A$6:$CY$266,(MATCH('[2]4.4 ACE MAX SEN '!AC$4,'7. PGE_Efficacité'!$A$4:$AO$4,0)),0)</f>
        <v>+++</v>
      </c>
      <c r="AD75" s="183">
        <f>VLOOKUP($A75,'7. PGE_Efficacité'!$A$6:$CY$266,(MATCH('[2]4.4 ACE MAX SEN '!AD$4,'7. PGE_Efficacité'!$A$4:$AO$4,0)),0)</f>
        <v>0</v>
      </c>
      <c r="AE75" s="183">
        <f>VLOOKUP($A75,'7. PGE_Efficacité'!$A$6:$CY$266,(MATCH('[2]4.4 ACE MAX SEN '!AE$4,'7. PGE_Efficacité'!$A$4:$AO$4,0)),0)</f>
        <v>0</v>
      </c>
      <c r="AF75" s="183">
        <f>VLOOKUP($A75,'7. PGE_Efficacité'!$A$6:$CY$266,(MATCH('[2]4.4 ACE MAX SEN '!AF$4,'7. PGE_Efficacité'!$A$4:$AO$4,0)),0)</f>
        <v>0</v>
      </c>
      <c r="AG75" s="183">
        <f>VLOOKUP($A75,'7. PGE_Efficacité'!$A$6:$CY$266,(MATCH('[2]4.4 ACE MAX SEN '!AG$4,'7. PGE_Efficacité'!$A$4:$AO$4,0)),0)</f>
        <v>0</v>
      </c>
      <c r="AH75" s="183" t="str">
        <f>VLOOKUP($A75,'7. PGE_Efficacité'!$A$6:$CY$266,(MATCH('[2]4.4 ACE MAX SEN '!AH$4,'7. PGE_Efficacité'!$A$4:$AO$4,0)),0)</f>
        <v>++++</v>
      </c>
      <c r="AI75" s="183" t="str">
        <f>VLOOKUP($A75,'7. PGE_Efficacité'!$A$6:$CY$266,(MATCH('[2]4.4 ACE MAX SEN '!AI$4,'7. PGE_Efficacité'!$A$4:$AO$4,0)),0)</f>
        <v>++++</v>
      </c>
      <c r="AJ75" s="183" t="str">
        <f>VLOOKUP($A75,'7. PGE_Efficacité'!$A$6:$CY$266,(MATCH('[2]4.4 ACE MAX SEN '!AJ$4,'7. PGE_Efficacité'!$A$4:$AO$4,0)),0)</f>
        <v>++++</v>
      </c>
      <c r="AK75" s="183" t="str">
        <f>VLOOKUP($A75,'7. PGE_Efficacité'!$A$6:$CY$266,(MATCH('[2]4.4 ACE MAX SEN '!AK$4,'7. PGE_Efficacité'!$A$4:$AO$4,0)),0)</f>
        <v>++++</v>
      </c>
    </row>
    <row r="76" spans="1:37" hidden="1" outlineLevel="2" x14ac:dyDescent="0.25">
      <c r="A76" s="65" t="s">
        <v>7</v>
      </c>
      <c r="B76" s="65" t="s">
        <v>834</v>
      </c>
      <c r="C76" s="65" t="s">
        <v>1464</v>
      </c>
      <c r="D76" s="65" t="s">
        <v>1522</v>
      </c>
      <c r="E76" s="65" t="s">
        <v>1290</v>
      </c>
      <c r="F76" s="73"/>
      <c r="G76" s="64">
        <f>VLOOKUP($B76,'7. PGE_Efficacité'!$A$6:$CY$266,(MATCH('[3]4.4 ACE MAX SEN '!G$4,'7. PGE_Efficacité'!$A$4:$AO$4,0)),0)</f>
        <v>0</v>
      </c>
      <c r="H76" s="64">
        <f>VLOOKUP($B76,'7. PGE_Efficacité'!$A$6:$CY$266,(MATCH('[3]4.4 ACE MAX SEN '!H$4,'7. PGE_Efficacité'!$A$4:$AO$4,0)),0)</f>
        <v>0</v>
      </c>
      <c r="I76" s="64">
        <f>VLOOKUP($B76,'7. PGE_Efficacité'!$A$6:$CY$266,(MATCH('[3]4.4 ACE MAX SEN '!I$4,'7. PGE_Efficacité'!$A$4:$AO$4,0)),0)</f>
        <v>0</v>
      </c>
      <c r="J76" s="64">
        <f>VLOOKUP($B76,'7. PGE_Efficacité'!$A$6:$CY$266,(MATCH('[3]4.4 ACE MAX SEN '!J$4,'7. PGE_Efficacité'!$A$4:$AO$4,0)),0)</f>
        <v>0</v>
      </c>
      <c r="K76" s="64">
        <f>VLOOKUP($B76,'7. PGE_Efficacité'!$A$6:$CY$266,(MATCH('[3]4.4 ACE MAX SEN '!K$4,'7. PGE_Efficacité'!$A$4:$AO$4,0)),0)</f>
        <v>0</v>
      </c>
      <c r="L76" s="64">
        <f>VLOOKUP($B76,'7. PGE_Efficacité'!$A$6:$CY$266,(MATCH('[3]4.4 ACE MAX SEN '!L$4,'7. PGE_Efficacité'!$A$4:$AO$4,0)),0)</f>
        <v>0</v>
      </c>
      <c r="M76" s="64">
        <f>VLOOKUP($B76,'7. PGE_Efficacité'!$A$6:$CY$266,(MATCH('[3]4.4 ACE MAX SEN '!M$4,'7. PGE_Efficacité'!$A$4:$AO$4,0)),0)</f>
        <v>0</v>
      </c>
      <c r="N76" s="64">
        <f>VLOOKUP($B76,'7. PGE_Efficacité'!$A$6:$CY$266,(MATCH('[3]4.4 ACE MAX SEN '!N$4,'7. PGE_Efficacité'!$A$4:$AO$4,0)),0)</f>
        <v>0</v>
      </c>
      <c r="O76" s="64">
        <f>VLOOKUP($B76,'7. PGE_Efficacité'!$A$6:$CY$266,(MATCH('[3]4.4 ACE MAX SEN '!O$4,'7. PGE_Efficacité'!$A$4:$AO$4,0)),0)</f>
        <v>0</v>
      </c>
      <c r="P76" s="64">
        <f>VLOOKUP($B76,'7. PGE_Efficacité'!$A$6:$CY$266,(MATCH('[3]4.4 ACE MAX SEN '!P$4,'7. PGE_Efficacité'!$A$4:$AO$4,0)),0)</f>
        <v>0</v>
      </c>
      <c r="Q76" s="64">
        <f>VLOOKUP($B76,'7. PGE_Efficacité'!$A$6:$CY$266,(MATCH('[3]4.4 ACE MAX SEN '!Q$4,'7. PGE_Efficacité'!$A$4:$AO$4,0)),0)</f>
        <v>0</v>
      </c>
      <c r="R76" s="64">
        <f>VLOOKUP($B76,'7. PGE_Efficacité'!$A$6:$CY$266,(MATCH('[3]4.4 ACE MAX SEN '!R$4,'7. PGE_Efficacité'!$A$4:$AO$4,0)),0)</f>
        <v>0</v>
      </c>
      <c r="S76" s="64">
        <f>VLOOKUP($B76,'7. PGE_Efficacité'!$A$6:$CY$266,(MATCH('[3]4.4 ACE MAX SEN '!S$4,'7. PGE_Efficacité'!$A$4:$AO$4,0)),0)</f>
        <v>0</v>
      </c>
      <c r="T76" s="64">
        <f>VLOOKUP($B76,'7. PGE_Efficacité'!$A$6:$CY$266,(MATCH('[3]4.4 ACE MAX SEN '!T$4,'7. PGE_Efficacité'!$A$4:$AO$4,0)),0)</f>
        <v>0</v>
      </c>
      <c r="U76" s="64">
        <f>VLOOKUP($B76,'7. PGE_Efficacité'!$A$6:$CY$266,(MATCH('[3]4.4 ACE MAX SEN '!U$4,'7. PGE_Efficacité'!$A$4:$AO$4,0)),0)</f>
        <v>0</v>
      </c>
      <c r="V76" s="64">
        <f>VLOOKUP($B76,'7. PGE_Efficacité'!$A$6:$CY$266,(MATCH('[3]4.4 ACE MAX SEN '!V$4,'7. PGE_Efficacité'!$A$4:$AO$4,0)),0)</f>
        <v>0</v>
      </c>
      <c r="W76" s="61">
        <f>VLOOKUP($B76,'7. PGE_Efficacité'!$A$6:$CY$266,(MATCH('[3]4.4 ACE MAX SEN '!W$4,'7. PGE_Efficacité'!$A$4:$AO$4,0)),0)</f>
        <v>0</v>
      </c>
      <c r="X76" s="61">
        <f>VLOOKUP($B76,'7. PGE_Efficacité'!$A$6:$CY$266,(MATCH('[3]4.4 ACE MAX SEN '!X$4,'7. PGE_Efficacité'!$A$4:$AO$4,0)),0)</f>
        <v>0</v>
      </c>
      <c r="Y76" s="61">
        <f>VLOOKUP($B76,'7. PGE_Efficacité'!$A$6:$CY$266,(MATCH('[3]4.4 ACE MAX SEN '!Y$4,'7. PGE_Efficacité'!$A$4:$AO$4,0)),0)</f>
        <v>0</v>
      </c>
      <c r="Z76" s="61">
        <f>VLOOKUP($B76,'7. PGE_Efficacité'!$A$6:$CY$266,(MATCH('[3]4.4 ACE MAX SEN '!Z$4,'7. PGE_Efficacité'!$A$4:$AO$4,0)),0)</f>
        <v>0</v>
      </c>
      <c r="AA76" s="61">
        <f>VLOOKUP($B76,'7. PGE_Efficacité'!$A$6:$CY$266,(MATCH('[3]4.4 ACE MAX SEN '!AA$4,'7. PGE_Efficacité'!$A$4:$AO$4,0)),0)</f>
        <v>0</v>
      </c>
      <c r="AB76" s="61">
        <f>VLOOKUP($B76,'7. PGE_Efficacité'!$A$6:$CY$266,(MATCH('[3]4.4 ACE MAX SEN '!AB$4,'7. PGE_Efficacité'!$A$4:$AO$4,0)),0)</f>
        <v>0</v>
      </c>
      <c r="AC76" s="61">
        <f>VLOOKUP($B76,'7. PGE_Efficacité'!$A$6:$CY$266,(MATCH('[3]4.4 ACE MAX SEN '!AC$4,'7. PGE_Efficacité'!$A$4:$AO$4,0)),0)</f>
        <v>0</v>
      </c>
      <c r="AD76" s="61">
        <f>VLOOKUP($B76,'7. PGE_Efficacité'!$A$6:$CY$266,(MATCH('[3]4.4 ACE MAX SEN '!AD$4,'7. PGE_Efficacité'!$A$4:$AO$4,0)),0)</f>
        <v>0</v>
      </c>
      <c r="AE76" s="61">
        <f>VLOOKUP($B76,'7. PGE_Efficacité'!$A$6:$CY$266,(MATCH('[3]4.4 ACE MAX SEN '!AE$4,'7. PGE_Efficacité'!$A$4:$AO$4,0)),0)</f>
        <v>0</v>
      </c>
      <c r="AF76" s="61">
        <f>VLOOKUP($B76,'7. PGE_Efficacité'!$A$6:$CY$266,(MATCH('[3]4.4 ACE MAX SEN '!AF$4,'7. PGE_Efficacité'!$A$4:$AO$4,0)),0)</f>
        <v>0</v>
      </c>
      <c r="AG76" s="61">
        <f>VLOOKUP($B76,'7. PGE_Efficacité'!$A$6:$CY$266,(MATCH('[3]4.4 ACE MAX SEN '!AG$4,'7. PGE_Efficacité'!$A$4:$AO$4,0)),0)</f>
        <v>0</v>
      </c>
      <c r="AH76" s="61">
        <f>VLOOKUP($B76,'7. PGE_Efficacité'!$A$6:$CY$266,(MATCH('[3]4.4 ACE MAX SEN '!AH$4,'7. PGE_Efficacité'!$A$4:$AO$4,0)),0)</f>
        <v>0</v>
      </c>
      <c r="AI76" s="61">
        <f>VLOOKUP($B76,'7. PGE_Efficacité'!$A$6:$CY$266,(MATCH('[3]4.4 ACE MAX SEN '!AI$4,'7. PGE_Efficacité'!$A$4:$AO$4,0)),0)</f>
        <v>0</v>
      </c>
      <c r="AJ76" s="61">
        <f>VLOOKUP($B76,'7. PGE_Efficacité'!$A$6:$CY$266,(MATCH('[3]4.4 ACE MAX SEN '!AJ$4,'7. PGE_Efficacité'!$A$4:$AO$4,0)),0)</f>
        <v>0</v>
      </c>
      <c r="AK76" s="61">
        <f>VLOOKUP($B76,'7. PGE_Efficacité'!$A$6:$CY$266,(MATCH('[3]4.4 ACE MAX SEN '!AK$4,'7. PGE_Efficacité'!$A$4:$AO$4,0)),0)</f>
        <v>0</v>
      </c>
    </row>
    <row r="77" spans="1:37" hidden="1" outlineLevel="2" x14ac:dyDescent="0.25">
      <c r="A77" s="65" t="s">
        <v>7</v>
      </c>
      <c r="B77" s="65" t="s">
        <v>835</v>
      </c>
      <c r="C77" s="65" t="s">
        <v>1465</v>
      </c>
      <c r="D77" s="65" t="s">
        <v>1522</v>
      </c>
      <c r="E77" s="65" t="s">
        <v>1290</v>
      </c>
      <c r="F77" s="73"/>
      <c r="G77" s="64">
        <f>VLOOKUP($B77,'7. PGE_Efficacité'!$A$6:$CY$266,(MATCH('[3]4.4 ACE MAX SEN '!G$4,'7. PGE_Efficacité'!$A$4:$AO$4,0)),0)</f>
        <v>0</v>
      </c>
      <c r="H77" s="64">
        <f>VLOOKUP($B77,'7. PGE_Efficacité'!$A$6:$CY$266,(MATCH('[3]4.4 ACE MAX SEN '!H$4,'7. PGE_Efficacité'!$A$4:$AO$4,0)),0)</f>
        <v>0</v>
      </c>
      <c r="I77" s="64">
        <f>VLOOKUP($B77,'7. PGE_Efficacité'!$A$6:$CY$266,(MATCH('[3]4.4 ACE MAX SEN '!I$4,'7. PGE_Efficacité'!$A$4:$AO$4,0)),0)</f>
        <v>0</v>
      </c>
      <c r="J77" s="64">
        <f>VLOOKUP($B77,'7. PGE_Efficacité'!$A$6:$CY$266,(MATCH('[3]4.4 ACE MAX SEN '!J$4,'7. PGE_Efficacité'!$A$4:$AO$4,0)),0)</f>
        <v>0</v>
      </c>
      <c r="K77" s="64">
        <f>VLOOKUP($B77,'7. PGE_Efficacité'!$A$6:$CY$266,(MATCH('[3]4.4 ACE MAX SEN '!K$4,'7. PGE_Efficacité'!$A$4:$AO$4,0)),0)</f>
        <v>0</v>
      </c>
      <c r="L77" s="64">
        <f>VLOOKUP($B77,'7. PGE_Efficacité'!$A$6:$CY$266,(MATCH('[3]4.4 ACE MAX SEN '!L$4,'7. PGE_Efficacité'!$A$4:$AO$4,0)),0)</f>
        <v>0</v>
      </c>
      <c r="M77" s="64">
        <f>VLOOKUP($B77,'7. PGE_Efficacité'!$A$6:$CY$266,(MATCH('[3]4.4 ACE MAX SEN '!M$4,'7. PGE_Efficacité'!$A$4:$AO$4,0)),0)</f>
        <v>0</v>
      </c>
      <c r="N77" s="64">
        <f>VLOOKUP($B77,'7. PGE_Efficacité'!$A$6:$CY$266,(MATCH('[3]4.4 ACE MAX SEN '!N$4,'7. PGE_Efficacité'!$A$4:$AO$4,0)),0)</f>
        <v>0</v>
      </c>
      <c r="O77" s="64">
        <f>VLOOKUP($B77,'7. PGE_Efficacité'!$A$6:$CY$266,(MATCH('[3]4.4 ACE MAX SEN '!O$4,'7. PGE_Efficacité'!$A$4:$AO$4,0)),0)</f>
        <v>0</v>
      </c>
      <c r="P77" s="64">
        <f>VLOOKUP($B77,'7. PGE_Efficacité'!$A$6:$CY$266,(MATCH('[3]4.4 ACE MAX SEN '!P$4,'7. PGE_Efficacité'!$A$4:$AO$4,0)),0)</f>
        <v>0</v>
      </c>
      <c r="Q77" s="64">
        <f>VLOOKUP($B77,'7. PGE_Efficacité'!$A$6:$CY$266,(MATCH('[3]4.4 ACE MAX SEN '!Q$4,'7. PGE_Efficacité'!$A$4:$AO$4,0)),0)</f>
        <v>0</v>
      </c>
      <c r="R77" s="64">
        <f>VLOOKUP($B77,'7. PGE_Efficacité'!$A$6:$CY$266,(MATCH('[3]4.4 ACE MAX SEN '!R$4,'7. PGE_Efficacité'!$A$4:$AO$4,0)),0)</f>
        <v>0</v>
      </c>
      <c r="S77" s="64">
        <f>VLOOKUP($B77,'7. PGE_Efficacité'!$A$6:$CY$266,(MATCH('[3]4.4 ACE MAX SEN '!S$4,'7. PGE_Efficacité'!$A$4:$AO$4,0)),0)</f>
        <v>0</v>
      </c>
      <c r="T77" s="64">
        <f>VLOOKUP($B77,'7. PGE_Efficacité'!$A$6:$CY$266,(MATCH('[3]4.4 ACE MAX SEN '!T$4,'7. PGE_Efficacité'!$A$4:$AO$4,0)),0)</f>
        <v>0</v>
      </c>
      <c r="U77" s="64">
        <f>VLOOKUP($B77,'7. PGE_Efficacité'!$A$6:$CY$266,(MATCH('[3]4.4 ACE MAX SEN '!U$4,'7. PGE_Efficacité'!$A$4:$AO$4,0)),0)</f>
        <v>0</v>
      </c>
      <c r="V77" s="64">
        <f>VLOOKUP($B77,'7. PGE_Efficacité'!$A$6:$CY$266,(MATCH('[3]4.4 ACE MAX SEN '!V$4,'7. PGE_Efficacité'!$A$4:$AO$4,0)),0)</f>
        <v>0</v>
      </c>
      <c r="W77" s="61">
        <f>VLOOKUP($B77,'7. PGE_Efficacité'!$A$6:$CY$266,(MATCH('[3]4.4 ACE MAX SEN '!W$4,'7. PGE_Efficacité'!$A$4:$AO$4,0)),0)</f>
        <v>0</v>
      </c>
      <c r="X77" s="61">
        <f>VLOOKUP($B77,'7. PGE_Efficacité'!$A$6:$CY$266,(MATCH('[3]4.4 ACE MAX SEN '!X$4,'7. PGE_Efficacité'!$A$4:$AO$4,0)),0)</f>
        <v>0</v>
      </c>
      <c r="Y77" s="61">
        <f>VLOOKUP($B77,'7. PGE_Efficacité'!$A$6:$CY$266,(MATCH('[3]4.4 ACE MAX SEN '!Y$4,'7. PGE_Efficacité'!$A$4:$AO$4,0)),0)</f>
        <v>0</v>
      </c>
      <c r="Z77" s="61">
        <f>VLOOKUP($B77,'7. PGE_Efficacité'!$A$6:$CY$266,(MATCH('[3]4.4 ACE MAX SEN '!Z$4,'7. PGE_Efficacité'!$A$4:$AO$4,0)),0)</f>
        <v>0</v>
      </c>
      <c r="AA77" s="61">
        <f>VLOOKUP($B77,'7. PGE_Efficacité'!$A$6:$CY$266,(MATCH('[3]4.4 ACE MAX SEN '!AA$4,'7. PGE_Efficacité'!$A$4:$AO$4,0)),0)</f>
        <v>0</v>
      </c>
      <c r="AB77" s="61">
        <f>VLOOKUP($B77,'7. PGE_Efficacité'!$A$6:$CY$266,(MATCH('[3]4.4 ACE MAX SEN '!AB$4,'7. PGE_Efficacité'!$A$4:$AO$4,0)),0)</f>
        <v>0</v>
      </c>
      <c r="AC77" s="61">
        <f>VLOOKUP($B77,'7. PGE_Efficacité'!$A$6:$CY$266,(MATCH('[3]4.4 ACE MAX SEN '!AC$4,'7. PGE_Efficacité'!$A$4:$AO$4,0)),0)</f>
        <v>0</v>
      </c>
      <c r="AD77" s="61">
        <f>VLOOKUP($B77,'7. PGE_Efficacité'!$A$6:$CY$266,(MATCH('[3]4.4 ACE MAX SEN '!AD$4,'7. PGE_Efficacité'!$A$4:$AO$4,0)),0)</f>
        <v>0</v>
      </c>
      <c r="AE77" s="61">
        <f>VLOOKUP($B77,'7. PGE_Efficacité'!$A$6:$CY$266,(MATCH('[3]4.4 ACE MAX SEN '!AE$4,'7. PGE_Efficacité'!$A$4:$AO$4,0)),0)</f>
        <v>0</v>
      </c>
      <c r="AF77" s="61">
        <f>VLOOKUP($B77,'7. PGE_Efficacité'!$A$6:$CY$266,(MATCH('[3]4.4 ACE MAX SEN '!AF$4,'7. PGE_Efficacité'!$A$4:$AO$4,0)),0)</f>
        <v>0</v>
      </c>
      <c r="AG77" s="61">
        <f>VLOOKUP($B77,'7. PGE_Efficacité'!$A$6:$CY$266,(MATCH('[3]4.4 ACE MAX SEN '!AG$4,'7. PGE_Efficacité'!$A$4:$AO$4,0)),0)</f>
        <v>0</v>
      </c>
      <c r="AH77" s="61">
        <f>VLOOKUP($B77,'7. PGE_Efficacité'!$A$6:$CY$266,(MATCH('[3]4.4 ACE MAX SEN '!AH$4,'7. PGE_Efficacité'!$A$4:$AO$4,0)),0)</f>
        <v>0</v>
      </c>
      <c r="AI77" s="61">
        <f>VLOOKUP($B77,'7. PGE_Efficacité'!$A$6:$CY$266,(MATCH('[3]4.4 ACE MAX SEN '!AI$4,'7. PGE_Efficacité'!$A$4:$AO$4,0)),0)</f>
        <v>0</v>
      </c>
      <c r="AJ77" s="61">
        <f>VLOOKUP($B77,'7. PGE_Efficacité'!$A$6:$CY$266,(MATCH('[3]4.4 ACE MAX SEN '!AJ$4,'7. PGE_Efficacité'!$A$4:$AO$4,0)),0)</f>
        <v>0</v>
      </c>
      <c r="AK77" s="61">
        <f>VLOOKUP($B77,'7. PGE_Efficacité'!$A$6:$CY$266,(MATCH('[3]4.4 ACE MAX SEN '!AK$4,'7. PGE_Efficacité'!$A$4:$AO$4,0)),0)</f>
        <v>0</v>
      </c>
    </row>
    <row r="78" spans="1:37" hidden="1" outlineLevel="2" x14ac:dyDescent="0.25">
      <c r="A78" s="65" t="s">
        <v>7</v>
      </c>
      <c r="B78" s="65" t="s">
        <v>836</v>
      </c>
      <c r="C78" s="65" t="s">
        <v>1466</v>
      </c>
      <c r="D78" s="65" t="s">
        <v>1522</v>
      </c>
      <c r="E78" s="65" t="s">
        <v>1290</v>
      </c>
      <c r="F78" s="73"/>
      <c r="G78" s="64">
        <f>VLOOKUP($B78,'7. PGE_Efficacité'!$A$6:$CY$266,(MATCH('[3]4.4 ACE MAX SEN '!G$4,'7. PGE_Efficacité'!$A$4:$AO$4,0)),0)</f>
        <v>0</v>
      </c>
      <c r="H78" s="64">
        <f>VLOOKUP($B78,'7. PGE_Efficacité'!$A$6:$CY$266,(MATCH('[3]4.4 ACE MAX SEN '!H$4,'7. PGE_Efficacité'!$A$4:$AO$4,0)),0)</f>
        <v>0</v>
      </c>
      <c r="I78" s="64">
        <f>VLOOKUP($B78,'7. PGE_Efficacité'!$A$6:$CY$266,(MATCH('[3]4.4 ACE MAX SEN '!I$4,'7. PGE_Efficacité'!$A$4:$AO$4,0)),0)</f>
        <v>0</v>
      </c>
      <c r="J78" s="64">
        <f>VLOOKUP($B78,'7. PGE_Efficacité'!$A$6:$CY$266,(MATCH('[3]4.4 ACE MAX SEN '!J$4,'7. PGE_Efficacité'!$A$4:$AO$4,0)),0)</f>
        <v>0</v>
      </c>
      <c r="K78" s="64">
        <f>VLOOKUP($B78,'7. PGE_Efficacité'!$A$6:$CY$266,(MATCH('[3]4.4 ACE MAX SEN '!K$4,'7. PGE_Efficacité'!$A$4:$AO$4,0)),0)</f>
        <v>0</v>
      </c>
      <c r="L78" s="64">
        <f>VLOOKUP($B78,'7. PGE_Efficacité'!$A$6:$CY$266,(MATCH('[3]4.4 ACE MAX SEN '!L$4,'7. PGE_Efficacité'!$A$4:$AO$4,0)),0)</f>
        <v>0</v>
      </c>
      <c r="M78" s="64">
        <f>VLOOKUP($B78,'7. PGE_Efficacité'!$A$6:$CY$266,(MATCH('[3]4.4 ACE MAX SEN '!M$4,'7. PGE_Efficacité'!$A$4:$AO$4,0)),0)</f>
        <v>0</v>
      </c>
      <c r="N78" s="64">
        <f>VLOOKUP($B78,'7. PGE_Efficacité'!$A$6:$CY$266,(MATCH('[3]4.4 ACE MAX SEN '!N$4,'7. PGE_Efficacité'!$A$4:$AO$4,0)),0)</f>
        <v>0</v>
      </c>
      <c r="O78" s="64">
        <f>VLOOKUP($B78,'7. PGE_Efficacité'!$A$6:$CY$266,(MATCH('[3]4.4 ACE MAX SEN '!O$4,'7. PGE_Efficacité'!$A$4:$AO$4,0)),0)</f>
        <v>0</v>
      </c>
      <c r="P78" s="64">
        <f>VLOOKUP($B78,'7. PGE_Efficacité'!$A$6:$CY$266,(MATCH('[3]4.4 ACE MAX SEN '!P$4,'7. PGE_Efficacité'!$A$4:$AO$4,0)),0)</f>
        <v>0</v>
      </c>
      <c r="Q78" s="64">
        <f>VLOOKUP($B78,'7. PGE_Efficacité'!$A$6:$CY$266,(MATCH('[3]4.4 ACE MAX SEN '!Q$4,'7. PGE_Efficacité'!$A$4:$AO$4,0)),0)</f>
        <v>0</v>
      </c>
      <c r="R78" s="64">
        <f>VLOOKUP($B78,'7. PGE_Efficacité'!$A$6:$CY$266,(MATCH('[3]4.4 ACE MAX SEN '!R$4,'7. PGE_Efficacité'!$A$4:$AO$4,0)),0)</f>
        <v>0</v>
      </c>
      <c r="S78" s="64">
        <f>VLOOKUP($B78,'7. PGE_Efficacité'!$A$6:$CY$266,(MATCH('[3]4.4 ACE MAX SEN '!S$4,'7. PGE_Efficacité'!$A$4:$AO$4,0)),0)</f>
        <v>0</v>
      </c>
      <c r="T78" s="64">
        <f>VLOOKUP($B78,'7. PGE_Efficacité'!$A$6:$CY$266,(MATCH('[3]4.4 ACE MAX SEN '!T$4,'7. PGE_Efficacité'!$A$4:$AO$4,0)),0)</f>
        <v>0</v>
      </c>
      <c r="U78" s="64">
        <f>VLOOKUP($B78,'7. PGE_Efficacité'!$A$6:$CY$266,(MATCH('[3]4.4 ACE MAX SEN '!U$4,'7. PGE_Efficacité'!$A$4:$AO$4,0)),0)</f>
        <v>0</v>
      </c>
      <c r="V78" s="64">
        <f>VLOOKUP($B78,'7. PGE_Efficacité'!$A$6:$CY$266,(MATCH('[3]4.4 ACE MAX SEN '!V$4,'7. PGE_Efficacité'!$A$4:$AO$4,0)),0)</f>
        <v>0</v>
      </c>
      <c r="W78" s="61">
        <f>VLOOKUP($B78,'7. PGE_Efficacité'!$A$6:$CY$266,(MATCH('[3]4.4 ACE MAX SEN '!W$4,'7. PGE_Efficacité'!$A$4:$AO$4,0)),0)</f>
        <v>0</v>
      </c>
      <c r="X78" s="61">
        <f>VLOOKUP($B78,'7. PGE_Efficacité'!$A$6:$CY$266,(MATCH('[3]4.4 ACE MAX SEN '!X$4,'7. PGE_Efficacité'!$A$4:$AO$4,0)),0)</f>
        <v>0</v>
      </c>
      <c r="Y78" s="61">
        <f>VLOOKUP($B78,'7. PGE_Efficacité'!$A$6:$CY$266,(MATCH('[3]4.4 ACE MAX SEN '!Y$4,'7. PGE_Efficacité'!$A$4:$AO$4,0)),0)</f>
        <v>0</v>
      </c>
      <c r="Z78" s="61">
        <f>VLOOKUP($B78,'7. PGE_Efficacité'!$A$6:$CY$266,(MATCH('[3]4.4 ACE MAX SEN '!Z$4,'7. PGE_Efficacité'!$A$4:$AO$4,0)),0)</f>
        <v>0</v>
      </c>
      <c r="AA78" s="61">
        <f>VLOOKUP($B78,'7. PGE_Efficacité'!$A$6:$CY$266,(MATCH('[3]4.4 ACE MAX SEN '!AA$4,'7. PGE_Efficacité'!$A$4:$AO$4,0)),0)</f>
        <v>0</v>
      </c>
      <c r="AB78" s="61">
        <f>VLOOKUP($B78,'7. PGE_Efficacité'!$A$6:$CY$266,(MATCH('[3]4.4 ACE MAX SEN '!AB$4,'7. PGE_Efficacité'!$A$4:$AO$4,0)),0)</f>
        <v>0</v>
      </c>
      <c r="AC78" s="61">
        <f>VLOOKUP($B78,'7. PGE_Efficacité'!$A$6:$CY$266,(MATCH('[3]4.4 ACE MAX SEN '!AC$4,'7. PGE_Efficacité'!$A$4:$AO$4,0)),0)</f>
        <v>0</v>
      </c>
      <c r="AD78" s="61">
        <f>VLOOKUP($B78,'7. PGE_Efficacité'!$A$6:$CY$266,(MATCH('[3]4.4 ACE MAX SEN '!AD$4,'7. PGE_Efficacité'!$A$4:$AO$4,0)),0)</f>
        <v>0</v>
      </c>
      <c r="AE78" s="61">
        <f>VLOOKUP($B78,'7. PGE_Efficacité'!$A$6:$CY$266,(MATCH('[3]4.4 ACE MAX SEN '!AE$4,'7. PGE_Efficacité'!$A$4:$AO$4,0)),0)</f>
        <v>0</v>
      </c>
      <c r="AF78" s="61">
        <f>VLOOKUP($B78,'7. PGE_Efficacité'!$A$6:$CY$266,(MATCH('[3]4.4 ACE MAX SEN '!AF$4,'7. PGE_Efficacité'!$A$4:$AO$4,0)),0)</f>
        <v>0</v>
      </c>
      <c r="AG78" s="61">
        <f>VLOOKUP($B78,'7. PGE_Efficacité'!$A$6:$CY$266,(MATCH('[3]4.4 ACE MAX SEN '!AG$4,'7. PGE_Efficacité'!$A$4:$AO$4,0)),0)</f>
        <v>0</v>
      </c>
      <c r="AH78" s="61">
        <f>VLOOKUP($B78,'7. PGE_Efficacité'!$A$6:$CY$266,(MATCH('[3]4.4 ACE MAX SEN '!AH$4,'7. PGE_Efficacité'!$A$4:$AO$4,0)),0)</f>
        <v>0</v>
      </c>
      <c r="AI78" s="61">
        <f>VLOOKUP($B78,'7. PGE_Efficacité'!$A$6:$CY$266,(MATCH('[3]4.4 ACE MAX SEN '!AI$4,'7. PGE_Efficacité'!$A$4:$AO$4,0)),0)</f>
        <v>0</v>
      </c>
      <c r="AJ78" s="61">
        <f>VLOOKUP($B78,'7. PGE_Efficacité'!$A$6:$CY$266,(MATCH('[3]4.4 ACE MAX SEN '!AJ$4,'7. PGE_Efficacité'!$A$4:$AO$4,0)),0)</f>
        <v>0</v>
      </c>
      <c r="AK78" s="61">
        <f>VLOOKUP($B78,'7. PGE_Efficacité'!$A$6:$CY$266,(MATCH('[3]4.4 ACE MAX SEN '!AK$4,'7. PGE_Efficacité'!$A$4:$AO$4,0)),0)</f>
        <v>0</v>
      </c>
    </row>
    <row r="79" spans="1:37" hidden="1" outlineLevel="2" x14ac:dyDescent="0.25">
      <c r="A79" s="65" t="s">
        <v>7</v>
      </c>
      <c r="B79" s="65" t="s">
        <v>837</v>
      </c>
      <c r="C79" s="65" t="s">
        <v>1467</v>
      </c>
      <c r="D79" s="65" t="s">
        <v>1522</v>
      </c>
      <c r="E79" s="65" t="s">
        <v>1290</v>
      </c>
      <c r="F79" s="73"/>
      <c r="G79" s="64">
        <f>VLOOKUP($B79,'7. PGE_Efficacité'!$A$6:$CY$266,(MATCH('[3]4.4 ACE MAX SEN '!G$4,'7. PGE_Efficacité'!$A$4:$AO$4,0)),0)</f>
        <v>0</v>
      </c>
      <c r="H79" s="64">
        <f>VLOOKUP($B79,'7. PGE_Efficacité'!$A$6:$CY$266,(MATCH('[3]4.4 ACE MAX SEN '!H$4,'7. PGE_Efficacité'!$A$4:$AO$4,0)),0)</f>
        <v>0</v>
      </c>
      <c r="I79" s="64">
        <f>VLOOKUP($B79,'7. PGE_Efficacité'!$A$6:$CY$266,(MATCH('[3]4.4 ACE MAX SEN '!I$4,'7. PGE_Efficacité'!$A$4:$AO$4,0)),0)</f>
        <v>0</v>
      </c>
      <c r="J79" s="64">
        <f>VLOOKUP($B79,'7. PGE_Efficacité'!$A$6:$CY$266,(MATCH('[3]4.4 ACE MAX SEN '!J$4,'7. PGE_Efficacité'!$A$4:$AO$4,0)),0)</f>
        <v>0</v>
      </c>
      <c r="K79" s="64">
        <f>VLOOKUP($B79,'7. PGE_Efficacité'!$A$6:$CY$266,(MATCH('[3]4.4 ACE MAX SEN '!K$4,'7. PGE_Efficacité'!$A$4:$AO$4,0)),0)</f>
        <v>0</v>
      </c>
      <c r="L79" s="64">
        <f>VLOOKUP($B79,'7. PGE_Efficacité'!$A$6:$CY$266,(MATCH('[3]4.4 ACE MAX SEN '!L$4,'7. PGE_Efficacité'!$A$4:$AO$4,0)),0)</f>
        <v>0</v>
      </c>
      <c r="M79" s="64">
        <f>VLOOKUP($B79,'7. PGE_Efficacité'!$A$6:$CY$266,(MATCH('[3]4.4 ACE MAX SEN '!M$4,'7. PGE_Efficacité'!$A$4:$AO$4,0)),0)</f>
        <v>0</v>
      </c>
      <c r="N79" s="64">
        <f>VLOOKUP($B79,'7. PGE_Efficacité'!$A$6:$CY$266,(MATCH('[3]4.4 ACE MAX SEN '!N$4,'7. PGE_Efficacité'!$A$4:$AO$4,0)),0)</f>
        <v>0</v>
      </c>
      <c r="O79" s="64">
        <f>VLOOKUP($B79,'7. PGE_Efficacité'!$A$6:$CY$266,(MATCH('[3]4.4 ACE MAX SEN '!O$4,'7. PGE_Efficacité'!$A$4:$AO$4,0)),0)</f>
        <v>0</v>
      </c>
      <c r="P79" s="64">
        <f>VLOOKUP($B79,'7. PGE_Efficacité'!$A$6:$CY$266,(MATCH('[3]4.4 ACE MAX SEN '!P$4,'7. PGE_Efficacité'!$A$4:$AO$4,0)),0)</f>
        <v>0</v>
      </c>
      <c r="Q79" s="64">
        <f>VLOOKUP($B79,'7. PGE_Efficacité'!$A$6:$CY$266,(MATCH('[3]4.4 ACE MAX SEN '!Q$4,'7. PGE_Efficacité'!$A$4:$AO$4,0)),0)</f>
        <v>0</v>
      </c>
      <c r="R79" s="64">
        <f>VLOOKUP($B79,'7. PGE_Efficacité'!$A$6:$CY$266,(MATCH('[3]4.4 ACE MAX SEN '!R$4,'7. PGE_Efficacité'!$A$4:$AO$4,0)),0)</f>
        <v>0</v>
      </c>
      <c r="S79" s="64">
        <f>VLOOKUP($B79,'7. PGE_Efficacité'!$A$6:$CY$266,(MATCH('[3]4.4 ACE MAX SEN '!S$4,'7. PGE_Efficacité'!$A$4:$AO$4,0)),0)</f>
        <v>0</v>
      </c>
      <c r="T79" s="64">
        <f>VLOOKUP($B79,'7. PGE_Efficacité'!$A$6:$CY$266,(MATCH('[3]4.4 ACE MAX SEN '!T$4,'7. PGE_Efficacité'!$A$4:$AO$4,0)),0)</f>
        <v>0</v>
      </c>
      <c r="U79" s="64">
        <f>VLOOKUP($B79,'7. PGE_Efficacité'!$A$6:$CY$266,(MATCH('[3]4.4 ACE MAX SEN '!U$4,'7. PGE_Efficacité'!$A$4:$AO$4,0)),0)</f>
        <v>0</v>
      </c>
      <c r="V79" s="64">
        <f>VLOOKUP($B79,'7. PGE_Efficacité'!$A$6:$CY$266,(MATCH('[3]4.4 ACE MAX SEN '!V$4,'7. PGE_Efficacité'!$A$4:$AO$4,0)),0)</f>
        <v>0</v>
      </c>
      <c r="W79" s="61">
        <f>VLOOKUP($B79,'7. PGE_Efficacité'!$A$6:$CY$266,(MATCH('[3]4.4 ACE MAX SEN '!W$4,'7. PGE_Efficacité'!$A$4:$AO$4,0)),0)</f>
        <v>0</v>
      </c>
      <c r="X79" s="61">
        <f>VLOOKUP($B79,'7. PGE_Efficacité'!$A$6:$CY$266,(MATCH('[3]4.4 ACE MAX SEN '!X$4,'7. PGE_Efficacité'!$A$4:$AO$4,0)),0)</f>
        <v>0</v>
      </c>
      <c r="Y79" s="61">
        <f>VLOOKUP($B79,'7. PGE_Efficacité'!$A$6:$CY$266,(MATCH('[3]4.4 ACE MAX SEN '!Y$4,'7. PGE_Efficacité'!$A$4:$AO$4,0)),0)</f>
        <v>0</v>
      </c>
      <c r="Z79" s="61">
        <f>VLOOKUP($B79,'7. PGE_Efficacité'!$A$6:$CY$266,(MATCH('[3]4.4 ACE MAX SEN '!Z$4,'7. PGE_Efficacité'!$A$4:$AO$4,0)),0)</f>
        <v>0</v>
      </c>
      <c r="AA79" s="61">
        <f>VLOOKUP($B79,'7. PGE_Efficacité'!$A$6:$CY$266,(MATCH('[3]4.4 ACE MAX SEN '!AA$4,'7. PGE_Efficacité'!$A$4:$AO$4,0)),0)</f>
        <v>0</v>
      </c>
      <c r="AB79" s="61">
        <f>VLOOKUP($B79,'7. PGE_Efficacité'!$A$6:$CY$266,(MATCH('[3]4.4 ACE MAX SEN '!AB$4,'7. PGE_Efficacité'!$A$4:$AO$4,0)),0)</f>
        <v>0</v>
      </c>
      <c r="AC79" s="61">
        <f>VLOOKUP($B79,'7. PGE_Efficacité'!$A$6:$CY$266,(MATCH('[3]4.4 ACE MAX SEN '!AC$4,'7. PGE_Efficacité'!$A$4:$AO$4,0)),0)</f>
        <v>0</v>
      </c>
      <c r="AD79" s="61">
        <f>VLOOKUP($B79,'7. PGE_Efficacité'!$A$6:$CY$266,(MATCH('[3]4.4 ACE MAX SEN '!AD$4,'7. PGE_Efficacité'!$A$4:$AO$4,0)),0)</f>
        <v>0</v>
      </c>
      <c r="AE79" s="61">
        <f>VLOOKUP($B79,'7. PGE_Efficacité'!$A$6:$CY$266,(MATCH('[3]4.4 ACE MAX SEN '!AE$4,'7. PGE_Efficacité'!$A$4:$AO$4,0)),0)</f>
        <v>0</v>
      </c>
      <c r="AF79" s="61">
        <f>VLOOKUP($B79,'7. PGE_Efficacité'!$A$6:$CY$266,(MATCH('[3]4.4 ACE MAX SEN '!AF$4,'7. PGE_Efficacité'!$A$4:$AO$4,0)),0)</f>
        <v>0</v>
      </c>
      <c r="AG79" s="61">
        <f>VLOOKUP($B79,'7. PGE_Efficacité'!$A$6:$CY$266,(MATCH('[3]4.4 ACE MAX SEN '!AG$4,'7. PGE_Efficacité'!$A$4:$AO$4,0)),0)</f>
        <v>0</v>
      </c>
      <c r="AH79" s="61">
        <f>VLOOKUP($B79,'7. PGE_Efficacité'!$A$6:$CY$266,(MATCH('[3]4.4 ACE MAX SEN '!AH$4,'7. PGE_Efficacité'!$A$4:$AO$4,0)),0)</f>
        <v>0</v>
      </c>
      <c r="AI79" s="61">
        <f>VLOOKUP($B79,'7. PGE_Efficacité'!$A$6:$CY$266,(MATCH('[3]4.4 ACE MAX SEN '!AI$4,'7. PGE_Efficacité'!$A$4:$AO$4,0)),0)</f>
        <v>0</v>
      </c>
      <c r="AJ79" s="61">
        <f>VLOOKUP($B79,'7. PGE_Efficacité'!$A$6:$CY$266,(MATCH('[3]4.4 ACE MAX SEN '!AJ$4,'7. PGE_Efficacité'!$A$4:$AO$4,0)),0)</f>
        <v>0</v>
      </c>
      <c r="AK79" s="61">
        <f>VLOOKUP($B79,'7. PGE_Efficacité'!$A$6:$CY$266,(MATCH('[3]4.4 ACE MAX SEN '!AK$4,'7. PGE_Efficacité'!$A$4:$AO$4,0)),0)</f>
        <v>0</v>
      </c>
    </row>
    <row r="80" spans="1:37" hidden="1" outlineLevel="2" x14ac:dyDescent="0.25">
      <c r="A80" s="65" t="s">
        <v>7</v>
      </c>
      <c r="B80" s="65" t="s">
        <v>838</v>
      </c>
      <c r="C80" s="65" t="s">
        <v>1468</v>
      </c>
      <c r="D80" s="65" t="s">
        <v>1522</v>
      </c>
      <c r="E80" s="65" t="s">
        <v>415</v>
      </c>
      <c r="F80" s="73"/>
      <c r="G80" s="64">
        <f>VLOOKUP($B80,'7. PGE_Efficacité'!$A$6:$CY$266,(MATCH('[3]4.4 ACE MAX SEN '!G$4,'7. PGE_Efficacité'!$A$4:$AO$4,0)),0)</f>
        <v>0</v>
      </c>
      <c r="H80" s="64">
        <f>VLOOKUP($B80,'7. PGE_Efficacité'!$A$6:$CY$266,(MATCH('[3]4.4 ACE MAX SEN '!H$4,'7. PGE_Efficacité'!$A$4:$AO$4,0)),0)</f>
        <v>0</v>
      </c>
      <c r="I80" s="64">
        <f>VLOOKUP($B80,'7. PGE_Efficacité'!$A$6:$CY$266,(MATCH('[3]4.4 ACE MAX SEN '!I$4,'7. PGE_Efficacité'!$A$4:$AO$4,0)),0)</f>
        <v>0</v>
      </c>
      <c r="J80" s="64">
        <f>VLOOKUP($B80,'7. PGE_Efficacité'!$A$6:$CY$266,(MATCH('[3]4.4 ACE MAX SEN '!J$4,'7. PGE_Efficacité'!$A$4:$AO$4,0)),0)</f>
        <v>0</v>
      </c>
      <c r="K80" s="64">
        <f>VLOOKUP($B80,'7. PGE_Efficacité'!$A$6:$CY$266,(MATCH('[3]4.4 ACE MAX SEN '!K$4,'7. PGE_Efficacité'!$A$4:$AO$4,0)),0)</f>
        <v>0</v>
      </c>
      <c r="L80" s="64">
        <f>VLOOKUP($B80,'7. PGE_Efficacité'!$A$6:$CY$266,(MATCH('[3]4.4 ACE MAX SEN '!L$4,'7. PGE_Efficacité'!$A$4:$AO$4,0)),0)</f>
        <v>0</v>
      </c>
      <c r="M80" s="64">
        <f>VLOOKUP($B80,'7. PGE_Efficacité'!$A$6:$CY$266,(MATCH('[3]4.4 ACE MAX SEN '!M$4,'7. PGE_Efficacité'!$A$4:$AO$4,0)),0)</f>
        <v>0</v>
      </c>
      <c r="N80" s="64">
        <f>VLOOKUP($B80,'7. PGE_Efficacité'!$A$6:$CY$266,(MATCH('[3]4.4 ACE MAX SEN '!N$4,'7. PGE_Efficacité'!$A$4:$AO$4,0)),0)</f>
        <v>0</v>
      </c>
      <c r="O80" s="64">
        <f>VLOOKUP($B80,'7. PGE_Efficacité'!$A$6:$CY$266,(MATCH('[3]4.4 ACE MAX SEN '!O$4,'7. PGE_Efficacité'!$A$4:$AO$4,0)),0)</f>
        <v>0</v>
      </c>
      <c r="P80" s="64">
        <f>VLOOKUP($B80,'7. PGE_Efficacité'!$A$6:$CY$266,(MATCH('[3]4.4 ACE MAX SEN '!P$4,'7. PGE_Efficacité'!$A$4:$AO$4,0)),0)</f>
        <v>0</v>
      </c>
      <c r="Q80" s="64">
        <f>VLOOKUP($B80,'7. PGE_Efficacité'!$A$6:$CY$266,(MATCH('[3]4.4 ACE MAX SEN '!Q$4,'7. PGE_Efficacité'!$A$4:$AO$4,0)),0)</f>
        <v>0</v>
      </c>
      <c r="R80" s="64">
        <f>VLOOKUP($B80,'7. PGE_Efficacité'!$A$6:$CY$266,(MATCH('[3]4.4 ACE MAX SEN '!R$4,'7. PGE_Efficacité'!$A$4:$AO$4,0)),0)</f>
        <v>0</v>
      </c>
      <c r="S80" s="64">
        <f>VLOOKUP($B80,'7. PGE_Efficacité'!$A$6:$CY$266,(MATCH('[3]4.4 ACE MAX SEN '!S$4,'7. PGE_Efficacité'!$A$4:$AO$4,0)),0)</f>
        <v>0</v>
      </c>
      <c r="T80" s="64">
        <f>VLOOKUP($B80,'7. PGE_Efficacité'!$A$6:$CY$266,(MATCH('[3]4.4 ACE MAX SEN '!T$4,'7. PGE_Efficacité'!$A$4:$AO$4,0)),0)</f>
        <v>0</v>
      </c>
      <c r="U80" s="64">
        <f>VLOOKUP($B80,'7. PGE_Efficacité'!$A$6:$CY$266,(MATCH('[3]4.4 ACE MAX SEN '!U$4,'7. PGE_Efficacité'!$A$4:$AO$4,0)),0)</f>
        <v>0</v>
      </c>
      <c r="V80" s="64">
        <f>VLOOKUP($B80,'7. PGE_Efficacité'!$A$6:$CY$266,(MATCH('[3]4.4 ACE MAX SEN '!V$4,'7. PGE_Efficacité'!$A$4:$AO$4,0)),0)</f>
        <v>0</v>
      </c>
      <c r="W80" s="61" t="str">
        <f>VLOOKUP($B80,'7. PGE_Efficacité'!$A$6:$CY$266,(MATCH('[3]4.4 ACE MAX SEN '!W$4,'7. PGE_Efficacité'!$A$4:$AO$4,0)),0)</f>
        <v>++</v>
      </c>
      <c r="X80" s="61" t="str">
        <f>VLOOKUP($B80,'7. PGE_Efficacité'!$A$6:$CY$266,(MATCH('[3]4.4 ACE MAX SEN '!X$4,'7. PGE_Efficacité'!$A$4:$AO$4,0)),0)</f>
        <v>++</v>
      </c>
      <c r="Y80" s="61" t="str">
        <f>VLOOKUP($B80,'7. PGE_Efficacité'!$A$6:$CY$266,(MATCH('[3]4.4 ACE MAX SEN '!Y$4,'7. PGE_Efficacité'!$A$4:$AO$4,0)),0)</f>
        <v>++</v>
      </c>
      <c r="Z80" s="61" t="str">
        <f>VLOOKUP($B80,'7. PGE_Efficacité'!$A$6:$CY$266,(MATCH('[3]4.4 ACE MAX SEN '!Z$4,'7. PGE_Efficacité'!$A$4:$AO$4,0)),0)</f>
        <v>++</v>
      </c>
      <c r="AA80" s="61" t="str">
        <f>VLOOKUP($B80,'7. PGE_Efficacité'!$A$6:$CY$266,(MATCH('[3]4.4 ACE MAX SEN '!AA$4,'7. PGE_Efficacité'!$A$4:$AO$4,0)),0)</f>
        <v>++</v>
      </c>
      <c r="AB80" s="61" t="str">
        <f>VLOOKUP($B80,'7. PGE_Efficacité'!$A$6:$CY$266,(MATCH('[3]4.4 ACE MAX SEN '!AB$4,'7. PGE_Efficacité'!$A$4:$AO$4,0)),0)</f>
        <v>++</v>
      </c>
      <c r="AC80" s="61" t="str">
        <f>VLOOKUP($B80,'7. PGE_Efficacité'!$A$6:$CY$266,(MATCH('[3]4.4 ACE MAX SEN '!AC$4,'7. PGE_Efficacité'!$A$4:$AO$4,0)),0)</f>
        <v>++</v>
      </c>
      <c r="AD80" s="61">
        <f>VLOOKUP($B80,'7. PGE_Efficacité'!$A$6:$CY$266,(MATCH('[3]4.4 ACE MAX SEN '!AD$4,'7. PGE_Efficacité'!$A$4:$AO$4,0)),0)</f>
        <v>0</v>
      </c>
      <c r="AE80" s="61">
        <f>VLOOKUP($B80,'7. PGE_Efficacité'!$A$6:$CY$266,(MATCH('[3]4.4 ACE MAX SEN '!AE$4,'7. PGE_Efficacité'!$A$4:$AO$4,0)),0)</f>
        <v>0</v>
      </c>
      <c r="AF80" s="61">
        <f>VLOOKUP($B80,'7. PGE_Efficacité'!$A$6:$CY$266,(MATCH('[3]4.4 ACE MAX SEN '!AF$4,'7. PGE_Efficacité'!$A$4:$AO$4,0)),0)</f>
        <v>0</v>
      </c>
      <c r="AG80" s="61">
        <f>VLOOKUP($B80,'7. PGE_Efficacité'!$A$6:$CY$266,(MATCH('[3]4.4 ACE MAX SEN '!AG$4,'7. PGE_Efficacité'!$A$4:$AO$4,0)),0)</f>
        <v>0</v>
      </c>
      <c r="AH80" s="61" t="str">
        <f>VLOOKUP($B80,'7. PGE_Efficacité'!$A$6:$CY$266,(MATCH('[3]4.4 ACE MAX SEN '!AH$4,'7. PGE_Efficacité'!$A$4:$AO$4,0)),0)</f>
        <v>+++</v>
      </c>
      <c r="AI80" s="61" t="str">
        <f>VLOOKUP($B80,'7. PGE_Efficacité'!$A$6:$CY$266,(MATCH('[3]4.4 ACE MAX SEN '!AI$4,'7. PGE_Efficacité'!$A$4:$AO$4,0)),0)</f>
        <v>+++</v>
      </c>
      <c r="AJ80" s="61" t="str">
        <f>VLOOKUP($B80,'7. PGE_Efficacité'!$A$6:$CY$266,(MATCH('[3]4.4 ACE MAX SEN '!AJ$4,'7. PGE_Efficacité'!$A$4:$AO$4,0)),0)</f>
        <v>+++</v>
      </c>
      <c r="AK80" s="61" t="str">
        <f>VLOOKUP($B80,'7. PGE_Efficacité'!$A$6:$CY$266,(MATCH('[3]4.4 ACE MAX SEN '!AK$4,'7. PGE_Efficacité'!$A$4:$AO$4,0)),0)</f>
        <v>+++</v>
      </c>
    </row>
    <row r="81" spans="1:37" hidden="1" outlineLevel="2" x14ac:dyDescent="0.25">
      <c r="A81" s="65" t="s">
        <v>7</v>
      </c>
      <c r="B81" s="65" t="s">
        <v>839</v>
      </c>
      <c r="C81" s="65" t="s">
        <v>1469</v>
      </c>
      <c r="D81" s="65" t="s">
        <v>1522</v>
      </c>
      <c r="E81" s="65" t="s">
        <v>415</v>
      </c>
      <c r="F81" s="73"/>
      <c r="G81" s="64">
        <f>VLOOKUP($B81,'7. PGE_Efficacité'!$A$6:$CY$266,(MATCH('[3]4.4 ACE MAX SEN '!G$4,'7. PGE_Efficacité'!$A$4:$AO$4,0)),0)</f>
        <v>0</v>
      </c>
      <c r="H81" s="64">
        <f>VLOOKUP($B81,'7. PGE_Efficacité'!$A$6:$CY$266,(MATCH('[3]4.4 ACE MAX SEN '!H$4,'7. PGE_Efficacité'!$A$4:$AO$4,0)),0)</f>
        <v>0</v>
      </c>
      <c r="I81" s="64">
        <f>VLOOKUP($B81,'7. PGE_Efficacité'!$A$6:$CY$266,(MATCH('[3]4.4 ACE MAX SEN '!I$4,'7. PGE_Efficacité'!$A$4:$AO$4,0)),0)</f>
        <v>0</v>
      </c>
      <c r="J81" s="64">
        <f>VLOOKUP($B81,'7. PGE_Efficacité'!$A$6:$CY$266,(MATCH('[3]4.4 ACE MAX SEN '!J$4,'7. PGE_Efficacité'!$A$4:$AO$4,0)),0)</f>
        <v>0</v>
      </c>
      <c r="K81" s="64">
        <f>VLOOKUP($B81,'7. PGE_Efficacité'!$A$6:$CY$266,(MATCH('[3]4.4 ACE MAX SEN '!K$4,'7. PGE_Efficacité'!$A$4:$AO$4,0)),0)</f>
        <v>0</v>
      </c>
      <c r="L81" s="64">
        <f>VLOOKUP($B81,'7. PGE_Efficacité'!$A$6:$CY$266,(MATCH('[3]4.4 ACE MAX SEN '!L$4,'7. PGE_Efficacité'!$A$4:$AO$4,0)),0)</f>
        <v>0</v>
      </c>
      <c r="M81" s="64">
        <f>VLOOKUP($B81,'7. PGE_Efficacité'!$A$6:$CY$266,(MATCH('[3]4.4 ACE MAX SEN '!M$4,'7. PGE_Efficacité'!$A$4:$AO$4,0)),0)</f>
        <v>0</v>
      </c>
      <c r="N81" s="64">
        <f>VLOOKUP($B81,'7. PGE_Efficacité'!$A$6:$CY$266,(MATCH('[3]4.4 ACE MAX SEN '!N$4,'7. PGE_Efficacité'!$A$4:$AO$4,0)),0)</f>
        <v>0</v>
      </c>
      <c r="O81" s="64">
        <f>VLOOKUP($B81,'7. PGE_Efficacité'!$A$6:$CY$266,(MATCH('[3]4.4 ACE MAX SEN '!O$4,'7. PGE_Efficacité'!$A$4:$AO$4,0)),0)</f>
        <v>0</v>
      </c>
      <c r="P81" s="64">
        <f>VLOOKUP($B81,'7. PGE_Efficacité'!$A$6:$CY$266,(MATCH('[3]4.4 ACE MAX SEN '!P$4,'7. PGE_Efficacité'!$A$4:$AO$4,0)),0)</f>
        <v>0</v>
      </c>
      <c r="Q81" s="64">
        <f>VLOOKUP($B81,'7. PGE_Efficacité'!$A$6:$CY$266,(MATCH('[3]4.4 ACE MAX SEN '!Q$4,'7. PGE_Efficacité'!$A$4:$AO$4,0)),0)</f>
        <v>0</v>
      </c>
      <c r="R81" s="64">
        <f>VLOOKUP($B81,'7. PGE_Efficacité'!$A$6:$CY$266,(MATCH('[3]4.4 ACE MAX SEN '!R$4,'7. PGE_Efficacité'!$A$4:$AO$4,0)),0)</f>
        <v>0</v>
      </c>
      <c r="S81" s="64">
        <f>VLOOKUP($B81,'7. PGE_Efficacité'!$A$6:$CY$266,(MATCH('[3]4.4 ACE MAX SEN '!S$4,'7. PGE_Efficacité'!$A$4:$AO$4,0)),0)</f>
        <v>0</v>
      </c>
      <c r="T81" s="64">
        <f>VLOOKUP($B81,'7. PGE_Efficacité'!$A$6:$CY$266,(MATCH('[3]4.4 ACE MAX SEN '!T$4,'7. PGE_Efficacité'!$A$4:$AO$4,0)),0)</f>
        <v>0</v>
      </c>
      <c r="U81" s="64">
        <f>VLOOKUP($B81,'7. PGE_Efficacité'!$A$6:$CY$266,(MATCH('[3]4.4 ACE MAX SEN '!U$4,'7. PGE_Efficacité'!$A$4:$AO$4,0)),0)</f>
        <v>0</v>
      </c>
      <c r="V81" s="64">
        <f>VLOOKUP($B81,'7. PGE_Efficacité'!$A$6:$CY$266,(MATCH('[3]4.4 ACE MAX SEN '!V$4,'7. PGE_Efficacité'!$A$4:$AO$4,0)),0)</f>
        <v>0</v>
      </c>
      <c r="W81" s="61" t="str">
        <f>VLOOKUP($B81,'7. PGE_Efficacité'!$A$6:$CY$266,(MATCH('[3]4.4 ACE MAX SEN '!W$4,'7. PGE_Efficacité'!$A$4:$AO$4,0)),0)</f>
        <v>++</v>
      </c>
      <c r="X81" s="61" t="str">
        <f>VLOOKUP($B81,'7. PGE_Efficacité'!$A$6:$CY$266,(MATCH('[3]4.4 ACE MAX SEN '!X$4,'7. PGE_Efficacité'!$A$4:$AO$4,0)),0)</f>
        <v>++</v>
      </c>
      <c r="Y81" s="61" t="str">
        <f>VLOOKUP($B81,'7. PGE_Efficacité'!$A$6:$CY$266,(MATCH('[3]4.4 ACE MAX SEN '!Y$4,'7. PGE_Efficacité'!$A$4:$AO$4,0)),0)</f>
        <v>++</v>
      </c>
      <c r="Z81" s="61" t="str">
        <f>VLOOKUP($B81,'7. PGE_Efficacité'!$A$6:$CY$266,(MATCH('[3]4.4 ACE MAX SEN '!Z$4,'7. PGE_Efficacité'!$A$4:$AO$4,0)),0)</f>
        <v>++</v>
      </c>
      <c r="AA81" s="61" t="str">
        <f>VLOOKUP($B81,'7. PGE_Efficacité'!$A$6:$CY$266,(MATCH('[3]4.4 ACE MAX SEN '!AA$4,'7. PGE_Efficacité'!$A$4:$AO$4,0)),0)</f>
        <v>++</v>
      </c>
      <c r="AB81" s="61" t="str">
        <f>VLOOKUP($B81,'7. PGE_Efficacité'!$A$6:$CY$266,(MATCH('[3]4.4 ACE MAX SEN '!AB$4,'7. PGE_Efficacité'!$A$4:$AO$4,0)),0)</f>
        <v>++</v>
      </c>
      <c r="AC81" s="61" t="str">
        <f>VLOOKUP($B81,'7. PGE_Efficacité'!$A$6:$CY$266,(MATCH('[3]4.4 ACE MAX SEN '!AC$4,'7. PGE_Efficacité'!$A$4:$AO$4,0)),0)</f>
        <v>++</v>
      </c>
      <c r="AD81" s="61">
        <f>VLOOKUP($B81,'7. PGE_Efficacité'!$A$6:$CY$266,(MATCH('[3]4.4 ACE MAX SEN '!AD$4,'7. PGE_Efficacité'!$A$4:$AO$4,0)),0)</f>
        <v>0</v>
      </c>
      <c r="AE81" s="61">
        <f>VLOOKUP($B81,'7. PGE_Efficacité'!$A$6:$CY$266,(MATCH('[3]4.4 ACE MAX SEN '!AE$4,'7. PGE_Efficacité'!$A$4:$AO$4,0)),0)</f>
        <v>0</v>
      </c>
      <c r="AF81" s="61">
        <f>VLOOKUP($B81,'7. PGE_Efficacité'!$A$6:$CY$266,(MATCH('[3]4.4 ACE MAX SEN '!AF$4,'7. PGE_Efficacité'!$A$4:$AO$4,0)),0)</f>
        <v>0</v>
      </c>
      <c r="AG81" s="61">
        <f>VLOOKUP($B81,'7. PGE_Efficacité'!$A$6:$CY$266,(MATCH('[3]4.4 ACE MAX SEN '!AG$4,'7. PGE_Efficacité'!$A$4:$AO$4,0)),0)</f>
        <v>0</v>
      </c>
      <c r="AH81" s="61" t="str">
        <f>VLOOKUP($B81,'7. PGE_Efficacité'!$A$6:$CY$266,(MATCH('[3]4.4 ACE MAX SEN '!AH$4,'7. PGE_Efficacité'!$A$4:$AO$4,0)),0)</f>
        <v>+++</v>
      </c>
      <c r="AI81" s="61" t="str">
        <f>VLOOKUP($B81,'7. PGE_Efficacité'!$A$6:$CY$266,(MATCH('[3]4.4 ACE MAX SEN '!AI$4,'7. PGE_Efficacité'!$A$4:$AO$4,0)),0)</f>
        <v>+++</v>
      </c>
      <c r="AJ81" s="61" t="str">
        <f>VLOOKUP($B81,'7. PGE_Efficacité'!$A$6:$CY$266,(MATCH('[3]4.4 ACE MAX SEN '!AJ$4,'7. PGE_Efficacité'!$A$4:$AO$4,0)),0)</f>
        <v>+++</v>
      </c>
      <c r="AK81" s="61" t="str">
        <f>VLOOKUP($B81,'7. PGE_Efficacité'!$A$6:$CY$266,(MATCH('[3]4.4 ACE MAX SEN '!AK$4,'7. PGE_Efficacité'!$A$4:$AO$4,0)),0)</f>
        <v>+++</v>
      </c>
    </row>
    <row r="82" spans="1:37" hidden="1" outlineLevel="2" x14ac:dyDescent="0.25">
      <c r="A82" s="65" t="s">
        <v>7</v>
      </c>
      <c r="B82" s="65" t="s">
        <v>840</v>
      </c>
      <c r="C82" s="65" t="s">
        <v>1470</v>
      </c>
      <c r="D82" s="65" t="s">
        <v>1522</v>
      </c>
      <c r="E82" s="65" t="s">
        <v>415</v>
      </c>
      <c r="F82" s="73"/>
      <c r="G82" s="64">
        <f>VLOOKUP($B82,'7. PGE_Efficacité'!$A$6:$CY$266,(MATCH('[3]4.4 ACE MAX SEN '!G$4,'7. PGE_Efficacité'!$A$4:$AO$4,0)),0)</f>
        <v>0</v>
      </c>
      <c r="H82" s="64">
        <f>VLOOKUP($B82,'7. PGE_Efficacité'!$A$6:$CY$266,(MATCH('[3]4.4 ACE MAX SEN '!H$4,'7. PGE_Efficacité'!$A$4:$AO$4,0)),0)</f>
        <v>0</v>
      </c>
      <c r="I82" s="64">
        <f>VLOOKUP($B82,'7. PGE_Efficacité'!$A$6:$CY$266,(MATCH('[3]4.4 ACE MAX SEN '!I$4,'7. PGE_Efficacité'!$A$4:$AO$4,0)),0)</f>
        <v>0</v>
      </c>
      <c r="J82" s="64">
        <f>VLOOKUP($B82,'7. PGE_Efficacité'!$A$6:$CY$266,(MATCH('[3]4.4 ACE MAX SEN '!J$4,'7. PGE_Efficacité'!$A$4:$AO$4,0)),0)</f>
        <v>0</v>
      </c>
      <c r="K82" s="64">
        <f>VLOOKUP($B82,'7. PGE_Efficacité'!$A$6:$CY$266,(MATCH('[3]4.4 ACE MAX SEN '!K$4,'7. PGE_Efficacité'!$A$4:$AO$4,0)),0)</f>
        <v>0</v>
      </c>
      <c r="L82" s="64">
        <f>VLOOKUP($B82,'7. PGE_Efficacité'!$A$6:$CY$266,(MATCH('[3]4.4 ACE MAX SEN '!L$4,'7. PGE_Efficacité'!$A$4:$AO$4,0)),0)</f>
        <v>0</v>
      </c>
      <c r="M82" s="64">
        <f>VLOOKUP($B82,'7. PGE_Efficacité'!$A$6:$CY$266,(MATCH('[3]4.4 ACE MAX SEN '!M$4,'7. PGE_Efficacité'!$A$4:$AO$4,0)),0)</f>
        <v>0</v>
      </c>
      <c r="N82" s="64">
        <f>VLOOKUP($B82,'7. PGE_Efficacité'!$A$6:$CY$266,(MATCH('[3]4.4 ACE MAX SEN '!N$4,'7. PGE_Efficacité'!$A$4:$AO$4,0)),0)</f>
        <v>0</v>
      </c>
      <c r="O82" s="64">
        <f>VLOOKUP($B82,'7. PGE_Efficacité'!$A$6:$CY$266,(MATCH('[3]4.4 ACE MAX SEN '!O$4,'7. PGE_Efficacité'!$A$4:$AO$4,0)),0)</f>
        <v>0</v>
      </c>
      <c r="P82" s="64">
        <f>VLOOKUP($B82,'7. PGE_Efficacité'!$A$6:$CY$266,(MATCH('[3]4.4 ACE MAX SEN '!P$4,'7. PGE_Efficacité'!$A$4:$AO$4,0)),0)</f>
        <v>0</v>
      </c>
      <c r="Q82" s="64">
        <f>VLOOKUP($B82,'7. PGE_Efficacité'!$A$6:$CY$266,(MATCH('[3]4.4 ACE MAX SEN '!Q$4,'7. PGE_Efficacité'!$A$4:$AO$4,0)),0)</f>
        <v>0</v>
      </c>
      <c r="R82" s="64">
        <f>VLOOKUP($B82,'7. PGE_Efficacité'!$A$6:$CY$266,(MATCH('[3]4.4 ACE MAX SEN '!R$4,'7. PGE_Efficacité'!$A$4:$AO$4,0)),0)</f>
        <v>0</v>
      </c>
      <c r="S82" s="64">
        <f>VLOOKUP($B82,'7. PGE_Efficacité'!$A$6:$CY$266,(MATCH('[3]4.4 ACE MAX SEN '!S$4,'7. PGE_Efficacité'!$A$4:$AO$4,0)),0)</f>
        <v>0</v>
      </c>
      <c r="T82" s="64">
        <f>VLOOKUP($B82,'7. PGE_Efficacité'!$A$6:$CY$266,(MATCH('[3]4.4 ACE MAX SEN '!T$4,'7. PGE_Efficacité'!$A$4:$AO$4,0)),0)</f>
        <v>0</v>
      </c>
      <c r="U82" s="64">
        <f>VLOOKUP($B82,'7. PGE_Efficacité'!$A$6:$CY$266,(MATCH('[3]4.4 ACE MAX SEN '!U$4,'7. PGE_Efficacité'!$A$4:$AO$4,0)),0)</f>
        <v>0</v>
      </c>
      <c r="V82" s="64">
        <f>VLOOKUP($B82,'7. PGE_Efficacité'!$A$6:$CY$266,(MATCH('[3]4.4 ACE MAX SEN '!V$4,'7. PGE_Efficacité'!$A$4:$AO$4,0)),0)</f>
        <v>0</v>
      </c>
      <c r="W82" s="61" t="str">
        <f>VLOOKUP($B82,'7. PGE_Efficacité'!$A$6:$CY$266,(MATCH('[3]4.4 ACE MAX SEN '!W$4,'7. PGE_Efficacité'!$A$4:$AO$4,0)),0)</f>
        <v>++</v>
      </c>
      <c r="X82" s="61" t="str">
        <f>VLOOKUP($B82,'7. PGE_Efficacité'!$A$6:$CY$266,(MATCH('[3]4.4 ACE MAX SEN '!X$4,'7. PGE_Efficacité'!$A$4:$AO$4,0)),0)</f>
        <v>++</v>
      </c>
      <c r="Y82" s="61" t="str">
        <f>VLOOKUP($B82,'7. PGE_Efficacité'!$A$6:$CY$266,(MATCH('[3]4.4 ACE MAX SEN '!Y$4,'7. PGE_Efficacité'!$A$4:$AO$4,0)),0)</f>
        <v>++</v>
      </c>
      <c r="Z82" s="61" t="str">
        <f>VLOOKUP($B82,'7. PGE_Efficacité'!$A$6:$CY$266,(MATCH('[3]4.4 ACE MAX SEN '!Z$4,'7. PGE_Efficacité'!$A$4:$AO$4,0)),0)</f>
        <v>++</v>
      </c>
      <c r="AA82" s="61" t="str">
        <f>VLOOKUP($B82,'7. PGE_Efficacité'!$A$6:$CY$266,(MATCH('[3]4.4 ACE MAX SEN '!AA$4,'7. PGE_Efficacité'!$A$4:$AO$4,0)),0)</f>
        <v>++</v>
      </c>
      <c r="AB82" s="61" t="str">
        <f>VLOOKUP($B82,'7. PGE_Efficacité'!$A$6:$CY$266,(MATCH('[3]4.4 ACE MAX SEN '!AB$4,'7. PGE_Efficacité'!$A$4:$AO$4,0)),0)</f>
        <v>++</v>
      </c>
      <c r="AC82" s="61" t="str">
        <f>VLOOKUP($B82,'7. PGE_Efficacité'!$A$6:$CY$266,(MATCH('[3]4.4 ACE MAX SEN '!AC$4,'7. PGE_Efficacité'!$A$4:$AO$4,0)),0)</f>
        <v>++</v>
      </c>
      <c r="AD82" s="61">
        <f>VLOOKUP($B82,'7. PGE_Efficacité'!$A$6:$CY$266,(MATCH('[3]4.4 ACE MAX SEN '!AD$4,'7. PGE_Efficacité'!$A$4:$AO$4,0)),0)</f>
        <v>0</v>
      </c>
      <c r="AE82" s="61">
        <f>VLOOKUP($B82,'7. PGE_Efficacité'!$A$6:$CY$266,(MATCH('[3]4.4 ACE MAX SEN '!AE$4,'7. PGE_Efficacité'!$A$4:$AO$4,0)),0)</f>
        <v>0</v>
      </c>
      <c r="AF82" s="61">
        <f>VLOOKUP($B82,'7. PGE_Efficacité'!$A$6:$CY$266,(MATCH('[3]4.4 ACE MAX SEN '!AF$4,'7. PGE_Efficacité'!$A$4:$AO$4,0)),0)</f>
        <v>0</v>
      </c>
      <c r="AG82" s="61">
        <f>VLOOKUP($B82,'7. PGE_Efficacité'!$A$6:$CY$266,(MATCH('[3]4.4 ACE MAX SEN '!AG$4,'7. PGE_Efficacité'!$A$4:$AO$4,0)),0)</f>
        <v>0</v>
      </c>
      <c r="AH82" s="61" t="str">
        <f>VLOOKUP($B82,'7. PGE_Efficacité'!$A$6:$CY$266,(MATCH('[3]4.4 ACE MAX SEN '!AH$4,'7. PGE_Efficacité'!$A$4:$AO$4,0)),0)</f>
        <v>+++</v>
      </c>
      <c r="AI82" s="61" t="str">
        <f>VLOOKUP($B82,'7. PGE_Efficacité'!$A$6:$CY$266,(MATCH('[3]4.4 ACE MAX SEN '!AI$4,'7. PGE_Efficacité'!$A$4:$AO$4,0)),0)</f>
        <v>+++</v>
      </c>
      <c r="AJ82" s="61" t="str">
        <f>VLOOKUP($B82,'7. PGE_Efficacité'!$A$6:$CY$266,(MATCH('[3]4.4 ACE MAX SEN '!AJ$4,'7. PGE_Efficacité'!$A$4:$AO$4,0)),0)</f>
        <v>+++</v>
      </c>
      <c r="AK82" s="61" t="str">
        <f>VLOOKUP($B82,'7. PGE_Efficacité'!$A$6:$CY$266,(MATCH('[3]4.4 ACE MAX SEN '!AK$4,'7. PGE_Efficacité'!$A$4:$AO$4,0)),0)</f>
        <v>+++</v>
      </c>
    </row>
    <row r="83" spans="1:37" hidden="1" outlineLevel="2" x14ac:dyDescent="0.25">
      <c r="A83" s="65" t="s">
        <v>7</v>
      </c>
      <c r="B83" s="65" t="s">
        <v>841</v>
      </c>
      <c r="C83" s="65" t="s">
        <v>1471</v>
      </c>
      <c r="D83" s="65" t="s">
        <v>1522</v>
      </c>
      <c r="E83" s="65" t="s">
        <v>415</v>
      </c>
      <c r="F83" s="73"/>
      <c r="G83" s="64">
        <f>VLOOKUP($B83,'7. PGE_Efficacité'!$A$6:$CY$266,(MATCH('[3]4.4 ACE MAX SEN '!G$4,'7. PGE_Efficacité'!$A$4:$AO$4,0)),0)</f>
        <v>0</v>
      </c>
      <c r="H83" s="64">
        <f>VLOOKUP($B83,'7. PGE_Efficacité'!$A$6:$CY$266,(MATCH('[3]4.4 ACE MAX SEN '!H$4,'7. PGE_Efficacité'!$A$4:$AO$4,0)),0)</f>
        <v>0</v>
      </c>
      <c r="I83" s="64">
        <f>VLOOKUP($B83,'7. PGE_Efficacité'!$A$6:$CY$266,(MATCH('[3]4.4 ACE MAX SEN '!I$4,'7. PGE_Efficacité'!$A$4:$AO$4,0)),0)</f>
        <v>0</v>
      </c>
      <c r="J83" s="64">
        <f>VLOOKUP($B83,'7. PGE_Efficacité'!$A$6:$CY$266,(MATCH('[3]4.4 ACE MAX SEN '!J$4,'7. PGE_Efficacité'!$A$4:$AO$4,0)),0)</f>
        <v>0</v>
      </c>
      <c r="K83" s="64">
        <f>VLOOKUP($B83,'7. PGE_Efficacité'!$A$6:$CY$266,(MATCH('[3]4.4 ACE MAX SEN '!K$4,'7. PGE_Efficacité'!$A$4:$AO$4,0)),0)</f>
        <v>0</v>
      </c>
      <c r="L83" s="64">
        <f>VLOOKUP($B83,'7. PGE_Efficacité'!$A$6:$CY$266,(MATCH('[3]4.4 ACE MAX SEN '!L$4,'7. PGE_Efficacité'!$A$4:$AO$4,0)),0)</f>
        <v>0</v>
      </c>
      <c r="M83" s="64">
        <f>VLOOKUP($B83,'7. PGE_Efficacité'!$A$6:$CY$266,(MATCH('[3]4.4 ACE MAX SEN '!M$4,'7. PGE_Efficacité'!$A$4:$AO$4,0)),0)</f>
        <v>0</v>
      </c>
      <c r="N83" s="64">
        <f>VLOOKUP($B83,'7. PGE_Efficacité'!$A$6:$CY$266,(MATCH('[3]4.4 ACE MAX SEN '!N$4,'7. PGE_Efficacité'!$A$4:$AO$4,0)),0)</f>
        <v>0</v>
      </c>
      <c r="O83" s="64">
        <f>VLOOKUP($B83,'7. PGE_Efficacité'!$A$6:$CY$266,(MATCH('[3]4.4 ACE MAX SEN '!O$4,'7. PGE_Efficacité'!$A$4:$AO$4,0)),0)</f>
        <v>0</v>
      </c>
      <c r="P83" s="64">
        <f>VLOOKUP($B83,'7. PGE_Efficacité'!$A$6:$CY$266,(MATCH('[3]4.4 ACE MAX SEN '!P$4,'7. PGE_Efficacité'!$A$4:$AO$4,0)),0)</f>
        <v>0</v>
      </c>
      <c r="Q83" s="64">
        <f>VLOOKUP($B83,'7. PGE_Efficacité'!$A$6:$CY$266,(MATCH('[3]4.4 ACE MAX SEN '!Q$4,'7. PGE_Efficacité'!$A$4:$AO$4,0)),0)</f>
        <v>0</v>
      </c>
      <c r="R83" s="64">
        <f>VLOOKUP($B83,'7. PGE_Efficacité'!$A$6:$CY$266,(MATCH('[3]4.4 ACE MAX SEN '!R$4,'7. PGE_Efficacité'!$A$4:$AO$4,0)),0)</f>
        <v>0</v>
      </c>
      <c r="S83" s="64">
        <f>VLOOKUP($B83,'7. PGE_Efficacité'!$A$6:$CY$266,(MATCH('[3]4.4 ACE MAX SEN '!S$4,'7. PGE_Efficacité'!$A$4:$AO$4,0)),0)</f>
        <v>0</v>
      </c>
      <c r="T83" s="64">
        <f>VLOOKUP($B83,'7. PGE_Efficacité'!$A$6:$CY$266,(MATCH('[3]4.4 ACE MAX SEN '!T$4,'7. PGE_Efficacité'!$A$4:$AO$4,0)),0)</f>
        <v>0</v>
      </c>
      <c r="U83" s="64">
        <f>VLOOKUP($B83,'7. PGE_Efficacité'!$A$6:$CY$266,(MATCH('[3]4.4 ACE MAX SEN '!U$4,'7. PGE_Efficacité'!$A$4:$AO$4,0)),0)</f>
        <v>0</v>
      </c>
      <c r="V83" s="64">
        <f>VLOOKUP($B83,'7. PGE_Efficacité'!$A$6:$CY$266,(MATCH('[3]4.4 ACE MAX SEN '!V$4,'7. PGE_Efficacité'!$A$4:$AO$4,0)),0)</f>
        <v>0</v>
      </c>
      <c r="W83" s="61">
        <f>VLOOKUP($B83,'7. PGE_Efficacité'!$A$6:$CY$266,(MATCH('[3]4.4 ACE MAX SEN '!W$4,'7. PGE_Efficacité'!$A$4:$AO$4,0)),0)</f>
        <v>0</v>
      </c>
      <c r="X83" s="61">
        <f>VLOOKUP($B83,'7. PGE_Efficacité'!$A$6:$CY$266,(MATCH('[3]4.4 ACE MAX SEN '!X$4,'7. PGE_Efficacité'!$A$4:$AO$4,0)),0)</f>
        <v>0</v>
      </c>
      <c r="Y83" s="61">
        <f>VLOOKUP($B83,'7. PGE_Efficacité'!$A$6:$CY$266,(MATCH('[3]4.4 ACE MAX SEN '!Y$4,'7. PGE_Efficacité'!$A$4:$AO$4,0)),0)</f>
        <v>0</v>
      </c>
      <c r="Z83" s="61">
        <f>VLOOKUP($B83,'7. PGE_Efficacité'!$A$6:$CY$266,(MATCH('[3]4.4 ACE MAX SEN '!Z$4,'7. PGE_Efficacité'!$A$4:$AO$4,0)),0)</f>
        <v>0</v>
      </c>
      <c r="AA83" s="61">
        <f>VLOOKUP($B83,'7. PGE_Efficacité'!$A$6:$CY$266,(MATCH('[3]4.4 ACE MAX SEN '!AA$4,'7. PGE_Efficacité'!$A$4:$AO$4,0)),0)</f>
        <v>0</v>
      </c>
      <c r="AB83" s="61">
        <f>VLOOKUP($B83,'7. PGE_Efficacité'!$A$6:$CY$266,(MATCH('[3]4.4 ACE MAX SEN '!AB$4,'7. PGE_Efficacité'!$A$4:$AO$4,0)),0)</f>
        <v>0</v>
      </c>
      <c r="AC83" s="61">
        <f>VLOOKUP($B83,'7. PGE_Efficacité'!$A$6:$CY$266,(MATCH('[3]4.4 ACE MAX SEN '!AC$4,'7. PGE_Efficacité'!$A$4:$AO$4,0)),0)</f>
        <v>0</v>
      </c>
      <c r="AD83" s="61">
        <f>VLOOKUP($B83,'7. PGE_Efficacité'!$A$6:$CY$266,(MATCH('[3]4.4 ACE MAX SEN '!AD$4,'7. PGE_Efficacité'!$A$4:$AO$4,0)),0)</f>
        <v>0</v>
      </c>
      <c r="AE83" s="61">
        <f>VLOOKUP($B83,'7. PGE_Efficacité'!$A$6:$CY$266,(MATCH('[3]4.4 ACE MAX SEN '!AE$4,'7. PGE_Efficacité'!$A$4:$AO$4,0)),0)</f>
        <v>0</v>
      </c>
      <c r="AF83" s="61">
        <f>VLOOKUP($B83,'7. PGE_Efficacité'!$A$6:$CY$266,(MATCH('[3]4.4 ACE MAX SEN '!AF$4,'7. PGE_Efficacité'!$A$4:$AO$4,0)),0)</f>
        <v>0</v>
      </c>
      <c r="AG83" s="61">
        <f>VLOOKUP($B83,'7. PGE_Efficacité'!$A$6:$CY$266,(MATCH('[3]4.4 ACE MAX SEN '!AG$4,'7. PGE_Efficacité'!$A$4:$AO$4,0)),0)</f>
        <v>0</v>
      </c>
      <c r="AH83" s="61">
        <f>VLOOKUP($B83,'7. PGE_Efficacité'!$A$6:$CY$266,(MATCH('[3]4.4 ACE MAX SEN '!AH$4,'7. PGE_Efficacité'!$A$4:$AO$4,0)),0)</f>
        <v>0</v>
      </c>
      <c r="AI83" s="61">
        <f>VLOOKUP($B83,'7. PGE_Efficacité'!$A$6:$CY$266,(MATCH('[3]4.4 ACE MAX SEN '!AI$4,'7. PGE_Efficacité'!$A$4:$AO$4,0)),0)</f>
        <v>0</v>
      </c>
      <c r="AJ83" s="61">
        <f>VLOOKUP($B83,'7. PGE_Efficacité'!$A$6:$CY$266,(MATCH('[3]4.4 ACE MAX SEN '!AJ$4,'7. PGE_Efficacité'!$A$4:$AO$4,0)),0)</f>
        <v>0</v>
      </c>
      <c r="AK83" s="61">
        <f>VLOOKUP($B83,'7. PGE_Efficacité'!$A$6:$CY$266,(MATCH('[3]4.4 ACE MAX SEN '!AK$4,'7. PGE_Efficacité'!$A$4:$AO$4,0)),0)</f>
        <v>0</v>
      </c>
    </row>
    <row r="84" spans="1:37" hidden="1" outlineLevel="2" x14ac:dyDescent="0.25">
      <c r="A84" s="65" t="s">
        <v>7</v>
      </c>
      <c r="B84" s="65" t="s">
        <v>842</v>
      </c>
      <c r="C84" s="65" t="s">
        <v>1472</v>
      </c>
      <c r="D84" s="65" t="s">
        <v>1522</v>
      </c>
      <c r="E84" s="65" t="s">
        <v>1287</v>
      </c>
      <c r="F84" s="70"/>
      <c r="G84" s="66" t="str">
        <f>VLOOKUP($B84,'7. PGE_Efficacité'!$A$6:$CY$266,(MATCH('[3]4.4 ACE MAX SEN '!G$4,'7. PGE_Efficacité'!$A$4:$AO$4,0)),0)</f>
        <v>+</v>
      </c>
      <c r="H84" s="66" t="str">
        <f>VLOOKUP($B84,'7. PGE_Efficacité'!$A$6:$CY$266,(MATCH('[3]4.4 ACE MAX SEN '!H$4,'7. PGE_Efficacité'!$A$4:$AO$4,0)),0)</f>
        <v>+</v>
      </c>
      <c r="I84" s="66" t="str">
        <f>VLOOKUP($B84,'7. PGE_Efficacité'!$A$6:$CY$266,(MATCH('[3]4.4 ACE MAX SEN '!I$4,'7. PGE_Efficacité'!$A$4:$AO$4,0)),0)</f>
        <v>+</v>
      </c>
      <c r="J84" s="66" t="str">
        <f>VLOOKUP($B84,'7. PGE_Efficacité'!$A$6:$CY$266,(MATCH('[3]4.4 ACE MAX SEN '!J$4,'7. PGE_Efficacité'!$A$4:$AO$4,0)),0)</f>
        <v>+</v>
      </c>
      <c r="K84" s="66" t="str">
        <f>VLOOKUP($B84,'7. PGE_Efficacité'!$A$6:$CY$266,(MATCH('[3]4.4 ACE MAX SEN '!K$4,'7. PGE_Efficacité'!$A$4:$AO$4,0)),0)</f>
        <v>+</v>
      </c>
      <c r="L84" s="66" t="str">
        <f>VLOOKUP($B84,'7. PGE_Efficacité'!$A$6:$CY$266,(MATCH('[3]4.4 ACE MAX SEN '!L$4,'7. PGE_Efficacité'!$A$4:$AO$4,0)),0)</f>
        <v>+</v>
      </c>
      <c r="M84" s="66" t="str">
        <f>VLOOKUP($B84,'7. PGE_Efficacité'!$A$6:$CY$266,(MATCH('[3]4.4 ACE MAX SEN '!M$4,'7. PGE_Efficacité'!$A$4:$AO$4,0)),0)</f>
        <v>+</v>
      </c>
      <c r="N84" s="66" t="str">
        <f>VLOOKUP($B84,'7. PGE_Efficacité'!$A$6:$CY$266,(MATCH('[3]4.4 ACE MAX SEN '!N$4,'7. PGE_Efficacité'!$A$4:$AO$4,0)),0)</f>
        <v>+</v>
      </c>
      <c r="O84" s="66" t="str">
        <f>VLOOKUP($B84,'7. PGE_Efficacité'!$A$6:$CY$266,(MATCH('[3]4.4 ACE MAX SEN '!O$4,'7. PGE_Efficacité'!$A$4:$AO$4,0)),0)</f>
        <v>+</v>
      </c>
      <c r="P84" s="66" t="str">
        <f>VLOOKUP($B84,'7. PGE_Efficacité'!$A$6:$CY$266,(MATCH('[3]4.4 ACE MAX SEN '!P$4,'7. PGE_Efficacité'!$A$4:$AO$4,0)),0)</f>
        <v>+</v>
      </c>
      <c r="Q84" s="66" t="str">
        <f>VLOOKUP($B84,'7. PGE_Efficacité'!$A$6:$CY$266,(MATCH('[3]4.4 ACE MAX SEN '!Q$4,'7. PGE_Efficacité'!$A$4:$AO$4,0)),0)</f>
        <v>+</v>
      </c>
      <c r="R84" s="66">
        <f>VLOOKUP($B84,'7. PGE_Efficacité'!$A$6:$CY$266,(MATCH('[3]4.4 ACE MAX SEN '!R$4,'7. PGE_Efficacité'!$A$4:$AO$4,0)),0)</f>
        <v>0</v>
      </c>
      <c r="S84" s="66" t="str">
        <f>VLOOKUP($B84,'7. PGE_Efficacité'!$A$6:$CY$266,(MATCH('[3]4.4 ACE MAX SEN '!S$4,'7. PGE_Efficacité'!$A$4:$AO$4,0)),0)</f>
        <v>+</v>
      </c>
      <c r="T84" s="66" t="str">
        <f>VLOOKUP($B84,'7. PGE_Efficacité'!$A$6:$CY$266,(MATCH('[3]4.4 ACE MAX SEN '!T$4,'7. PGE_Efficacité'!$A$4:$AO$4,0)),0)</f>
        <v>+</v>
      </c>
      <c r="U84" s="66" t="str">
        <f>VLOOKUP($B84,'7. PGE_Efficacité'!$A$6:$CY$266,(MATCH('[3]4.4 ACE MAX SEN '!U$4,'7. PGE_Efficacité'!$A$4:$AO$4,0)),0)</f>
        <v>+</v>
      </c>
      <c r="V84" s="66" t="str">
        <f>VLOOKUP($B84,'7. PGE_Efficacité'!$A$6:$CY$266,(MATCH('[3]4.4 ACE MAX SEN '!V$4,'7. PGE_Efficacité'!$A$4:$AO$4,0)),0)</f>
        <v>+</v>
      </c>
      <c r="W84" s="62" t="str">
        <f>VLOOKUP($B84,'7. PGE_Efficacité'!$A$6:$CY$266,(MATCH('[3]4.4 ACE MAX SEN '!W$4,'7. PGE_Efficacité'!$A$4:$AO$4,0)),0)</f>
        <v>++</v>
      </c>
      <c r="X84" s="62" t="str">
        <f>VLOOKUP($B84,'7. PGE_Efficacité'!$A$6:$CY$266,(MATCH('[3]4.4 ACE MAX SEN '!X$4,'7. PGE_Efficacité'!$A$4:$AO$4,0)),0)</f>
        <v>++</v>
      </c>
      <c r="Y84" s="62" t="str">
        <f>VLOOKUP($B84,'7. PGE_Efficacité'!$A$6:$CY$266,(MATCH('[3]4.4 ACE MAX SEN '!Y$4,'7. PGE_Efficacité'!$A$4:$AO$4,0)),0)</f>
        <v>++</v>
      </c>
      <c r="Z84" s="62" t="str">
        <f>VLOOKUP($B84,'7. PGE_Efficacité'!$A$6:$CY$266,(MATCH('[3]4.4 ACE MAX SEN '!Z$4,'7. PGE_Efficacité'!$A$4:$AO$4,0)),0)</f>
        <v>++</v>
      </c>
      <c r="AA84" s="62" t="str">
        <f>VLOOKUP($B84,'7. PGE_Efficacité'!$A$6:$CY$266,(MATCH('[3]4.4 ACE MAX SEN '!AA$4,'7. PGE_Efficacité'!$A$4:$AO$4,0)),0)</f>
        <v>++</v>
      </c>
      <c r="AB84" s="62" t="str">
        <f>VLOOKUP($B84,'7. PGE_Efficacité'!$A$6:$CY$266,(MATCH('[3]4.4 ACE MAX SEN '!AB$4,'7. PGE_Efficacité'!$A$4:$AO$4,0)),0)</f>
        <v>++</v>
      </c>
      <c r="AC84" s="62" t="str">
        <f>VLOOKUP($B84,'7. PGE_Efficacité'!$A$6:$CY$266,(MATCH('[3]4.4 ACE MAX SEN '!AC$4,'7. PGE_Efficacité'!$A$4:$AO$4,0)),0)</f>
        <v>++</v>
      </c>
      <c r="AD84" s="62">
        <f>VLOOKUP($B84,'7. PGE_Efficacité'!$A$6:$CY$266,(MATCH('[3]4.4 ACE MAX SEN '!AD$4,'7. PGE_Efficacité'!$A$4:$AO$4,0)),0)</f>
        <v>0</v>
      </c>
      <c r="AE84" s="62">
        <f>VLOOKUP($B84,'7. PGE_Efficacité'!$A$6:$CY$266,(MATCH('[3]4.4 ACE MAX SEN '!AE$4,'7. PGE_Efficacité'!$A$4:$AO$4,0)),0)</f>
        <v>0</v>
      </c>
      <c r="AF84" s="62">
        <f>VLOOKUP($B84,'7. PGE_Efficacité'!$A$6:$CY$266,(MATCH('[3]4.4 ACE MAX SEN '!AF$4,'7. PGE_Efficacité'!$A$4:$AO$4,0)),0)</f>
        <v>0</v>
      </c>
      <c r="AG84" s="62">
        <f>VLOOKUP($B84,'7. PGE_Efficacité'!$A$6:$CY$266,(MATCH('[3]4.4 ACE MAX SEN '!AG$4,'7. PGE_Efficacité'!$A$4:$AO$4,0)),0)</f>
        <v>0</v>
      </c>
      <c r="AH84" s="62" t="str">
        <f>VLOOKUP($B84,'7. PGE_Efficacité'!$A$6:$CY$266,(MATCH('[3]4.4 ACE MAX SEN '!AH$4,'7. PGE_Efficacité'!$A$4:$AO$4,0)),0)</f>
        <v>++</v>
      </c>
      <c r="AI84" s="62" t="str">
        <f>VLOOKUP($B84,'7. PGE_Efficacité'!$A$6:$CY$266,(MATCH('[3]4.4 ACE MAX SEN '!AI$4,'7. PGE_Efficacité'!$A$4:$AO$4,0)),0)</f>
        <v>++</v>
      </c>
      <c r="AJ84" s="62" t="str">
        <f>VLOOKUP($B84,'7. PGE_Efficacité'!$A$6:$CY$266,(MATCH('[3]4.4 ACE MAX SEN '!AJ$4,'7. PGE_Efficacité'!$A$4:$AO$4,0)),0)</f>
        <v>++</v>
      </c>
      <c r="AK84" s="62" t="str">
        <f>VLOOKUP($B84,'7. PGE_Efficacité'!$A$6:$CY$266,(MATCH('[3]4.4 ACE MAX SEN '!AK$4,'7. PGE_Efficacité'!$A$4:$AO$4,0)),0)</f>
        <v>++</v>
      </c>
    </row>
    <row r="85" spans="1:37" ht="39" outlineLevel="1" collapsed="1" x14ac:dyDescent="0.25">
      <c r="A85" s="157" t="s">
        <v>8</v>
      </c>
      <c r="B85" s="63"/>
      <c r="C85" s="156" t="s">
        <v>230</v>
      </c>
      <c r="D85" s="63"/>
      <c r="E85" s="63"/>
      <c r="F85" s="72">
        <f>MEDIAN(VLOOKUP(A85,'4. Mesures_ACE_Budget'!$A$3:$J$31,9,0),VLOOKUP(A85,'4. Mesures_ACE_Budget'!$A$3:$J$31,10,0))</f>
        <v>0</v>
      </c>
      <c r="G85" s="180" t="str">
        <f>VLOOKUP($A85,'7. PGE_Efficacité'!$A$6:$CY$266,(MATCH('[2]4.4 ACE MAX SEN '!G$4,'7. PGE_Efficacité'!$A$4:$AO$4,0)),0)</f>
        <v>++</v>
      </c>
      <c r="H85" s="180" t="str">
        <f>VLOOKUP($A85,'7. PGE_Efficacité'!$A$6:$CY$266,(MATCH('[2]4.4 ACE MAX SEN '!H$4,'7. PGE_Efficacité'!$A$4:$AO$4,0)),0)</f>
        <v>++</v>
      </c>
      <c r="I85" s="180" t="str">
        <f>VLOOKUP($A85,'7. PGE_Efficacité'!$A$6:$CY$266,(MATCH('[2]4.4 ACE MAX SEN '!I$4,'7. PGE_Efficacité'!$A$4:$AO$4,0)),0)</f>
        <v>++</v>
      </c>
      <c r="J85" s="180" t="str">
        <f>VLOOKUP($A85,'7. PGE_Efficacité'!$A$6:$CY$266,(MATCH('[2]4.4 ACE MAX SEN '!J$4,'7. PGE_Efficacité'!$A$4:$AO$4,0)),0)</f>
        <v>++</v>
      </c>
      <c r="K85" s="180" t="str">
        <f>VLOOKUP($A85,'7. PGE_Efficacité'!$A$6:$CY$266,(MATCH('[2]4.4 ACE MAX SEN '!K$4,'7. PGE_Efficacité'!$A$4:$AO$4,0)),0)</f>
        <v>++</v>
      </c>
      <c r="L85" s="180" t="str">
        <f>VLOOKUP($A85,'7. PGE_Efficacité'!$A$6:$CY$266,(MATCH('[2]4.4 ACE MAX SEN '!L$4,'7. PGE_Efficacité'!$A$4:$AO$4,0)),0)</f>
        <v>++</v>
      </c>
      <c r="M85" s="180" t="str">
        <f>VLOOKUP($A85,'7. PGE_Efficacité'!$A$6:$CY$266,(MATCH('[2]4.4 ACE MAX SEN '!M$4,'7. PGE_Efficacité'!$A$4:$AO$4,0)),0)</f>
        <v>+++</v>
      </c>
      <c r="N85" s="180" t="str">
        <f>VLOOKUP($A85,'7. PGE_Efficacité'!$A$6:$CY$266,(MATCH('[2]4.4 ACE MAX SEN '!N$4,'7. PGE_Efficacité'!$A$4:$AO$4,0)),0)</f>
        <v>++</v>
      </c>
      <c r="O85" s="180" t="str">
        <f>VLOOKUP($A85,'7. PGE_Efficacité'!$A$6:$CY$266,(MATCH('[2]4.4 ACE MAX SEN '!O$4,'7. PGE_Efficacité'!$A$4:$AO$4,0)),0)</f>
        <v>+</v>
      </c>
      <c r="P85" s="180" t="str">
        <f>VLOOKUP($A85,'7. PGE_Efficacité'!$A$6:$CY$266,(MATCH('[2]4.4 ACE MAX SEN '!P$4,'7. PGE_Efficacité'!$A$4:$AO$4,0)),0)</f>
        <v>+</v>
      </c>
      <c r="Q85" s="180" t="str">
        <f>VLOOKUP($A85,'7. PGE_Efficacité'!$A$6:$CY$266,(MATCH('[2]4.4 ACE MAX SEN '!Q$4,'7. PGE_Efficacité'!$A$4:$AO$4,0)),0)</f>
        <v>+</v>
      </c>
      <c r="R85" s="180">
        <f>VLOOKUP($A85,'7. PGE_Efficacité'!$A$6:$CY$266,(MATCH('[2]4.4 ACE MAX SEN '!R$4,'7. PGE_Efficacité'!$A$4:$AO$4,0)),0)</f>
        <v>0</v>
      </c>
      <c r="S85" s="180" t="str">
        <f>VLOOKUP($A85,'7. PGE_Efficacité'!$A$6:$CY$266,(MATCH('[2]4.4 ACE MAX SEN '!S$4,'7. PGE_Efficacité'!$A$4:$AO$4,0)),0)</f>
        <v>+</v>
      </c>
      <c r="T85" s="180" t="str">
        <f>VLOOKUP($A85,'7. PGE_Efficacité'!$A$6:$CY$266,(MATCH('[2]4.4 ACE MAX SEN '!T$4,'7. PGE_Efficacité'!$A$4:$AO$4,0)),0)</f>
        <v>++</v>
      </c>
      <c r="U85" s="180" t="str">
        <f>VLOOKUP($A85,'7. PGE_Efficacité'!$A$6:$CY$266,(MATCH('[2]4.4 ACE MAX SEN '!U$4,'7. PGE_Efficacité'!$A$4:$AO$4,0)),0)</f>
        <v>+</v>
      </c>
      <c r="V85" s="180" t="str">
        <f>VLOOKUP($A85,'7. PGE_Efficacité'!$A$6:$CY$266,(MATCH('[2]4.4 ACE MAX SEN '!V$4,'7. PGE_Efficacité'!$A$4:$AO$4,0)),0)</f>
        <v>++</v>
      </c>
      <c r="W85" s="181" t="str">
        <f>VLOOKUP($A85,'7. PGE_Efficacité'!$A$6:$CY$266,(MATCH('[2]4.4 ACE MAX SEN '!W$4,'7. PGE_Efficacité'!$A$4:$AO$4,0)),0)</f>
        <v>+++</v>
      </c>
      <c r="X85" s="181" t="str">
        <f>VLOOKUP($A85,'7. PGE_Efficacité'!$A$6:$CY$266,(MATCH('[2]4.4 ACE MAX SEN '!X$4,'7. PGE_Efficacité'!$A$4:$AO$4,0)),0)</f>
        <v>+++</v>
      </c>
      <c r="Y85" s="181" t="str">
        <f>VLOOKUP($A85,'7. PGE_Efficacité'!$A$6:$CY$266,(MATCH('[2]4.4 ACE MAX SEN '!Y$4,'7. PGE_Efficacité'!$A$4:$AO$4,0)),0)</f>
        <v>+++</v>
      </c>
      <c r="Z85" s="181" t="str">
        <f>VLOOKUP($A85,'7. PGE_Efficacité'!$A$6:$CY$266,(MATCH('[2]4.4 ACE MAX SEN '!Z$4,'7. PGE_Efficacité'!$A$4:$AO$4,0)),0)</f>
        <v>+++</v>
      </c>
      <c r="AA85" s="181" t="str">
        <f>VLOOKUP($A85,'7. PGE_Efficacité'!$A$6:$CY$266,(MATCH('[2]4.4 ACE MAX SEN '!AA$4,'7. PGE_Efficacité'!$A$4:$AO$4,0)),0)</f>
        <v>+++</v>
      </c>
      <c r="AB85" s="181" t="str">
        <f>VLOOKUP($A85,'7. PGE_Efficacité'!$A$6:$CY$266,(MATCH('[2]4.4 ACE MAX SEN '!AB$4,'7. PGE_Efficacité'!$A$4:$AO$4,0)),0)</f>
        <v>+++</v>
      </c>
      <c r="AC85" s="181" t="str">
        <f>VLOOKUP($A85,'7. PGE_Efficacité'!$A$6:$CY$266,(MATCH('[2]4.4 ACE MAX SEN '!AC$4,'7. PGE_Efficacité'!$A$4:$AO$4,0)),0)</f>
        <v>+++</v>
      </c>
      <c r="AD85" s="181">
        <f>VLOOKUP($A85,'7. PGE_Efficacité'!$A$6:$CY$266,(MATCH('[2]4.4 ACE MAX SEN '!AD$4,'7. PGE_Efficacité'!$A$4:$AO$4,0)),0)</f>
        <v>0</v>
      </c>
      <c r="AE85" s="181">
        <f>VLOOKUP($A85,'7. PGE_Efficacité'!$A$6:$CY$266,(MATCH('[2]4.4 ACE MAX SEN '!AE$4,'7. PGE_Efficacité'!$A$4:$AO$4,0)),0)</f>
        <v>0</v>
      </c>
      <c r="AF85" s="181">
        <f>VLOOKUP($A85,'7. PGE_Efficacité'!$A$6:$CY$266,(MATCH('[2]4.4 ACE MAX SEN '!AF$4,'7. PGE_Efficacité'!$A$4:$AO$4,0)),0)</f>
        <v>0</v>
      </c>
      <c r="AG85" s="181">
        <f>VLOOKUP($A85,'7. PGE_Efficacité'!$A$6:$CY$266,(MATCH('[2]4.4 ACE MAX SEN '!AG$4,'7. PGE_Efficacité'!$A$4:$AO$4,0)),0)</f>
        <v>0</v>
      </c>
      <c r="AH85" s="181" t="str">
        <f>VLOOKUP($A85,'7. PGE_Efficacité'!$A$6:$CY$266,(MATCH('[2]4.4 ACE MAX SEN '!AH$4,'7. PGE_Efficacité'!$A$4:$AO$4,0)),0)</f>
        <v>++++</v>
      </c>
      <c r="AI85" s="181" t="str">
        <f>VLOOKUP($A85,'7. PGE_Efficacité'!$A$6:$CY$266,(MATCH('[2]4.4 ACE MAX SEN '!AI$4,'7. PGE_Efficacité'!$A$4:$AO$4,0)),0)</f>
        <v>++++</v>
      </c>
      <c r="AJ85" s="181" t="str">
        <f>VLOOKUP($A85,'7. PGE_Efficacité'!$A$6:$CY$266,(MATCH('[2]4.4 ACE MAX SEN '!AJ$4,'7. PGE_Efficacité'!$A$4:$AO$4,0)),0)</f>
        <v>++++</v>
      </c>
      <c r="AK85" s="181" t="str">
        <f>VLOOKUP($A85,'7. PGE_Efficacité'!$A$6:$CY$266,(MATCH('[2]4.4 ACE MAX SEN '!AK$4,'7. PGE_Efficacité'!$A$4:$AO$4,0)),0)</f>
        <v>++++</v>
      </c>
    </row>
    <row r="86" spans="1:37" hidden="1" outlineLevel="2" x14ac:dyDescent="0.25">
      <c r="A86" s="65" t="s">
        <v>8</v>
      </c>
      <c r="B86" s="65" t="s">
        <v>843</v>
      </c>
      <c r="C86" s="65" t="s">
        <v>1473</v>
      </c>
      <c r="D86" s="65" t="s">
        <v>1522</v>
      </c>
      <c r="E86" s="65" t="s">
        <v>1290</v>
      </c>
      <c r="F86" s="70"/>
      <c r="G86" s="64">
        <f>VLOOKUP($B86,'7. PGE_Efficacité'!$A$6:$CY$266,(MATCH('[3]4.4 ACE MAX SEN '!G$4,'7. PGE_Efficacité'!$A$4:$AO$4,0)),0)</f>
        <v>0</v>
      </c>
      <c r="H86" s="64">
        <f>VLOOKUP($B86,'7. PGE_Efficacité'!$A$6:$CY$266,(MATCH('[3]4.4 ACE MAX SEN '!H$4,'7. PGE_Efficacité'!$A$4:$AO$4,0)),0)</f>
        <v>0</v>
      </c>
      <c r="I86" s="64">
        <f>VLOOKUP($B86,'7. PGE_Efficacité'!$A$6:$CY$266,(MATCH('[3]4.4 ACE MAX SEN '!I$4,'7. PGE_Efficacité'!$A$4:$AO$4,0)),0)</f>
        <v>0</v>
      </c>
      <c r="J86" s="64">
        <f>VLOOKUP($B86,'7. PGE_Efficacité'!$A$6:$CY$266,(MATCH('[3]4.4 ACE MAX SEN '!J$4,'7. PGE_Efficacité'!$A$4:$AO$4,0)),0)</f>
        <v>0</v>
      </c>
      <c r="K86" s="64">
        <f>VLOOKUP($B86,'7. PGE_Efficacité'!$A$6:$CY$266,(MATCH('[3]4.4 ACE MAX SEN '!K$4,'7. PGE_Efficacité'!$A$4:$AO$4,0)),0)</f>
        <v>0</v>
      </c>
      <c r="L86" s="64">
        <f>VLOOKUP($B86,'7. PGE_Efficacité'!$A$6:$CY$266,(MATCH('[3]4.4 ACE MAX SEN '!L$4,'7. PGE_Efficacité'!$A$4:$AO$4,0)),0)</f>
        <v>0</v>
      </c>
      <c r="M86" s="64">
        <f>VLOOKUP($B86,'7. PGE_Efficacité'!$A$6:$CY$266,(MATCH('[3]4.4 ACE MAX SEN '!M$4,'7. PGE_Efficacité'!$A$4:$AO$4,0)),0)</f>
        <v>0</v>
      </c>
      <c r="N86" s="64">
        <f>VLOOKUP($B86,'7. PGE_Efficacité'!$A$6:$CY$266,(MATCH('[3]4.4 ACE MAX SEN '!N$4,'7. PGE_Efficacité'!$A$4:$AO$4,0)),0)</f>
        <v>0</v>
      </c>
      <c r="O86" s="64">
        <f>VLOOKUP($B86,'7. PGE_Efficacité'!$A$6:$CY$266,(MATCH('[3]4.4 ACE MAX SEN '!O$4,'7. PGE_Efficacité'!$A$4:$AO$4,0)),0)</f>
        <v>0</v>
      </c>
      <c r="P86" s="64">
        <f>VLOOKUP($B86,'7. PGE_Efficacité'!$A$6:$CY$266,(MATCH('[3]4.4 ACE MAX SEN '!P$4,'7. PGE_Efficacité'!$A$4:$AO$4,0)),0)</f>
        <v>0</v>
      </c>
      <c r="Q86" s="64">
        <f>VLOOKUP($B86,'7. PGE_Efficacité'!$A$6:$CY$266,(MATCH('[3]4.4 ACE MAX SEN '!Q$4,'7. PGE_Efficacité'!$A$4:$AO$4,0)),0)</f>
        <v>0</v>
      </c>
      <c r="R86" s="64">
        <f>VLOOKUP($B86,'7. PGE_Efficacité'!$A$6:$CY$266,(MATCH('[3]4.4 ACE MAX SEN '!R$4,'7. PGE_Efficacité'!$A$4:$AO$4,0)),0)</f>
        <v>0</v>
      </c>
      <c r="S86" s="64">
        <f>VLOOKUP($B86,'7. PGE_Efficacité'!$A$6:$CY$266,(MATCH('[3]4.4 ACE MAX SEN '!S$4,'7. PGE_Efficacité'!$A$4:$AO$4,0)),0)</f>
        <v>0</v>
      </c>
      <c r="T86" s="64">
        <f>VLOOKUP($B86,'7. PGE_Efficacité'!$A$6:$CY$266,(MATCH('[3]4.4 ACE MAX SEN '!T$4,'7. PGE_Efficacité'!$A$4:$AO$4,0)),0)</f>
        <v>0</v>
      </c>
      <c r="U86" s="64">
        <f>VLOOKUP($B86,'7. PGE_Efficacité'!$A$6:$CY$266,(MATCH('[3]4.4 ACE MAX SEN '!U$4,'7. PGE_Efficacité'!$A$4:$AO$4,0)),0)</f>
        <v>0</v>
      </c>
      <c r="V86" s="64">
        <f>VLOOKUP($B86,'7. PGE_Efficacité'!$A$6:$CY$266,(MATCH('[3]4.4 ACE MAX SEN '!V$4,'7. PGE_Efficacité'!$A$4:$AO$4,0)),0)</f>
        <v>0</v>
      </c>
      <c r="W86" s="61">
        <f>VLOOKUP($B86,'7. PGE_Efficacité'!$A$6:$CY$266,(MATCH('[3]4.4 ACE MAX SEN '!W$4,'7. PGE_Efficacité'!$A$4:$AO$4,0)),0)</f>
        <v>0</v>
      </c>
      <c r="X86" s="61">
        <f>VLOOKUP($B86,'7. PGE_Efficacité'!$A$6:$CY$266,(MATCH('[3]4.4 ACE MAX SEN '!X$4,'7. PGE_Efficacité'!$A$4:$AO$4,0)),0)</f>
        <v>0</v>
      </c>
      <c r="Y86" s="61">
        <f>VLOOKUP($B86,'7. PGE_Efficacité'!$A$6:$CY$266,(MATCH('[3]4.4 ACE MAX SEN '!Y$4,'7. PGE_Efficacité'!$A$4:$AO$4,0)),0)</f>
        <v>0</v>
      </c>
      <c r="Z86" s="61">
        <f>VLOOKUP($B86,'7. PGE_Efficacité'!$A$6:$CY$266,(MATCH('[3]4.4 ACE MAX SEN '!Z$4,'7. PGE_Efficacité'!$A$4:$AO$4,0)),0)</f>
        <v>0</v>
      </c>
      <c r="AA86" s="61">
        <f>VLOOKUP($B86,'7. PGE_Efficacité'!$A$6:$CY$266,(MATCH('[3]4.4 ACE MAX SEN '!AA$4,'7. PGE_Efficacité'!$A$4:$AO$4,0)),0)</f>
        <v>0</v>
      </c>
      <c r="AB86" s="61">
        <f>VLOOKUP($B86,'7. PGE_Efficacité'!$A$6:$CY$266,(MATCH('[3]4.4 ACE MAX SEN '!AB$4,'7. PGE_Efficacité'!$A$4:$AO$4,0)),0)</f>
        <v>0</v>
      </c>
      <c r="AC86" s="61">
        <f>VLOOKUP($B86,'7. PGE_Efficacité'!$A$6:$CY$266,(MATCH('[3]4.4 ACE MAX SEN '!AC$4,'7. PGE_Efficacité'!$A$4:$AO$4,0)),0)</f>
        <v>0</v>
      </c>
      <c r="AD86" s="61">
        <f>VLOOKUP($B86,'7. PGE_Efficacité'!$A$6:$CY$266,(MATCH('[3]4.4 ACE MAX SEN '!AD$4,'7. PGE_Efficacité'!$A$4:$AO$4,0)),0)</f>
        <v>0</v>
      </c>
      <c r="AE86" s="61">
        <f>VLOOKUP($B86,'7. PGE_Efficacité'!$A$6:$CY$266,(MATCH('[3]4.4 ACE MAX SEN '!AE$4,'7. PGE_Efficacité'!$A$4:$AO$4,0)),0)</f>
        <v>0</v>
      </c>
      <c r="AF86" s="61">
        <f>VLOOKUP($B86,'7. PGE_Efficacité'!$A$6:$CY$266,(MATCH('[3]4.4 ACE MAX SEN '!AF$4,'7. PGE_Efficacité'!$A$4:$AO$4,0)),0)</f>
        <v>0</v>
      </c>
      <c r="AG86" s="61">
        <f>VLOOKUP($B86,'7. PGE_Efficacité'!$A$6:$CY$266,(MATCH('[3]4.4 ACE MAX SEN '!AG$4,'7. PGE_Efficacité'!$A$4:$AO$4,0)),0)</f>
        <v>0</v>
      </c>
      <c r="AH86" s="61">
        <f>VLOOKUP($B86,'7. PGE_Efficacité'!$A$6:$CY$266,(MATCH('[3]4.4 ACE MAX SEN '!AH$4,'7. PGE_Efficacité'!$A$4:$AO$4,0)),0)</f>
        <v>0</v>
      </c>
      <c r="AI86" s="61">
        <f>VLOOKUP($B86,'7. PGE_Efficacité'!$A$6:$CY$266,(MATCH('[3]4.4 ACE MAX SEN '!AI$4,'7. PGE_Efficacité'!$A$4:$AO$4,0)),0)</f>
        <v>0</v>
      </c>
      <c r="AJ86" s="61">
        <f>VLOOKUP($B86,'7. PGE_Efficacité'!$A$6:$CY$266,(MATCH('[3]4.4 ACE MAX SEN '!AJ$4,'7. PGE_Efficacité'!$A$4:$AO$4,0)),0)</f>
        <v>0</v>
      </c>
      <c r="AK86" s="61">
        <f>VLOOKUP($B86,'7. PGE_Efficacité'!$A$6:$CY$266,(MATCH('[3]4.4 ACE MAX SEN '!AK$4,'7. PGE_Efficacité'!$A$4:$AO$4,0)),0)</f>
        <v>0</v>
      </c>
    </row>
    <row r="87" spans="1:37" hidden="1" outlineLevel="2" x14ac:dyDescent="0.25">
      <c r="A87" s="65" t="s">
        <v>8</v>
      </c>
      <c r="B87" s="65" t="s">
        <v>844</v>
      </c>
      <c r="C87" s="65" t="s">
        <v>1474</v>
      </c>
      <c r="D87" s="65" t="s">
        <v>1522</v>
      </c>
      <c r="E87" s="65" t="s">
        <v>1289</v>
      </c>
      <c r="F87" s="70"/>
      <c r="G87" s="64">
        <f>VLOOKUP($B87,'7. PGE_Efficacité'!$A$6:$CY$266,(MATCH('[3]4.4 ACE MAX SEN '!G$4,'7. PGE_Efficacité'!$A$4:$AO$4,0)),0)</f>
        <v>0</v>
      </c>
      <c r="H87" s="64">
        <f>VLOOKUP($B87,'7. PGE_Efficacité'!$A$6:$CY$266,(MATCH('[3]4.4 ACE MAX SEN '!H$4,'7. PGE_Efficacité'!$A$4:$AO$4,0)),0)</f>
        <v>0</v>
      </c>
      <c r="I87" s="64">
        <f>VLOOKUP($B87,'7. PGE_Efficacité'!$A$6:$CY$266,(MATCH('[3]4.4 ACE MAX SEN '!I$4,'7. PGE_Efficacité'!$A$4:$AO$4,0)),0)</f>
        <v>0</v>
      </c>
      <c r="J87" s="64">
        <f>VLOOKUP($B87,'7. PGE_Efficacité'!$A$6:$CY$266,(MATCH('[3]4.4 ACE MAX SEN '!J$4,'7. PGE_Efficacité'!$A$4:$AO$4,0)),0)</f>
        <v>0</v>
      </c>
      <c r="K87" s="64">
        <f>VLOOKUP($B87,'7. PGE_Efficacité'!$A$6:$CY$266,(MATCH('[3]4.4 ACE MAX SEN '!K$4,'7. PGE_Efficacité'!$A$4:$AO$4,0)),0)</f>
        <v>0</v>
      </c>
      <c r="L87" s="64">
        <f>VLOOKUP($B87,'7. PGE_Efficacité'!$A$6:$CY$266,(MATCH('[3]4.4 ACE MAX SEN '!L$4,'7. PGE_Efficacité'!$A$4:$AO$4,0)),0)</f>
        <v>0</v>
      </c>
      <c r="M87" s="64">
        <f>VLOOKUP($B87,'7. PGE_Efficacité'!$A$6:$CY$266,(MATCH('[3]4.4 ACE MAX SEN '!M$4,'7. PGE_Efficacité'!$A$4:$AO$4,0)),0)</f>
        <v>0</v>
      </c>
      <c r="N87" s="64">
        <f>VLOOKUP($B87,'7. PGE_Efficacité'!$A$6:$CY$266,(MATCH('[3]4.4 ACE MAX SEN '!N$4,'7. PGE_Efficacité'!$A$4:$AO$4,0)),0)</f>
        <v>0</v>
      </c>
      <c r="O87" s="64">
        <f>VLOOKUP($B87,'7. PGE_Efficacité'!$A$6:$CY$266,(MATCH('[3]4.4 ACE MAX SEN '!O$4,'7. PGE_Efficacité'!$A$4:$AO$4,0)),0)</f>
        <v>0</v>
      </c>
      <c r="P87" s="64">
        <f>VLOOKUP($B87,'7. PGE_Efficacité'!$A$6:$CY$266,(MATCH('[3]4.4 ACE MAX SEN '!P$4,'7. PGE_Efficacité'!$A$4:$AO$4,0)),0)</f>
        <v>0</v>
      </c>
      <c r="Q87" s="64">
        <f>VLOOKUP($B87,'7. PGE_Efficacité'!$A$6:$CY$266,(MATCH('[3]4.4 ACE MAX SEN '!Q$4,'7. PGE_Efficacité'!$A$4:$AO$4,0)),0)</f>
        <v>0</v>
      </c>
      <c r="R87" s="64">
        <f>VLOOKUP($B87,'7. PGE_Efficacité'!$A$6:$CY$266,(MATCH('[3]4.4 ACE MAX SEN '!R$4,'7. PGE_Efficacité'!$A$4:$AO$4,0)),0)</f>
        <v>0</v>
      </c>
      <c r="S87" s="64">
        <f>VLOOKUP($B87,'7. PGE_Efficacité'!$A$6:$CY$266,(MATCH('[3]4.4 ACE MAX SEN '!S$4,'7. PGE_Efficacité'!$A$4:$AO$4,0)),0)</f>
        <v>0</v>
      </c>
      <c r="T87" s="64">
        <f>VLOOKUP($B87,'7. PGE_Efficacité'!$A$6:$CY$266,(MATCH('[3]4.4 ACE MAX SEN '!T$4,'7. PGE_Efficacité'!$A$4:$AO$4,0)),0)</f>
        <v>0</v>
      </c>
      <c r="U87" s="64">
        <f>VLOOKUP($B87,'7. PGE_Efficacité'!$A$6:$CY$266,(MATCH('[3]4.4 ACE MAX SEN '!U$4,'7. PGE_Efficacité'!$A$4:$AO$4,0)),0)</f>
        <v>0</v>
      </c>
      <c r="V87" s="64">
        <f>VLOOKUP($B87,'7. PGE_Efficacité'!$A$6:$CY$266,(MATCH('[3]4.4 ACE MAX SEN '!V$4,'7. PGE_Efficacité'!$A$4:$AO$4,0)),0)</f>
        <v>0</v>
      </c>
      <c r="W87" s="61">
        <f>VLOOKUP($B87,'7. PGE_Efficacité'!$A$6:$CY$266,(MATCH('[3]4.4 ACE MAX SEN '!W$4,'7. PGE_Efficacité'!$A$4:$AO$4,0)),0)</f>
        <v>0</v>
      </c>
      <c r="X87" s="61">
        <f>VLOOKUP($B87,'7. PGE_Efficacité'!$A$6:$CY$266,(MATCH('[3]4.4 ACE MAX SEN '!X$4,'7. PGE_Efficacité'!$A$4:$AO$4,0)),0)</f>
        <v>0</v>
      </c>
      <c r="Y87" s="61">
        <f>VLOOKUP($B87,'7. PGE_Efficacité'!$A$6:$CY$266,(MATCH('[3]4.4 ACE MAX SEN '!Y$4,'7. PGE_Efficacité'!$A$4:$AO$4,0)),0)</f>
        <v>0</v>
      </c>
      <c r="Z87" s="61">
        <f>VLOOKUP($B87,'7. PGE_Efficacité'!$A$6:$CY$266,(MATCH('[3]4.4 ACE MAX SEN '!Z$4,'7. PGE_Efficacité'!$A$4:$AO$4,0)),0)</f>
        <v>0</v>
      </c>
      <c r="AA87" s="61">
        <f>VLOOKUP($B87,'7. PGE_Efficacité'!$A$6:$CY$266,(MATCH('[3]4.4 ACE MAX SEN '!AA$4,'7. PGE_Efficacité'!$A$4:$AO$4,0)),0)</f>
        <v>0</v>
      </c>
      <c r="AB87" s="61">
        <f>VLOOKUP($B87,'7. PGE_Efficacité'!$A$6:$CY$266,(MATCH('[3]4.4 ACE MAX SEN '!AB$4,'7. PGE_Efficacité'!$A$4:$AO$4,0)),0)</f>
        <v>0</v>
      </c>
      <c r="AC87" s="61">
        <f>VLOOKUP($B87,'7. PGE_Efficacité'!$A$6:$CY$266,(MATCH('[3]4.4 ACE MAX SEN '!AC$4,'7. PGE_Efficacité'!$A$4:$AO$4,0)),0)</f>
        <v>0</v>
      </c>
      <c r="AD87" s="61">
        <f>VLOOKUP($B87,'7. PGE_Efficacité'!$A$6:$CY$266,(MATCH('[3]4.4 ACE MAX SEN '!AD$4,'7. PGE_Efficacité'!$A$4:$AO$4,0)),0)</f>
        <v>0</v>
      </c>
      <c r="AE87" s="61">
        <f>VLOOKUP($B87,'7. PGE_Efficacité'!$A$6:$CY$266,(MATCH('[3]4.4 ACE MAX SEN '!AE$4,'7. PGE_Efficacité'!$A$4:$AO$4,0)),0)</f>
        <v>0</v>
      </c>
      <c r="AF87" s="61">
        <f>VLOOKUP($B87,'7. PGE_Efficacité'!$A$6:$CY$266,(MATCH('[3]4.4 ACE MAX SEN '!AF$4,'7. PGE_Efficacité'!$A$4:$AO$4,0)),0)</f>
        <v>0</v>
      </c>
      <c r="AG87" s="61">
        <f>VLOOKUP($B87,'7. PGE_Efficacité'!$A$6:$CY$266,(MATCH('[3]4.4 ACE MAX SEN '!AG$4,'7. PGE_Efficacité'!$A$4:$AO$4,0)),0)</f>
        <v>0</v>
      </c>
      <c r="AH87" s="61">
        <f>VLOOKUP($B87,'7. PGE_Efficacité'!$A$6:$CY$266,(MATCH('[3]4.4 ACE MAX SEN '!AH$4,'7. PGE_Efficacité'!$A$4:$AO$4,0)),0)</f>
        <v>0</v>
      </c>
      <c r="AI87" s="61">
        <f>VLOOKUP($B87,'7. PGE_Efficacité'!$A$6:$CY$266,(MATCH('[3]4.4 ACE MAX SEN '!AI$4,'7. PGE_Efficacité'!$A$4:$AO$4,0)),0)</f>
        <v>0</v>
      </c>
      <c r="AJ87" s="61">
        <f>VLOOKUP($B87,'7. PGE_Efficacité'!$A$6:$CY$266,(MATCH('[3]4.4 ACE MAX SEN '!AJ$4,'7. PGE_Efficacité'!$A$4:$AO$4,0)),0)</f>
        <v>0</v>
      </c>
      <c r="AK87" s="61">
        <f>VLOOKUP($B87,'7. PGE_Efficacité'!$A$6:$CY$266,(MATCH('[3]4.4 ACE MAX SEN '!AK$4,'7. PGE_Efficacité'!$A$4:$AO$4,0)),0)</f>
        <v>0</v>
      </c>
    </row>
    <row r="88" spans="1:37" hidden="1" outlineLevel="2" x14ac:dyDescent="0.25">
      <c r="A88" s="65" t="s">
        <v>8</v>
      </c>
      <c r="B88" s="65" t="s">
        <v>845</v>
      </c>
      <c r="C88" s="65" t="s">
        <v>1475</v>
      </c>
      <c r="D88" s="65" t="s">
        <v>1522</v>
      </c>
      <c r="E88" s="65" t="s">
        <v>415</v>
      </c>
      <c r="F88" s="70"/>
      <c r="G88" s="64">
        <f>VLOOKUP($B88,'7. PGE_Efficacité'!$A$6:$CY$266,(MATCH('[3]4.4 ACE MAX SEN '!G$4,'7. PGE_Efficacité'!$A$4:$AO$4,0)),0)</f>
        <v>0</v>
      </c>
      <c r="H88" s="64">
        <f>VLOOKUP($B88,'7. PGE_Efficacité'!$A$6:$CY$266,(MATCH('[3]4.4 ACE MAX SEN '!H$4,'7. PGE_Efficacité'!$A$4:$AO$4,0)),0)</f>
        <v>0</v>
      </c>
      <c r="I88" s="64">
        <f>VLOOKUP($B88,'7. PGE_Efficacité'!$A$6:$CY$266,(MATCH('[3]4.4 ACE MAX SEN '!I$4,'7. PGE_Efficacité'!$A$4:$AO$4,0)),0)</f>
        <v>0</v>
      </c>
      <c r="J88" s="64">
        <f>VLOOKUP($B88,'7. PGE_Efficacité'!$A$6:$CY$266,(MATCH('[3]4.4 ACE MAX SEN '!J$4,'7. PGE_Efficacité'!$A$4:$AO$4,0)),0)</f>
        <v>0</v>
      </c>
      <c r="K88" s="64">
        <f>VLOOKUP($B88,'7. PGE_Efficacité'!$A$6:$CY$266,(MATCH('[3]4.4 ACE MAX SEN '!K$4,'7. PGE_Efficacité'!$A$4:$AO$4,0)),0)</f>
        <v>0</v>
      </c>
      <c r="L88" s="64">
        <f>VLOOKUP($B88,'7. PGE_Efficacité'!$A$6:$CY$266,(MATCH('[3]4.4 ACE MAX SEN '!L$4,'7. PGE_Efficacité'!$A$4:$AO$4,0)),0)</f>
        <v>0</v>
      </c>
      <c r="M88" s="64">
        <f>VLOOKUP($B88,'7. PGE_Efficacité'!$A$6:$CY$266,(MATCH('[3]4.4 ACE MAX SEN '!M$4,'7. PGE_Efficacité'!$A$4:$AO$4,0)),0)</f>
        <v>0</v>
      </c>
      <c r="N88" s="64">
        <f>VLOOKUP($B88,'7. PGE_Efficacité'!$A$6:$CY$266,(MATCH('[3]4.4 ACE MAX SEN '!N$4,'7. PGE_Efficacité'!$A$4:$AO$4,0)),0)</f>
        <v>0</v>
      </c>
      <c r="O88" s="64">
        <f>VLOOKUP($B88,'7. PGE_Efficacité'!$A$6:$CY$266,(MATCH('[3]4.4 ACE MAX SEN '!O$4,'7. PGE_Efficacité'!$A$4:$AO$4,0)),0)</f>
        <v>0</v>
      </c>
      <c r="P88" s="64">
        <f>VLOOKUP($B88,'7. PGE_Efficacité'!$A$6:$CY$266,(MATCH('[3]4.4 ACE MAX SEN '!P$4,'7. PGE_Efficacité'!$A$4:$AO$4,0)),0)</f>
        <v>0</v>
      </c>
      <c r="Q88" s="64">
        <f>VLOOKUP($B88,'7. PGE_Efficacité'!$A$6:$CY$266,(MATCH('[3]4.4 ACE MAX SEN '!Q$4,'7. PGE_Efficacité'!$A$4:$AO$4,0)),0)</f>
        <v>0</v>
      </c>
      <c r="R88" s="64">
        <f>VLOOKUP($B88,'7. PGE_Efficacité'!$A$6:$CY$266,(MATCH('[3]4.4 ACE MAX SEN '!R$4,'7. PGE_Efficacité'!$A$4:$AO$4,0)),0)</f>
        <v>0</v>
      </c>
      <c r="S88" s="64">
        <f>VLOOKUP($B88,'7. PGE_Efficacité'!$A$6:$CY$266,(MATCH('[3]4.4 ACE MAX SEN '!S$4,'7. PGE_Efficacité'!$A$4:$AO$4,0)),0)</f>
        <v>0</v>
      </c>
      <c r="T88" s="64">
        <f>VLOOKUP($B88,'7. PGE_Efficacité'!$A$6:$CY$266,(MATCH('[3]4.4 ACE MAX SEN '!T$4,'7. PGE_Efficacité'!$A$4:$AO$4,0)),0)</f>
        <v>0</v>
      </c>
      <c r="U88" s="64">
        <f>VLOOKUP($B88,'7. PGE_Efficacité'!$A$6:$CY$266,(MATCH('[3]4.4 ACE MAX SEN '!U$4,'7. PGE_Efficacité'!$A$4:$AO$4,0)),0)</f>
        <v>0</v>
      </c>
      <c r="V88" s="64">
        <f>VLOOKUP($B88,'7. PGE_Efficacité'!$A$6:$CY$266,(MATCH('[3]4.4 ACE MAX SEN '!V$4,'7. PGE_Efficacité'!$A$4:$AO$4,0)),0)</f>
        <v>0</v>
      </c>
      <c r="W88" s="61">
        <f>VLOOKUP($B88,'7. PGE_Efficacité'!$A$6:$CY$266,(MATCH('[3]4.4 ACE MAX SEN '!W$4,'7. PGE_Efficacité'!$A$4:$AO$4,0)),0)</f>
        <v>0</v>
      </c>
      <c r="X88" s="61">
        <f>VLOOKUP($B88,'7. PGE_Efficacité'!$A$6:$CY$266,(MATCH('[3]4.4 ACE MAX SEN '!X$4,'7. PGE_Efficacité'!$A$4:$AO$4,0)),0)</f>
        <v>0</v>
      </c>
      <c r="Y88" s="61">
        <f>VLOOKUP($B88,'7. PGE_Efficacité'!$A$6:$CY$266,(MATCH('[3]4.4 ACE MAX SEN '!Y$4,'7. PGE_Efficacité'!$A$4:$AO$4,0)),0)</f>
        <v>0</v>
      </c>
      <c r="Z88" s="61">
        <f>VLOOKUP($B88,'7. PGE_Efficacité'!$A$6:$CY$266,(MATCH('[3]4.4 ACE MAX SEN '!Z$4,'7. PGE_Efficacité'!$A$4:$AO$4,0)),0)</f>
        <v>0</v>
      </c>
      <c r="AA88" s="61">
        <f>VLOOKUP($B88,'7. PGE_Efficacité'!$A$6:$CY$266,(MATCH('[3]4.4 ACE MAX SEN '!AA$4,'7. PGE_Efficacité'!$A$4:$AO$4,0)),0)</f>
        <v>0</v>
      </c>
      <c r="AB88" s="61">
        <f>VLOOKUP($B88,'7. PGE_Efficacité'!$A$6:$CY$266,(MATCH('[3]4.4 ACE MAX SEN '!AB$4,'7. PGE_Efficacité'!$A$4:$AO$4,0)),0)</f>
        <v>0</v>
      </c>
      <c r="AC88" s="61">
        <f>VLOOKUP($B88,'7. PGE_Efficacité'!$A$6:$CY$266,(MATCH('[3]4.4 ACE MAX SEN '!AC$4,'7. PGE_Efficacité'!$A$4:$AO$4,0)),0)</f>
        <v>0</v>
      </c>
      <c r="AD88" s="61">
        <f>VLOOKUP($B88,'7. PGE_Efficacité'!$A$6:$CY$266,(MATCH('[3]4.4 ACE MAX SEN '!AD$4,'7. PGE_Efficacité'!$A$4:$AO$4,0)),0)</f>
        <v>0</v>
      </c>
      <c r="AE88" s="61">
        <f>VLOOKUP($B88,'7. PGE_Efficacité'!$A$6:$CY$266,(MATCH('[3]4.4 ACE MAX SEN '!AE$4,'7. PGE_Efficacité'!$A$4:$AO$4,0)),0)</f>
        <v>0</v>
      </c>
      <c r="AF88" s="61">
        <f>VLOOKUP($B88,'7. PGE_Efficacité'!$A$6:$CY$266,(MATCH('[3]4.4 ACE MAX SEN '!AF$4,'7. PGE_Efficacité'!$A$4:$AO$4,0)),0)</f>
        <v>0</v>
      </c>
      <c r="AG88" s="61">
        <f>VLOOKUP($B88,'7. PGE_Efficacité'!$A$6:$CY$266,(MATCH('[3]4.4 ACE MAX SEN '!AG$4,'7. PGE_Efficacité'!$A$4:$AO$4,0)),0)</f>
        <v>0</v>
      </c>
      <c r="AH88" s="61">
        <f>VLOOKUP($B88,'7. PGE_Efficacité'!$A$6:$CY$266,(MATCH('[3]4.4 ACE MAX SEN '!AH$4,'7. PGE_Efficacité'!$A$4:$AO$4,0)),0)</f>
        <v>0</v>
      </c>
      <c r="AI88" s="61">
        <f>VLOOKUP($B88,'7. PGE_Efficacité'!$A$6:$CY$266,(MATCH('[3]4.4 ACE MAX SEN '!AI$4,'7. PGE_Efficacité'!$A$4:$AO$4,0)),0)</f>
        <v>0</v>
      </c>
      <c r="AJ88" s="61">
        <f>VLOOKUP($B88,'7. PGE_Efficacité'!$A$6:$CY$266,(MATCH('[3]4.4 ACE MAX SEN '!AJ$4,'7. PGE_Efficacité'!$A$4:$AO$4,0)),0)</f>
        <v>0</v>
      </c>
      <c r="AK88" s="61">
        <f>VLOOKUP($B88,'7. PGE_Efficacité'!$A$6:$CY$266,(MATCH('[3]4.4 ACE MAX SEN '!AK$4,'7. PGE_Efficacité'!$A$4:$AO$4,0)),0)</f>
        <v>0</v>
      </c>
    </row>
    <row r="89" spans="1:37" hidden="1" outlineLevel="2" x14ac:dyDescent="0.25">
      <c r="A89" s="65" t="s">
        <v>8</v>
      </c>
      <c r="B89" s="65" t="s">
        <v>846</v>
      </c>
      <c r="C89" s="65" t="s">
        <v>1476</v>
      </c>
      <c r="D89" s="65" t="s">
        <v>1522</v>
      </c>
      <c r="E89" s="65" t="s">
        <v>415</v>
      </c>
      <c r="F89" s="70"/>
      <c r="G89" s="64">
        <f>VLOOKUP($B89,'7. PGE_Efficacité'!$A$6:$CY$266,(MATCH('[3]4.4 ACE MAX SEN '!G$4,'7. PGE_Efficacité'!$A$4:$AO$4,0)),0)</f>
        <v>0</v>
      </c>
      <c r="H89" s="64">
        <f>VLOOKUP($B89,'7. PGE_Efficacité'!$A$6:$CY$266,(MATCH('[3]4.4 ACE MAX SEN '!H$4,'7. PGE_Efficacité'!$A$4:$AO$4,0)),0)</f>
        <v>0</v>
      </c>
      <c r="I89" s="64">
        <f>VLOOKUP($B89,'7. PGE_Efficacité'!$A$6:$CY$266,(MATCH('[3]4.4 ACE MAX SEN '!I$4,'7. PGE_Efficacité'!$A$4:$AO$4,0)),0)</f>
        <v>0</v>
      </c>
      <c r="J89" s="64">
        <f>VLOOKUP($B89,'7. PGE_Efficacité'!$A$6:$CY$266,(MATCH('[3]4.4 ACE MAX SEN '!J$4,'7. PGE_Efficacité'!$A$4:$AO$4,0)),0)</f>
        <v>0</v>
      </c>
      <c r="K89" s="64">
        <f>VLOOKUP($B89,'7. PGE_Efficacité'!$A$6:$CY$266,(MATCH('[3]4.4 ACE MAX SEN '!K$4,'7. PGE_Efficacité'!$A$4:$AO$4,0)),0)</f>
        <v>0</v>
      </c>
      <c r="L89" s="64">
        <f>VLOOKUP($B89,'7. PGE_Efficacité'!$A$6:$CY$266,(MATCH('[3]4.4 ACE MAX SEN '!L$4,'7. PGE_Efficacité'!$A$4:$AO$4,0)),0)</f>
        <v>0</v>
      </c>
      <c r="M89" s="64">
        <f>VLOOKUP($B89,'7. PGE_Efficacité'!$A$6:$CY$266,(MATCH('[3]4.4 ACE MAX SEN '!M$4,'7. PGE_Efficacité'!$A$4:$AO$4,0)),0)</f>
        <v>0</v>
      </c>
      <c r="N89" s="64">
        <f>VLOOKUP($B89,'7. PGE_Efficacité'!$A$6:$CY$266,(MATCH('[3]4.4 ACE MAX SEN '!N$4,'7. PGE_Efficacité'!$A$4:$AO$4,0)),0)</f>
        <v>0</v>
      </c>
      <c r="O89" s="64">
        <f>VLOOKUP($B89,'7. PGE_Efficacité'!$A$6:$CY$266,(MATCH('[3]4.4 ACE MAX SEN '!O$4,'7. PGE_Efficacité'!$A$4:$AO$4,0)),0)</f>
        <v>0</v>
      </c>
      <c r="P89" s="64">
        <f>VLOOKUP($B89,'7. PGE_Efficacité'!$A$6:$CY$266,(MATCH('[3]4.4 ACE MAX SEN '!P$4,'7. PGE_Efficacité'!$A$4:$AO$4,0)),0)</f>
        <v>0</v>
      </c>
      <c r="Q89" s="64">
        <f>VLOOKUP($B89,'7. PGE_Efficacité'!$A$6:$CY$266,(MATCH('[3]4.4 ACE MAX SEN '!Q$4,'7. PGE_Efficacité'!$A$4:$AO$4,0)),0)</f>
        <v>0</v>
      </c>
      <c r="R89" s="64">
        <f>VLOOKUP($B89,'7. PGE_Efficacité'!$A$6:$CY$266,(MATCH('[3]4.4 ACE MAX SEN '!R$4,'7. PGE_Efficacité'!$A$4:$AO$4,0)),0)</f>
        <v>0</v>
      </c>
      <c r="S89" s="64">
        <f>VLOOKUP($B89,'7. PGE_Efficacité'!$A$6:$CY$266,(MATCH('[3]4.4 ACE MAX SEN '!S$4,'7. PGE_Efficacité'!$A$4:$AO$4,0)),0)</f>
        <v>0</v>
      </c>
      <c r="T89" s="64">
        <f>VLOOKUP($B89,'7. PGE_Efficacité'!$A$6:$CY$266,(MATCH('[3]4.4 ACE MAX SEN '!T$4,'7. PGE_Efficacité'!$A$4:$AO$4,0)),0)</f>
        <v>0</v>
      </c>
      <c r="U89" s="64">
        <f>VLOOKUP($B89,'7. PGE_Efficacité'!$A$6:$CY$266,(MATCH('[3]4.4 ACE MAX SEN '!U$4,'7. PGE_Efficacité'!$A$4:$AO$4,0)),0)</f>
        <v>0</v>
      </c>
      <c r="V89" s="64">
        <f>VLOOKUP($B89,'7. PGE_Efficacité'!$A$6:$CY$266,(MATCH('[3]4.4 ACE MAX SEN '!V$4,'7. PGE_Efficacité'!$A$4:$AO$4,0)),0)</f>
        <v>0</v>
      </c>
      <c r="W89" s="61">
        <f>VLOOKUP($B89,'7. PGE_Efficacité'!$A$6:$CY$266,(MATCH('[3]4.4 ACE MAX SEN '!W$4,'7. PGE_Efficacité'!$A$4:$AO$4,0)),0)</f>
        <v>0</v>
      </c>
      <c r="X89" s="61">
        <f>VLOOKUP($B89,'7. PGE_Efficacité'!$A$6:$CY$266,(MATCH('[3]4.4 ACE MAX SEN '!X$4,'7. PGE_Efficacité'!$A$4:$AO$4,0)),0)</f>
        <v>0</v>
      </c>
      <c r="Y89" s="61">
        <f>VLOOKUP($B89,'7. PGE_Efficacité'!$A$6:$CY$266,(MATCH('[3]4.4 ACE MAX SEN '!Y$4,'7. PGE_Efficacité'!$A$4:$AO$4,0)),0)</f>
        <v>0</v>
      </c>
      <c r="Z89" s="61">
        <f>VLOOKUP($B89,'7. PGE_Efficacité'!$A$6:$CY$266,(MATCH('[3]4.4 ACE MAX SEN '!Z$4,'7. PGE_Efficacité'!$A$4:$AO$4,0)),0)</f>
        <v>0</v>
      </c>
      <c r="AA89" s="61">
        <f>VLOOKUP($B89,'7. PGE_Efficacité'!$A$6:$CY$266,(MATCH('[3]4.4 ACE MAX SEN '!AA$4,'7. PGE_Efficacité'!$A$4:$AO$4,0)),0)</f>
        <v>0</v>
      </c>
      <c r="AB89" s="61">
        <f>VLOOKUP($B89,'7. PGE_Efficacité'!$A$6:$CY$266,(MATCH('[3]4.4 ACE MAX SEN '!AB$4,'7. PGE_Efficacité'!$A$4:$AO$4,0)),0)</f>
        <v>0</v>
      </c>
      <c r="AC89" s="61">
        <f>VLOOKUP($B89,'7. PGE_Efficacité'!$A$6:$CY$266,(MATCH('[3]4.4 ACE MAX SEN '!AC$4,'7. PGE_Efficacité'!$A$4:$AO$4,0)),0)</f>
        <v>0</v>
      </c>
      <c r="AD89" s="61">
        <f>VLOOKUP($B89,'7. PGE_Efficacité'!$A$6:$CY$266,(MATCH('[3]4.4 ACE MAX SEN '!AD$4,'7. PGE_Efficacité'!$A$4:$AO$4,0)),0)</f>
        <v>0</v>
      </c>
      <c r="AE89" s="61">
        <f>VLOOKUP($B89,'7. PGE_Efficacité'!$A$6:$CY$266,(MATCH('[3]4.4 ACE MAX SEN '!AE$4,'7. PGE_Efficacité'!$A$4:$AO$4,0)),0)</f>
        <v>0</v>
      </c>
      <c r="AF89" s="61">
        <f>VLOOKUP($B89,'7. PGE_Efficacité'!$A$6:$CY$266,(MATCH('[3]4.4 ACE MAX SEN '!AF$4,'7. PGE_Efficacité'!$A$4:$AO$4,0)),0)</f>
        <v>0</v>
      </c>
      <c r="AG89" s="61">
        <f>VLOOKUP($B89,'7. PGE_Efficacité'!$A$6:$CY$266,(MATCH('[3]4.4 ACE MAX SEN '!AG$4,'7. PGE_Efficacité'!$A$4:$AO$4,0)),0)</f>
        <v>0</v>
      </c>
      <c r="AH89" s="61">
        <f>VLOOKUP($B89,'7. PGE_Efficacité'!$A$6:$CY$266,(MATCH('[3]4.4 ACE MAX SEN '!AH$4,'7. PGE_Efficacité'!$A$4:$AO$4,0)),0)</f>
        <v>0</v>
      </c>
      <c r="AI89" s="61">
        <f>VLOOKUP($B89,'7. PGE_Efficacité'!$A$6:$CY$266,(MATCH('[3]4.4 ACE MAX SEN '!AI$4,'7. PGE_Efficacité'!$A$4:$AO$4,0)),0)</f>
        <v>0</v>
      </c>
      <c r="AJ89" s="61">
        <f>VLOOKUP($B89,'7. PGE_Efficacité'!$A$6:$CY$266,(MATCH('[3]4.4 ACE MAX SEN '!AJ$4,'7. PGE_Efficacité'!$A$4:$AO$4,0)),0)</f>
        <v>0</v>
      </c>
      <c r="AK89" s="61">
        <f>VLOOKUP($B89,'7. PGE_Efficacité'!$A$6:$CY$266,(MATCH('[3]4.4 ACE MAX SEN '!AK$4,'7. PGE_Efficacité'!$A$4:$AO$4,0)),0)</f>
        <v>0</v>
      </c>
    </row>
    <row r="90" spans="1:37" hidden="1" outlineLevel="2" x14ac:dyDescent="0.25">
      <c r="A90" s="65" t="s">
        <v>8</v>
      </c>
      <c r="B90" s="65" t="s">
        <v>847</v>
      </c>
      <c r="C90" s="65" t="s">
        <v>1477</v>
      </c>
      <c r="D90" s="65" t="s">
        <v>1522</v>
      </c>
      <c r="E90" s="65" t="s">
        <v>415</v>
      </c>
      <c r="F90" s="70"/>
      <c r="G90" s="64">
        <f>VLOOKUP($B90,'7. PGE_Efficacité'!$A$6:$CY$266,(MATCH('[3]4.4 ACE MAX SEN '!G$4,'7. PGE_Efficacité'!$A$4:$AO$4,0)),0)</f>
        <v>0</v>
      </c>
      <c r="H90" s="64">
        <f>VLOOKUP($B90,'7. PGE_Efficacité'!$A$6:$CY$266,(MATCH('[3]4.4 ACE MAX SEN '!H$4,'7. PGE_Efficacité'!$A$4:$AO$4,0)),0)</f>
        <v>0</v>
      </c>
      <c r="I90" s="64">
        <f>VLOOKUP($B90,'7. PGE_Efficacité'!$A$6:$CY$266,(MATCH('[3]4.4 ACE MAX SEN '!I$4,'7. PGE_Efficacité'!$A$4:$AO$4,0)),0)</f>
        <v>0</v>
      </c>
      <c r="J90" s="64">
        <f>VLOOKUP($B90,'7. PGE_Efficacité'!$A$6:$CY$266,(MATCH('[3]4.4 ACE MAX SEN '!J$4,'7. PGE_Efficacité'!$A$4:$AO$4,0)),0)</f>
        <v>0</v>
      </c>
      <c r="K90" s="64">
        <f>VLOOKUP($B90,'7. PGE_Efficacité'!$A$6:$CY$266,(MATCH('[3]4.4 ACE MAX SEN '!K$4,'7. PGE_Efficacité'!$A$4:$AO$4,0)),0)</f>
        <v>0</v>
      </c>
      <c r="L90" s="64">
        <f>VLOOKUP($B90,'7. PGE_Efficacité'!$A$6:$CY$266,(MATCH('[3]4.4 ACE MAX SEN '!L$4,'7. PGE_Efficacité'!$A$4:$AO$4,0)),0)</f>
        <v>0</v>
      </c>
      <c r="M90" s="64">
        <f>VLOOKUP($B90,'7. PGE_Efficacité'!$A$6:$CY$266,(MATCH('[3]4.4 ACE MAX SEN '!M$4,'7. PGE_Efficacité'!$A$4:$AO$4,0)),0)</f>
        <v>0</v>
      </c>
      <c r="N90" s="64">
        <f>VLOOKUP($B90,'7. PGE_Efficacité'!$A$6:$CY$266,(MATCH('[3]4.4 ACE MAX SEN '!N$4,'7. PGE_Efficacité'!$A$4:$AO$4,0)),0)</f>
        <v>0</v>
      </c>
      <c r="O90" s="64">
        <f>VLOOKUP($B90,'7. PGE_Efficacité'!$A$6:$CY$266,(MATCH('[3]4.4 ACE MAX SEN '!O$4,'7. PGE_Efficacité'!$A$4:$AO$4,0)),0)</f>
        <v>0</v>
      </c>
      <c r="P90" s="64">
        <f>VLOOKUP($B90,'7. PGE_Efficacité'!$A$6:$CY$266,(MATCH('[3]4.4 ACE MAX SEN '!P$4,'7. PGE_Efficacité'!$A$4:$AO$4,0)),0)</f>
        <v>0</v>
      </c>
      <c r="Q90" s="64">
        <f>VLOOKUP($B90,'7. PGE_Efficacité'!$A$6:$CY$266,(MATCH('[3]4.4 ACE MAX SEN '!Q$4,'7. PGE_Efficacité'!$A$4:$AO$4,0)),0)</f>
        <v>0</v>
      </c>
      <c r="R90" s="64">
        <f>VLOOKUP($B90,'7. PGE_Efficacité'!$A$6:$CY$266,(MATCH('[3]4.4 ACE MAX SEN '!R$4,'7. PGE_Efficacité'!$A$4:$AO$4,0)),0)</f>
        <v>0</v>
      </c>
      <c r="S90" s="64">
        <f>VLOOKUP($B90,'7. PGE_Efficacité'!$A$6:$CY$266,(MATCH('[3]4.4 ACE MAX SEN '!S$4,'7. PGE_Efficacité'!$A$4:$AO$4,0)),0)</f>
        <v>0</v>
      </c>
      <c r="T90" s="64">
        <f>VLOOKUP($B90,'7. PGE_Efficacité'!$A$6:$CY$266,(MATCH('[3]4.4 ACE MAX SEN '!T$4,'7. PGE_Efficacité'!$A$4:$AO$4,0)),0)</f>
        <v>0</v>
      </c>
      <c r="U90" s="64">
        <f>VLOOKUP($B90,'7. PGE_Efficacité'!$A$6:$CY$266,(MATCH('[3]4.4 ACE MAX SEN '!U$4,'7. PGE_Efficacité'!$A$4:$AO$4,0)),0)</f>
        <v>0</v>
      </c>
      <c r="V90" s="64">
        <f>VLOOKUP($B90,'7. PGE_Efficacité'!$A$6:$CY$266,(MATCH('[3]4.4 ACE MAX SEN '!V$4,'7. PGE_Efficacité'!$A$4:$AO$4,0)),0)</f>
        <v>0</v>
      </c>
      <c r="W90" s="61">
        <f>VLOOKUP($B90,'7. PGE_Efficacité'!$A$6:$CY$266,(MATCH('[3]4.4 ACE MAX SEN '!W$4,'7. PGE_Efficacité'!$A$4:$AO$4,0)),0)</f>
        <v>0</v>
      </c>
      <c r="X90" s="61">
        <f>VLOOKUP($B90,'7. PGE_Efficacité'!$A$6:$CY$266,(MATCH('[3]4.4 ACE MAX SEN '!X$4,'7. PGE_Efficacité'!$A$4:$AO$4,0)),0)</f>
        <v>0</v>
      </c>
      <c r="Y90" s="61">
        <f>VLOOKUP($B90,'7. PGE_Efficacité'!$A$6:$CY$266,(MATCH('[3]4.4 ACE MAX SEN '!Y$4,'7. PGE_Efficacité'!$A$4:$AO$4,0)),0)</f>
        <v>0</v>
      </c>
      <c r="Z90" s="61">
        <f>VLOOKUP($B90,'7. PGE_Efficacité'!$A$6:$CY$266,(MATCH('[3]4.4 ACE MAX SEN '!Z$4,'7. PGE_Efficacité'!$A$4:$AO$4,0)),0)</f>
        <v>0</v>
      </c>
      <c r="AA90" s="61">
        <f>VLOOKUP($B90,'7. PGE_Efficacité'!$A$6:$CY$266,(MATCH('[3]4.4 ACE MAX SEN '!AA$4,'7. PGE_Efficacité'!$A$4:$AO$4,0)),0)</f>
        <v>0</v>
      </c>
      <c r="AB90" s="61">
        <f>VLOOKUP($B90,'7. PGE_Efficacité'!$A$6:$CY$266,(MATCH('[3]4.4 ACE MAX SEN '!AB$4,'7. PGE_Efficacité'!$A$4:$AO$4,0)),0)</f>
        <v>0</v>
      </c>
      <c r="AC90" s="61">
        <f>VLOOKUP($B90,'7. PGE_Efficacité'!$A$6:$CY$266,(MATCH('[3]4.4 ACE MAX SEN '!AC$4,'7. PGE_Efficacité'!$A$4:$AO$4,0)),0)</f>
        <v>0</v>
      </c>
      <c r="AD90" s="61">
        <f>VLOOKUP($B90,'7. PGE_Efficacité'!$A$6:$CY$266,(MATCH('[3]4.4 ACE MAX SEN '!AD$4,'7. PGE_Efficacité'!$A$4:$AO$4,0)),0)</f>
        <v>0</v>
      </c>
      <c r="AE90" s="61">
        <f>VLOOKUP($B90,'7. PGE_Efficacité'!$A$6:$CY$266,(MATCH('[3]4.4 ACE MAX SEN '!AE$4,'7. PGE_Efficacité'!$A$4:$AO$4,0)),0)</f>
        <v>0</v>
      </c>
      <c r="AF90" s="61">
        <f>VLOOKUP($B90,'7. PGE_Efficacité'!$A$6:$CY$266,(MATCH('[3]4.4 ACE MAX SEN '!AF$4,'7. PGE_Efficacité'!$A$4:$AO$4,0)),0)</f>
        <v>0</v>
      </c>
      <c r="AG90" s="61">
        <f>VLOOKUP($B90,'7. PGE_Efficacité'!$A$6:$CY$266,(MATCH('[3]4.4 ACE MAX SEN '!AG$4,'7. PGE_Efficacité'!$A$4:$AO$4,0)),0)</f>
        <v>0</v>
      </c>
      <c r="AH90" s="61">
        <f>VLOOKUP($B90,'7. PGE_Efficacité'!$A$6:$CY$266,(MATCH('[3]4.4 ACE MAX SEN '!AH$4,'7. PGE_Efficacité'!$A$4:$AO$4,0)),0)</f>
        <v>0</v>
      </c>
      <c r="AI90" s="61">
        <f>VLOOKUP($B90,'7. PGE_Efficacité'!$A$6:$CY$266,(MATCH('[3]4.4 ACE MAX SEN '!AI$4,'7. PGE_Efficacité'!$A$4:$AO$4,0)),0)</f>
        <v>0</v>
      </c>
      <c r="AJ90" s="61">
        <f>VLOOKUP($B90,'7. PGE_Efficacité'!$A$6:$CY$266,(MATCH('[3]4.4 ACE MAX SEN '!AJ$4,'7. PGE_Efficacité'!$A$4:$AO$4,0)),0)</f>
        <v>0</v>
      </c>
      <c r="AK90" s="61">
        <f>VLOOKUP($B90,'7. PGE_Efficacité'!$A$6:$CY$266,(MATCH('[3]4.4 ACE MAX SEN '!AK$4,'7. PGE_Efficacité'!$A$4:$AO$4,0)),0)</f>
        <v>0</v>
      </c>
    </row>
    <row r="91" spans="1:37" hidden="1" outlineLevel="2" x14ac:dyDescent="0.25">
      <c r="A91" s="65" t="s">
        <v>8</v>
      </c>
      <c r="B91" s="65" t="s">
        <v>848</v>
      </c>
      <c r="C91" s="65" t="s">
        <v>1478</v>
      </c>
      <c r="D91" s="65" t="s">
        <v>1522</v>
      </c>
      <c r="E91" s="65" t="s">
        <v>415</v>
      </c>
      <c r="F91" s="70"/>
      <c r="G91" s="64">
        <f>VLOOKUP($B91,'7. PGE_Efficacité'!$A$6:$CY$266,(MATCH('[3]4.4 ACE MAX SEN '!G$4,'7. PGE_Efficacité'!$A$4:$AO$4,0)),0)</f>
        <v>0</v>
      </c>
      <c r="H91" s="64">
        <f>VLOOKUP($B91,'7. PGE_Efficacité'!$A$6:$CY$266,(MATCH('[3]4.4 ACE MAX SEN '!H$4,'7. PGE_Efficacité'!$A$4:$AO$4,0)),0)</f>
        <v>0</v>
      </c>
      <c r="I91" s="64">
        <f>VLOOKUP($B91,'7. PGE_Efficacité'!$A$6:$CY$266,(MATCH('[3]4.4 ACE MAX SEN '!I$4,'7. PGE_Efficacité'!$A$4:$AO$4,0)),0)</f>
        <v>0</v>
      </c>
      <c r="J91" s="64">
        <f>VLOOKUP($B91,'7. PGE_Efficacité'!$A$6:$CY$266,(MATCH('[3]4.4 ACE MAX SEN '!J$4,'7. PGE_Efficacité'!$A$4:$AO$4,0)),0)</f>
        <v>0</v>
      </c>
      <c r="K91" s="64">
        <f>VLOOKUP($B91,'7. PGE_Efficacité'!$A$6:$CY$266,(MATCH('[3]4.4 ACE MAX SEN '!K$4,'7. PGE_Efficacité'!$A$4:$AO$4,0)),0)</f>
        <v>0</v>
      </c>
      <c r="L91" s="64">
        <f>VLOOKUP($B91,'7. PGE_Efficacité'!$A$6:$CY$266,(MATCH('[3]4.4 ACE MAX SEN '!L$4,'7. PGE_Efficacité'!$A$4:$AO$4,0)),0)</f>
        <v>0</v>
      </c>
      <c r="M91" s="64">
        <f>VLOOKUP($B91,'7. PGE_Efficacité'!$A$6:$CY$266,(MATCH('[3]4.4 ACE MAX SEN '!M$4,'7. PGE_Efficacité'!$A$4:$AO$4,0)),0)</f>
        <v>0</v>
      </c>
      <c r="N91" s="64">
        <f>VLOOKUP($B91,'7. PGE_Efficacité'!$A$6:$CY$266,(MATCH('[3]4.4 ACE MAX SEN '!N$4,'7. PGE_Efficacité'!$A$4:$AO$4,0)),0)</f>
        <v>0</v>
      </c>
      <c r="O91" s="64">
        <f>VLOOKUP($B91,'7. PGE_Efficacité'!$A$6:$CY$266,(MATCH('[3]4.4 ACE MAX SEN '!O$4,'7. PGE_Efficacité'!$A$4:$AO$4,0)),0)</f>
        <v>0</v>
      </c>
      <c r="P91" s="64">
        <f>VLOOKUP($B91,'7. PGE_Efficacité'!$A$6:$CY$266,(MATCH('[3]4.4 ACE MAX SEN '!P$4,'7. PGE_Efficacité'!$A$4:$AO$4,0)),0)</f>
        <v>0</v>
      </c>
      <c r="Q91" s="64">
        <f>VLOOKUP($B91,'7. PGE_Efficacité'!$A$6:$CY$266,(MATCH('[3]4.4 ACE MAX SEN '!Q$4,'7. PGE_Efficacité'!$A$4:$AO$4,0)),0)</f>
        <v>0</v>
      </c>
      <c r="R91" s="64">
        <f>VLOOKUP($B91,'7. PGE_Efficacité'!$A$6:$CY$266,(MATCH('[3]4.4 ACE MAX SEN '!R$4,'7. PGE_Efficacité'!$A$4:$AO$4,0)),0)</f>
        <v>0</v>
      </c>
      <c r="S91" s="64">
        <f>VLOOKUP($B91,'7. PGE_Efficacité'!$A$6:$CY$266,(MATCH('[3]4.4 ACE MAX SEN '!S$4,'7. PGE_Efficacité'!$A$4:$AO$4,0)),0)</f>
        <v>0</v>
      </c>
      <c r="T91" s="64">
        <f>VLOOKUP($B91,'7. PGE_Efficacité'!$A$6:$CY$266,(MATCH('[3]4.4 ACE MAX SEN '!T$4,'7. PGE_Efficacité'!$A$4:$AO$4,0)),0)</f>
        <v>0</v>
      </c>
      <c r="U91" s="64">
        <f>VLOOKUP($B91,'7. PGE_Efficacité'!$A$6:$CY$266,(MATCH('[3]4.4 ACE MAX SEN '!U$4,'7. PGE_Efficacité'!$A$4:$AO$4,0)),0)</f>
        <v>0</v>
      </c>
      <c r="V91" s="64">
        <f>VLOOKUP($B91,'7. PGE_Efficacité'!$A$6:$CY$266,(MATCH('[3]4.4 ACE MAX SEN '!V$4,'7. PGE_Efficacité'!$A$4:$AO$4,0)),0)</f>
        <v>0</v>
      </c>
      <c r="W91" s="61">
        <f>VLOOKUP($B91,'7. PGE_Efficacité'!$A$6:$CY$266,(MATCH('[3]4.4 ACE MAX SEN '!W$4,'7. PGE_Efficacité'!$A$4:$AO$4,0)),0)</f>
        <v>0</v>
      </c>
      <c r="X91" s="61">
        <f>VLOOKUP($B91,'7. PGE_Efficacité'!$A$6:$CY$266,(MATCH('[3]4.4 ACE MAX SEN '!X$4,'7. PGE_Efficacité'!$A$4:$AO$4,0)),0)</f>
        <v>0</v>
      </c>
      <c r="Y91" s="61">
        <f>VLOOKUP($B91,'7. PGE_Efficacité'!$A$6:$CY$266,(MATCH('[3]4.4 ACE MAX SEN '!Y$4,'7. PGE_Efficacité'!$A$4:$AO$4,0)),0)</f>
        <v>0</v>
      </c>
      <c r="Z91" s="61">
        <f>VLOOKUP($B91,'7. PGE_Efficacité'!$A$6:$CY$266,(MATCH('[3]4.4 ACE MAX SEN '!Z$4,'7. PGE_Efficacité'!$A$4:$AO$4,0)),0)</f>
        <v>0</v>
      </c>
      <c r="AA91" s="61">
        <f>VLOOKUP($B91,'7. PGE_Efficacité'!$A$6:$CY$266,(MATCH('[3]4.4 ACE MAX SEN '!AA$4,'7. PGE_Efficacité'!$A$4:$AO$4,0)),0)</f>
        <v>0</v>
      </c>
      <c r="AB91" s="61">
        <f>VLOOKUP($B91,'7. PGE_Efficacité'!$A$6:$CY$266,(MATCH('[3]4.4 ACE MAX SEN '!AB$4,'7. PGE_Efficacité'!$A$4:$AO$4,0)),0)</f>
        <v>0</v>
      </c>
      <c r="AC91" s="61">
        <f>VLOOKUP($B91,'7. PGE_Efficacité'!$A$6:$CY$266,(MATCH('[3]4.4 ACE MAX SEN '!AC$4,'7. PGE_Efficacité'!$A$4:$AO$4,0)),0)</f>
        <v>0</v>
      </c>
      <c r="AD91" s="61">
        <f>VLOOKUP($B91,'7. PGE_Efficacité'!$A$6:$CY$266,(MATCH('[3]4.4 ACE MAX SEN '!AD$4,'7. PGE_Efficacité'!$A$4:$AO$4,0)),0)</f>
        <v>0</v>
      </c>
      <c r="AE91" s="61">
        <f>VLOOKUP($B91,'7. PGE_Efficacité'!$A$6:$CY$266,(MATCH('[3]4.4 ACE MAX SEN '!AE$4,'7. PGE_Efficacité'!$A$4:$AO$4,0)),0)</f>
        <v>0</v>
      </c>
      <c r="AF91" s="61">
        <f>VLOOKUP($B91,'7. PGE_Efficacité'!$A$6:$CY$266,(MATCH('[3]4.4 ACE MAX SEN '!AF$4,'7. PGE_Efficacité'!$A$4:$AO$4,0)),0)</f>
        <v>0</v>
      </c>
      <c r="AG91" s="61">
        <f>VLOOKUP($B91,'7. PGE_Efficacité'!$A$6:$CY$266,(MATCH('[3]4.4 ACE MAX SEN '!AG$4,'7. PGE_Efficacité'!$A$4:$AO$4,0)),0)</f>
        <v>0</v>
      </c>
      <c r="AH91" s="61">
        <f>VLOOKUP($B91,'7. PGE_Efficacité'!$A$6:$CY$266,(MATCH('[3]4.4 ACE MAX SEN '!AH$4,'7. PGE_Efficacité'!$A$4:$AO$4,0)),0)</f>
        <v>0</v>
      </c>
      <c r="AI91" s="61">
        <f>VLOOKUP($B91,'7. PGE_Efficacité'!$A$6:$CY$266,(MATCH('[3]4.4 ACE MAX SEN '!AI$4,'7. PGE_Efficacité'!$A$4:$AO$4,0)),0)</f>
        <v>0</v>
      </c>
      <c r="AJ91" s="61">
        <f>VLOOKUP($B91,'7. PGE_Efficacité'!$A$6:$CY$266,(MATCH('[3]4.4 ACE MAX SEN '!AJ$4,'7. PGE_Efficacité'!$A$4:$AO$4,0)),0)</f>
        <v>0</v>
      </c>
      <c r="AK91" s="61">
        <f>VLOOKUP($B91,'7. PGE_Efficacité'!$A$6:$CY$266,(MATCH('[3]4.4 ACE MAX SEN '!AK$4,'7. PGE_Efficacité'!$A$4:$AO$4,0)),0)</f>
        <v>0</v>
      </c>
    </row>
    <row r="92" spans="1:37" hidden="1" outlineLevel="2" x14ac:dyDescent="0.25">
      <c r="A92" s="65" t="s">
        <v>8</v>
      </c>
      <c r="B92" s="65" t="s">
        <v>849</v>
      </c>
      <c r="C92" s="65" t="s">
        <v>1479</v>
      </c>
      <c r="D92" s="65" t="s">
        <v>1522</v>
      </c>
      <c r="E92" s="65" t="s">
        <v>415</v>
      </c>
      <c r="F92" s="70"/>
      <c r="G92" s="64">
        <f>VLOOKUP($B92,'7. PGE_Efficacité'!$A$6:$CY$266,(MATCH('[3]4.4 ACE MAX SEN '!G$4,'7. PGE_Efficacité'!$A$4:$AO$4,0)),0)</f>
        <v>0</v>
      </c>
      <c r="H92" s="64">
        <f>VLOOKUP($B92,'7. PGE_Efficacité'!$A$6:$CY$266,(MATCH('[3]4.4 ACE MAX SEN '!H$4,'7. PGE_Efficacité'!$A$4:$AO$4,0)),0)</f>
        <v>0</v>
      </c>
      <c r="I92" s="64">
        <f>VLOOKUP($B92,'7. PGE_Efficacité'!$A$6:$CY$266,(MATCH('[3]4.4 ACE MAX SEN '!I$4,'7. PGE_Efficacité'!$A$4:$AO$4,0)),0)</f>
        <v>0</v>
      </c>
      <c r="J92" s="64">
        <f>VLOOKUP($B92,'7. PGE_Efficacité'!$A$6:$CY$266,(MATCH('[3]4.4 ACE MAX SEN '!J$4,'7. PGE_Efficacité'!$A$4:$AO$4,0)),0)</f>
        <v>0</v>
      </c>
      <c r="K92" s="64">
        <f>VLOOKUP($B92,'7. PGE_Efficacité'!$A$6:$CY$266,(MATCH('[3]4.4 ACE MAX SEN '!K$4,'7. PGE_Efficacité'!$A$4:$AO$4,0)),0)</f>
        <v>0</v>
      </c>
      <c r="L92" s="64">
        <f>VLOOKUP($B92,'7. PGE_Efficacité'!$A$6:$CY$266,(MATCH('[3]4.4 ACE MAX SEN '!L$4,'7. PGE_Efficacité'!$A$4:$AO$4,0)),0)</f>
        <v>0</v>
      </c>
      <c r="M92" s="64">
        <f>VLOOKUP($B92,'7. PGE_Efficacité'!$A$6:$CY$266,(MATCH('[3]4.4 ACE MAX SEN '!M$4,'7. PGE_Efficacité'!$A$4:$AO$4,0)),0)</f>
        <v>0</v>
      </c>
      <c r="N92" s="64">
        <f>VLOOKUP($B92,'7. PGE_Efficacité'!$A$6:$CY$266,(MATCH('[3]4.4 ACE MAX SEN '!N$4,'7. PGE_Efficacité'!$A$4:$AO$4,0)),0)</f>
        <v>0</v>
      </c>
      <c r="O92" s="64">
        <f>VLOOKUP($B92,'7. PGE_Efficacité'!$A$6:$CY$266,(MATCH('[3]4.4 ACE MAX SEN '!O$4,'7. PGE_Efficacité'!$A$4:$AO$4,0)),0)</f>
        <v>0</v>
      </c>
      <c r="P92" s="64">
        <f>VLOOKUP($B92,'7. PGE_Efficacité'!$A$6:$CY$266,(MATCH('[3]4.4 ACE MAX SEN '!P$4,'7. PGE_Efficacité'!$A$4:$AO$4,0)),0)</f>
        <v>0</v>
      </c>
      <c r="Q92" s="64">
        <f>VLOOKUP($B92,'7. PGE_Efficacité'!$A$6:$CY$266,(MATCH('[3]4.4 ACE MAX SEN '!Q$4,'7. PGE_Efficacité'!$A$4:$AO$4,0)),0)</f>
        <v>0</v>
      </c>
      <c r="R92" s="64">
        <f>VLOOKUP($B92,'7. PGE_Efficacité'!$A$6:$CY$266,(MATCH('[3]4.4 ACE MAX SEN '!R$4,'7. PGE_Efficacité'!$A$4:$AO$4,0)),0)</f>
        <v>0</v>
      </c>
      <c r="S92" s="64">
        <f>VLOOKUP($B92,'7. PGE_Efficacité'!$A$6:$CY$266,(MATCH('[3]4.4 ACE MAX SEN '!S$4,'7. PGE_Efficacité'!$A$4:$AO$4,0)),0)</f>
        <v>0</v>
      </c>
      <c r="T92" s="64">
        <f>VLOOKUP($B92,'7. PGE_Efficacité'!$A$6:$CY$266,(MATCH('[3]4.4 ACE MAX SEN '!T$4,'7. PGE_Efficacité'!$A$4:$AO$4,0)),0)</f>
        <v>0</v>
      </c>
      <c r="U92" s="64">
        <f>VLOOKUP($B92,'7. PGE_Efficacité'!$A$6:$CY$266,(MATCH('[3]4.4 ACE MAX SEN '!U$4,'7. PGE_Efficacité'!$A$4:$AO$4,0)),0)</f>
        <v>0</v>
      </c>
      <c r="V92" s="64">
        <f>VLOOKUP($B92,'7. PGE_Efficacité'!$A$6:$CY$266,(MATCH('[3]4.4 ACE MAX SEN '!V$4,'7. PGE_Efficacité'!$A$4:$AO$4,0)),0)</f>
        <v>0</v>
      </c>
      <c r="W92" s="61">
        <f>VLOOKUP($B92,'7. PGE_Efficacité'!$A$6:$CY$266,(MATCH('[3]4.4 ACE MAX SEN '!W$4,'7. PGE_Efficacité'!$A$4:$AO$4,0)),0)</f>
        <v>0</v>
      </c>
      <c r="X92" s="61">
        <f>VLOOKUP($B92,'7. PGE_Efficacité'!$A$6:$CY$266,(MATCH('[3]4.4 ACE MAX SEN '!X$4,'7. PGE_Efficacité'!$A$4:$AO$4,0)),0)</f>
        <v>0</v>
      </c>
      <c r="Y92" s="61">
        <f>VLOOKUP($B92,'7. PGE_Efficacité'!$A$6:$CY$266,(MATCH('[3]4.4 ACE MAX SEN '!Y$4,'7. PGE_Efficacité'!$A$4:$AO$4,0)),0)</f>
        <v>0</v>
      </c>
      <c r="Z92" s="61">
        <f>VLOOKUP($B92,'7. PGE_Efficacité'!$A$6:$CY$266,(MATCH('[3]4.4 ACE MAX SEN '!Z$4,'7. PGE_Efficacité'!$A$4:$AO$4,0)),0)</f>
        <v>0</v>
      </c>
      <c r="AA92" s="61">
        <f>VLOOKUP($B92,'7. PGE_Efficacité'!$A$6:$CY$266,(MATCH('[3]4.4 ACE MAX SEN '!AA$4,'7. PGE_Efficacité'!$A$4:$AO$4,0)),0)</f>
        <v>0</v>
      </c>
      <c r="AB92" s="61">
        <f>VLOOKUP($B92,'7. PGE_Efficacité'!$A$6:$CY$266,(MATCH('[3]4.4 ACE MAX SEN '!AB$4,'7. PGE_Efficacité'!$A$4:$AO$4,0)),0)</f>
        <v>0</v>
      </c>
      <c r="AC92" s="61">
        <f>VLOOKUP($B92,'7. PGE_Efficacité'!$A$6:$CY$266,(MATCH('[3]4.4 ACE MAX SEN '!AC$4,'7. PGE_Efficacité'!$A$4:$AO$4,0)),0)</f>
        <v>0</v>
      </c>
      <c r="AD92" s="61">
        <f>VLOOKUP($B92,'7. PGE_Efficacité'!$A$6:$CY$266,(MATCH('[3]4.4 ACE MAX SEN '!AD$4,'7. PGE_Efficacité'!$A$4:$AO$4,0)),0)</f>
        <v>0</v>
      </c>
      <c r="AE92" s="61">
        <f>VLOOKUP($B92,'7. PGE_Efficacité'!$A$6:$CY$266,(MATCH('[3]4.4 ACE MAX SEN '!AE$4,'7. PGE_Efficacité'!$A$4:$AO$4,0)),0)</f>
        <v>0</v>
      </c>
      <c r="AF92" s="61">
        <f>VLOOKUP($B92,'7. PGE_Efficacité'!$A$6:$CY$266,(MATCH('[3]4.4 ACE MAX SEN '!AF$4,'7. PGE_Efficacité'!$A$4:$AO$4,0)),0)</f>
        <v>0</v>
      </c>
      <c r="AG92" s="61">
        <f>VLOOKUP($B92,'7. PGE_Efficacité'!$A$6:$CY$266,(MATCH('[3]4.4 ACE MAX SEN '!AG$4,'7. PGE_Efficacité'!$A$4:$AO$4,0)),0)</f>
        <v>0</v>
      </c>
      <c r="AH92" s="61">
        <f>VLOOKUP($B92,'7. PGE_Efficacité'!$A$6:$CY$266,(MATCH('[3]4.4 ACE MAX SEN '!AH$4,'7. PGE_Efficacité'!$A$4:$AO$4,0)),0)</f>
        <v>0</v>
      </c>
      <c r="AI92" s="61">
        <f>VLOOKUP($B92,'7. PGE_Efficacité'!$A$6:$CY$266,(MATCH('[3]4.4 ACE MAX SEN '!AI$4,'7. PGE_Efficacité'!$A$4:$AO$4,0)),0)</f>
        <v>0</v>
      </c>
      <c r="AJ92" s="61">
        <f>VLOOKUP($B92,'7. PGE_Efficacité'!$A$6:$CY$266,(MATCH('[3]4.4 ACE MAX SEN '!AJ$4,'7. PGE_Efficacité'!$A$4:$AO$4,0)),0)</f>
        <v>0</v>
      </c>
      <c r="AK92" s="61">
        <f>VLOOKUP($B92,'7. PGE_Efficacité'!$A$6:$CY$266,(MATCH('[3]4.4 ACE MAX SEN '!AK$4,'7. PGE_Efficacité'!$A$4:$AO$4,0)),0)</f>
        <v>0</v>
      </c>
    </row>
    <row r="93" spans="1:37" hidden="1" outlineLevel="2" x14ac:dyDescent="0.25">
      <c r="A93" s="65" t="s">
        <v>8</v>
      </c>
      <c r="B93" s="65" t="s">
        <v>850</v>
      </c>
      <c r="C93" s="65" t="s">
        <v>1480</v>
      </c>
      <c r="D93" s="65" t="s">
        <v>1522</v>
      </c>
      <c r="E93" s="65" t="s">
        <v>1289</v>
      </c>
      <c r="F93" s="70"/>
      <c r="G93" s="64">
        <f>VLOOKUP($B93,'7. PGE_Efficacité'!$A$6:$CY$266,(MATCH('[3]4.4 ACE MAX SEN '!G$4,'7. PGE_Efficacité'!$A$4:$AO$4,0)),0)</f>
        <v>0</v>
      </c>
      <c r="H93" s="64">
        <f>VLOOKUP($B93,'7. PGE_Efficacité'!$A$6:$CY$266,(MATCH('[3]4.4 ACE MAX SEN '!H$4,'7. PGE_Efficacité'!$A$4:$AO$4,0)),0)</f>
        <v>0</v>
      </c>
      <c r="I93" s="64">
        <f>VLOOKUP($B93,'7. PGE_Efficacité'!$A$6:$CY$266,(MATCH('[3]4.4 ACE MAX SEN '!I$4,'7. PGE_Efficacité'!$A$4:$AO$4,0)),0)</f>
        <v>0</v>
      </c>
      <c r="J93" s="64">
        <f>VLOOKUP($B93,'7. PGE_Efficacité'!$A$6:$CY$266,(MATCH('[3]4.4 ACE MAX SEN '!J$4,'7. PGE_Efficacité'!$A$4:$AO$4,0)),0)</f>
        <v>0</v>
      </c>
      <c r="K93" s="64">
        <f>VLOOKUP($B93,'7. PGE_Efficacité'!$A$6:$CY$266,(MATCH('[3]4.4 ACE MAX SEN '!K$4,'7. PGE_Efficacité'!$A$4:$AO$4,0)),0)</f>
        <v>0</v>
      </c>
      <c r="L93" s="64">
        <f>VLOOKUP($B93,'7. PGE_Efficacité'!$A$6:$CY$266,(MATCH('[3]4.4 ACE MAX SEN '!L$4,'7. PGE_Efficacité'!$A$4:$AO$4,0)),0)</f>
        <v>0</v>
      </c>
      <c r="M93" s="64">
        <f>VLOOKUP($B93,'7. PGE_Efficacité'!$A$6:$CY$266,(MATCH('[3]4.4 ACE MAX SEN '!M$4,'7. PGE_Efficacité'!$A$4:$AO$4,0)),0)</f>
        <v>0</v>
      </c>
      <c r="N93" s="64">
        <f>VLOOKUP($B93,'7. PGE_Efficacité'!$A$6:$CY$266,(MATCH('[3]4.4 ACE MAX SEN '!N$4,'7. PGE_Efficacité'!$A$4:$AO$4,0)),0)</f>
        <v>0</v>
      </c>
      <c r="O93" s="64">
        <f>VLOOKUP($B93,'7. PGE_Efficacité'!$A$6:$CY$266,(MATCH('[3]4.4 ACE MAX SEN '!O$4,'7. PGE_Efficacité'!$A$4:$AO$4,0)),0)</f>
        <v>0</v>
      </c>
      <c r="P93" s="64">
        <f>VLOOKUP($B93,'7. PGE_Efficacité'!$A$6:$CY$266,(MATCH('[3]4.4 ACE MAX SEN '!P$4,'7. PGE_Efficacité'!$A$4:$AO$4,0)),0)</f>
        <v>0</v>
      </c>
      <c r="Q93" s="64">
        <f>VLOOKUP($B93,'7. PGE_Efficacité'!$A$6:$CY$266,(MATCH('[3]4.4 ACE MAX SEN '!Q$4,'7. PGE_Efficacité'!$A$4:$AO$4,0)),0)</f>
        <v>0</v>
      </c>
      <c r="R93" s="64">
        <f>VLOOKUP($B93,'7. PGE_Efficacité'!$A$6:$CY$266,(MATCH('[3]4.4 ACE MAX SEN '!R$4,'7. PGE_Efficacité'!$A$4:$AO$4,0)),0)</f>
        <v>0</v>
      </c>
      <c r="S93" s="64">
        <f>VLOOKUP($B93,'7. PGE_Efficacité'!$A$6:$CY$266,(MATCH('[3]4.4 ACE MAX SEN '!S$4,'7. PGE_Efficacité'!$A$4:$AO$4,0)),0)</f>
        <v>0</v>
      </c>
      <c r="T93" s="64">
        <f>VLOOKUP($B93,'7. PGE_Efficacité'!$A$6:$CY$266,(MATCH('[3]4.4 ACE MAX SEN '!T$4,'7. PGE_Efficacité'!$A$4:$AO$4,0)),0)</f>
        <v>0</v>
      </c>
      <c r="U93" s="64">
        <f>VLOOKUP($B93,'7. PGE_Efficacité'!$A$6:$CY$266,(MATCH('[3]4.4 ACE MAX SEN '!U$4,'7. PGE_Efficacité'!$A$4:$AO$4,0)),0)</f>
        <v>0</v>
      </c>
      <c r="V93" s="64">
        <f>VLOOKUP($B93,'7. PGE_Efficacité'!$A$6:$CY$266,(MATCH('[3]4.4 ACE MAX SEN '!V$4,'7. PGE_Efficacité'!$A$4:$AO$4,0)),0)</f>
        <v>0</v>
      </c>
      <c r="W93" s="61">
        <f>VLOOKUP($B93,'7. PGE_Efficacité'!$A$6:$CY$266,(MATCH('[3]4.4 ACE MAX SEN '!W$4,'7. PGE_Efficacité'!$A$4:$AO$4,0)),0)</f>
        <v>0</v>
      </c>
      <c r="X93" s="61">
        <f>VLOOKUP($B93,'7. PGE_Efficacité'!$A$6:$CY$266,(MATCH('[3]4.4 ACE MAX SEN '!X$4,'7. PGE_Efficacité'!$A$4:$AO$4,0)),0)</f>
        <v>0</v>
      </c>
      <c r="Y93" s="61">
        <f>VLOOKUP($B93,'7. PGE_Efficacité'!$A$6:$CY$266,(MATCH('[3]4.4 ACE MAX SEN '!Y$4,'7. PGE_Efficacité'!$A$4:$AO$4,0)),0)</f>
        <v>0</v>
      </c>
      <c r="Z93" s="61">
        <f>VLOOKUP($B93,'7. PGE_Efficacité'!$A$6:$CY$266,(MATCH('[3]4.4 ACE MAX SEN '!Z$4,'7. PGE_Efficacité'!$A$4:$AO$4,0)),0)</f>
        <v>0</v>
      </c>
      <c r="AA93" s="61">
        <f>VLOOKUP($B93,'7. PGE_Efficacité'!$A$6:$CY$266,(MATCH('[3]4.4 ACE MAX SEN '!AA$4,'7. PGE_Efficacité'!$A$4:$AO$4,0)),0)</f>
        <v>0</v>
      </c>
      <c r="AB93" s="61">
        <f>VLOOKUP($B93,'7. PGE_Efficacité'!$A$6:$CY$266,(MATCH('[3]4.4 ACE MAX SEN '!AB$4,'7. PGE_Efficacité'!$A$4:$AO$4,0)),0)</f>
        <v>0</v>
      </c>
      <c r="AC93" s="61">
        <f>VLOOKUP($B93,'7. PGE_Efficacité'!$A$6:$CY$266,(MATCH('[3]4.4 ACE MAX SEN '!AC$4,'7. PGE_Efficacité'!$A$4:$AO$4,0)),0)</f>
        <v>0</v>
      </c>
      <c r="AD93" s="61">
        <f>VLOOKUP($B93,'7. PGE_Efficacité'!$A$6:$CY$266,(MATCH('[3]4.4 ACE MAX SEN '!AD$4,'7. PGE_Efficacité'!$A$4:$AO$4,0)),0)</f>
        <v>0</v>
      </c>
      <c r="AE93" s="61">
        <f>VLOOKUP($B93,'7. PGE_Efficacité'!$A$6:$CY$266,(MATCH('[3]4.4 ACE MAX SEN '!AE$4,'7. PGE_Efficacité'!$A$4:$AO$4,0)),0)</f>
        <v>0</v>
      </c>
      <c r="AF93" s="61">
        <f>VLOOKUP($B93,'7. PGE_Efficacité'!$A$6:$CY$266,(MATCH('[3]4.4 ACE MAX SEN '!AF$4,'7. PGE_Efficacité'!$A$4:$AO$4,0)),0)</f>
        <v>0</v>
      </c>
      <c r="AG93" s="61">
        <f>VLOOKUP($B93,'7. PGE_Efficacité'!$A$6:$CY$266,(MATCH('[3]4.4 ACE MAX SEN '!AG$4,'7. PGE_Efficacité'!$A$4:$AO$4,0)),0)</f>
        <v>0</v>
      </c>
      <c r="AH93" s="61">
        <f>VLOOKUP($B93,'7. PGE_Efficacité'!$A$6:$CY$266,(MATCH('[3]4.4 ACE MAX SEN '!AH$4,'7. PGE_Efficacité'!$A$4:$AO$4,0)),0)</f>
        <v>0</v>
      </c>
      <c r="AI93" s="61">
        <f>VLOOKUP($B93,'7. PGE_Efficacité'!$A$6:$CY$266,(MATCH('[3]4.4 ACE MAX SEN '!AI$4,'7. PGE_Efficacité'!$A$4:$AO$4,0)),0)</f>
        <v>0</v>
      </c>
      <c r="AJ93" s="61">
        <f>VLOOKUP($B93,'7. PGE_Efficacité'!$A$6:$CY$266,(MATCH('[3]4.4 ACE MAX SEN '!AJ$4,'7. PGE_Efficacité'!$A$4:$AO$4,0)),0)</f>
        <v>0</v>
      </c>
      <c r="AK93" s="61">
        <f>VLOOKUP($B93,'7. PGE_Efficacité'!$A$6:$CY$266,(MATCH('[3]4.4 ACE MAX SEN '!AK$4,'7. PGE_Efficacité'!$A$4:$AO$4,0)),0)</f>
        <v>0</v>
      </c>
    </row>
    <row r="94" spans="1:37" hidden="1" outlineLevel="2" x14ac:dyDescent="0.25">
      <c r="A94" s="65" t="s">
        <v>8</v>
      </c>
      <c r="B94" s="65" t="s">
        <v>851</v>
      </c>
      <c r="C94" s="65" t="s">
        <v>1481</v>
      </c>
      <c r="D94" s="65" t="s">
        <v>1522</v>
      </c>
      <c r="E94" s="65" t="s">
        <v>1290</v>
      </c>
      <c r="F94" s="70"/>
      <c r="G94" s="64">
        <f>VLOOKUP($B94,'7. PGE_Efficacité'!$A$6:$CY$266,(MATCH('[3]4.4 ACE MAX SEN '!G$4,'7. PGE_Efficacité'!$A$4:$AO$4,0)),0)</f>
        <v>0</v>
      </c>
      <c r="H94" s="64">
        <f>VLOOKUP($B94,'7. PGE_Efficacité'!$A$6:$CY$266,(MATCH('[3]4.4 ACE MAX SEN '!H$4,'7. PGE_Efficacité'!$A$4:$AO$4,0)),0)</f>
        <v>0</v>
      </c>
      <c r="I94" s="64">
        <f>VLOOKUP($B94,'7. PGE_Efficacité'!$A$6:$CY$266,(MATCH('[3]4.4 ACE MAX SEN '!I$4,'7. PGE_Efficacité'!$A$4:$AO$4,0)),0)</f>
        <v>0</v>
      </c>
      <c r="J94" s="64">
        <f>VLOOKUP($B94,'7. PGE_Efficacité'!$A$6:$CY$266,(MATCH('[3]4.4 ACE MAX SEN '!J$4,'7. PGE_Efficacité'!$A$4:$AO$4,0)),0)</f>
        <v>0</v>
      </c>
      <c r="K94" s="64">
        <f>VLOOKUP($B94,'7. PGE_Efficacité'!$A$6:$CY$266,(MATCH('[3]4.4 ACE MAX SEN '!K$4,'7. PGE_Efficacité'!$A$4:$AO$4,0)),0)</f>
        <v>0</v>
      </c>
      <c r="L94" s="64">
        <f>VLOOKUP($B94,'7. PGE_Efficacité'!$A$6:$CY$266,(MATCH('[3]4.4 ACE MAX SEN '!L$4,'7. PGE_Efficacité'!$A$4:$AO$4,0)),0)</f>
        <v>0</v>
      </c>
      <c r="M94" s="64">
        <f>VLOOKUP($B94,'7. PGE_Efficacité'!$A$6:$CY$266,(MATCH('[3]4.4 ACE MAX SEN '!M$4,'7. PGE_Efficacité'!$A$4:$AO$4,0)),0)</f>
        <v>0</v>
      </c>
      <c r="N94" s="64">
        <f>VLOOKUP($B94,'7. PGE_Efficacité'!$A$6:$CY$266,(MATCH('[3]4.4 ACE MAX SEN '!N$4,'7. PGE_Efficacité'!$A$4:$AO$4,0)),0)</f>
        <v>0</v>
      </c>
      <c r="O94" s="64">
        <f>VLOOKUP($B94,'7. PGE_Efficacité'!$A$6:$CY$266,(MATCH('[3]4.4 ACE MAX SEN '!O$4,'7. PGE_Efficacité'!$A$4:$AO$4,0)),0)</f>
        <v>0</v>
      </c>
      <c r="P94" s="64">
        <f>VLOOKUP($B94,'7. PGE_Efficacité'!$A$6:$CY$266,(MATCH('[3]4.4 ACE MAX SEN '!P$4,'7. PGE_Efficacité'!$A$4:$AO$4,0)),0)</f>
        <v>0</v>
      </c>
      <c r="Q94" s="64">
        <f>VLOOKUP($B94,'7. PGE_Efficacité'!$A$6:$CY$266,(MATCH('[3]4.4 ACE MAX SEN '!Q$4,'7. PGE_Efficacité'!$A$4:$AO$4,0)),0)</f>
        <v>0</v>
      </c>
      <c r="R94" s="64">
        <f>VLOOKUP($B94,'7. PGE_Efficacité'!$A$6:$CY$266,(MATCH('[3]4.4 ACE MAX SEN '!R$4,'7. PGE_Efficacité'!$A$4:$AO$4,0)),0)</f>
        <v>0</v>
      </c>
      <c r="S94" s="64">
        <f>VLOOKUP($B94,'7. PGE_Efficacité'!$A$6:$CY$266,(MATCH('[3]4.4 ACE MAX SEN '!S$4,'7. PGE_Efficacité'!$A$4:$AO$4,0)),0)</f>
        <v>0</v>
      </c>
      <c r="T94" s="64">
        <f>VLOOKUP($B94,'7. PGE_Efficacité'!$A$6:$CY$266,(MATCH('[3]4.4 ACE MAX SEN '!T$4,'7. PGE_Efficacité'!$A$4:$AO$4,0)),0)</f>
        <v>0</v>
      </c>
      <c r="U94" s="64">
        <f>VLOOKUP($B94,'7. PGE_Efficacité'!$A$6:$CY$266,(MATCH('[3]4.4 ACE MAX SEN '!U$4,'7. PGE_Efficacité'!$A$4:$AO$4,0)),0)</f>
        <v>0</v>
      </c>
      <c r="V94" s="64">
        <f>VLOOKUP($B94,'7. PGE_Efficacité'!$A$6:$CY$266,(MATCH('[3]4.4 ACE MAX SEN '!V$4,'7. PGE_Efficacité'!$A$4:$AO$4,0)),0)</f>
        <v>0</v>
      </c>
      <c r="W94" s="61">
        <f>VLOOKUP($B94,'7. PGE_Efficacité'!$A$6:$CY$266,(MATCH('[3]4.4 ACE MAX SEN '!W$4,'7. PGE_Efficacité'!$A$4:$AO$4,0)),0)</f>
        <v>0</v>
      </c>
      <c r="X94" s="61">
        <f>VLOOKUP($B94,'7. PGE_Efficacité'!$A$6:$CY$266,(MATCH('[3]4.4 ACE MAX SEN '!X$4,'7. PGE_Efficacité'!$A$4:$AO$4,0)),0)</f>
        <v>0</v>
      </c>
      <c r="Y94" s="61">
        <f>VLOOKUP($B94,'7. PGE_Efficacité'!$A$6:$CY$266,(MATCH('[3]4.4 ACE MAX SEN '!Y$4,'7. PGE_Efficacité'!$A$4:$AO$4,0)),0)</f>
        <v>0</v>
      </c>
      <c r="Z94" s="61">
        <f>VLOOKUP($B94,'7. PGE_Efficacité'!$A$6:$CY$266,(MATCH('[3]4.4 ACE MAX SEN '!Z$4,'7. PGE_Efficacité'!$A$4:$AO$4,0)),0)</f>
        <v>0</v>
      </c>
      <c r="AA94" s="61">
        <f>VLOOKUP($B94,'7. PGE_Efficacité'!$A$6:$CY$266,(MATCH('[3]4.4 ACE MAX SEN '!AA$4,'7. PGE_Efficacité'!$A$4:$AO$4,0)),0)</f>
        <v>0</v>
      </c>
      <c r="AB94" s="61">
        <f>VLOOKUP($B94,'7. PGE_Efficacité'!$A$6:$CY$266,(MATCH('[3]4.4 ACE MAX SEN '!AB$4,'7. PGE_Efficacité'!$A$4:$AO$4,0)),0)</f>
        <v>0</v>
      </c>
      <c r="AC94" s="61">
        <f>VLOOKUP($B94,'7. PGE_Efficacité'!$A$6:$CY$266,(MATCH('[3]4.4 ACE MAX SEN '!AC$4,'7. PGE_Efficacité'!$A$4:$AO$4,0)),0)</f>
        <v>0</v>
      </c>
      <c r="AD94" s="61">
        <f>VLOOKUP($B94,'7. PGE_Efficacité'!$A$6:$CY$266,(MATCH('[3]4.4 ACE MAX SEN '!AD$4,'7. PGE_Efficacité'!$A$4:$AO$4,0)),0)</f>
        <v>0</v>
      </c>
      <c r="AE94" s="61">
        <f>VLOOKUP($B94,'7. PGE_Efficacité'!$A$6:$CY$266,(MATCH('[3]4.4 ACE MAX SEN '!AE$4,'7. PGE_Efficacité'!$A$4:$AO$4,0)),0)</f>
        <v>0</v>
      </c>
      <c r="AF94" s="61">
        <f>VLOOKUP($B94,'7. PGE_Efficacité'!$A$6:$CY$266,(MATCH('[3]4.4 ACE MAX SEN '!AF$4,'7. PGE_Efficacité'!$A$4:$AO$4,0)),0)</f>
        <v>0</v>
      </c>
      <c r="AG94" s="61">
        <f>VLOOKUP($B94,'7. PGE_Efficacité'!$A$6:$CY$266,(MATCH('[3]4.4 ACE MAX SEN '!AG$4,'7. PGE_Efficacité'!$A$4:$AO$4,0)),0)</f>
        <v>0</v>
      </c>
      <c r="AH94" s="61">
        <f>VLOOKUP($B94,'7. PGE_Efficacité'!$A$6:$CY$266,(MATCH('[3]4.4 ACE MAX SEN '!AH$4,'7. PGE_Efficacité'!$A$4:$AO$4,0)),0)</f>
        <v>0</v>
      </c>
      <c r="AI94" s="61">
        <f>VLOOKUP($B94,'7. PGE_Efficacité'!$A$6:$CY$266,(MATCH('[3]4.4 ACE MAX SEN '!AI$4,'7. PGE_Efficacité'!$A$4:$AO$4,0)),0)</f>
        <v>0</v>
      </c>
      <c r="AJ94" s="61">
        <f>VLOOKUP($B94,'7. PGE_Efficacité'!$A$6:$CY$266,(MATCH('[3]4.4 ACE MAX SEN '!AJ$4,'7. PGE_Efficacité'!$A$4:$AO$4,0)),0)</f>
        <v>0</v>
      </c>
      <c r="AK94" s="61">
        <f>VLOOKUP($B94,'7. PGE_Efficacité'!$A$6:$CY$266,(MATCH('[3]4.4 ACE MAX SEN '!AK$4,'7. PGE_Efficacité'!$A$4:$AO$4,0)),0)</f>
        <v>0</v>
      </c>
    </row>
    <row r="95" spans="1:37" ht="26.25" outlineLevel="1" collapsed="1" x14ac:dyDescent="0.25">
      <c r="A95" s="157" t="s">
        <v>9</v>
      </c>
      <c r="B95" s="63"/>
      <c r="C95" s="156" t="s">
        <v>229</v>
      </c>
      <c r="D95" s="63"/>
      <c r="E95" s="63"/>
      <c r="F95" s="72">
        <f>MEDIAN(VLOOKUP(A95,'4. Mesures_ACE_Budget'!$A$3:$J$31,9,0),VLOOKUP(A95,'4. Mesures_ACE_Budget'!$A$3:$J$31,10,0))</f>
        <v>0</v>
      </c>
      <c r="G95" s="180" t="str">
        <f>VLOOKUP($A95,'7. PGE_Efficacité'!$A$6:$CY$266,(MATCH('[2]4.4 ACE MAX SEN '!G$4,'7. PGE_Efficacité'!$A$4:$AO$4,0)),0)</f>
        <v>++</v>
      </c>
      <c r="H95" s="180" t="str">
        <f>VLOOKUP($A95,'7. PGE_Efficacité'!$A$6:$CY$266,(MATCH('[2]4.4 ACE MAX SEN '!H$4,'7. PGE_Efficacité'!$A$4:$AO$4,0)),0)</f>
        <v>++</v>
      </c>
      <c r="I95" s="180" t="str">
        <f>VLOOKUP($A95,'7. PGE_Efficacité'!$A$6:$CY$266,(MATCH('[2]4.4 ACE MAX SEN '!I$4,'7. PGE_Efficacité'!$A$4:$AO$4,0)),0)</f>
        <v>++</v>
      </c>
      <c r="J95" s="180" t="str">
        <f>VLOOKUP($A95,'7. PGE_Efficacité'!$A$6:$CY$266,(MATCH('[2]4.4 ACE MAX SEN '!J$4,'7. PGE_Efficacité'!$A$4:$AO$4,0)),0)</f>
        <v>++</v>
      </c>
      <c r="K95" s="180" t="str">
        <f>VLOOKUP($A95,'7. PGE_Efficacité'!$A$6:$CY$266,(MATCH('[2]4.4 ACE MAX SEN '!K$4,'7. PGE_Efficacité'!$A$4:$AO$4,0)),0)</f>
        <v>++</v>
      </c>
      <c r="L95" s="180" t="str">
        <f>VLOOKUP($A95,'7. PGE_Efficacité'!$A$6:$CY$266,(MATCH('[2]4.4 ACE MAX SEN '!L$4,'7. PGE_Efficacité'!$A$4:$AO$4,0)),0)</f>
        <v>++</v>
      </c>
      <c r="M95" s="180" t="str">
        <f>VLOOKUP($A95,'7. PGE_Efficacité'!$A$6:$CY$266,(MATCH('[2]4.4 ACE MAX SEN '!M$4,'7. PGE_Efficacité'!$A$4:$AO$4,0)),0)</f>
        <v>++</v>
      </c>
      <c r="N95" s="180" t="str">
        <f>VLOOKUP($A95,'7. PGE_Efficacité'!$A$6:$CY$266,(MATCH('[2]4.4 ACE MAX SEN '!N$4,'7. PGE_Efficacité'!$A$4:$AO$4,0)),0)</f>
        <v>++</v>
      </c>
      <c r="O95" s="180" t="str">
        <f>VLOOKUP($A95,'7. PGE_Efficacité'!$A$6:$CY$266,(MATCH('[2]4.4 ACE MAX SEN '!O$4,'7. PGE_Efficacité'!$A$4:$AO$4,0)),0)</f>
        <v>+</v>
      </c>
      <c r="P95" s="180" t="str">
        <f>VLOOKUP($A95,'7. PGE_Efficacité'!$A$6:$CY$266,(MATCH('[2]4.4 ACE MAX SEN '!P$4,'7. PGE_Efficacité'!$A$4:$AO$4,0)),0)</f>
        <v>+</v>
      </c>
      <c r="Q95" s="180" t="str">
        <f>VLOOKUP($A95,'7. PGE_Efficacité'!$A$6:$CY$266,(MATCH('[2]4.4 ACE MAX SEN '!Q$4,'7. PGE_Efficacité'!$A$4:$AO$4,0)),0)</f>
        <v>+</v>
      </c>
      <c r="R95" s="180">
        <f>VLOOKUP($A95,'7. PGE_Efficacité'!$A$6:$CY$266,(MATCH('[2]4.4 ACE MAX SEN '!R$4,'7. PGE_Efficacité'!$A$4:$AO$4,0)),0)</f>
        <v>0</v>
      </c>
      <c r="S95" s="180" t="str">
        <f>VLOOKUP($A95,'7. PGE_Efficacité'!$A$6:$CY$266,(MATCH('[2]4.4 ACE MAX SEN '!S$4,'7. PGE_Efficacité'!$A$4:$AO$4,0)),0)</f>
        <v>+</v>
      </c>
      <c r="T95" s="180" t="str">
        <f>VLOOKUP($A95,'7. PGE_Efficacité'!$A$6:$CY$266,(MATCH('[2]4.4 ACE MAX SEN '!T$4,'7. PGE_Efficacité'!$A$4:$AO$4,0)),0)</f>
        <v>++</v>
      </c>
      <c r="U95" s="180" t="str">
        <f>VLOOKUP($A95,'7. PGE_Efficacité'!$A$6:$CY$266,(MATCH('[2]4.4 ACE MAX SEN '!U$4,'7. PGE_Efficacité'!$A$4:$AO$4,0)),0)</f>
        <v>+</v>
      </c>
      <c r="V95" s="180" t="str">
        <f>VLOOKUP($A95,'7. PGE_Efficacité'!$A$6:$CY$266,(MATCH('[2]4.4 ACE MAX SEN '!V$4,'7. PGE_Efficacité'!$A$4:$AO$4,0)),0)</f>
        <v>++</v>
      </c>
      <c r="W95" s="181" t="str">
        <f>VLOOKUP($A95,'7. PGE_Efficacité'!$A$6:$CY$266,(MATCH('[2]4.4 ACE MAX SEN '!W$4,'7. PGE_Efficacité'!$A$4:$AO$4,0)),0)</f>
        <v>++</v>
      </c>
      <c r="X95" s="181" t="str">
        <f>VLOOKUP($A95,'7. PGE_Efficacité'!$A$6:$CY$266,(MATCH('[2]4.4 ACE MAX SEN '!X$4,'7. PGE_Efficacité'!$A$4:$AO$4,0)),0)</f>
        <v>++</v>
      </c>
      <c r="Y95" s="181" t="str">
        <f>VLOOKUP($A95,'7. PGE_Efficacité'!$A$6:$CY$266,(MATCH('[2]4.4 ACE MAX SEN '!Y$4,'7. PGE_Efficacité'!$A$4:$AO$4,0)),0)</f>
        <v>++</v>
      </c>
      <c r="Z95" s="181" t="str">
        <f>VLOOKUP($A95,'7. PGE_Efficacité'!$A$6:$CY$266,(MATCH('[2]4.4 ACE MAX SEN '!Z$4,'7. PGE_Efficacité'!$A$4:$AO$4,0)),0)</f>
        <v>++</v>
      </c>
      <c r="AA95" s="181" t="str">
        <f>VLOOKUP($A95,'7. PGE_Efficacité'!$A$6:$CY$266,(MATCH('[2]4.4 ACE MAX SEN '!AA$4,'7. PGE_Efficacité'!$A$4:$AO$4,0)),0)</f>
        <v>++</v>
      </c>
      <c r="AB95" s="181" t="str">
        <f>VLOOKUP($A95,'7. PGE_Efficacité'!$A$6:$CY$266,(MATCH('[2]4.4 ACE MAX SEN '!AB$4,'7. PGE_Efficacité'!$A$4:$AO$4,0)),0)</f>
        <v>++</v>
      </c>
      <c r="AC95" s="181" t="str">
        <f>VLOOKUP($A95,'7. PGE_Efficacité'!$A$6:$CY$266,(MATCH('[2]4.4 ACE MAX SEN '!AC$4,'7. PGE_Efficacité'!$A$4:$AO$4,0)),0)</f>
        <v>++</v>
      </c>
      <c r="AD95" s="181">
        <f>VLOOKUP($A95,'7. PGE_Efficacité'!$A$6:$CY$266,(MATCH('[2]4.4 ACE MAX SEN '!AD$4,'7. PGE_Efficacité'!$A$4:$AO$4,0)),0)</f>
        <v>0</v>
      </c>
      <c r="AE95" s="181">
        <f>VLOOKUP($A95,'7. PGE_Efficacité'!$A$6:$CY$266,(MATCH('[2]4.4 ACE MAX SEN '!AE$4,'7. PGE_Efficacité'!$A$4:$AO$4,0)),0)</f>
        <v>0</v>
      </c>
      <c r="AF95" s="181">
        <f>VLOOKUP($A95,'7. PGE_Efficacité'!$A$6:$CY$266,(MATCH('[2]4.4 ACE MAX SEN '!AF$4,'7. PGE_Efficacité'!$A$4:$AO$4,0)),0)</f>
        <v>0</v>
      </c>
      <c r="AG95" s="181">
        <f>VLOOKUP($A95,'7. PGE_Efficacité'!$A$6:$CY$266,(MATCH('[2]4.4 ACE MAX SEN '!AG$4,'7. PGE_Efficacité'!$A$4:$AO$4,0)),0)</f>
        <v>0</v>
      </c>
      <c r="AH95" s="181" t="str">
        <f>VLOOKUP($A95,'7. PGE_Efficacité'!$A$6:$CY$266,(MATCH('[2]4.4 ACE MAX SEN '!AH$4,'7. PGE_Efficacité'!$A$4:$AO$4,0)),0)</f>
        <v>++</v>
      </c>
      <c r="AI95" s="181" t="str">
        <f>VLOOKUP($A95,'7. PGE_Efficacité'!$A$6:$CY$266,(MATCH('[2]4.4 ACE MAX SEN '!AI$4,'7. PGE_Efficacité'!$A$4:$AO$4,0)),0)</f>
        <v>++</v>
      </c>
      <c r="AJ95" s="181" t="str">
        <f>VLOOKUP($A95,'7. PGE_Efficacité'!$A$6:$CY$266,(MATCH('[2]4.4 ACE MAX SEN '!AJ$4,'7. PGE_Efficacité'!$A$4:$AO$4,0)),0)</f>
        <v>++</v>
      </c>
      <c r="AK95" s="181" t="str">
        <f>VLOOKUP($A95,'7. PGE_Efficacité'!$A$6:$CY$266,(MATCH('[2]4.4 ACE MAX SEN '!AK$4,'7. PGE_Efficacité'!$A$4:$AO$4,0)),0)</f>
        <v>++</v>
      </c>
    </row>
    <row r="96" spans="1:37" hidden="1" outlineLevel="2" x14ac:dyDescent="0.25">
      <c r="A96" s="65" t="s">
        <v>9</v>
      </c>
      <c r="B96" s="65" t="s">
        <v>650</v>
      </c>
      <c r="C96" s="65" t="s">
        <v>1310</v>
      </c>
      <c r="D96" s="65" t="s">
        <v>1522</v>
      </c>
      <c r="E96" s="65" t="s">
        <v>415</v>
      </c>
      <c r="F96" s="70"/>
      <c r="G96" s="64">
        <f>VLOOKUP($B96,'7. PGE_Efficacité'!$A$6:$CY$266,(MATCH('[3]4.4 ACE MAX SEN '!G$4,'7. PGE_Efficacité'!$A$4:$AO$4,0)),0)</f>
        <v>0</v>
      </c>
      <c r="H96" s="64">
        <f>VLOOKUP($B96,'7. PGE_Efficacité'!$A$6:$CY$266,(MATCH('[3]4.4 ACE MAX SEN '!H$4,'7. PGE_Efficacité'!$A$4:$AO$4,0)),0)</f>
        <v>0</v>
      </c>
      <c r="I96" s="64">
        <f>VLOOKUP($B96,'7. PGE_Efficacité'!$A$6:$CY$266,(MATCH('[3]4.4 ACE MAX SEN '!I$4,'7. PGE_Efficacité'!$A$4:$AO$4,0)),0)</f>
        <v>0</v>
      </c>
      <c r="J96" s="64">
        <f>VLOOKUP($B96,'7. PGE_Efficacité'!$A$6:$CY$266,(MATCH('[3]4.4 ACE MAX SEN '!J$4,'7. PGE_Efficacité'!$A$4:$AO$4,0)),0)</f>
        <v>0</v>
      </c>
      <c r="K96" s="64">
        <f>VLOOKUP($B96,'7. PGE_Efficacité'!$A$6:$CY$266,(MATCH('[3]4.4 ACE MAX SEN '!K$4,'7. PGE_Efficacité'!$A$4:$AO$4,0)),0)</f>
        <v>0</v>
      </c>
      <c r="L96" s="64">
        <f>VLOOKUP($B96,'7. PGE_Efficacité'!$A$6:$CY$266,(MATCH('[3]4.4 ACE MAX SEN '!L$4,'7. PGE_Efficacité'!$A$4:$AO$4,0)),0)</f>
        <v>0</v>
      </c>
      <c r="M96" s="64">
        <f>VLOOKUP($B96,'7. PGE_Efficacité'!$A$6:$CY$266,(MATCH('[3]4.4 ACE MAX SEN '!M$4,'7. PGE_Efficacité'!$A$4:$AO$4,0)),0)</f>
        <v>0</v>
      </c>
      <c r="N96" s="64">
        <f>VLOOKUP($B96,'7. PGE_Efficacité'!$A$6:$CY$266,(MATCH('[3]4.4 ACE MAX SEN '!N$4,'7. PGE_Efficacité'!$A$4:$AO$4,0)),0)</f>
        <v>0</v>
      </c>
      <c r="O96" s="64">
        <f>VLOOKUP($B96,'7. PGE_Efficacité'!$A$6:$CY$266,(MATCH('[3]4.4 ACE MAX SEN '!O$4,'7. PGE_Efficacité'!$A$4:$AO$4,0)),0)</f>
        <v>0</v>
      </c>
      <c r="P96" s="64">
        <f>VLOOKUP($B96,'7. PGE_Efficacité'!$A$6:$CY$266,(MATCH('[3]4.4 ACE MAX SEN '!P$4,'7. PGE_Efficacité'!$A$4:$AO$4,0)),0)</f>
        <v>0</v>
      </c>
      <c r="Q96" s="64">
        <f>VLOOKUP($B96,'7. PGE_Efficacité'!$A$6:$CY$266,(MATCH('[3]4.4 ACE MAX SEN '!Q$4,'7. PGE_Efficacité'!$A$4:$AO$4,0)),0)</f>
        <v>0</v>
      </c>
      <c r="R96" s="64">
        <f>VLOOKUP($B96,'7. PGE_Efficacité'!$A$6:$CY$266,(MATCH('[3]4.4 ACE MAX SEN '!R$4,'7. PGE_Efficacité'!$A$4:$AO$4,0)),0)</f>
        <v>0</v>
      </c>
      <c r="S96" s="64">
        <f>VLOOKUP($B96,'7. PGE_Efficacité'!$A$6:$CY$266,(MATCH('[3]4.4 ACE MAX SEN '!S$4,'7. PGE_Efficacité'!$A$4:$AO$4,0)),0)</f>
        <v>0</v>
      </c>
      <c r="T96" s="64">
        <f>VLOOKUP($B96,'7. PGE_Efficacité'!$A$6:$CY$266,(MATCH('[3]4.4 ACE MAX SEN '!T$4,'7. PGE_Efficacité'!$A$4:$AO$4,0)),0)</f>
        <v>0</v>
      </c>
      <c r="U96" s="64">
        <f>VLOOKUP($B96,'7. PGE_Efficacité'!$A$6:$CY$266,(MATCH('[3]4.4 ACE MAX SEN '!U$4,'7. PGE_Efficacité'!$A$4:$AO$4,0)),0)</f>
        <v>0</v>
      </c>
      <c r="V96" s="64">
        <f>VLOOKUP($B96,'7. PGE_Efficacité'!$A$6:$CY$266,(MATCH('[3]4.4 ACE MAX SEN '!V$4,'7. PGE_Efficacité'!$A$4:$AO$4,0)),0)</f>
        <v>0</v>
      </c>
      <c r="W96" s="61">
        <f>VLOOKUP($B96,'7. PGE_Efficacité'!$A$6:$CY$266,(MATCH('[3]4.4 ACE MAX SEN '!W$4,'7. PGE_Efficacité'!$A$4:$AO$4,0)),0)</f>
        <v>0</v>
      </c>
      <c r="X96" s="61">
        <f>VLOOKUP($B96,'7. PGE_Efficacité'!$A$6:$CY$266,(MATCH('[3]4.4 ACE MAX SEN '!X$4,'7. PGE_Efficacité'!$A$4:$AO$4,0)),0)</f>
        <v>0</v>
      </c>
      <c r="Y96" s="61">
        <f>VLOOKUP($B96,'7. PGE_Efficacité'!$A$6:$CY$266,(MATCH('[3]4.4 ACE MAX SEN '!Y$4,'7. PGE_Efficacité'!$A$4:$AO$4,0)),0)</f>
        <v>0</v>
      </c>
      <c r="Z96" s="61">
        <f>VLOOKUP($B96,'7. PGE_Efficacité'!$A$6:$CY$266,(MATCH('[3]4.4 ACE MAX SEN '!Z$4,'7. PGE_Efficacité'!$A$4:$AO$4,0)),0)</f>
        <v>0</v>
      </c>
      <c r="AA96" s="61">
        <f>VLOOKUP($B96,'7. PGE_Efficacité'!$A$6:$CY$266,(MATCH('[3]4.4 ACE MAX SEN '!AA$4,'7. PGE_Efficacité'!$A$4:$AO$4,0)),0)</f>
        <v>0</v>
      </c>
      <c r="AB96" s="61">
        <f>VLOOKUP($B96,'7. PGE_Efficacité'!$A$6:$CY$266,(MATCH('[3]4.4 ACE MAX SEN '!AB$4,'7. PGE_Efficacité'!$A$4:$AO$4,0)),0)</f>
        <v>0</v>
      </c>
      <c r="AC96" s="61">
        <f>VLOOKUP($B96,'7. PGE_Efficacité'!$A$6:$CY$266,(MATCH('[3]4.4 ACE MAX SEN '!AC$4,'7. PGE_Efficacité'!$A$4:$AO$4,0)),0)</f>
        <v>0</v>
      </c>
      <c r="AD96" s="61">
        <f>VLOOKUP($B96,'7. PGE_Efficacité'!$A$6:$CY$266,(MATCH('[3]4.4 ACE MAX SEN '!AD$4,'7. PGE_Efficacité'!$A$4:$AO$4,0)),0)</f>
        <v>0</v>
      </c>
      <c r="AE96" s="61">
        <f>VLOOKUP($B96,'7. PGE_Efficacité'!$A$6:$CY$266,(MATCH('[3]4.4 ACE MAX SEN '!AE$4,'7. PGE_Efficacité'!$A$4:$AO$4,0)),0)</f>
        <v>0</v>
      </c>
      <c r="AF96" s="61">
        <f>VLOOKUP($B96,'7. PGE_Efficacité'!$A$6:$CY$266,(MATCH('[3]4.4 ACE MAX SEN '!AF$4,'7. PGE_Efficacité'!$A$4:$AO$4,0)),0)</f>
        <v>0</v>
      </c>
      <c r="AG96" s="61">
        <f>VLOOKUP($B96,'7. PGE_Efficacité'!$A$6:$CY$266,(MATCH('[3]4.4 ACE MAX SEN '!AG$4,'7. PGE_Efficacité'!$A$4:$AO$4,0)),0)</f>
        <v>0</v>
      </c>
      <c r="AH96" s="61">
        <f>VLOOKUP($B96,'7. PGE_Efficacité'!$A$6:$CY$266,(MATCH('[3]4.4 ACE MAX SEN '!AH$4,'7. PGE_Efficacité'!$A$4:$AO$4,0)),0)</f>
        <v>0</v>
      </c>
      <c r="AI96" s="61">
        <f>VLOOKUP($B96,'7. PGE_Efficacité'!$A$6:$CY$266,(MATCH('[3]4.4 ACE MAX SEN '!AI$4,'7. PGE_Efficacité'!$A$4:$AO$4,0)),0)</f>
        <v>0</v>
      </c>
      <c r="AJ96" s="61">
        <f>VLOOKUP($B96,'7. PGE_Efficacité'!$A$6:$CY$266,(MATCH('[3]4.4 ACE MAX SEN '!AJ$4,'7. PGE_Efficacité'!$A$4:$AO$4,0)),0)</f>
        <v>0</v>
      </c>
      <c r="AK96" s="61">
        <f>VLOOKUP($B96,'7. PGE_Efficacité'!$A$6:$CY$266,(MATCH('[3]4.4 ACE MAX SEN '!AK$4,'7. PGE_Efficacité'!$A$4:$AO$4,0)),0)</f>
        <v>0</v>
      </c>
    </row>
    <row r="97" spans="1:37" hidden="1" outlineLevel="2" x14ac:dyDescent="0.25">
      <c r="A97" s="65" t="s">
        <v>9</v>
      </c>
      <c r="B97" s="65" t="s">
        <v>651</v>
      </c>
      <c r="C97" s="65" t="s">
        <v>1311</v>
      </c>
      <c r="D97" s="65" t="s">
        <v>1522</v>
      </c>
      <c r="E97" s="65" t="s">
        <v>1287</v>
      </c>
      <c r="F97" s="70"/>
      <c r="G97" s="64">
        <f>VLOOKUP($B97,'7. PGE_Efficacité'!$A$6:$CY$266,(MATCH('[3]4.4 ACE MAX SEN '!G$4,'7. PGE_Efficacité'!$A$4:$AO$4,0)),0)</f>
        <v>0</v>
      </c>
      <c r="H97" s="64">
        <f>VLOOKUP($B97,'7. PGE_Efficacité'!$A$6:$CY$266,(MATCH('[3]4.4 ACE MAX SEN '!H$4,'7. PGE_Efficacité'!$A$4:$AO$4,0)),0)</f>
        <v>0</v>
      </c>
      <c r="I97" s="64">
        <f>VLOOKUP($B97,'7. PGE_Efficacité'!$A$6:$CY$266,(MATCH('[3]4.4 ACE MAX SEN '!I$4,'7. PGE_Efficacité'!$A$4:$AO$4,0)),0)</f>
        <v>0</v>
      </c>
      <c r="J97" s="64">
        <f>VLOOKUP($B97,'7. PGE_Efficacité'!$A$6:$CY$266,(MATCH('[3]4.4 ACE MAX SEN '!J$4,'7. PGE_Efficacité'!$A$4:$AO$4,0)),0)</f>
        <v>0</v>
      </c>
      <c r="K97" s="64">
        <f>VLOOKUP($B97,'7. PGE_Efficacité'!$A$6:$CY$266,(MATCH('[3]4.4 ACE MAX SEN '!K$4,'7. PGE_Efficacité'!$A$4:$AO$4,0)),0)</f>
        <v>0</v>
      </c>
      <c r="L97" s="64">
        <f>VLOOKUP($B97,'7. PGE_Efficacité'!$A$6:$CY$266,(MATCH('[3]4.4 ACE MAX SEN '!L$4,'7. PGE_Efficacité'!$A$4:$AO$4,0)),0)</f>
        <v>0</v>
      </c>
      <c r="M97" s="64">
        <f>VLOOKUP($B97,'7. PGE_Efficacité'!$A$6:$CY$266,(MATCH('[3]4.4 ACE MAX SEN '!M$4,'7. PGE_Efficacité'!$A$4:$AO$4,0)),0)</f>
        <v>0</v>
      </c>
      <c r="N97" s="64">
        <f>VLOOKUP($B97,'7. PGE_Efficacité'!$A$6:$CY$266,(MATCH('[3]4.4 ACE MAX SEN '!N$4,'7. PGE_Efficacité'!$A$4:$AO$4,0)),0)</f>
        <v>0</v>
      </c>
      <c r="O97" s="64">
        <f>VLOOKUP($B97,'7. PGE_Efficacité'!$A$6:$CY$266,(MATCH('[3]4.4 ACE MAX SEN '!O$4,'7. PGE_Efficacité'!$A$4:$AO$4,0)),0)</f>
        <v>0</v>
      </c>
      <c r="P97" s="64">
        <f>VLOOKUP($B97,'7. PGE_Efficacité'!$A$6:$CY$266,(MATCH('[3]4.4 ACE MAX SEN '!P$4,'7. PGE_Efficacité'!$A$4:$AO$4,0)),0)</f>
        <v>0</v>
      </c>
      <c r="Q97" s="64">
        <f>VLOOKUP($B97,'7. PGE_Efficacité'!$A$6:$CY$266,(MATCH('[3]4.4 ACE MAX SEN '!Q$4,'7. PGE_Efficacité'!$A$4:$AO$4,0)),0)</f>
        <v>0</v>
      </c>
      <c r="R97" s="64">
        <f>VLOOKUP($B97,'7. PGE_Efficacité'!$A$6:$CY$266,(MATCH('[3]4.4 ACE MAX SEN '!R$4,'7. PGE_Efficacité'!$A$4:$AO$4,0)),0)</f>
        <v>0</v>
      </c>
      <c r="S97" s="64">
        <f>VLOOKUP($B97,'7. PGE_Efficacité'!$A$6:$CY$266,(MATCH('[3]4.4 ACE MAX SEN '!S$4,'7. PGE_Efficacité'!$A$4:$AO$4,0)),0)</f>
        <v>0</v>
      </c>
      <c r="T97" s="64">
        <f>VLOOKUP($B97,'7. PGE_Efficacité'!$A$6:$CY$266,(MATCH('[3]4.4 ACE MAX SEN '!T$4,'7. PGE_Efficacité'!$A$4:$AO$4,0)),0)</f>
        <v>0</v>
      </c>
      <c r="U97" s="64">
        <f>VLOOKUP($B97,'7. PGE_Efficacité'!$A$6:$CY$266,(MATCH('[3]4.4 ACE MAX SEN '!U$4,'7. PGE_Efficacité'!$A$4:$AO$4,0)),0)</f>
        <v>0</v>
      </c>
      <c r="V97" s="64">
        <f>VLOOKUP($B97,'7. PGE_Efficacité'!$A$6:$CY$266,(MATCH('[3]4.4 ACE MAX SEN '!V$4,'7. PGE_Efficacité'!$A$4:$AO$4,0)),0)</f>
        <v>0</v>
      </c>
      <c r="W97" s="61">
        <f>VLOOKUP($B97,'7. PGE_Efficacité'!$A$6:$CY$266,(MATCH('[3]4.4 ACE MAX SEN '!W$4,'7. PGE_Efficacité'!$A$4:$AO$4,0)),0)</f>
        <v>0</v>
      </c>
      <c r="X97" s="61">
        <f>VLOOKUP($B97,'7. PGE_Efficacité'!$A$6:$CY$266,(MATCH('[3]4.4 ACE MAX SEN '!X$4,'7. PGE_Efficacité'!$A$4:$AO$4,0)),0)</f>
        <v>0</v>
      </c>
      <c r="Y97" s="61">
        <f>VLOOKUP($B97,'7. PGE_Efficacité'!$A$6:$CY$266,(MATCH('[3]4.4 ACE MAX SEN '!Y$4,'7. PGE_Efficacité'!$A$4:$AO$4,0)),0)</f>
        <v>0</v>
      </c>
      <c r="Z97" s="61">
        <f>VLOOKUP($B97,'7. PGE_Efficacité'!$A$6:$CY$266,(MATCH('[3]4.4 ACE MAX SEN '!Z$4,'7. PGE_Efficacité'!$A$4:$AO$4,0)),0)</f>
        <v>0</v>
      </c>
      <c r="AA97" s="61">
        <f>VLOOKUP($B97,'7. PGE_Efficacité'!$A$6:$CY$266,(MATCH('[3]4.4 ACE MAX SEN '!AA$4,'7. PGE_Efficacité'!$A$4:$AO$4,0)),0)</f>
        <v>0</v>
      </c>
      <c r="AB97" s="61">
        <f>VLOOKUP($B97,'7. PGE_Efficacité'!$A$6:$CY$266,(MATCH('[3]4.4 ACE MAX SEN '!AB$4,'7. PGE_Efficacité'!$A$4:$AO$4,0)),0)</f>
        <v>0</v>
      </c>
      <c r="AC97" s="61">
        <f>VLOOKUP($B97,'7. PGE_Efficacité'!$A$6:$CY$266,(MATCH('[3]4.4 ACE MAX SEN '!AC$4,'7. PGE_Efficacité'!$A$4:$AO$4,0)),0)</f>
        <v>0</v>
      </c>
      <c r="AD97" s="61">
        <f>VLOOKUP($B97,'7. PGE_Efficacité'!$A$6:$CY$266,(MATCH('[3]4.4 ACE MAX SEN '!AD$4,'7. PGE_Efficacité'!$A$4:$AO$4,0)),0)</f>
        <v>0</v>
      </c>
      <c r="AE97" s="61">
        <f>VLOOKUP($B97,'7. PGE_Efficacité'!$A$6:$CY$266,(MATCH('[3]4.4 ACE MAX SEN '!AE$4,'7. PGE_Efficacité'!$A$4:$AO$4,0)),0)</f>
        <v>0</v>
      </c>
      <c r="AF97" s="61">
        <f>VLOOKUP($B97,'7. PGE_Efficacité'!$A$6:$CY$266,(MATCH('[3]4.4 ACE MAX SEN '!AF$4,'7. PGE_Efficacité'!$A$4:$AO$4,0)),0)</f>
        <v>0</v>
      </c>
      <c r="AG97" s="61">
        <f>VLOOKUP($B97,'7. PGE_Efficacité'!$A$6:$CY$266,(MATCH('[3]4.4 ACE MAX SEN '!AG$4,'7. PGE_Efficacité'!$A$4:$AO$4,0)),0)</f>
        <v>0</v>
      </c>
      <c r="AH97" s="61">
        <f>VLOOKUP($B97,'7. PGE_Efficacité'!$A$6:$CY$266,(MATCH('[3]4.4 ACE MAX SEN '!AH$4,'7. PGE_Efficacité'!$A$4:$AO$4,0)),0)</f>
        <v>0</v>
      </c>
      <c r="AI97" s="61">
        <f>VLOOKUP($B97,'7. PGE_Efficacité'!$A$6:$CY$266,(MATCH('[3]4.4 ACE MAX SEN '!AI$4,'7. PGE_Efficacité'!$A$4:$AO$4,0)),0)</f>
        <v>0</v>
      </c>
      <c r="AJ97" s="61">
        <f>VLOOKUP($B97,'7. PGE_Efficacité'!$A$6:$CY$266,(MATCH('[3]4.4 ACE MAX SEN '!AJ$4,'7. PGE_Efficacité'!$A$4:$AO$4,0)),0)</f>
        <v>0</v>
      </c>
      <c r="AK97" s="61">
        <f>VLOOKUP($B97,'7. PGE_Efficacité'!$A$6:$CY$266,(MATCH('[3]4.4 ACE MAX SEN '!AK$4,'7. PGE_Efficacité'!$A$4:$AO$4,0)),0)</f>
        <v>0</v>
      </c>
    </row>
    <row r="98" spans="1:37" hidden="1" outlineLevel="2" x14ac:dyDescent="0.25">
      <c r="A98" s="65" t="s">
        <v>9</v>
      </c>
      <c r="B98" s="65" t="s">
        <v>652</v>
      </c>
      <c r="C98" s="65" t="s">
        <v>1312</v>
      </c>
      <c r="D98" s="65" t="s">
        <v>1522</v>
      </c>
      <c r="E98" s="65" t="s">
        <v>1287</v>
      </c>
      <c r="F98" s="70"/>
      <c r="G98" s="64">
        <f>VLOOKUP($B98,'7. PGE_Efficacité'!$A$6:$CY$266,(MATCH('[3]4.4 ACE MAX SEN '!G$4,'7. PGE_Efficacité'!$A$4:$AO$4,0)),0)</f>
        <v>0</v>
      </c>
      <c r="H98" s="64">
        <f>VLOOKUP($B98,'7. PGE_Efficacité'!$A$6:$CY$266,(MATCH('[3]4.4 ACE MAX SEN '!H$4,'7. PGE_Efficacité'!$A$4:$AO$4,0)),0)</f>
        <v>0</v>
      </c>
      <c r="I98" s="64">
        <f>VLOOKUP($B98,'7. PGE_Efficacité'!$A$6:$CY$266,(MATCH('[3]4.4 ACE MAX SEN '!I$4,'7. PGE_Efficacité'!$A$4:$AO$4,0)),0)</f>
        <v>0</v>
      </c>
      <c r="J98" s="64">
        <f>VLOOKUP($B98,'7. PGE_Efficacité'!$A$6:$CY$266,(MATCH('[3]4.4 ACE MAX SEN '!J$4,'7. PGE_Efficacité'!$A$4:$AO$4,0)),0)</f>
        <v>0</v>
      </c>
      <c r="K98" s="64">
        <f>VLOOKUP($B98,'7. PGE_Efficacité'!$A$6:$CY$266,(MATCH('[3]4.4 ACE MAX SEN '!K$4,'7. PGE_Efficacité'!$A$4:$AO$4,0)),0)</f>
        <v>0</v>
      </c>
      <c r="L98" s="64">
        <f>VLOOKUP($B98,'7. PGE_Efficacité'!$A$6:$CY$266,(MATCH('[3]4.4 ACE MAX SEN '!L$4,'7. PGE_Efficacité'!$A$4:$AO$4,0)),0)</f>
        <v>0</v>
      </c>
      <c r="M98" s="64">
        <f>VLOOKUP($B98,'7. PGE_Efficacité'!$A$6:$CY$266,(MATCH('[3]4.4 ACE MAX SEN '!M$4,'7. PGE_Efficacité'!$A$4:$AO$4,0)),0)</f>
        <v>0</v>
      </c>
      <c r="N98" s="64">
        <f>VLOOKUP($B98,'7. PGE_Efficacité'!$A$6:$CY$266,(MATCH('[3]4.4 ACE MAX SEN '!N$4,'7. PGE_Efficacité'!$A$4:$AO$4,0)),0)</f>
        <v>0</v>
      </c>
      <c r="O98" s="64">
        <f>VLOOKUP($B98,'7. PGE_Efficacité'!$A$6:$CY$266,(MATCH('[3]4.4 ACE MAX SEN '!O$4,'7. PGE_Efficacité'!$A$4:$AO$4,0)),0)</f>
        <v>0</v>
      </c>
      <c r="P98" s="64">
        <f>VLOOKUP($B98,'7. PGE_Efficacité'!$A$6:$CY$266,(MATCH('[3]4.4 ACE MAX SEN '!P$4,'7. PGE_Efficacité'!$A$4:$AO$4,0)),0)</f>
        <v>0</v>
      </c>
      <c r="Q98" s="64">
        <f>VLOOKUP($B98,'7. PGE_Efficacité'!$A$6:$CY$266,(MATCH('[3]4.4 ACE MAX SEN '!Q$4,'7. PGE_Efficacité'!$A$4:$AO$4,0)),0)</f>
        <v>0</v>
      </c>
      <c r="R98" s="64">
        <f>VLOOKUP($B98,'7. PGE_Efficacité'!$A$6:$CY$266,(MATCH('[3]4.4 ACE MAX SEN '!R$4,'7. PGE_Efficacité'!$A$4:$AO$4,0)),0)</f>
        <v>0</v>
      </c>
      <c r="S98" s="64">
        <f>VLOOKUP($B98,'7. PGE_Efficacité'!$A$6:$CY$266,(MATCH('[3]4.4 ACE MAX SEN '!S$4,'7. PGE_Efficacité'!$A$4:$AO$4,0)),0)</f>
        <v>0</v>
      </c>
      <c r="T98" s="64">
        <f>VLOOKUP($B98,'7. PGE_Efficacité'!$A$6:$CY$266,(MATCH('[3]4.4 ACE MAX SEN '!T$4,'7. PGE_Efficacité'!$A$4:$AO$4,0)),0)</f>
        <v>0</v>
      </c>
      <c r="U98" s="64">
        <f>VLOOKUP($B98,'7. PGE_Efficacité'!$A$6:$CY$266,(MATCH('[3]4.4 ACE MAX SEN '!U$4,'7. PGE_Efficacité'!$A$4:$AO$4,0)),0)</f>
        <v>0</v>
      </c>
      <c r="V98" s="64">
        <f>VLOOKUP($B98,'7. PGE_Efficacité'!$A$6:$CY$266,(MATCH('[3]4.4 ACE MAX SEN '!V$4,'7. PGE_Efficacité'!$A$4:$AO$4,0)),0)</f>
        <v>0</v>
      </c>
      <c r="W98" s="61">
        <f>VLOOKUP($B98,'7. PGE_Efficacité'!$A$6:$CY$266,(MATCH('[3]4.4 ACE MAX SEN '!W$4,'7. PGE_Efficacité'!$A$4:$AO$4,0)),0)</f>
        <v>0</v>
      </c>
      <c r="X98" s="61">
        <f>VLOOKUP($B98,'7. PGE_Efficacité'!$A$6:$CY$266,(MATCH('[3]4.4 ACE MAX SEN '!X$4,'7. PGE_Efficacité'!$A$4:$AO$4,0)),0)</f>
        <v>0</v>
      </c>
      <c r="Y98" s="61">
        <f>VLOOKUP($B98,'7. PGE_Efficacité'!$A$6:$CY$266,(MATCH('[3]4.4 ACE MAX SEN '!Y$4,'7. PGE_Efficacité'!$A$4:$AO$4,0)),0)</f>
        <v>0</v>
      </c>
      <c r="Z98" s="61">
        <f>VLOOKUP($B98,'7. PGE_Efficacité'!$A$6:$CY$266,(MATCH('[3]4.4 ACE MAX SEN '!Z$4,'7. PGE_Efficacité'!$A$4:$AO$4,0)),0)</f>
        <v>0</v>
      </c>
      <c r="AA98" s="61">
        <f>VLOOKUP($B98,'7. PGE_Efficacité'!$A$6:$CY$266,(MATCH('[3]4.4 ACE MAX SEN '!AA$4,'7. PGE_Efficacité'!$A$4:$AO$4,0)),0)</f>
        <v>0</v>
      </c>
      <c r="AB98" s="61">
        <f>VLOOKUP($B98,'7. PGE_Efficacité'!$A$6:$CY$266,(MATCH('[3]4.4 ACE MAX SEN '!AB$4,'7. PGE_Efficacité'!$A$4:$AO$4,0)),0)</f>
        <v>0</v>
      </c>
      <c r="AC98" s="61">
        <f>VLOOKUP($B98,'7. PGE_Efficacité'!$A$6:$CY$266,(MATCH('[3]4.4 ACE MAX SEN '!AC$4,'7. PGE_Efficacité'!$A$4:$AO$4,0)),0)</f>
        <v>0</v>
      </c>
      <c r="AD98" s="61">
        <f>VLOOKUP($B98,'7. PGE_Efficacité'!$A$6:$CY$266,(MATCH('[3]4.4 ACE MAX SEN '!AD$4,'7. PGE_Efficacité'!$A$4:$AO$4,0)),0)</f>
        <v>0</v>
      </c>
      <c r="AE98" s="61">
        <f>VLOOKUP($B98,'7. PGE_Efficacité'!$A$6:$CY$266,(MATCH('[3]4.4 ACE MAX SEN '!AE$4,'7. PGE_Efficacité'!$A$4:$AO$4,0)),0)</f>
        <v>0</v>
      </c>
      <c r="AF98" s="61">
        <f>VLOOKUP($B98,'7. PGE_Efficacité'!$A$6:$CY$266,(MATCH('[3]4.4 ACE MAX SEN '!AF$4,'7. PGE_Efficacité'!$A$4:$AO$4,0)),0)</f>
        <v>0</v>
      </c>
      <c r="AG98" s="61">
        <f>VLOOKUP($B98,'7. PGE_Efficacité'!$A$6:$CY$266,(MATCH('[3]4.4 ACE MAX SEN '!AG$4,'7. PGE_Efficacité'!$A$4:$AO$4,0)),0)</f>
        <v>0</v>
      </c>
      <c r="AH98" s="61">
        <f>VLOOKUP($B98,'7. PGE_Efficacité'!$A$6:$CY$266,(MATCH('[3]4.4 ACE MAX SEN '!AH$4,'7. PGE_Efficacité'!$A$4:$AO$4,0)),0)</f>
        <v>0</v>
      </c>
      <c r="AI98" s="61">
        <f>VLOOKUP($B98,'7. PGE_Efficacité'!$A$6:$CY$266,(MATCH('[3]4.4 ACE MAX SEN '!AI$4,'7. PGE_Efficacité'!$A$4:$AO$4,0)),0)</f>
        <v>0</v>
      </c>
      <c r="AJ98" s="61">
        <f>VLOOKUP($B98,'7. PGE_Efficacité'!$A$6:$CY$266,(MATCH('[3]4.4 ACE MAX SEN '!AJ$4,'7. PGE_Efficacité'!$A$4:$AO$4,0)),0)</f>
        <v>0</v>
      </c>
      <c r="AK98" s="61">
        <f>VLOOKUP($B98,'7. PGE_Efficacité'!$A$6:$CY$266,(MATCH('[3]4.4 ACE MAX SEN '!AK$4,'7. PGE_Efficacité'!$A$4:$AO$4,0)),0)</f>
        <v>0</v>
      </c>
    </row>
    <row r="99" spans="1:37" hidden="1" outlineLevel="2" x14ac:dyDescent="0.25">
      <c r="A99" s="65" t="s">
        <v>9</v>
      </c>
      <c r="B99" s="65" t="s">
        <v>653</v>
      </c>
      <c r="C99" s="65" t="s">
        <v>1313</v>
      </c>
      <c r="D99" s="65" t="s">
        <v>1522</v>
      </c>
      <c r="E99" s="65" t="s">
        <v>1290</v>
      </c>
      <c r="F99" s="70"/>
      <c r="G99" s="64">
        <f>VLOOKUP($B99,'7. PGE_Efficacité'!$A$6:$CY$266,(MATCH('[3]4.4 ACE MAX SEN '!G$4,'7. PGE_Efficacité'!$A$4:$AO$4,0)),0)</f>
        <v>0</v>
      </c>
      <c r="H99" s="64">
        <f>VLOOKUP($B99,'7. PGE_Efficacité'!$A$6:$CY$266,(MATCH('[3]4.4 ACE MAX SEN '!H$4,'7. PGE_Efficacité'!$A$4:$AO$4,0)),0)</f>
        <v>0</v>
      </c>
      <c r="I99" s="64">
        <f>VLOOKUP($B99,'7. PGE_Efficacité'!$A$6:$CY$266,(MATCH('[3]4.4 ACE MAX SEN '!I$4,'7. PGE_Efficacité'!$A$4:$AO$4,0)),0)</f>
        <v>0</v>
      </c>
      <c r="J99" s="64">
        <f>VLOOKUP($B99,'7. PGE_Efficacité'!$A$6:$CY$266,(MATCH('[3]4.4 ACE MAX SEN '!J$4,'7. PGE_Efficacité'!$A$4:$AO$4,0)),0)</f>
        <v>0</v>
      </c>
      <c r="K99" s="64">
        <f>VLOOKUP($B99,'7. PGE_Efficacité'!$A$6:$CY$266,(MATCH('[3]4.4 ACE MAX SEN '!K$4,'7. PGE_Efficacité'!$A$4:$AO$4,0)),0)</f>
        <v>0</v>
      </c>
      <c r="L99" s="64">
        <f>VLOOKUP($B99,'7. PGE_Efficacité'!$A$6:$CY$266,(MATCH('[3]4.4 ACE MAX SEN '!L$4,'7. PGE_Efficacité'!$A$4:$AO$4,0)),0)</f>
        <v>0</v>
      </c>
      <c r="M99" s="64">
        <f>VLOOKUP($B99,'7. PGE_Efficacité'!$A$6:$CY$266,(MATCH('[3]4.4 ACE MAX SEN '!M$4,'7. PGE_Efficacité'!$A$4:$AO$4,0)),0)</f>
        <v>0</v>
      </c>
      <c r="N99" s="64">
        <f>VLOOKUP($B99,'7. PGE_Efficacité'!$A$6:$CY$266,(MATCH('[3]4.4 ACE MAX SEN '!N$4,'7. PGE_Efficacité'!$A$4:$AO$4,0)),0)</f>
        <v>0</v>
      </c>
      <c r="O99" s="64">
        <f>VLOOKUP($B99,'7. PGE_Efficacité'!$A$6:$CY$266,(MATCH('[3]4.4 ACE MAX SEN '!O$4,'7. PGE_Efficacité'!$A$4:$AO$4,0)),0)</f>
        <v>0</v>
      </c>
      <c r="P99" s="64">
        <f>VLOOKUP($B99,'7. PGE_Efficacité'!$A$6:$CY$266,(MATCH('[3]4.4 ACE MAX SEN '!P$4,'7. PGE_Efficacité'!$A$4:$AO$4,0)),0)</f>
        <v>0</v>
      </c>
      <c r="Q99" s="64">
        <f>VLOOKUP($B99,'7. PGE_Efficacité'!$A$6:$CY$266,(MATCH('[3]4.4 ACE MAX SEN '!Q$4,'7. PGE_Efficacité'!$A$4:$AO$4,0)),0)</f>
        <v>0</v>
      </c>
      <c r="R99" s="64">
        <f>VLOOKUP($B99,'7. PGE_Efficacité'!$A$6:$CY$266,(MATCH('[3]4.4 ACE MAX SEN '!R$4,'7. PGE_Efficacité'!$A$4:$AO$4,0)),0)</f>
        <v>0</v>
      </c>
      <c r="S99" s="64">
        <f>VLOOKUP($B99,'7. PGE_Efficacité'!$A$6:$CY$266,(MATCH('[3]4.4 ACE MAX SEN '!S$4,'7. PGE_Efficacité'!$A$4:$AO$4,0)),0)</f>
        <v>0</v>
      </c>
      <c r="T99" s="64">
        <f>VLOOKUP($B99,'7. PGE_Efficacité'!$A$6:$CY$266,(MATCH('[3]4.4 ACE MAX SEN '!T$4,'7. PGE_Efficacité'!$A$4:$AO$4,0)),0)</f>
        <v>0</v>
      </c>
      <c r="U99" s="64">
        <f>VLOOKUP($B99,'7. PGE_Efficacité'!$A$6:$CY$266,(MATCH('[3]4.4 ACE MAX SEN '!U$4,'7. PGE_Efficacité'!$A$4:$AO$4,0)),0)</f>
        <v>0</v>
      </c>
      <c r="V99" s="64">
        <f>VLOOKUP($B99,'7. PGE_Efficacité'!$A$6:$CY$266,(MATCH('[3]4.4 ACE MAX SEN '!V$4,'7. PGE_Efficacité'!$A$4:$AO$4,0)),0)</f>
        <v>0</v>
      </c>
      <c r="W99" s="61">
        <f>VLOOKUP($B99,'7. PGE_Efficacité'!$A$6:$CY$266,(MATCH('[3]4.4 ACE MAX SEN '!W$4,'7. PGE_Efficacité'!$A$4:$AO$4,0)),0)</f>
        <v>0</v>
      </c>
      <c r="X99" s="61">
        <f>VLOOKUP($B99,'7. PGE_Efficacité'!$A$6:$CY$266,(MATCH('[3]4.4 ACE MAX SEN '!X$4,'7. PGE_Efficacité'!$A$4:$AO$4,0)),0)</f>
        <v>0</v>
      </c>
      <c r="Y99" s="61">
        <f>VLOOKUP($B99,'7. PGE_Efficacité'!$A$6:$CY$266,(MATCH('[3]4.4 ACE MAX SEN '!Y$4,'7. PGE_Efficacité'!$A$4:$AO$4,0)),0)</f>
        <v>0</v>
      </c>
      <c r="Z99" s="61">
        <f>VLOOKUP($B99,'7. PGE_Efficacité'!$A$6:$CY$266,(MATCH('[3]4.4 ACE MAX SEN '!Z$4,'7. PGE_Efficacité'!$A$4:$AO$4,0)),0)</f>
        <v>0</v>
      </c>
      <c r="AA99" s="61">
        <f>VLOOKUP($B99,'7. PGE_Efficacité'!$A$6:$CY$266,(MATCH('[3]4.4 ACE MAX SEN '!AA$4,'7. PGE_Efficacité'!$A$4:$AO$4,0)),0)</f>
        <v>0</v>
      </c>
      <c r="AB99" s="61">
        <f>VLOOKUP($B99,'7. PGE_Efficacité'!$A$6:$CY$266,(MATCH('[3]4.4 ACE MAX SEN '!AB$4,'7. PGE_Efficacité'!$A$4:$AO$4,0)),0)</f>
        <v>0</v>
      </c>
      <c r="AC99" s="61">
        <f>VLOOKUP($B99,'7. PGE_Efficacité'!$A$6:$CY$266,(MATCH('[3]4.4 ACE MAX SEN '!AC$4,'7. PGE_Efficacité'!$A$4:$AO$4,0)),0)</f>
        <v>0</v>
      </c>
      <c r="AD99" s="61">
        <f>VLOOKUP($B99,'7. PGE_Efficacité'!$A$6:$CY$266,(MATCH('[3]4.4 ACE MAX SEN '!AD$4,'7. PGE_Efficacité'!$A$4:$AO$4,0)),0)</f>
        <v>0</v>
      </c>
      <c r="AE99" s="61">
        <f>VLOOKUP($B99,'7. PGE_Efficacité'!$A$6:$CY$266,(MATCH('[3]4.4 ACE MAX SEN '!AE$4,'7. PGE_Efficacité'!$A$4:$AO$4,0)),0)</f>
        <v>0</v>
      </c>
      <c r="AF99" s="61">
        <f>VLOOKUP($B99,'7. PGE_Efficacité'!$A$6:$CY$266,(MATCH('[3]4.4 ACE MAX SEN '!AF$4,'7. PGE_Efficacité'!$A$4:$AO$4,0)),0)</f>
        <v>0</v>
      </c>
      <c r="AG99" s="61">
        <f>VLOOKUP($B99,'7. PGE_Efficacité'!$A$6:$CY$266,(MATCH('[3]4.4 ACE MAX SEN '!AG$4,'7. PGE_Efficacité'!$A$4:$AO$4,0)),0)</f>
        <v>0</v>
      </c>
      <c r="AH99" s="61">
        <f>VLOOKUP($B99,'7. PGE_Efficacité'!$A$6:$CY$266,(MATCH('[3]4.4 ACE MAX SEN '!AH$4,'7. PGE_Efficacité'!$A$4:$AO$4,0)),0)</f>
        <v>0</v>
      </c>
      <c r="AI99" s="61">
        <f>VLOOKUP($B99,'7. PGE_Efficacité'!$A$6:$CY$266,(MATCH('[3]4.4 ACE MAX SEN '!AI$4,'7. PGE_Efficacité'!$A$4:$AO$4,0)),0)</f>
        <v>0</v>
      </c>
      <c r="AJ99" s="61">
        <f>VLOOKUP($B99,'7. PGE_Efficacité'!$A$6:$CY$266,(MATCH('[3]4.4 ACE MAX SEN '!AJ$4,'7. PGE_Efficacité'!$A$4:$AO$4,0)),0)</f>
        <v>0</v>
      </c>
      <c r="AK99" s="61">
        <f>VLOOKUP($B99,'7. PGE_Efficacité'!$A$6:$CY$266,(MATCH('[3]4.4 ACE MAX SEN '!AK$4,'7. PGE_Efficacité'!$A$4:$AO$4,0)),0)</f>
        <v>0</v>
      </c>
    </row>
    <row r="100" spans="1:37" ht="26.25" outlineLevel="1" collapsed="1" x14ac:dyDescent="0.25">
      <c r="A100" s="157" t="s">
        <v>10</v>
      </c>
      <c r="B100" s="63"/>
      <c r="C100" s="156" t="s">
        <v>228</v>
      </c>
      <c r="D100" s="63"/>
      <c r="E100" s="63"/>
      <c r="F100" s="72">
        <f>MEDIAN(VLOOKUP(A100,'4. Mesures_ACE_Budget'!$A$3:$J$31,9,0),VLOOKUP(A100,'4. Mesures_ACE_Budget'!$A$3:$J$31,10,0))</f>
        <v>3750000</v>
      </c>
      <c r="G100" s="178">
        <f>VLOOKUP($A100,'7. PGE_Efficacité'!$A$6:$CY$266,(MATCH('[2]4.4 ACE MAX SEN '!G$4,'7. PGE_Efficacité'!$A$4:$AO$4,0)),0)</f>
        <v>0</v>
      </c>
      <c r="H100" s="178">
        <f>VLOOKUP($A100,'7. PGE_Efficacité'!$A$6:$CY$266,(MATCH('[2]4.4 ACE MAX SEN '!H$4,'7. PGE_Efficacité'!$A$4:$AO$4,0)),0)</f>
        <v>0</v>
      </c>
      <c r="I100" s="178">
        <f>VLOOKUP($A100,'7. PGE_Efficacité'!$A$6:$CY$266,(MATCH('[2]4.4 ACE MAX SEN '!I$4,'7. PGE_Efficacité'!$A$4:$AO$4,0)),0)</f>
        <v>0</v>
      </c>
      <c r="J100" s="178">
        <f>VLOOKUP($A100,'7. PGE_Efficacité'!$A$6:$CY$266,(MATCH('[2]4.4 ACE MAX SEN '!J$4,'7. PGE_Efficacité'!$A$4:$AO$4,0)),0)</f>
        <v>0</v>
      </c>
      <c r="K100" s="178">
        <f>VLOOKUP($A100,'7. PGE_Efficacité'!$A$6:$CY$266,(MATCH('[2]4.4 ACE MAX SEN '!K$4,'7. PGE_Efficacité'!$A$4:$AO$4,0)),0)</f>
        <v>0</v>
      </c>
      <c r="L100" s="178">
        <f>VLOOKUP($A100,'7. PGE_Efficacité'!$A$6:$CY$266,(MATCH('[2]4.4 ACE MAX SEN '!L$4,'7. PGE_Efficacité'!$A$4:$AO$4,0)),0)</f>
        <v>0</v>
      </c>
      <c r="M100" s="178" t="str">
        <f>VLOOKUP($A100,'7. PGE_Efficacité'!$A$6:$CY$266,(MATCH('[2]4.4 ACE MAX SEN '!M$4,'7. PGE_Efficacité'!$A$4:$AO$4,0)),0)</f>
        <v>+</v>
      </c>
      <c r="N100" s="178">
        <f>VLOOKUP($A100,'7. PGE_Efficacité'!$A$6:$CY$266,(MATCH('[2]4.4 ACE MAX SEN '!N$4,'7. PGE_Efficacité'!$A$4:$AO$4,0)),0)</f>
        <v>0</v>
      </c>
      <c r="O100" s="178">
        <f>VLOOKUP($A100,'7. PGE_Efficacité'!$A$6:$CY$266,(MATCH('[2]4.4 ACE MAX SEN '!O$4,'7. PGE_Efficacité'!$A$4:$AO$4,0)),0)</f>
        <v>0</v>
      </c>
      <c r="P100" s="178">
        <f>VLOOKUP($A100,'7. PGE_Efficacité'!$A$6:$CY$266,(MATCH('[2]4.4 ACE MAX SEN '!P$4,'7. PGE_Efficacité'!$A$4:$AO$4,0)),0)</f>
        <v>0</v>
      </c>
      <c r="Q100" s="178">
        <f>VLOOKUP($A100,'7. PGE_Efficacité'!$A$6:$CY$266,(MATCH('[2]4.4 ACE MAX SEN '!Q$4,'7. PGE_Efficacité'!$A$4:$AO$4,0)),0)</f>
        <v>0</v>
      </c>
      <c r="R100" s="178">
        <f>VLOOKUP($A100,'7. PGE_Efficacité'!$A$6:$CY$266,(MATCH('[2]4.4 ACE MAX SEN '!R$4,'7. PGE_Efficacité'!$A$4:$AO$4,0)),0)</f>
        <v>0</v>
      </c>
      <c r="S100" s="178">
        <f>VLOOKUP($A100,'7. PGE_Efficacité'!$A$6:$CY$266,(MATCH('[2]4.4 ACE MAX SEN '!S$4,'7. PGE_Efficacité'!$A$4:$AO$4,0)),0)</f>
        <v>0</v>
      </c>
      <c r="T100" s="178">
        <f>VLOOKUP($A100,'7. PGE_Efficacité'!$A$6:$CY$266,(MATCH('[2]4.4 ACE MAX SEN '!T$4,'7. PGE_Efficacité'!$A$4:$AO$4,0)),0)</f>
        <v>0</v>
      </c>
      <c r="U100" s="178">
        <f>VLOOKUP($A100,'7. PGE_Efficacité'!$A$6:$CY$266,(MATCH('[2]4.4 ACE MAX SEN '!U$4,'7. PGE_Efficacité'!$A$4:$AO$4,0)),0)</f>
        <v>0</v>
      </c>
      <c r="V100" s="178" t="str">
        <f>VLOOKUP($A100,'7. PGE_Efficacité'!$A$6:$CY$266,(MATCH('[2]4.4 ACE MAX SEN '!V$4,'7. PGE_Efficacité'!$A$4:$AO$4,0)),0)</f>
        <v>+</v>
      </c>
      <c r="W100" s="179">
        <f>VLOOKUP($A100,'7. PGE_Efficacité'!$A$6:$CY$266,(MATCH('[2]4.4 ACE MAX SEN '!W$4,'7. PGE_Efficacité'!$A$4:$AO$4,0)),0)</f>
        <v>0</v>
      </c>
      <c r="X100" s="179">
        <f>VLOOKUP($A100,'7. PGE_Efficacité'!$A$6:$CY$266,(MATCH('[2]4.4 ACE MAX SEN '!X$4,'7. PGE_Efficacité'!$A$4:$AO$4,0)),0)</f>
        <v>0</v>
      </c>
      <c r="Y100" s="179">
        <f>VLOOKUP($A100,'7. PGE_Efficacité'!$A$6:$CY$266,(MATCH('[2]4.4 ACE MAX SEN '!Y$4,'7. PGE_Efficacité'!$A$4:$AO$4,0)),0)</f>
        <v>0</v>
      </c>
      <c r="Z100" s="179">
        <f>VLOOKUP($A100,'7. PGE_Efficacité'!$A$6:$CY$266,(MATCH('[2]4.4 ACE MAX SEN '!Z$4,'7. PGE_Efficacité'!$A$4:$AO$4,0)),0)</f>
        <v>0</v>
      </c>
      <c r="AA100" s="179">
        <f>VLOOKUP($A100,'7. PGE_Efficacité'!$A$6:$CY$266,(MATCH('[2]4.4 ACE MAX SEN '!AA$4,'7. PGE_Efficacité'!$A$4:$AO$4,0)),0)</f>
        <v>0</v>
      </c>
      <c r="AB100" s="179">
        <f>VLOOKUP($A100,'7. PGE_Efficacité'!$A$6:$CY$266,(MATCH('[2]4.4 ACE MAX SEN '!AB$4,'7. PGE_Efficacité'!$A$4:$AO$4,0)),0)</f>
        <v>0</v>
      </c>
      <c r="AC100" s="179">
        <f>VLOOKUP($A100,'7. PGE_Efficacité'!$A$6:$CY$266,(MATCH('[2]4.4 ACE MAX SEN '!AC$4,'7. PGE_Efficacité'!$A$4:$AO$4,0)),0)</f>
        <v>0</v>
      </c>
      <c r="AD100" s="179">
        <f>VLOOKUP($A100,'7. PGE_Efficacité'!$A$6:$CY$266,(MATCH('[2]4.4 ACE MAX SEN '!AD$4,'7. PGE_Efficacité'!$A$4:$AO$4,0)),0)</f>
        <v>0</v>
      </c>
      <c r="AE100" s="179">
        <f>VLOOKUP($A100,'7. PGE_Efficacité'!$A$6:$CY$266,(MATCH('[2]4.4 ACE MAX SEN '!AE$4,'7. PGE_Efficacité'!$A$4:$AO$4,0)),0)</f>
        <v>0</v>
      </c>
      <c r="AF100" s="179">
        <f>VLOOKUP($A100,'7. PGE_Efficacité'!$A$6:$CY$266,(MATCH('[2]4.4 ACE MAX SEN '!AF$4,'7. PGE_Efficacité'!$A$4:$AO$4,0)),0)</f>
        <v>0</v>
      </c>
      <c r="AG100" s="179">
        <f>VLOOKUP($A100,'7. PGE_Efficacité'!$A$6:$CY$266,(MATCH('[2]4.4 ACE MAX SEN '!AG$4,'7. PGE_Efficacité'!$A$4:$AO$4,0)),0)</f>
        <v>0</v>
      </c>
      <c r="AH100" s="179">
        <f>VLOOKUP($A100,'7. PGE_Efficacité'!$A$6:$CY$266,(MATCH('[2]4.4 ACE MAX SEN '!AH$4,'7. PGE_Efficacité'!$A$4:$AO$4,0)),0)</f>
        <v>0</v>
      </c>
      <c r="AI100" s="179">
        <f>VLOOKUP($A100,'7. PGE_Efficacité'!$A$6:$CY$266,(MATCH('[2]4.4 ACE MAX SEN '!AI$4,'7. PGE_Efficacité'!$A$4:$AO$4,0)),0)</f>
        <v>0</v>
      </c>
      <c r="AJ100" s="179" t="str">
        <f>VLOOKUP($A100,'7. PGE_Efficacité'!$A$6:$CY$266,(MATCH('[2]4.4 ACE MAX SEN '!AJ$4,'7. PGE_Efficacité'!$A$4:$AO$4,0)),0)</f>
        <v>+</v>
      </c>
      <c r="AK100" s="179" t="str">
        <f>VLOOKUP($A100,'7. PGE_Efficacité'!$A$6:$CY$266,(MATCH('[2]4.4 ACE MAX SEN '!AK$4,'7. PGE_Efficacité'!$A$4:$AO$4,0)),0)</f>
        <v>+</v>
      </c>
    </row>
    <row r="101" spans="1:37" hidden="1" outlineLevel="2" x14ac:dyDescent="0.25">
      <c r="A101" s="65" t="s">
        <v>10</v>
      </c>
      <c r="B101" s="65" t="s">
        <v>663</v>
      </c>
      <c r="C101" s="65" t="s">
        <v>1323</v>
      </c>
      <c r="D101" s="65" t="s">
        <v>1520</v>
      </c>
      <c r="E101" s="65" t="s">
        <v>1287</v>
      </c>
      <c r="F101" s="70"/>
      <c r="G101" s="64">
        <f>VLOOKUP($B101,'7. PGE_Efficacité'!$A$6:$CY$266,(MATCH('[3]4.4 ACE MAX SEN '!G$4,'7. PGE_Efficacité'!$A$4:$AO$4,0)),0)</f>
        <v>0</v>
      </c>
      <c r="H101" s="64">
        <f>VLOOKUP($B101,'7. PGE_Efficacité'!$A$6:$CY$266,(MATCH('[3]4.4 ACE MAX SEN '!H$4,'7. PGE_Efficacité'!$A$4:$AO$4,0)),0)</f>
        <v>0</v>
      </c>
      <c r="I101" s="64">
        <f>VLOOKUP($B101,'7. PGE_Efficacité'!$A$6:$CY$266,(MATCH('[3]4.4 ACE MAX SEN '!I$4,'7. PGE_Efficacité'!$A$4:$AO$4,0)),0)</f>
        <v>0</v>
      </c>
      <c r="J101" s="64">
        <f>VLOOKUP($B101,'7. PGE_Efficacité'!$A$6:$CY$266,(MATCH('[3]4.4 ACE MAX SEN '!J$4,'7. PGE_Efficacité'!$A$4:$AO$4,0)),0)</f>
        <v>0</v>
      </c>
      <c r="K101" s="64">
        <f>VLOOKUP($B101,'7. PGE_Efficacité'!$A$6:$CY$266,(MATCH('[3]4.4 ACE MAX SEN '!K$4,'7. PGE_Efficacité'!$A$4:$AO$4,0)),0)</f>
        <v>0</v>
      </c>
      <c r="L101" s="64">
        <f>VLOOKUP($B101,'7. PGE_Efficacité'!$A$6:$CY$266,(MATCH('[3]4.4 ACE MAX SEN '!L$4,'7. PGE_Efficacité'!$A$4:$AO$4,0)),0)</f>
        <v>0</v>
      </c>
      <c r="M101" s="64">
        <f>VLOOKUP($B101,'7. PGE_Efficacité'!$A$6:$CY$266,(MATCH('[3]4.4 ACE MAX SEN '!M$4,'7. PGE_Efficacité'!$A$4:$AO$4,0)),0)</f>
        <v>0</v>
      </c>
      <c r="N101" s="64">
        <f>VLOOKUP($B101,'7. PGE_Efficacité'!$A$6:$CY$266,(MATCH('[3]4.4 ACE MAX SEN '!N$4,'7. PGE_Efficacité'!$A$4:$AO$4,0)),0)</f>
        <v>0</v>
      </c>
      <c r="O101" s="64">
        <f>VLOOKUP($B101,'7. PGE_Efficacité'!$A$6:$CY$266,(MATCH('[3]4.4 ACE MAX SEN '!O$4,'7. PGE_Efficacité'!$A$4:$AO$4,0)),0)</f>
        <v>0</v>
      </c>
      <c r="P101" s="64">
        <f>VLOOKUP($B101,'7. PGE_Efficacité'!$A$6:$CY$266,(MATCH('[3]4.4 ACE MAX SEN '!P$4,'7. PGE_Efficacité'!$A$4:$AO$4,0)),0)</f>
        <v>0</v>
      </c>
      <c r="Q101" s="64">
        <f>VLOOKUP($B101,'7. PGE_Efficacité'!$A$6:$CY$266,(MATCH('[3]4.4 ACE MAX SEN '!Q$4,'7. PGE_Efficacité'!$A$4:$AO$4,0)),0)</f>
        <v>0</v>
      </c>
      <c r="R101" s="64">
        <f>VLOOKUP($B101,'7. PGE_Efficacité'!$A$6:$CY$266,(MATCH('[3]4.4 ACE MAX SEN '!R$4,'7. PGE_Efficacité'!$A$4:$AO$4,0)),0)</f>
        <v>0</v>
      </c>
      <c r="S101" s="64">
        <f>VLOOKUP($B101,'7. PGE_Efficacité'!$A$6:$CY$266,(MATCH('[3]4.4 ACE MAX SEN '!S$4,'7. PGE_Efficacité'!$A$4:$AO$4,0)),0)</f>
        <v>0</v>
      </c>
      <c r="T101" s="64">
        <f>VLOOKUP($B101,'7. PGE_Efficacité'!$A$6:$CY$266,(MATCH('[3]4.4 ACE MAX SEN '!T$4,'7. PGE_Efficacité'!$A$4:$AO$4,0)),0)</f>
        <v>0</v>
      </c>
      <c r="U101" s="64">
        <f>VLOOKUP($B101,'7. PGE_Efficacité'!$A$6:$CY$266,(MATCH('[3]4.4 ACE MAX SEN '!U$4,'7. PGE_Efficacité'!$A$4:$AO$4,0)),0)</f>
        <v>0</v>
      </c>
      <c r="V101" s="64">
        <f>VLOOKUP($B101,'7. PGE_Efficacité'!$A$6:$CY$266,(MATCH('[3]4.4 ACE MAX SEN '!V$4,'7. PGE_Efficacité'!$A$4:$AO$4,0)),0)</f>
        <v>0</v>
      </c>
      <c r="W101" s="61">
        <f>VLOOKUP($B101,'7. PGE_Efficacité'!$A$6:$CY$266,(MATCH('[3]4.4 ACE MAX SEN '!W$4,'7. PGE_Efficacité'!$A$4:$AO$4,0)),0)</f>
        <v>0</v>
      </c>
      <c r="X101" s="61">
        <f>VLOOKUP($B101,'7. PGE_Efficacité'!$A$6:$CY$266,(MATCH('[3]4.4 ACE MAX SEN '!X$4,'7. PGE_Efficacité'!$A$4:$AO$4,0)),0)</f>
        <v>0</v>
      </c>
      <c r="Y101" s="61">
        <f>VLOOKUP($B101,'7. PGE_Efficacité'!$A$6:$CY$266,(MATCH('[3]4.4 ACE MAX SEN '!Y$4,'7. PGE_Efficacité'!$A$4:$AO$4,0)),0)</f>
        <v>0</v>
      </c>
      <c r="Z101" s="61">
        <f>VLOOKUP($B101,'7. PGE_Efficacité'!$A$6:$CY$266,(MATCH('[3]4.4 ACE MAX SEN '!Z$4,'7. PGE_Efficacité'!$A$4:$AO$4,0)),0)</f>
        <v>0</v>
      </c>
      <c r="AA101" s="61">
        <f>VLOOKUP($B101,'7. PGE_Efficacité'!$A$6:$CY$266,(MATCH('[3]4.4 ACE MAX SEN '!AA$4,'7. PGE_Efficacité'!$A$4:$AO$4,0)),0)</f>
        <v>0</v>
      </c>
      <c r="AB101" s="61">
        <f>VLOOKUP($B101,'7. PGE_Efficacité'!$A$6:$CY$266,(MATCH('[3]4.4 ACE MAX SEN '!AB$4,'7. PGE_Efficacité'!$A$4:$AO$4,0)),0)</f>
        <v>0</v>
      </c>
      <c r="AC101" s="61">
        <f>VLOOKUP($B101,'7. PGE_Efficacité'!$A$6:$CY$266,(MATCH('[3]4.4 ACE MAX SEN '!AC$4,'7. PGE_Efficacité'!$A$4:$AO$4,0)),0)</f>
        <v>0</v>
      </c>
      <c r="AD101" s="61">
        <f>VLOOKUP($B101,'7. PGE_Efficacité'!$A$6:$CY$266,(MATCH('[3]4.4 ACE MAX SEN '!AD$4,'7. PGE_Efficacité'!$A$4:$AO$4,0)),0)</f>
        <v>0</v>
      </c>
      <c r="AE101" s="61">
        <f>VLOOKUP($B101,'7. PGE_Efficacité'!$A$6:$CY$266,(MATCH('[3]4.4 ACE MAX SEN '!AE$4,'7. PGE_Efficacité'!$A$4:$AO$4,0)),0)</f>
        <v>0</v>
      </c>
      <c r="AF101" s="61">
        <f>VLOOKUP($B101,'7. PGE_Efficacité'!$A$6:$CY$266,(MATCH('[3]4.4 ACE MAX SEN '!AF$4,'7. PGE_Efficacité'!$A$4:$AO$4,0)),0)</f>
        <v>0</v>
      </c>
      <c r="AG101" s="61">
        <f>VLOOKUP($B101,'7. PGE_Efficacité'!$A$6:$CY$266,(MATCH('[3]4.4 ACE MAX SEN '!AG$4,'7. PGE_Efficacité'!$A$4:$AO$4,0)),0)</f>
        <v>0</v>
      </c>
      <c r="AH101" s="61">
        <f>VLOOKUP($B101,'7. PGE_Efficacité'!$A$6:$CY$266,(MATCH('[3]4.4 ACE MAX SEN '!AH$4,'7. PGE_Efficacité'!$A$4:$AO$4,0)),0)</f>
        <v>0</v>
      </c>
      <c r="AI101" s="61">
        <f>VLOOKUP($B101,'7. PGE_Efficacité'!$A$6:$CY$266,(MATCH('[3]4.4 ACE MAX SEN '!AI$4,'7. PGE_Efficacité'!$A$4:$AO$4,0)),0)</f>
        <v>0</v>
      </c>
      <c r="AJ101" s="61">
        <f>VLOOKUP($B101,'7. PGE_Efficacité'!$A$6:$CY$266,(MATCH('[3]4.4 ACE MAX SEN '!AJ$4,'7. PGE_Efficacité'!$A$4:$AO$4,0)),0)</f>
        <v>0</v>
      </c>
      <c r="AK101" s="61">
        <f>VLOOKUP($B101,'7. PGE_Efficacité'!$A$6:$CY$266,(MATCH('[3]4.4 ACE MAX SEN '!AK$4,'7. PGE_Efficacité'!$A$4:$AO$4,0)),0)</f>
        <v>0</v>
      </c>
    </row>
    <row r="102" spans="1:37" hidden="1" outlineLevel="2" x14ac:dyDescent="0.25">
      <c r="A102" s="65" t="s">
        <v>10</v>
      </c>
      <c r="B102" s="65" t="s">
        <v>664</v>
      </c>
      <c r="C102" s="65" t="s">
        <v>1324</v>
      </c>
      <c r="D102" s="65" t="s">
        <v>1520</v>
      </c>
      <c r="E102" s="65" t="s">
        <v>1287</v>
      </c>
      <c r="F102" s="70"/>
      <c r="G102" s="64">
        <f>VLOOKUP($B102,'7. PGE_Efficacité'!$A$6:$CY$266,(MATCH('[3]4.4 ACE MAX SEN '!G$4,'7. PGE_Efficacité'!$A$4:$AO$4,0)),0)</f>
        <v>0</v>
      </c>
      <c r="H102" s="64">
        <f>VLOOKUP($B102,'7. PGE_Efficacité'!$A$6:$CY$266,(MATCH('[3]4.4 ACE MAX SEN '!H$4,'7. PGE_Efficacité'!$A$4:$AO$4,0)),0)</f>
        <v>0</v>
      </c>
      <c r="I102" s="64">
        <f>VLOOKUP($B102,'7. PGE_Efficacité'!$A$6:$CY$266,(MATCH('[3]4.4 ACE MAX SEN '!I$4,'7. PGE_Efficacité'!$A$4:$AO$4,0)),0)</f>
        <v>0</v>
      </c>
      <c r="J102" s="64">
        <f>VLOOKUP($B102,'7. PGE_Efficacité'!$A$6:$CY$266,(MATCH('[3]4.4 ACE MAX SEN '!J$4,'7. PGE_Efficacité'!$A$4:$AO$4,0)),0)</f>
        <v>0</v>
      </c>
      <c r="K102" s="64">
        <f>VLOOKUP($B102,'7. PGE_Efficacité'!$A$6:$CY$266,(MATCH('[3]4.4 ACE MAX SEN '!K$4,'7. PGE_Efficacité'!$A$4:$AO$4,0)),0)</f>
        <v>0</v>
      </c>
      <c r="L102" s="64">
        <f>VLOOKUP($B102,'7. PGE_Efficacité'!$A$6:$CY$266,(MATCH('[3]4.4 ACE MAX SEN '!L$4,'7. PGE_Efficacité'!$A$4:$AO$4,0)),0)</f>
        <v>0</v>
      </c>
      <c r="M102" s="64">
        <f>VLOOKUP($B102,'7. PGE_Efficacité'!$A$6:$CY$266,(MATCH('[3]4.4 ACE MAX SEN '!M$4,'7. PGE_Efficacité'!$A$4:$AO$4,0)),0)</f>
        <v>0</v>
      </c>
      <c r="N102" s="64">
        <f>VLOOKUP($B102,'7. PGE_Efficacité'!$A$6:$CY$266,(MATCH('[3]4.4 ACE MAX SEN '!N$4,'7. PGE_Efficacité'!$A$4:$AO$4,0)),0)</f>
        <v>0</v>
      </c>
      <c r="O102" s="64">
        <f>VLOOKUP($B102,'7. PGE_Efficacité'!$A$6:$CY$266,(MATCH('[3]4.4 ACE MAX SEN '!O$4,'7. PGE_Efficacité'!$A$4:$AO$4,0)),0)</f>
        <v>0</v>
      </c>
      <c r="P102" s="64">
        <f>VLOOKUP($B102,'7. PGE_Efficacité'!$A$6:$CY$266,(MATCH('[3]4.4 ACE MAX SEN '!P$4,'7. PGE_Efficacité'!$A$4:$AO$4,0)),0)</f>
        <v>0</v>
      </c>
      <c r="Q102" s="64">
        <f>VLOOKUP($B102,'7. PGE_Efficacité'!$A$6:$CY$266,(MATCH('[3]4.4 ACE MAX SEN '!Q$4,'7. PGE_Efficacité'!$A$4:$AO$4,0)),0)</f>
        <v>0</v>
      </c>
      <c r="R102" s="64">
        <f>VLOOKUP($B102,'7. PGE_Efficacité'!$A$6:$CY$266,(MATCH('[3]4.4 ACE MAX SEN '!R$4,'7. PGE_Efficacité'!$A$4:$AO$4,0)),0)</f>
        <v>0</v>
      </c>
      <c r="S102" s="64">
        <f>VLOOKUP($B102,'7. PGE_Efficacité'!$A$6:$CY$266,(MATCH('[3]4.4 ACE MAX SEN '!S$4,'7. PGE_Efficacité'!$A$4:$AO$4,0)),0)</f>
        <v>0</v>
      </c>
      <c r="T102" s="64">
        <f>VLOOKUP($B102,'7. PGE_Efficacité'!$A$6:$CY$266,(MATCH('[3]4.4 ACE MAX SEN '!T$4,'7. PGE_Efficacité'!$A$4:$AO$4,0)),0)</f>
        <v>0</v>
      </c>
      <c r="U102" s="64">
        <f>VLOOKUP($B102,'7. PGE_Efficacité'!$A$6:$CY$266,(MATCH('[3]4.4 ACE MAX SEN '!U$4,'7. PGE_Efficacité'!$A$4:$AO$4,0)),0)</f>
        <v>0</v>
      </c>
      <c r="V102" s="64">
        <f>VLOOKUP($B102,'7. PGE_Efficacité'!$A$6:$CY$266,(MATCH('[3]4.4 ACE MAX SEN '!V$4,'7. PGE_Efficacité'!$A$4:$AO$4,0)),0)</f>
        <v>0</v>
      </c>
      <c r="W102" s="61">
        <f>VLOOKUP($B102,'7. PGE_Efficacité'!$A$6:$CY$266,(MATCH('[3]4.4 ACE MAX SEN '!W$4,'7. PGE_Efficacité'!$A$4:$AO$4,0)),0)</f>
        <v>0</v>
      </c>
      <c r="X102" s="61">
        <f>VLOOKUP($B102,'7. PGE_Efficacité'!$A$6:$CY$266,(MATCH('[3]4.4 ACE MAX SEN '!X$4,'7. PGE_Efficacité'!$A$4:$AO$4,0)),0)</f>
        <v>0</v>
      </c>
      <c r="Y102" s="61">
        <f>VLOOKUP($B102,'7. PGE_Efficacité'!$A$6:$CY$266,(MATCH('[3]4.4 ACE MAX SEN '!Y$4,'7. PGE_Efficacité'!$A$4:$AO$4,0)),0)</f>
        <v>0</v>
      </c>
      <c r="Z102" s="61">
        <f>VLOOKUP($B102,'7. PGE_Efficacité'!$A$6:$CY$266,(MATCH('[3]4.4 ACE MAX SEN '!Z$4,'7. PGE_Efficacité'!$A$4:$AO$4,0)),0)</f>
        <v>0</v>
      </c>
      <c r="AA102" s="61">
        <f>VLOOKUP($B102,'7. PGE_Efficacité'!$A$6:$CY$266,(MATCH('[3]4.4 ACE MAX SEN '!AA$4,'7. PGE_Efficacité'!$A$4:$AO$4,0)),0)</f>
        <v>0</v>
      </c>
      <c r="AB102" s="61">
        <f>VLOOKUP($B102,'7. PGE_Efficacité'!$A$6:$CY$266,(MATCH('[3]4.4 ACE MAX SEN '!AB$4,'7. PGE_Efficacité'!$A$4:$AO$4,0)),0)</f>
        <v>0</v>
      </c>
      <c r="AC102" s="61">
        <f>VLOOKUP($B102,'7. PGE_Efficacité'!$A$6:$CY$266,(MATCH('[3]4.4 ACE MAX SEN '!AC$4,'7. PGE_Efficacité'!$A$4:$AO$4,0)),0)</f>
        <v>0</v>
      </c>
      <c r="AD102" s="61">
        <f>VLOOKUP($B102,'7. PGE_Efficacité'!$A$6:$CY$266,(MATCH('[3]4.4 ACE MAX SEN '!AD$4,'7. PGE_Efficacité'!$A$4:$AO$4,0)),0)</f>
        <v>0</v>
      </c>
      <c r="AE102" s="61">
        <f>VLOOKUP($B102,'7. PGE_Efficacité'!$A$6:$CY$266,(MATCH('[3]4.4 ACE MAX SEN '!AE$4,'7. PGE_Efficacité'!$A$4:$AO$4,0)),0)</f>
        <v>0</v>
      </c>
      <c r="AF102" s="61">
        <f>VLOOKUP($B102,'7. PGE_Efficacité'!$A$6:$CY$266,(MATCH('[3]4.4 ACE MAX SEN '!AF$4,'7. PGE_Efficacité'!$A$4:$AO$4,0)),0)</f>
        <v>0</v>
      </c>
      <c r="AG102" s="61">
        <f>VLOOKUP($B102,'7. PGE_Efficacité'!$A$6:$CY$266,(MATCH('[3]4.4 ACE MAX SEN '!AG$4,'7. PGE_Efficacité'!$A$4:$AO$4,0)),0)</f>
        <v>0</v>
      </c>
      <c r="AH102" s="61">
        <f>VLOOKUP($B102,'7. PGE_Efficacité'!$A$6:$CY$266,(MATCH('[3]4.4 ACE MAX SEN '!AH$4,'7. PGE_Efficacité'!$A$4:$AO$4,0)),0)</f>
        <v>0</v>
      </c>
      <c r="AI102" s="61">
        <f>VLOOKUP($B102,'7. PGE_Efficacité'!$A$6:$CY$266,(MATCH('[3]4.4 ACE MAX SEN '!AI$4,'7. PGE_Efficacité'!$A$4:$AO$4,0)),0)</f>
        <v>0</v>
      </c>
      <c r="AJ102" s="61">
        <f>VLOOKUP($B102,'7. PGE_Efficacité'!$A$6:$CY$266,(MATCH('[3]4.4 ACE MAX SEN '!AJ$4,'7. PGE_Efficacité'!$A$4:$AO$4,0)),0)</f>
        <v>0</v>
      </c>
      <c r="AK102" s="61">
        <f>VLOOKUP($B102,'7. PGE_Efficacité'!$A$6:$CY$266,(MATCH('[3]4.4 ACE MAX SEN '!AK$4,'7. PGE_Efficacité'!$A$4:$AO$4,0)),0)</f>
        <v>0</v>
      </c>
    </row>
    <row r="103" spans="1:37" hidden="1" outlineLevel="2" x14ac:dyDescent="0.25">
      <c r="A103" s="65" t="s">
        <v>10</v>
      </c>
      <c r="B103" s="65" t="s">
        <v>655</v>
      </c>
      <c r="C103" s="65" t="s">
        <v>1315</v>
      </c>
      <c r="D103" s="65" t="s">
        <v>1520</v>
      </c>
      <c r="E103" s="65" t="s">
        <v>415</v>
      </c>
      <c r="F103" s="70"/>
      <c r="G103" s="64">
        <f>VLOOKUP($B103,'7. PGE_Efficacité'!$A$6:$CY$266,(MATCH('[3]4.4 ACE MAX SEN '!G$4,'7. PGE_Efficacité'!$A$4:$AO$4,0)),0)</f>
        <v>0</v>
      </c>
      <c r="H103" s="64">
        <f>VLOOKUP($B103,'7. PGE_Efficacité'!$A$6:$CY$266,(MATCH('[3]4.4 ACE MAX SEN '!H$4,'7. PGE_Efficacité'!$A$4:$AO$4,0)),0)</f>
        <v>0</v>
      </c>
      <c r="I103" s="64">
        <f>VLOOKUP($B103,'7. PGE_Efficacité'!$A$6:$CY$266,(MATCH('[3]4.4 ACE MAX SEN '!I$4,'7. PGE_Efficacité'!$A$4:$AO$4,0)),0)</f>
        <v>0</v>
      </c>
      <c r="J103" s="64">
        <f>VLOOKUP($B103,'7. PGE_Efficacité'!$A$6:$CY$266,(MATCH('[3]4.4 ACE MAX SEN '!J$4,'7. PGE_Efficacité'!$A$4:$AO$4,0)),0)</f>
        <v>0</v>
      </c>
      <c r="K103" s="64">
        <f>VLOOKUP($B103,'7. PGE_Efficacité'!$A$6:$CY$266,(MATCH('[3]4.4 ACE MAX SEN '!K$4,'7. PGE_Efficacité'!$A$4:$AO$4,0)),0)</f>
        <v>0</v>
      </c>
      <c r="L103" s="64">
        <f>VLOOKUP($B103,'7. PGE_Efficacité'!$A$6:$CY$266,(MATCH('[3]4.4 ACE MAX SEN '!L$4,'7. PGE_Efficacité'!$A$4:$AO$4,0)),0)</f>
        <v>0</v>
      </c>
      <c r="M103" s="64">
        <f>VLOOKUP($B103,'7. PGE_Efficacité'!$A$6:$CY$266,(MATCH('[3]4.4 ACE MAX SEN '!M$4,'7. PGE_Efficacité'!$A$4:$AO$4,0)),0)</f>
        <v>0</v>
      </c>
      <c r="N103" s="64">
        <f>VLOOKUP($B103,'7. PGE_Efficacité'!$A$6:$CY$266,(MATCH('[3]4.4 ACE MAX SEN '!N$4,'7. PGE_Efficacité'!$A$4:$AO$4,0)),0)</f>
        <v>0</v>
      </c>
      <c r="O103" s="64">
        <f>VLOOKUP($B103,'7. PGE_Efficacité'!$A$6:$CY$266,(MATCH('[3]4.4 ACE MAX SEN '!O$4,'7. PGE_Efficacité'!$A$4:$AO$4,0)),0)</f>
        <v>0</v>
      </c>
      <c r="P103" s="64">
        <f>VLOOKUP($B103,'7. PGE_Efficacité'!$A$6:$CY$266,(MATCH('[3]4.4 ACE MAX SEN '!P$4,'7. PGE_Efficacité'!$A$4:$AO$4,0)),0)</f>
        <v>0</v>
      </c>
      <c r="Q103" s="64">
        <f>VLOOKUP($B103,'7. PGE_Efficacité'!$A$6:$CY$266,(MATCH('[3]4.4 ACE MAX SEN '!Q$4,'7. PGE_Efficacité'!$A$4:$AO$4,0)),0)</f>
        <v>0</v>
      </c>
      <c r="R103" s="64">
        <f>VLOOKUP($B103,'7. PGE_Efficacité'!$A$6:$CY$266,(MATCH('[3]4.4 ACE MAX SEN '!R$4,'7. PGE_Efficacité'!$A$4:$AO$4,0)),0)</f>
        <v>0</v>
      </c>
      <c r="S103" s="64">
        <f>VLOOKUP($B103,'7. PGE_Efficacité'!$A$6:$CY$266,(MATCH('[3]4.4 ACE MAX SEN '!S$4,'7. PGE_Efficacité'!$A$4:$AO$4,0)),0)</f>
        <v>0</v>
      </c>
      <c r="T103" s="64">
        <f>VLOOKUP($B103,'7. PGE_Efficacité'!$A$6:$CY$266,(MATCH('[3]4.4 ACE MAX SEN '!T$4,'7. PGE_Efficacité'!$A$4:$AO$4,0)),0)</f>
        <v>0</v>
      </c>
      <c r="U103" s="64">
        <f>VLOOKUP($B103,'7. PGE_Efficacité'!$A$6:$CY$266,(MATCH('[3]4.4 ACE MAX SEN '!U$4,'7. PGE_Efficacité'!$A$4:$AO$4,0)),0)</f>
        <v>0</v>
      </c>
      <c r="V103" s="64">
        <f>VLOOKUP($B103,'7. PGE_Efficacité'!$A$6:$CY$266,(MATCH('[3]4.4 ACE MAX SEN '!V$4,'7. PGE_Efficacité'!$A$4:$AO$4,0)),0)</f>
        <v>0</v>
      </c>
      <c r="W103" s="61">
        <f>VLOOKUP($B103,'7. PGE_Efficacité'!$A$6:$CY$266,(MATCH('[3]4.4 ACE MAX SEN '!W$4,'7. PGE_Efficacité'!$A$4:$AO$4,0)),0)</f>
        <v>0</v>
      </c>
      <c r="X103" s="61">
        <f>VLOOKUP($B103,'7. PGE_Efficacité'!$A$6:$CY$266,(MATCH('[3]4.4 ACE MAX SEN '!X$4,'7. PGE_Efficacité'!$A$4:$AO$4,0)),0)</f>
        <v>0</v>
      </c>
      <c r="Y103" s="61">
        <f>VLOOKUP($B103,'7. PGE_Efficacité'!$A$6:$CY$266,(MATCH('[3]4.4 ACE MAX SEN '!Y$4,'7. PGE_Efficacité'!$A$4:$AO$4,0)),0)</f>
        <v>0</v>
      </c>
      <c r="Z103" s="61">
        <f>VLOOKUP($B103,'7. PGE_Efficacité'!$A$6:$CY$266,(MATCH('[3]4.4 ACE MAX SEN '!Z$4,'7. PGE_Efficacité'!$A$4:$AO$4,0)),0)</f>
        <v>0</v>
      </c>
      <c r="AA103" s="61">
        <f>VLOOKUP($B103,'7. PGE_Efficacité'!$A$6:$CY$266,(MATCH('[3]4.4 ACE MAX SEN '!AA$4,'7. PGE_Efficacité'!$A$4:$AO$4,0)),0)</f>
        <v>0</v>
      </c>
      <c r="AB103" s="61">
        <f>VLOOKUP($B103,'7. PGE_Efficacité'!$A$6:$CY$266,(MATCH('[3]4.4 ACE MAX SEN '!AB$4,'7. PGE_Efficacité'!$A$4:$AO$4,0)),0)</f>
        <v>0</v>
      </c>
      <c r="AC103" s="61">
        <f>VLOOKUP($B103,'7. PGE_Efficacité'!$A$6:$CY$266,(MATCH('[3]4.4 ACE MAX SEN '!AC$4,'7. PGE_Efficacité'!$A$4:$AO$4,0)),0)</f>
        <v>0</v>
      </c>
      <c r="AD103" s="61">
        <f>VLOOKUP($B103,'7. PGE_Efficacité'!$A$6:$CY$266,(MATCH('[3]4.4 ACE MAX SEN '!AD$4,'7. PGE_Efficacité'!$A$4:$AO$4,0)),0)</f>
        <v>0</v>
      </c>
      <c r="AE103" s="61">
        <f>VLOOKUP($B103,'7. PGE_Efficacité'!$A$6:$CY$266,(MATCH('[3]4.4 ACE MAX SEN '!AE$4,'7. PGE_Efficacité'!$A$4:$AO$4,0)),0)</f>
        <v>0</v>
      </c>
      <c r="AF103" s="61">
        <f>VLOOKUP($B103,'7. PGE_Efficacité'!$A$6:$CY$266,(MATCH('[3]4.4 ACE MAX SEN '!AF$4,'7. PGE_Efficacité'!$A$4:$AO$4,0)),0)</f>
        <v>0</v>
      </c>
      <c r="AG103" s="61">
        <f>VLOOKUP($B103,'7. PGE_Efficacité'!$A$6:$CY$266,(MATCH('[3]4.4 ACE MAX SEN '!AG$4,'7. PGE_Efficacité'!$A$4:$AO$4,0)),0)</f>
        <v>0</v>
      </c>
      <c r="AH103" s="61">
        <f>VLOOKUP($B103,'7. PGE_Efficacité'!$A$6:$CY$266,(MATCH('[3]4.4 ACE MAX SEN '!AH$4,'7. PGE_Efficacité'!$A$4:$AO$4,0)),0)</f>
        <v>0</v>
      </c>
      <c r="AI103" s="61">
        <f>VLOOKUP($B103,'7. PGE_Efficacité'!$A$6:$CY$266,(MATCH('[3]4.4 ACE MAX SEN '!AI$4,'7. PGE_Efficacité'!$A$4:$AO$4,0)),0)</f>
        <v>0</v>
      </c>
      <c r="AJ103" s="61">
        <f>VLOOKUP($B103,'7. PGE_Efficacité'!$A$6:$CY$266,(MATCH('[3]4.4 ACE MAX SEN '!AJ$4,'7. PGE_Efficacité'!$A$4:$AO$4,0)),0)</f>
        <v>0</v>
      </c>
      <c r="AK103" s="61">
        <f>VLOOKUP($B103,'7. PGE_Efficacité'!$A$6:$CY$266,(MATCH('[3]4.4 ACE MAX SEN '!AK$4,'7. PGE_Efficacité'!$A$4:$AO$4,0)),0)</f>
        <v>0</v>
      </c>
    </row>
    <row r="104" spans="1:37" hidden="1" outlineLevel="2" x14ac:dyDescent="0.25">
      <c r="A104" s="65" t="s">
        <v>10</v>
      </c>
      <c r="B104" s="65" t="s">
        <v>656</v>
      </c>
      <c r="C104" s="65" t="s">
        <v>1316</v>
      </c>
      <c r="D104" s="65" t="s">
        <v>1520</v>
      </c>
      <c r="E104" s="65" t="s">
        <v>415</v>
      </c>
      <c r="F104" s="70"/>
      <c r="G104" s="64">
        <f>VLOOKUP($B104,'7. PGE_Efficacité'!$A$6:$CY$266,(MATCH('[3]4.4 ACE MAX SEN '!G$4,'7. PGE_Efficacité'!$A$4:$AO$4,0)),0)</f>
        <v>0</v>
      </c>
      <c r="H104" s="64">
        <f>VLOOKUP($B104,'7. PGE_Efficacité'!$A$6:$CY$266,(MATCH('[3]4.4 ACE MAX SEN '!H$4,'7. PGE_Efficacité'!$A$4:$AO$4,0)),0)</f>
        <v>0</v>
      </c>
      <c r="I104" s="64">
        <f>VLOOKUP($B104,'7. PGE_Efficacité'!$A$6:$CY$266,(MATCH('[3]4.4 ACE MAX SEN '!I$4,'7. PGE_Efficacité'!$A$4:$AO$4,0)),0)</f>
        <v>0</v>
      </c>
      <c r="J104" s="64">
        <f>VLOOKUP($B104,'7. PGE_Efficacité'!$A$6:$CY$266,(MATCH('[3]4.4 ACE MAX SEN '!J$4,'7. PGE_Efficacité'!$A$4:$AO$4,0)),0)</f>
        <v>0</v>
      </c>
      <c r="K104" s="64">
        <f>VLOOKUP($B104,'7. PGE_Efficacité'!$A$6:$CY$266,(MATCH('[3]4.4 ACE MAX SEN '!K$4,'7. PGE_Efficacité'!$A$4:$AO$4,0)),0)</f>
        <v>0</v>
      </c>
      <c r="L104" s="64">
        <f>VLOOKUP($B104,'7. PGE_Efficacité'!$A$6:$CY$266,(MATCH('[3]4.4 ACE MAX SEN '!L$4,'7. PGE_Efficacité'!$A$4:$AO$4,0)),0)</f>
        <v>0</v>
      </c>
      <c r="M104" s="64">
        <f>VLOOKUP($B104,'7. PGE_Efficacité'!$A$6:$CY$266,(MATCH('[3]4.4 ACE MAX SEN '!M$4,'7. PGE_Efficacité'!$A$4:$AO$4,0)),0)</f>
        <v>0</v>
      </c>
      <c r="N104" s="64">
        <f>VLOOKUP($B104,'7. PGE_Efficacité'!$A$6:$CY$266,(MATCH('[3]4.4 ACE MAX SEN '!N$4,'7. PGE_Efficacité'!$A$4:$AO$4,0)),0)</f>
        <v>0</v>
      </c>
      <c r="O104" s="64">
        <f>VLOOKUP($B104,'7. PGE_Efficacité'!$A$6:$CY$266,(MATCH('[3]4.4 ACE MAX SEN '!O$4,'7. PGE_Efficacité'!$A$4:$AO$4,0)),0)</f>
        <v>0</v>
      </c>
      <c r="P104" s="64">
        <f>VLOOKUP($B104,'7. PGE_Efficacité'!$A$6:$CY$266,(MATCH('[3]4.4 ACE MAX SEN '!P$4,'7. PGE_Efficacité'!$A$4:$AO$4,0)),0)</f>
        <v>0</v>
      </c>
      <c r="Q104" s="64">
        <f>VLOOKUP($B104,'7. PGE_Efficacité'!$A$6:$CY$266,(MATCH('[3]4.4 ACE MAX SEN '!Q$4,'7. PGE_Efficacité'!$A$4:$AO$4,0)),0)</f>
        <v>0</v>
      </c>
      <c r="R104" s="64">
        <f>VLOOKUP($B104,'7. PGE_Efficacité'!$A$6:$CY$266,(MATCH('[3]4.4 ACE MAX SEN '!R$4,'7. PGE_Efficacité'!$A$4:$AO$4,0)),0)</f>
        <v>0</v>
      </c>
      <c r="S104" s="64">
        <f>VLOOKUP($B104,'7. PGE_Efficacité'!$A$6:$CY$266,(MATCH('[3]4.4 ACE MAX SEN '!S$4,'7. PGE_Efficacité'!$A$4:$AO$4,0)),0)</f>
        <v>0</v>
      </c>
      <c r="T104" s="64">
        <f>VLOOKUP($B104,'7. PGE_Efficacité'!$A$6:$CY$266,(MATCH('[3]4.4 ACE MAX SEN '!T$4,'7. PGE_Efficacité'!$A$4:$AO$4,0)),0)</f>
        <v>0</v>
      </c>
      <c r="U104" s="64">
        <f>VLOOKUP($B104,'7. PGE_Efficacité'!$A$6:$CY$266,(MATCH('[3]4.4 ACE MAX SEN '!U$4,'7. PGE_Efficacité'!$A$4:$AO$4,0)),0)</f>
        <v>0</v>
      </c>
      <c r="V104" s="64">
        <f>VLOOKUP($B104,'7. PGE_Efficacité'!$A$6:$CY$266,(MATCH('[3]4.4 ACE MAX SEN '!V$4,'7. PGE_Efficacité'!$A$4:$AO$4,0)),0)</f>
        <v>0</v>
      </c>
      <c r="W104" s="61">
        <f>VLOOKUP($B104,'7. PGE_Efficacité'!$A$6:$CY$266,(MATCH('[3]4.4 ACE MAX SEN '!W$4,'7. PGE_Efficacité'!$A$4:$AO$4,0)),0)</f>
        <v>0</v>
      </c>
      <c r="X104" s="61">
        <f>VLOOKUP($B104,'7. PGE_Efficacité'!$A$6:$CY$266,(MATCH('[3]4.4 ACE MAX SEN '!X$4,'7. PGE_Efficacité'!$A$4:$AO$4,0)),0)</f>
        <v>0</v>
      </c>
      <c r="Y104" s="61">
        <f>VLOOKUP($B104,'7. PGE_Efficacité'!$A$6:$CY$266,(MATCH('[3]4.4 ACE MAX SEN '!Y$4,'7. PGE_Efficacité'!$A$4:$AO$4,0)),0)</f>
        <v>0</v>
      </c>
      <c r="Z104" s="61">
        <f>VLOOKUP($B104,'7. PGE_Efficacité'!$A$6:$CY$266,(MATCH('[3]4.4 ACE MAX SEN '!Z$4,'7. PGE_Efficacité'!$A$4:$AO$4,0)),0)</f>
        <v>0</v>
      </c>
      <c r="AA104" s="61">
        <f>VLOOKUP($B104,'7. PGE_Efficacité'!$A$6:$CY$266,(MATCH('[3]4.4 ACE MAX SEN '!AA$4,'7. PGE_Efficacité'!$A$4:$AO$4,0)),0)</f>
        <v>0</v>
      </c>
      <c r="AB104" s="61">
        <f>VLOOKUP($B104,'7. PGE_Efficacité'!$A$6:$CY$266,(MATCH('[3]4.4 ACE MAX SEN '!AB$4,'7. PGE_Efficacité'!$A$4:$AO$4,0)),0)</f>
        <v>0</v>
      </c>
      <c r="AC104" s="61">
        <f>VLOOKUP($B104,'7. PGE_Efficacité'!$A$6:$CY$266,(MATCH('[3]4.4 ACE MAX SEN '!AC$4,'7. PGE_Efficacité'!$A$4:$AO$4,0)),0)</f>
        <v>0</v>
      </c>
      <c r="AD104" s="61">
        <f>VLOOKUP($B104,'7. PGE_Efficacité'!$A$6:$CY$266,(MATCH('[3]4.4 ACE MAX SEN '!AD$4,'7. PGE_Efficacité'!$A$4:$AO$4,0)),0)</f>
        <v>0</v>
      </c>
      <c r="AE104" s="61">
        <f>VLOOKUP($B104,'7. PGE_Efficacité'!$A$6:$CY$266,(MATCH('[3]4.4 ACE MAX SEN '!AE$4,'7. PGE_Efficacité'!$A$4:$AO$4,0)),0)</f>
        <v>0</v>
      </c>
      <c r="AF104" s="61">
        <f>VLOOKUP($B104,'7. PGE_Efficacité'!$A$6:$CY$266,(MATCH('[3]4.4 ACE MAX SEN '!AF$4,'7. PGE_Efficacité'!$A$4:$AO$4,0)),0)</f>
        <v>0</v>
      </c>
      <c r="AG104" s="61">
        <f>VLOOKUP($B104,'7. PGE_Efficacité'!$A$6:$CY$266,(MATCH('[3]4.4 ACE MAX SEN '!AG$4,'7. PGE_Efficacité'!$A$4:$AO$4,0)),0)</f>
        <v>0</v>
      </c>
      <c r="AH104" s="61">
        <f>VLOOKUP($B104,'7. PGE_Efficacité'!$A$6:$CY$266,(MATCH('[3]4.4 ACE MAX SEN '!AH$4,'7. PGE_Efficacité'!$A$4:$AO$4,0)),0)</f>
        <v>0</v>
      </c>
      <c r="AI104" s="61">
        <f>VLOOKUP($B104,'7. PGE_Efficacité'!$A$6:$CY$266,(MATCH('[3]4.4 ACE MAX SEN '!AI$4,'7. PGE_Efficacité'!$A$4:$AO$4,0)),0)</f>
        <v>0</v>
      </c>
      <c r="AJ104" s="61">
        <f>VLOOKUP($B104,'7. PGE_Efficacité'!$A$6:$CY$266,(MATCH('[3]4.4 ACE MAX SEN '!AJ$4,'7. PGE_Efficacité'!$A$4:$AO$4,0)),0)</f>
        <v>0</v>
      </c>
      <c r="AK104" s="61">
        <f>VLOOKUP($B104,'7. PGE_Efficacité'!$A$6:$CY$266,(MATCH('[3]4.4 ACE MAX SEN '!AK$4,'7. PGE_Efficacité'!$A$4:$AO$4,0)),0)</f>
        <v>0</v>
      </c>
    </row>
    <row r="105" spans="1:37" hidden="1" outlineLevel="2" x14ac:dyDescent="0.25">
      <c r="A105" s="65" t="s">
        <v>10</v>
      </c>
      <c r="B105" s="65" t="s">
        <v>665</v>
      </c>
      <c r="C105" s="65" t="s">
        <v>1325</v>
      </c>
      <c r="D105" s="65" t="s">
        <v>1520</v>
      </c>
      <c r="E105" s="65" t="s">
        <v>415</v>
      </c>
      <c r="F105" s="70"/>
      <c r="G105" s="64">
        <f>VLOOKUP($B105,'7. PGE_Efficacité'!$A$6:$CY$266,(MATCH('[3]4.4 ACE MAX SEN '!G$4,'7. PGE_Efficacité'!$A$4:$AO$4,0)),0)</f>
        <v>0</v>
      </c>
      <c r="H105" s="64">
        <f>VLOOKUP($B105,'7. PGE_Efficacité'!$A$6:$CY$266,(MATCH('[3]4.4 ACE MAX SEN '!H$4,'7. PGE_Efficacité'!$A$4:$AO$4,0)),0)</f>
        <v>0</v>
      </c>
      <c r="I105" s="64">
        <f>VLOOKUP($B105,'7. PGE_Efficacité'!$A$6:$CY$266,(MATCH('[3]4.4 ACE MAX SEN '!I$4,'7. PGE_Efficacité'!$A$4:$AO$4,0)),0)</f>
        <v>0</v>
      </c>
      <c r="J105" s="64">
        <f>VLOOKUP($B105,'7. PGE_Efficacité'!$A$6:$CY$266,(MATCH('[3]4.4 ACE MAX SEN '!J$4,'7. PGE_Efficacité'!$A$4:$AO$4,0)),0)</f>
        <v>0</v>
      </c>
      <c r="K105" s="64">
        <f>VLOOKUP($B105,'7. PGE_Efficacité'!$A$6:$CY$266,(MATCH('[3]4.4 ACE MAX SEN '!K$4,'7. PGE_Efficacité'!$A$4:$AO$4,0)),0)</f>
        <v>0</v>
      </c>
      <c r="L105" s="64">
        <f>VLOOKUP($B105,'7. PGE_Efficacité'!$A$6:$CY$266,(MATCH('[3]4.4 ACE MAX SEN '!L$4,'7. PGE_Efficacité'!$A$4:$AO$4,0)),0)</f>
        <v>0</v>
      </c>
      <c r="M105" s="64">
        <f>VLOOKUP($B105,'7. PGE_Efficacité'!$A$6:$CY$266,(MATCH('[3]4.4 ACE MAX SEN '!M$4,'7. PGE_Efficacité'!$A$4:$AO$4,0)),0)</f>
        <v>0</v>
      </c>
      <c r="N105" s="64">
        <f>VLOOKUP($B105,'7. PGE_Efficacité'!$A$6:$CY$266,(MATCH('[3]4.4 ACE MAX SEN '!N$4,'7. PGE_Efficacité'!$A$4:$AO$4,0)),0)</f>
        <v>0</v>
      </c>
      <c r="O105" s="64">
        <f>VLOOKUP($B105,'7. PGE_Efficacité'!$A$6:$CY$266,(MATCH('[3]4.4 ACE MAX SEN '!O$4,'7. PGE_Efficacité'!$A$4:$AO$4,0)),0)</f>
        <v>0</v>
      </c>
      <c r="P105" s="64">
        <f>VLOOKUP($B105,'7. PGE_Efficacité'!$A$6:$CY$266,(MATCH('[3]4.4 ACE MAX SEN '!P$4,'7. PGE_Efficacité'!$A$4:$AO$4,0)),0)</f>
        <v>0</v>
      </c>
      <c r="Q105" s="64">
        <f>VLOOKUP($B105,'7. PGE_Efficacité'!$A$6:$CY$266,(MATCH('[3]4.4 ACE MAX SEN '!Q$4,'7. PGE_Efficacité'!$A$4:$AO$4,0)),0)</f>
        <v>0</v>
      </c>
      <c r="R105" s="64">
        <f>VLOOKUP($B105,'7. PGE_Efficacité'!$A$6:$CY$266,(MATCH('[3]4.4 ACE MAX SEN '!R$4,'7. PGE_Efficacité'!$A$4:$AO$4,0)),0)</f>
        <v>0</v>
      </c>
      <c r="S105" s="64">
        <f>VLOOKUP($B105,'7. PGE_Efficacité'!$A$6:$CY$266,(MATCH('[3]4.4 ACE MAX SEN '!S$4,'7. PGE_Efficacité'!$A$4:$AO$4,0)),0)</f>
        <v>0</v>
      </c>
      <c r="T105" s="64">
        <f>VLOOKUP($B105,'7. PGE_Efficacité'!$A$6:$CY$266,(MATCH('[3]4.4 ACE MAX SEN '!T$4,'7. PGE_Efficacité'!$A$4:$AO$4,0)),0)</f>
        <v>0</v>
      </c>
      <c r="U105" s="64">
        <f>VLOOKUP($B105,'7. PGE_Efficacité'!$A$6:$CY$266,(MATCH('[3]4.4 ACE MAX SEN '!U$4,'7. PGE_Efficacité'!$A$4:$AO$4,0)),0)</f>
        <v>0</v>
      </c>
      <c r="V105" s="64">
        <f>VLOOKUP($B105,'7. PGE_Efficacité'!$A$6:$CY$266,(MATCH('[3]4.4 ACE MAX SEN '!V$4,'7. PGE_Efficacité'!$A$4:$AO$4,0)),0)</f>
        <v>0</v>
      </c>
      <c r="W105" s="61">
        <f>VLOOKUP($B105,'7. PGE_Efficacité'!$A$6:$CY$266,(MATCH('[3]4.4 ACE MAX SEN '!W$4,'7. PGE_Efficacité'!$A$4:$AO$4,0)),0)</f>
        <v>0</v>
      </c>
      <c r="X105" s="61">
        <f>VLOOKUP($B105,'7. PGE_Efficacité'!$A$6:$CY$266,(MATCH('[3]4.4 ACE MAX SEN '!X$4,'7. PGE_Efficacité'!$A$4:$AO$4,0)),0)</f>
        <v>0</v>
      </c>
      <c r="Y105" s="61">
        <f>VLOOKUP($B105,'7. PGE_Efficacité'!$A$6:$CY$266,(MATCH('[3]4.4 ACE MAX SEN '!Y$4,'7. PGE_Efficacité'!$A$4:$AO$4,0)),0)</f>
        <v>0</v>
      </c>
      <c r="Z105" s="61">
        <f>VLOOKUP($B105,'7. PGE_Efficacité'!$A$6:$CY$266,(MATCH('[3]4.4 ACE MAX SEN '!Z$4,'7. PGE_Efficacité'!$A$4:$AO$4,0)),0)</f>
        <v>0</v>
      </c>
      <c r="AA105" s="61">
        <f>VLOOKUP($B105,'7. PGE_Efficacité'!$A$6:$CY$266,(MATCH('[3]4.4 ACE MAX SEN '!AA$4,'7. PGE_Efficacité'!$A$4:$AO$4,0)),0)</f>
        <v>0</v>
      </c>
      <c r="AB105" s="61">
        <f>VLOOKUP($B105,'7. PGE_Efficacité'!$A$6:$CY$266,(MATCH('[3]4.4 ACE MAX SEN '!AB$4,'7. PGE_Efficacité'!$A$4:$AO$4,0)),0)</f>
        <v>0</v>
      </c>
      <c r="AC105" s="61">
        <f>VLOOKUP($B105,'7. PGE_Efficacité'!$A$6:$CY$266,(MATCH('[3]4.4 ACE MAX SEN '!AC$4,'7. PGE_Efficacité'!$A$4:$AO$4,0)),0)</f>
        <v>0</v>
      </c>
      <c r="AD105" s="61">
        <f>VLOOKUP($B105,'7. PGE_Efficacité'!$A$6:$CY$266,(MATCH('[3]4.4 ACE MAX SEN '!AD$4,'7. PGE_Efficacité'!$A$4:$AO$4,0)),0)</f>
        <v>0</v>
      </c>
      <c r="AE105" s="61">
        <f>VLOOKUP($B105,'7. PGE_Efficacité'!$A$6:$CY$266,(MATCH('[3]4.4 ACE MAX SEN '!AE$4,'7. PGE_Efficacité'!$A$4:$AO$4,0)),0)</f>
        <v>0</v>
      </c>
      <c r="AF105" s="61">
        <f>VLOOKUP($B105,'7. PGE_Efficacité'!$A$6:$CY$266,(MATCH('[3]4.4 ACE MAX SEN '!AF$4,'7. PGE_Efficacité'!$A$4:$AO$4,0)),0)</f>
        <v>0</v>
      </c>
      <c r="AG105" s="61">
        <f>VLOOKUP($B105,'7. PGE_Efficacité'!$A$6:$CY$266,(MATCH('[3]4.4 ACE MAX SEN '!AG$4,'7. PGE_Efficacité'!$A$4:$AO$4,0)),0)</f>
        <v>0</v>
      </c>
      <c r="AH105" s="61">
        <f>VLOOKUP($B105,'7. PGE_Efficacité'!$A$6:$CY$266,(MATCH('[3]4.4 ACE MAX SEN '!AH$4,'7. PGE_Efficacité'!$A$4:$AO$4,0)),0)</f>
        <v>0</v>
      </c>
      <c r="AI105" s="61">
        <f>VLOOKUP($B105,'7. PGE_Efficacité'!$A$6:$CY$266,(MATCH('[3]4.4 ACE MAX SEN '!AI$4,'7. PGE_Efficacité'!$A$4:$AO$4,0)),0)</f>
        <v>0</v>
      </c>
      <c r="AJ105" s="61">
        <f>VLOOKUP($B105,'7. PGE_Efficacité'!$A$6:$CY$266,(MATCH('[3]4.4 ACE MAX SEN '!AJ$4,'7. PGE_Efficacité'!$A$4:$AO$4,0)),0)</f>
        <v>0</v>
      </c>
      <c r="AK105" s="61">
        <f>VLOOKUP($B105,'7. PGE_Efficacité'!$A$6:$CY$266,(MATCH('[3]4.4 ACE MAX SEN '!AK$4,'7. PGE_Efficacité'!$A$4:$AO$4,0)),0)</f>
        <v>0</v>
      </c>
    </row>
    <row r="106" spans="1:37" hidden="1" outlineLevel="2" x14ac:dyDescent="0.25">
      <c r="A106" s="65" t="s">
        <v>10</v>
      </c>
      <c r="B106" s="65" t="s">
        <v>666</v>
      </c>
      <c r="C106" s="65" t="s">
        <v>1326</v>
      </c>
      <c r="D106" s="65" t="s">
        <v>1520</v>
      </c>
      <c r="E106" s="65" t="s">
        <v>415</v>
      </c>
      <c r="F106" s="70"/>
      <c r="G106" s="64">
        <f>VLOOKUP($B106,'7. PGE_Efficacité'!$A$6:$CY$266,(MATCH('[3]4.4 ACE MAX SEN '!G$4,'7. PGE_Efficacité'!$A$4:$AO$4,0)),0)</f>
        <v>0</v>
      </c>
      <c r="H106" s="64">
        <f>VLOOKUP($B106,'7. PGE_Efficacité'!$A$6:$CY$266,(MATCH('[3]4.4 ACE MAX SEN '!H$4,'7. PGE_Efficacité'!$A$4:$AO$4,0)),0)</f>
        <v>0</v>
      </c>
      <c r="I106" s="64">
        <f>VLOOKUP($B106,'7. PGE_Efficacité'!$A$6:$CY$266,(MATCH('[3]4.4 ACE MAX SEN '!I$4,'7. PGE_Efficacité'!$A$4:$AO$4,0)),0)</f>
        <v>0</v>
      </c>
      <c r="J106" s="64">
        <f>VLOOKUP($B106,'7. PGE_Efficacité'!$A$6:$CY$266,(MATCH('[3]4.4 ACE MAX SEN '!J$4,'7. PGE_Efficacité'!$A$4:$AO$4,0)),0)</f>
        <v>0</v>
      </c>
      <c r="K106" s="64">
        <f>VLOOKUP($B106,'7. PGE_Efficacité'!$A$6:$CY$266,(MATCH('[3]4.4 ACE MAX SEN '!K$4,'7. PGE_Efficacité'!$A$4:$AO$4,0)),0)</f>
        <v>0</v>
      </c>
      <c r="L106" s="64">
        <f>VLOOKUP($B106,'7. PGE_Efficacité'!$A$6:$CY$266,(MATCH('[3]4.4 ACE MAX SEN '!L$4,'7. PGE_Efficacité'!$A$4:$AO$4,0)),0)</f>
        <v>0</v>
      </c>
      <c r="M106" s="66" t="str">
        <f>VLOOKUP($B106,'7. PGE_Efficacité'!$A$6:$CY$266,(MATCH('[3]4.4 ACE MAX SEN '!M$4,'7. PGE_Efficacité'!$A$4:$AO$4,0)),0)</f>
        <v>+</v>
      </c>
      <c r="N106" s="64">
        <f>VLOOKUP($B106,'7. PGE_Efficacité'!$A$6:$CY$266,(MATCH('[3]4.4 ACE MAX SEN '!N$4,'7. PGE_Efficacité'!$A$4:$AO$4,0)),0)</f>
        <v>0</v>
      </c>
      <c r="O106" s="64">
        <f>VLOOKUP($B106,'7. PGE_Efficacité'!$A$6:$CY$266,(MATCH('[3]4.4 ACE MAX SEN '!O$4,'7. PGE_Efficacité'!$A$4:$AO$4,0)),0)</f>
        <v>0</v>
      </c>
      <c r="P106" s="64">
        <f>VLOOKUP($B106,'7. PGE_Efficacité'!$A$6:$CY$266,(MATCH('[3]4.4 ACE MAX SEN '!P$4,'7. PGE_Efficacité'!$A$4:$AO$4,0)),0)</f>
        <v>0</v>
      </c>
      <c r="Q106" s="64">
        <f>VLOOKUP($B106,'7. PGE_Efficacité'!$A$6:$CY$266,(MATCH('[3]4.4 ACE MAX SEN '!Q$4,'7. PGE_Efficacité'!$A$4:$AO$4,0)),0)</f>
        <v>0</v>
      </c>
      <c r="R106" s="64">
        <f>VLOOKUP($B106,'7. PGE_Efficacité'!$A$6:$CY$266,(MATCH('[3]4.4 ACE MAX SEN '!R$4,'7. PGE_Efficacité'!$A$4:$AO$4,0)),0)</f>
        <v>0</v>
      </c>
      <c r="S106" s="64">
        <f>VLOOKUP($B106,'7. PGE_Efficacité'!$A$6:$CY$266,(MATCH('[3]4.4 ACE MAX SEN '!S$4,'7. PGE_Efficacité'!$A$4:$AO$4,0)),0)</f>
        <v>0</v>
      </c>
      <c r="T106" s="64">
        <f>VLOOKUP($B106,'7. PGE_Efficacité'!$A$6:$CY$266,(MATCH('[3]4.4 ACE MAX SEN '!T$4,'7. PGE_Efficacité'!$A$4:$AO$4,0)),0)</f>
        <v>0</v>
      </c>
      <c r="U106" s="64">
        <f>VLOOKUP($B106,'7. PGE_Efficacité'!$A$6:$CY$266,(MATCH('[3]4.4 ACE MAX SEN '!U$4,'7. PGE_Efficacité'!$A$4:$AO$4,0)),0)</f>
        <v>0</v>
      </c>
      <c r="V106" s="66" t="str">
        <f>VLOOKUP($B106,'7. PGE_Efficacité'!$A$6:$CY$266,(MATCH('[3]4.4 ACE MAX SEN '!V$4,'7. PGE_Efficacité'!$A$4:$AO$4,0)),0)</f>
        <v>+</v>
      </c>
      <c r="W106" s="61">
        <f>VLOOKUP($B106,'7. PGE_Efficacité'!$A$6:$CY$266,(MATCH('[3]4.4 ACE MAX SEN '!W$4,'7. PGE_Efficacité'!$A$4:$AO$4,0)),0)</f>
        <v>0</v>
      </c>
      <c r="X106" s="61">
        <f>VLOOKUP($B106,'7. PGE_Efficacité'!$A$6:$CY$266,(MATCH('[3]4.4 ACE MAX SEN '!X$4,'7. PGE_Efficacité'!$A$4:$AO$4,0)),0)</f>
        <v>0</v>
      </c>
      <c r="Y106" s="61">
        <f>VLOOKUP($B106,'7. PGE_Efficacité'!$A$6:$CY$266,(MATCH('[3]4.4 ACE MAX SEN '!Y$4,'7. PGE_Efficacité'!$A$4:$AO$4,0)),0)</f>
        <v>0</v>
      </c>
      <c r="Z106" s="61">
        <f>VLOOKUP($B106,'7. PGE_Efficacité'!$A$6:$CY$266,(MATCH('[3]4.4 ACE MAX SEN '!Z$4,'7. PGE_Efficacité'!$A$4:$AO$4,0)),0)</f>
        <v>0</v>
      </c>
      <c r="AA106" s="61">
        <f>VLOOKUP($B106,'7. PGE_Efficacité'!$A$6:$CY$266,(MATCH('[3]4.4 ACE MAX SEN '!AA$4,'7. PGE_Efficacité'!$A$4:$AO$4,0)),0)</f>
        <v>0</v>
      </c>
      <c r="AB106" s="61">
        <f>VLOOKUP($B106,'7. PGE_Efficacité'!$A$6:$CY$266,(MATCH('[3]4.4 ACE MAX SEN '!AB$4,'7. PGE_Efficacité'!$A$4:$AO$4,0)),0)</f>
        <v>0</v>
      </c>
      <c r="AC106" s="61">
        <f>VLOOKUP($B106,'7. PGE_Efficacité'!$A$6:$CY$266,(MATCH('[3]4.4 ACE MAX SEN '!AC$4,'7. PGE_Efficacité'!$A$4:$AO$4,0)),0)</f>
        <v>0</v>
      </c>
      <c r="AD106" s="61">
        <f>VLOOKUP($B106,'7. PGE_Efficacité'!$A$6:$CY$266,(MATCH('[3]4.4 ACE MAX SEN '!AD$4,'7. PGE_Efficacité'!$A$4:$AO$4,0)),0)</f>
        <v>0</v>
      </c>
      <c r="AE106" s="61">
        <f>VLOOKUP($B106,'7. PGE_Efficacité'!$A$6:$CY$266,(MATCH('[3]4.4 ACE MAX SEN '!AE$4,'7. PGE_Efficacité'!$A$4:$AO$4,0)),0)</f>
        <v>0</v>
      </c>
      <c r="AF106" s="61">
        <f>VLOOKUP($B106,'7. PGE_Efficacité'!$A$6:$CY$266,(MATCH('[3]4.4 ACE MAX SEN '!AF$4,'7. PGE_Efficacité'!$A$4:$AO$4,0)),0)</f>
        <v>0</v>
      </c>
      <c r="AG106" s="61">
        <f>VLOOKUP($B106,'7. PGE_Efficacité'!$A$6:$CY$266,(MATCH('[3]4.4 ACE MAX SEN '!AG$4,'7. PGE_Efficacité'!$A$4:$AO$4,0)),0)</f>
        <v>0</v>
      </c>
      <c r="AH106" s="61">
        <f>VLOOKUP($B106,'7. PGE_Efficacité'!$A$6:$CY$266,(MATCH('[3]4.4 ACE MAX SEN '!AH$4,'7. PGE_Efficacité'!$A$4:$AO$4,0)),0)</f>
        <v>0</v>
      </c>
      <c r="AI106" s="61">
        <f>VLOOKUP($B106,'7. PGE_Efficacité'!$A$6:$CY$266,(MATCH('[3]4.4 ACE MAX SEN '!AI$4,'7. PGE_Efficacité'!$A$4:$AO$4,0)),0)</f>
        <v>0</v>
      </c>
      <c r="AJ106" s="62" t="str">
        <f>VLOOKUP($B106,'7. PGE_Efficacité'!$A$6:$CY$266,(MATCH('[3]4.4 ACE MAX SEN '!AJ$4,'7. PGE_Efficacité'!$A$4:$AO$4,0)),0)</f>
        <v>+</v>
      </c>
      <c r="AK106" s="62" t="str">
        <f>VLOOKUP($B106,'7. PGE_Efficacité'!$A$6:$CY$266,(MATCH('[3]4.4 ACE MAX SEN '!AK$4,'7. PGE_Efficacité'!$A$4:$AO$4,0)),0)</f>
        <v>+</v>
      </c>
    </row>
    <row r="107" spans="1:37" hidden="1" outlineLevel="2" x14ac:dyDescent="0.25">
      <c r="A107" s="65" t="s">
        <v>10</v>
      </c>
      <c r="B107" s="65" t="s">
        <v>667</v>
      </c>
      <c r="C107" s="65" t="s">
        <v>1327</v>
      </c>
      <c r="D107" s="65" t="s">
        <v>1520</v>
      </c>
      <c r="E107" s="65" t="s">
        <v>1290</v>
      </c>
      <c r="F107" s="70"/>
      <c r="G107" s="64">
        <f>VLOOKUP($B107,'7. PGE_Efficacité'!$A$6:$CY$266,(MATCH('[3]4.4 ACE MAX SEN '!G$4,'7. PGE_Efficacité'!$A$4:$AO$4,0)),0)</f>
        <v>0</v>
      </c>
      <c r="H107" s="64">
        <f>VLOOKUP($B107,'7. PGE_Efficacité'!$A$6:$CY$266,(MATCH('[3]4.4 ACE MAX SEN '!H$4,'7. PGE_Efficacité'!$A$4:$AO$4,0)),0)</f>
        <v>0</v>
      </c>
      <c r="I107" s="64">
        <f>VLOOKUP($B107,'7. PGE_Efficacité'!$A$6:$CY$266,(MATCH('[3]4.4 ACE MAX SEN '!I$4,'7. PGE_Efficacité'!$A$4:$AO$4,0)),0)</f>
        <v>0</v>
      </c>
      <c r="J107" s="64">
        <f>VLOOKUP($B107,'7. PGE_Efficacité'!$A$6:$CY$266,(MATCH('[3]4.4 ACE MAX SEN '!J$4,'7. PGE_Efficacité'!$A$4:$AO$4,0)),0)</f>
        <v>0</v>
      </c>
      <c r="K107" s="64">
        <f>VLOOKUP($B107,'7. PGE_Efficacité'!$A$6:$CY$266,(MATCH('[3]4.4 ACE MAX SEN '!K$4,'7. PGE_Efficacité'!$A$4:$AO$4,0)),0)</f>
        <v>0</v>
      </c>
      <c r="L107" s="64">
        <f>VLOOKUP($B107,'7. PGE_Efficacité'!$A$6:$CY$266,(MATCH('[3]4.4 ACE MAX SEN '!L$4,'7. PGE_Efficacité'!$A$4:$AO$4,0)),0)</f>
        <v>0</v>
      </c>
      <c r="M107" s="64">
        <f>VLOOKUP($B107,'7. PGE_Efficacité'!$A$6:$CY$266,(MATCH('[3]4.4 ACE MAX SEN '!M$4,'7. PGE_Efficacité'!$A$4:$AO$4,0)),0)</f>
        <v>0</v>
      </c>
      <c r="N107" s="64">
        <f>VLOOKUP($B107,'7. PGE_Efficacité'!$A$6:$CY$266,(MATCH('[3]4.4 ACE MAX SEN '!N$4,'7. PGE_Efficacité'!$A$4:$AO$4,0)),0)</f>
        <v>0</v>
      </c>
      <c r="O107" s="64">
        <f>VLOOKUP($B107,'7. PGE_Efficacité'!$A$6:$CY$266,(MATCH('[3]4.4 ACE MAX SEN '!O$4,'7. PGE_Efficacité'!$A$4:$AO$4,0)),0)</f>
        <v>0</v>
      </c>
      <c r="P107" s="64">
        <f>VLOOKUP($B107,'7. PGE_Efficacité'!$A$6:$CY$266,(MATCH('[3]4.4 ACE MAX SEN '!P$4,'7. PGE_Efficacité'!$A$4:$AO$4,0)),0)</f>
        <v>0</v>
      </c>
      <c r="Q107" s="64">
        <f>VLOOKUP($B107,'7. PGE_Efficacité'!$A$6:$CY$266,(MATCH('[3]4.4 ACE MAX SEN '!Q$4,'7. PGE_Efficacité'!$A$4:$AO$4,0)),0)</f>
        <v>0</v>
      </c>
      <c r="R107" s="64">
        <f>VLOOKUP($B107,'7. PGE_Efficacité'!$A$6:$CY$266,(MATCH('[3]4.4 ACE MAX SEN '!R$4,'7. PGE_Efficacité'!$A$4:$AO$4,0)),0)</f>
        <v>0</v>
      </c>
      <c r="S107" s="64">
        <f>VLOOKUP($B107,'7. PGE_Efficacité'!$A$6:$CY$266,(MATCH('[3]4.4 ACE MAX SEN '!S$4,'7. PGE_Efficacité'!$A$4:$AO$4,0)),0)</f>
        <v>0</v>
      </c>
      <c r="T107" s="64">
        <f>VLOOKUP($B107,'7. PGE_Efficacité'!$A$6:$CY$266,(MATCH('[3]4.4 ACE MAX SEN '!T$4,'7. PGE_Efficacité'!$A$4:$AO$4,0)),0)</f>
        <v>0</v>
      </c>
      <c r="U107" s="64">
        <f>VLOOKUP($B107,'7. PGE_Efficacité'!$A$6:$CY$266,(MATCH('[3]4.4 ACE MAX SEN '!U$4,'7. PGE_Efficacité'!$A$4:$AO$4,0)),0)</f>
        <v>0</v>
      </c>
      <c r="V107" s="64">
        <f>VLOOKUP($B107,'7. PGE_Efficacité'!$A$6:$CY$266,(MATCH('[3]4.4 ACE MAX SEN '!V$4,'7. PGE_Efficacité'!$A$4:$AO$4,0)),0)</f>
        <v>0</v>
      </c>
      <c r="W107" s="61">
        <f>VLOOKUP($B107,'7. PGE_Efficacité'!$A$6:$CY$266,(MATCH('[3]4.4 ACE MAX SEN '!W$4,'7. PGE_Efficacité'!$A$4:$AO$4,0)),0)</f>
        <v>0</v>
      </c>
      <c r="X107" s="61">
        <f>VLOOKUP($B107,'7. PGE_Efficacité'!$A$6:$CY$266,(MATCH('[3]4.4 ACE MAX SEN '!X$4,'7. PGE_Efficacité'!$A$4:$AO$4,0)),0)</f>
        <v>0</v>
      </c>
      <c r="Y107" s="61">
        <f>VLOOKUP($B107,'7. PGE_Efficacité'!$A$6:$CY$266,(MATCH('[3]4.4 ACE MAX SEN '!Y$4,'7. PGE_Efficacité'!$A$4:$AO$4,0)),0)</f>
        <v>0</v>
      </c>
      <c r="Z107" s="61">
        <f>VLOOKUP($B107,'7. PGE_Efficacité'!$A$6:$CY$266,(MATCH('[3]4.4 ACE MAX SEN '!Z$4,'7. PGE_Efficacité'!$A$4:$AO$4,0)),0)</f>
        <v>0</v>
      </c>
      <c r="AA107" s="61">
        <f>VLOOKUP($B107,'7. PGE_Efficacité'!$A$6:$CY$266,(MATCH('[3]4.4 ACE MAX SEN '!AA$4,'7. PGE_Efficacité'!$A$4:$AO$4,0)),0)</f>
        <v>0</v>
      </c>
      <c r="AB107" s="61">
        <f>VLOOKUP($B107,'7. PGE_Efficacité'!$A$6:$CY$266,(MATCH('[3]4.4 ACE MAX SEN '!AB$4,'7. PGE_Efficacité'!$A$4:$AO$4,0)),0)</f>
        <v>0</v>
      </c>
      <c r="AC107" s="61">
        <f>VLOOKUP($B107,'7. PGE_Efficacité'!$A$6:$CY$266,(MATCH('[3]4.4 ACE MAX SEN '!AC$4,'7. PGE_Efficacité'!$A$4:$AO$4,0)),0)</f>
        <v>0</v>
      </c>
      <c r="AD107" s="61">
        <f>VLOOKUP($B107,'7. PGE_Efficacité'!$A$6:$CY$266,(MATCH('[3]4.4 ACE MAX SEN '!AD$4,'7. PGE_Efficacité'!$A$4:$AO$4,0)),0)</f>
        <v>0</v>
      </c>
      <c r="AE107" s="61">
        <f>VLOOKUP($B107,'7. PGE_Efficacité'!$A$6:$CY$266,(MATCH('[3]4.4 ACE MAX SEN '!AE$4,'7. PGE_Efficacité'!$A$4:$AO$4,0)),0)</f>
        <v>0</v>
      </c>
      <c r="AF107" s="61">
        <f>VLOOKUP($B107,'7. PGE_Efficacité'!$A$6:$CY$266,(MATCH('[3]4.4 ACE MAX SEN '!AF$4,'7. PGE_Efficacité'!$A$4:$AO$4,0)),0)</f>
        <v>0</v>
      </c>
      <c r="AG107" s="61">
        <f>VLOOKUP($B107,'7. PGE_Efficacité'!$A$6:$CY$266,(MATCH('[3]4.4 ACE MAX SEN '!AG$4,'7. PGE_Efficacité'!$A$4:$AO$4,0)),0)</f>
        <v>0</v>
      </c>
      <c r="AH107" s="61">
        <f>VLOOKUP($B107,'7. PGE_Efficacité'!$A$6:$CY$266,(MATCH('[3]4.4 ACE MAX SEN '!AH$4,'7. PGE_Efficacité'!$A$4:$AO$4,0)),0)</f>
        <v>0</v>
      </c>
      <c r="AI107" s="61">
        <f>VLOOKUP($B107,'7. PGE_Efficacité'!$A$6:$CY$266,(MATCH('[3]4.4 ACE MAX SEN '!AI$4,'7. PGE_Efficacité'!$A$4:$AO$4,0)),0)</f>
        <v>0</v>
      </c>
      <c r="AJ107" s="61">
        <f>VLOOKUP($B107,'7. PGE_Efficacité'!$A$6:$CY$266,(MATCH('[3]4.4 ACE MAX SEN '!AJ$4,'7. PGE_Efficacité'!$A$4:$AO$4,0)),0)</f>
        <v>0</v>
      </c>
      <c r="AK107" s="61">
        <f>VLOOKUP($B107,'7. PGE_Efficacité'!$A$6:$CY$266,(MATCH('[3]4.4 ACE MAX SEN '!AK$4,'7. PGE_Efficacité'!$A$4:$AO$4,0)),0)</f>
        <v>0</v>
      </c>
    </row>
    <row r="108" spans="1:37" outlineLevel="1" collapsed="1" x14ac:dyDescent="0.25">
      <c r="A108" s="184" t="s">
        <v>11</v>
      </c>
      <c r="B108" s="185"/>
      <c r="C108" s="186" t="s">
        <v>227</v>
      </c>
      <c r="D108" s="185"/>
      <c r="E108" s="185"/>
      <c r="F108" s="78">
        <f>MEDIAN(VLOOKUP(A108,'4. Mesures_ACE_Budget'!$A$3:$J$31,9,0),VLOOKUP(A108,'4. Mesures_ACE_Budget'!$A$3:$J$31,10,0))</f>
        <v>363000000</v>
      </c>
      <c r="G108" s="182" t="str">
        <f>VLOOKUP($A108,'7. PGE_Efficacité'!$A$6:$CY$266,(MATCH('[2]4.4 ACE MAX SEN '!G$4,'7. PGE_Efficacité'!$A$4:$AO$4,0)),0)</f>
        <v>+++</v>
      </c>
      <c r="H108" s="182" t="str">
        <f>VLOOKUP($A108,'7. PGE_Efficacité'!$A$6:$CY$266,(MATCH('[2]4.4 ACE MAX SEN '!H$4,'7. PGE_Efficacité'!$A$4:$AO$4,0)),0)</f>
        <v>+++</v>
      </c>
      <c r="I108" s="182" t="str">
        <f>VLOOKUP($A108,'7. PGE_Efficacité'!$A$6:$CY$266,(MATCH('[2]4.4 ACE MAX SEN '!I$4,'7. PGE_Efficacité'!$A$4:$AO$4,0)),0)</f>
        <v>+++</v>
      </c>
      <c r="J108" s="182" t="str">
        <f>VLOOKUP($A108,'7. PGE_Efficacité'!$A$6:$CY$266,(MATCH('[2]4.4 ACE MAX SEN '!J$4,'7. PGE_Efficacité'!$A$4:$AO$4,0)),0)</f>
        <v>+++</v>
      </c>
      <c r="K108" s="182" t="str">
        <f>VLOOKUP($A108,'7. PGE_Efficacité'!$A$6:$CY$266,(MATCH('[2]4.4 ACE MAX SEN '!K$4,'7. PGE_Efficacité'!$A$4:$AO$4,0)),0)</f>
        <v>+++</v>
      </c>
      <c r="L108" s="182" t="str">
        <f>VLOOKUP($A108,'7. PGE_Efficacité'!$A$6:$CY$266,(MATCH('[2]4.4 ACE MAX SEN '!L$4,'7. PGE_Efficacité'!$A$4:$AO$4,0)),0)</f>
        <v>+++</v>
      </c>
      <c r="M108" s="182" t="str">
        <f>VLOOKUP($A108,'7. PGE_Efficacité'!$A$6:$CY$266,(MATCH('[2]4.4 ACE MAX SEN '!M$4,'7. PGE_Efficacité'!$A$4:$AO$4,0)),0)</f>
        <v>++</v>
      </c>
      <c r="N108" s="182" t="str">
        <f>VLOOKUP($A108,'7. PGE_Efficacité'!$A$6:$CY$266,(MATCH('[2]4.4 ACE MAX SEN '!N$4,'7. PGE_Efficacité'!$A$4:$AO$4,0)),0)</f>
        <v>+++</v>
      </c>
      <c r="O108" s="182" t="str">
        <f>VLOOKUP($A108,'7. PGE_Efficacité'!$A$6:$CY$266,(MATCH('[2]4.4 ACE MAX SEN '!O$4,'7. PGE_Efficacité'!$A$4:$AO$4,0)),0)</f>
        <v>++</v>
      </c>
      <c r="P108" s="182" t="str">
        <f>VLOOKUP($A108,'7. PGE_Efficacité'!$A$6:$CY$266,(MATCH('[2]4.4 ACE MAX SEN '!P$4,'7. PGE_Efficacité'!$A$4:$AO$4,0)),0)</f>
        <v>++</v>
      </c>
      <c r="Q108" s="182" t="str">
        <f>VLOOKUP($A108,'7. PGE_Efficacité'!$A$6:$CY$266,(MATCH('[2]4.4 ACE MAX SEN '!Q$4,'7. PGE_Efficacité'!$A$4:$AO$4,0)),0)</f>
        <v>++</v>
      </c>
      <c r="R108" s="182">
        <f>VLOOKUP($A108,'7. PGE_Efficacité'!$A$6:$CY$266,(MATCH('[2]4.4 ACE MAX SEN '!R$4,'7. PGE_Efficacité'!$A$4:$AO$4,0)),0)</f>
        <v>0</v>
      </c>
      <c r="S108" s="182" t="str">
        <f>VLOOKUP($A108,'7. PGE_Efficacité'!$A$6:$CY$266,(MATCH('[2]4.4 ACE MAX SEN '!S$4,'7. PGE_Efficacité'!$A$4:$AO$4,0)),0)</f>
        <v>++</v>
      </c>
      <c r="T108" s="182" t="str">
        <f>VLOOKUP($A108,'7. PGE_Efficacité'!$A$6:$CY$266,(MATCH('[2]4.4 ACE MAX SEN '!T$4,'7. PGE_Efficacité'!$A$4:$AO$4,0)),0)</f>
        <v>+++</v>
      </c>
      <c r="U108" s="182" t="str">
        <f>VLOOKUP($A108,'7. PGE_Efficacité'!$A$6:$CY$266,(MATCH('[2]4.4 ACE MAX SEN '!U$4,'7. PGE_Efficacité'!$A$4:$AO$4,0)),0)</f>
        <v>+</v>
      </c>
      <c r="V108" s="182" t="str">
        <f>VLOOKUP($A108,'7. PGE_Efficacité'!$A$6:$CY$266,(MATCH('[2]4.4 ACE MAX SEN '!V$4,'7. PGE_Efficacité'!$A$4:$AO$4,0)),0)</f>
        <v>++</v>
      </c>
      <c r="W108" s="183" t="str">
        <f>VLOOKUP($A108,'7. PGE_Efficacité'!$A$6:$CY$266,(MATCH('[2]4.4 ACE MAX SEN '!W$4,'7. PGE_Efficacité'!$A$4:$AO$4,0)),0)</f>
        <v>+++</v>
      </c>
      <c r="X108" s="183" t="str">
        <f>VLOOKUP($A108,'7. PGE_Efficacité'!$A$6:$CY$266,(MATCH('[2]4.4 ACE MAX SEN '!X$4,'7. PGE_Efficacité'!$A$4:$AO$4,0)),0)</f>
        <v>++++</v>
      </c>
      <c r="Y108" s="183" t="str">
        <f>VLOOKUP($A108,'7. PGE_Efficacité'!$A$6:$CY$266,(MATCH('[2]4.4 ACE MAX SEN '!Y$4,'7. PGE_Efficacité'!$A$4:$AO$4,0)),0)</f>
        <v>+++</v>
      </c>
      <c r="Z108" s="183" t="str">
        <f>VLOOKUP($A108,'7. PGE_Efficacité'!$A$6:$CY$266,(MATCH('[2]4.4 ACE MAX SEN '!Z$4,'7. PGE_Efficacité'!$A$4:$AO$4,0)),0)</f>
        <v>++++</v>
      </c>
      <c r="AA108" s="183" t="str">
        <f>VLOOKUP($A108,'7. PGE_Efficacité'!$A$6:$CY$266,(MATCH('[2]4.4 ACE MAX SEN '!AA$4,'7. PGE_Efficacité'!$A$4:$AO$4,0)),0)</f>
        <v>++++</v>
      </c>
      <c r="AB108" s="183" t="str">
        <f>VLOOKUP($A108,'7. PGE_Efficacité'!$A$6:$CY$266,(MATCH('[2]4.4 ACE MAX SEN '!AB$4,'7. PGE_Efficacité'!$A$4:$AO$4,0)),0)</f>
        <v>++</v>
      </c>
      <c r="AC108" s="183" t="str">
        <f>VLOOKUP($A108,'7. PGE_Efficacité'!$A$6:$CY$266,(MATCH('[2]4.4 ACE MAX SEN '!AC$4,'7. PGE_Efficacité'!$A$4:$AO$4,0)),0)</f>
        <v>+</v>
      </c>
      <c r="AD108" s="183">
        <f>VLOOKUP($A108,'7. PGE_Efficacité'!$A$6:$CY$266,(MATCH('[2]4.4 ACE MAX SEN '!AD$4,'7. PGE_Efficacité'!$A$4:$AO$4,0)),0)</f>
        <v>0</v>
      </c>
      <c r="AE108" s="183">
        <f>VLOOKUP($A108,'7. PGE_Efficacité'!$A$6:$CY$266,(MATCH('[2]4.4 ACE MAX SEN '!AE$4,'7. PGE_Efficacité'!$A$4:$AO$4,0)),0)</f>
        <v>0</v>
      </c>
      <c r="AF108" s="183">
        <f>VLOOKUP($A108,'7. PGE_Efficacité'!$A$6:$CY$266,(MATCH('[2]4.4 ACE MAX SEN '!AF$4,'7. PGE_Efficacité'!$A$4:$AO$4,0)),0)</f>
        <v>0</v>
      </c>
      <c r="AG108" s="183">
        <f>VLOOKUP($A108,'7. PGE_Efficacité'!$A$6:$CY$266,(MATCH('[2]4.4 ACE MAX SEN '!AG$4,'7. PGE_Efficacité'!$A$4:$AO$4,0)),0)</f>
        <v>0</v>
      </c>
      <c r="AH108" s="183" t="str">
        <f>VLOOKUP($A108,'7. PGE_Efficacité'!$A$6:$CY$266,(MATCH('[2]4.4 ACE MAX SEN '!AH$4,'7. PGE_Efficacité'!$A$4:$AO$4,0)),0)</f>
        <v>+++</v>
      </c>
      <c r="AI108" s="183" t="str">
        <f>VLOOKUP($A108,'7. PGE_Efficacité'!$A$6:$CY$266,(MATCH('[2]4.4 ACE MAX SEN '!AI$4,'7. PGE_Efficacité'!$A$4:$AO$4,0)),0)</f>
        <v>++</v>
      </c>
      <c r="AJ108" s="183" t="str">
        <f>VLOOKUP($A108,'7. PGE_Efficacité'!$A$6:$CY$266,(MATCH('[2]4.4 ACE MAX SEN '!AJ$4,'7. PGE_Efficacité'!$A$4:$AO$4,0)),0)</f>
        <v>++</v>
      </c>
      <c r="AK108" s="183" t="str">
        <f>VLOOKUP($A108,'7. PGE_Efficacité'!$A$6:$CY$266,(MATCH('[2]4.4 ACE MAX SEN '!AK$4,'7. PGE_Efficacité'!$A$4:$AO$4,0)),0)</f>
        <v>++</v>
      </c>
    </row>
    <row r="109" spans="1:37" hidden="1" outlineLevel="2" x14ac:dyDescent="0.25">
      <c r="A109" s="65" t="s">
        <v>11</v>
      </c>
      <c r="B109" s="65" t="s">
        <v>668</v>
      </c>
      <c r="C109" s="65" t="s">
        <v>1328</v>
      </c>
      <c r="D109" s="65" t="s">
        <v>1522</v>
      </c>
      <c r="E109" s="65" t="s">
        <v>415</v>
      </c>
      <c r="F109" s="70"/>
      <c r="G109" s="64">
        <f>VLOOKUP($B109,'7. PGE_Efficacité'!$A$6:$CY$266,(MATCH('[3]4.4 ACE MAX SEN '!G$4,'7. PGE_Efficacité'!$A$4:$AO$4,0)),0)</f>
        <v>0</v>
      </c>
      <c r="H109" s="64">
        <f>VLOOKUP($B109,'7. PGE_Efficacité'!$A$6:$CY$266,(MATCH('[3]4.4 ACE MAX SEN '!H$4,'7. PGE_Efficacité'!$A$4:$AO$4,0)),0)</f>
        <v>0</v>
      </c>
      <c r="I109" s="64">
        <f>VLOOKUP($B109,'7. PGE_Efficacité'!$A$6:$CY$266,(MATCH('[3]4.4 ACE MAX SEN '!I$4,'7. PGE_Efficacité'!$A$4:$AO$4,0)),0)</f>
        <v>0</v>
      </c>
      <c r="J109" s="64">
        <f>VLOOKUP($B109,'7. PGE_Efficacité'!$A$6:$CY$266,(MATCH('[3]4.4 ACE MAX SEN '!J$4,'7. PGE_Efficacité'!$A$4:$AO$4,0)),0)</f>
        <v>0</v>
      </c>
      <c r="K109" s="64">
        <f>VLOOKUP($B109,'7. PGE_Efficacité'!$A$6:$CY$266,(MATCH('[3]4.4 ACE MAX SEN '!K$4,'7. PGE_Efficacité'!$A$4:$AO$4,0)),0)</f>
        <v>0</v>
      </c>
      <c r="L109" s="64">
        <f>VLOOKUP($B109,'7. PGE_Efficacité'!$A$6:$CY$266,(MATCH('[3]4.4 ACE MAX SEN '!L$4,'7. PGE_Efficacité'!$A$4:$AO$4,0)),0)</f>
        <v>0</v>
      </c>
      <c r="M109" s="64">
        <f>VLOOKUP($B109,'7. PGE_Efficacité'!$A$6:$CY$266,(MATCH('[3]4.4 ACE MAX SEN '!M$4,'7. PGE_Efficacité'!$A$4:$AO$4,0)),0)</f>
        <v>0</v>
      </c>
      <c r="N109" s="64">
        <f>VLOOKUP($B109,'7. PGE_Efficacité'!$A$6:$CY$266,(MATCH('[3]4.4 ACE MAX SEN '!N$4,'7. PGE_Efficacité'!$A$4:$AO$4,0)),0)</f>
        <v>0</v>
      </c>
      <c r="O109" s="64">
        <f>VLOOKUP($B109,'7. PGE_Efficacité'!$A$6:$CY$266,(MATCH('[3]4.4 ACE MAX SEN '!O$4,'7. PGE_Efficacité'!$A$4:$AO$4,0)),0)</f>
        <v>0</v>
      </c>
      <c r="P109" s="64">
        <f>VLOOKUP($B109,'7. PGE_Efficacité'!$A$6:$CY$266,(MATCH('[3]4.4 ACE MAX SEN '!P$4,'7. PGE_Efficacité'!$A$4:$AO$4,0)),0)</f>
        <v>0</v>
      </c>
      <c r="Q109" s="64">
        <f>VLOOKUP($B109,'7. PGE_Efficacité'!$A$6:$CY$266,(MATCH('[3]4.4 ACE MAX SEN '!Q$4,'7. PGE_Efficacité'!$A$4:$AO$4,0)),0)</f>
        <v>0</v>
      </c>
      <c r="R109" s="64">
        <f>VLOOKUP($B109,'7. PGE_Efficacité'!$A$6:$CY$266,(MATCH('[3]4.4 ACE MAX SEN '!R$4,'7. PGE_Efficacité'!$A$4:$AO$4,0)),0)</f>
        <v>0</v>
      </c>
      <c r="S109" s="64">
        <f>VLOOKUP($B109,'7. PGE_Efficacité'!$A$6:$CY$266,(MATCH('[3]4.4 ACE MAX SEN '!S$4,'7. PGE_Efficacité'!$A$4:$AO$4,0)),0)</f>
        <v>0</v>
      </c>
      <c r="T109" s="64">
        <f>VLOOKUP($B109,'7. PGE_Efficacité'!$A$6:$CY$266,(MATCH('[3]4.4 ACE MAX SEN '!T$4,'7. PGE_Efficacité'!$A$4:$AO$4,0)),0)</f>
        <v>0</v>
      </c>
      <c r="U109" s="64">
        <f>VLOOKUP($B109,'7. PGE_Efficacité'!$A$6:$CY$266,(MATCH('[3]4.4 ACE MAX SEN '!U$4,'7. PGE_Efficacité'!$A$4:$AO$4,0)),0)</f>
        <v>0</v>
      </c>
      <c r="V109" s="64">
        <f>VLOOKUP($B109,'7. PGE_Efficacité'!$A$6:$CY$266,(MATCH('[3]4.4 ACE MAX SEN '!V$4,'7. PGE_Efficacité'!$A$4:$AO$4,0)),0)</f>
        <v>0</v>
      </c>
      <c r="W109" s="61">
        <f>VLOOKUP($B109,'7. PGE_Efficacité'!$A$6:$CY$266,(MATCH('[3]4.4 ACE MAX SEN '!W$4,'7. PGE_Efficacité'!$A$4:$AO$4,0)),0)</f>
        <v>0</v>
      </c>
      <c r="X109" s="61">
        <f>VLOOKUP($B109,'7. PGE_Efficacité'!$A$6:$CY$266,(MATCH('[3]4.4 ACE MAX SEN '!X$4,'7. PGE_Efficacité'!$A$4:$AO$4,0)),0)</f>
        <v>0</v>
      </c>
      <c r="Y109" s="61">
        <f>VLOOKUP($B109,'7. PGE_Efficacité'!$A$6:$CY$266,(MATCH('[3]4.4 ACE MAX SEN '!Y$4,'7. PGE_Efficacité'!$A$4:$AO$4,0)),0)</f>
        <v>0</v>
      </c>
      <c r="Z109" s="61">
        <f>VLOOKUP($B109,'7. PGE_Efficacité'!$A$6:$CY$266,(MATCH('[3]4.4 ACE MAX SEN '!Z$4,'7. PGE_Efficacité'!$A$4:$AO$4,0)),0)</f>
        <v>0</v>
      </c>
      <c r="AA109" s="61">
        <f>VLOOKUP($B109,'7. PGE_Efficacité'!$A$6:$CY$266,(MATCH('[3]4.4 ACE MAX SEN '!AA$4,'7. PGE_Efficacité'!$A$4:$AO$4,0)),0)</f>
        <v>0</v>
      </c>
      <c r="AB109" s="61">
        <f>VLOOKUP($B109,'7. PGE_Efficacité'!$A$6:$CY$266,(MATCH('[3]4.4 ACE MAX SEN '!AB$4,'7. PGE_Efficacité'!$A$4:$AO$4,0)),0)</f>
        <v>0</v>
      </c>
      <c r="AC109" s="61">
        <f>VLOOKUP($B109,'7. PGE_Efficacité'!$A$6:$CY$266,(MATCH('[3]4.4 ACE MAX SEN '!AC$4,'7. PGE_Efficacité'!$A$4:$AO$4,0)),0)</f>
        <v>0</v>
      </c>
      <c r="AD109" s="61">
        <f>VLOOKUP($B109,'7. PGE_Efficacité'!$A$6:$CY$266,(MATCH('[3]4.4 ACE MAX SEN '!AD$4,'7. PGE_Efficacité'!$A$4:$AO$4,0)),0)</f>
        <v>0</v>
      </c>
      <c r="AE109" s="61">
        <f>VLOOKUP($B109,'7. PGE_Efficacité'!$A$6:$CY$266,(MATCH('[3]4.4 ACE MAX SEN '!AE$4,'7. PGE_Efficacité'!$A$4:$AO$4,0)),0)</f>
        <v>0</v>
      </c>
      <c r="AF109" s="61">
        <f>VLOOKUP($B109,'7. PGE_Efficacité'!$A$6:$CY$266,(MATCH('[3]4.4 ACE MAX SEN '!AF$4,'7. PGE_Efficacité'!$A$4:$AO$4,0)),0)</f>
        <v>0</v>
      </c>
      <c r="AG109" s="61">
        <f>VLOOKUP($B109,'7. PGE_Efficacité'!$A$6:$CY$266,(MATCH('[3]4.4 ACE MAX SEN '!AG$4,'7. PGE_Efficacité'!$A$4:$AO$4,0)),0)</f>
        <v>0</v>
      </c>
      <c r="AH109" s="61">
        <f>VLOOKUP($B109,'7. PGE_Efficacité'!$A$6:$CY$266,(MATCH('[3]4.4 ACE MAX SEN '!AH$4,'7. PGE_Efficacité'!$A$4:$AO$4,0)),0)</f>
        <v>0</v>
      </c>
      <c r="AI109" s="61">
        <f>VLOOKUP($B109,'7. PGE_Efficacité'!$A$6:$CY$266,(MATCH('[3]4.4 ACE MAX SEN '!AI$4,'7. PGE_Efficacité'!$A$4:$AO$4,0)),0)</f>
        <v>0</v>
      </c>
      <c r="AJ109" s="61">
        <f>VLOOKUP($B109,'7. PGE_Efficacité'!$A$6:$CY$266,(MATCH('[3]4.4 ACE MAX SEN '!AJ$4,'7. PGE_Efficacité'!$A$4:$AO$4,0)),0)</f>
        <v>0</v>
      </c>
      <c r="AK109" s="61">
        <f>VLOOKUP($B109,'7. PGE_Efficacité'!$A$6:$CY$266,(MATCH('[3]4.4 ACE MAX SEN '!AK$4,'7. PGE_Efficacité'!$A$4:$AO$4,0)),0)</f>
        <v>0</v>
      </c>
    </row>
    <row r="110" spans="1:37" hidden="1" outlineLevel="2" x14ac:dyDescent="0.25">
      <c r="A110" s="65" t="s">
        <v>11</v>
      </c>
      <c r="B110" s="65" t="s">
        <v>669</v>
      </c>
      <c r="C110" s="65" t="s">
        <v>1329</v>
      </c>
      <c r="D110" s="65" t="s">
        <v>1522</v>
      </c>
      <c r="E110" s="65" t="s">
        <v>415</v>
      </c>
      <c r="F110" s="70"/>
      <c r="G110" s="64">
        <f>VLOOKUP($B110,'7. PGE_Efficacité'!$A$6:$CY$266,(MATCH('[3]4.4 ACE MAX SEN '!G$4,'7. PGE_Efficacité'!$A$4:$AO$4,0)),0)</f>
        <v>0</v>
      </c>
      <c r="H110" s="64">
        <f>VLOOKUP($B110,'7. PGE_Efficacité'!$A$6:$CY$266,(MATCH('[3]4.4 ACE MAX SEN '!H$4,'7. PGE_Efficacité'!$A$4:$AO$4,0)),0)</f>
        <v>0</v>
      </c>
      <c r="I110" s="64">
        <f>VLOOKUP($B110,'7. PGE_Efficacité'!$A$6:$CY$266,(MATCH('[3]4.4 ACE MAX SEN '!I$4,'7. PGE_Efficacité'!$A$4:$AO$4,0)),0)</f>
        <v>0</v>
      </c>
      <c r="J110" s="64">
        <f>VLOOKUP($B110,'7. PGE_Efficacité'!$A$6:$CY$266,(MATCH('[3]4.4 ACE MAX SEN '!J$4,'7. PGE_Efficacité'!$A$4:$AO$4,0)),0)</f>
        <v>0</v>
      </c>
      <c r="K110" s="64">
        <f>VLOOKUP($B110,'7. PGE_Efficacité'!$A$6:$CY$266,(MATCH('[3]4.4 ACE MAX SEN '!K$4,'7. PGE_Efficacité'!$A$4:$AO$4,0)),0)</f>
        <v>0</v>
      </c>
      <c r="L110" s="64">
        <f>VLOOKUP($B110,'7. PGE_Efficacité'!$A$6:$CY$266,(MATCH('[3]4.4 ACE MAX SEN '!L$4,'7. PGE_Efficacité'!$A$4:$AO$4,0)),0)</f>
        <v>0</v>
      </c>
      <c r="M110" s="64">
        <f>VLOOKUP($B110,'7. PGE_Efficacité'!$A$6:$CY$266,(MATCH('[3]4.4 ACE MAX SEN '!M$4,'7. PGE_Efficacité'!$A$4:$AO$4,0)),0)</f>
        <v>0</v>
      </c>
      <c r="N110" s="64">
        <f>VLOOKUP($B110,'7. PGE_Efficacité'!$A$6:$CY$266,(MATCH('[3]4.4 ACE MAX SEN '!N$4,'7. PGE_Efficacité'!$A$4:$AO$4,0)),0)</f>
        <v>0</v>
      </c>
      <c r="O110" s="64">
        <f>VLOOKUP($B110,'7. PGE_Efficacité'!$A$6:$CY$266,(MATCH('[3]4.4 ACE MAX SEN '!O$4,'7. PGE_Efficacité'!$A$4:$AO$4,0)),0)</f>
        <v>0</v>
      </c>
      <c r="P110" s="64">
        <f>VLOOKUP($B110,'7. PGE_Efficacité'!$A$6:$CY$266,(MATCH('[3]4.4 ACE MAX SEN '!P$4,'7. PGE_Efficacité'!$A$4:$AO$4,0)),0)</f>
        <v>0</v>
      </c>
      <c r="Q110" s="64">
        <f>VLOOKUP($B110,'7. PGE_Efficacité'!$A$6:$CY$266,(MATCH('[3]4.4 ACE MAX SEN '!Q$4,'7. PGE_Efficacité'!$A$4:$AO$4,0)),0)</f>
        <v>0</v>
      </c>
      <c r="R110" s="64">
        <f>VLOOKUP($B110,'7. PGE_Efficacité'!$A$6:$CY$266,(MATCH('[3]4.4 ACE MAX SEN '!R$4,'7. PGE_Efficacité'!$A$4:$AO$4,0)),0)</f>
        <v>0</v>
      </c>
      <c r="S110" s="64">
        <f>VLOOKUP($B110,'7. PGE_Efficacité'!$A$6:$CY$266,(MATCH('[3]4.4 ACE MAX SEN '!S$4,'7. PGE_Efficacité'!$A$4:$AO$4,0)),0)</f>
        <v>0</v>
      </c>
      <c r="T110" s="64">
        <f>VLOOKUP($B110,'7. PGE_Efficacité'!$A$6:$CY$266,(MATCH('[3]4.4 ACE MAX SEN '!T$4,'7. PGE_Efficacité'!$A$4:$AO$4,0)),0)</f>
        <v>0</v>
      </c>
      <c r="U110" s="64">
        <f>VLOOKUP($B110,'7. PGE_Efficacité'!$A$6:$CY$266,(MATCH('[3]4.4 ACE MAX SEN '!U$4,'7. PGE_Efficacité'!$A$4:$AO$4,0)),0)</f>
        <v>0</v>
      </c>
      <c r="V110" s="64">
        <f>VLOOKUP($B110,'7. PGE_Efficacité'!$A$6:$CY$266,(MATCH('[3]4.4 ACE MAX SEN '!V$4,'7. PGE_Efficacité'!$A$4:$AO$4,0)),0)</f>
        <v>0</v>
      </c>
      <c r="W110" s="61">
        <f>VLOOKUP($B110,'7. PGE_Efficacité'!$A$6:$CY$266,(MATCH('[3]4.4 ACE MAX SEN '!W$4,'7. PGE_Efficacité'!$A$4:$AO$4,0)),0)</f>
        <v>0</v>
      </c>
      <c r="X110" s="61">
        <f>VLOOKUP($B110,'7. PGE_Efficacité'!$A$6:$CY$266,(MATCH('[3]4.4 ACE MAX SEN '!X$4,'7. PGE_Efficacité'!$A$4:$AO$4,0)),0)</f>
        <v>0</v>
      </c>
      <c r="Y110" s="61">
        <f>VLOOKUP($B110,'7. PGE_Efficacité'!$A$6:$CY$266,(MATCH('[3]4.4 ACE MAX SEN '!Y$4,'7. PGE_Efficacité'!$A$4:$AO$4,0)),0)</f>
        <v>0</v>
      </c>
      <c r="Z110" s="61">
        <f>VLOOKUP($B110,'7. PGE_Efficacité'!$A$6:$CY$266,(MATCH('[3]4.4 ACE MAX SEN '!Z$4,'7. PGE_Efficacité'!$A$4:$AO$4,0)),0)</f>
        <v>0</v>
      </c>
      <c r="AA110" s="61">
        <f>VLOOKUP($B110,'7. PGE_Efficacité'!$A$6:$CY$266,(MATCH('[3]4.4 ACE MAX SEN '!AA$4,'7. PGE_Efficacité'!$A$4:$AO$4,0)),0)</f>
        <v>0</v>
      </c>
      <c r="AB110" s="61">
        <f>VLOOKUP($B110,'7. PGE_Efficacité'!$A$6:$CY$266,(MATCH('[3]4.4 ACE MAX SEN '!AB$4,'7. PGE_Efficacité'!$A$4:$AO$4,0)),0)</f>
        <v>0</v>
      </c>
      <c r="AC110" s="61">
        <f>VLOOKUP($B110,'7. PGE_Efficacité'!$A$6:$CY$266,(MATCH('[3]4.4 ACE MAX SEN '!AC$4,'7. PGE_Efficacité'!$A$4:$AO$4,0)),0)</f>
        <v>0</v>
      </c>
      <c r="AD110" s="61">
        <f>VLOOKUP($B110,'7. PGE_Efficacité'!$A$6:$CY$266,(MATCH('[3]4.4 ACE MAX SEN '!AD$4,'7. PGE_Efficacité'!$A$4:$AO$4,0)),0)</f>
        <v>0</v>
      </c>
      <c r="AE110" s="61">
        <f>VLOOKUP($B110,'7. PGE_Efficacité'!$A$6:$CY$266,(MATCH('[3]4.4 ACE MAX SEN '!AE$4,'7. PGE_Efficacité'!$A$4:$AO$4,0)),0)</f>
        <v>0</v>
      </c>
      <c r="AF110" s="61">
        <f>VLOOKUP($B110,'7. PGE_Efficacité'!$A$6:$CY$266,(MATCH('[3]4.4 ACE MAX SEN '!AF$4,'7. PGE_Efficacité'!$A$4:$AO$4,0)),0)</f>
        <v>0</v>
      </c>
      <c r="AG110" s="61">
        <f>VLOOKUP($B110,'7. PGE_Efficacité'!$A$6:$CY$266,(MATCH('[3]4.4 ACE MAX SEN '!AG$4,'7. PGE_Efficacité'!$A$4:$AO$4,0)),0)</f>
        <v>0</v>
      </c>
      <c r="AH110" s="61">
        <f>VLOOKUP($B110,'7. PGE_Efficacité'!$A$6:$CY$266,(MATCH('[3]4.4 ACE MAX SEN '!AH$4,'7. PGE_Efficacité'!$A$4:$AO$4,0)),0)</f>
        <v>0</v>
      </c>
      <c r="AI110" s="61">
        <f>VLOOKUP($B110,'7. PGE_Efficacité'!$A$6:$CY$266,(MATCH('[3]4.4 ACE MAX SEN '!AI$4,'7. PGE_Efficacité'!$A$4:$AO$4,0)),0)</f>
        <v>0</v>
      </c>
      <c r="AJ110" s="61">
        <f>VLOOKUP($B110,'7. PGE_Efficacité'!$A$6:$CY$266,(MATCH('[3]4.4 ACE MAX SEN '!AJ$4,'7. PGE_Efficacité'!$A$4:$AO$4,0)),0)</f>
        <v>0</v>
      </c>
      <c r="AK110" s="61">
        <f>VLOOKUP($B110,'7. PGE_Efficacité'!$A$6:$CY$266,(MATCH('[3]4.4 ACE MAX SEN '!AK$4,'7. PGE_Efficacité'!$A$4:$AO$4,0)),0)</f>
        <v>0</v>
      </c>
    </row>
    <row r="111" spans="1:37" hidden="1" outlineLevel="2" x14ac:dyDescent="0.25">
      <c r="A111" s="65" t="s">
        <v>11</v>
      </c>
      <c r="B111" s="65" t="s">
        <v>670</v>
      </c>
      <c r="C111" s="65" t="s">
        <v>1330</v>
      </c>
      <c r="D111" s="65" t="s">
        <v>1522</v>
      </c>
      <c r="E111" s="65" t="s">
        <v>415</v>
      </c>
      <c r="F111" s="70"/>
      <c r="G111" s="64">
        <f>VLOOKUP($B111,'7. PGE_Efficacité'!$A$6:$CY$266,(MATCH('[3]4.4 ACE MAX SEN '!G$4,'7. PGE_Efficacité'!$A$4:$AO$4,0)),0)</f>
        <v>0</v>
      </c>
      <c r="H111" s="64">
        <f>VLOOKUP($B111,'7. PGE_Efficacité'!$A$6:$CY$266,(MATCH('[3]4.4 ACE MAX SEN '!H$4,'7. PGE_Efficacité'!$A$4:$AO$4,0)),0)</f>
        <v>0</v>
      </c>
      <c r="I111" s="64">
        <f>VLOOKUP($B111,'7. PGE_Efficacité'!$A$6:$CY$266,(MATCH('[3]4.4 ACE MAX SEN '!I$4,'7. PGE_Efficacité'!$A$4:$AO$4,0)),0)</f>
        <v>0</v>
      </c>
      <c r="J111" s="64">
        <f>VLOOKUP($B111,'7. PGE_Efficacité'!$A$6:$CY$266,(MATCH('[3]4.4 ACE MAX SEN '!J$4,'7. PGE_Efficacité'!$A$4:$AO$4,0)),0)</f>
        <v>0</v>
      </c>
      <c r="K111" s="64">
        <f>VLOOKUP($B111,'7. PGE_Efficacité'!$A$6:$CY$266,(MATCH('[3]4.4 ACE MAX SEN '!K$4,'7. PGE_Efficacité'!$A$4:$AO$4,0)),0)</f>
        <v>0</v>
      </c>
      <c r="L111" s="64">
        <f>VLOOKUP($B111,'7. PGE_Efficacité'!$A$6:$CY$266,(MATCH('[3]4.4 ACE MAX SEN '!L$4,'7. PGE_Efficacité'!$A$4:$AO$4,0)),0)</f>
        <v>0</v>
      </c>
      <c r="M111" s="64">
        <f>VLOOKUP($B111,'7. PGE_Efficacité'!$A$6:$CY$266,(MATCH('[3]4.4 ACE MAX SEN '!M$4,'7. PGE_Efficacité'!$A$4:$AO$4,0)),0)</f>
        <v>0</v>
      </c>
      <c r="N111" s="64">
        <f>VLOOKUP($B111,'7. PGE_Efficacité'!$A$6:$CY$266,(MATCH('[3]4.4 ACE MAX SEN '!N$4,'7. PGE_Efficacité'!$A$4:$AO$4,0)),0)</f>
        <v>0</v>
      </c>
      <c r="O111" s="64">
        <f>VLOOKUP($B111,'7. PGE_Efficacité'!$A$6:$CY$266,(MATCH('[3]4.4 ACE MAX SEN '!O$4,'7. PGE_Efficacité'!$A$4:$AO$4,0)),0)</f>
        <v>0</v>
      </c>
      <c r="P111" s="64">
        <f>VLOOKUP($B111,'7. PGE_Efficacité'!$A$6:$CY$266,(MATCH('[3]4.4 ACE MAX SEN '!P$4,'7. PGE_Efficacité'!$A$4:$AO$4,0)),0)</f>
        <v>0</v>
      </c>
      <c r="Q111" s="64">
        <f>VLOOKUP($B111,'7. PGE_Efficacité'!$A$6:$CY$266,(MATCH('[3]4.4 ACE MAX SEN '!Q$4,'7. PGE_Efficacité'!$A$4:$AO$4,0)),0)</f>
        <v>0</v>
      </c>
      <c r="R111" s="64">
        <f>VLOOKUP($B111,'7. PGE_Efficacité'!$A$6:$CY$266,(MATCH('[3]4.4 ACE MAX SEN '!R$4,'7. PGE_Efficacité'!$A$4:$AO$4,0)),0)</f>
        <v>0</v>
      </c>
      <c r="S111" s="64">
        <f>VLOOKUP($B111,'7. PGE_Efficacité'!$A$6:$CY$266,(MATCH('[3]4.4 ACE MAX SEN '!S$4,'7. PGE_Efficacité'!$A$4:$AO$4,0)),0)</f>
        <v>0</v>
      </c>
      <c r="T111" s="64">
        <f>VLOOKUP($B111,'7. PGE_Efficacité'!$A$6:$CY$266,(MATCH('[3]4.4 ACE MAX SEN '!T$4,'7. PGE_Efficacité'!$A$4:$AO$4,0)),0)</f>
        <v>0</v>
      </c>
      <c r="U111" s="64">
        <f>VLOOKUP($B111,'7. PGE_Efficacité'!$A$6:$CY$266,(MATCH('[3]4.4 ACE MAX SEN '!U$4,'7. PGE_Efficacité'!$A$4:$AO$4,0)),0)</f>
        <v>0</v>
      </c>
      <c r="V111" s="64">
        <f>VLOOKUP($B111,'7. PGE_Efficacité'!$A$6:$CY$266,(MATCH('[3]4.4 ACE MAX SEN '!V$4,'7. PGE_Efficacité'!$A$4:$AO$4,0)),0)</f>
        <v>0</v>
      </c>
      <c r="W111" s="61">
        <f>VLOOKUP($B111,'7. PGE_Efficacité'!$A$6:$CY$266,(MATCH('[3]4.4 ACE MAX SEN '!W$4,'7. PGE_Efficacité'!$A$4:$AO$4,0)),0)</f>
        <v>0</v>
      </c>
      <c r="X111" s="61">
        <f>VLOOKUP($B111,'7. PGE_Efficacité'!$A$6:$CY$266,(MATCH('[3]4.4 ACE MAX SEN '!X$4,'7. PGE_Efficacité'!$A$4:$AO$4,0)),0)</f>
        <v>0</v>
      </c>
      <c r="Y111" s="61">
        <f>VLOOKUP($B111,'7. PGE_Efficacité'!$A$6:$CY$266,(MATCH('[3]4.4 ACE MAX SEN '!Y$4,'7. PGE_Efficacité'!$A$4:$AO$4,0)),0)</f>
        <v>0</v>
      </c>
      <c r="Z111" s="61">
        <f>VLOOKUP($B111,'7. PGE_Efficacité'!$A$6:$CY$266,(MATCH('[3]4.4 ACE MAX SEN '!Z$4,'7. PGE_Efficacité'!$A$4:$AO$4,0)),0)</f>
        <v>0</v>
      </c>
      <c r="AA111" s="61">
        <f>VLOOKUP($B111,'7. PGE_Efficacité'!$A$6:$CY$266,(MATCH('[3]4.4 ACE MAX SEN '!AA$4,'7. PGE_Efficacité'!$A$4:$AO$4,0)),0)</f>
        <v>0</v>
      </c>
      <c r="AB111" s="61">
        <f>VLOOKUP($B111,'7. PGE_Efficacité'!$A$6:$CY$266,(MATCH('[3]4.4 ACE MAX SEN '!AB$4,'7. PGE_Efficacité'!$A$4:$AO$4,0)),0)</f>
        <v>0</v>
      </c>
      <c r="AC111" s="61">
        <f>VLOOKUP($B111,'7. PGE_Efficacité'!$A$6:$CY$266,(MATCH('[3]4.4 ACE MAX SEN '!AC$4,'7. PGE_Efficacité'!$A$4:$AO$4,0)),0)</f>
        <v>0</v>
      </c>
      <c r="AD111" s="61">
        <f>VLOOKUP($B111,'7. PGE_Efficacité'!$A$6:$CY$266,(MATCH('[3]4.4 ACE MAX SEN '!AD$4,'7. PGE_Efficacité'!$A$4:$AO$4,0)),0)</f>
        <v>0</v>
      </c>
      <c r="AE111" s="61">
        <f>VLOOKUP($B111,'7. PGE_Efficacité'!$A$6:$CY$266,(MATCH('[3]4.4 ACE MAX SEN '!AE$4,'7. PGE_Efficacité'!$A$4:$AO$4,0)),0)</f>
        <v>0</v>
      </c>
      <c r="AF111" s="61">
        <f>VLOOKUP($B111,'7. PGE_Efficacité'!$A$6:$CY$266,(MATCH('[3]4.4 ACE MAX SEN '!AF$4,'7. PGE_Efficacité'!$A$4:$AO$4,0)),0)</f>
        <v>0</v>
      </c>
      <c r="AG111" s="61">
        <f>VLOOKUP($B111,'7. PGE_Efficacité'!$A$6:$CY$266,(MATCH('[3]4.4 ACE MAX SEN '!AG$4,'7. PGE_Efficacité'!$A$4:$AO$4,0)),0)</f>
        <v>0</v>
      </c>
      <c r="AH111" s="61">
        <f>VLOOKUP($B111,'7. PGE_Efficacité'!$A$6:$CY$266,(MATCH('[3]4.4 ACE MAX SEN '!AH$4,'7. PGE_Efficacité'!$A$4:$AO$4,0)),0)</f>
        <v>0</v>
      </c>
      <c r="AI111" s="61">
        <f>VLOOKUP($B111,'7. PGE_Efficacité'!$A$6:$CY$266,(MATCH('[3]4.4 ACE MAX SEN '!AI$4,'7. PGE_Efficacité'!$A$4:$AO$4,0)),0)</f>
        <v>0</v>
      </c>
      <c r="AJ111" s="61">
        <f>VLOOKUP($B111,'7. PGE_Efficacité'!$A$6:$CY$266,(MATCH('[3]4.4 ACE MAX SEN '!AJ$4,'7. PGE_Efficacité'!$A$4:$AO$4,0)),0)</f>
        <v>0</v>
      </c>
      <c r="AK111" s="61">
        <f>VLOOKUP($B111,'7. PGE_Efficacité'!$A$6:$CY$266,(MATCH('[3]4.4 ACE MAX SEN '!AK$4,'7. PGE_Efficacité'!$A$4:$AO$4,0)),0)</f>
        <v>0</v>
      </c>
    </row>
    <row r="112" spans="1:37" hidden="1" outlineLevel="2" x14ac:dyDescent="0.25">
      <c r="A112" s="65" t="s">
        <v>11</v>
      </c>
      <c r="B112" s="65" t="s">
        <v>671</v>
      </c>
      <c r="C112" s="65" t="s">
        <v>1331</v>
      </c>
      <c r="D112" s="65" t="s">
        <v>1522</v>
      </c>
      <c r="E112" s="65" t="s">
        <v>415</v>
      </c>
      <c r="F112" s="70"/>
      <c r="G112" s="64">
        <f>VLOOKUP($B112,'7. PGE_Efficacité'!$A$6:$CY$266,(MATCH('[3]4.4 ACE MAX SEN '!G$4,'7. PGE_Efficacité'!$A$4:$AO$4,0)),0)</f>
        <v>0</v>
      </c>
      <c r="H112" s="64">
        <f>VLOOKUP($B112,'7. PGE_Efficacité'!$A$6:$CY$266,(MATCH('[3]4.4 ACE MAX SEN '!H$4,'7. PGE_Efficacité'!$A$4:$AO$4,0)),0)</f>
        <v>0</v>
      </c>
      <c r="I112" s="64">
        <f>VLOOKUP($B112,'7. PGE_Efficacité'!$A$6:$CY$266,(MATCH('[3]4.4 ACE MAX SEN '!I$4,'7. PGE_Efficacité'!$A$4:$AO$4,0)),0)</f>
        <v>0</v>
      </c>
      <c r="J112" s="64">
        <f>VLOOKUP($B112,'7. PGE_Efficacité'!$A$6:$CY$266,(MATCH('[3]4.4 ACE MAX SEN '!J$4,'7. PGE_Efficacité'!$A$4:$AO$4,0)),0)</f>
        <v>0</v>
      </c>
      <c r="K112" s="64">
        <f>VLOOKUP($B112,'7. PGE_Efficacité'!$A$6:$CY$266,(MATCH('[3]4.4 ACE MAX SEN '!K$4,'7. PGE_Efficacité'!$A$4:$AO$4,0)),0)</f>
        <v>0</v>
      </c>
      <c r="L112" s="64">
        <f>VLOOKUP($B112,'7. PGE_Efficacité'!$A$6:$CY$266,(MATCH('[3]4.4 ACE MAX SEN '!L$4,'7. PGE_Efficacité'!$A$4:$AO$4,0)),0)</f>
        <v>0</v>
      </c>
      <c r="M112" s="64">
        <f>VLOOKUP($B112,'7. PGE_Efficacité'!$A$6:$CY$266,(MATCH('[3]4.4 ACE MAX SEN '!M$4,'7. PGE_Efficacité'!$A$4:$AO$4,0)),0)</f>
        <v>0</v>
      </c>
      <c r="N112" s="64">
        <f>VLOOKUP($B112,'7. PGE_Efficacité'!$A$6:$CY$266,(MATCH('[3]4.4 ACE MAX SEN '!N$4,'7. PGE_Efficacité'!$A$4:$AO$4,0)),0)</f>
        <v>0</v>
      </c>
      <c r="O112" s="64">
        <f>VLOOKUP($B112,'7. PGE_Efficacité'!$A$6:$CY$266,(MATCH('[3]4.4 ACE MAX SEN '!O$4,'7. PGE_Efficacité'!$A$4:$AO$4,0)),0)</f>
        <v>0</v>
      </c>
      <c r="P112" s="64">
        <f>VLOOKUP($B112,'7. PGE_Efficacité'!$A$6:$CY$266,(MATCH('[3]4.4 ACE MAX SEN '!P$4,'7. PGE_Efficacité'!$A$4:$AO$4,0)),0)</f>
        <v>0</v>
      </c>
      <c r="Q112" s="64">
        <f>VLOOKUP($B112,'7. PGE_Efficacité'!$A$6:$CY$266,(MATCH('[3]4.4 ACE MAX SEN '!Q$4,'7. PGE_Efficacité'!$A$4:$AO$4,0)),0)</f>
        <v>0</v>
      </c>
      <c r="R112" s="64">
        <f>VLOOKUP($B112,'7. PGE_Efficacité'!$A$6:$CY$266,(MATCH('[3]4.4 ACE MAX SEN '!R$4,'7. PGE_Efficacité'!$A$4:$AO$4,0)),0)</f>
        <v>0</v>
      </c>
      <c r="S112" s="64">
        <f>VLOOKUP($B112,'7. PGE_Efficacité'!$A$6:$CY$266,(MATCH('[3]4.4 ACE MAX SEN '!S$4,'7. PGE_Efficacité'!$A$4:$AO$4,0)),0)</f>
        <v>0</v>
      </c>
      <c r="T112" s="64">
        <f>VLOOKUP($B112,'7. PGE_Efficacité'!$A$6:$CY$266,(MATCH('[3]4.4 ACE MAX SEN '!T$4,'7. PGE_Efficacité'!$A$4:$AO$4,0)),0)</f>
        <v>0</v>
      </c>
      <c r="U112" s="64">
        <f>VLOOKUP($B112,'7. PGE_Efficacité'!$A$6:$CY$266,(MATCH('[3]4.4 ACE MAX SEN '!U$4,'7. PGE_Efficacité'!$A$4:$AO$4,0)),0)</f>
        <v>0</v>
      </c>
      <c r="V112" s="64">
        <f>VLOOKUP($B112,'7. PGE_Efficacité'!$A$6:$CY$266,(MATCH('[3]4.4 ACE MAX SEN '!V$4,'7. PGE_Efficacité'!$A$4:$AO$4,0)),0)</f>
        <v>0</v>
      </c>
      <c r="W112" s="61">
        <f>VLOOKUP($B112,'7. PGE_Efficacité'!$A$6:$CY$266,(MATCH('[3]4.4 ACE MAX SEN '!W$4,'7. PGE_Efficacité'!$A$4:$AO$4,0)),0)</f>
        <v>0</v>
      </c>
      <c r="X112" s="61">
        <f>VLOOKUP($B112,'7. PGE_Efficacité'!$A$6:$CY$266,(MATCH('[3]4.4 ACE MAX SEN '!X$4,'7. PGE_Efficacité'!$A$4:$AO$4,0)),0)</f>
        <v>0</v>
      </c>
      <c r="Y112" s="61">
        <f>VLOOKUP($B112,'7. PGE_Efficacité'!$A$6:$CY$266,(MATCH('[3]4.4 ACE MAX SEN '!Y$4,'7. PGE_Efficacité'!$A$4:$AO$4,0)),0)</f>
        <v>0</v>
      </c>
      <c r="Z112" s="61">
        <f>VLOOKUP($B112,'7. PGE_Efficacité'!$A$6:$CY$266,(MATCH('[3]4.4 ACE MAX SEN '!Z$4,'7. PGE_Efficacité'!$A$4:$AO$4,0)),0)</f>
        <v>0</v>
      </c>
      <c r="AA112" s="61">
        <f>VLOOKUP($B112,'7. PGE_Efficacité'!$A$6:$CY$266,(MATCH('[3]4.4 ACE MAX SEN '!AA$4,'7. PGE_Efficacité'!$A$4:$AO$4,0)),0)</f>
        <v>0</v>
      </c>
      <c r="AB112" s="61">
        <f>VLOOKUP($B112,'7. PGE_Efficacité'!$A$6:$CY$266,(MATCH('[3]4.4 ACE MAX SEN '!AB$4,'7. PGE_Efficacité'!$A$4:$AO$4,0)),0)</f>
        <v>0</v>
      </c>
      <c r="AC112" s="61">
        <f>VLOOKUP($B112,'7. PGE_Efficacité'!$A$6:$CY$266,(MATCH('[3]4.4 ACE MAX SEN '!AC$4,'7. PGE_Efficacité'!$A$4:$AO$4,0)),0)</f>
        <v>0</v>
      </c>
      <c r="AD112" s="61">
        <f>VLOOKUP($B112,'7. PGE_Efficacité'!$A$6:$CY$266,(MATCH('[3]4.4 ACE MAX SEN '!AD$4,'7. PGE_Efficacité'!$A$4:$AO$4,0)),0)</f>
        <v>0</v>
      </c>
      <c r="AE112" s="61">
        <f>VLOOKUP($B112,'7. PGE_Efficacité'!$A$6:$CY$266,(MATCH('[3]4.4 ACE MAX SEN '!AE$4,'7. PGE_Efficacité'!$A$4:$AO$4,0)),0)</f>
        <v>0</v>
      </c>
      <c r="AF112" s="61">
        <f>VLOOKUP($B112,'7. PGE_Efficacité'!$A$6:$CY$266,(MATCH('[3]4.4 ACE MAX SEN '!AF$4,'7. PGE_Efficacité'!$A$4:$AO$4,0)),0)</f>
        <v>0</v>
      </c>
      <c r="AG112" s="61">
        <f>VLOOKUP($B112,'7. PGE_Efficacité'!$A$6:$CY$266,(MATCH('[3]4.4 ACE MAX SEN '!AG$4,'7. PGE_Efficacité'!$A$4:$AO$4,0)),0)</f>
        <v>0</v>
      </c>
      <c r="AH112" s="61">
        <f>VLOOKUP($B112,'7. PGE_Efficacité'!$A$6:$CY$266,(MATCH('[3]4.4 ACE MAX SEN '!AH$4,'7. PGE_Efficacité'!$A$4:$AO$4,0)),0)</f>
        <v>0</v>
      </c>
      <c r="AI112" s="61">
        <f>VLOOKUP($B112,'7. PGE_Efficacité'!$A$6:$CY$266,(MATCH('[3]4.4 ACE MAX SEN '!AI$4,'7. PGE_Efficacité'!$A$4:$AO$4,0)),0)</f>
        <v>0</v>
      </c>
      <c r="AJ112" s="61">
        <f>VLOOKUP($B112,'7. PGE_Efficacité'!$A$6:$CY$266,(MATCH('[3]4.4 ACE MAX SEN '!AJ$4,'7. PGE_Efficacité'!$A$4:$AO$4,0)),0)</f>
        <v>0</v>
      </c>
      <c r="AK112" s="61">
        <f>VLOOKUP($B112,'7. PGE_Efficacité'!$A$6:$CY$266,(MATCH('[3]4.4 ACE MAX SEN '!AK$4,'7. PGE_Efficacité'!$A$4:$AO$4,0)),0)</f>
        <v>0</v>
      </c>
    </row>
    <row r="113" spans="1:37" hidden="1" outlineLevel="2" x14ac:dyDescent="0.25">
      <c r="A113" s="65" t="s">
        <v>11</v>
      </c>
      <c r="B113" s="65" t="s">
        <v>672</v>
      </c>
      <c r="C113" s="65" t="s">
        <v>1332</v>
      </c>
      <c r="D113" s="65" t="s">
        <v>1522</v>
      </c>
      <c r="E113" s="65" t="s">
        <v>415</v>
      </c>
      <c r="F113" s="70"/>
      <c r="G113" s="64">
        <f>VLOOKUP($B113,'7. PGE_Efficacité'!$A$6:$CY$266,(MATCH('[3]4.4 ACE MAX SEN '!G$4,'7. PGE_Efficacité'!$A$4:$AO$4,0)),0)</f>
        <v>0</v>
      </c>
      <c r="H113" s="64">
        <f>VLOOKUP($B113,'7. PGE_Efficacité'!$A$6:$CY$266,(MATCH('[3]4.4 ACE MAX SEN '!H$4,'7. PGE_Efficacité'!$A$4:$AO$4,0)),0)</f>
        <v>0</v>
      </c>
      <c r="I113" s="64">
        <f>VLOOKUP($B113,'7. PGE_Efficacité'!$A$6:$CY$266,(MATCH('[3]4.4 ACE MAX SEN '!I$4,'7. PGE_Efficacité'!$A$4:$AO$4,0)),0)</f>
        <v>0</v>
      </c>
      <c r="J113" s="64">
        <f>VLOOKUP($B113,'7. PGE_Efficacité'!$A$6:$CY$266,(MATCH('[3]4.4 ACE MAX SEN '!J$4,'7. PGE_Efficacité'!$A$4:$AO$4,0)),0)</f>
        <v>0</v>
      </c>
      <c r="K113" s="64">
        <f>VLOOKUP($B113,'7. PGE_Efficacité'!$A$6:$CY$266,(MATCH('[3]4.4 ACE MAX SEN '!K$4,'7. PGE_Efficacité'!$A$4:$AO$4,0)),0)</f>
        <v>0</v>
      </c>
      <c r="L113" s="64">
        <f>VLOOKUP($B113,'7. PGE_Efficacité'!$A$6:$CY$266,(MATCH('[3]4.4 ACE MAX SEN '!L$4,'7. PGE_Efficacité'!$A$4:$AO$4,0)),0)</f>
        <v>0</v>
      </c>
      <c r="M113" s="64">
        <f>VLOOKUP($B113,'7. PGE_Efficacité'!$A$6:$CY$266,(MATCH('[3]4.4 ACE MAX SEN '!M$4,'7. PGE_Efficacité'!$A$4:$AO$4,0)),0)</f>
        <v>0</v>
      </c>
      <c r="N113" s="64">
        <f>VLOOKUP($B113,'7. PGE_Efficacité'!$A$6:$CY$266,(MATCH('[3]4.4 ACE MAX SEN '!N$4,'7. PGE_Efficacité'!$A$4:$AO$4,0)),0)</f>
        <v>0</v>
      </c>
      <c r="O113" s="64">
        <f>VLOOKUP($B113,'7. PGE_Efficacité'!$A$6:$CY$266,(MATCH('[3]4.4 ACE MAX SEN '!O$4,'7. PGE_Efficacité'!$A$4:$AO$4,0)),0)</f>
        <v>0</v>
      </c>
      <c r="P113" s="64">
        <f>VLOOKUP($B113,'7. PGE_Efficacité'!$A$6:$CY$266,(MATCH('[3]4.4 ACE MAX SEN '!P$4,'7. PGE_Efficacité'!$A$4:$AO$4,0)),0)</f>
        <v>0</v>
      </c>
      <c r="Q113" s="64">
        <f>VLOOKUP($B113,'7. PGE_Efficacité'!$A$6:$CY$266,(MATCH('[3]4.4 ACE MAX SEN '!Q$4,'7. PGE_Efficacité'!$A$4:$AO$4,0)),0)</f>
        <v>0</v>
      </c>
      <c r="R113" s="64">
        <f>VLOOKUP($B113,'7. PGE_Efficacité'!$A$6:$CY$266,(MATCH('[3]4.4 ACE MAX SEN '!R$4,'7. PGE_Efficacité'!$A$4:$AO$4,0)),0)</f>
        <v>0</v>
      </c>
      <c r="S113" s="64">
        <f>VLOOKUP($B113,'7. PGE_Efficacité'!$A$6:$CY$266,(MATCH('[3]4.4 ACE MAX SEN '!S$4,'7. PGE_Efficacité'!$A$4:$AO$4,0)),0)</f>
        <v>0</v>
      </c>
      <c r="T113" s="64">
        <f>VLOOKUP($B113,'7. PGE_Efficacité'!$A$6:$CY$266,(MATCH('[3]4.4 ACE MAX SEN '!T$4,'7. PGE_Efficacité'!$A$4:$AO$4,0)),0)</f>
        <v>0</v>
      </c>
      <c r="U113" s="64">
        <f>VLOOKUP($B113,'7. PGE_Efficacité'!$A$6:$CY$266,(MATCH('[3]4.4 ACE MAX SEN '!U$4,'7. PGE_Efficacité'!$A$4:$AO$4,0)),0)</f>
        <v>0</v>
      </c>
      <c r="V113" s="64">
        <f>VLOOKUP($B113,'7. PGE_Efficacité'!$A$6:$CY$266,(MATCH('[3]4.4 ACE MAX SEN '!V$4,'7. PGE_Efficacité'!$A$4:$AO$4,0)),0)</f>
        <v>0</v>
      </c>
      <c r="W113" s="61">
        <f>VLOOKUP($B113,'7. PGE_Efficacité'!$A$6:$CY$266,(MATCH('[3]4.4 ACE MAX SEN '!W$4,'7. PGE_Efficacité'!$A$4:$AO$4,0)),0)</f>
        <v>0</v>
      </c>
      <c r="X113" s="61">
        <f>VLOOKUP($B113,'7. PGE_Efficacité'!$A$6:$CY$266,(MATCH('[3]4.4 ACE MAX SEN '!X$4,'7. PGE_Efficacité'!$A$4:$AO$4,0)),0)</f>
        <v>0</v>
      </c>
      <c r="Y113" s="61">
        <f>VLOOKUP($B113,'7. PGE_Efficacité'!$A$6:$CY$266,(MATCH('[3]4.4 ACE MAX SEN '!Y$4,'7. PGE_Efficacité'!$A$4:$AO$4,0)),0)</f>
        <v>0</v>
      </c>
      <c r="Z113" s="61">
        <f>VLOOKUP($B113,'7. PGE_Efficacité'!$A$6:$CY$266,(MATCH('[3]4.4 ACE MAX SEN '!Z$4,'7. PGE_Efficacité'!$A$4:$AO$4,0)),0)</f>
        <v>0</v>
      </c>
      <c r="AA113" s="61">
        <f>VLOOKUP($B113,'7. PGE_Efficacité'!$A$6:$CY$266,(MATCH('[3]4.4 ACE MAX SEN '!AA$4,'7. PGE_Efficacité'!$A$4:$AO$4,0)),0)</f>
        <v>0</v>
      </c>
      <c r="AB113" s="61">
        <f>VLOOKUP($B113,'7. PGE_Efficacité'!$A$6:$CY$266,(MATCH('[3]4.4 ACE MAX SEN '!AB$4,'7. PGE_Efficacité'!$A$4:$AO$4,0)),0)</f>
        <v>0</v>
      </c>
      <c r="AC113" s="61">
        <f>VLOOKUP($B113,'7. PGE_Efficacité'!$A$6:$CY$266,(MATCH('[3]4.4 ACE MAX SEN '!AC$4,'7. PGE_Efficacité'!$A$4:$AO$4,0)),0)</f>
        <v>0</v>
      </c>
      <c r="AD113" s="61">
        <f>VLOOKUP($B113,'7. PGE_Efficacité'!$A$6:$CY$266,(MATCH('[3]4.4 ACE MAX SEN '!AD$4,'7. PGE_Efficacité'!$A$4:$AO$4,0)),0)</f>
        <v>0</v>
      </c>
      <c r="AE113" s="61">
        <f>VLOOKUP($B113,'7. PGE_Efficacité'!$A$6:$CY$266,(MATCH('[3]4.4 ACE MAX SEN '!AE$4,'7. PGE_Efficacité'!$A$4:$AO$4,0)),0)</f>
        <v>0</v>
      </c>
      <c r="AF113" s="61">
        <f>VLOOKUP($B113,'7. PGE_Efficacité'!$A$6:$CY$266,(MATCH('[3]4.4 ACE MAX SEN '!AF$4,'7. PGE_Efficacité'!$A$4:$AO$4,0)),0)</f>
        <v>0</v>
      </c>
      <c r="AG113" s="61">
        <f>VLOOKUP($B113,'7. PGE_Efficacité'!$A$6:$CY$266,(MATCH('[3]4.4 ACE MAX SEN '!AG$4,'7. PGE_Efficacité'!$A$4:$AO$4,0)),0)</f>
        <v>0</v>
      </c>
      <c r="AH113" s="61">
        <f>VLOOKUP($B113,'7. PGE_Efficacité'!$A$6:$CY$266,(MATCH('[3]4.4 ACE MAX SEN '!AH$4,'7. PGE_Efficacité'!$A$4:$AO$4,0)),0)</f>
        <v>0</v>
      </c>
      <c r="AI113" s="61">
        <f>VLOOKUP($B113,'7. PGE_Efficacité'!$A$6:$CY$266,(MATCH('[3]4.4 ACE MAX SEN '!AI$4,'7. PGE_Efficacité'!$A$4:$AO$4,0)),0)</f>
        <v>0</v>
      </c>
      <c r="AJ113" s="61">
        <f>VLOOKUP($B113,'7. PGE_Efficacité'!$A$6:$CY$266,(MATCH('[3]4.4 ACE MAX SEN '!AJ$4,'7. PGE_Efficacité'!$A$4:$AO$4,0)),0)</f>
        <v>0</v>
      </c>
      <c r="AK113" s="61">
        <f>VLOOKUP($B113,'7. PGE_Efficacité'!$A$6:$CY$266,(MATCH('[3]4.4 ACE MAX SEN '!AK$4,'7. PGE_Efficacité'!$A$4:$AO$4,0)),0)</f>
        <v>0</v>
      </c>
    </row>
    <row r="114" spans="1:37" hidden="1" outlineLevel="2" x14ac:dyDescent="0.25">
      <c r="A114" s="65" t="s">
        <v>11</v>
      </c>
      <c r="B114" s="65" t="s">
        <v>673</v>
      </c>
      <c r="C114" s="65" t="s">
        <v>1333</v>
      </c>
      <c r="D114" s="65" t="s">
        <v>1522</v>
      </c>
      <c r="E114" s="65" t="s">
        <v>415</v>
      </c>
      <c r="F114" s="70"/>
      <c r="G114" s="64">
        <f>VLOOKUP($B114,'7. PGE_Efficacité'!$A$6:$CY$266,(MATCH('[3]4.4 ACE MAX SEN '!G$4,'7. PGE_Efficacité'!$A$4:$AO$4,0)),0)</f>
        <v>0</v>
      </c>
      <c r="H114" s="64">
        <f>VLOOKUP($B114,'7. PGE_Efficacité'!$A$6:$CY$266,(MATCH('[3]4.4 ACE MAX SEN '!H$4,'7. PGE_Efficacité'!$A$4:$AO$4,0)),0)</f>
        <v>0</v>
      </c>
      <c r="I114" s="64">
        <f>VLOOKUP($B114,'7. PGE_Efficacité'!$A$6:$CY$266,(MATCH('[3]4.4 ACE MAX SEN '!I$4,'7. PGE_Efficacité'!$A$4:$AO$4,0)),0)</f>
        <v>0</v>
      </c>
      <c r="J114" s="64">
        <f>VLOOKUP($B114,'7. PGE_Efficacité'!$A$6:$CY$266,(MATCH('[3]4.4 ACE MAX SEN '!J$4,'7. PGE_Efficacité'!$A$4:$AO$4,0)),0)</f>
        <v>0</v>
      </c>
      <c r="K114" s="64">
        <f>VLOOKUP($B114,'7. PGE_Efficacité'!$A$6:$CY$266,(MATCH('[3]4.4 ACE MAX SEN '!K$4,'7. PGE_Efficacité'!$A$4:$AO$4,0)),0)</f>
        <v>0</v>
      </c>
      <c r="L114" s="64">
        <f>VLOOKUP($B114,'7. PGE_Efficacité'!$A$6:$CY$266,(MATCH('[3]4.4 ACE MAX SEN '!L$4,'7. PGE_Efficacité'!$A$4:$AO$4,0)),0)</f>
        <v>0</v>
      </c>
      <c r="M114" s="64">
        <f>VLOOKUP($B114,'7. PGE_Efficacité'!$A$6:$CY$266,(MATCH('[3]4.4 ACE MAX SEN '!M$4,'7. PGE_Efficacité'!$A$4:$AO$4,0)),0)</f>
        <v>0</v>
      </c>
      <c r="N114" s="64">
        <f>VLOOKUP($B114,'7. PGE_Efficacité'!$A$6:$CY$266,(MATCH('[3]4.4 ACE MAX SEN '!N$4,'7. PGE_Efficacité'!$A$4:$AO$4,0)),0)</f>
        <v>0</v>
      </c>
      <c r="O114" s="64">
        <f>VLOOKUP($B114,'7. PGE_Efficacité'!$A$6:$CY$266,(MATCH('[3]4.4 ACE MAX SEN '!O$4,'7. PGE_Efficacité'!$A$4:$AO$4,0)),0)</f>
        <v>0</v>
      </c>
      <c r="P114" s="64">
        <f>VLOOKUP($B114,'7. PGE_Efficacité'!$A$6:$CY$266,(MATCH('[3]4.4 ACE MAX SEN '!P$4,'7. PGE_Efficacité'!$A$4:$AO$4,0)),0)</f>
        <v>0</v>
      </c>
      <c r="Q114" s="64">
        <f>VLOOKUP($B114,'7. PGE_Efficacité'!$A$6:$CY$266,(MATCH('[3]4.4 ACE MAX SEN '!Q$4,'7. PGE_Efficacité'!$A$4:$AO$4,0)),0)</f>
        <v>0</v>
      </c>
      <c r="R114" s="64">
        <f>VLOOKUP($B114,'7. PGE_Efficacité'!$A$6:$CY$266,(MATCH('[3]4.4 ACE MAX SEN '!R$4,'7. PGE_Efficacité'!$A$4:$AO$4,0)),0)</f>
        <v>0</v>
      </c>
      <c r="S114" s="64">
        <f>VLOOKUP($B114,'7. PGE_Efficacité'!$A$6:$CY$266,(MATCH('[3]4.4 ACE MAX SEN '!S$4,'7. PGE_Efficacité'!$A$4:$AO$4,0)),0)</f>
        <v>0</v>
      </c>
      <c r="T114" s="64">
        <f>VLOOKUP($B114,'7. PGE_Efficacité'!$A$6:$CY$266,(MATCH('[3]4.4 ACE MAX SEN '!T$4,'7. PGE_Efficacité'!$A$4:$AO$4,0)),0)</f>
        <v>0</v>
      </c>
      <c r="U114" s="64">
        <f>VLOOKUP($B114,'7. PGE_Efficacité'!$A$6:$CY$266,(MATCH('[3]4.4 ACE MAX SEN '!U$4,'7. PGE_Efficacité'!$A$4:$AO$4,0)),0)</f>
        <v>0</v>
      </c>
      <c r="V114" s="64">
        <f>VLOOKUP($B114,'7. PGE_Efficacité'!$A$6:$CY$266,(MATCH('[3]4.4 ACE MAX SEN '!V$4,'7. PGE_Efficacité'!$A$4:$AO$4,0)),0)</f>
        <v>0</v>
      </c>
      <c r="W114" s="61">
        <f>VLOOKUP($B114,'7. PGE_Efficacité'!$A$6:$CY$266,(MATCH('[3]4.4 ACE MAX SEN '!W$4,'7. PGE_Efficacité'!$A$4:$AO$4,0)),0)</f>
        <v>0</v>
      </c>
      <c r="X114" s="61">
        <f>VLOOKUP($B114,'7. PGE_Efficacité'!$A$6:$CY$266,(MATCH('[3]4.4 ACE MAX SEN '!X$4,'7. PGE_Efficacité'!$A$4:$AO$4,0)),0)</f>
        <v>0</v>
      </c>
      <c r="Y114" s="61">
        <f>VLOOKUP($B114,'7. PGE_Efficacité'!$A$6:$CY$266,(MATCH('[3]4.4 ACE MAX SEN '!Y$4,'7. PGE_Efficacité'!$A$4:$AO$4,0)),0)</f>
        <v>0</v>
      </c>
      <c r="Z114" s="61">
        <f>VLOOKUP($B114,'7. PGE_Efficacité'!$A$6:$CY$266,(MATCH('[3]4.4 ACE MAX SEN '!Z$4,'7. PGE_Efficacité'!$A$4:$AO$4,0)),0)</f>
        <v>0</v>
      </c>
      <c r="AA114" s="61">
        <f>VLOOKUP($B114,'7. PGE_Efficacité'!$A$6:$CY$266,(MATCH('[3]4.4 ACE MAX SEN '!AA$4,'7. PGE_Efficacité'!$A$4:$AO$4,0)),0)</f>
        <v>0</v>
      </c>
      <c r="AB114" s="61">
        <f>VLOOKUP($B114,'7. PGE_Efficacité'!$A$6:$CY$266,(MATCH('[3]4.4 ACE MAX SEN '!AB$4,'7. PGE_Efficacité'!$A$4:$AO$4,0)),0)</f>
        <v>0</v>
      </c>
      <c r="AC114" s="61">
        <f>VLOOKUP($B114,'7. PGE_Efficacité'!$A$6:$CY$266,(MATCH('[3]4.4 ACE MAX SEN '!AC$4,'7. PGE_Efficacité'!$A$4:$AO$4,0)),0)</f>
        <v>0</v>
      </c>
      <c r="AD114" s="61">
        <f>VLOOKUP($B114,'7. PGE_Efficacité'!$A$6:$CY$266,(MATCH('[3]4.4 ACE MAX SEN '!AD$4,'7. PGE_Efficacité'!$A$4:$AO$4,0)),0)</f>
        <v>0</v>
      </c>
      <c r="AE114" s="61">
        <f>VLOOKUP($B114,'7. PGE_Efficacité'!$A$6:$CY$266,(MATCH('[3]4.4 ACE MAX SEN '!AE$4,'7. PGE_Efficacité'!$A$4:$AO$4,0)),0)</f>
        <v>0</v>
      </c>
      <c r="AF114" s="61">
        <f>VLOOKUP($B114,'7. PGE_Efficacité'!$A$6:$CY$266,(MATCH('[3]4.4 ACE MAX SEN '!AF$4,'7. PGE_Efficacité'!$A$4:$AO$4,0)),0)</f>
        <v>0</v>
      </c>
      <c r="AG114" s="61">
        <f>VLOOKUP($B114,'7. PGE_Efficacité'!$A$6:$CY$266,(MATCH('[3]4.4 ACE MAX SEN '!AG$4,'7. PGE_Efficacité'!$A$4:$AO$4,0)),0)</f>
        <v>0</v>
      </c>
      <c r="AH114" s="61">
        <f>VLOOKUP($B114,'7. PGE_Efficacité'!$A$6:$CY$266,(MATCH('[3]4.4 ACE MAX SEN '!AH$4,'7. PGE_Efficacité'!$A$4:$AO$4,0)),0)</f>
        <v>0</v>
      </c>
      <c r="AI114" s="61">
        <f>VLOOKUP($B114,'7. PGE_Efficacité'!$A$6:$CY$266,(MATCH('[3]4.4 ACE MAX SEN '!AI$4,'7. PGE_Efficacité'!$A$4:$AO$4,0)),0)</f>
        <v>0</v>
      </c>
      <c r="AJ114" s="61">
        <f>VLOOKUP($B114,'7. PGE_Efficacité'!$A$6:$CY$266,(MATCH('[3]4.4 ACE MAX SEN '!AJ$4,'7. PGE_Efficacité'!$A$4:$AO$4,0)),0)</f>
        <v>0</v>
      </c>
      <c r="AK114" s="61">
        <f>VLOOKUP($B114,'7. PGE_Efficacité'!$A$6:$CY$266,(MATCH('[3]4.4 ACE MAX SEN '!AK$4,'7. PGE_Efficacité'!$A$4:$AO$4,0)),0)</f>
        <v>0</v>
      </c>
    </row>
    <row r="115" spans="1:37" hidden="1" outlineLevel="2" x14ac:dyDescent="0.25">
      <c r="A115" s="65" t="s">
        <v>11</v>
      </c>
      <c r="B115" s="65" t="s">
        <v>674</v>
      </c>
      <c r="C115" s="65" t="s">
        <v>1334</v>
      </c>
      <c r="D115" s="65" t="s">
        <v>1522</v>
      </c>
      <c r="E115" s="65" t="s">
        <v>415</v>
      </c>
      <c r="F115" s="70"/>
      <c r="G115" s="64">
        <f>VLOOKUP($B115,'7. PGE_Efficacité'!$A$6:$CY$266,(MATCH('[3]4.4 ACE MAX SEN '!G$4,'7. PGE_Efficacité'!$A$4:$AO$4,0)),0)</f>
        <v>0</v>
      </c>
      <c r="H115" s="64">
        <f>VLOOKUP($B115,'7. PGE_Efficacité'!$A$6:$CY$266,(MATCH('[3]4.4 ACE MAX SEN '!H$4,'7. PGE_Efficacité'!$A$4:$AO$4,0)),0)</f>
        <v>0</v>
      </c>
      <c r="I115" s="64">
        <f>VLOOKUP($B115,'7. PGE_Efficacité'!$A$6:$CY$266,(MATCH('[3]4.4 ACE MAX SEN '!I$4,'7. PGE_Efficacité'!$A$4:$AO$4,0)),0)</f>
        <v>0</v>
      </c>
      <c r="J115" s="64">
        <f>VLOOKUP($B115,'7. PGE_Efficacité'!$A$6:$CY$266,(MATCH('[3]4.4 ACE MAX SEN '!J$4,'7. PGE_Efficacité'!$A$4:$AO$4,0)),0)</f>
        <v>0</v>
      </c>
      <c r="K115" s="64">
        <f>VLOOKUP($B115,'7. PGE_Efficacité'!$A$6:$CY$266,(MATCH('[3]4.4 ACE MAX SEN '!K$4,'7. PGE_Efficacité'!$A$4:$AO$4,0)),0)</f>
        <v>0</v>
      </c>
      <c r="L115" s="64">
        <f>VLOOKUP($B115,'7. PGE_Efficacité'!$A$6:$CY$266,(MATCH('[3]4.4 ACE MAX SEN '!L$4,'7. PGE_Efficacité'!$A$4:$AO$4,0)),0)</f>
        <v>0</v>
      </c>
      <c r="M115" s="64">
        <f>VLOOKUP($B115,'7. PGE_Efficacité'!$A$6:$CY$266,(MATCH('[3]4.4 ACE MAX SEN '!M$4,'7. PGE_Efficacité'!$A$4:$AO$4,0)),0)</f>
        <v>0</v>
      </c>
      <c r="N115" s="64">
        <f>VLOOKUP($B115,'7. PGE_Efficacité'!$A$6:$CY$266,(MATCH('[3]4.4 ACE MAX SEN '!N$4,'7. PGE_Efficacité'!$A$4:$AO$4,0)),0)</f>
        <v>0</v>
      </c>
      <c r="O115" s="64">
        <f>VLOOKUP($B115,'7. PGE_Efficacité'!$A$6:$CY$266,(MATCH('[3]4.4 ACE MAX SEN '!O$4,'7. PGE_Efficacité'!$A$4:$AO$4,0)),0)</f>
        <v>0</v>
      </c>
      <c r="P115" s="64">
        <f>VLOOKUP($B115,'7. PGE_Efficacité'!$A$6:$CY$266,(MATCH('[3]4.4 ACE MAX SEN '!P$4,'7. PGE_Efficacité'!$A$4:$AO$4,0)),0)</f>
        <v>0</v>
      </c>
      <c r="Q115" s="64">
        <f>VLOOKUP($B115,'7. PGE_Efficacité'!$A$6:$CY$266,(MATCH('[3]4.4 ACE MAX SEN '!Q$4,'7. PGE_Efficacité'!$A$4:$AO$4,0)),0)</f>
        <v>0</v>
      </c>
      <c r="R115" s="64">
        <f>VLOOKUP($B115,'7. PGE_Efficacité'!$A$6:$CY$266,(MATCH('[3]4.4 ACE MAX SEN '!R$4,'7. PGE_Efficacité'!$A$4:$AO$4,0)),0)</f>
        <v>0</v>
      </c>
      <c r="S115" s="64">
        <f>VLOOKUP($B115,'7. PGE_Efficacité'!$A$6:$CY$266,(MATCH('[3]4.4 ACE MAX SEN '!S$4,'7. PGE_Efficacité'!$A$4:$AO$4,0)),0)</f>
        <v>0</v>
      </c>
      <c r="T115" s="64">
        <f>VLOOKUP($B115,'7. PGE_Efficacité'!$A$6:$CY$266,(MATCH('[3]4.4 ACE MAX SEN '!T$4,'7. PGE_Efficacité'!$A$4:$AO$4,0)),0)</f>
        <v>0</v>
      </c>
      <c r="U115" s="64">
        <f>VLOOKUP($B115,'7. PGE_Efficacité'!$A$6:$CY$266,(MATCH('[3]4.4 ACE MAX SEN '!U$4,'7. PGE_Efficacité'!$A$4:$AO$4,0)),0)</f>
        <v>0</v>
      </c>
      <c r="V115" s="64">
        <f>VLOOKUP($B115,'7. PGE_Efficacité'!$A$6:$CY$266,(MATCH('[3]4.4 ACE MAX SEN '!V$4,'7. PGE_Efficacité'!$A$4:$AO$4,0)),0)</f>
        <v>0</v>
      </c>
      <c r="W115" s="61">
        <f>VLOOKUP($B115,'7. PGE_Efficacité'!$A$6:$CY$266,(MATCH('[3]4.4 ACE MAX SEN '!W$4,'7. PGE_Efficacité'!$A$4:$AO$4,0)),0)</f>
        <v>0</v>
      </c>
      <c r="X115" s="61">
        <f>VLOOKUP($B115,'7. PGE_Efficacité'!$A$6:$CY$266,(MATCH('[3]4.4 ACE MAX SEN '!X$4,'7. PGE_Efficacité'!$A$4:$AO$4,0)),0)</f>
        <v>0</v>
      </c>
      <c r="Y115" s="61">
        <f>VLOOKUP($B115,'7. PGE_Efficacité'!$A$6:$CY$266,(MATCH('[3]4.4 ACE MAX SEN '!Y$4,'7. PGE_Efficacité'!$A$4:$AO$4,0)),0)</f>
        <v>0</v>
      </c>
      <c r="Z115" s="61">
        <f>VLOOKUP($B115,'7. PGE_Efficacité'!$A$6:$CY$266,(MATCH('[3]4.4 ACE MAX SEN '!Z$4,'7. PGE_Efficacité'!$A$4:$AO$4,0)),0)</f>
        <v>0</v>
      </c>
      <c r="AA115" s="61">
        <f>VLOOKUP($B115,'7. PGE_Efficacité'!$A$6:$CY$266,(MATCH('[3]4.4 ACE MAX SEN '!AA$4,'7. PGE_Efficacité'!$A$4:$AO$4,0)),0)</f>
        <v>0</v>
      </c>
      <c r="AB115" s="61">
        <f>VLOOKUP($B115,'7. PGE_Efficacité'!$A$6:$CY$266,(MATCH('[3]4.4 ACE MAX SEN '!AB$4,'7. PGE_Efficacité'!$A$4:$AO$4,0)),0)</f>
        <v>0</v>
      </c>
      <c r="AC115" s="61">
        <f>VLOOKUP($B115,'7. PGE_Efficacité'!$A$6:$CY$266,(MATCH('[3]4.4 ACE MAX SEN '!AC$4,'7. PGE_Efficacité'!$A$4:$AO$4,0)),0)</f>
        <v>0</v>
      </c>
      <c r="AD115" s="61">
        <f>VLOOKUP($B115,'7. PGE_Efficacité'!$A$6:$CY$266,(MATCH('[3]4.4 ACE MAX SEN '!AD$4,'7. PGE_Efficacité'!$A$4:$AO$4,0)),0)</f>
        <v>0</v>
      </c>
      <c r="AE115" s="61">
        <f>VLOOKUP($B115,'7. PGE_Efficacité'!$A$6:$CY$266,(MATCH('[3]4.4 ACE MAX SEN '!AE$4,'7. PGE_Efficacité'!$A$4:$AO$4,0)),0)</f>
        <v>0</v>
      </c>
      <c r="AF115" s="61">
        <f>VLOOKUP($B115,'7. PGE_Efficacité'!$A$6:$CY$266,(MATCH('[3]4.4 ACE MAX SEN '!AF$4,'7. PGE_Efficacité'!$A$4:$AO$4,0)),0)</f>
        <v>0</v>
      </c>
      <c r="AG115" s="61">
        <f>VLOOKUP($B115,'7. PGE_Efficacité'!$A$6:$CY$266,(MATCH('[3]4.4 ACE MAX SEN '!AG$4,'7. PGE_Efficacité'!$A$4:$AO$4,0)),0)</f>
        <v>0</v>
      </c>
      <c r="AH115" s="61">
        <f>VLOOKUP($B115,'7. PGE_Efficacité'!$A$6:$CY$266,(MATCH('[3]4.4 ACE MAX SEN '!AH$4,'7. PGE_Efficacité'!$A$4:$AO$4,0)),0)</f>
        <v>0</v>
      </c>
      <c r="AI115" s="61">
        <f>VLOOKUP($B115,'7. PGE_Efficacité'!$A$6:$CY$266,(MATCH('[3]4.4 ACE MAX SEN '!AI$4,'7. PGE_Efficacité'!$A$4:$AO$4,0)),0)</f>
        <v>0</v>
      </c>
      <c r="AJ115" s="61">
        <f>VLOOKUP($B115,'7. PGE_Efficacité'!$A$6:$CY$266,(MATCH('[3]4.4 ACE MAX SEN '!AJ$4,'7. PGE_Efficacité'!$A$4:$AO$4,0)),0)</f>
        <v>0</v>
      </c>
      <c r="AK115" s="61">
        <f>VLOOKUP($B115,'7. PGE_Efficacité'!$A$6:$CY$266,(MATCH('[3]4.4 ACE MAX SEN '!AK$4,'7. PGE_Efficacité'!$A$4:$AO$4,0)),0)</f>
        <v>0</v>
      </c>
    </row>
    <row r="116" spans="1:37" ht="26.25" outlineLevel="1" collapsed="1" x14ac:dyDescent="0.25">
      <c r="A116" s="157" t="s">
        <v>13</v>
      </c>
      <c r="B116" s="63"/>
      <c r="C116" s="156" t="s">
        <v>226</v>
      </c>
      <c r="D116" s="63"/>
      <c r="E116" s="63"/>
      <c r="F116" s="72">
        <f>MEDIAN(VLOOKUP(A116,'4. Mesures_ACE_Budget'!$A$3:$J$31,9,0),VLOOKUP(A116,'4. Mesures_ACE_Budget'!$A$3:$J$31,10,0))</f>
        <v>0</v>
      </c>
      <c r="G116" s="180" t="str">
        <f>VLOOKUP($A116,'7. PGE_Efficacité'!$A$6:$CY$266,(MATCH('[2]4.4 ACE MAX SEN '!G$4,'7. PGE_Efficacité'!$A$4:$AO$4,0)),0)</f>
        <v>++</v>
      </c>
      <c r="H116" s="180" t="str">
        <f>VLOOKUP($A116,'7. PGE_Efficacité'!$A$6:$CY$266,(MATCH('[2]4.4 ACE MAX SEN '!H$4,'7. PGE_Efficacité'!$A$4:$AO$4,0)),0)</f>
        <v>++</v>
      </c>
      <c r="I116" s="180" t="str">
        <f>VLOOKUP($A116,'7. PGE_Efficacité'!$A$6:$CY$266,(MATCH('[2]4.4 ACE MAX SEN '!I$4,'7. PGE_Efficacité'!$A$4:$AO$4,0)),0)</f>
        <v>++</v>
      </c>
      <c r="J116" s="180" t="str">
        <f>VLOOKUP($A116,'7. PGE_Efficacité'!$A$6:$CY$266,(MATCH('[2]4.4 ACE MAX SEN '!J$4,'7. PGE_Efficacité'!$A$4:$AO$4,0)),0)</f>
        <v>++</v>
      </c>
      <c r="K116" s="180" t="str">
        <f>VLOOKUP($A116,'7. PGE_Efficacité'!$A$6:$CY$266,(MATCH('[2]4.4 ACE MAX SEN '!K$4,'7. PGE_Efficacité'!$A$4:$AO$4,0)),0)</f>
        <v>++</v>
      </c>
      <c r="L116" s="180" t="str">
        <f>VLOOKUP($A116,'7. PGE_Efficacité'!$A$6:$CY$266,(MATCH('[2]4.4 ACE MAX SEN '!L$4,'7. PGE_Efficacité'!$A$4:$AO$4,0)),0)</f>
        <v>+</v>
      </c>
      <c r="M116" s="180" t="str">
        <f>VLOOKUP($A116,'7. PGE_Efficacité'!$A$6:$CY$266,(MATCH('[2]4.4 ACE MAX SEN '!M$4,'7. PGE_Efficacité'!$A$4:$AO$4,0)),0)</f>
        <v>+</v>
      </c>
      <c r="N116" s="180" t="str">
        <f>VLOOKUP($A116,'7. PGE_Efficacité'!$A$6:$CY$266,(MATCH('[2]4.4 ACE MAX SEN '!N$4,'7. PGE_Efficacité'!$A$4:$AO$4,0)),0)</f>
        <v>++</v>
      </c>
      <c r="O116" s="180" t="str">
        <f>VLOOKUP($A116,'7. PGE_Efficacité'!$A$6:$CY$266,(MATCH('[2]4.4 ACE MAX SEN '!O$4,'7. PGE_Efficacité'!$A$4:$AO$4,0)),0)</f>
        <v>+</v>
      </c>
      <c r="P116" s="180" t="str">
        <f>VLOOKUP($A116,'7. PGE_Efficacité'!$A$6:$CY$266,(MATCH('[2]4.4 ACE MAX SEN '!P$4,'7. PGE_Efficacité'!$A$4:$AO$4,0)),0)</f>
        <v>+</v>
      </c>
      <c r="Q116" s="180" t="str">
        <f>VLOOKUP($A116,'7. PGE_Efficacité'!$A$6:$CY$266,(MATCH('[2]4.4 ACE MAX SEN '!Q$4,'7. PGE_Efficacité'!$A$4:$AO$4,0)),0)</f>
        <v>+</v>
      </c>
      <c r="R116" s="180">
        <f>VLOOKUP($A116,'7. PGE_Efficacité'!$A$6:$CY$266,(MATCH('[2]4.4 ACE MAX SEN '!R$4,'7. PGE_Efficacité'!$A$4:$AO$4,0)),0)</f>
        <v>0</v>
      </c>
      <c r="S116" s="180" t="str">
        <f>VLOOKUP($A116,'7. PGE_Efficacité'!$A$6:$CY$266,(MATCH('[2]4.4 ACE MAX SEN '!S$4,'7. PGE_Efficacité'!$A$4:$AO$4,0)),0)</f>
        <v>++</v>
      </c>
      <c r="T116" s="180" t="str">
        <f>VLOOKUP($A116,'7. PGE_Efficacité'!$A$6:$CY$266,(MATCH('[2]4.4 ACE MAX SEN '!T$4,'7. PGE_Efficacité'!$A$4:$AO$4,0)),0)</f>
        <v>++</v>
      </c>
      <c r="U116" s="180" t="str">
        <f>VLOOKUP($A116,'7. PGE_Efficacité'!$A$6:$CY$266,(MATCH('[2]4.4 ACE MAX SEN '!U$4,'7. PGE_Efficacité'!$A$4:$AO$4,0)),0)</f>
        <v>+</v>
      </c>
      <c r="V116" s="180" t="str">
        <f>VLOOKUP($A116,'7. PGE_Efficacité'!$A$6:$CY$266,(MATCH('[2]4.4 ACE MAX SEN '!V$4,'7. PGE_Efficacité'!$A$4:$AO$4,0)),0)</f>
        <v>+</v>
      </c>
      <c r="W116" s="181" t="str">
        <f>VLOOKUP($A116,'7. PGE_Efficacité'!$A$6:$CY$266,(MATCH('[2]4.4 ACE MAX SEN '!W$4,'7. PGE_Efficacité'!$A$4:$AO$4,0)),0)</f>
        <v>++</v>
      </c>
      <c r="X116" s="181" t="str">
        <f>VLOOKUP($A116,'7. PGE_Efficacité'!$A$6:$CY$266,(MATCH('[2]4.4 ACE MAX SEN '!X$4,'7. PGE_Efficacité'!$A$4:$AO$4,0)),0)</f>
        <v>++</v>
      </c>
      <c r="Y116" s="181" t="str">
        <f>VLOOKUP($A116,'7. PGE_Efficacité'!$A$6:$CY$266,(MATCH('[2]4.4 ACE MAX SEN '!Y$4,'7. PGE_Efficacité'!$A$4:$AO$4,0)),0)</f>
        <v>++</v>
      </c>
      <c r="Z116" s="181" t="str">
        <f>VLOOKUP($A116,'7. PGE_Efficacité'!$A$6:$CY$266,(MATCH('[2]4.4 ACE MAX SEN '!Z$4,'7. PGE_Efficacité'!$A$4:$AO$4,0)),0)</f>
        <v>++</v>
      </c>
      <c r="AA116" s="181" t="str">
        <f>VLOOKUP($A116,'7. PGE_Efficacité'!$A$6:$CY$266,(MATCH('[2]4.4 ACE MAX SEN '!AA$4,'7. PGE_Efficacité'!$A$4:$AO$4,0)),0)</f>
        <v>++</v>
      </c>
      <c r="AB116" s="181" t="str">
        <f>VLOOKUP($A116,'7. PGE_Efficacité'!$A$6:$CY$266,(MATCH('[2]4.4 ACE MAX SEN '!AB$4,'7. PGE_Efficacité'!$A$4:$AO$4,0)),0)</f>
        <v>++</v>
      </c>
      <c r="AC116" s="181" t="str">
        <f>VLOOKUP($A116,'7. PGE_Efficacité'!$A$6:$CY$266,(MATCH('[2]4.4 ACE MAX SEN '!AC$4,'7. PGE_Efficacité'!$A$4:$AO$4,0)),0)</f>
        <v>+</v>
      </c>
      <c r="AD116" s="181">
        <f>VLOOKUP($A116,'7. PGE_Efficacité'!$A$6:$CY$266,(MATCH('[2]4.4 ACE MAX SEN '!AD$4,'7. PGE_Efficacité'!$A$4:$AO$4,0)),0)</f>
        <v>0</v>
      </c>
      <c r="AE116" s="181">
        <f>VLOOKUP($A116,'7. PGE_Efficacité'!$A$6:$CY$266,(MATCH('[2]4.4 ACE MAX SEN '!AE$4,'7. PGE_Efficacité'!$A$4:$AO$4,0)),0)</f>
        <v>0</v>
      </c>
      <c r="AF116" s="181">
        <f>VLOOKUP($A116,'7. PGE_Efficacité'!$A$6:$CY$266,(MATCH('[2]4.4 ACE MAX SEN '!AF$4,'7. PGE_Efficacité'!$A$4:$AO$4,0)),0)</f>
        <v>0</v>
      </c>
      <c r="AG116" s="181">
        <f>VLOOKUP($A116,'7. PGE_Efficacité'!$A$6:$CY$266,(MATCH('[2]4.4 ACE MAX SEN '!AG$4,'7. PGE_Efficacité'!$A$4:$AO$4,0)),0)</f>
        <v>0</v>
      </c>
      <c r="AH116" s="181" t="str">
        <f>VLOOKUP($A116,'7. PGE_Efficacité'!$A$6:$CY$266,(MATCH('[2]4.4 ACE MAX SEN '!AH$4,'7. PGE_Efficacité'!$A$4:$AO$4,0)),0)</f>
        <v>+</v>
      </c>
      <c r="AI116" s="181" t="str">
        <f>VLOOKUP($A116,'7. PGE_Efficacité'!$A$6:$CY$266,(MATCH('[2]4.4 ACE MAX SEN '!AI$4,'7. PGE_Efficacité'!$A$4:$AO$4,0)),0)</f>
        <v>+</v>
      </c>
      <c r="AJ116" s="181" t="str">
        <f>VLOOKUP($A116,'7. PGE_Efficacité'!$A$6:$CY$266,(MATCH('[2]4.4 ACE MAX SEN '!AJ$4,'7. PGE_Efficacité'!$A$4:$AO$4,0)),0)</f>
        <v>+</v>
      </c>
      <c r="AK116" s="181" t="str">
        <f>VLOOKUP($A116,'7. PGE_Efficacité'!$A$6:$CY$266,(MATCH('[2]4.4 ACE MAX SEN '!AK$4,'7. PGE_Efficacité'!$A$4:$AO$4,0)),0)</f>
        <v>+</v>
      </c>
    </row>
    <row r="117" spans="1:37" hidden="1" outlineLevel="2" x14ac:dyDescent="0.25">
      <c r="A117" s="65" t="s">
        <v>13</v>
      </c>
      <c r="B117" s="65" t="s">
        <v>675</v>
      </c>
      <c r="C117" s="65" t="s">
        <v>1335</v>
      </c>
      <c r="D117" s="65" t="s">
        <v>1521</v>
      </c>
      <c r="E117" s="65" t="s">
        <v>1290</v>
      </c>
      <c r="F117" s="70"/>
      <c r="G117" s="64">
        <f>VLOOKUP($B117,'7. PGE_Efficacité'!$A$6:$CY$266,(MATCH('[3]4.4 ACE MAX SEN '!G$4,'7. PGE_Efficacité'!$A$4:$AO$4,0)),0)</f>
        <v>0</v>
      </c>
      <c r="H117" s="64">
        <f>VLOOKUP($B117,'7. PGE_Efficacité'!$A$6:$CY$266,(MATCH('[3]4.4 ACE MAX SEN '!H$4,'7. PGE_Efficacité'!$A$4:$AO$4,0)),0)</f>
        <v>0</v>
      </c>
      <c r="I117" s="64">
        <f>VLOOKUP($B117,'7. PGE_Efficacité'!$A$6:$CY$266,(MATCH('[3]4.4 ACE MAX SEN '!I$4,'7. PGE_Efficacité'!$A$4:$AO$4,0)),0)</f>
        <v>0</v>
      </c>
      <c r="J117" s="64">
        <f>VLOOKUP($B117,'7. PGE_Efficacité'!$A$6:$CY$266,(MATCH('[3]4.4 ACE MAX SEN '!J$4,'7. PGE_Efficacité'!$A$4:$AO$4,0)),0)</f>
        <v>0</v>
      </c>
      <c r="K117" s="64">
        <f>VLOOKUP($B117,'7. PGE_Efficacité'!$A$6:$CY$266,(MATCH('[3]4.4 ACE MAX SEN '!K$4,'7. PGE_Efficacité'!$A$4:$AO$4,0)),0)</f>
        <v>0</v>
      </c>
      <c r="L117" s="64">
        <f>VLOOKUP($B117,'7. PGE_Efficacité'!$A$6:$CY$266,(MATCH('[3]4.4 ACE MAX SEN '!L$4,'7. PGE_Efficacité'!$A$4:$AO$4,0)),0)</f>
        <v>0</v>
      </c>
      <c r="M117" s="64">
        <f>VLOOKUP($B117,'7. PGE_Efficacité'!$A$6:$CY$266,(MATCH('[3]4.4 ACE MAX SEN '!M$4,'7. PGE_Efficacité'!$A$4:$AO$4,0)),0)</f>
        <v>0</v>
      </c>
      <c r="N117" s="64">
        <f>VLOOKUP($B117,'7. PGE_Efficacité'!$A$6:$CY$266,(MATCH('[3]4.4 ACE MAX SEN '!N$4,'7. PGE_Efficacité'!$A$4:$AO$4,0)),0)</f>
        <v>0</v>
      </c>
      <c r="O117" s="64">
        <f>VLOOKUP($B117,'7. PGE_Efficacité'!$A$6:$CY$266,(MATCH('[3]4.4 ACE MAX SEN '!O$4,'7. PGE_Efficacité'!$A$4:$AO$4,0)),0)</f>
        <v>0</v>
      </c>
      <c r="P117" s="64">
        <f>VLOOKUP($B117,'7. PGE_Efficacité'!$A$6:$CY$266,(MATCH('[3]4.4 ACE MAX SEN '!P$4,'7. PGE_Efficacité'!$A$4:$AO$4,0)),0)</f>
        <v>0</v>
      </c>
      <c r="Q117" s="64">
        <f>VLOOKUP($B117,'7. PGE_Efficacité'!$A$6:$CY$266,(MATCH('[3]4.4 ACE MAX SEN '!Q$4,'7. PGE_Efficacité'!$A$4:$AO$4,0)),0)</f>
        <v>0</v>
      </c>
      <c r="R117" s="64">
        <f>VLOOKUP($B117,'7. PGE_Efficacité'!$A$6:$CY$266,(MATCH('[3]4.4 ACE MAX SEN '!R$4,'7. PGE_Efficacité'!$A$4:$AO$4,0)),0)</f>
        <v>0</v>
      </c>
      <c r="S117" s="64">
        <f>VLOOKUP($B117,'7. PGE_Efficacité'!$A$6:$CY$266,(MATCH('[3]4.4 ACE MAX SEN '!S$4,'7. PGE_Efficacité'!$A$4:$AO$4,0)),0)</f>
        <v>0</v>
      </c>
      <c r="T117" s="64">
        <f>VLOOKUP($B117,'7. PGE_Efficacité'!$A$6:$CY$266,(MATCH('[3]4.4 ACE MAX SEN '!T$4,'7. PGE_Efficacité'!$A$4:$AO$4,0)),0)</f>
        <v>0</v>
      </c>
      <c r="U117" s="64">
        <f>VLOOKUP($B117,'7. PGE_Efficacité'!$A$6:$CY$266,(MATCH('[3]4.4 ACE MAX SEN '!U$4,'7. PGE_Efficacité'!$A$4:$AO$4,0)),0)</f>
        <v>0</v>
      </c>
      <c r="V117" s="64">
        <f>VLOOKUP($B117,'7. PGE_Efficacité'!$A$6:$CY$266,(MATCH('[3]4.4 ACE MAX SEN '!V$4,'7. PGE_Efficacité'!$A$4:$AO$4,0)),0)</f>
        <v>0</v>
      </c>
      <c r="W117" s="61">
        <f>VLOOKUP($B117,'7. PGE_Efficacité'!$A$6:$CY$266,(MATCH('[3]4.4 ACE MAX SEN '!W$4,'7. PGE_Efficacité'!$A$4:$AO$4,0)),0)</f>
        <v>0</v>
      </c>
      <c r="X117" s="61">
        <f>VLOOKUP($B117,'7. PGE_Efficacité'!$A$6:$CY$266,(MATCH('[3]4.4 ACE MAX SEN '!X$4,'7. PGE_Efficacité'!$A$4:$AO$4,0)),0)</f>
        <v>0</v>
      </c>
      <c r="Y117" s="61">
        <f>VLOOKUP($B117,'7. PGE_Efficacité'!$A$6:$CY$266,(MATCH('[3]4.4 ACE MAX SEN '!Y$4,'7. PGE_Efficacité'!$A$4:$AO$4,0)),0)</f>
        <v>0</v>
      </c>
      <c r="Z117" s="61">
        <f>VLOOKUP($B117,'7. PGE_Efficacité'!$A$6:$CY$266,(MATCH('[3]4.4 ACE MAX SEN '!Z$4,'7. PGE_Efficacité'!$A$4:$AO$4,0)),0)</f>
        <v>0</v>
      </c>
      <c r="AA117" s="61">
        <f>VLOOKUP($B117,'7. PGE_Efficacité'!$A$6:$CY$266,(MATCH('[3]4.4 ACE MAX SEN '!AA$4,'7. PGE_Efficacité'!$A$4:$AO$4,0)),0)</f>
        <v>0</v>
      </c>
      <c r="AB117" s="61">
        <f>VLOOKUP($B117,'7. PGE_Efficacité'!$A$6:$CY$266,(MATCH('[3]4.4 ACE MAX SEN '!AB$4,'7. PGE_Efficacité'!$A$4:$AO$4,0)),0)</f>
        <v>0</v>
      </c>
      <c r="AC117" s="61">
        <f>VLOOKUP($B117,'7. PGE_Efficacité'!$A$6:$CY$266,(MATCH('[3]4.4 ACE MAX SEN '!AC$4,'7. PGE_Efficacité'!$A$4:$AO$4,0)),0)</f>
        <v>0</v>
      </c>
      <c r="AD117" s="61">
        <f>VLOOKUP($B117,'7. PGE_Efficacité'!$A$6:$CY$266,(MATCH('[3]4.4 ACE MAX SEN '!AD$4,'7. PGE_Efficacité'!$A$4:$AO$4,0)),0)</f>
        <v>0</v>
      </c>
      <c r="AE117" s="61">
        <f>VLOOKUP($B117,'7. PGE_Efficacité'!$A$6:$CY$266,(MATCH('[3]4.4 ACE MAX SEN '!AE$4,'7. PGE_Efficacité'!$A$4:$AO$4,0)),0)</f>
        <v>0</v>
      </c>
      <c r="AF117" s="61">
        <f>VLOOKUP($B117,'7. PGE_Efficacité'!$A$6:$CY$266,(MATCH('[3]4.4 ACE MAX SEN '!AF$4,'7. PGE_Efficacité'!$A$4:$AO$4,0)),0)</f>
        <v>0</v>
      </c>
      <c r="AG117" s="61">
        <f>VLOOKUP($B117,'7. PGE_Efficacité'!$A$6:$CY$266,(MATCH('[3]4.4 ACE MAX SEN '!AG$4,'7. PGE_Efficacité'!$A$4:$AO$4,0)),0)</f>
        <v>0</v>
      </c>
      <c r="AH117" s="61">
        <f>VLOOKUP($B117,'7. PGE_Efficacité'!$A$6:$CY$266,(MATCH('[3]4.4 ACE MAX SEN '!AH$4,'7. PGE_Efficacité'!$A$4:$AO$4,0)),0)</f>
        <v>0</v>
      </c>
      <c r="AI117" s="61">
        <f>VLOOKUP($B117,'7. PGE_Efficacité'!$A$6:$CY$266,(MATCH('[3]4.4 ACE MAX SEN '!AI$4,'7. PGE_Efficacité'!$A$4:$AO$4,0)),0)</f>
        <v>0</v>
      </c>
      <c r="AJ117" s="61">
        <f>VLOOKUP($B117,'7. PGE_Efficacité'!$A$6:$CY$266,(MATCH('[3]4.4 ACE MAX SEN '!AJ$4,'7. PGE_Efficacité'!$A$4:$AO$4,0)),0)</f>
        <v>0</v>
      </c>
      <c r="AK117" s="61">
        <f>VLOOKUP($B117,'7. PGE_Efficacité'!$A$6:$CY$266,(MATCH('[3]4.4 ACE MAX SEN '!AK$4,'7. PGE_Efficacité'!$A$4:$AO$4,0)),0)</f>
        <v>0</v>
      </c>
    </row>
    <row r="118" spans="1:37" hidden="1" outlineLevel="2" x14ac:dyDescent="0.25">
      <c r="A118" s="65" t="s">
        <v>13</v>
      </c>
      <c r="B118" s="65" t="s">
        <v>676</v>
      </c>
      <c r="C118" s="65" t="s">
        <v>1336</v>
      </c>
      <c r="D118" s="65" t="s">
        <v>1521</v>
      </c>
      <c r="E118" s="65" t="s">
        <v>1290</v>
      </c>
      <c r="F118" s="70"/>
      <c r="G118" s="64">
        <f>VLOOKUP($B118,'7. PGE_Efficacité'!$A$6:$CY$266,(MATCH('[3]4.4 ACE MAX SEN '!G$4,'7. PGE_Efficacité'!$A$4:$AO$4,0)),0)</f>
        <v>0</v>
      </c>
      <c r="H118" s="64">
        <f>VLOOKUP($B118,'7. PGE_Efficacité'!$A$6:$CY$266,(MATCH('[3]4.4 ACE MAX SEN '!H$4,'7. PGE_Efficacité'!$A$4:$AO$4,0)),0)</f>
        <v>0</v>
      </c>
      <c r="I118" s="64">
        <f>VLOOKUP($B118,'7. PGE_Efficacité'!$A$6:$CY$266,(MATCH('[3]4.4 ACE MAX SEN '!I$4,'7. PGE_Efficacité'!$A$4:$AO$4,0)),0)</f>
        <v>0</v>
      </c>
      <c r="J118" s="64">
        <f>VLOOKUP($B118,'7. PGE_Efficacité'!$A$6:$CY$266,(MATCH('[3]4.4 ACE MAX SEN '!J$4,'7. PGE_Efficacité'!$A$4:$AO$4,0)),0)</f>
        <v>0</v>
      </c>
      <c r="K118" s="64">
        <f>VLOOKUP($B118,'7. PGE_Efficacité'!$A$6:$CY$266,(MATCH('[3]4.4 ACE MAX SEN '!K$4,'7. PGE_Efficacité'!$A$4:$AO$4,0)),0)</f>
        <v>0</v>
      </c>
      <c r="L118" s="64">
        <f>VLOOKUP($B118,'7. PGE_Efficacité'!$A$6:$CY$266,(MATCH('[3]4.4 ACE MAX SEN '!L$4,'7. PGE_Efficacité'!$A$4:$AO$4,0)),0)</f>
        <v>0</v>
      </c>
      <c r="M118" s="64">
        <f>VLOOKUP($B118,'7. PGE_Efficacité'!$A$6:$CY$266,(MATCH('[3]4.4 ACE MAX SEN '!M$4,'7. PGE_Efficacité'!$A$4:$AO$4,0)),0)</f>
        <v>0</v>
      </c>
      <c r="N118" s="64">
        <f>VLOOKUP($B118,'7. PGE_Efficacité'!$A$6:$CY$266,(MATCH('[3]4.4 ACE MAX SEN '!N$4,'7. PGE_Efficacité'!$A$4:$AO$4,0)),0)</f>
        <v>0</v>
      </c>
      <c r="O118" s="64">
        <f>VLOOKUP($B118,'7. PGE_Efficacité'!$A$6:$CY$266,(MATCH('[3]4.4 ACE MAX SEN '!O$4,'7. PGE_Efficacité'!$A$4:$AO$4,0)),0)</f>
        <v>0</v>
      </c>
      <c r="P118" s="64">
        <f>VLOOKUP($B118,'7. PGE_Efficacité'!$A$6:$CY$266,(MATCH('[3]4.4 ACE MAX SEN '!P$4,'7. PGE_Efficacité'!$A$4:$AO$4,0)),0)</f>
        <v>0</v>
      </c>
      <c r="Q118" s="64">
        <f>VLOOKUP($B118,'7. PGE_Efficacité'!$A$6:$CY$266,(MATCH('[3]4.4 ACE MAX SEN '!Q$4,'7. PGE_Efficacité'!$A$4:$AO$4,0)),0)</f>
        <v>0</v>
      </c>
      <c r="R118" s="64">
        <f>VLOOKUP($B118,'7. PGE_Efficacité'!$A$6:$CY$266,(MATCH('[3]4.4 ACE MAX SEN '!R$4,'7. PGE_Efficacité'!$A$4:$AO$4,0)),0)</f>
        <v>0</v>
      </c>
      <c r="S118" s="64">
        <f>VLOOKUP($B118,'7. PGE_Efficacité'!$A$6:$CY$266,(MATCH('[3]4.4 ACE MAX SEN '!S$4,'7. PGE_Efficacité'!$A$4:$AO$4,0)),0)</f>
        <v>0</v>
      </c>
      <c r="T118" s="64">
        <f>VLOOKUP($B118,'7. PGE_Efficacité'!$A$6:$CY$266,(MATCH('[3]4.4 ACE MAX SEN '!T$4,'7. PGE_Efficacité'!$A$4:$AO$4,0)),0)</f>
        <v>0</v>
      </c>
      <c r="U118" s="64">
        <f>VLOOKUP($B118,'7. PGE_Efficacité'!$A$6:$CY$266,(MATCH('[3]4.4 ACE MAX SEN '!U$4,'7. PGE_Efficacité'!$A$4:$AO$4,0)),0)</f>
        <v>0</v>
      </c>
      <c r="V118" s="64">
        <f>VLOOKUP($B118,'7. PGE_Efficacité'!$A$6:$CY$266,(MATCH('[3]4.4 ACE MAX SEN '!V$4,'7. PGE_Efficacité'!$A$4:$AO$4,0)),0)</f>
        <v>0</v>
      </c>
      <c r="W118" s="61">
        <f>VLOOKUP($B118,'7. PGE_Efficacité'!$A$6:$CY$266,(MATCH('[3]4.4 ACE MAX SEN '!W$4,'7. PGE_Efficacité'!$A$4:$AO$4,0)),0)</f>
        <v>0</v>
      </c>
      <c r="X118" s="61">
        <f>VLOOKUP($B118,'7. PGE_Efficacité'!$A$6:$CY$266,(MATCH('[3]4.4 ACE MAX SEN '!X$4,'7. PGE_Efficacité'!$A$4:$AO$4,0)),0)</f>
        <v>0</v>
      </c>
      <c r="Y118" s="61">
        <f>VLOOKUP($B118,'7. PGE_Efficacité'!$A$6:$CY$266,(MATCH('[3]4.4 ACE MAX SEN '!Y$4,'7. PGE_Efficacité'!$A$4:$AO$4,0)),0)</f>
        <v>0</v>
      </c>
      <c r="Z118" s="61">
        <f>VLOOKUP($B118,'7. PGE_Efficacité'!$A$6:$CY$266,(MATCH('[3]4.4 ACE MAX SEN '!Z$4,'7. PGE_Efficacité'!$A$4:$AO$4,0)),0)</f>
        <v>0</v>
      </c>
      <c r="AA118" s="61">
        <f>VLOOKUP($B118,'7. PGE_Efficacité'!$A$6:$CY$266,(MATCH('[3]4.4 ACE MAX SEN '!AA$4,'7. PGE_Efficacité'!$A$4:$AO$4,0)),0)</f>
        <v>0</v>
      </c>
      <c r="AB118" s="61">
        <f>VLOOKUP($B118,'7. PGE_Efficacité'!$A$6:$CY$266,(MATCH('[3]4.4 ACE MAX SEN '!AB$4,'7. PGE_Efficacité'!$A$4:$AO$4,0)),0)</f>
        <v>0</v>
      </c>
      <c r="AC118" s="61">
        <f>VLOOKUP($B118,'7. PGE_Efficacité'!$A$6:$CY$266,(MATCH('[3]4.4 ACE MAX SEN '!AC$4,'7. PGE_Efficacité'!$A$4:$AO$4,0)),0)</f>
        <v>0</v>
      </c>
      <c r="AD118" s="61">
        <f>VLOOKUP($B118,'7. PGE_Efficacité'!$A$6:$CY$266,(MATCH('[3]4.4 ACE MAX SEN '!AD$4,'7. PGE_Efficacité'!$A$4:$AO$4,0)),0)</f>
        <v>0</v>
      </c>
      <c r="AE118" s="61">
        <f>VLOOKUP($B118,'7. PGE_Efficacité'!$A$6:$CY$266,(MATCH('[3]4.4 ACE MAX SEN '!AE$4,'7. PGE_Efficacité'!$A$4:$AO$4,0)),0)</f>
        <v>0</v>
      </c>
      <c r="AF118" s="61">
        <f>VLOOKUP($B118,'7. PGE_Efficacité'!$A$6:$CY$266,(MATCH('[3]4.4 ACE MAX SEN '!AF$4,'7. PGE_Efficacité'!$A$4:$AO$4,0)),0)</f>
        <v>0</v>
      </c>
      <c r="AG118" s="61">
        <f>VLOOKUP($B118,'7. PGE_Efficacité'!$A$6:$CY$266,(MATCH('[3]4.4 ACE MAX SEN '!AG$4,'7. PGE_Efficacité'!$A$4:$AO$4,0)),0)</f>
        <v>0</v>
      </c>
      <c r="AH118" s="61">
        <f>VLOOKUP($B118,'7. PGE_Efficacité'!$A$6:$CY$266,(MATCH('[3]4.4 ACE MAX SEN '!AH$4,'7. PGE_Efficacité'!$A$4:$AO$4,0)),0)</f>
        <v>0</v>
      </c>
      <c r="AI118" s="61">
        <f>VLOOKUP($B118,'7. PGE_Efficacité'!$A$6:$CY$266,(MATCH('[3]4.4 ACE MAX SEN '!AI$4,'7. PGE_Efficacité'!$A$4:$AO$4,0)),0)</f>
        <v>0</v>
      </c>
      <c r="AJ118" s="61">
        <f>VLOOKUP($B118,'7. PGE_Efficacité'!$A$6:$CY$266,(MATCH('[3]4.4 ACE MAX SEN '!AJ$4,'7. PGE_Efficacité'!$A$4:$AO$4,0)),0)</f>
        <v>0</v>
      </c>
      <c r="AK118" s="61">
        <f>VLOOKUP($B118,'7. PGE_Efficacité'!$A$6:$CY$266,(MATCH('[3]4.4 ACE MAX SEN '!AK$4,'7. PGE_Efficacité'!$A$4:$AO$4,0)),0)</f>
        <v>0</v>
      </c>
    </row>
    <row r="119" spans="1:37" hidden="1" outlineLevel="2" x14ac:dyDescent="0.25">
      <c r="A119" s="65" t="s">
        <v>13</v>
      </c>
      <c r="B119" s="65" t="s">
        <v>677</v>
      </c>
      <c r="C119" s="65" t="s">
        <v>1337</v>
      </c>
      <c r="D119" s="65" t="s">
        <v>1521</v>
      </c>
      <c r="E119" s="65" t="s">
        <v>1290</v>
      </c>
      <c r="F119" s="70"/>
      <c r="G119" s="64">
        <f>VLOOKUP($B119,'7. PGE_Efficacité'!$A$6:$CY$266,(MATCH('[3]4.4 ACE MAX SEN '!G$4,'7. PGE_Efficacité'!$A$4:$AO$4,0)),0)</f>
        <v>0</v>
      </c>
      <c r="H119" s="64">
        <f>VLOOKUP($B119,'7. PGE_Efficacité'!$A$6:$CY$266,(MATCH('[3]4.4 ACE MAX SEN '!H$4,'7. PGE_Efficacité'!$A$4:$AO$4,0)),0)</f>
        <v>0</v>
      </c>
      <c r="I119" s="64">
        <f>VLOOKUP($B119,'7. PGE_Efficacité'!$A$6:$CY$266,(MATCH('[3]4.4 ACE MAX SEN '!I$4,'7. PGE_Efficacité'!$A$4:$AO$4,0)),0)</f>
        <v>0</v>
      </c>
      <c r="J119" s="64">
        <f>VLOOKUP($B119,'7. PGE_Efficacité'!$A$6:$CY$266,(MATCH('[3]4.4 ACE MAX SEN '!J$4,'7. PGE_Efficacité'!$A$4:$AO$4,0)),0)</f>
        <v>0</v>
      </c>
      <c r="K119" s="64">
        <f>VLOOKUP($B119,'7. PGE_Efficacité'!$A$6:$CY$266,(MATCH('[3]4.4 ACE MAX SEN '!K$4,'7. PGE_Efficacité'!$A$4:$AO$4,0)),0)</f>
        <v>0</v>
      </c>
      <c r="L119" s="64">
        <f>VLOOKUP($B119,'7. PGE_Efficacité'!$A$6:$CY$266,(MATCH('[3]4.4 ACE MAX SEN '!L$4,'7. PGE_Efficacité'!$A$4:$AO$4,0)),0)</f>
        <v>0</v>
      </c>
      <c r="M119" s="64">
        <f>VLOOKUP($B119,'7. PGE_Efficacité'!$A$6:$CY$266,(MATCH('[3]4.4 ACE MAX SEN '!M$4,'7. PGE_Efficacité'!$A$4:$AO$4,0)),0)</f>
        <v>0</v>
      </c>
      <c r="N119" s="64">
        <f>VLOOKUP($B119,'7. PGE_Efficacité'!$A$6:$CY$266,(MATCH('[3]4.4 ACE MAX SEN '!N$4,'7. PGE_Efficacité'!$A$4:$AO$4,0)),0)</f>
        <v>0</v>
      </c>
      <c r="O119" s="64">
        <f>VLOOKUP($B119,'7. PGE_Efficacité'!$A$6:$CY$266,(MATCH('[3]4.4 ACE MAX SEN '!O$4,'7. PGE_Efficacité'!$A$4:$AO$4,0)),0)</f>
        <v>0</v>
      </c>
      <c r="P119" s="64">
        <f>VLOOKUP($B119,'7. PGE_Efficacité'!$A$6:$CY$266,(MATCH('[3]4.4 ACE MAX SEN '!P$4,'7. PGE_Efficacité'!$A$4:$AO$4,0)),0)</f>
        <v>0</v>
      </c>
      <c r="Q119" s="64">
        <f>VLOOKUP($B119,'7. PGE_Efficacité'!$A$6:$CY$266,(MATCH('[3]4.4 ACE MAX SEN '!Q$4,'7. PGE_Efficacité'!$A$4:$AO$4,0)),0)</f>
        <v>0</v>
      </c>
      <c r="R119" s="64">
        <f>VLOOKUP($B119,'7. PGE_Efficacité'!$A$6:$CY$266,(MATCH('[3]4.4 ACE MAX SEN '!R$4,'7. PGE_Efficacité'!$A$4:$AO$4,0)),0)</f>
        <v>0</v>
      </c>
      <c r="S119" s="64">
        <f>VLOOKUP($B119,'7. PGE_Efficacité'!$A$6:$CY$266,(MATCH('[3]4.4 ACE MAX SEN '!S$4,'7. PGE_Efficacité'!$A$4:$AO$4,0)),0)</f>
        <v>0</v>
      </c>
      <c r="T119" s="64">
        <f>VLOOKUP($B119,'7. PGE_Efficacité'!$A$6:$CY$266,(MATCH('[3]4.4 ACE MAX SEN '!T$4,'7. PGE_Efficacité'!$A$4:$AO$4,0)),0)</f>
        <v>0</v>
      </c>
      <c r="U119" s="64">
        <f>VLOOKUP($B119,'7. PGE_Efficacité'!$A$6:$CY$266,(MATCH('[3]4.4 ACE MAX SEN '!U$4,'7. PGE_Efficacité'!$A$4:$AO$4,0)),0)</f>
        <v>0</v>
      </c>
      <c r="V119" s="64">
        <f>VLOOKUP($B119,'7. PGE_Efficacité'!$A$6:$CY$266,(MATCH('[3]4.4 ACE MAX SEN '!V$4,'7. PGE_Efficacité'!$A$4:$AO$4,0)),0)</f>
        <v>0</v>
      </c>
      <c r="W119" s="61">
        <f>VLOOKUP($B119,'7. PGE_Efficacité'!$A$6:$CY$266,(MATCH('[3]4.4 ACE MAX SEN '!W$4,'7. PGE_Efficacité'!$A$4:$AO$4,0)),0)</f>
        <v>0</v>
      </c>
      <c r="X119" s="61">
        <f>VLOOKUP($B119,'7. PGE_Efficacité'!$A$6:$CY$266,(MATCH('[3]4.4 ACE MAX SEN '!X$4,'7. PGE_Efficacité'!$A$4:$AO$4,0)),0)</f>
        <v>0</v>
      </c>
      <c r="Y119" s="61">
        <f>VLOOKUP($B119,'7. PGE_Efficacité'!$A$6:$CY$266,(MATCH('[3]4.4 ACE MAX SEN '!Y$4,'7. PGE_Efficacité'!$A$4:$AO$4,0)),0)</f>
        <v>0</v>
      </c>
      <c r="Z119" s="61">
        <f>VLOOKUP($B119,'7. PGE_Efficacité'!$A$6:$CY$266,(MATCH('[3]4.4 ACE MAX SEN '!Z$4,'7. PGE_Efficacité'!$A$4:$AO$4,0)),0)</f>
        <v>0</v>
      </c>
      <c r="AA119" s="61">
        <f>VLOOKUP($B119,'7. PGE_Efficacité'!$A$6:$CY$266,(MATCH('[3]4.4 ACE MAX SEN '!AA$4,'7. PGE_Efficacité'!$A$4:$AO$4,0)),0)</f>
        <v>0</v>
      </c>
      <c r="AB119" s="61">
        <f>VLOOKUP($B119,'7. PGE_Efficacité'!$A$6:$CY$266,(MATCH('[3]4.4 ACE MAX SEN '!AB$4,'7. PGE_Efficacité'!$A$4:$AO$4,0)),0)</f>
        <v>0</v>
      </c>
      <c r="AC119" s="61">
        <f>VLOOKUP($B119,'7. PGE_Efficacité'!$A$6:$CY$266,(MATCH('[3]4.4 ACE MAX SEN '!AC$4,'7. PGE_Efficacité'!$A$4:$AO$4,0)),0)</f>
        <v>0</v>
      </c>
      <c r="AD119" s="61">
        <f>VLOOKUP($B119,'7. PGE_Efficacité'!$A$6:$CY$266,(MATCH('[3]4.4 ACE MAX SEN '!AD$4,'7. PGE_Efficacité'!$A$4:$AO$4,0)),0)</f>
        <v>0</v>
      </c>
      <c r="AE119" s="61">
        <f>VLOOKUP($B119,'7. PGE_Efficacité'!$A$6:$CY$266,(MATCH('[3]4.4 ACE MAX SEN '!AE$4,'7. PGE_Efficacité'!$A$4:$AO$4,0)),0)</f>
        <v>0</v>
      </c>
      <c r="AF119" s="61">
        <f>VLOOKUP($B119,'7. PGE_Efficacité'!$A$6:$CY$266,(MATCH('[3]4.4 ACE MAX SEN '!AF$4,'7. PGE_Efficacité'!$A$4:$AO$4,0)),0)</f>
        <v>0</v>
      </c>
      <c r="AG119" s="61">
        <f>VLOOKUP($B119,'7. PGE_Efficacité'!$A$6:$CY$266,(MATCH('[3]4.4 ACE MAX SEN '!AG$4,'7. PGE_Efficacité'!$A$4:$AO$4,0)),0)</f>
        <v>0</v>
      </c>
      <c r="AH119" s="61">
        <f>VLOOKUP($B119,'7. PGE_Efficacité'!$A$6:$CY$266,(MATCH('[3]4.4 ACE MAX SEN '!AH$4,'7. PGE_Efficacité'!$A$4:$AO$4,0)),0)</f>
        <v>0</v>
      </c>
      <c r="AI119" s="61">
        <f>VLOOKUP($B119,'7. PGE_Efficacité'!$A$6:$CY$266,(MATCH('[3]4.4 ACE MAX SEN '!AI$4,'7. PGE_Efficacité'!$A$4:$AO$4,0)),0)</f>
        <v>0</v>
      </c>
      <c r="AJ119" s="61">
        <f>VLOOKUP($B119,'7. PGE_Efficacité'!$A$6:$CY$266,(MATCH('[3]4.4 ACE MAX SEN '!AJ$4,'7. PGE_Efficacité'!$A$4:$AO$4,0)),0)</f>
        <v>0</v>
      </c>
      <c r="AK119" s="61">
        <f>VLOOKUP($B119,'7. PGE_Efficacité'!$A$6:$CY$266,(MATCH('[3]4.4 ACE MAX SEN '!AK$4,'7. PGE_Efficacité'!$A$4:$AO$4,0)),0)</f>
        <v>0</v>
      </c>
    </row>
    <row r="120" spans="1:37" hidden="1" outlineLevel="2" x14ac:dyDescent="0.25">
      <c r="A120" s="65" t="s">
        <v>13</v>
      </c>
      <c r="B120" s="65" t="s">
        <v>678</v>
      </c>
      <c r="C120" s="65" t="s">
        <v>1338</v>
      </c>
      <c r="D120" s="65" t="s">
        <v>1521</v>
      </c>
      <c r="E120" s="65" t="s">
        <v>1290</v>
      </c>
      <c r="F120" s="70"/>
      <c r="G120" s="64">
        <f>VLOOKUP($B120,'7. PGE_Efficacité'!$A$6:$CY$266,(MATCH('[3]4.4 ACE MAX SEN '!G$4,'7. PGE_Efficacité'!$A$4:$AO$4,0)),0)</f>
        <v>0</v>
      </c>
      <c r="H120" s="64">
        <f>VLOOKUP($B120,'7. PGE_Efficacité'!$A$6:$CY$266,(MATCH('[3]4.4 ACE MAX SEN '!H$4,'7. PGE_Efficacité'!$A$4:$AO$4,0)),0)</f>
        <v>0</v>
      </c>
      <c r="I120" s="64">
        <f>VLOOKUP($B120,'7. PGE_Efficacité'!$A$6:$CY$266,(MATCH('[3]4.4 ACE MAX SEN '!I$4,'7. PGE_Efficacité'!$A$4:$AO$4,0)),0)</f>
        <v>0</v>
      </c>
      <c r="J120" s="64">
        <f>VLOOKUP($B120,'7. PGE_Efficacité'!$A$6:$CY$266,(MATCH('[3]4.4 ACE MAX SEN '!J$4,'7. PGE_Efficacité'!$A$4:$AO$4,0)),0)</f>
        <v>0</v>
      </c>
      <c r="K120" s="64">
        <f>VLOOKUP($B120,'7. PGE_Efficacité'!$A$6:$CY$266,(MATCH('[3]4.4 ACE MAX SEN '!K$4,'7. PGE_Efficacité'!$A$4:$AO$4,0)),0)</f>
        <v>0</v>
      </c>
      <c r="L120" s="64">
        <f>VLOOKUP($B120,'7. PGE_Efficacité'!$A$6:$CY$266,(MATCH('[3]4.4 ACE MAX SEN '!L$4,'7. PGE_Efficacité'!$A$4:$AO$4,0)),0)</f>
        <v>0</v>
      </c>
      <c r="M120" s="64">
        <f>VLOOKUP($B120,'7. PGE_Efficacité'!$A$6:$CY$266,(MATCH('[3]4.4 ACE MAX SEN '!M$4,'7. PGE_Efficacité'!$A$4:$AO$4,0)),0)</f>
        <v>0</v>
      </c>
      <c r="N120" s="64">
        <f>VLOOKUP($B120,'7. PGE_Efficacité'!$A$6:$CY$266,(MATCH('[3]4.4 ACE MAX SEN '!N$4,'7. PGE_Efficacité'!$A$4:$AO$4,0)),0)</f>
        <v>0</v>
      </c>
      <c r="O120" s="64">
        <f>VLOOKUP($B120,'7. PGE_Efficacité'!$A$6:$CY$266,(MATCH('[3]4.4 ACE MAX SEN '!O$4,'7. PGE_Efficacité'!$A$4:$AO$4,0)),0)</f>
        <v>0</v>
      </c>
      <c r="P120" s="64">
        <f>VLOOKUP($B120,'7. PGE_Efficacité'!$A$6:$CY$266,(MATCH('[3]4.4 ACE MAX SEN '!P$4,'7. PGE_Efficacité'!$A$4:$AO$4,0)),0)</f>
        <v>0</v>
      </c>
      <c r="Q120" s="64">
        <f>VLOOKUP($B120,'7. PGE_Efficacité'!$A$6:$CY$266,(MATCH('[3]4.4 ACE MAX SEN '!Q$4,'7. PGE_Efficacité'!$A$4:$AO$4,0)),0)</f>
        <v>0</v>
      </c>
      <c r="R120" s="64">
        <f>VLOOKUP($B120,'7. PGE_Efficacité'!$A$6:$CY$266,(MATCH('[3]4.4 ACE MAX SEN '!R$4,'7. PGE_Efficacité'!$A$4:$AO$4,0)),0)</f>
        <v>0</v>
      </c>
      <c r="S120" s="64">
        <f>VLOOKUP($B120,'7. PGE_Efficacité'!$A$6:$CY$266,(MATCH('[3]4.4 ACE MAX SEN '!S$4,'7. PGE_Efficacité'!$A$4:$AO$4,0)),0)</f>
        <v>0</v>
      </c>
      <c r="T120" s="64">
        <f>VLOOKUP($B120,'7. PGE_Efficacité'!$A$6:$CY$266,(MATCH('[3]4.4 ACE MAX SEN '!T$4,'7. PGE_Efficacité'!$A$4:$AO$4,0)),0)</f>
        <v>0</v>
      </c>
      <c r="U120" s="64">
        <f>VLOOKUP($B120,'7. PGE_Efficacité'!$A$6:$CY$266,(MATCH('[3]4.4 ACE MAX SEN '!U$4,'7. PGE_Efficacité'!$A$4:$AO$4,0)),0)</f>
        <v>0</v>
      </c>
      <c r="V120" s="64">
        <f>VLOOKUP($B120,'7. PGE_Efficacité'!$A$6:$CY$266,(MATCH('[3]4.4 ACE MAX SEN '!V$4,'7. PGE_Efficacité'!$A$4:$AO$4,0)),0)</f>
        <v>0</v>
      </c>
      <c r="W120" s="61">
        <f>VLOOKUP($B120,'7. PGE_Efficacité'!$A$6:$CY$266,(MATCH('[3]4.4 ACE MAX SEN '!W$4,'7. PGE_Efficacité'!$A$4:$AO$4,0)),0)</f>
        <v>0</v>
      </c>
      <c r="X120" s="61">
        <f>VLOOKUP($B120,'7. PGE_Efficacité'!$A$6:$CY$266,(MATCH('[3]4.4 ACE MAX SEN '!X$4,'7. PGE_Efficacité'!$A$4:$AO$4,0)),0)</f>
        <v>0</v>
      </c>
      <c r="Y120" s="61">
        <f>VLOOKUP($B120,'7. PGE_Efficacité'!$A$6:$CY$266,(MATCH('[3]4.4 ACE MAX SEN '!Y$4,'7. PGE_Efficacité'!$A$4:$AO$4,0)),0)</f>
        <v>0</v>
      </c>
      <c r="Z120" s="61">
        <f>VLOOKUP($B120,'7. PGE_Efficacité'!$A$6:$CY$266,(MATCH('[3]4.4 ACE MAX SEN '!Z$4,'7. PGE_Efficacité'!$A$4:$AO$4,0)),0)</f>
        <v>0</v>
      </c>
      <c r="AA120" s="61">
        <f>VLOOKUP($B120,'7. PGE_Efficacité'!$A$6:$CY$266,(MATCH('[3]4.4 ACE MAX SEN '!AA$4,'7. PGE_Efficacité'!$A$4:$AO$4,0)),0)</f>
        <v>0</v>
      </c>
      <c r="AB120" s="61">
        <f>VLOOKUP($B120,'7. PGE_Efficacité'!$A$6:$CY$266,(MATCH('[3]4.4 ACE MAX SEN '!AB$4,'7. PGE_Efficacité'!$A$4:$AO$4,0)),0)</f>
        <v>0</v>
      </c>
      <c r="AC120" s="61">
        <f>VLOOKUP($B120,'7. PGE_Efficacité'!$A$6:$CY$266,(MATCH('[3]4.4 ACE MAX SEN '!AC$4,'7. PGE_Efficacité'!$A$4:$AO$4,0)),0)</f>
        <v>0</v>
      </c>
      <c r="AD120" s="61">
        <f>VLOOKUP($B120,'7. PGE_Efficacité'!$A$6:$CY$266,(MATCH('[3]4.4 ACE MAX SEN '!AD$4,'7. PGE_Efficacité'!$A$4:$AO$4,0)),0)</f>
        <v>0</v>
      </c>
      <c r="AE120" s="61">
        <f>VLOOKUP($B120,'7. PGE_Efficacité'!$A$6:$CY$266,(MATCH('[3]4.4 ACE MAX SEN '!AE$4,'7. PGE_Efficacité'!$A$4:$AO$4,0)),0)</f>
        <v>0</v>
      </c>
      <c r="AF120" s="61">
        <f>VLOOKUP($B120,'7. PGE_Efficacité'!$A$6:$CY$266,(MATCH('[3]4.4 ACE MAX SEN '!AF$4,'7. PGE_Efficacité'!$A$4:$AO$4,0)),0)</f>
        <v>0</v>
      </c>
      <c r="AG120" s="61">
        <f>VLOOKUP($B120,'7. PGE_Efficacité'!$A$6:$CY$266,(MATCH('[3]4.4 ACE MAX SEN '!AG$4,'7. PGE_Efficacité'!$A$4:$AO$4,0)),0)</f>
        <v>0</v>
      </c>
      <c r="AH120" s="61">
        <f>VLOOKUP($B120,'7. PGE_Efficacité'!$A$6:$CY$266,(MATCH('[3]4.4 ACE MAX SEN '!AH$4,'7. PGE_Efficacité'!$A$4:$AO$4,0)),0)</f>
        <v>0</v>
      </c>
      <c r="AI120" s="61">
        <f>VLOOKUP($B120,'7. PGE_Efficacité'!$A$6:$CY$266,(MATCH('[3]4.4 ACE MAX SEN '!AI$4,'7. PGE_Efficacité'!$A$4:$AO$4,0)),0)</f>
        <v>0</v>
      </c>
      <c r="AJ120" s="61">
        <f>VLOOKUP($B120,'7. PGE_Efficacité'!$A$6:$CY$266,(MATCH('[3]4.4 ACE MAX SEN '!AJ$4,'7. PGE_Efficacité'!$A$4:$AO$4,0)),0)</f>
        <v>0</v>
      </c>
      <c r="AK120" s="61">
        <f>VLOOKUP($B120,'7. PGE_Efficacité'!$A$6:$CY$266,(MATCH('[3]4.4 ACE MAX SEN '!AK$4,'7. PGE_Efficacité'!$A$4:$AO$4,0)),0)</f>
        <v>0</v>
      </c>
    </row>
    <row r="121" spans="1:37" ht="26.25" outlineLevel="1" collapsed="1" x14ac:dyDescent="0.25">
      <c r="A121" s="157" t="s">
        <v>15</v>
      </c>
      <c r="B121" s="63"/>
      <c r="C121" s="156" t="s">
        <v>225</v>
      </c>
      <c r="D121" s="63"/>
      <c r="E121" s="63"/>
      <c r="F121" s="72">
        <f>MEDIAN(VLOOKUP(A121,'4. Mesures_ACE_Budget'!$A$3:$J$31,9,0),VLOOKUP(A121,'4. Mesures_ACE_Budget'!$A$3:$J$31,10,0))</f>
        <v>11440000</v>
      </c>
      <c r="G121" s="182" t="str">
        <f>VLOOKUP($A121,'7. PGE_Efficacité'!$A$6:$CY$266,(MATCH('[2]4.4 ACE MAX SEN '!G$4,'7. PGE_Efficacité'!$A$4:$AO$4,0)),0)</f>
        <v>+</v>
      </c>
      <c r="H121" s="182" t="str">
        <f>VLOOKUP($A121,'7. PGE_Efficacité'!$A$6:$CY$266,(MATCH('[2]4.4 ACE MAX SEN '!H$4,'7. PGE_Efficacité'!$A$4:$AO$4,0)),0)</f>
        <v>+</v>
      </c>
      <c r="I121" s="182" t="str">
        <f>VLOOKUP($A121,'7. PGE_Efficacité'!$A$6:$CY$266,(MATCH('[2]4.4 ACE MAX SEN '!I$4,'7. PGE_Efficacité'!$A$4:$AO$4,0)),0)</f>
        <v>+</v>
      </c>
      <c r="J121" s="182" t="str">
        <f>VLOOKUP($A121,'7. PGE_Efficacité'!$A$6:$CY$266,(MATCH('[2]4.4 ACE MAX SEN '!J$4,'7. PGE_Efficacité'!$A$4:$AO$4,0)),0)</f>
        <v>+</v>
      </c>
      <c r="K121" s="182" t="str">
        <f>VLOOKUP($A121,'7. PGE_Efficacité'!$A$6:$CY$266,(MATCH('[2]4.4 ACE MAX SEN '!K$4,'7. PGE_Efficacité'!$A$4:$AO$4,0)),0)</f>
        <v>+</v>
      </c>
      <c r="L121" s="182" t="str">
        <f>VLOOKUP($A121,'7. PGE_Efficacité'!$A$6:$CY$266,(MATCH('[2]4.4 ACE MAX SEN '!L$4,'7. PGE_Efficacité'!$A$4:$AO$4,0)),0)</f>
        <v>+</v>
      </c>
      <c r="M121" s="182" t="str">
        <f>VLOOKUP($A121,'7. PGE_Efficacité'!$A$6:$CY$266,(MATCH('[2]4.4 ACE MAX SEN '!M$4,'7. PGE_Efficacité'!$A$4:$AO$4,0)),0)</f>
        <v>+</v>
      </c>
      <c r="N121" s="182" t="str">
        <f>VLOOKUP($A121,'7. PGE_Efficacité'!$A$6:$CY$266,(MATCH('[2]4.4 ACE MAX SEN '!N$4,'7. PGE_Efficacité'!$A$4:$AO$4,0)),0)</f>
        <v>+</v>
      </c>
      <c r="O121" s="182" t="str">
        <f>VLOOKUP($A121,'7. PGE_Efficacité'!$A$6:$CY$266,(MATCH('[2]4.4 ACE MAX SEN '!O$4,'7. PGE_Efficacité'!$A$4:$AO$4,0)),0)</f>
        <v>+</v>
      </c>
      <c r="P121" s="182" t="str">
        <f>VLOOKUP($A121,'7. PGE_Efficacité'!$A$6:$CY$266,(MATCH('[2]4.4 ACE MAX SEN '!P$4,'7. PGE_Efficacité'!$A$4:$AO$4,0)),0)</f>
        <v>+</v>
      </c>
      <c r="Q121" s="182" t="str">
        <f>VLOOKUP($A121,'7. PGE_Efficacité'!$A$6:$CY$266,(MATCH('[2]4.4 ACE MAX SEN '!Q$4,'7. PGE_Efficacité'!$A$4:$AO$4,0)),0)</f>
        <v>+</v>
      </c>
      <c r="R121" s="182">
        <f>VLOOKUP($A121,'7. PGE_Efficacité'!$A$6:$CY$266,(MATCH('[2]4.4 ACE MAX SEN '!R$4,'7. PGE_Efficacité'!$A$4:$AO$4,0)),0)</f>
        <v>0</v>
      </c>
      <c r="S121" s="182" t="str">
        <f>VLOOKUP($A121,'7. PGE_Efficacité'!$A$6:$CY$266,(MATCH('[2]4.4 ACE MAX SEN '!S$4,'7. PGE_Efficacité'!$A$4:$AO$4,0)),0)</f>
        <v>+</v>
      </c>
      <c r="T121" s="182" t="str">
        <f>VLOOKUP($A121,'7. PGE_Efficacité'!$A$6:$CY$266,(MATCH('[2]4.4 ACE MAX SEN '!T$4,'7. PGE_Efficacité'!$A$4:$AO$4,0)),0)</f>
        <v>+</v>
      </c>
      <c r="U121" s="182" t="str">
        <f>VLOOKUP($A121,'7. PGE_Efficacité'!$A$6:$CY$266,(MATCH('[2]4.4 ACE MAX SEN '!U$4,'7. PGE_Efficacité'!$A$4:$AO$4,0)),0)</f>
        <v>+</v>
      </c>
      <c r="V121" s="182" t="str">
        <f>VLOOKUP($A121,'7. PGE_Efficacité'!$A$6:$CY$266,(MATCH('[2]4.4 ACE MAX SEN '!V$4,'7. PGE_Efficacité'!$A$4:$AO$4,0)),0)</f>
        <v>+</v>
      </c>
      <c r="W121" s="183" t="str">
        <f>VLOOKUP($A121,'7. PGE_Efficacité'!$A$6:$CY$266,(MATCH('[2]4.4 ACE MAX SEN '!W$4,'7. PGE_Efficacité'!$A$4:$AO$4,0)),0)</f>
        <v>+</v>
      </c>
      <c r="X121" s="183" t="str">
        <f>VLOOKUP($A121,'7. PGE_Efficacité'!$A$6:$CY$266,(MATCH('[2]4.4 ACE MAX SEN '!X$4,'7. PGE_Efficacité'!$A$4:$AO$4,0)),0)</f>
        <v>+</v>
      </c>
      <c r="Y121" s="183">
        <f>VLOOKUP($A121,'7. PGE_Efficacité'!$A$6:$CY$266,(MATCH('[2]4.4 ACE MAX SEN '!Y$4,'7. PGE_Efficacité'!$A$4:$AO$4,0)),0)</f>
        <v>0</v>
      </c>
      <c r="Z121" s="183">
        <f>VLOOKUP($A121,'7. PGE_Efficacité'!$A$6:$CY$266,(MATCH('[2]4.4 ACE MAX SEN '!Z$4,'7. PGE_Efficacité'!$A$4:$AO$4,0)),0)</f>
        <v>0</v>
      </c>
      <c r="AA121" s="183">
        <f>VLOOKUP($A121,'7. PGE_Efficacité'!$A$6:$CY$266,(MATCH('[2]4.4 ACE MAX SEN '!AA$4,'7. PGE_Efficacité'!$A$4:$AO$4,0)),0)</f>
        <v>0</v>
      </c>
      <c r="AB121" s="183">
        <f>VLOOKUP($A121,'7. PGE_Efficacité'!$A$6:$CY$266,(MATCH('[2]4.4 ACE MAX SEN '!AB$4,'7. PGE_Efficacité'!$A$4:$AO$4,0)),0)</f>
        <v>0</v>
      </c>
      <c r="AC121" s="183">
        <f>VLOOKUP($A121,'7. PGE_Efficacité'!$A$6:$CY$266,(MATCH('[2]4.4 ACE MAX SEN '!AC$4,'7. PGE_Efficacité'!$A$4:$AO$4,0)),0)</f>
        <v>0</v>
      </c>
      <c r="AD121" s="183">
        <f>VLOOKUP($A121,'7. PGE_Efficacité'!$A$6:$CY$266,(MATCH('[2]4.4 ACE MAX SEN '!AD$4,'7. PGE_Efficacité'!$A$4:$AO$4,0)),0)</f>
        <v>0</v>
      </c>
      <c r="AE121" s="183">
        <f>VLOOKUP($A121,'7. PGE_Efficacité'!$A$6:$CY$266,(MATCH('[2]4.4 ACE MAX SEN '!AE$4,'7. PGE_Efficacité'!$A$4:$AO$4,0)),0)</f>
        <v>0</v>
      </c>
      <c r="AF121" s="183">
        <f>VLOOKUP($A121,'7. PGE_Efficacité'!$A$6:$CY$266,(MATCH('[2]4.4 ACE MAX SEN '!AF$4,'7. PGE_Efficacité'!$A$4:$AO$4,0)),0)</f>
        <v>0</v>
      </c>
      <c r="AG121" s="183">
        <f>VLOOKUP($A121,'7. PGE_Efficacité'!$A$6:$CY$266,(MATCH('[2]4.4 ACE MAX SEN '!AG$4,'7. PGE_Efficacité'!$A$4:$AO$4,0)),0)</f>
        <v>0</v>
      </c>
      <c r="AH121" s="183" t="str">
        <f>VLOOKUP($A121,'7. PGE_Efficacité'!$A$6:$CY$266,(MATCH('[2]4.4 ACE MAX SEN '!AH$4,'7. PGE_Efficacité'!$A$4:$AO$4,0)),0)</f>
        <v>+</v>
      </c>
      <c r="AI121" s="183" t="str">
        <f>VLOOKUP($A121,'7. PGE_Efficacité'!$A$6:$CY$266,(MATCH('[2]4.4 ACE MAX SEN '!AI$4,'7. PGE_Efficacité'!$A$4:$AO$4,0)),0)</f>
        <v>+</v>
      </c>
      <c r="AJ121" s="183" t="str">
        <f>VLOOKUP($A121,'7. PGE_Efficacité'!$A$6:$CY$266,(MATCH('[2]4.4 ACE MAX SEN '!AJ$4,'7. PGE_Efficacité'!$A$4:$AO$4,0)),0)</f>
        <v>+</v>
      </c>
      <c r="AK121" s="183" t="str">
        <f>VLOOKUP($A121,'7. PGE_Efficacité'!$A$6:$CY$266,(MATCH('[2]4.4 ACE MAX SEN '!AK$4,'7. PGE_Efficacité'!$A$4:$AO$4,0)),0)</f>
        <v>+</v>
      </c>
    </row>
    <row r="122" spans="1:37" hidden="1" outlineLevel="2" x14ac:dyDescent="0.25">
      <c r="A122" s="65" t="s">
        <v>15</v>
      </c>
      <c r="B122" s="65" t="s">
        <v>679</v>
      </c>
      <c r="C122" s="65" t="s">
        <v>1339</v>
      </c>
      <c r="D122" s="65" t="s">
        <v>1520</v>
      </c>
      <c r="E122" s="65" t="s">
        <v>415</v>
      </c>
      <c r="F122" s="70"/>
      <c r="G122" s="64">
        <f>VLOOKUP($B122,'7. PGE_Efficacité'!$A$6:$CY$266,(MATCH('[3]4.4 ACE MAX SEN '!G$4,'7. PGE_Efficacité'!$A$4:$AO$4,0)),0)</f>
        <v>0</v>
      </c>
      <c r="H122" s="64">
        <f>VLOOKUP($B122,'7. PGE_Efficacité'!$A$6:$CY$266,(MATCH('[3]4.4 ACE MAX SEN '!H$4,'7. PGE_Efficacité'!$A$4:$AO$4,0)),0)</f>
        <v>0</v>
      </c>
      <c r="I122" s="64">
        <f>VLOOKUP($B122,'7. PGE_Efficacité'!$A$6:$CY$266,(MATCH('[3]4.4 ACE MAX SEN '!I$4,'7. PGE_Efficacité'!$A$4:$AO$4,0)),0)</f>
        <v>0</v>
      </c>
      <c r="J122" s="64">
        <f>VLOOKUP($B122,'7. PGE_Efficacité'!$A$6:$CY$266,(MATCH('[3]4.4 ACE MAX SEN '!J$4,'7. PGE_Efficacité'!$A$4:$AO$4,0)),0)</f>
        <v>0</v>
      </c>
      <c r="K122" s="64">
        <f>VLOOKUP($B122,'7. PGE_Efficacité'!$A$6:$CY$266,(MATCH('[3]4.4 ACE MAX SEN '!K$4,'7. PGE_Efficacité'!$A$4:$AO$4,0)),0)</f>
        <v>0</v>
      </c>
      <c r="L122" s="64">
        <f>VLOOKUP($B122,'7. PGE_Efficacité'!$A$6:$CY$266,(MATCH('[3]4.4 ACE MAX SEN '!L$4,'7. PGE_Efficacité'!$A$4:$AO$4,0)),0)</f>
        <v>0</v>
      </c>
      <c r="M122" s="64">
        <f>VLOOKUP($B122,'7. PGE_Efficacité'!$A$6:$CY$266,(MATCH('[3]4.4 ACE MAX SEN '!M$4,'7. PGE_Efficacité'!$A$4:$AO$4,0)),0)</f>
        <v>0</v>
      </c>
      <c r="N122" s="64">
        <f>VLOOKUP($B122,'7. PGE_Efficacité'!$A$6:$CY$266,(MATCH('[3]4.4 ACE MAX SEN '!N$4,'7. PGE_Efficacité'!$A$4:$AO$4,0)),0)</f>
        <v>0</v>
      </c>
      <c r="O122" s="64">
        <f>VLOOKUP($B122,'7. PGE_Efficacité'!$A$6:$CY$266,(MATCH('[3]4.4 ACE MAX SEN '!O$4,'7. PGE_Efficacité'!$A$4:$AO$4,0)),0)</f>
        <v>0</v>
      </c>
      <c r="P122" s="64">
        <f>VLOOKUP($B122,'7. PGE_Efficacité'!$A$6:$CY$266,(MATCH('[3]4.4 ACE MAX SEN '!P$4,'7. PGE_Efficacité'!$A$4:$AO$4,0)),0)</f>
        <v>0</v>
      </c>
      <c r="Q122" s="64">
        <f>VLOOKUP($B122,'7. PGE_Efficacité'!$A$6:$CY$266,(MATCH('[3]4.4 ACE MAX SEN '!Q$4,'7. PGE_Efficacité'!$A$4:$AO$4,0)),0)</f>
        <v>0</v>
      </c>
      <c r="R122" s="64">
        <f>VLOOKUP($B122,'7. PGE_Efficacité'!$A$6:$CY$266,(MATCH('[3]4.4 ACE MAX SEN '!R$4,'7. PGE_Efficacité'!$A$4:$AO$4,0)),0)</f>
        <v>0</v>
      </c>
      <c r="S122" s="64">
        <f>VLOOKUP($B122,'7. PGE_Efficacité'!$A$6:$CY$266,(MATCH('[3]4.4 ACE MAX SEN '!S$4,'7. PGE_Efficacité'!$A$4:$AO$4,0)),0)</f>
        <v>0</v>
      </c>
      <c r="T122" s="64">
        <f>VLOOKUP($B122,'7. PGE_Efficacité'!$A$6:$CY$266,(MATCH('[3]4.4 ACE MAX SEN '!T$4,'7. PGE_Efficacité'!$A$4:$AO$4,0)),0)</f>
        <v>0</v>
      </c>
      <c r="U122" s="64">
        <f>VLOOKUP($B122,'7. PGE_Efficacité'!$A$6:$CY$266,(MATCH('[3]4.4 ACE MAX SEN '!U$4,'7. PGE_Efficacité'!$A$4:$AO$4,0)),0)</f>
        <v>0</v>
      </c>
      <c r="V122" s="64">
        <f>VLOOKUP($B122,'7. PGE_Efficacité'!$A$6:$CY$266,(MATCH('[3]4.4 ACE MAX SEN '!V$4,'7. PGE_Efficacité'!$A$4:$AO$4,0)),0)</f>
        <v>0</v>
      </c>
      <c r="W122" s="61">
        <f>VLOOKUP($B122,'7. PGE_Efficacité'!$A$6:$CY$266,(MATCH('[3]4.4 ACE MAX SEN '!W$4,'7. PGE_Efficacité'!$A$4:$AO$4,0)),0)</f>
        <v>0</v>
      </c>
      <c r="X122" s="61">
        <f>VLOOKUP($B122,'7. PGE_Efficacité'!$A$6:$CY$266,(MATCH('[3]4.4 ACE MAX SEN '!X$4,'7. PGE_Efficacité'!$A$4:$AO$4,0)),0)</f>
        <v>0</v>
      </c>
      <c r="Y122" s="61">
        <f>VLOOKUP($B122,'7. PGE_Efficacité'!$A$6:$CY$266,(MATCH('[3]4.4 ACE MAX SEN '!Y$4,'7. PGE_Efficacité'!$A$4:$AO$4,0)),0)</f>
        <v>0</v>
      </c>
      <c r="Z122" s="61">
        <f>VLOOKUP($B122,'7. PGE_Efficacité'!$A$6:$CY$266,(MATCH('[3]4.4 ACE MAX SEN '!Z$4,'7. PGE_Efficacité'!$A$4:$AO$4,0)),0)</f>
        <v>0</v>
      </c>
      <c r="AA122" s="61">
        <f>VLOOKUP($B122,'7. PGE_Efficacité'!$A$6:$CY$266,(MATCH('[3]4.4 ACE MAX SEN '!AA$4,'7. PGE_Efficacité'!$A$4:$AO$4,0)),0)</f>
        <v>0</v>
      </c>
      <c r="AB122" s="61">
        <f>VLOOKUP($B122,'7. PGE_Efficacité'!$A$6:$CY$266,(MATCH('[3]4.4 ACE MAX SEN '!AB$4,'7. PGE_Efficacité'!$A$4:$AO$4,0)),0)</f>
        <v>0</v>
      </c>
      <c r="AC122" s="61">
        <f>VLOOKUP($B122,'7. PGE_Efficacité'!$A$6:$CY$266,(MATCH('[3]4.4 ACE MAX SEN '!AC$4,'7. PGE_Efficacité'!$A$4:$AO$4,0)),0)</f>
        <v>0</v>
      </c>
      <c r="AD122" s="61">
        <f>VLOOKUP($B122,'7. PGE_Efficacité'!$A$6:$CY$266,(MATCH('[3]4.4 ACE MAX SEN '!AD$4,'7. PGE_Efficacité'!$A$4:$AO$4,0)),0)</f>
        <v>0</v>
      </c>
      <c r="AE122" s="61">
        <f>VLOOKUP($B122,'7. PGE_Efficacité'!$A$6:$CY$266,(MATCH('[3]4.4 ACE MAX SEN '!AE$4,'7. PGE_Efficacité'!$A$4:$AO$4,0)),0)</f>
        <v>0</v>
      </c>
      <c r="AF122" s="61">
        <f>VLOOKUP($B122,'7. PGE_Efficacité'!$A$6:$CY$266,(MATCH('[3]4.4 ACE MAX SEN '!AF$4,'7. PGE_Efficacité'!$A$4:$AO$4,0)),0)</f>
        <v>0</v>
      </c>
      <c r="AG122" s="61">
        <f>VLOOKUP($B122,'7. PGE_Efficacité'!$A$6:$CY$266,(MATCH('[3]4.4 ACE MAX SEN '!AG$4,'7. PGE_Efficacité'!$A$4:$AO$4,0)),0)</f>
        <v>0</v>
      </c>
      <c r="AH122" s="61">
        <f>VLOOKUP($B122,'7. PGE_Efficacité'!$A$6:$CY$266,(MATCH('[3]4.4 ACE MAX SEN '!AH$4,'7. PGE_Efficacité'!$A$4:$AO$4,0)),0)</f>
        <v>0</v>
      </c>
      <c r="AI122" s="61">
        <f>VLOOKUP($B122,'7. PGE_Efficacité'!$A$6:$CY$266,(MATCH('[3]4.4 ACE MAX SEN '!AI$4,'7. PGE_Efficacité'!$A$4:$AO$4,0)),0)</f>
        <v>0</v>
      </c>
      <c r="AJ122" s="61">
        <f>VLOOKUP($B122,'7. PGE_Efficacité'!$A$6:$CY$266,(MATCH('[3]4.4 ACE MAX SEN '!AJ$4,'7. PGE_Efficacité'!$A$4:$AO$4,0)),0)</f>
        <v>0</v>
      </c>
      <c r="AK122" s="61">
        <f>VLOOKUP($B122,'7. PGE_Efficacité'!$A$6:$CY$266,(MATCH('[3]4.4 ACE MAX SEN '!AK$4,'7. PGE_Efficacité'!$A$4:$AO$4,0)),0)</f>
        <v>0</v>
      </c>
    </row>
    <row r="123" spans="1:37" hidden="1" outlineLevel="2" x14ac:dyDescent="0.25">
      <c r="A123" s="65" t="s">
        <v>15</v>
      </c>
      <c r="B123" s="65" t="s">
        <v>680</v>
      </c>
      <c r="C123" s="65" t="s">
        <v>1340</v>
      </c>
      <c r="D123" s="65" t="s">
        <v>1520</v>
      </c>
      <c r="E123" s="65" t="s">
        <v>415</v>
      </c>
      <c r="F123" s="70"/>
      <c r="G123" s="64">
        <f>VLOOKUP($B123,'7. PGE_Efficacité'!$A$6:$CY$266,(MATCH('[3]4.4 ACE MAX SEN '!G$4,'7. PGE_Efficacité'!$A$4:$AO$4,0)),0)</f>
        <v>0</v>
      </c>
      <c r="H123" s="64">
        <f>VLOOKUP($B123,'7. PGE_Efficacité'!$A$6:$CY$266,(MATCH('[3]4.4 ACE MAX SEN '!H$4,'7. PGE_Efficacité'!$A$4:$AO$4,0)),0)</f>
        <v>0</v>
      </c>
      <c r="I123" s="64">
        <f>VLOOKUP($B123,'7. PGE_Efficacité'!$A$6:$CY$266,(MATCH('[3]4.4 ACE MAX SEN '!I$4,'7. PGE_Efficacité'!$A$4:$AO$4,0)),0)</f>
        <v>0</v>
      </c>
      <c r="J123" s="64">
        <f>VLOOKUP($B123,'7. PGE_Efficacité'!$A$6:$CY$266,(MATCH('[3]4.4 ACE MAX SEN '!J$4,'7. PGE_Efficacité'!$A$4:$AO$4,0)),0)</f>
        <v>0</v>
      </c>
      <c r="K123" s="64">
        <f>VLOOKUP($B123,'7. PGE_Efficacité'!$A$6:$CY$266,(MATCH('[3]4.4 ACE MAX SEN '!K$4,'7. PGE_Efficacité'!$A$4:$AO$4,0)),0)</f>
        <v>0</v>
      </c>
      <c r="L123" s="64">
        <f>VLOOKUP($B123,'7. PGE_Efficacité'!$A$6:$CY$266,(MATCH('[3]4.4 ACE MAX SEN '!L$4,'7. PGE_Efficacité'!$A$4:$AO$4,0)),0)</f>
        <v>0</v>
      </c>
      <c r="M123" s="64">
        <f>VLOOKUP($B123,'7. PGE_Efficacité'!$A$6:$CY$266,(MATCH('[3]4.4 ACE MAX SEN '!M$4,'7. PGE_Efficacité'!$A$4:$AO$4,0)),0)</f>
        <v>0</v>
      </c>
      <c r="N123" s="64">
        <f>VLOOKUP($B123,'7. PGE_Efficacité'!$A$6:$CY$266,(MATCH('[3]4.4 ACE MAX SEN '!N$4,'7. PGE_Efficacité'!$A$4:$AO$4,0)),0)</f>
        <v>0</v>
      </c>
      <c r="O123" s="64">
        <f>VLOOKUP($B123,'7. PGE_Efficacité'!$A$6:$CY$266,(MATCH('[3]4.4 ACE MAX SEN '!O$4,'7. PGE_Efficacité'!$A$4:$AO$4,0)),0)</f>
        <v>0</v>
      </c>
      <c r="P123" s="64">
        <f>VLOOKUP($B123,'7. PGE_Efficacité'!$A$6:$CY$266,(MATCH('[3]4.4 ACE MAX SEN '!P$4,'7. PGE_Efficacité'!$A$4:$AO$4,0)),0)</f>
        <v>0</v>
      </c>
      <c r="Q123" s="64">
        <f>VLOOKUP($B123,'7. PGE_Efficacité'!$A$6:$CY$266,(MATCH('[3]4.4 ACE MAX SEN '!Q$4,'7. PGE_Efficacité'!$A$4:$AO$4,0)),0)</f>
        <v>0</v>
      </c>
      <c r="R123" s="64">
        <f>VLOOKUP($B123,'7. PGE_Efficacité'!$A$6:$CY$266,(MATCH('[3]4.4 ACE MAX SEN '!R$4,'7. PGE_Efficacité'!$A$4:$AO$4,0)),0)</f>
        <v>0</v>
      </c>
      <c r="S123" s="64">
        <f>VLOOKUP($B123,'7. PGE_Efficacité'!$A$6:$CY$266,(MATCH('[3]4.4 ACE MAX SEN '!S$4,'7. PGE_Efficacité'!$A$4:$AO$4,0)),0)</f>
        <v>0</v>
      </c>
      <c r="T123" s="64">
        <f>VLOOKUP($B123,'7. PGE_Efficacité'!$A$6:$CY$266,(MATCH('[3]4.4 ACE MAX SEN '!T$4,'7. PGE_Efficacité'!$A$4:$AO$4,0)),0)</f>
        <v>0</v>
      </c>
      <c r="U123" s="64">
        <f>VLOOKUP($B123,'7. PGE_Efficacité'!$A$6:$CY$266,(MATCH('[3]4.4 ACE MAX SEN '!U$4,'7. PGE_Efficacité'!$A$4:$AO$4,0)),0)</f>
        <v>0</v>
      </c>
      <c r="V123" s="64">
        <f>VLOOKUP($B123,'7. PGE_Efficacité'!$A$6:$CY$266,(MATCH('[3]4.4 ACE MAX SEN '!V$4,'7. PGE_Efficacité'!$A$4:$AO$4,0)),0)</f>
        <v>0</v>
      </c>
      <c r="W123" s="61">
        <f>VLOOKUP($B123,'7. PGE_Efficacité'!$A$6:$CY$266,(MATCH('[3]4.4 ACE MAX SEN '!W$4,'7. PGE_Efficacité'!$A$4:$AO$4,0)),0)</f>
        <v>0</v>
      </c>
      <c r="X123" s="61">
        <f>VLOOKUP($B123,'7. PGE_Efficacité'!$A$6:$CY$266,(MATCH('[3]4.4 ACE MAX SEN '!X$4,'7. PGE_Efficacité'!$A$4:$AO$4,0)),0)</f>
        <v>0</v>
      </c>
      <c r="Y123" s="61">
        <f>VLOOKUP($B123,'7. PGE_Efficacité'!$A$6:$CY$266,(MATCH('[3]4.4 ACE MAX SEN '!Y$4,'7. PGE_Efficacité'!$A$4:$AO$4,0)),0)</f>
        <v>0</v>
      </c>
      <c r="Z123" s="61">
        <f>VLOOKUP($B123,'7. PGE_Efficacité'!$A$6:$CY$266,(MATCH('[3]4.4 ACE MAX SEN '!Z$4,'7. PGE_Efficacité'!$A$4:$AO$4,0)),0)</f>
        <v>0</v>
      </c>
      <c r="AA123" s="61">
        <f>VLOOKUP($B123,'7. PGE_Efficacité'!$A$6:$CY$266,(MATCH('[3]4.4 ACE MAX SEN '!AA$4,'7. PGE_Efficacité'!$A$4:$AO$4,0)),0)</f>
        <v>0</v>
      </c>
      <c r="AB123" s="61">
        <f>VLOOKUP($B123,'7. PGE_Efficacité'!$A$6:$CY$266,(MATCH('[3]4.4 ACE MAX SEN '!AB$4,'7. PGE_Efficacité'!$A$4:$AO$4,0)),0)</f>
        <v>0</v>
      </c>
      <c r="AC123" s="61">
        <f>VLOOKUP($B123,'7. PGE_Efficacité'!$A$6:$CY$266,(MATCH('[3]4.4 ACE MAX SEN '!AC$4,'7. PGE_Efficacité'!$A$4:$AO$4,0)),0)</f>
        <v>0</v>
      </c>
      <c r="AD123" s="61">
        <f>VLOOKUP($B123,'7. PGE_Efficacité'!$A$6:$CY$266,(MATCH('[3]4.4 ACE MAX SEN '!AD$4,'7. PGE_Efficacité'!$A$4:$AO$4,0)),0)</f>
        <v>0</v>
      </c>
      <c r="AE123" s="61">
        <f>VLOOKUP($B123,'7. PGE_Efficacité'!$A$6:$CY$266,(MATCH('[3]4.4 ACE MAX SEN '!AE$4,'7. PGE_Efficacité'!$A$4:$AO$4,0)),0)</f>
        <v>0</v>
      </c>
      <c r="AF123" s="61">
        <f>VLOOKUP($B123,'7. PGE_Efficacité'!$A$6:$CY$266,(MATCH('[3]4.4 ACE MAX SEN '!AF$4,'7. PGE_Efficacité'!$A$4:$AO$4,0)),0)</f>
        <v>0</v>
      </c>
      <c r="AG123" s="61">
        <f>VLOOKUP($B123,'7. PGE_Efficacité'!$A$6:$CY$266,(MATCH('[3]4.4 ACE MAX SEN '!AG$4,'7. PGE_Efficacité'!$A$4:$AO$4,0)),0)</f>
        <v>0</v>
      </c>
      <c r="AH123" s="61">
        <f>VLOOKUP($B123,'7. PGE_Efficacité'!$A$6:$CY$266,(MATCH('[3]4.4 ACE MAX SEN '!AH$4,'7. PGE_Efficacité'!$A$4:$AO$4,0)),0)</f>
        <v>0</v>
      </c>
      <c r="AI123" s="61">
        <f>VLOOKUP($B123,'7. PGE_Efficacité'!$A$6:$CY$266,(MATCH('[3]4.4 ACE MAX SEN '!AI$4,'7. PGE_Efficacité'!$A$4:$AO$4,0)),0)</f>
        <v>0</v>
      </c>
      <c r="AJ123" s="61">
        <f>VLOOKUP($B123,'7. PGE_Efficacité'!$A$6:$CY$266,(MATCH('[3]4.4 ACE MAX SEN '!AJ$4,'7. PGE_Efficacité'!$A$4:$AO$4,0)),0)</f>
        <v>0</v>
      </c>
      <c r="AK123" s="61">
        <f>VLOOKUP($B123,'7. PGE_Efficacité'!$A$6:$CY$266,(MATCH('[3]4.4 ACE MAX SEN '!AK$4,'7. PGE_Efficacité'!$A$4:$AO$4,0)),0)</f>
        <v>0</v>
      </c>
    </row>
    <row r="124" spans="1:37" hidden="1" outlineLevel="2" x14ac:dyDescent="0.25">
      <c r="A124" s="65" t="s">
        <v>15</v>
      </c>
      <c r="B124" s="65" t="s">
        <v>681</v>
      </c>
      <c r="C124" s="65" t="s">
        <v>1341</v>
      </c>
      <c r="D124" s="65" t="s">
        <v>1520</v>
      </c>
      <c r="E124" s="65" t="s">
        <v>415</v>
      </c>
      <c r="F124" s="70"/>
      <c r="G124" s="64">
        <f>VLOOKUP($B124,'7. PGE_Efficacité'!$A$6:$CY$266,(MATCH('[3]4.4 ACE MAX SEN '!G$4,'7. PGE_Efficacité'!$A$4:$AO$4,0)),0)</f>
        <v>0</v>
      </c>
      <c r="H124" s="64">
        <f>VLOOKUP($B124,'7. PGE_Efficacité'!$A$6:$CY$266,(MATCH('[3]4.4 ACE MAX SEN '!H$4,'7. PGE_Efficacité'!$A$4:$AO$4,0)),0)</f>
        <v>0</v>
      </c>
      <c r="I124" s="64">
        <f>VLOOKUP($B124,'7. PGE_Efficacité'!$A$6:$CY$266,(MATCH('[3]4.4 ACE MAX SEN '!I$4,'7. PGE_Efficacité'!$A$4:$AO$4,0)),0)</f>
        <v>0</v>
      </c>
      <c r="J124" s="64">
        <f>VLOOKUP($B124,'7. PGE_Efficacité'!$A$6:$CY$266,(MATCH('[3]4.4 ACE MAX SEN '!J$4,'7. PGE_Efficacité'!$A$4:$AO$4,0)),0)</f>
        <v>0</v>
      </c>
      <c r="K124" s="64">
        <f>VLOOKUP($B124,'7. PGE_Efficacité'!$A$6:$CY$266,(MATCH('[3]4.4 ACE MAX SEN '!K$4,'7. PGE_Efficacité'!$A$4:$AO$4,0)),0)</f>
        <v>0</v>
      </c>
      <c r="L124" s="64">
        <f>VLOOKUP($B124,'7. PGE_Efficacité'!$A$6:$CY$266,(MATCH('[3]4.4 ACE MAX SEN '!L$4,'7. PGE_Efficacité'!$A$4:$AO$4,0)),0)</f>
        <v>0</v>
      </c>
      <c r="M124" s="64">
        <f>VLOOKUP($B124,'7. PGE_Efficacité'!$A$6:$CY$266,(MATCH('[3]4.4 ACE MAX SEN '!M$4,'7. PGE_Efficacité'!$A$4:$AO$4,0)),0)</f>
        <v>0</v>
      </c>
      <c r="N124" s="64">
        <f>VLOOKUP($B124,'7. PGE_Efficacité'!$A$6:$CY$266,(MATCH('[3]4.4 ACE MAX SEN '!N$4,'7. PGE_Efficacité'!$A$4:$AO$4,0)),0)</f>
        <v>0</v>
      </c>
      <c r="O124" s="64">
        <f>VLOOKUP($B124,'7. PGE_Efficacité'!$A$6:$CY$266,(MATCH('[3]4.4 ACE MAX SEN '!O$4,'7. PGE_Efficacité'!$A$4:$AO$4,0)),0)</f>
        <v>0</v>
      </c>
      <c r="P124" s="64">
        <f>VLOOKUP($B124,'7. PGE_Efficacité'!$A$6:$CY$266,(MATCH('[3]4.4 ACE MAX SEN '!P$4,'7. PGE_Efficacité'!$A$4:$AO$4,0)),0)</f>
        <v>0</v>
      </c>
      <c r="Q124" s="64">
        <f>VLOOKUP($B124,'7. PGE_Efficacité'!$A$6:$CY$266,(MATCH('[3]4.4 ACE MAX SEN '!Q$4,'7. PGE_Efficacité'!$A$4:$AO$4,0)),0)</f>
        <v>0</v>
      </c>
      <c r="R124" s="64">
        <f>VLOOKUP($B124,'7. PGE_Efficacité'!$A$6:$CY$266,(MATCH('[3]4.4 ACE MAX SEN '!R$4,'7. PGE_Efficacité'!$A$4:$AO$4,0)),0)</f>
        <v>0</v>
      </c>
      <c r="S124" s="64">
        <f>VLOOKUP($B124,'7. PGE_Efficacité'!$A$6:$CY$266,(MATCH('[3]4.4 ACE MAX SEN '!S$4,'7. PGE_Efficacité'!$A$4:$AO$4,0)),0)</f>
        <v>0</v>
      </c>
      <c r="T124" s="64">
        <f>VLOOKUP($B124,'7. PGE_Efficacité'!$A$6:$CY$266,(MATCH('[3]4.4 ACE MAX SEN '!T$4,'7. PGE_Efficacité'!$A$4:$AO$4,0)),0)</f>
        <v>0</v>
      </c>
      <c r="U124" s="64">
        <f>VLOOKUP($B124,'7. PGE_Efficacité'!$A$6:$CY$266,(MATCH('[3]4.4 ACE MAX SEN '!U$4,'7. PGE_Efficacité'!$A$4:$AO$4,0)),0)</f>
        <v>0</v>
      </c>
      <c r="V124" s="64">
        <f>VLOOKUP($B124,'7. PGE_Efficacité'!$A$6:$CY$266,(MATCH('[3]4.4 ACE MAX SEN '!V$4,'7. PGE_Efficacité'!$A$4:$AO$4,0)),0)</f>
        <v>0</v>
      </c>
      <c r="W124" s="61">
        <f>VLOOKUP($B124,'7. PGE_Efficacité'!$A$6:$CY$266,(MATCH('[3]4.4 ACE MAX SEN '!W$4,'7. PGE_Efficacité'!$A$4:$AO$4,0)),0)</f>
        <v>0</v>
      </c>
      <c r="X124" s="61">
        <f>VLOOKUP($B124,'7. PGE_Efficacité'!$A$6:$CY$266,(MATCH('[3]4.4 ACE MAX SEN '!X$4,'7. PGE_Efficacité'!$A$4:$AO$4,0)),0)</f>
        <v>0</v>
      </c>
      <c r="Y124" s="61">
        <f>VLOOKUP($B124,'7. PGE_Efficacité'!$A$6:$CY$266,(MATCH('[3]4.4 ACE MAX SEN '!Y$4,'7. PGE_Efficacité'!$A$4:$AO$4,0)),0)</f>
        <v>0</v>
      </c>
      <c r="Z124" s="61">
        <f>VLOOKUP($B124,'7. PGE_Efficacité'!$A$6:$CY$266,(MATCH('[3]4.4 ACE MAX SEN '!Z$4,'7. PGE_Efficacité'!$A$4:$AO$4,0)),0)</f>
        <v>0</v>
      </c>
      <c r="AA124" s="61">
        <f>VLOOKUP($B124,'7. PGE_Efficacité'!$A$6:$CY$266,(MATCH('[3]4.4 ACE MAX SEN '!AA$4,'7. PGE_Efficacité'!$A$4:$AO$4,0)),0)</f>
        <v>0</v>
      </c>
      <c r="AB124" s="61">
        <f>VLOOKUP($B124,'7. PGE_Efficacité'!$A$6:$CY$266,(MATCH('[3]4.4 ACE MAX SEN '!AB$4,'7. PGE_Efficacité'!$A$4:$AO$4,0)),0)</f>
        <v>0</v>
      </c>
      <c r="AC124" s="61">
        <f>VLOOKUP($B124,'7. PGE_Efficacité'!$A$6:$CY$266,(MATCH('[3]4.4 ACE MAX SEN '!AC$4,'7. PGE_Efficacité'!$A$4:$AO$4,0)),0)</f>
        <v>0</v>
      </c>
      <c r="AD124" s="61">
        <f>VLOOKUP($B124,'7. PGE_Efficacité'!$A$6:$CY$266,(MATCH('[3]4.4 ACE MAX SEN '!AD$4,'7. PGE_Efficacité'!$A$4:$AO$4,0)),0)</f>
        <v>0</v>
      </c>
      <c r="AE124" s="61">
        <f>VLOOKUP($B124,'7. PGE_Efficacité'!$A$6:$CY$266,(MATCH('[3]4.4 ACE MAX SEN '!AE$4,'7. PGE_Efficacité'!$A$4:$AO$4,0)),0)</f>
        <v>0</v>
      </c>
      <c r="AF124" s="61">
        <f>VLOOKUP($B124,'7. PGE_Efficacité'!$A$6:$CY$266,(MATCH('[3]4.4 ACE MAX SEN '!AF$4,'7. PGE_Efficacité'!$A$4:$AO$4,0)),0)</f>
        <v>0</v>
      </c>
      <c r="AG124" s="61">
        <f>VLOOKUP($B124,'7. PGE_Efficacité'!$A$6:$CY$266,(MATCH('[3]4.4 ACE MAX SEN '!AG$4,'7. PGE_Efficacité'!$A$4:$AO$4,0)),0)</f>
        <v>0</v>
      </c>
      <c r="AH124" s="61">
        <f>VLOOKUP($B124,'7. PGE_Efficacité'!$A$6:$CY$266,(MATCH('[3]4.4 ACE MAX SEN '!AH$4,'7. PGE_Efficacité'!$A$4:$AO$4,0)),0)</f>
        <v>0</v>
      </c>
      <c r="AI124" s="61">
        <f>VLOOKUP($B124,'7. PGE_Efficacité'!$A$6:$CY$266,(MATCH('[3]4.4 ACE MAX SEN '!AI$4,'7. PGE_Efficacité'!$A$4:$AO$4,0)),0)</f>
        <v>0</v>
      </c>
      <c r="AJ124" s="61">
        <f>VLOOKUP($B124,'7. PGE_Efficacité'!$A$6:$CY$266,(MATCH('[3]4.4 ACE MAX SEN '!AJ$4,'7. PGE_Efficacité'!$A$4:$AO$4,0)),0)</f>
        <v>0</v>
      </c>
      <c r="AK124" s="61">
        <f>VLOOKUP($B124,'7. PGE_Efficacité'!$A$6:$CY$266,(MATCH('[3]4.4 ACE MAX SEN '!AK$4,'7. PGE_Efficacité'!$A$4:$AO$4,0)),0)</f>
        <v>0</v>
      </c>
    </row>
    <row r="125" spans="1:37" hidden="1" outlineLevel="2" x14ac:dyDescent="0.25">
      <c r="A125" s="65" t="s">
        <v>15</v>
      </c>
      <c r="B125" s="65" t="s">
        <v>682</v>
      </c>
      <c r="C125" s="65" t="s">
        <v>1342</v>
      </c>
      <c r="D125" s="65" t="s">
        <v>1520</v>
      </c>
      <c r="E125" s="65" t="s">
        <v>1290</v>
      </c>
      <c r="F125" s="70"/>
      <c r="G125" s="64">
        <f>VLOOKUP($B125,'7. PGE_Efficacité'!$A$6:$CY$266,(MATCH('[3]4.4 ACE MAX SEN '!G$4,'7. PGE_Efficacité'!$A$4:$AO$4,0)),0)</f>
        <v>0</v>
      </c>
      <c r="H125" s="64">
        <f>VLOOKUP($B125,'7. PGE_Efficacité'!$A$6:$CY$266,(MATCH('[3]4.4 ACE MAX SEN '!H$4,'7. PGE_Efficacité'!$A$4:$AO$4,0)),0)</f>
        <v>0</v>
      </c>
      <c r="I125" s="64">
        <f>VLOOKUP($B125,'7. PGE_Efficacité'!$A$6:$CY$266,(MATCH('[3]4.4 ACE MAX SEN '!I$4,'7. PGE_Efficacité'!$A$4:$AO$4,0)),0)</f>
        <v>0</v>
      </c>
      <c r="J125" s="64">
        <f>VLOOKUP($B125,'7. PGE_Efficacité'!$A$6:$CY$266,(MATCH('[3]4.4 ACE MAX SEN '!J$4,'7. PGE_Efficacité'!$A$4:$AO$4,0)),0)</f>
        <v>0</v>
      </c>
      <c r="K125" s="64">
        <f>VLOOKUP($B125,'7. PGE_Efficacité'!$A$6:$CY$266,(MATCH('[3]4.4 ACE MAX SEN '!K$4,'7. PGE_Efficacité'!$A$4:$AO$4,0)),0)</f>
        <v>0</v>
      </c>
      <c r="L125" s="64">
        <f>VLOOKUP($B125,'7. PGE_Efficacité'!$A$6:$CY$266,(MATCH('[3]4.4 ACE MAX SEN '!L$4,'7. PGE_Efficacité'!$A$4:$AO$4,0)),0)</f>
        <v>0</v>
      </c>
      <c r="M125" s="64">
        <f>VLOOKUP($B125,'7. PGE_Efficacité'!$A$6:$CY$266,(MATCH('[3]4.4 ACE MAX SEN '!M$4,'7. PGE_Efficacité'!$A$4:$AO$4,0)),0)</f>
        <v>0</v>
      </c>
      <c r="N125" s="64">
        <f>VLOOKUP($B125,'7. PGE_Efficacité'!$A$6:$CY$266,(MATCH('[3]4.4 ACE MAX SEN '!N$4,'7. PGE_Efficacité'!$A$4:$AO$4,0)),0)</f>
        <v>0</v>
      </c>
      <c r="O125" s="64">
        <f>VLOOKUP($B125,'7. PGE_Efficacité'!$A$6:$CY$266,(MATCH('[3]4.4 ACE MAX SEN '!O$4,'7. PGE_Efficacité'!$A$4:$AO$4,0)),0)</f>
        <v>0</v>
      </c>
      <c r="P125" s="64">
        <f>VLOOKUP($B125,'7. PGE_Efficacité'!$A$6:$CY$266,(MATCH('[3]4.4 ACE MAX SEN '!P$4,'7. PGE_Efficacité'!$A$4:$AO$4,0)),0)</f>
        <v>0</v>
      </c>
      <c r="Q125" s="64">
        <f>VLOOKUP($B125,'7. PGE_Efficacité'!$A$6:$CY$266,(MATCH('[3]4.4 ACE MAX SEN '!Q$4,'7. PGE_Efficacité'!$A$4:$AO$4,0)),0)</f>
        <v>0</v>
      </c>
      <c r="R125" s="64">
        <f>VLOOKUP($B125,'7. PGE_Efficacité'!$A$6:$CY$266,(MATCH('[3]4.4 ACE MAX SEN '!R$4,'7. PGE_Efficacité'!$A$4:$AO$4,0)),0)</f>
        <v>0</v>
      </c>
      <c r="S125" s="64">
        <f>VLOOKUP($B125,'7. PGE_Efficacité'!$A$6:$CY$266,(MATCH('[3]4.4 ACE MAX SEN '!S$4,'7. PGE_Efficacité'!$A$4:$AO$4,0)),0)</f>
        <v>0</v>
      </c>
      <c r="T125" s="64">
        <f>VLOOKUP($B125,'7. PGE_Efficacité'!$A$6:$CY$266,(MATCH('[3]4.4 ACE MAX SEN '!T$4,'7. PGE_Efficacité'!$A$4:$AO$4,0)),0)</f>
        <v>0</v>
      </c>
      <c r="U125" s="64">
        <f>VLOOKUP($B125,'7. PGE_Efficacité'!$A$6:$CY$266,(MATCH('[3]4.4 ACE MAX SEN '!U$4,'7. PGE_Efficacité'!$A$4:$AO$4,0)),0)</f>
        <v>0</v>
      </c>
      <c r="V125" s="64">
        <f>VLOOKUP($B125,'7. PGE_Efficacité'!$A$6:$CY$266,(MATCH('[3]4.4 ACE MAX SEN '!V$4,'7. PGE_Efficacité'!$A$4:$AO$4,0)),0)</f>
        <v>0</v>
      </c>
      <c r="W125" s="61">
        <f>VLOOKUP($B125,'7. PGE_Efficacité'!$A$6:$CY$266,(MATCH('[3]4.4 ACE MAX SEN '!W$4,'7. PGE_Efficacité'!$A$4:$AO$4,0)),0)</f>
        <v>0</v>
      </c>
      <c r="X125" s="61">
        <f>VLOOKUP($B125,'7. PGE_Efficacité'!$A$6:$CY$266,(MATCH('[3]4.4 ACE MAX SEN '!X$4,'7. PGE_Efficacité'!$A$4:$AO$4,0)),0)</f>
        <v>0</v>
      </c>
      <c r="Y125" s="61">
        <f>VLOOKUP($B125,'7. PGE_Efficacité'!$A$6:$CY$266,(MATCH('[3]4.4 ACE MAX SEN '!Y$4,'7. PGE_Efficacité'!$A$4:$AO$4,0)),0)</f>
        <v>0</v>
      </c>
      <c r="Z125" s="61">
        <f>VLOOKUP($B125,'7. PGE_Efficacité'!$A$6:$CY$266,(MATCH('[3]4.4 ACE MAX SEN '!Z$4,'7. PGE_Efficacité'!$A$4:$AO$4,0)),0)</f>
        <v>0</v>
      </c>
      <c r="AA125" s="61">
        <f>VLOOKUP($B125,'7. PGE_Efficacité'!$A$6:$CY$266,(MATCH('[3]4.4 ACE MAX SEN '!AA$4,'7. PGE_Efficacité'!$A$4:$AO$4,0)),0)</f>
        <v>0</v>
      </c>
      <c r="AB125" s="61">
        <f>VLOOKUP($B125,'7. PGE_Efficacité'!$A$6:$CY$266,(MATCH('[3]4.4 ACE MAX SEN '!AB$4,'7. PGE_Efficacité'!$A$4:$AO$4,0)),0)</f>
        <v>0</v>
      </c>
      <c r="AC125" s="61">
        <f>VLOOKUP($B125,'7. PGE_Efficacité'!$A$6:$CY$266,(MATCH('[3]4.4 ACE MAX SEN '!AC$4,'7. PGE_Efficacité'!$A$4:$AO$4,0)),0)</f>
        <v>0</v>
      </c>
      <c r="AD125" s="61">
        <f>VLOOKUP($B125,'7. PGE_Efficacité'!$A$6:$CY$266,(MATCH('[3]4.4 ACE MAX SEN '!AD$4,'7. PGE_Efficacité'!$A$4:$AO$4,0)),0)</f>
        <v>0</v>
      </c>
      <c r="AE125" s="61">
        <f>VLOOKUP($B125,'7. PGE_Efficacité'!$A$6:$CY$266,(MATCH('[3]4.4 ACE MAX SEN '!AE$4,'7. PGE_Efficacité'!$A$4:$AO$4,0)),0)</f>
        <v>0</v>
      </c>
      <c r="AF125" s="61">
        <f>VLOOKUP($B125,'7. PGE_Efficacité'!$A$6:$CY$266,(MATCH('[3]4.4 ACE MAX SEN '!AF$4,'7. PGE_Efficacité'!$A$4:$AO$4,0)),0)</f>
        <v>0</v>
      </c>
      <c r="AG125" s="61">
        <f>VLOOKUP($B125,'7. PGE_Efficacité'!$A$6:$CY$266,(MATCH('[3]4.4 ACE MAX SEN '!AG$4,'7. PGE_Efficacité'!$A$4:$AO$4,0)),0)</f>
        <v>0</v>
      </c>
      <c r="AH125" s="61">
        <f>VLOOKUP($B125,'7. PGE_Efficacité'!$A$6:$CY$266,(MATCH('[3]4.4 ACE MAX SEN '!AH$4,'7. PGE_Efficacité'!$A$4:$AO$4,0)),0)</f>
        <v>0</v>
      </c>
      <c r="AI125" s="61">
        <f>VLOOKUP($B125,'7. PGE_Efficacité'!$A$6:$CY$266,(MATCH('[3]4.4 ACE MAX SEN '!AI$4,'7. PGE_Efficacité'!$A$4:$AO$4,0)),0)</f>
        <v>0</v>
      </c>
      <c r="AJ125" s="61">
        <f>VLOOKUP($B125,'7. PGE_Efficacité'!$A$6:$CY$266,(MATCH('[3]4.4 ACE MAX SEN '!AJ$4,'7. PGE_Efficacité'!$A$4:$AO$4,0)),0)</f>
        <v>0</v>
      </c>
      <c r="AK125" s="61">
        <f>VLOOKUP($B125,'7. PGE_Efficacité'!$A$6:$CY$266,(MATCH('[3]4.4 ACE MAX SEN '!AK$4,'7. PGE_Efficacité'!$A$4:$AO$4,0)),0)</f>
        <v>0</v>
      </c>
    </row>
    <row r="126" spans="1:37" ht="26.25" outlineLevel="1" collapsed="1" x14ac:dyDescent="0.25">
      <c r="A126" s="157" t="s">
        <v>16</v>
      </c>
      <c r="B126" s="63"/>
      <c r="C126" s="156" t="s">
        <v>224</v>
      </c>
      <c r="D126" s="63"/>
      <c r="E126" s="63"/>
      <c r="F126" s="72">
        <f>MEDIAN(VLOOKUP(A126,'4. Mesures_ACE_Budget'!$A$3:$J$31,9,0),VLOOKUP(A126,'4. Mesures_ACE_Budget'!$A$3:$J$31,10,0))</f>
        <v>0</v>
      </c>
      <c r="G126" s="180">
        <f>VLOOKUP($A126,'7. PGE_Efficacité'!$A$6:$CY$266,(MATCH('[2]4.4 ACE MAX SEN '!G$4,'7. PGE_Efficacité'!$A$4:$AO$4,0)),0)</f>
        <v>0</v>
      </c>
      <c r="H126" s="180">
        <f>VLOOKUP($A126,'7. PGE_Efficacité'!$A$6:$CY$266,(MATCH('[2]4.4 ACE MAX SEN '!H$4,'7. PGE_Efficacité'!$A$4:$AO$4,0)),0)</f>
        <v>0</v>
      </c>
      <c r="I126" s="180">
        <f>VLOOKUP($A126,'7. PGE_Efficacité'!$A$6:$CY$266,(MATCH('[2]4.4 ACE MAX SEN '!I$4,'7. PGE_Efficacité'!$A$4:$AO$4,0)),0)</f>
        <v>0</v>
      </c>
      <c r="J126" s="180">
        <f>VLOOKUP($A126,'7. PGE_Efficacité'!$A$6:$CY$266,(MATCH('[2]4.4 ACE MAX SEN '!J$4,'7. PGE_Efficacité'!$A$4:$AO$4,0)),0)</f>
        <v>0</v>
      </c>
      <c r="K126" s="180">
        <f>VLOOKUP($A126,'7. PGE_Efficacité'!$A$6:$CY$266,(MATCH('[2]4.4 ACE MAX SEN '!K$4,'7. PGE_Efficacité'!$A$4:$AO$4,0)),0)</f>
        <v>0</v>
      </c>
      <c r="L126" s="180">
        <f>VLOOKUP($A126,'7. PGE_Efficacité'!$A$6:$CY$266,(MATCH('[2]4.4 ACE MAX SEN '!L$4,'7. PGE_Efficacité'!$A$4:$AO$4,0)),0)</f>
        <v>0</v>
      </c>
      <c r="M126" s="180">
        <f>VLOOKUP($A126,'7. PGE_Efficacité'!$A$6:$CY$266,(MATCH('[2]4.4 ACE MAX SEN '!M$4,'7. PGE_Efficacité'!$A$4:$AO$4,0)),0)</f>
        <v>0</v>
      </c>
      <c r="N126" s="180">
        <f>VLOOKUP($A126,'7. PGE_Efficacité'!$A$6:$CY$266,(MATCH('[2]4.4 ACE MAX SEN '!N$4,'7. PGE_Efficacité'!$A$4:$AO$4,0)),0)</f>
        <v>0</v>
      </c>
      <c r="O126" s="180">
        <f>VLOOKUP($A126,'7. PGE_Efficacité'!$A$6:$CY$266,(MATCH('[2]4.4 ACE MAX SEN '!O$4,'7. PGE_Efficacité'!$A$4:$AO$4,0)),0)</f>
        <v>0</v>
      </c>
      <c r="P126" s="180">
        <f>VLOOKUP($A126,'7. PGE_Efficacité'!$A$6:$CY$266,(MATCH('[2]4.4 ACE MAX SEN '!P$4,'7. PGE_Efficacité'!$A$4:$AO$4,0)),0)</f>
        <v>0</v>
      </c>
      <c r="Q126" s="180">
        <f>VLOOKUP($A126,'7. PGE_Efficacité'!$A$6:$CY$266,(MATCH('[2]4.4 ACE MAX SEN '!Q$4,'7. PGE_Efficacité'!$A$4:$AO$4,0)),0)</f>
        <v>0</v>
      </c>
      <c r="R126" s="180">
        <f>VLOOKUP($A126,'7. PGE_Efficacité'!$A$6:$CY$266,(MATCH('[2]4.4 ACE MAX SEN '!R$4,'7. PGE_Efficacité'!$A$4:$AO$4,0)),0)</f>
        <v>0</v>
      </c>
      <c r="S126" s="180">
        <f>VLOOKUP($A126,'7. PGE_Efficacité'!$A$6:$CY$266,(MATCH('[2]4.4 ACE MAX SEN '!S$4,'7. PGE_Efficacité'!$A$4:$AO$4,0)),0)</f>
        <v>0</v>
      </c>
      <c r="T126" s="180">
        <f>VLOOKUP($A126,'7. PGE_Efficacité'!$A$6:$CY$266,(MATCH('[2]4.4 ACE MAX SEN '!T$4,'7. PGE_Efficacité'!$A$4:$AO$4,0)),0)</f>
        <v>0</v>
      </c>
      <c r="U126" s="180">
        <f>VLOOKUP($A126,'7. PGE_Efficacité'!$A$6:$CY$266,(MATCH('[2]4.4 ACE MAX SEN '!U$4,'7. PGE_Efficacité'!$A$4:$AO$4,0)),0)</f>
        <v>0</v>
      </c>
      <c r="V126" s="180">
        <f>VLOOKUP($A126,'7. PGE_Efficacité'!$A$6:$CY$266,(MATCH('[2]4.4 ACE MAX SEN '!V$4,'7. PGE_Efficacité'!$A$4:$AO$4,0)),0)</f>
        <v>0</v>
      </c>
      <c r="W126" s="181">
        <f>VLOOKUP($A126,'7. PGE_Efficacité'!$A$6:$CY$266,(MATCH('[2]4.4 ACE MAX SEN '!W$4,'7. PGE_Efficacité'!$A$4:$AO$4,0)),0)</f>
        <v>0</v>
      </c>
      <c r="X126" s="181">
        <f>VLOOKUP($A126,'7. PGE_Efficacité'!$A$6:$CY$266,(MATCH('[2]4.4 ACE MAX SEN '!X$4,'7. PGE_Efficacité'!$A$4:$AO$4,0)),0)</f>
        <v>0</v>
      </c>
      <c r="Y126" s="181">
        <f>VLOOKUP($A126,'7. PGE_Efficacité'!$A$6:$CY$266,(MATCH('[2]4.4 ACE MAX SEN '!Y$4,'7. PGE_Efficacité'!$A$4:$AO$4,0)),0)</f>
        <v>0</v>
      </c>
      <c r="Z126" s="181">
        <f>VLOOKUP($A126,'7. PGE_Efficacité'!$A$6:$CY$266,(MATCH('[2]4.4 ACE MAX SEN '!Z$4,'7. PGE_Efficacité'!$A$4:$AO$4,0)),0)</f>
        <v>0</v>
      </c>
      <c r="AA126" s="181">
        <f>VLOOKUP($A126,'7. PGE_Efficacité'!$A$6:$CY$266,(MATCH('[2]4.4 ACE MAX SEN '!AA$4,'7. PGE_Efficacité'!$A$4:$AO$4,0)),0)</f>
        <v>0</v>
      </c>
      <c r="AB126" s="181">
        <f>VLOOKUP($A126,'7. PGE_Efficacité'!$A$6:$CY$266,(MATCH('[2]4.4 ACE MAX SEN '!AB$4,'7. PGE_Efficacité'!$A$4:$AO$4,0)),0)</f>
        <v>0</v>
      </c>
      <c r="AC126" s="181">
        <f>VLOOKUP($A126,'7. PGE_Efficacité'!$A$6:$CY$266,(MATCH('[2]4.4 ACE MAX SEN '!AC$4,'7. PGE_Efficacité'!$A$4:$AO$4,0)),0)</f>
        <v>0</v>
      </c>
      <c r="AD126" s="181">
        <f>VLOOKUP($A126,'7. PGE_Efficacité'!$A$6:$CY$266,(MATCH('[2]4.4 ACE MAX SEN '!AD$4,'7. PGE_Efficacité'!$A$4:$AO$4,0)),0)</f>
        <v>0</v>
      </c>
      <c r="AE126" s="181">
        <f>VLOOKUP($A126,'7. PGE_Efficacité'!$A$6:$CY$266,(MATCH('[2]4.4 ACE MAX SEN '!AE$4,'7. PGE_Efficacité'!$A$4:$AO$4,0)),0)</f>
        <v>0</v>
      </c>
      <c r="AF126" s="181">
        <f>VLOOKUP($A126,'7. PGE_Efficacité'!$A$6:$CY$266,(MATCH('[2]4.4 ACE MAX SEN '!AF$4,'7. PGE_Efficacité'!$A$4:$AO$4,0)),0)</f>
        <v>0</v>
      </c>
      <c r="AG126" s="181">
        <f>VLOOKUP($A126,'7. PGE_Efficacité'!$A$6:$CY$266,(MATCH('[2]4.4 ACE MAX SEN '!AG$4,'7. PGE_Efficacité'!$A$4:$AO$4,0)),0)</f>
        <v>0</v>
      </c>
      <c r="AH126" s="181">
        <f>VLOOKUP($A126,'7. PGE_Efficacité'!$A$6:$CY$266,(MATCH('[2]4.4 ACE MAX SEN '!AH$4,'7. PGE_Efficacité'!$A$4:$AO$4,0)),0)</f>
        <v>0</v>
      </c>
      <c r="AI126" s="181">
        <f>VLOOKUP($A126,'7. PGE_Efficacité'!$A$6:$CY$266,(MATCH('[2]4.4 ACE MAX SEN '!AI$4,'7. PGE_Efficacité'!$A$4:$AO$4,0)),0)</f>
        <v>0</v>
      </c>
      <c r="AJ126" s="181">
        <f>VLOOKUP($A126,'7. PGE_Efficacité'!$A$6:$CY$266,(MATCH('[2]4.4 ACE MAX SEN '!AJ$4,'7. PGE_Efficacité'!$A$4:$AO$4,0)),0)</f>
        <v>0</v>
      </c>
      <c r="AK126" s="181">
        <f>VLOOKUP($A126,'7. PGE_Efficacité'!$A$6:$CY$266,(MATCH('[2]4.4 ACE MAX SEN '!AK$4,'7. PGE_Efficacité'!$A$4:$AO$4,0)),0)</f>
        <v>0</v>
      </c>
    </row>
    <row r="127" spans="1:37" hidden="1" outlineLevel="2" x14ac:dyDescent="0.25">
      <c r="A127" s="65" t="s">
        <v>16</v>
      </c>
      <c r="B127" s="65" t="s">
        <v>687</v>
      </c>
      <c r="C127" s="65" t="s">
        <v>1347</v>
      </c>
      <c r="D127" s="65" t="s">
        <v>1521</v>
      </c>
      <c r="E127" s="65" t="s">
        <v>415</v>
      </c>
      <c r="F127" s="70"/>
      <c r="G127" s="64">
        <f>VLOOKUP($B127,'7. PGE_Efficacité'!$A$6:$CY$266,(MATCH('[3]4.4 ACE MAX SEN '!G$4,'7. PGE_Efficacité'!$A$4:$AO$4,0)),0)</f>
        <v>0</v>
      </c>
      <c r="H127" s="64">
        <f>VLOOKUP($B127,'7. PGE_Efficacité'!$A$6:$CY$266,(MATCH('[3]4.4 ACE MAX SEN '!H$4,'7. PGE_Efficacité'!$A$4:$AO$4,0)),0)</f>
        <v>0</v>
      </c>
      <c r="I127" s="64">
        <f>VLOOKUP($B127,'7. PGE_Efficacité'!$A$6:$CY$266,(MATCH('[3]4.4 ACE MAX SEN '!I$4,'7. PGE_Efficacité'!$A$4:$AO$4,0)),0)</f>
        <v>0</v>
      </c>
      <c r="J127" s="64">
        <f>VLOOKUP($B127,'7. PGE_Efficacité'!$A$6:$CY$266,(MATCH('[3]4.4 ACE MAX SEN '!J$4,'7. PGE_Efficacité'!$A$4:$AO$4,0)),0)</f>
        <v>0</v>
      </c>
      <c r="K127" s="64">
        <f>VLOOKUP($B127,'7. PGE_Efficacité'!$A$6:$CY$266,(MATCH('[3]4.4 ACE MAX SEN '!K$4,'7. PGE_Efficacité'!$A$4:$AO$4,0)),0)</f>
        <v>0</v>
      </c>
      <c r="L127" s="64">
        <f>VLOOKUP($B127,'7. PGE_Efficacité'!$A$6:$CY$266,(MATCH('[3]4.4 ACE MAX SEN '!L$4,'7. PGE_Efficacité'!$A$4:$AO$4,0)),0)</f>
        <v>0</v>
      </c>
      <c r="M127" s="64">
        <f>VLOOKUP($B127,'7. PGE_Efficacité'!$A$6:$CY$266,(MATCH('[3]4.4 ACE MAX SEN '!M$4,'7. PGE_Efficacité'!$A$4:$AO$4,0)),0)</f>
        <v>0</v>
      </c>
      <c r="N127" s="64">
        <f>VLOOKUP($B127,'7. PGE_Efficacité'!$A$6:$CY$266,(MATCH('[3]4.4 ACE MAX SEN '!N$4,'7. PGE_Efficacité'!$A$4:$AO$4,0)),0)</f>
        <v>0</v>
      </c>
      <c r="O127" s="64">
        <f>VLOOKUP($B127,'7. PGE_Efficacité'!$A$6:$CY$266,(MATCH('[3]4.4 ACE MAX SEN '!O$4,'7. PGE_Efficacité'!$A$4:$AO$4,0)),0)</f>
        <v>0</v>
      </c>
      <c r="P127" s="64">
        <f>VLOOKUP($B127,'7. PGE_Efficacité'!$A$6:$CY$266,(MATCH('[3]4.4 ACE MAX SEN '!P$4,'7. PGE_Efficacité'!$A$4:$AO$4,0)),0)</f>
        <v>0</v>
      </c>
      <c r="Q127" s="64">
        <f>VLOOKUP($B127,'7. PGE_Efficacité'!$A$6:$CY$266,(MATCH('[3]4.4 ACE MAX SEN '!Q$4,'7. PGE_Efficacité'!$A$4:$AO$4,0)),0)</f>
        <v>0</v>
      </c>
      <c r="R127" s="64">
        <f>VLOOKUP($B127,'7. PGE_Efficacité'!$A$6:$CY$266,(MATCH('[3]4.4 ACE MAX SEN '!R$4,'7. PGE_Efficacité'!$A$4:$AO$4,0)),0)</f>
        <v>0</v>
      </c>
      <c r="S127" s="64">
        <f>VLOOKUP($B127,'7. PGE_Efficacité'!$A$6:$CY$266,(MATCH('[3]4.4 ACE MAX SEN '!S$4,'7. PGE_Efficacité'!$A$4:$AO$4,0)),0)</f>
        <v>0</v>
      </c>
      <c r="T127" s="64">
        <f>VLOOKUP($B127,'7. PGE_Efficacité'!$A$6:$CY$266,(MATCH('[3]4.4 ACE MAX SEN '!T$4,'7. PGE_Efficacité'!$A$4:$AO$4,0)),0)</f>
        <v>0</v>
      </c>
      <c r="U127" s="64">
        <f>VLOOKUP($B127,'7. PGE_Efficacité'!$A$6:$CY$266,(MATCH('[3]4.4 ACE MAX SEN '!U$4,'7. PGE_Efficacité'!$A$4:$AO$4,0)),0)</f>
        <v>0</v>
      </c>
      <c r="V127" s="64">
        <f>VLOOKUP($B127,'7. PGE_Efficacité'!$A$6:$CY$266,(MATCH('[3]4.4 ACE MAX SEN '!V$4,'7. PGE_Efficacité'!$A$4:$AO$4,0)),0)</f>
        <v>0</v>
      </c>
      <c r="W127" s="61">
        <f>VLOOKUP($B127,'7. PGE_Efficacité'!$A$6:$CY$266,(MATCH('[3]4.4 ACE MAX SEN '!W$4,'7. PGE_Efficacité'!$A$4:$AO$4,0)),0)</f>
        <v>0</v>
      </c>
      <c r="X127" s="61">
        <f>VLOOKUP($B127,'7. PGE_Efficacité'!$A$6:$CY$266,(MATCH('[3]4.4 ACE MAX SEN '!X$4,'7. PGE_Efficacité'!$A$4:$AO$4,0)),0)</f>
        <v>0</v>
      </c>
      <c r="Y127" s="61">
        <f>VLOOKUP($B127,'7. PGE_Efficacité'!$A$6:$CY$266,(MATCH('[3]4.4 ACE MAX SEN '!Y$4,'7. PGE_Efficacité'!$A$4:$AO$4,0)),0)</f>
        <v>0</v>
      </c>
      <c r="Z127" s="61">
        <f>VLOOKUP($B127,'7. PGE_Efficacité'!$A$6:$CY$266,(MATCH('[3]4.4 ACE MAX SEN '!Z$4,'7. PGE_Efficacité'!$A$4:$AO$4,0)),0)</f>
        <v>0</v>
      </c>
      <c r="AA127" s="61">
        <f>VLOOKUP($B127,'7. PGE_Efficacité'!$A$6:$CY$266,(MATCH('[3]4.4 ACE MAX SEN '!AA$4,'7. PGE_Efficacité'!$A$4:$AO$4,0)),0)</f>
        <v>0</v>
      </c>
      <c r="AB127" s="61">
        <f>VLOOKUP($B127,'7. PGE_Efficacité'!$A$6:$CY$266,(MATCH('[3]4.4 ACE MAX SEN '!AB$4,'7. PGE_Efficacité'!$A$4:$AO$4,0)),0)</f>
        <v>0</v>
      </c>
      <c r="AC127" s="61">
        <f>VLOOKUP($B127,'7. PGE_Efficacité'!$A$6:$CY$266,(MATCH('[3]4.4 ACE MAX SEN '!AC$4,'7. PGE_Efficacité'!$A$4:$AO$4,0)),0)</f>
        <v>0</v>
      </c>
      <c r="AD127" s="61">
        <f>VLOOKUP($B127,'7. PGE_Efficacité'!$A$6:$CY$266,(MATCH('[3]4.4 ACE MAX SEN '!AD$4,'7. PGE_Efficacité'!$A$4:$AO$4,0)),0)</f>
        <v>0</v>
      </c>
      <c r="AE127" s="61">
        <f>VLOOKUP($B127,'7. PGE_Efficacité'!$A$6:$CY$266,(MATCH('[3]4.4 ACE MAX SEN '!AE$4,'7. PGE_Efficacité'!$A$4:$AO$4,0)),0)</f>
        <v>0</v>
      </c>
      <c r="AF127" s="61">
        <f>VLOOKUP($B127,'7. PGE_Efficacité'!$A$6:$CY$266,(MATCH('[3]4.4 ACE MAX SEN '!AF$4,'7. PGE_Efficacité'!$A$4:$AO$4,0)),0)</f>
        <v>0</v>
      </c>
      <c r="AG127" s="61">
        <f>VLOOKUP($B127,'7. PGE_Efficacité'!$A$6:$CY$266,(MATCH('[3]4.4 ACE MAX SEN '!AG$4,'7. PGE_Efficacité'!$A$4:$AO$4,0)),0)</f>
        <v>0</v>
      </c>
      <c r="AH127" s="61">
        <f>VLOOKUP($B127,'7. PGE_Efficacité'!$A$6:$CY$266,(MATCH('[3]4.4 ACE MAX SEN '!AH$4,'7. PGE_Efficacité'!$A$4:$AO$4,0)),0)</f>
        <v>0</v>
      </c>
      <c r="AI127" s="61">
        <f>VLOOKUP($B127,'7. PGE_Efficacité'!$A$6:$CY$266,(MATCH('[3]4.4 ACE MAX SEN '!AI$4,'7. PGE_Efficacité'!$A$4:$AO$4,0)),0)</f>
        <v>0</v>
      </c>
      <c r="AJ127" s="61">
        <f>VLOOKUP($B127,'7. PGE_Efficacité'!$A$6:$CY$266,(MATCH('[3]4.4 ACE MAX SEN '!AJ$4,'7. PGE_Efficacité'!$A$4:$AO$4,0)),0)</f>
        <v>0</v>
      </c>
      <c r="AK127" s="61">
        <f>VLOOKUP($B127,'7. PGE_Efficacité'!$A$6:$CY$266,(MATCH('[3]4.4 ACE MAX SEN '!AK$4,'7. PGE_Efficacité'!$A$4:$AO$4,0)),0)</f>
        <v>0</v>
      </c>
    </row>
    <row r="128" spans="1:37" hidden="1" outlineLevel="2" x14ac:dyDescent="0.25">
      <c r="A128" s="65" t="s">
        <v>16</v>
      </c>
      <c r="B128" s="65" t="s">
        <v>688</v>
      </c>
      <c r="C128" s="65" t="s">
        <v>1348</v>
      </c>
      <c r="D128" s="65" t="s">
        <v>1521</v>
      </c>
      <c r="E128" s="65" t="s">
        <v>1287</v>
      </c>
      <c r="F128" s="70"/>
      <c r="G128" s="64">
        <f>VLOOKUP($B128,'7. PGE_Efficacité'!$A$6:$CY$266,(MATCH('[3]4.4 ACE MAX SEN '!G$4,'7. PGE_Efficacité'!$A$4:$AO$4,0)),0)</f>
        <v>0</v>
      </c>
      <c r="H128" s="64">
        <f>VLOOKUP($B128,'7. PGE_Efficacité'!$A$6:$CY$266,(MATCH('[3]4.4 ACE MAX SEN '!H$4,'7. PGE_Efficacité'!$A$4:$AO$4,0)),0)</f>
        <v>0</v>
      </c>
      <c r="I128" s="64">
        <f>VLOOKUP($B128,'7. PGE_Efficacité'!$A$6:$CY$266,(MATCH('[3]4.4 ACE MAX SEN '!I$4,'7. PGE_Efficacité'!$A$4:$AO$4,0)),0)</f>
        <v>0</v>
      </c>
      <c r="J128" s="64">
        <f>VLOOKUP($B128,'7. PGE_Efficacité'!$A$6:$CY$266,(MATCH('[3]4.4 ACE MAX SEN '!J$4,'7. PGE_Efficacité'!$A$4:$AO$4,0)),0)</f>
        <v>0</v>
      </c>
      <c r="K128" s="64">
        <f>VLOOKUP($B128,'7. PGE_Efficacité'!$A$6:$CY$266,(MATCH('[3]4.4 ACE MAX SEN '!K$4,'7. PGE_Efficacité'!$A$4:$AO$4,0)),0)</f>
        <v>0</v>
      </c>
      <c r="L128" s="64">
        <f>VLOOKUP($B128,'7. PGE_Efficacité'!$A$6:$CY$266,(MATCH('[3]4.4 ACE MAX SEN '!L$4,'7. PGE_Efficacité'!$A$4:$AO$4,0)),0)</f>
        <v>0</v>
      </c>
      <c r="M128" s="64">
        <f>VLOOKUP($B128,'7. PGE_Efficacité'!$A$6:$CY$266,(MATCH('[3]4.4 ACE MAX SEN '!M$4,'7. PGE_Efficacité'!$A$4:$AO$4,0)),0)</f>
        <v>0</v>
      </c>
      <c r="N128" s="64">
        <f>VLOOKUP($B128,'7. PGE_Efficacité'!$A$6:$CY$266,(MATCH('[3]4.4 ACE MAX SEN '!N$4,'7. PGE_Efficacité'!$A$4:$AO$4,0)),0)</f>
        <v>0</v>
      </c>
      <c r="O128" s="64">
        <f>VLOOKUP($B128,'7. PGE_Efficacité'!$A$6:$CY$266,(MATCH('[3]4.4 ACE MAX SEN '!O$4,'7. PGE_Efficacité'!$A$4:$AO$4,0)),0)</f>
        <v>0</v>
      </c>
      <c r="P128" s="64">
        <f>VLOOKUP($B128,'7. PGE_Efficacité'!$A$6:$CY$266,(MATCH('[3]4.4 ACE MAX SEN '!P$4,'7. PGE_Efficacité'!$A$4:$AO$4,0)),0)</f>
        <v>0</v>
      </c>
      <c r="Q128" s="64">
        <f>VLOOKUP($B128,'7. PGE_Efficacité'!$A$6:$CY$266,(MATCH('[3]4.4 ACE MAX SEN '!Q$4,'7. PGE_Efficacité'!$A$4:$AO$4,0)),0)</f>
        <v>0</v>
      </c>
      <c r="R128" s="64">
        <f>VLOOKUP($B128,'7. PGE_Efficacité'!$A$6:$CY$266,(MATCH('[3]4.4 ACE MAX SEN '!R$4,'7. PGE_Efficacité'!$A$4:$AO$4,0)),0)</f>
        <v>0</v>
      </c>
      <c r="S128" s="64">
        <f>VLOOKUP($B128,'7. PGE_Efficacité'!$A$6:$CY$266,(MATCH('[3]4.4 ACE MAX SEN '!S$4,'7. PGE_Efficacité'!$A$4:$AO$4,0)),0)</f>
        <v>0</v>
      </c>
      <c r="T128" s="64">
        <f>VLOOKUP($B128,'7. PGE_Efficacité'!$A$6:$CY$266,(MATCH('[3]4.4 ACE MAX SEN '!T$4,'7. PGE_Efficacité'!$A$4:$AO$4,0)),0)</f>
        <v>0</v>
      </c>
      <c r="U128" s="64">
        <f>VLOOKUP($B128,'7. PGE_Efficacité'!$A$6:$CY$266,(MATCH('[3]4.4 ACE MAX SEN '!U$4,'7. PGE_Efficacité'!$A$4:$AO$4,0)),0)</f>
        <v>0</v>
      </c>
      <c r="V128" s="64">
        <f>VLOOKUP($B128,'7. PGE_Efficacité'!$A$6:$CY$266,(MATCH('[3]4.4 ACE MAX SEN '!V$4,'7. PGE_Efficacité'!$A$4:$AO$4,0)),0)</f>
        <v>0</v>
      </c>
      <c r="W128" s="61">
        <f>VLOOKUP($B128,'7. PGE_Efficacité'!$A$6:$CY$266,(MATCH('[3]4.4 ACE MAX SEN '!W$4,'7. PGE_Efficacité'!$A$4:$AO$4,0)),0)</f>
        <v>0</v>
      </c>
      <c r="X128" s="61">
        <f>VLOOKUP($B128,'7. PGE_Efficacité'!$A$6:$CY$266,(MATCH('[3]4.4 ACE MAX SEN '!X$4,'7. PGE_Efficacité'!$A$4:$AO$4,0)),0)</f>
        <v>0</v>
      </c>
      <c r="Y128" s="61">
        <f>VLOOKUP($B128,'7. PGE_Efficacité'!$A$6:$CY$266,(MATCH('[3]4.4 ACE MAX SEN '!Y$4,'7. PGE_Efficacité'!$A$4:$AO$4,0)),0)</f>
        <v>0</v>
      </c>
      <c r="Z128" s="61">
        <f>VLOOKUP($B128,'7. PGE_Efficacité'!$A$6:$CY$266,(MATCH('[3]4.4 ACE MAX SEN '!Z$4,'7. PGE_Efficacité'!$A$4:$AO$4,0)),0)</f>
        <v>0</v>
      </c>
      <c r="AA128" s="61">
        <f>VLOOKUP($B128,'7. PGE_Efficacité'!$A$6:$CY$266,(MATCH('[3]4.4 ACE MAX SEN '!AA$4,'7. PGE_Efficacité'!$A$4:$AO$4,0)),0)</f>
        <v>0</v>
      </c>
      <c r="AB128" s="61">
        <f>VLOOKUP($B128,'7. PGE_Efficacité'!$A$6:$CY$266,(MATCH('[3]4.4 ACE MAX SEN '!AB$4,'7. PGE_Efficacité'!$A$4:$AO$4,0)),0)</f>
        <v>0</v>
      </c>
      <c r="AC128" s="61">
        <f>VLOOKUP($B128,'7. PGE_Efficacité'!$A$6:$CY$266,(MATCH('[3]4.4 ACE MAX SEN '!AC$4,'7. PGE_Efficacité'!$A$4:$AO$4,0)),0)</f>
        <v>0</v>
      </c>
      <c r="AD128" s="61">
        <f>VLOOKUP($B128,'7. PGE_Efficacité'!$A$6:$CY$266,(MATCH('[3]4.4 ACE MAX SEN '!AD$4,'7. PGE_Efficacité'!$A$4:$AO$4,0)),0)</f>
        <v>0</v>
      </c>
      <c r="AE128" s="61">
        <f>VLOOKUP($B128,'7. PGE_Efficacité'!$A$6:$CY$266,(MATCH('[3]4.4 ACE MAX SEN '!AE$4,'7. PGE_Efficacité'!$A$4:$AO$4,0)),0)</f>
        <v>0</v>
      </c>
      <c r="AF128" s="61">
        <f>VLOOKUP($B128,'7. PGE_Efficacité'!$A$6:$CY$266,(MATCH('[3]4.4 ACE MAX SEN '!AF$4,'7. PGE_Efficacité'!$A$4:$AO$4,0)),0)</f>
        <v>0</v>
      </c>
      <c r="AG128" s="61">
        <f>VLOOKUP($B128,'7. PGE_Efficacité'!$A$6:$CY$266,(MATCH('[3]4.4 ACE MAX SEN '!AG$4,'7. PGE_Efficacité'!$A$4:$AO$4,0)),0)</f>
        <v>0</v>
      </c>
      <c r="AH128" s="61">
        <f>VLOOKUP($B128,'7. PGE_Efficacité'!$A$6:$CY$266,(MATCH('[3]4.4 ACE MAX SEN '!AH$4,'7. PGE_Efficacité'!$A$4:$AO$4,0)),0)</f>
        <v>0</v>
      </c>
      <c r="AI128" s="61">
        <f>VLOOKUP($B128,'7. PGE_Efficacité'!$A$6:$CY$266,(MATCH('[3]4.4 ACE MAX SEN '!AI$4,'7. PGE_Efficacité'!$A$4:$AO$4,0)),0)</f>
        <v>0</v>
      </c>
      <c r="AJ128" s="61">
        <f>VLOOKUP($B128,'7. PGE_Efficacité'!$A$6:$CY$266,(MATCH('[3]4.4 ACE MAX SEN '!AJ$4,'7. PGE_Efficacité'!$A$4:$AO$4,0)),0)</f>
        <v>0</v>
      </c>
      <c r="AK128" s="61">
        <f>VLOOKUP($B128,'7. PGE_Efficacité'!$A$6:$CY$266,(MATCH('[3]4.4 ACE MAX SEN '!AK$4,'7. PGE_Efficacité'!$A$4:$AO$4,0)),0)</f>
        <v>0</v>
      </c>
    </row>
    <row r="129" spans="1:37" ht="26.25" outlineLevel="1" collapsed="1" x14ac:dyDescent="0.25">
      <c r="A129" s="157" t="s">
        <v>21</v>
      </c>
      <c r="B129" s="63"/>
      <c r="C129" s="156" t="s">
        <v>221</v>
      </c>
      <c r="D129" s="63"/>
      <c r="E129" s="63"/>
      <c r="F129" s="72">
        <f>MEDIAN(VLOOKUP(A129,'4. Mesures_ACE_Budget'!$A$3:$J$31,9,0),VLOOKUP(A129,'4. Mesures_ACE_Budget'!$A$3:$J$31,10,0))</f>
        <v>0</v>
      </c>
      <c r="G129" s="180">
        <f>VLOOKUP($A129,'7. PGE_Efficacité'!$A$6:$CY$266,(MATCH('[2]4.4 ACE MAX SEN '!G$4,'7. PGE_Efficacité'!$A$4:$AO$4,0)),0)</f>
        <v>0</v>
      </c>
      <c r="H129" s="180">
        <f>VLOOKUP($A129,'7. PGE_Efficacité'!$A$6:$CY$266,(MATCH('[2]4.4 ACE MAX SEN '!H$4,'7. PGE_Efficacité'!$A$4:$AO$4,0)),0)</f>
        <v>0</v>
      </c>
      <c r="I129" s="180">
        <f>VLOOKUP($A129,'7. PGE_Efficacité'!$A$6:$CY$266,(MATCH('[2]4.4 ACE MAX SEN '!I$4,'7. PGE_Efficacité'!$A$4:$AO$4,0)),0)</f>
        <v>0</v>
      </c>
      <c r="J129" s="180">
        <f>VLOOKUP($A129,'7. PGE_Efficacité'!$A$6:$CY$266,(MATCH('[2]4.4 ACE MAX SEN '!J$4,'7. PGE_Efficacité'!$A$4:$AO$4,0)),0)</f>
        <v>0</v>
      </c>
      <c r="K129" s="180">
        <f>VLOOKUP($A129,'7. PGE_Efficacité'!$A$6:$CY$266,(MATCH('[2]4.4 ACE MAX SEN '!K$4,'7. PGE_Efficacité'!$A$4:$AO$4,0)),0)</f>
        <v>0</v>
      </c>
      <c r="L129" s="180">
        <f>VLOOKUP($A129,'7. PGE_Efficacité'!$A$6:$CY$266,(MATCH('[2]4.4 ACE MAX SEN '!L$4,'7. PGE_Efficacité'!$A$4:$AO$4,0)),0)</f>
        <v>0</v>
      </c>
      <c r="M129" s="180">
        <f>VLOOKUP($A129,'7. PGE_Efficacité'!$A$6:$CY$266,(MATCH('[2]4.4 ACE MAX SEN '!M$4,'7. PGE_Efficacité'!$A$4:$AO$4,0)),0)</f>
        <v>0</v>
      </c>
      <c r="N129" s="180">
        <f>VLOOKUP($A129,'7. PGE_Efficacité'!$A$6:$CY$266,(MATCH('[2]4.4 ACE MAX SEN '!N$4,'7. PGE_Efficacité'!$A$4:$AO$4,0)),0)</f>
        <v>0</v>
      </c>
      <c r="O129" s="180">
        <f>VLOOKUP($A129,'7. PGE_Efficacité'!$A$6:$CY$266,(MATCH('[2]4.4 ACE MAX SEN '!O$4,'7. PGE_Efficacité'!$A$4:$AO$4,0)),0)</f>
        <v>0</v>
      </c>
      <c r="P129" s="180">
        <f>VLOOKUP($A129,'7. PGE_Efficacité'!$A$6:$CY$266,(MATCH('[2]4.4 ACE MAX SEN '!P$4,'7. PGE_Efficacité'!$A$4:$AO$4,0)),0)</f>
        <v>0</v>
      </c>
      <c r="Q129" s="180">
        <f>VLOOKUP($A129,'7. PGE_Efficacité'!$A$6:$CY$266,(MATCH('[2]4.4 ACE MAX SEN '!Q$4,'7. PGE_Efficacité'!$A$4:$AO$4,0)),0)</f>
        <v>0</v>
      </c>
      <c r="R129" s="180">
        <f>VLOOKUP($A129,'7. PGE_Efficacité'!$A$6:$CY$266,(MATCH('[2]4.4 ACE MAX SEN '!R$4,'7. PGE_Efficacité'!$A$4:$AO$4,0)),0)</f>
        <v>0</v>
      </c>
      <c r="S129" s="180">
        <f>VLOOKUP($A129,'7. PGE_Efficacité'!$A$6:$CY$266,(MATCH('[2]4.4 ACE MAX SEN '!S$4,'7. PGE_Efficacité'!$A$4:$AO$4,0)),0)</f>
        <v>0</v>
      </c>
      <c r="T129" s="180">
        <f>VLOOKUP($A129,'7. PGE_Efficacité'!$A$6:$CY$266,(MATCH('[2]4.4 ACE MAX SEN '!T$4,'7. PGE_Efficacité'!$A$4:$AO$4,0)),0)</f>
        <v>0</v>
      </c>
      <c r="U129" s="180">
        <f>VLOOKUP($A129,'7. PGE_Efficacité'!$A$6:$CY$266,(MATCH('[2]4.4 ACE MAX SEN '!U$4,'7. PGE_Efficacité'!$A$4:$AO$4,0)),0)</f>
        <v>0</v>
      </c>
      <c r="V129" s="180">
        <f>VLOOKUP($A129,'7. PGE_Efficacité'!$A$6:$CY$266,(MATCH('[2]4.4 ACE MAX SEN '!V$4,'7. PGE_Efficacité'!$A$4:$AO$4,0)),0)</f>
        <v>0</v>
      </c>
      <c r="W129" s="181">
        <f>VLOOKUP($A129,'7. PGE_Efficacité'!$A$6:$CY$266,(MATCH('[2]4.4 ACE MAX SEN '!W$4,'7. PGE_Efficacité'!$A$4:$AO$4,0)),0)</f>
        <v>0</v>
      </c>
      <c r="X129" s="181">
        <f>VLOOKUP($A129,'7. PGE_Efficacité'!$A$6:$CY$266,(MATCH('[2]4.4 ACE MAX SEN '!X$4,'7. PGE_Efficacité'!$A$4:$AO$4,0)),0)</f>
        <v>0</v>
      </c>
      <c r="Y129" s="181">
        <f>VLOOKUP($A129,'7. PGE_Efficacité'!$A$6:$CY$266,(MATCH('[2]4.4 ACE MAX SEN '!Y$4,'7. PGE_Efficacité'!$A$4:$AO$4,0)),0)</f>
        <v>0</v>
      </c>
      <c r="Z129" s="181">
        <f>VLOOKUP($A129,'7. PGE_Efficacité'!$A$6:$CY$266,(MATCH('[2]4.4 ACE MAX SEN '!Z$4,'7. PGE_Efficacité'!$A$4:$AO$4,0)),0)</f>
        <v>0</v>
      </c>
      <c r="AA129" s="181">
        <f>VLOOKUP($A129,'7. PGE_Efficacité'!$A$6:$CY$266,(MATCH('[2]4.4 ACE MAX SEN '!AA$4,'7. PGE_Efficacité'!$A$4:$AO$4,0)),0)</f>
        <v>0</v>
      </c>
      <c r="AB129" s="181">
        <f>VLOOKUP($A129,'7. PGE_Efficacité'!$A$6:$CY$266,(MATCH('[2]4.4 ACE MAX SEN '!AB$4,'7. PGE_Efficacité'!$A$4:$AO$4,0)),0)</f>
        <v>0</v>
      </c>
      <c r="AC129" s="181">
        <f>VLOOKUP($A129,'7. PGE_Efficacité'!$A$6:$CY$266,(MATCH('[2]4.4 ACE MAX SEN '!AC$4,'7. PGE_Efficacité'!$A$4:$AO$4,0)),0)</f>
        <v>0</v>
      </c>
      <c r="AD129" s="181">
        <f>VLOOKUP($A129,'7. PGE_Efficacité'!$A$6:$CY$266,(MATCH('[2]4.4 ACE MAX SEN '!AD$4,'7. PGE_Efficacité'!$A$4:$AO$4,0)),0)</f>
        <v>0</v>
      </c>
      <c r="AE129" s="181">
        <f>VLOOKUP($A129,'7. PGE_Efficacité'!$A$6:$CY$266,(MATCH('[2]4.4 ACE MAX SEN '!AE$4,'7. PGE_Efficacité'!$A$4:$AO$4,0)),0)</f>
        <v>0</v>
      </c>
      <c r="AF129" s="181">
        <f>VLOOKUP($A129,'7. PGE_Efficacité'!$A$6:$CY$266,(MATCH('[2]4.4 ACE MAX SEN '!AF$4,'7. PGE_Efficacité'!$A$4:$AO$4,0)),0)</f>
        <v>0</v>
      </c>
      <c r="AG129" s="181">
        <f>VLOOKUP($A129,'7. PGE_Efficacité'!$A$6:$CY$266,(MATCH('[2]4.4 ACE MAX SEN '!AG$4,'7. PGE_Efficacité'!$A$4:$AO$4,0)),0)</f>
        <v>0</v>
      </c>
      <c r="AH129" s="181">
        <f>VLOOKUP($A129,'7. PGE_Efficacité'!$A$6:$CY$266,(MATCH('[2]4.4 ACE MAX SEN '!AH$4,'7. PGE_Efficacité'!$A$4:$AO$4,0)),0)</f>
        <v>0</v>
      </c>
      <c r="AI129" s="181">
        <f>VLOOKUP($A129,'7. PGE_Efficacité'!$A$6:$CY$266,(MATCH('[2]4.4 ACE MAX SEN '!AI$4,'7. PGE_Efficacité'!$A$4:$AO$4,0)),0)</f>
        <v>0</v>
      </c>
      <c r="AJ129" s="181">
        <f>VLOOKUP($A129,'7. PGE_Efficacité'!$A$6:$CY$266,(MATCH('[2]4.4 ACE MAX SEN '!AJ$4,'7. PGE_Efficacité'!$A$4:$AO$4,0)),0)</f>
        <v>0</v>
      </c>
      <c r="AK129" s="181">
        <f>VLOOKUP($A129,'7. PGE_Efficacité'!$A$6:$CY$266,(MATCH('[2]4.4 ACE MAX SEN '!AK$4,'7. PGE_Efficacité'!$A$4:$AO$4,0)),0)</f>
        <v>0</v>
      </c>
    </row>
    <row r="130" spans="1:37" hidden="1" outlineLevel="2" x14ac:dyDescent="0.25">
      <c r="A130" s="65" t="s">
        <v>21</v>
      </c>
      <c r="B130" s="65" t="s">
        <v>728</v>
      </c>
      <c r="C130" s="65" t="s">
        <v>1386</v>
      </c>
      <c r="D130" s="65" t="s">
        <v>1521</v>
      </c>
      <c r="E130" s="65" t="s">
        <v>1290</v>
      </c>
      <c r="F130" s="77"/>
      <c r="G130" s="64">
        <f>VLOOKUP($B130,'7. PGE_Efficacité'!$A$6:$CY$266,(MATCH('[3]4.4 ACE MAX SEN '!G$4,'7. PGE_Efficacité'!$A$4:$AO$4,0)),0)</f>
        <v>0</v>
      </c>
      <c r="H130" s="64">
        <f>VLOOKUP($B130,'7. PGE_Efficacité'!$A$6:$CY$266,(MATCH('[3]4.4 ACE MAX SEN '!H$4,'7. PGE_Efficacité'!$A$4:$AO$4,0)),0)</f>
        <v>0</v>
      </c>
      <c r="I130" s="64">
        <f>VLOOKUP($B130,'7. PGE_Efficacité'!$A$6:$CY$266,(MATCH('[3]4.4 ACE MAX SEN '!I$4,'7. PGE_Efficacité'!$A$4:$AO$4,0)),0)</f>
        <v>0</v>
      </c>
      <c r="J130" s="64">
        <f>VLOOKUP($B130,'7. PGE_Efficacité'!$A$6:$CY$266,(MATCH('[3]4.4 ACE MAX SEN '!J$4,'7. PGE_Efficacité'!$A$4:$AO$4,0)),0)</f>
        <v>0</v>
      </c>
      <c r="K130" s="64">
        <f>VLOOKUP($B130,'7. PGE_Efficacité'!$A$6:$CY$266,(MATCH('[3]4.4 ACE MAX SEN '!K$4,'7. PGE_Efficacité'!$A$4:$AO$4,0)),0)</f>
        <v>0</v>
      </c>
      <c r="L130" s="64">
        <f>VLOOKUP($B130,'7. PGE_Efficacité'!$A$6:$CY$266,(MATCH('[3]4.4 ACE MAX SEN '!L$4,'7. PGE_Efficacité'!$A$4:$AO$4,0)),0)</f>
        <v>0</v>
      </c>
      <c r="M130" s="64">
        <f>VLOOKUP($B130,'7. PGE_Efficacité'!$A$6:$CY$266,(MATCH('[3]4.4 ACE MAX SEN '!M$4,'7. PGE_Efficacité'!$A$4:$AO$4,0)),0)</f>
        <v>0</v>
      </c>
      <c r="N130" s="64">
        <f>VLOOKUP($B130,'7. PGE_Efficacité'!$A$6:$CY$266,(MATCH('[3]4.4 ACE MAX SEN '!N$4,'7. PGE_Efficacité'!$A$4:$AO$4,0)),0)</f>
        <v>0</v>
      </c>
      <c r="O130" s="64">
        <f>VLOOKUP($B130,'7. PGE_Efficacité'!$A$6:$CY$266,(MATCH('[3]4.4 ACE MAX SEN '!O$4,'7. PGE_Efficacité'!$A$4:$AO$4,0)),0)</f>
        <v>0</v>
      </c>
      <c r="P130" s="64">
        <f>VLOOKUP($B130,'7. PGE_Efficacité'!$A$6:$CY$266,(MATCH('[3]4.4 ACE MAX SEN '!P$4,'7. PGE_Efficacité'!$A$4:$AO$4,0)),0)</f>
        <v>0</v>
      </c>
      <c r="Q130" s="64">
        <f>VLOOKUP($B130,'7. PGE_Efficacité'!$A$6:$CY$266,(MATCH('[3]4.4 ACE MAX SEN '!Q$4,'7. PGE_Efficacité'!$A$4:$AO$4,0)),0)</f>
        <v>0</v>
      </c>
      <c r="R130" s="64">
        <f>VLOOKUP($B130,'7. PGE_Efficacité'!$A$6:$CY$266,(MATCH('[3]4.4 ACE MAX SEN '!R$4,'7. PGE_Efficacité'!$A$4:$AO$4,0)),0)</f>
        <v>0</v>
      </c>
      <c r="S130" s="64">
        <f>VLOOKUP($B130,'7. PGE_Efficacité'!$A$6:$CY$266,(MATCH('[3]4.4 ACE MAX SEN '!S$4,'7. PGE_Efficacité'!$A$4:$AO$4,0)),0)</f>
        <v>0</v>
      </c>
      <c r="T130" s="64">
        <f>VLOOKUP($B130,'7. PGE_Efficacité'!$A$6:$CY$266,(MATCH('[3]4.4 ACE MAX SEN '!T$4,'7. PGE_Efficacité'!$A$4:$AO$4,0)),0)</f>
        <v>0</v>
      </c>
      <c r="U130" s="64">
        <f>VLOOKUP($B130,'7. PGE_Efficacité'!$A$6:$CY$266,(MATCH('[3]4.4 ACE MAX SEN '!U$4,'7. PGE_Efficacité'!$A$4:$AO$4,0)),0)</f>
        <v>0</v>
      </c>
      <c r="V130" s="64">
        <f>VLOOKUP($B130,'7. PGE_Efficacité'!$A$6:$CY$266,(MATCH('[3]4.4 ACE MAX SEN '!V$4,'7. PGE_Efficacité'!$A$4:$AO$4,0)),0)</f>
        <v>0</v>
      </c>
      <c r="W130" s="61">
        <f>VLOOKUP($B130,'7. PGE_Efficacité'!$A$6:$CY$266,(MATCH('[3]4.4 ACE MAX SEN '!W$4,'7. PGE_Efficacité'!$A$4:$AO$4,0)),0)</f>
        <v>0</v>
      </c>
      <c r="X130" s="61">
        <f>VLOOKUP($B130,'7. PGE_Efficacité'!$A$6:$CY$266,(MATCH('[3]4.4 ACE MAX SEN '!X$4,'7. PGE_Efficacité'!$A$4:$AO$4,0)),0)</f>
        <v>0</v>
      </c>
      <c r="Y130" s="61">
        <f>VLOOKUP($B130,'7. PGE_Efficacité'!$A$6:$CY$266,(MATCH('[3]4.4 ACE MAX SEN '!Y$4,'7. PGE_Efficacité'!$A$4:$AO$4,0)),0)</f>
        <v>0</v>
      </c>
      <c r="Z130" s="61">
        <f>VLOOKUP($B130,'7. PGE_Efficacité'!$A$6:$CY$266,(MATCH('[3]4.4 ACE MAX SEN '!Z$4,'7. PGE_Efficacité'!$A$4:$AO$4,0)),0)</f>
        <v>0</v>
      </c>
      <c r="AA130" s="61">
        <f>VLOOKUP($B130,'7. PGE_Efficacité'!$A$6:$CY$266,(MATCH('[3]4.4 ACE MAX SEN '!AA$4,'7. PGE_Efficacité'!$A$4:$AO$4,0)),0)</f>
        <v>0</v>
      </c>
      <c r="AB130" s="61">
        <f>VLOOKUP($B130,'7. PGE_Efficacité'!$A$6:$CY$266,(MATCH('[3]4.4 ACE MAX SEN '!AB$4,'7. PGE_Efficacité'!$A$4:$AO$4,0)),0)</f>
        <v>0</v>
      </c>
      <c r="AC130" s="61">
        <f>VLOOKUP($B130,'7. PGE_Efficacité'!$A$6:$CY$266,(MATCH('[3]4.4 ACE MAX SEN '!AC$4,'7. PGE_Efficacité'!$A$4:$AO$4,0)),0)</f>
        <v>0</v>
      </c>
      <c r="AD130" s="61">
        <f>VLOOKUP($B130,'7. PGE_Efficacité'!$A$6:$CY$266,(MATCH('[3]4.4 ACE MAX SEN '!AD$4,'7. PGE_Efficacité'!$A$4:$AO$4,0)),0)</f>
        <v>0</v>
      </c>
      <c r="AE130" s="61">
        <f>VLOOKUP($B130,'7. PGE_Efficacité'!$A$6:$CY$266,(MATCH('[3]4.4 ACE MAX SEN '!AE$4,'7. PGE_Efficacité'!$A$4:$AO$4,0)),0)</f>
        <v>0</v>
      </c>
      <c r="AF130" s="61">
        <f>VLOOKUP($B130,'7. PGE_Efficacité'!$A$6:$CY$266,(MATCH('[3]4.4 ACE MAX SEN '!AF$4,'7. PGE_Efficacité'!$A$4:$AO$4,0)),0)</f>
        <v>0</v>
      </c>
      <c r="AG130" s="61">
        <f>VLOOKUP($B130,'7. PGE_Efficacité'!$A$6:$CY$266,(MATCH('[3]4.4 ACE MAX SEN '!AG$4,'7. PGE_Efficacité'!$A$4:$AO$4,0)),0)</f>
        <v>0</v>
      </c>
      <c r="AH130" s="61">
        <f>VLOOKUP($B130,'7. PGE_Efficacité'!$A$6:$CY$266,(MATCH('[3]4.4 ACE MAX SEN '!AH$4,'7. PGE_Efficacité'!$A$4:$AO$4,0)),0)</f>
        <v>0</v>
      </c>
      <c r="AI130" s="61">
        <f>VLOOKUP($B130,'7. PGE_Efficacité'!$A$6:$CY$266,(MATCH('[3]4.4 ACE MAX SEN '!AI$4,'7. PGE_Efficacité'!$A$4:$AO$4,0)),0)</f>
        <v>0</v>
      </c>
      <c r="AJ130" s="61">
        <f>VLOOKUP($B130,'7. PGE_Efficacité'!$A$6:$CY$266,(MATCH('[3]4.4 ACE MAX SEN '!AJ$4,'7. PGE_Efficacité'!$A$4:$AO$4,0)),0)</f>
        <v>0</v>
      </c>
      <c r="AK130" s="61">
        <f>VLOOKUP($B130,'7. PGE_Efficacité'!$A$6:$CY$266,(MATCH('[3]4.4 ACE MAX SEN '!AK$4,'7. PGE_Efficacité'!$A$4:$AO$4,0)),0)</f>
        <v>0</v>
      </c>
    </row>
    <row r="131" spans="1:37" hidden="1" outlineLevel="2" x14ac:dyDescent="0.25">
      <c r="A131" s="65" t="s">
        <v>21</v>
      </c>
      <c r="B131" s="65" t="s">
        <v>730</v>
      </c>
      <c r="C131" s="65" t="s">
        <v>1388</v>
      </c>
      <c r="D131" s="65" t="s">
        <v>1521</v>
      </c>
      <c r="E131" s="65" t="s">
        <v>1290</v>
      </c>
      <c r="F131" s="77"/>
      <c r="G131" s="64">
        <f>VLOOKUP($B131,'7. PGE_Efficacité'!$A$6:$CY$266,(MATCH('[3]4.4 ACE MAX SEN '!G$4,'7. PGE_Efficacité'!$A$4:$AO$4,0)),0)</f>
        <v>0</v>
      </c>
      <c r="H131" s="64">
        <f>VLOOKUP($B131,'7. PGE_Efficacité'!$A$6:$CY$266,(MATCH('[3]4.4 ACE MAX SEN '!H$4,'7. PGE_Efficacité'!$A$4:$AO$4,0)),0)</f>
        <v>0</v>
      </c>
      <c r="I131" s="64">
        <f>VLOOKUP($B131,'7. PGE_Efficacité'!$A$6:$CY$266,(MATCH('[3]4.4 ACE MAX SEN '!I$4,'7. PGE_Efficacité'!$A$4:$AO$4,0)),0)</f>
        <v>0</v>
      </c>
      <c r="J131" s="64">
        <f>VLOOKUP($B131,'7. PGE_Efficacité'!$A$6:$CY$266,(MATCH('[3]4.4 ACE MAX SEN '!J$4,'7. PGE_Efficacité'!$A$4:$AO$4,0)),0)</f>
        <v>0</v>
      </c>
      <c r="K131" s="64">
        <f>VLOOKUP($B131,'7. PGE_Efficacité'!$A$6:$CY$266,(MATCH('[3]4.4 ACE MAX SEN '!K$4,'7. PGE_Efficacité'!$A$4:$AO$4,0)),0)</f>
        <v>0</v>
      </c>
      <c r="L131" s="64">
        <f>VLOOKUP($B131,'7. PGE_Efficacité'!$A$6:$CY$266,(MATCH('[3]4.4 ACE MAX SEN '!L$4,'7. PGE_Efficacité'!$A$4:$AO$4,0)),0)</f>
        <v>0</v>
      </c>
      <c r="M131" s="64">
        <f>VLOOKUP($B131,'7. PGE_Efficacité'!$A$6:$CY$266,(MATCH('[3]4.4 ACE MAX SEN '!M$4,'7. PGE_Efficacité'!$A$4:$AO$4,0)),0)</f>
        <v>0</v>
      </c>
      <c r="N131" s="64">
        <f>VLOOKUP($B131,'7. PGE_Efficacité'!$A$6:$CY$266,(MATCH('[3]4.4 ACE MAX SEN '!N$4,'7. PGE_Efficacité'!$A$4:$AO$4,0)),0)</f>
        <v>0</v>
      </c>
      <c r="O131" s="64">
        <f>VLOOKUP($B131,'7. PGE_Efficacité'!$A$6:$CY$266,(MATCH('[3]4.4 ACE MAX SEN '!O$4,'7. PGE_Efficacité'!$A$4:$AO$4,0)),0)</f>
        <v>0</v>
      </c>
      <c r="P131" s="64">
        <f>VLOOKUP($B131,'7. PGE_Efficacité'!$A$6:$CY$266,(MATCH('[3]4.4 ACE MAX SEN '!P$4,'7. PGE_Efficacité'!$A$4:$AO$4,0)),0)</f>
        <v>0</v>
      </c>
      <c r="Q131" s="64">
        <f>VLOOKUP($B131,'7. PGE_Efficacité'!$A$6:$CY$266,(MATCH('[3]4.4 ACE MAX SEN '!Q$4,'7. PGE_Efficacité'!$A$4:$AO$4,0)),0)</f>
        <v>0</v>
      </c>
      <c r="R131" s="64">
        <f>VLOOKUP($B131,'7. PGE_Efficacité'!$A$6:$CY$266,(MATCH('[3]4.4 ACE MAX SEN '!R$4,'7. PGE_Efficacité'!$A$4:$AO$4,0)),0)</f>
        <v>0</v>
      </c>
      <c r="S131" s="64">
        <f>VLOOKUP($B131,'7. PGE_Efficacité'!$A$6:$CY$266,(MATCH('[3]4.4 ACE MAX SEN '!S$4,'7. PGE_Efficacité'!$A$4:$AO$4,0)),0)</f>
        <v>0</v>
      </c>
      <c r="T131" s="64">
        <f>VLOOKUP($B131,'7. PGE_Efficacité'!$A$6:$CY$266,(MATCH('[3]4.4 ACE MAX SEN '!T$4,'7. PGE_Efficacité'!$A$4:$AO$4,0)),0)</f>
        <v>0</v>
      </c>
      <c r="U131" s="64">
        <f>VLOOKUP($B131,'7. PGE_Efficacité'!$A$6:$CY$266,(MATCH('[3]4.4 ACE MAX SEN '!U$4,'7. PGE_Efficacité'!$A$4:$AO$4,0)),0)</f>
        <v>0</v>
      </c>
      <c r="V131" s="64">
        <f>VLOOKUP($B131,'7. PGE_Efficacité'!$A$6:$CY$266,(MATCH('[3]4.4 ACE MAX SEN '!V$4,'7. PGE_Efficacité'!$A$4:$AO$4,0)),0)</f>
        <v>0</v>
      </c>
      <c r="W131" s="61">
        <f>VLOOKUP($B131,'7. PGE_Efficacité'!$A$6:$CY$266,(MATCH('[3]4.4 ACE MAX SEN '!W$4,'7. PGE_Efficacité'!$A$4:$AO$4,0)),0)</f>
        <v>0</v>
      </c>
      <c r="X131" s="61">
        <f>VLOOKUP($B131,'7. PGE_Efficacité'!$A$6:$CY$266,(MATCH('[3]4.4 ACE MAX SEN '!X$4,'7. PGE_Efficacité'!$A$4:$AO$4,0)),0)</f>
        <v>0</v>
      </c>
      <c r="Y131" s="61">
        <f>VLOOKUP($B131,'7. PGE_Efficacité'!$A$6:$CY$266,(MATCH('[3]4.4 ACE MAX SEN '!Y$4,'7. PGE_Efficacité'!$A$4:$AO$4,0)),0)</f>
        <v>0</v>
      </c>
      <c r="Z131" s="61">
        <f>VLOOKUP($B131,'7. PGE_Efficacité'!$A$6:$CY$266,(MATCH('[3]4.4 ACE MAX SEN '!Z$4,'7. PGE_Efficacité'!$A$4:$AO$4,0)),0)</f>
        <v>0</v>
      </c>
      <c r="AA131" s="61">
        <f>VLOOKUP($B131,'7. PGE_Efficacité'!$A$6:$CY$266,(MATCH('[3]4.4 ACE MAX SEN '!AA$4,'7. PGE_Efficacité'!$A$4:$AO$4,0)),0)</f>
        <v>0</v>
      </c>
      <c r="AB131" s="61">
        <f>VLOOKUP($B131,'7. PGE_Efficacité'!$A$6:$CY$266,(MATCH('[3]4.4 ACE MAX SEN '!AB$4,'7. PGE_Efficacité'!$A$4:$AO$4,0)),0)</f>
        <v>0</v>
      </c>
      <c r="AC131" s="61">
        <f>VLOOKUP($B131,'7. PGE_Efficacité'!$A$6:$CY$266,(MATCH('[3]4.4 ACE MAX SEN '!AC$4,'7. PGE_Efficacité'!$A$4:$AO$4,0)),0)</f>
        <v>0</v>
      </c>
      <c r="AD131" s="61">
        <f>VLOOKUP($B131,'7. PGE_Efficacité'!$A$6:$CY$266,(MATCH('[3]4.4 ACE MAX SEN '!AD$4,'7. PGE_Efficacité'!$A$4:$AO$4,0)),0)</f>
        <v>0</v>
      </c>
      <c r="AE131" s="61">
        <f>VLOOKUP($B131,'7. PGE_Efficacité'!$A$6:$CY$266,(MATCH('[3]4.4 ACE MAX SEN '!AE$4,'7. PGE_Efficacité'!$A$4:$AO$4,0)),0)</f>
        <v>0</v>
      </c>
      <c r="AF131" s="61">
        <f>VLOOKUP($B131,'7. PGE_Efficacité'!$A$6:$CY$266,(MATCH('[3]4.4 ACE MAX SEN '!AF$4,'7. PGE_Efficacité'!$A$4:$AO$4,0)),0)</f>
        <v>0</v>
      </c>
      <c r="AG131" s="61">
        <f>VLOOKUP($B131,'7. PGE_Efficacité'!$A$6:$CY$266,(MATCH('[3]4.4 ACE MAX SEN '!AG$4,'7. PGE_Efficacité'!$A$4:$AO$4,0)),0)</f>
        <v>0</v>
      </c>
      <c r="AH131" s="61">
        <f>VLOOKUP($B131,'7. PGE_Efficacité'!$A$6:$CY$266,(MATCH('[3]4.4 ACE MAX SEN '!AH$4,'7. PGE_Efficacité'!$A$4:$AO$4,0)),0)</f>
        <v>0</v>
      </c>
      <c r="AI131" s="61">
        <f>VLOOKUP($B131,'7. PGE_Efficacité'!$A$6:$CY$266,(MATCH('[3]4.4 ACE MAX SEN '!AI$4,'7. PGE_Efficacité'!$A$4:$AO$4,0)),0)</f>
        <v>0</v>
      </c>
      <c r="AJ131" s="61">
        <f>VLOOKUP($B131,'7. PGE_Efficacité'!$A$6:$CY$266,(MATCH('[3]4.4 ACE MAX SEN '!AJ$4,'7. PGE_Efficacité'!$A$4:$AO$4,0)),0)</f>
        <v>0</v>
      </c>
      <c r="AK131" s="61">
        <f>VLOOKUP($B131,'7. PGE_Efficacité'!$A$6:$CY$266,(MATCH('[3]4.4 ACE MAX SEN '!AK$4,'7. PGE_Efficacité'!$A$4:$AO$4,0)),0)</f>
        <v>0</v>
      </c>
    </row>
    <row r="132" spans="1:37" hidden="1" outlineLevel="2" x14ac:dyDescent="0.25">
      <c r="A132" s="65" t="s">
        <v>21</v>
      </c>
      <c r="B132" s="65" t="s">
        <v>731</v>
      </c>
      <c r="C132" s="65" t="s">
        <v>1389</v>
      </c>
      <c r="D132" s="65" t="s">
        <v>1521</v>
      </c>
      <c r="E132" s="65" t="s">
        <v>1290</v>
      </c>
      <c r="F132" s="77"/>
      <c r="G132" s="64">
        <f>VLOOKUP($B132,'7. PGE_Efficacité'!$A$6:$CY$266,(MATCH('[3]4.4 ACE MAX SEN '!G$4,'7. PGE_Efficacité'!$A$4:$AO$4,0)),0)</f>
        <v>0</v>
      </c>
      <c r="H132" s="64">
        <f>VLOOKUP($B132,'7. PGE_Efficacité'!$A$6:$CY$266,(MATCH('[3]4.4 ACE MAX SEN '!H$4,'7. PGE_Efficacité'!$A$4:$AO$4,0)),0)</f>
        <v>0</v>
      </c>
      <c r="I132" s="64">
        <f>VLOOKUP($B132,'7. PGE_Efficacité'!$A$6:$CY$266,(MATCH('[3]4.4 ACE MAX SEN '!I$4,'7. PGE_Efficacité'!$A$4:$AO$4,0)),0)</f>
        <v>0</v>
      </c>
      <c r="J132" s="64">
        <f>VLOOKUP($B132,'7. PGE_Efficacité'!$A$6:$CY$266,(MATCH('[3]4.4 ACE MAX SEN '!J$4,'7. PGE_Efficacité'!$A$4:$AO$4,0)),0)</f>
        <v>0</v>
      </c>
      <c r="K132" s="64">
        <f>VLOOKUP($B132,'7. PGE_Efficacité'!$A$6:$CY$266,(MATCH('[3]4.4 ACE MAX SEN '!K$4,'7. PGE_Efficacité'!$A$4:$AO$4,0)),0)</f>
        <v>0</v>
      </c>
      <c r="L132" s="64">
        <f>VLOOKUP($B132,'7. PGE_Efficacité'!$A$6:$CY$266,(MATCH('[3]4.4 ACE MAX SEN '!L$4,'7. PGE_Efficacité'!$A$4:$AO$4,0)),0)</f>
        <v>0</v>
      </c>
      <c r="M132" s="64">
        <f>VLOOKUP($B132,'7. PGE_Efficacité'!$A$6:$CY$266,(MATCH('[3]4.4 ACE MAX SEN '!M$4,'7. PGE_Efficacité'!$A$4:$AO$4,0)),0)</f>
        <v>0</v>
      </c>
      <c r="N132" s="64">
        <f>VLOOKUP($B132,'7. PGE_Efficacité'!$A$6:$CY$266,(MATCH('[3]4.4 ACE MAX SEN '!N$4,'7. PGE_Efficacité'!$A$4:$AO$4,0)),0)</f>
        <v>0</v>
      </c>
      <c r="O132" s="64">
        <f>VLOOKUP($B132,'7. PGE_Efficacité'!$A$6:$CY$266,(MATCH('[3]4.4 ACE MAX SEN '!O$4,'7. PGE_Efficacité'!$A$4:$AO$4,0)),0)</f>
        <v>0</v>
      </c>
      <c r="P132" s="64">
        <f>VLOOKUP($B132,'7. PGE_Efficacité'!$A$6:$CY$266,(MATCH('[3]4.4 ACE MAX SEN '!P$4,'7. PGE_Efficacité'!$A$4:$AO$4,0)),0)</f>
        <v>0</v>
      </c>
      <c r="Q132" s="64">
        <f>VLOOKUP($B132,'7. PGE_Efficacité'!$A$6:$CY$266,(MATCH('[3]4.4 ACE MAX SEN '!Q$4,'7. PGE_Efficacité'!$A$4:$AO$4,0)),0)</f>
        <v>0</v>
      </c>
      <c r="R132" s="64">
        <f>VLOOKUP($B132,'7. PGE_Efficacité'!$A$6:$CY$266,(MATCH('[3]4.4 ACE MAX SEN '!R$4,'7. PGE_Efficacité'!$A$4:$AO$4,0)),0)</f>
        <v>0</v>
      </c>
      <c r="S132" s="64">
        <f>VLOOKUP($B132,'7. PGE_Efficacité'!$A$6:$CY$266,(MATCH('[3]4.4 ACE MAX SEN '!S$4,'7. PGE_Efficacité'!$A$4:$AO$4,0)),0)</f>
        <v>0</v>
      </c>
      <c r="T132" s="64">
        <f>VLOOKUP($B132,'7. PGE_Efficacité'!$A$6:$CY$266,(MATCH('[3]4.4 ACE MAX SEN '!T$4,'7. PGE_Efficacité'!$A$4:$AO$4,0)),0)</f>
        <v>0</v>
      </c>
      <c r="U132" s="64">
        <f>VLOOKUP($B132,'7. PGE_Efficacité'!$A$6:$CY$266,(MATCH('[3]4.4 ACE MAX SEN '!U$4,'7. PGE_Efficacité'!$A$4:$AO$4,0)),0)</f>
        <v>0</v>
      </c>
      <c r="V132" s="64">
        <f>VLOOKUP($B132,'7. PGE_Efficacité'!$A$6:$CY$266,(MATCH('[3]4.4 ACE MAX SEN '!V$4,'7. PGE_Efficacité'!$A$4:$AO$4,0)),0)</f>
        <v>0</v>
      </c>
      <c r="W132" s="61">
        <f>VLOOKUP($B132,'7. PGE_Efficacité'!$A$6:$CY$266,(MATCH('[3]4.4 ACE MAX SEN '!W$4,'7. PGE_Efficacité'!$A$4:$AO$4,0)),0)</f>
        <v>0</v>
      </c>
      <c r="X132" s="61">
        <f>VLOOKUP($B132,'7. PGE_Efficacité'!$A$6:$CY$266,(MATCH('[3]4.4 ACE MAX SEN '!X$4,'7. PGE_Efficacité'!$A$4:$AO$4,0)),0)</f>
        <v>0</v>
      </c>
      <c r="Y132" s="61">
        <f>VLOOKUP($B132,'7. PGE_Efficacité'!$A$6:$CY$266,(MATCH('[3]4.4 ACE MAX SEN '!Y$4,'7. PGE_Efficacité'!$A$4:$AO$4,0)),0)</f>
        <v>0</v>
      </c>
      <c r="Z132" s="61">
        <f>VLOOKUP($B132,'7. PGE_Efficacité'!$A$6:$CY$266,(MATCH('[3]4.4 ACE MAX SEN '!Z$4,'7. PGE_Efficacité'!$A$4:$AO$4,0)),0)</f>
        <v>0</v>
      </c>
      <c r="AA132" s="61">
        <f>VLOOKUP($B132,'7. PGE_Efficacité'!$A$6:$CY$266,(MATCH('[3]4.4 ACE MAX SEN '!AA$4,'7. PGE_Efficacité'!$A$4:$AO$4,0)),0)</f>
        <v>0</v>
      </c>
      <c r="AB132" s="61">
        <f>VLOOKUP($B132,'7. PGE_Efficacité'!$A$6:$CY$266,(MATCH('[3]4.4 ACE MAX SEN '!AB$4,'7. PGE_Efficacité'!$A$4:$AO$4,0)),0)</f>
        <v>0</v>
      </c>
      <c r="AC132" s="61">
        <f>VLOOKUP($B132,'7. PGE_Efficacité'!$A$6:$CY$266,(MATCH('[3]4.4 ACE MAX SEN '!AC$4,'7. PGE_Efficacité'!$A$4:$AO$4,0)),0)</f>
        <v>0</v>
      </c>
      <c r="AD132" s="61">
        <f>VLOOKUP($B132,'7. PGE_Efficacité'!$A$6:$CY$266,(MATCH('[3]4.4 ACE MAX SEN '!AD$4,'7. PGE_Efficacité'!$A$4:$AO$4,0)),0)</f>
        <v>0</v>
      </c>
      <c r="AE132" s="61">
        <f>VLOOKUP($B132,'7. PGE_Efficacité'!$A$6:$CY$266,(MATCH('[3]4.4 ACE MAX SEN '!AE$4,'7. PGE_Efficacité'!$A$4:$AO$4,0)),0)</f>
        <v>0</v>
      </c>
      <c r="AF132" s="61">
        <f>VLOOKUP($B132,'7. PGE_Efficacité'!$A$6:$CY$266,(MATCH('[3]4.4 ACE MAX SEN '!AF$4,'7. PGE_Efficacité'!$A$4:$AO$4,0)),0)</f>
        <v>0</v>
      </c>
      <c r="AG132" s="61">
        <f>VLOOKUP($B132,'7. PGE_Efficacité'!$A$6:$CY$266,(MATCH('[3]4.4 ACE MAX SEN '!AG$4,'7. PGE_Efficacité'!$A$4:$AO$4,0)),0)</f>
        <v>0</v>
      </c>
      <c r="AH132" s="61">
        <f>VLOOKUP($B132,'7. PGE_Efficacité'!$A$6:$CY$266,(MATCH('[3]4.4 ACE MAX SEN '!AH$4,'7. PGE_Efficacité'!$A$4:$AO$4,0)),0)</f>
        <v>0</v>
      </c>
      <c r="AI132" s="61">
        <f>VLOOKUP($B132,'7. PGE_Efficacité'!$A$6:$CY$266,(MATCH('[3]4.4 ACE MAX SEN '!AI$4,'7. PGE_Efficacité'!$A$4:$AO$4,0)),0)</f>
        <v>0</v>
      </c>
      <c r="AJ132" s="61">
        <f>VLOOKUP($B132,'7. PGE_Efficacité'!$A$6:$CY$266,(MATCH('[3]4.4 ACE MAX SEN '!AJ$4,'7. PGE_Efficacité'!$A$4:$AO$4,0)),0)</f>
        <v>0</v>
      </c>
      <c r="AK132" s="61">
        <f>VLOOKUP($B132,'7. PGE_Efficacité'!$A$6:$CY$266,(MATCH('[3]4.4 ACE MAX SEN '!AK$4,'7. PGE_Efficacité'!$A$4:$AO$4,0)),0)</f>
        <v>0</v>
      </c>
    </row>
    <row r="133" spans="1:37" hidden="1" outlineLevel="2" x14ac:dyDescent="0.25">
      <c r="A133" s="65" t="s">
        <v>21</v>
      </c>
      <c r="B133" s="65" t="s">
        <v>732</v>
      </c>
      <c r="C133" s="65" t="s">
        <v>1390</v>
      </c>
      <c r="D133" s="65" t="s">
        <v>1521</v>
      </c>
      <c r="E133" s="65" t="s">
        <v>1290</v>
      </c>
      <c r="F133" s="77"/>
      <c r="G133" s="64">
        <f>VLOOKUP($B133,'7. PGE_Efficacité'!$A$6:$CY$266,(MATCH('[3]4.4 ACE MAX SEN '!G$4,'7. PGE_Efficacité'!$A$4:$AO$4,0)),0)</f>
        <v>0</v>
      </c>
      <c r="H133" s="64">
        <f>VLOOKUP($B133,'7. PGE_Efficacité'!$A$6:$CY$266,(MATCH('[3]4.4 ACE MAX SEN '!H$4,'7. PGE_Efficacité'!$A$4:$AO$4,0)),0)</f>
        <v>0</v>
      </c>
      <c r="I133" s="64">
        <f>VLOOKUP($B133,'7. PGE_Efficacité'!$A$6:$CY$266,(MATCH('[3]4.4 ACE MAX SEN '!I$4,'7. PGE_Efficacité'!$A$4:$AO$4,0)),0)</f>
        <v>0</v>
      </c>
      <c r="J133" s="64">
        <f>VLOOKUP($B133,'7. PGE_Efficacité'!$A$6:$CY$266,(MATCH('[3]4.4 ACE MAX SEN '!J$4,'7. PGE_Efficacité'!$A$4:$AO$4,0)),0)</f>
        <v>0</v>
      </c>
      <c r="K133" s="64">
        <f>VLOOKUP($B133,'7. PGE_Efficacité'!$A$6:$CY$266,(MATCH('[3]4.4 ACE MAX SEN '!K$4,'7. PGE_Efficacité'!$A$4:$AO$4,0)),0)</f>
        <v>0</v>
      </c>
      <c r="L133" s="64">
        <f>VLOOKUP($B133,'7. PGE_Efficacité'!$A$6:$CY$266,(MATCH('[3]4.4 ACE MAX SEN '!L$4,'7. PGE_Efficacité'!$A$4:$AO$4,0)),0)</f>
        <v>0</v>
      </c>
      <c r="M133" s="64">
        <f>VLOOKUP($B133,'7. PGE_Efficacité'!$A$6:$CY$266,(MATCH('[3]4.4 ACE MAX SEN '!M$4,'7. PGE_Efficacité'!$A$4:$AO$4,0)),0)</f>
        <v>0</v>
      </c>
      <c r="N133" s="64">
        <f>VLOOKUP($B133,'7. PGE_Efficacité'!$A$6:$CY$266,(MATCH('[3]4.4 ACE MAX SEN '!N$4,'7. PGE_Efficacité'!$A$4:$AO$4,0)),0)</f>
        <v>0</v>
      </c>
      <c r="O133" s="64">
        <f>VLOOKUP($B133,'7. PGE_Efficacité'!$A$6:$CY$266,(MATCH('[3]4.4 ACE MAX SEN '!O$4,'7. PGE_Efficacité'!$A$4:$AO$4,0)),0)</f>
        <v>0</v>
      </c>
      <c r="P133" s="64">
        <f>VLOOKUP($B133,'7. PGE_Efficacité'!$A$6:$CY$266,(MATCH('[3]4.4 ACE MAX SEN '!P$4,'7. PGE_Efficacité'!$A$4:$AO$4,0)),0)</f>
        <v>0</v>
      </c>
      <c r="Q133" s="64">
        <f>VLOOKUP($B133,'7. PGE_Efficacité'!$A$6:$CY$266,(MATCH('[3]4.4 ACE MAX SEN '!Q$4,'7. PGE_Efficacité'!$A$4:$AO$4,0)),0)</f>
        <v>0</v>
      </c>
      <c r="R133" s="64">
        <f>VLOOKUP($B133,'7. PGE_Efficacité'!$A$6:$CY$266,(MATCH('[3]4.4 ACE MAX SEN '!R$4,'7. PGE_Efficacité'!$A$4:$AO$4,0)),0)</f>
        <v>0</v>
      </c>
      <c r="S133" s="64">
        <f>VLOOKUP($B133,'7. PGE_Efficacité'!$A$6:$CY$266,(MATCH('[3]4.4 ACE MAX SEN '!S$4,'7. PGE_Efficacité'!$A$4:$AO$4,0)),0)</f>
        <v>0</v>
      </c>
      <c r="T133" s="64">
        <f>VLOOKUP($B133,'7. PGE_Efficacité'!$A$6:$CY$266,(MATCH('[3]4.4 ACE MAX SEN '!T$4,'7. PGE_Efficacité'!$A$4:$AO$4,0)),0)</f>
        <v>0</v>
      </c>
      <c r="U133" s="64">
        <f>VLOOKUP($B133,'7. PGE_Efficacité'!$A$6:$CY$266,(MATCH('[3]4.4 ACE MAX SEN '!U$4,'7. PGE_Efficacité'!$A$4:$AO$4,0)),0)</f>
        <v>0</v>
      </c>
      <c r="V133" s="64">
        <f>VLOOKUP($B133,'7. PGE_Efficacité'!$A$6:$CY$266,(MATCH('[3]4.4 ACE MAX SEN '!V$4,'7. PGE_Efficacité'!$A$4:$AO$4,0)),0)</f>
        <v>0</v>
      </c>
      <c r="W133" s="61">
        <f>VLOOKUP($B133,'7. PGE_Efficacité'!$A$6:$CY$266,(MATCH('[3]4.4 ACE MAX SEN '!W$4,'7. PGE_Efficacité'!$A$4:$AO$4,0)),0)</f>
        <v>0</v>
      </c>
      <c r="X133" s="61">
        <f>VLOOKUP($B133,'7. PGE_Efficacité'!$A$6:$CY$266,(MATCH('[3]4.4 ACE MAX SEN '!X$4,'7. PGE_Efficacité'!$A$4:$AO$4,0)),0)</f>
        <v>0</v>
      </c>
      <c r="Y133" s="61">
        <f>VLOOKUP($B133,'7. PGE_Efficacité'!$A$6:$CY$266,(MATCH('[3]4.4 ACE MAX SEN '!Y$4,'7. PGE_Efficacité'!$A$4:$AO$4,0)),0)</f>
        <v>0</v>
      </c>
      <c r="Z133" s="61">
        <f>VLOOKUP($B133,'7. PGE_Efficacité'!$A$6:$CY$266,(MATCH('[3]4.4 ACE MAX SEN '!Z$4,'7. PGE_Efficacité'!$A$4:$AO$4,0)),0)</f>
        <v>0</v>
      </c>
      <c r="AA133" s="61">
        <f>VLOOKUP($B133,'7. PGE_Efficacité'!$A$6:$CY$266,(MATCH('[3]4.4 ACE MAX SEN '!AA$4,'7. PGE_Efficacité'!$A$4:$AO$4,0)),0)</f>
        <v>0</v>
      </c>
      <c r="AB133" s="61">
        <f>VLOOKUP($B133,'7. PGE_Efficacité'!$A$6:$CY$266,(MATCH('[3]4.4 ACE MAX SEN '!AB$4,'7. PGE_Efficacité'!$A$4:$AO$4,0)),0)</f>
        <v>0</v>
      </c>
      <c r="AC133" s="61">
        <f>VLOOKUP($B133,'7. PGE_Efficacité'!$A$6:$CY$266,(MATCH('[3]4.4 ACE MAX SEN '!AC$4,'7. PGE_Efficacité'!$A$4:$AO$4,0)),0)</f>
        <v>0</v>
      </c>
      <c r="AD133" s="61">
        <f>VLOOKUP($B133,'7. PGE_Efficacité'!$A$6:$CY$266,(MATCH('[3]4.4 ACE MAX SEN '!AD$4,'7. PGE_Efficacité'!$A$4:$AO$4,0)),0)</f>
        <v>0</v>
      </c>
      <c r="AE133" s="61">
        <f>VLOOKUP($B133,'7. PGE_Efficacité'!$A$6:$CY$266,(MATCH('[3]4.4 ACE MAX SEN '!AE$4,'7. PGE_Efficacité'!$A$4:$AO$4,0)),0)</f>
        <v>0</v>
      </c>
      <c r="AF133" s="61">
        <f>VLOOKUP($B133,'7. PGE_Efficacité'!$A$6:$CY$266,(MATCH('[3]4.4 ACE MAX SEN '!AF$4,'7. PGE_Efficacité'!$A$4:$AO$4,0)),0)</f>
        <v>0</v>
      </c>
      <c r="AG133" s="61">
        <f>VLOOKUP($B133,'7. PGE_Efficacité'!$A$6:$CY$266,(MATCH('[3]4.4 ACE MAX SEN '!AG$4,'7. PGE_Efficacité'!$A$4:$AO$4,0)),0)</f>
        <v>0</v>
      </c>
      <c r="AH133" s="61">
        <f>VLOOKUP($B133,'7. PGE_Efficacité'!$A$6:$CY$266,(MATCH('[3]4.4 ACE MAX SEN '!AH$4,'7. PGE_Efficacité'!$A$4:$AO$4,0)),0)</f>
        <v>0</v>
      </c>
      <c r="AI133" s="61">
        <f>VLOOKUP($B133,'7. PGE_Efficacité'!$A$6:$CY$266,(MATCH('[3]4.4 ACE MAX SEN '!AI$4,'7. PGE_Efficacité'!$A$4:$AO$4,0)),0)</f>
        <v>0</v>
      </c>
      <c r="AJ133" s="61">
        <f>VLOOKUP($B133,'7. PGE_Efficacité'!$A$6:$CY$266,(MATCH('[3]4.4 ACE MAX SEN '!AJ$4,'7. PGE_Efficacité'!$A$4:$AO$4,0)),0)</f>
        <v>0</v>
      </c>
      <c r="AK133" s="61">
        <f>VLOOKUP($B133,'7. PGE_Efficacité'!$A$6:$CY$266,(MATCH('[3]4.4 ACE MAX SEN '!AK$4,'7. PGE_Efficacité'!$A$4:$AO$4,0)),0)</f>
        <v>0</v>
      </c>
    </row>
    <row r="134" spans="1:37" hidden="1" outlineLevel="2" x14ac:dyDescent="0.25">
      <c r="A134" s="65" t="s">
        <v>21</v>
      </c>
      <c r="B134" s="65" t="s">
        <v>733</v>
      </c>
      <c r="C134" s="65" t="s">
        <v>1391</v>
      </c>
      <c r="D134" s="65" t="s">
        <v>1521</v>
      </c>
      <c r="E134" s="65" t="s">
        <v>1290</v>
      </c>
      <c r="F134" s="70"/>
      <c r="G134" s="64">
        <f>VLOOKUP($B134,'7. PGE_Efficacité'!$A$6:$CY$266,(MATCH('[3]4.4 ACE MAX SEN '!G$4,'7. PGE_Efficacité'!$A$4:$AO$4,0)),0)</f>
        <v>0</v>
      </c>
      <c r="H134" s="64">
        <f>VLOOKUP($B134,'7. PGE_Efficacité'!$A$6:$CY$266,(MATCH('[3]4.4 ACE MAX SEN '!H$4,'7. PGE_Efficacité'!$A$4:$AO$4,0)),0)</f>
        <v>0</v>
      </c>
      <c r="I134" s="64">
        <f>VLOOKUP($B134,'7. PGE_Efficacité'!$A$6:$CY$266,(MATCH('[3]4.4 ACE MAX SEN '!I$4,'7. PGE_Efficacité'!$A$4:$AO$4,0)),0)</f>
        <v>0</v>
      </c>
      <c r="J134" s="64">
        <f>VLOOKUP($B134,'7. PGE_Efficacité'!$A$6:$CY$266,(MATCH('[3]4.4 ACE MAX SEN '!J$4,'7. PGE_Efficacité'!$A$4:$AO$4,0)),0)</f>
        <v>0</v>
      </c>
      <c r="K134" s="64">
        <f>VLOOKUP($B134,'7. PGE_Efficacité'!$A$6:$CY$266,(MATCH('[3]4.4 ACE MAX SEN '!K$4,'7. PGE_Efficacité'!$A$4:$AO$4,0)),0)</f>
        <v>0</v>
      </c>
      <c r="L134" s="64">
        <f>VLOOKUP($B134,'7. PGE_Efficacité'!$A$6:$CY$266,(MATCH('[3]4.4 ACE MAX SEN '!L$4,'7. PGE_Efficacité'!$A$4:$AO$4,0)),0)</f>
        <v>0</v>
      </c>
      <c r="M134" s="64">
        <f>VLOOKUP($B134,'7. PGE_Efficacité'!$A$6:$CY$266,(MATCH('[3]4.4 ACE MAX SEN '!M$4,'7. PGE_Efficacité'!$A$4:$AO$4,0)),0)</f>
        <v>0</v>
      </c>
      <c r="N134" s="64">
        <f>VLOOKUP($B134,'7. PGE_Efficacité'!$A$6:$CY$266,(MATCH('[3]4.4 ACE MAX SEN '!N$4,'7. PGE_Efficacité'!$A$4:$AO$4,0)),0)</f>
        <v>0</v>
      </c>
      <c r="O134" s="64">
        <f>VLOOKUP($B134,'7. PGE_Efficacité'!$A$6:$CY$266,(MATCH('[3]4.4 ACE MAX SEN '!O$4,'7. PGE_Efficacité'!$A$4:$AO$4,0)),0)</f>
        <v>0</v>
      </c>
      <c r="P134" s="64">
        <f>VLOOKUP($B134,'7. PGE_Efficacité'!$A$6:$CY$266,(MATCH('[3]4.4 ACE MAX SEN '!P$4,'7. PGE_Efficacité'!$A$4:$AO$4,0)),0)</f>
        <v>0</v>
      </c>
      <c r="Q134" s="64">
        <f>VLOOKUP($B134,'7. PGE_Efficacité'!$A$6:$CY$266,(MATCH('[3]4.4 ACE MAX SEN '!Q$4,'7. PGE_Efficacité'!$A$4:$AO$4,0)),0)</f>
        <v>0</v>
      </c>
      <c r="R134" s="64">
        <f>VLOOKUP($B134,'7. PGE_Efficacité'!$A$6:$CY$266,(MATCH('[3]4.4 ACE MAX SEN '!R$4,'7. PGE_Efficacité'!$A$4:$AO$4,0)),0)</f>
        <v>0</v>
      </c>
      <c r="S134" s="64">
        <f>VLOOKUP($B134,'7. PGE_Efficacité'!$A$6:$CY$266,(MATCH('[3]4.4 ACE MAX SEN '!S$4,'7. PGE_Efficacité'!$A$4:$AO$4,0)),0)</f>
        <v>0</v>
      </c>
      <c r="T134" s="64">
        <f>VLOOKUP($B134,'7. PGE_Efficacité'!$A$6:$CY$266,(MATCH('[3]4.4 ACE MAX SEN '!T$4,'7. PGE_Efficacité'!$A$4:$AO$4,0)),0)</f>
        <v>0</v>
      </c>
      <c r="U134" s="64">
        <f>VLOOKUP($B134,'7. PGE_Efficacité'!$A$6:$CY$266,(MATCH('[3]4.4 ACE MAX SEN '!U$4,'7. PGE_Efficacité'!$A$4:$AO$4,0)),0)</f>
        <v>0</v>
      </c>
      <c r="V134" s="64">
        <f>VLOOKUP($B134,'7. PGE_Efficacité'!$A$6:$CY$266,(MATCH('[3]4.4 ACE MAX SEN '!V$4,'7. PGE_Efficacité'!$A$4:$AO$4,0)),0)</f>
        <v>0</v>
      </c>
      <c r="W134" s="61">
        <f>VLOOKUP($B134,'7. PGE_Efficacité'!$A$6:$CY$266,(MATCH('[3]4.4 ACE MAX SEN '!W$4,'7. PGE_Efficacité'!$A$4:$AO$4,0)),0)</f>
        <v>0</v>
      </c>
      <c r="X134" s="61">
        <f>VLOOKUP($B134,'7. PGE_Efficacité'!$A$6:$CY$266,(MATCH('[3]4.4 ACE MAX SEN '!X$4,'7. PGE_Efficacité'!$A$4:$AO$4,0)),0)</f>
        <v>0</v>
      </c>
      <c r="Y134" s="61">
        <f>VLOOKUP($B134,'7. PGE_Efficacité'!$A$6:$CY$266,(MATCH('[3]4.4 ACE MAX SEN '!Y$4,'7. PGE_Efficacité'!$A$4:$AO$4,0)),0)</f>
        <v>0</v>
      </c>
      <c r="Z134" s="61">
        <f>VLOOKUP($B134,'7. PGE_Efficacité'!$A$6:$CY$266,(MATCH('[3]4.4 ACE MAX SEN '!Z$4,'7. PGE_Efficacité'!$A$4:$AO$4,0)),0)</f>
        <v>0</v>
      </c>
      <c r="AA134" s="61">
        <f>VLOOKUP($B134,'7. PGE_Efficacité'!$A$6:$CY$266,(MATCH('[3]4.4 ACE MAX SEN '!AA$4,'7. PGE_Efficacité'!$A$4:$AO$4,0)),0)</f>
        <v>0</v>
      </c>
      <c r="AB134" s="61">
        <f>VLOOKUP($B134,'7. PGE_Efficacité'!$A$6:$CY$266,(MATCH('[3]4.4 ACE MAX SEN '!AB$4,'7. PGE_Efficacité'!$A$4:$AO$4,0)),0)</f>
        <v>0</v>
      </c>
      <c r="AC134" s="61">
        <f>VLOOKUP($B134,'7. PGE_Efficacité'!$A$6:$CY$266,(MATCH('[3]4.4 ACE MAX SEN '!AC$4,'7. PGE_Efficacité'!$A$4:$AO$4,0)),0)</f>
        <v>0</v>
      </c>
      <c r="AD134" s="61">
        <f>VLOOKUP($B134,'7. PGE_Efficacité'!$A$6:$CY$266,(MATCH('[3]4.4 ACE MAX SEN '!AD$4,'7. PGE_Efficacité'!$A$4:$AO$4,0)),0)</f>
        <v>0</v>
      </c>
      <c r="AE134" s="61">
        <f>VLOOKUP($B134,'7. PGE_Efficacité'!$A$6:$CY$266,(MATCH('[3]4.4 ACE MAX SEN '!AE$4,'7. PGE_Efficacité'!$A$4:$AO$4,0)),0)</f>
        <v>0</v>
      </c>
      <c r="AF134" s="61">
        <f>VLOOKUP($B134,'7. PGE_Efficacité'!$A$6:$CY$266,(MATCH('[3]4.4 ACE MAX SEN '!AF$4,'7. PGE_Efficacité'!$A$4:$AO$4,0)),0)</f>
        <v>0</v>
      </c>
      <c r="AG134" s="61">
        <f>VLOOKUP($B134,'7. PGE_Efficacité'!$A$6:$CY$266,(MATCH('[3]4.4 ACE MAX SEN '!AG$4,'7. PGE_Efficacité'!$A$4:$AO$4,0)),0)</f>
        <v>0</v>
      </c>
      <c r="AH134" s="61">
        <f>VLOOKUP($B134,'7. PGE_Efficacité'!$A$6:$CY$266,(MATCH('[3]4.4 ACE MAX SEN '!AH$4,'7. PGE_Efficacité'!$A$4:$AO$4,0)),0)</f>
        <v>0</v>
      </c>
      <c r="AI134" s="61">
        <f>VLOOKUP($B134,'7. PGE_Efficacité'!$A$6:$CY$266,(MATCH('[3]4.4 ACE MAX SEN '!AI$4,'7. PGE_Efficacité'!$A$4:$AO$4,0)),0)</f>
        <v>0</v>
      </c>
      <c r="AJ134" s="61">
        <f>VLOOKUP($B134,'7. PGE_Efficacité'!$A$6:$CY$266,(MATCH('[3]4.4 ACE MAX SEN '!AJ$4,'7. PGE_Efficacité'!$A$4:$AO$4,0)),0)</f>
        <v>0</v>
      </c>
      <c r="AK134" s="61">
        <f>VLOOKUP($B134,'7. PGE_Efficacité'!$A$6:$CY$266,(MATCH('[3]4.4 ACE MAX SEN '!AK$4,'7. PGE_Efficacité'!$A$4:$AO$4,0)),0)</f>
        <v>0</v>
      </c>
    </row>
    <row r="135" spans="1:37" hidden="1" outlineLevel="2" x14ac:dyDescent="0.25">
      <c r="A135" s="65" t="s">
        <v>21</v>
      </c>
      <c r="B135" s="65" t="s">
        <v>734</v>
      </c>
      <c r="C135" s="65" t="s">
        <v>1392</v>
      </c>
      <c r="D135" s="65" t="s">
        <v>1521</v>
      </c>
      <c r="E135" s="65" t="s">
        <v>1290</v>
      </c>
      <c r="F135" s="70"/>
      <c r="G135" s="64">
        <f>VLOOKUP($B135,'7. PGE_Efficacité'!$A$6:$CY$266,(MATCH('[3]4.4 ACE MAX SEN '!G$4,'7. PGE_Efficacité'!$A$4:$AO$4,0)),0)</f>
        <v>0</v>
      </c>
      <c r="H135" s="64">
        <f>VLOOKUP($B135,'7. PGE_Efficacité'!$A$6:$CY$266,(MATCH('[3]4.4 ACE MAX SEN '!H$4,'7. PGE_Efficacité'!$A$4:$AO$4,0)),0)</f>
        <v>0</v>
      </c>
      <c r="I135" s="64">
        <f>VLOOKUP($B135,'7. PGE_Efficacité'!$A$6:$CY$266,(MATCH('[3]4.4 ACE MAX SEN '!I$4,'7. PGE_Efficacité'!$A$4:$AO$4,0)),0)</f>
        <v>0</v>
      </c>
      <c r="J135" s="64">
        <f>VLOOKUP($B135,'7. PGE_Efficacité'!$A$6:$CY$266,(MATCH('[3]4.4 ACE MAX SEN '!J$4,'7. PGE_Efficacité'!$A$4:$AO$4,0)),0)</f>
        <v>0</v>
      </c>
      <c r="K135" s="64">
        <f>VLOOKUP($B135,'7. PGE_Efficacité'!$A$6:$CY$266,(MATCH('[3]4.4 ACE MAX SEN '!K$4,'7. PGE_Efficacité'!$A$4:$AO$4,0)),0)</f>
        <v>0</v>
      </c>
      <c r="L135" s="64">
        <f>VLOOKUP($B135,'7. PGE_Efficacité'!$A$6:$CY$266,(MATCH('[3]4.4 ACE MAX SEN '!L$4,'7. PGE_Efficacité'!$A$4:$AO$4,0)),0)</f>
        <v>0</v>
      </c>
      <c r="M135" s="64">
        <f>VLOOKUP($B135,'7. PGE_Efficacité'!$A$6:$CY$266,(MATCH('[3]4.4 ACE MAX SEN '!M$4,'7. PGE_Efficacité'!$A$4:$AO$4,0)),0)</f>
        <v>0</v>
      </c>
      <c r="N135" s="64">
        <f>VLOOKUP($B135,'7. PGE_Efficacité'!$A$6:$CY$266,(MATCH('[3]4.4 ACE MAX SEN '!N$4,'7. PGE_Efficacité'!$A$4:$AO$4,0)),0)</f>
        <v>0</v>
      </c>
      <c r="O135" s="64">
        <f>VLOOKUP($B135,'7. PGE_Efficacité'!$A$6:$CY$266,(MATCH('[3]4.4 ACE MAX SEN '!O$4,'7. PGE_Efficacité'!$A$4:$AO$4,0)),0)</f>
        <v>0</v>
      </c>
      <c r="P135" s="64">
        <f>VLOOKUP($B135,'7. PGE_Efficacité'!$A$6:$CY$266,(MATCH('[3]4.4 ACE MAX SEN '!P$4,'7. PGE_Efficacité'!$A$4:$AO$4,0)),0)</f>
        <v>0</v>
      </c>
      <c r="Q135" s="64">
        <f>VLOOKUP($B135,'7. PGE_Efficacité'!$A$6:$CY$266,(MATCH('[3]4.4 ACE MAX SEN '!Q$4,'7. PGE_Efficacité'!$A$4:$AO$4,0)),0)</f>
        <v>0</v>
      </c>
      <c r="R135" s="64">
        <f>VLOOKUP($B135,'7. PGE_Efficacité'!$A$6:$CY$266,(MATCH('[3]4.4 ACE MAX SEN '!R$4,'7. PGE_Efficacité'!$A$4:$AO$4,0)),0)</f>
        <v>0</v>
      </c>
      <c r="S135" s="64">
        <f>VLOOKUP($B135,'7. PGE_Efficacité'!$A$6:$CY$266,(MATCH('[3]4.4 ACE MAX SEN '!S$4,'7. PGE_Efficacité'!$A$4:$AO$4,0)),0)</f>
        <v>0</v>
      </c>
      <c r="T135" s="64">
        <f>VLOOKUP($B135,'7. PGE_Efficacité'!$A$6:$CY$266,(MATCH('[3]4.4 ACE MAX SEN '!T$4,'7. PGE_Efficacité'!$A$4:$AO$4,0)),0)</f>
        <v>0</v>
      </c>
      <c r="U135" s="64">
        <f>VLOOKUP($B135,'7. PGE_Efficacité'!$A$6:$CY$266,(MATCH('[3]4.4 ACE MAX SEN '!U$4,'7. PGE_Efficacité'!$A$4:$AO$4,0)),0)</f>
        <v>0</v>
      </c>
      <c r="V135" s="64">
        <f>VLOOKUP($B135,'7. PGE_Efficacité'!$A$6:$CY$266,(MATCH('[3]4.4 ACE MAX SEN '!V$4,'7. PGE_Efficacité'!$A$4:$AO$4,0)),0)</f>
        <v>0</v>
      </c>
      <c r="W135" s="61">
        <f>VLOOKUP($B135,'7. PGE_Efficacité'!$A$6:$CY$266,(MATCH('[3]4.4 ACE MAX SEN '!W$4,'7. PGE_Efficacité'!$A$4:$AO$4,0)),0)</f>
        <v>0</v>
      </c>
      <c r="X135" s="61">
        <f>VLOOKUP($B135,'7. PGE_Efficacité'!$A$6:$CY$266,(MATCH('[3]4.4 ACE MAX SEN '!X$4,'7. PGE_Efficacité'!$A$4:$AO$4,0)),0)</f>
        <v>0</v>
      </c>
      <c r="Y135" s="61">
        <f>VLOOKUP($B135,'7. PGE_Efficacité'!$A$6:$CY$266,(MATCH('[3]4.4 ACE MAX SEN '!Y$4,'7. PGE_Efficacité'!$A$4:$AO$4,0)),0)</f>
        <v>0</v>
      </c>
      <c r="Z135" s="61">
        <f>VLOOKUP($B135,'7. PGE_Efficacité'!$A$6:$CY$266,(MATCH('[3]4.4 ACE MAX SEN '!Z$4,'7. PGE_Efficacité'!$A$4:$AO$4,0)),0)</f>
        <v>0</v>
      </c>
      <c r="AA135" s="61">
        <f>VLOOKUP($B135,'7. PGE_Efficacité'!$A$6:$CY$266,(MATCH('[3]4.4 ACE MAX SEN '!AA$4,'7. PGE_Efficacité'!$A$4:$AO$4,0)),0)</f>
        <v>0</v>
      </c>
      <c r="AB135" s="61">
        <f>VLOOKUP($B135,'7. PGE_Efficacité'!$A$6:$CY$266,(MATCH('[3]4.4 ACE MAX SEN '!AB$4,'7. PGE_Efficacité'!$A$4:$AO$4,0)),0)</f>
        <v>0</v>
      </c>
      <c r="AC135" s="61">
        <f>VLOOKUP($B135,'7. PGE_Efficacité'!$A$6:$CY$266,(MATCH('[3]4.4 ACE MAX SEN '!AC$4,'7. PGE_Efficacité'!$A$4:$AO$4,0)),0)</f>
        <v>0</v>
      </c>
      <c r="AD135" s="61">
        <f>VLOOKUP($B135,'7. PGE_Efficacité'!$A$6:$CY$266,(MATCH('[3]4.4 ACE MAX SEN '!AD$4,'7. PGE_Efficacité'!$A$4:$AO$4,0)),0)</f>
        <v>0</v>
      </c>
      <c r="AE135" s="61">
        <f>VLOOKUP($B135,'7. PGE_Efficacité'!$A$6:$CY$266,(MATCH('[3]4.4 ACE MAX SEN '!AE$4,'7. PGE_Efficacité'!$A$4:$AO$4,0)),0)</f>
        <v>0</v>
      </c>
      <c r="AF135" s="61">
        <f>VLOOKUP($B135,'7. PGE_Efficacité'!$A$6:$CY$266,(MATCH('[3]4.4 ACE MAX SEN '!AF$4,'7. PGE_Efficacité'!$A$4:$AO$4,0)),0)</f>
        <v>0</v>
      </c>
      <c r="AG135" s="61">
        <f>VLOOKUP($B135,'7. PGE_Efficacité'!$A$6:$CY$266,(MATCH('[3]4.4 ACE MAX SEN '!AG$4,'7. PGE_Efficacité'!$A$4:$AO$4,0)),0)</f>
        <v>0</v>
      </c>
      <c r="AH135" s="61">
        <f>VLOOKUP($B135,'7. PGE_Efficacité'!$A$6:$CY$266,(MATCH('[3]4.4 ACE MAX SEN '!AH$4,'7. PGE_Efficacité'!$A$4:$AO$4,0)),0)</f>
        <v>0</v>
      </c>
      <c r="AI135" s="61">
        <f>VLOOKUP($B135,'7. PGE_Efficacité'!$A$6:$CY$266,(MATCH('[3]4.4 ACE MAX SEN '!AI$4,'7. PGE_Efficacité'!$A$4:$AO$4,0)),0)</f>
        <v>0</v>
      </c>
      <c r="AJ135" s="61">
        <f>VLOOKUP($B135,'7. PGE_Efficacité'!$A$6:$CY$266,(MATCH('[3]4.4 ACE MAX SEN '!AJ$4,'7. PGE_Efficacité'!$A$4:$AO$4,0)),0)</f>
        <v>0</v>
      </c>
      <c r="AK135" s="61">
        <f>VLOOKUP($B135,'7. PGE_Efficacité'!$A$6:$CY$266,(MATCH('[3]4.4 ACE MAX SEN '!AK$4,'7. PGE_Efficacité'!$A$4:$AO$4,0)),0)</f>
        <v>0</v>
      </c>
    </row>
    <row r="136" spans="1:37" hidden="1" outlineLevel="2" x14ac:dyDescent="0.25">
      <c r="A136" s="65" t="s">
        <v>21</v>
      </c>
      <c r="B136" s="65" t="s">
        <v>735</v>
      </c>
      <c r="C136" s="65" t="s">
        <v>1393</v>
      </c>
      <c r="D136" s="65" t="s">
        <v>1521</v>
      </c>
      <c r="E136" s="65" t="s">
        <v>1290</v>
      </c>
      <c r="F136" s="70"/>
      <c r="G136" s="64">
        <f>VLOOKUP($B136,'7. PGE_Efficacité'!$A$6:$CY$266,(MATCH('[3]4.4 ACE MAX SEN '!G$4,'7. PGE_Efficacité'!$A$4:$AO$4,0)),0)</f>
        <v>0</v>
      </c>
      <c r="H136" s="64">
        <f>VLOOKUP($B136,'7. PGE_Efficacité'!$A$6:$CY$266,(MATCH('[3]4.4 ACE MAX SEN '!H$4,'7. PGE_Efficacité'!$A$4:$AO$4,0)),0)</f>
        <v>0</v>
      </c>
      <c r="I136" s="64">
        <f>VLOOKUP($B136,'7. PGE_Efficacité'!$A$6:$CY$266,(MATCH('[3]4.4 ACE MAX SEN '!I$4,'7. PGE_Efficacité'!$A$4:$AO$4,0)),0)</f>
        <v>0</v>
      </c>
      <c r="J136" s="64">
        <f>VLOOKUP($B136,'7. PGE_Efficacité'!$A$6:$CY$266,(MATCH('[3]4.4 ACE MAX SEN '!J$4,'7. PGE_Efficacité'!$A$4:$AO$4,0)),0)</f>
        <v>0</v>
      </c>
      <c r="K136" s="64">
        <f>VLOOKUP($B136,'7. PGE_Efficacité'!$A$6:$CY$266,(MATCH('[3]4.4 ACE MAX SEN '!K$4,'7. PGE_Efficacité'!$A$4:$AO$4,0)),0)</f>
        <v>0</v>
      </c>
      <c r="L136" s="64">
        <f>VLOOKUP($B136,'7. PGE_Efficacité'!$A$6:$CY$266,(MATCH('[3]4.4 ACE MAX SEN '!L$4,'7. PGE_Efficacité'!$A$4:$AO$4,0)),0)</f>
        <v>0</v>
      </c>
      <c r="M136" s="64">
        <f>VLOOKUP($B136,'7. PGE_Efficacité'!$A$6:$CY$266,(MATCH('[3]4.4 ACE MAX SEN '!M$4,'7. PGE_Efficacité'!$A$4:$AO$4,0)),0)</f>
        <v>0</v>
      </c>
      <c r="N136" s="64">
        <f>VLOOKUP($B136,'7. PGE_Efficacité'!$A$6:$CY$266,(MATCH('[3]4.4 ACE MAX SEN '!N$4,'7. PGE_Efficacité'!$A$4:$AO$4,0)),0)</f>
        <v>0</v>
      </c>
      <c r="O136" s="64">
        <f>VLOOKUP($B136,'7. PGE_Efficacité'!$A$6:$CY$266,(MATCH('[3]4.4 ACE MAX SEN '!O$4,'7. PGE_Efficacité'!$A$4:$AO$4,0)),0)</f>
        <v>0</v>
      </c>
      <c r="P136" s="64">
        <f>VLOOKUP($B136,'7. PGE_Efficacité'!$A$6:$CY$266,(MATCH('[3]4.4 ACE MAX SEN '!P$4,'7. PGE_Efficacité'!$A$4:$AO$4,0)),0)</f>
        <v>0</v>
      </c>
      <c r="Q136" s="64">
        <f>VLOOKUP($B136,'7. PGE_Efficacité'!$A$6:$CY$266,(MATCH('[3]4.4 ACE MAX SEN '!Q$4,'7. PGE_Efficacité'!$A$4:$AO$4,0)),0)</f>
        <v>0</v>
      </c>
      <c r="R136" s="64">
        <f>VLOOKUP($B136,'7. PGE_Efficacité'!$A$6:$CY$266,(MATCH('[3]4.4 ACE MAX SEN '!R$4,'7. PGE_Efficacité'!$A$4:$AO$4,0)),0)</f>
        <v>0</v>
      </c>
      <c r="S136" s="64">
        <f>VLOOKUP($B136,'7. PGE_Efficacité'!$A$6:$CY$266,(MATCH('[3]4.4 ACE MAX SEN '!S$4,'7. PGE_Efficacité'!$A$4:$AO$4,0)),0)</f>
        <v>0</v>
      </c>
      <c r="T136" s="64">
        <f>VLOOKUP($B136,'7. PGE_Efficacité'!$A$6:$CY$266,(MATCH('[3]4.4 ACE MAX SEN '!T$4,'7. PGE_Efficacité'!$A$4:$AO$4,0)),0)</f>
        <v>0</v>
      </c>
      <c r="U136" s="64">
        <f>VLOOKUP($B136,'7. PGE_Efficacité'!$A$6:$CY$266,(MATCH('[3]4.4 ACE MAX SEN '!U$4,'7. PGE_Efficacité'!$A$4:$AO$4,0)),0)</f>
        <v>0</v>
      </c>
      <c r="V136" s="64">
        <f>VLOOKUP($B136,'7. PGE_Efficacité'!$A$6:$CY$266,(MATCH('[3]4.4 ACE MAX SEN '!V$4,'7. PGE_Efficacité'!$A$4:$AO$4,0)),0)</f>
        <v>0</v>
      </c>
      <c r="W136" s="61">
        <f>VLOOKUP($B136,'7. PGE_Efficacité'!$A$6:$CY$266,(MATCH('[3]4.4 ACE MAX SEN '!W$4,'7. PGE_Efficacité'!$A$4:$AO$4,0)),0)</f>
        <v>0</v>
      </c>
      <c r="X136" s="61">
        <f>VLOOKUP($B136,'7. PGE_Efficacité'!$A$6:$CY$266,(MATCH('[3]4.4 ACE MAX SEN '!X$4,'7. PGE_Efficacité'!$A$4:$AO$4,0)),0)</f>
        <v>0</v>
      </c>
      <c r="Y136" s="61">
        <f>VLOOKUP($B136,'7. PGE_Efficacité'!$A$6:$CY$266,(MATCH('[3]4.4 ACE MAX SEN '!Y$4,'7. PGE_Efficacité'!$A$4:$AO$4,0)),0)</f>
        <v>0</v>
      </c>
      <c r="Z136" s="61">
        <f>VLOOKUP($B136,'7. PGE_Efficacité'!$A$6:$CY$266,(MATCH('[3]4.4 ACE MAX SEN '!Z$4,'7. PGE_Efficacité'!$A$4:$AO$4,0)),0)</f>
        <v>0</v>
      </c>
      <c r="AA136" s="61">
        <f>VLOOKUP($B136,'7. PGE_Efficacité'!$A$6:$CY$266,(MATCH('[3]4.4 ACE MAX SEN '!AA$4,'7. PGE_Efficacité'!$A$4:$AO$4,0)),0)</f>
        <v>0</v>
      </c>
      <c r="AB136" s="61">
        <f>VLOOKUP($B136,'7. PGE_Efficacité'!$A$6:$CY$266,(MATCH('[3]4.4 ACE MAX SEN '!AB$4,'7. PGE_Efficacité'!$A$4:$AO$4,0)),0)</f>
        <v>0</v>
      </c>
      <c r="AC136" s="61">
        <f>VLOOKUP($B136,'7. PGE_Efficacité'!$A$6:$CY$266,(MATCH('[3]4.4 ACE MAX SEN '!AC$4,'7. PGE_Efficacité'!$A$4:$AO$4,0)),0)</f>
        <v>0</v>
      </c>
      <c r="AD136" s="61">
        <f>VLOOKUP($B136,'7. PGE_Efficacité'!$A$6:$CY$266,(MATCH('[3]4.4 ACE MAX SEN '!AD$4,'7. PGE_Efficacité'!$A$4:$AO$4,0)),0)</f>
        <v>0</v>
      </c>
      <c r="AE136" s="61">
        <f>VLOOKUP($B136,'7. PGE_Efficacité'!$A$6:$CY$266,(MATCH('[3]4.4 ACE MAX SEN '!AE$4,'7. PGE_Efficacité'!$A$4:$AO$4,0)),0)</f>
        <v>0</v>
      </c>
      <c r="AF136" s="61">
        <f>VLOOKUP($B136,'7. PGE_Efficacité'!$A$6:$CY$266,(MATCH('[3]4.4 ACE MAX SEN '!AF$4,'7. PGE_Efficacité'!$A$4:$AO$4,0)),0)</f>
        <v>0</v>
      </c>
      <c r="AG136" s="61">
        <f>VLOOKUP($B136,'7. PGE_Efficacité'!$A$6:$CY$266,(MATCH('[3]4.4 ACE MAX SEN '!AG$4,'7. PGE_Efficacité'!$A$4:$AO$4,0)),0)</f>
        <v>0</v>
      </c>
      <c r="AH136" s="61">
        <f>VLOOKUP($B136,'7. PGE_Efficacité'!$A$6:$CY$266,(MATCH('[3]4.4 ACE MAX SEN '!AH$4,'7. PGE_Efficacité'!$A$4:$AO$4,0)),0)</f>
        <v>0</v>
      </c>
      <c r="AI136" s="61">
        <f>VLOOKUP($B136,'7. PGE_Efficacité'!$A$6:$CY$266,(MATCH('[3]4.4 ACE MAX SEN '!AI$4,'7. PGE_Efficacité'!$A$4:$AO$4,0)),0)</f>
        <v>0</v>
      </c>
      <c r="AJ136" s="61">
        <f>VLOOKUP($B136,'7. PGE_Efficacité'!$A$6:$CY$266,(MATCH('[3]4.4 ACE MAX SEN '!AJ$4,'7. PGE_Efficacité'!$A$4:$AO$4,0)),0)</f>
        <v>0</v>
      </c>
      <c r="AK136" s="61">
        <f>VLOOKUP($B136,'7. PGE_Efficacité'!$A$6:$CY$266,(MATCH('[3]4.4 ACE MAX SEN '!AK$4,'7. PGE_Efficacité'!$A$4:$AO$4,0)),0)</f>
        <v>0</v>
      </c>
    </row>
    <row r="137" spans="1:37" hidden="1" outlineLevel="2" x14ac:dyDescent="0.25">
      <c r="A137" s="65" t="s">
        <v>21</v>
      </c>
      <c r="B137" s="65" t="s">
        <v>736</v>
      </c>
      <c r="C137" s="65" t="s">
        <v>1394</v>
      </c>
      <c r="D137" s="65" t="s">
        <v>1521</v>
      </c>
      <c r="E137" s="65" t="s">
        <v>1290</v>
      </c>
      <c r="F137" s="70"/>
      <c r="G137" s="64">
        <f>VLOOKUP($B137,'7. PGE_Efficacité'!$A$6:$CY$266,(MATCH('[3]4.4 ACE MAX SEN '!G$4,'7. PGE_Efficacité'!$A$4:$AO$4,0)),0)</f>
        <v>0</v>
      </c>
      <c r="H137" s="64">
        <f>VLOOKUP($B137,'7. PGE_Efficacité'!$A$6:$CY$266,(MATCH('[3]4.4 ACE MAX SEN '!H$4,'7. PGE_Efficacité'!$A$4:$AO$4,0)),0)</f>
        <v>0</v>
      </c>
      <c r="I137" s="64">
        <f>VLOOKUP($B137,'7. PGE_Efficacité'!$A$6:$CY$266,(MATCH('[3]4.4 ACE MAX SEN '!I$4,'7. PGE_Efficacité'!$A$4:$AO$4,0)),0)</f>
        <v>0</v>
      </c>
      <c r="J137" s="64">
        <f>VLOOKUP($B137,'7. PGE_Efficacité'!$A$6:$CY$266,(MATCH('[3]4.4 ACE MAX SEN '!J$4,'7. PGE_Efficacité'!$A$4:$AO$4,0)),0)</f>
        <v>0</v>
      </c>
      <c r="K137" s="64">
        <f>VLOOKUP($B137,'7. PGE_Efficacité'!$A$6:$CY$266,(MATCH('[3]4.4 ACE MAX SEN '!K$4,'7. PGE_Efficacité'!$A$4:$AO$4,0)),0)</f>
        <v>0</v>
      </c>
      <c r="L137" s="64">
        <f>VLOOKUP($B137,'7. PGE_Efficacité'!$A$6:$CY$266,(MATCH('[3]4.4 ACE MAX SEN '!L$4,'7. PGE_Efficacité'!$A$4:$AO$4,0)),0)</f>
        <v>0</v>
      </c>
      <c r="M137" s="64">
        <f>VLOOKUP($B137,'7. PGE_Efficacité'!$A$6:$CY$266,(MATCH('[3]4.4 ACE MAX SEN '!M$4,'7. PGE_Efficacité'!$A$4:$AO$4,0)),0)</f>
        <v>0</v>
      </c>
      <c r="N137" s="64">
        <f>VLOOKUP($B137,'7. PGE_Efficacité'!$A$6:$CY$266,(MATCH('[3]4.4 ACE MAX SEN '!N$4,'7. PGE_Efficacité'!$A$4:$AO$4,0)),0)</f>
        <v>0</v>
      </c>
      <c r="O137" s="64">
        <f>VLOOKUP($B137,'7. PGE_Efficacité'!$A$6:$CY$266,(MATCH('[3]4.4 ACE MAX SEN '!O$4,'7. PGE_Efficacité'!$A$4:$AO$4,0)),0)</f>
        <v>0</v>
      </c>
      <c r="P137" s="64">
        <f>VLOOKUP($B137,'7. PGE_Efficacité'!$A$6:$CY$266,(MATCH('[3]4.4 ACE MAX SEN '!P$4,'7. PGE_Efficacité'!$A$4:$AO$4,0)),0)</f>
        <v>0</v>
      </c>
      <c r="Q137" s="64">
        <f>VLOOKUP($B137,'7. PGE_Efficacité'!$A$6:$CY$266,(MATCH('[3]4.4 ACE MAX SEN '!Q$4,'7. PGE_Efficacité'!$A$4:$AO$4,0)),0)</f>
        <v>0</v>
      </c>
      <c r="R137" s="64">
        <f>VLOOKUP($B137,'7. PGE_Efficacité'!$A$6:$CY$266,(MATCH('[3]4.4 ACE MAX SEN '!R$4,'7. PGE_Efficacité'!$A$4:$AO$4,0)),0)</f>
        <v>0</v>
      </c>
      <c r="S137" s="64">
        <f>VLOOKUP($B137,'7. PGE_Efficacité'!$A$6:$CY$266,(MATCH('[3]4.4 ACE MAX SEN '!S$4,'7. PGE_Efficacité'!$A$4:$AO$4,0)),0)</f>
        <v>0</v>
      </c>
      <c r="T137" s="64">
        <f>VLOOKUP($B137,'7. PGE_Efficacité'!$A$6:$CY$266,(MATCH('[3]4.4 ACE MAX SEN '!T$4,'7. PGE_Efficacité'!$A$4:$AO$4,0)),0)</f>
        <v>0</v>
      </c>
      <c r="U137" s="64">
        <f>VLOOKUP($B137,'7. PGE_Efficacité'!$A$6:$CY$266,(MATCH('[3]4.4 ACE MAX SEN '!U$4,'7. PGE_Efficacité'!$A$4:$AO$4,0)),0)</f>
        <v>0</v>
      </c>
      <c r="V137" s="64">
        <f>VLOOKUP($B137,'7. PGE_Efficacité'!$A$6:$CY$266,(MATCH('[3]4.4 ACE MAX SEN '!V$4,'7. PGE_Efficacité'!$A$4:$AO$4,0)),0)</f>
        <v>0</v>
      </c>
      <c r="W137" s="61">
        <f>VLOOKUP($B137,'7. PGE_Efficacité'!$A$6:$CY$266,(MATCH('[3]4.4 ACE MAX SEN '!W$4,'7. PGE_Efficacité'!$A$4:$AO$4,0)),0)</f>
        <v>0</v>
      </c>
      <c r="X137" s="61">
        <f>VLOOKUP($B137,'7. PGE_Efficacité'!$A$6:$CY$266,(MATCH('[3]4.4 ACE MAX SEN '!X$4,'7. PGE_Efficacité'!$A$4:$AO$4,0)),0)</f>
        <v>0</v>
      </c>
      <c r="Y137" s="61">
        <f>VLOOKUP($B137,'7. PGE_Efficacité'!$A$6:$CY$266,(MATCH('[3]4.4 ACE MAX SEN '!Y$4,'7. PGE_Efficacité'!$A$4:$AO$4,0)),0)</f>
        <v>0</v>
      </c>
      <c r="Z137" s="61">
        <f>VLOOKUP($B137,'7. PGE_Efficacité'!$A$6:$CY$266,(MATCH('[3]4.4 ACE MAX SEN '!Z$4,'7. PGE_Efficacité'!$A$4:$AO$4,0)),0)</f>
        <v>0</v>
      </c>
      <c r="AA137" s="61">
        <f>VLOOKUP($B137,'7. PGE_Efficacité'!$A$6:$CY$266,(MATCH('[3]4.4 ACE MAX SEN '!AA$4,'7. PGE_Efficacité'!$A$4:$AO$4,0)),0)</f>
        <v>0</v>
      </c>
      <c r="AB137" s="61">
        <f>VLOOKUP($B137,'7. PGE_Efficacité'!$A$6:$CY$266,(MATCH('[3]4.4 ACE MAX SEN '!AB$4,'7. PGE_Efficacité'!$A$4:$AO$4,0)),0)</f>
        <v>0</v>
      </c>
      <c r="AC137" s="61">
        <f>VLOOKUP($B137,'7. PGE_Efficacité'!$A$6:$CY$266,(MATCH('[3]4.4 ACE MAX SEN '!AC$4,'7. PGE_Efficacité'!$A$4:$AO$4,0)),0)</f>
        <v>0</v>
      </c>
      <c r="AD137" s="61">
        <f>VLOOKUP($B137,'7. PGE_Efficacité'!$A$6:$CY$266,(MATCH('[3]4.4 ACE MAX SEN '!AD$4,'7. PGE_Efficacité'!$A$4:$AO$4,0)),0)</f>
        <v>0</v>
      </c>
      <c r="AE137" s="61">
        <f>VLOOKUP($B137,'7. PGE_Efficacité'!$A$6:$CY$266,(MATCH('[3]4.4 ACE MAX SEN '!AE$4,'7. PGE_Efficacité'!$A$4:$AO$4,0)),0)</f>
        <v>0</v>
      </c>
      <c r="AF137" s="61">
        <f>VLOOKUP($B137,'7. PGE_Efficacité'!$A$6:$CY$266,(MATCH('[3]4.4 ACE MAX SEN '!AF$4,'7. PGE_Efficacité'!$A$4:$AO$4,0)),0)</f>
        <v>0</v>
      </c>
      <c r="AG137" s="61">
        <f>VLOOKUP($B137,'7. PGE_Efficacité'!$A$6:$CY$266,(MATCH('[3]4.4 ACE MAX SEN '!AG$4,'7. PGE_Efficacité'!$A$4:$AO$4,0)),0)</f>
        <v>0</v>
      </c>
      <c r="AH137" s="61">
        <f>VLOOKUP($B137,'7. PGE_Efficacité'!$A$6:$CY$266,(MATCH('[3]4.4 ACE MAX SEN '!AH$4,'7. PGE_Efficacité'!$A$4:$AO$4,0)),0)</f>
        <v>0</v>
      </c>
      <c r="AI137" s="61">
        <f>VLOOKUP($B137,'7. PGE_Efficacité'!$A$6:$CY$266,(MATCH('[3]4.4 ACE MAX SEN '!AI$4,'7. PGE_Efficacité'!$A$4:$AO$4,0)),0)</f>
        <v>0</v>
      </c>
      <c r="AJ137" s="61">
        <f>VLOOKUP($B137,'7. PGE_Efficacité'!$A$6:$CY$266,(MATCH('[3]4.4 ACE MAX SEN '!AJ$4,'7. PGE_Efficacité'!$A$4:$AO$4,0)),0)</f>
        <v>0</v>
      </c>
      <c r="AK137" s="61">
        <f>VLOOKUP($B137,'7. PGE_Efficacité'!$A$6:$CY$266,(MATCH('[3]4.4 ACE MAX SEN '!AK$4,'7. PGE_Efficacité'!$A$4:$AO$4,0)),0)</f>
        <v>0</v>
      </c>
    </row>
    <row r="138" spans="1:37" hidden="1" outlineLevel="2" x14ac:dyDescent="0.25">
      <c r="A138" s="65" t="s">
        <v>21</v>
      </c>
      <c r="B138" s="65" t="s">
        <v>737</v>
      </c>
      <c r="C138" s="65" t="s">
        <v>1395</v>
      </c>
      <c r="D138" s="65" t="s">
        <v>1521</v>
      </c>
      <c r="E138" s="65" t="s">
        <v>1290</v>
      </c>
      <c r="F138" s="70"/>
      <c r="G138" s="64">
        <f>VLOOKUP($B138,'7. PGE_Efficacité'!$A$6:$CY$266,(MATCH('[3]4.4 ACE MAX SEN '!G$4,'7. PGE_Efficacité'!$A$4:$AO$4,0)),0)</f>
        <v>0</v>
      </c>
      <c r="H138" s="64">
        <f>VLOOKUP($B138,'7. PGE_Efficacité'!$A$6:$CY$266,(MATCH('[3]4.4 ACE MAX SEN '!H$4,'7. PGE_Efficacité'!$A$4:$AO$4,0)),0)</f>
        <v>0</v>
      </c>
      <c r="I138" s="64">
        <f>VLOOKUP($B138,'7. PGE_Efficacité'!$A$6:$CY$266,(MATCH('[3]4.4 ACE MAX SEN '!I$4,'7. PGE_Efficacité'!$A$4:$AO$4,0)),0)</f>
        <v>0</v>
      </c>
      <c r="J138" s="64">
        <f>VLOOKUP($B138,'7. PGE_Efficacité'!$A$6:$CY$266,(MATCH('[3]4.4 ACE MAX SEN '!J$4,'7. PGE_Efficacité'!$A$4:$AO$4,0)),0)</f>
        <v>0</v>
      </c>
      <c r="K138" s="64">
        <f>VLOOKUP($B138,'7. PGE_Efficacité'!$A$6:$CY$266,(MATCH('[3]4.4 ACE MAX SEN '!K$4,'7. PGE_Efficacité'!$A$4:$AO$4,0)),0)</f>
        <v>0</v>
      </c>
      <c r="L138" s="64">
        <f>VLOOKUP($B138,'7. PGE_Efficacité'!$A$6:$CY$266,(MATCH('[3]4.4 ACE MAX SEN '!L$4,'7. PGE_Efficacité'!$A$4:$AO$4,0)),0)</f>
        <v>0</v>
      </c>
      <c r="M138" s="64">
        <f>VLOOKUP($B138,'7. PGE_Efficacité'!$A$6:$CY$266,(MATCH('[3]4.4 ACE MAX SEN '!M$4,'7. PGE_Efficacité'!$A$4:$AO$4,0)),0)</f>
        <v>0</v>
      </c>
      <c r="N138" s="64">
        <f>VLOOKUP($B138,'7. PGE_Efficacité'!$A$6:$CY$266,(MATCH('[3]4.4 ACE MAX SEN '!N$4,'7. PGE_Efficacité'!$A$4:$AO$4,0)),0)</f>
        <v>0</v>
      </c>
      <c r="O138" s="64">
        <f>VLOOKUP($B138,'7. PGE_Efficacité'!$A$6:$CY$266,(MATCH('[3]4.4 ACE MAX SEN '!O$4,'7. PGE_Efficacité'!$A$4:$AO$4,0)),0)</f>
        <v>0</v>
      </c>
      <c r="P138" s="64">
        <f>VLOOKUP($B138,'7. PGE_Efficacité'!$A$6:$CY$266,(MATCH('[3]4.4 ACE MAX SEN '!P$4,'7. PGE_Efficacité'!$A$4:$AO$4,0)),0)</f>
        <v>0</v>
      </c>
      <c r="Q138" s="64">
        <f>VLOOKUP($B138,'7. PGE_Efficacité'!$A$6:$CY$266,(MATCH('[3]4.4 ACE MAX SEN '!Q$4,'7. PGE_Efficacité'!$A$4:$AO$4,0)),0)</f>
        <v>0</v>
      </c>
      <c r="R138" s="64">
        <f>VLOOKUP($B138,'7. PGE_Efficacité'!$A$6:$CY$266,(MATCH('[3]4.4 ACE MAX SEN '!R$4,'7. PGE_Efficacité'!$A$4:$AO$4,0)),0)</f>
        <v>0</v>
      </c>
      <c r="S138" s="64">
        <f>VLOOKUP($B138,'7. PGE_Efficacité'!$A$6:$CY$266,(MATCH('[3]4.4 ACE MAX SEN '!S$4,'7. PGE_Efficacité'!$A$4:$AO$4,0)),0)</f>
        <v>0</v>
      </c>
      <c r="T138" s="64">
        <f>VLOOKUP($B138,'7. PGE_Efficacité'!$A$6:$CY$266,(MATCH('[3]4.4 ACE MAX SEN '!T$4,'7. PGE_Efficacité'!$A$4:$AO$4,0)),0)</f>
        <v>0</v>
      </c>
      <c r="U138" s="64">
        <f>VLOOKUP($B138,'7. PGE_Efficacité'!$A$6:$CY$266,(MATCH('[3]4.4 ACE MAX SEN '!U$4,'7. PGE_Efficacité'!$A$4:$AO$4,0)),0)</f>
        <v>0</v>
      </c>
      <c r="V138" s="64">
        <f>VLOOKUP($B138,'7. PGE_Efficacité'!$A$6:$CY$266,(MATCH('[3]4.4 ACE MAX SEN '!V$4,'7. PGE_Efficacité'!$A$4:$AO$4,0)),0)</f>
        <v>0</v>
      </c>
      <c r="W138" s="61">
        <f>VLOOKUP($B138,'7. PGE_Efficacité'!$A$6:$CY$266,(MATCH('[3]4.4 ACE MAX SEN '!W$4,'7. PGE_Efficacité'!$A$4:$AO$4,0)),0)</f>
        <v>0</v>
      </c>
      <c r="X138" s="61">
        <f>VLOOKUP($B138,'7. PGE_Efficacité'!$A$6:$CY$266,(MATCH('[3]4.4 ACE MAX SEN '!X$4,'7. PGE_Efficacité'!$A$4:$AO$4,0)),0)</f>
        <v>0</v>
      </c>
      <c r="Y138" s="61">
        <f>VLOOKUP($B138,'7. PGE_Efficacité'!$A$6:$CY$266,(MATCH('[3]4.4 ACE MAX SEN '!Y$4,'7. PGE_Efficacité'!$A$4:$AO$4,0)),0)</f>
        <v>0</v>
      </c>
      <c r="Z138" s="61">
        <f>VLOOKUP($B138,'7. PGE_Efficacité'!$A$6:$CY$266,(MATCH('[3]4.4 ACE MAX SEN '!Z$4,'7. PGE_Efficacité'!$A$4:$AO$4,0)),0)</f>
        <v>0</v>
      </c>
      <c r="AA138" s="61">
        <f>VLOOKUP($B138,'7. PGE_Efficacité'!$A$6:$CY$266,(MATCH('[3]4.4 ACE MAX SEN '!AA$4,'7. PGE_Efficacité'!$A$4:$AO$4,0)),0)</f>
        <v>0</v>
      </c>
      <c r="AB138" s="61">
        <f>VLOOKUP($B138,'7. PGE_Efficacité'!$A$6:$CY$266,(MATCH('[3]4.4 ACE MAX SEN '!AB$4,'7. PGE_Efficacité'!$A$4:$AO$4,0)),0)</f>
        <v>0</v>
      </c>
      <c r="AC138" s="61">
        <f>VLOOKUP($B138,'7. PGE_Efficacité'!$A$6:$CY$266,(MATCH('[3]4.4 ACE MAX SEN '!AC$4,'7. PGE_Efficacité'!$A$4:$AO$4,0)),0)</f>
        <v>0</v>
      </c>
      <c r="AD138" s="61">
        <f>VLOOKUP($B138,'7. PGE_Efficacité'!$A$6:$CY$266,(MATCH('[3]4.4 ACE MAX SEN '!AD$4,'7. PGE_Efficacité'!$A$4:$AO$4,0)),0)</f>
        <v>0</v>
      </c>
      <c r="AE138" s="61">
        <f>VLOOKUP($B138,'7. PGE_Efficacité'!$A$6:$CY$266,(MATCH('[3]4.4 ACE MAX SEN '!AE$4,'7. PGE_Efficacité'!$A$4:$AO$4,0)),0)</f>
        <v>0</v>
      </c>
      <c r="AF138" s="61">
        <f>VLOOKUP($B138,'7. PGE_Efficacité'!$A$6:$CY$266,(MATCH('[3]4.4 ACE MAX SEN '!AF$4,'7. PGE_Efficacité'!$A$4:$AO$4,0)),0)</f>
        <v>0</v>
      </c>
      <c r="AG138" s="61">
        <f>VLOOKUP($B138,'7. PGE_Efficacité'!$A$6:$CY$266,(MATCH('[3]4.4 ACE MAX SEN '!AG$4,'7. PGE_Efficacité'!$A$4:$AO$4,0)),0)</f>
        <v>0</v>
      </c>
      <c r="AH138" s="61">
        <f>VLOOKUP($B138,'7. PGE_Efficacité'!$A$6:$CY$266,(MATCH('[3]4.4 ACE MAX SEN '!AH$4,'7. PGE_Efficacité'!$A$4:$AO$4,0)),0)</f>
        <v>0</v>
      </c>
      <c r="AI138" s="61">
        <f>VLOOKUP($B138,'7. PGE_Efficacité'!$A$6:$CY$266,(MATCH('[3]4.4 ACE MAX SEN '!AI$4,'7. PGE_Efficacité'!$A$4:$AO$4,0)),0)</f>
        <v>0</v>
      </c>
      <c r="AJ138" s="61">
        <f>VLOOKUP($B138,'7. PGE_Efficacité'!$A$6:$CY$266,(MATCH('[3]4.4 ACE MAX SEN '!AJ$4,'7. PGE_Efficacité'!$A$4:$AO$4,0)),0)</f>
        <v>0</v>
      </c>
      <c r="AK138" s="61">
        <f>VLOOKUP($B138,'7. PGE_Efficacité'!$A$6:$CY$266,(MATCH('[3]4.4 ACE MAX SEN '!AK$4,'7. PGE_Efficacité'!$A$4:$AO$4,0)),0)</f>
        <v>0</v>
      </c>
    </row>
    <row r="139" spans="1:37" hidden="1" outlineLevel="2" x14ac:dyDescent="0.25">
      <c r="A139" s="65" t="s">
        <v>21</v>
      </c>
      <c r="B139" s="65" t="s">
        <v>729</v>
      </c>
      <c r="C139" s="65" t="s">
        <v>1387</v>
      </c>
      <c r="D139" s="65" t="s">
        <v>1521</v>
      </c>
      <c r="E139" s="65" t="s">
        <v>1290</v>
      </c>
      <c r="F139" s="70"/>
      <c r="G139" s="64">
        <f>VLOOKUP($B139,'7. PGE_Efficacité'!$A$6:$CY$266,(MATCH('[3]4.4 ACE MAX SEN '!G$4,'7. PGE_Efficacité'!$A$4:$AO$4,0)),0)</f>
        <v>0</v>
      </c>
      <c r="H139" s="64">
        <f>VLOOKUP($B139,'7. PGE_Efficacité'!$A$6:$CY$266,(MATCH('[3]4.4 ACE MAX SEN '!H$4,'7. PGE_Efficacité'!$A$4:$AO$4,0)),0)</f>
        <v>0</v>
      </c>
      <c r="I139" s="64">
        <f>VLOOKUP($B139,'7. PGE_Efficacité'!$A$6:$CY$266,(MATCH('[3]4.4 ACE MAX SEN '!I$4,'7. PGE_Efficacité'!$A$4:$AO$4,0)),0)</f>
        <v>0</v>
      </c>
      <c r="J139" s="64">
        <f>VLOOKUP($B139,'7. PGE_Efficacité'!$A$6:$CY$266,(MATCH('[3]4.4 ACE MAX SEN '!J$4,'7. PGE_Efficacité'!$A$4:$AO$4,0)),0)</f>
        <v>0</v>
      </c>
      <c r="K139" s="64">
        <f>VLOOKUP($B139,'7. PGE_Efficacité'!$A$6:$CY$266,(MATCH('[3]4.4 ACE MAX SEN '!K$4,'7. PGE_Efficacité'!$A$4:$AO$4,0)),0)</f>
        <v>0</v>
      </c>
      <c r="L139" s="64">
        <f>VLOOKUP($B139,'7. PGE_Efficacité'!$A$6:$CY$266,(MATCH('[3]4.4 ACE MAX SEN '!L$4,'7. PGE_Efficacité'!$A$4:$AO$4,0)),0)</f>
        <v>0</v>
      </c>
      <c r="M139" s="64">
        <f>VLOOKUP($B139,'7. PGE_Efficacité'!$A$6:$CY$266,(MATCH('[3]4.4 ACE MAX SEN '!M$4,'7. PGE_Efficacité'!$A$4:$AO$4,0)),0)</f>
        <v>0</v>
      </c>
      <c r="N139" s="64">
        <f>VLOOKUP($B139,'7. PGE_Efficacité'!$A$6:$CY$266,(MATCH('[3]4.4 ACE MAX SEN '!N$4,'7. PGE_Efficacité'!$A$4:$AO$4,0)),0)</f>
        <v>0</v>
      </c>
      <c r="O139" s="64">
        <f>VLOOKUP($B139,'7. PGE_Efficacité'!$A$6:$CY$266,(MATCH('[3]4.4 ACE MAX SEN '!O$4,'7. PGE_Efficacité'!$A$4:$AO$4,0)),0)</f>
        <v>0</v>
      </c>
      <c r="P139" s="64">
        <f>VLOOKUP($B139,'7. PGE_Efficacité'!$A$6:$CY$266,(MATCH('[3]4.4 ACE MAX SEN '!P$4,'7. PGE_Efficacité'!$A$4:$AO$4,0)),0)</f>
        <v>0</v>
      </c>
      <c r="Q139" s="64">
        <f>VLOOKUP($B139,'7. PGE_Efficacité'!$A$6:$CY$266,(MATCH('[3]4.4 ACE MAX SEN '!Q$4,'7. PGE_Efficacité'!$A$4:$AO$4,0)),0)</f>
        <v>0</v>
      </c>
      <c r="R139" s="64">
        <f>VLOOKUP($B139,'7. PGE_Efficacité'!$A$6:$CY$266,(MATCH('[3]4.4 ACE MAX SEN '!R$4,'7. PGE_Efficacité'!$A$4:$AO$4,0)),0)</f>
        <v>0</v>
      </c>
      <c r="S139" s="64">
        <f>VLOOKUP($B139,'7. PGE_Efficacité'!$A$6:$CY$266,(MATCH('[3]4.4 ACE MAX SEN '!S$4,'7. PGE_Efficacité'!$A$4:$AO$4,0)),0)</f>
        <v>0</v>
      </c>
      <c r="T139" s="64">
        <f>VLOOKUP($B139,'7. PGE_Efficacité'!$A$6:$CY$266,(MATCH('[3]4.4 ACE MAX SEN '!T$4,'7. PGE_Efficacité'!$A$4:$AO$4,0)),0)</f>
        <v>0</v>
      </c>
      <c r="U139" s="64">
        <f>VLOOKUP($B139,'7. PGE_Efficacité'!$A$6:$CY$266,(MATCH('[3]4.4 ACE MAX SEN '!U$4,'7. PGE_Efficacité'!$A$4:$AO$4,0)),0)</f>
        <v>0</v>
      </c>
      <c r="V139" s="64">
        <f>VLOOKUP($B139,'7. PGE_Efficacité'!$A$6:$CY$266,(MATCH('[3]4.4 ACE MAX SEN '!V$4,'7. PGE_Efficacité'!$A$4:$AO$4,0)),0)</f>
        <v>0</v>
      </c>
      <c r="W139" s="61">
        <f>VLOOKUP($B139,'7. PGE_Efficacité'!$A$6:$CY$266,(MATCH('[3]4.4 ACE MAX SEN '!W$4,'7. PGE_Efficacité'!$A$4:$AO$4,0)),0)</f>
        <v>0</v>
      </c>
      <c r="X139" s="61">
        <f>VLOOKUP($B139,'7. PGE_Efficacité'!$A$6:$CY$266,(MATCH('[3]4.4 ACE MAX SEN '!X$4,'7. PGE_Efficacité'!$A$4:$AO$4,0)),0)</f>
        <v>0</v>
      </c>
      <c r="Y139" s="61">
        <f>VLOOKUP($B139,'7. PGE_Efficacité'!$A$6:$CY$266,(MATCH('[3]4.4 ACE MAX SEN '!Y$4,'7. PGE_Efficacité'!$A$4:$AO$4,0)),0)</f>
        <v>0</v>
      </c>
      <c r="Z139" s="61">
        <f>VLOOKUP($B139,'7. PGE_Efficacité'!$A$6:$CY$266,(MATCH('[3]4.4 ACE MAX SEN '!Z$4,'7. PGE_Efficacité'!$A$4:$AO$4,0)),0)</f>
        <v>0</v>
      </c>
      <c r="AA139" s="61">
        <f>VLOOKUP($B139,'7. PGE_Efficacité'!$A$6:$CY$266,(MATCH('[3]4.4 ACE MAX SEN '!AA$4,'7. PGE_Efficacité'!$A$4:$AO$4,0)),0)</f>
        <v>0</v>
      </c>
      <c r="AB139" s="61">
        <f>VLOOKUP($B139,'7. PGE_Efficacité'!$A$6:$CY$266,(MATCH('[3]4.4 ACE MAX SEN '!AB$4,'7. PGE_Efficacité'!$A$4:$AO$4,0)),0)</f>
        <v>0</v>
      </c>
      <c r="AC139" s="61">
        <f>VLOOKUP($B139,'7. PGE_Efficacité'!$A$6:$CY$266,(MATCH('[3]4.4 ACE MAX SEN '!AC$4,'7. PGE_Efficacité'!$A$4:$AO$4,0)),0)</f>
        <v>0</v>
      </c>
      <c r="AD139" s="61">
        <f>VLOOKUP($B139,'7. PGE_Efficacité'!$A$6:$CY$266,(MATCH('[3]4.4 ACE MAX SEN '!AD$4,'7. PGE_Efficacité'!$A$4:$AO$4,0)),0)</f>
        <v>0</v>
      </c>
      <c r="AE139" s="61">
        <f>VLOOKUP($B139,'7. PGE_Efficacité'!$A$6:$CY$266,(MATCH('[3]4.4 ACE MAX SEN '!AE$4,'7. PGE_Efficacité'!$A$4:$AO$4,0)),0)</f>
        <v>0</v>
      </c>
      <c r="AF139" s="61">
        <f>VLOOKUP($B139,'7. PGE_Efficacité'!$A$6:$CY$266,(MATCH('[3]4.4 ACE MAX SEN '!AF$4,'7. PGE_Efficacité'!$A$4:$AO$4,0)),0)</f>
        <v>0</v>
      </c>
      <c r="AG139" s="61">
        <f>VLOOKUP($B139,'7. PGE_Efficacité'!$A$6:$CY$266,(MATCH('[3]4.4 ACE MAX SEN '!AG$4,'7. PGE_Efficacité'!$A$4:$AO$4,0)),0)</f>
        <v>0</v>
      </c>
      <c r="AH139" s="61">
        <f>VLOOKUP($B139,'7. PGE_Efficacité'!$A$6:$CY$266,(MATCH('[3]4.4 ACE MAX SEN '!AH$4,'7. PGE_Efficacité'!$A$4:$AO$4,0)),0)</f>
        <v>0</v>
      </c>
      <c r="AI139" s="61">
        <f>VLOOKUP($B139,'7. PGE_Efficacité'!$A$6:$CY$266,(MATCH('[3]4.4 ACE MAX SEN '!AI$4,'7. PGE_Efficacité'!$A$4:$AO$4,0)),0)</f>
        <v>0</v>
      </c>
      <c r="AJ139" s="61">
        <f>VLOOKUP($B139,'7. PGE_Efficacité'!$A$6:$CY$266,(MATCH('[3]4.4 ACE MAX SEN '!AJ$4,'7. PGE_Efficacité'!$A$4:$AO$4,0)),0)</f>
        <v>0</v>
      </c>
      <c r="AK139" s="61">
        <f>VLOOKUP($B139,'7. PGE_Efficacité'!$A$6:$CY$266,(MATCH('[3]4.4 ACE MAX SEN '!AK$4,'7. PGE_Efficacité'!$A$4:$AO$4,0)),0)</f>
        <v>0</v>
      </c>
    </row>
    <row r="140" spans="1:37" ht="26.25" outlineLevel="1" collapsed="1" x14ac:dyDescent="0.25">
      <c r="A140" s="157" t="s">
        <v>22</v>
      </c>
      <c r="B140" s="63"/>
      <c r="C140" s="156" t="s">
        <v>220</v>
      </c>
      <c r="D140" s="63"/>
      <c r="E140" s="63"/>
      <c r="F140" s="72">
        <f>MEDIAN(VLOOKUP(A140,'4. Mesures_ACE_Budget'!$A$3:$J$31,9,0),VLOOKUP(A140,'4. Mesures_ACE_Budget'!$A$3:$J$31,10,0))</f>
        <v>0</v>
      </c>
      <c r="G140" s="180">
        <f>VLOOKUP($A140,'7. PGE_Efficacité'!$A$6:$CY$266,(MATCH('[2]4.4 ACE MAX SEN '!G$4,'7. PGE_Efficacité'!$A$4:$AO$4,0)),0)</f>
        <v>0</v>
      </c>
      <c r="H140" s="180">
        <f>VLOOKUP($A140,'7. PGE_Efficacité'!$A$6:$CY$266,(MATCH('[2]4.4 ACE MAX SEN '!H$4,'7. PGE_Efficacité'!$A$4:$AO$4,0)),0)</f>
        <v>0</v>
      </c>
      <c r="I140" s="180">
        <f>VLOOKUP($A140,'7. PGE_Efficacité'!$A$6:$CY$266,(MATCH('[2]4.4 ACE MAX SEN '!I$4,'7. PGE_Efficacité'!$A$4:$AO$4,0)),0)</f>
        <v>0</v>
      </c>
      <c r="J140" s="180">
        <f>VLOOKUP($A140,'7. PGE_Efficacité'!$A$6:$CY$266,(MATCH('[2]4.4 ACE MAX SEN '!J$4,'7. PGE_Efficacité'!$A$4:$AO$4,0)),0)</f>
        <v>0</v>
      </c>
      <c r="K140" s="180">
        <f>VLOOKUP($A140,'7. PGE_Efficacité'!$A$6:$CY$266,(MATCH('[2]4.4 ACE MAX SEN '!K$4,'7. PGE_Efficacité'!$A$4:$AO$4,0)),0)</f>
        <v>0</v>
      </c>
      <c r="L140" s="180">
        <f>VLOOKUP($A140,'7. PGE_Efficacité'!$A$6:$CY$266,(MATCH('[2]4.4 ACE MAX SEN '!L$4,'7. PGE_Efficacité'!$A$4:$AO$4,0)),0)</f>
        <v>0</v>
      </c>
      <c r="M140" s="180">
        <f>VLOOKUP($A140,'7. PGE_Efficacité'!$A$6:$CY$266,(MATCH('[2]4.4 ACE MAX SEN '!M$4,'7. PGE_Efficacité'!$A$4:$AO$4,0)),0)</f>
        <v>0</v>
      </c>
      <c r="N140" s="180">
        <f>VLOOKUP($A140,'7. PGE_Efficacité'!$A$6:$CY$266,(MATCH('[2]4.4 ACE MAX SEN '!N$4,'7. PGE_Efficacité'!$A$4:$AO$4,0)),0)</f>
        <v>0</v>
      </c>
      <c r="O140" s="180">
        <f>VLOOKUP($A140,'7. PGE_Efficacité'!$A$6:$CY$266,(MATCH('[2]4.4 ACE MAX SEN '!O$4,'7. PGE_Efficacité'!$A$4:$AO$4,0)),0)</f>
        <v>0</v>
      </c>
      <c r="P140" s="180">
        <f>VLOOKUP($A140,'7. PGE_Efficacité'!$A$6:$CY$266,(MATCH('[2]4.4 ACE MAX SEN '!P$4,'7. PGE_Efficacité'!$A$4:$AO$4,0)),0)</f>
        <v>0</v>
      </c>
      <c r="Q140" s="180">
        <f>VLOOKUP($A140,'7. PGE_Efficacité'!$A$6:$CY$266,(MATCH('[2]4.4 ACE MAX SEN '!Q$4,'7. PGE_Efficacité'!$A$4:$AO$4,0)),0)</f>
        <v>0</v>
      </c>
      <c r="R140" s="180">
        <f>VLOOKUP($A140,'7. PGE_Efficacité'!$A$6:$CY$266,(MATCH('[2]4.4 ACE MAX SEN '!R$4,'7. PGE_Efficacité'!$A$4:$AO$4,0)),0)</f>
        <v>0</v>
      </c>
      <c r="S140" s="180">
        <f>VLOOKUP($A140,'7. PGE_Efficacité'!$A$6:$CY$266,(MATCH('[2]4.4 ACE MAX SEN '!S$4,'7. PGE_Efficacité'!$A$4:$AO$4,0)),0)</f>
        <v>0</v>
      </c>
      <c r="T140" s="180">
        <f>VLOOKUP($A140,'7. PGE_Efficacité'!$A$6:$CY$266,(MATCH('[2]4.4 ACE MAX SEN '!T$4,'7. PGE_Efficacité'!$A$4:$AO$4,0)),0)</f>
        <v>0</v>
      </c>
      <c r="U140" s="180">
        <f>VLOOKUP($A140,'7. PGE_Efficacité'!$A$6:$CY$266,(MATCH('[2]4.4 ACE MAX SEN '!U$4,'7. PGE_Efficacité'!$A$4:$AO$4,0)),0)</f>
        <v>0</v>
      </c>
      <c r="V140" s="180">
        <f>VLOOKUP($A140,'7. PGE_Efficacité'!$A$6:$CY$266,(MATCH('[2]4.4 ACE MAX SEN '!V$4,'7. PGE_Efficacité'!$A$4:$AO$4,0)),0)</f>
        <v>0</v>
      </c>
      <c r="W140" s="181">
        <f>VLOOKUP($A140,'7. PGE_Efficacité'!$A$6:$CY$266,(MATCH('[2]4.4 ACE MAX SEN '!W$4,'7. PGE_Efficacité'!$A$4:$AO$4,0)),0)</f>
        <v>0</v>
      </c>
      <c r="X140" s="181">
        <f>VLOOKUP($A140,'7. PGE_Efficacité'!$A$6:$CY$266,(MATCH('[2]4.4 ACE MAX SEN '!X$4,'7. PGE_Efficacité'!$A$4:$AO$4,0)),0)</f>
        <v>0</v>
      </c>
      <c r="Y140" s="181">
        <f>VLOOKUP($A140,'7. PGE_Efficacité'!$A$6:$CY$266,(MATCH('[2]4.4 ACE MAX SEN '!Y$4,'7. PGE_Efficacité'!$A$4:$AO$4,0)),0)</f>
        <v>0</v>
      </c>
      <c r="Z140" s="181">
        <f>VLOOKUP($A140,'7. PGE_Efficacité'!$A$6:$CY$266,(MATCH('[2]4.4 ACE MAX SEN '!Z$4,'7. PGE_Efficacité'!$A$4:$AO$4,0)),0)</f>
        <v>0</v>
      </c>
      <c r="AA140" s="181">
        <f>VLOOKUP($A140,'7. PGE_Efficacité'!$A$6:$CY$266,(MATCH('[2]4.4 ACE MAX SEN '!AA$4,'7. PGE_Efficacité'!$A$4:$AO$4,0)),0)</f>
        <v>0</v>
      </c>
      <c r="AB140" s="181">
        <f>VLOOKUP($A140,'7. PGE_Efficacité'!$A$6:$CY$266,(MATCH('[2]4.4 ACE MAX SEN '!AB$4,'7. PGE_Efficacité'!$A$4:$AO$4,0)),0)</f>
        <v>0</v>
      </c>
      <c r="AC140" s="181">
        <f>VLOOKUP($A140,'7. PGE_Efficacité'!$A$6:$CY$266,(MATCH('[2]4.4 ACE MAX SEN '!AC$4,'7. PGE_Efficacité'!$A$4:$AO$4,0)),0)</f>
        <v>0</v>
      </c>
      <c r="AD140" s="181">
        <f>VLOOKUP($A140,'7. PGE_Efficacité'!$A$6:$CY$266,(MATCH('[2]4.4 ACE MAX SEN '!AD$4,'7. PGE_Efficacité'!$A$4:$AO$4,0)),0)</f>
        <v>0</v>
      </c>
      <c r="AE140" s="181">
        <f>VLOOKUP($A140,'7. PGE_Efficacité'!$A$6:$CY$266,(MATCH('[2]4.4 ACE MAX SEN '!AE$4,'7. PGE_Efficacité'!$A$4:$AO$4,0)),0)</f>
        <v>0</v>
      </c>
      <c r="AF140" s="181">
        <f>VLOOKUP($A140,'7. PGE_Efficacité'!$A$6:$CY$266,(MATCH('[2]4.4 ACE MAX SEN '!AF$4,'7. PGE_Efficacité'!$A$4:$AO$4,0)),0)</f>
        <v>0</v>
      </c>
      <c r="AG140" s="181">
        <f>VLOOKUP($A140,'7. PGE_Efficacité'!$A$6:$CY$266,(MATCH('[2]4.4 ACE MAX SEN '!AG$4,'7. PGE_Efficacité'!$A$4:$AO$4,0)),0)</f>
        <v>0</v>
      </c>
      <c r="AH140" s="181">
        <f>VLOOKUP($A140,'7. PGE_Efficacité'!$A$6:$CY$266,(MATCH('[2]4.4 ACE MAX SEN '!AH$4,'7. PGE_Efficacité'!$A$4:$AO$4,0)),0)</f>
        <v>0</v>
      </c>
      <c r="AI140" s="181">
        <f>VLOOKUP($A140,'7. PGE_Efficacité'!$A$6:$CY$266,(MATCH('[2]4.4 ACE MAX SEN '!AI$4,'7. PGE_Efficacité'!$A$4:$AO$4,0)),0)</f>
        <v>0</v>
      </c>
      <c r="AJ140" s="181">
        <f>VLOOKUP($A140,'7. PGE_Efficacité'!$A$6:$CY$266,(MATCH('[2]4.4 ACE MAX SEN '!AJ$4,'7. PGE_Efficacité'!$A$4:$AO$4,0)),0)</f>
        <v>0</v>
      </c>
      <c r="AK140" s="181">
        <f>VLOOKUP($A140,'7. PGE_Efficacité'!$A$6:$CY$266,(MATCH('[2]4.4 ACE MAX SEN '!AK$4,'7. PGE_Efficacité'!$A$4:$AO$4,0)),0)</f>
        <v>0</v>
      </c>
    </row>
    <row r="141" spans="1:37" hidden="1" outlineLevel="2" x14ac:dyDescent="0.25">
      <c r="A141" s="65" t="s">
        <v>22</v>
      </c>
      <c r="B141" s="65" t="s">
        <v>738</v>
      </c>
      <c r="C141" s="65" t="s">
        <v>1396</v>
      </c>
      <c r="D141" s="65" t="s">
        <v>1521</v>
      </c>
      <c r="E141" s="65" t="s">
        <v>1290</v>
      </c>
      <c r="F141" s="77"/>
      <c r="G141" s="64">
        <f>VLOOKUP($B141,'7. PGE_Efficacité'!$A$6:$CY$266,(MATCH('[3]4.4 ACE MAX SEN '!G$4,'7. PGE_Efficacité'!$A$4:$AO$4,0)),0)</f>
        <v>0</v>
      </c>
      <c r="H141" s="64">
        <f>VLOOKUP($B141,'7. PGE_Efficacité'!$A$6:$CY$266,(MATCH('[3]4.4 ACE MAX SEN '!H$4,'7. PGE_Efficacité'!$A$4:$AO$4,0)),0)</f>
        <v>0</v>
      </c>
      <c r="I141" s="64">
        <f>VLOOKUP($B141,'7. PGE_Efficacité'!$A$6:$CY$266,(MATCH('[3]4.4 ACE MAX SEN '!I$4,'7. PGE_Efficacité'!$A$4:$AO$4,0)),0)</f>
        <v>0</v>
      </c>
      <c r="J141" s="64">
        <f>VLOOKUP($B141,'7. PGE_Efficacité'!$A$6:$CY$266,(MATCH('[3]4.4 ACE MAX SEN '!J$4,'7. PGE_Efficacité'!$A$4:$AO$4,0)),0)</f>
        <v>0</v>
      </c>
      <c r="K141" s="64">
        <f>VLOOKUP($B141,'7. PGE_Efficacité'!$A$6:$CY$266,(MATCH('[3]4.4 ACE MAX SEN '!K$4,'7. PGE_Efficacité'!$A$4:$AO$4,0)),0)</f>
        <v>0</v>
      </c>
      <c r="L141" s="64">
        <f>VLOOKUP($B141,'7. PGE_Efficacité'!$A$6:$CY$266,(MATCH('[3]4.4 ACE MAX SEN '!L$4,'7. PGE_Efficacité'!$A$4:$AO$4,0)),0)</f>
        <v>0</v>
      </c>
      <c r="M141" s="64">
        <f>VLOOKUP($B141,'7. PGE_Efficacité'!$A$6:$CY$266,(MATCH('[3]4.4 ACE MAX SEN '!M$4,'7. PGE_Efficacité'!$A$4:$AO$4,0)),0)</f>
        <v>0</v>
      </c>
      <c r="N141" s="64">
        <f>VLOOKUP($B141,'7. PGE_Efficacité'!$A$6:$CY$266,(MATCH('[3]4.4 ACE MAX SEN '!N$4,'7. PGE_Efficacité'!$A$4:$AO$4,0)),0)</f>
        <v>0</v>
      </c>
      <c r="O141" s="64">
        <f>VLOOKUP($B141,'7. PGE_Efficacité'!$A$6:$CY$266,(MATCH('[3]4.4 ACE MAX SEN '!O$4,'7. PGE_Efficacité'!$A$4:$AO$4,0)),0)</f>
        <v>0</v>
      </c>
      <c r="P141" s="64">
        <f>VLOOKUP($B141,'7. PGE_Efficacité'!$A$6:$CY$266,(MATCH('[3]4.4 ACE MAX SEN '!P$4,'7. PGE_Efficacité'!$A$4:$AO$4,0)),0)</f>
        <v>0</v>
      </c>
      <c r="Q141" s="64">
        <f>VLOOKUP($B141,'7. PGE_Efficacité'!$A$6:$CY$266,(MATCH('[3]4.4 ACE MAX SEN '!Q$4,'7. PGE_Efficacité'!$A$4:$AO$4,0)),0)</f>
        <v>0</v>
      </c>
      <c r="R141" s="64">
        <f>VLOOKUP($B141,'7. PGE_Efficacité'!$A$6:$CY$266,(MATCH('[3]4.4 ACE MAX SEN '!R$4,'7. PGE_Efficacité'!$A$4:$AO$4,0)),0)</f>
        <v>0</v>
      </c>
      <c r="S141" s="64">
        <f>VLOOKUP($B141,'7. PGE_Efficacité'!$A$6:$CY$266,(MATCH('[3]4.4 ACE MAX SEN '!S$4,'7. PGE_Efficacité'!$A$4:$AO$4,0)),0)</f>
        <v>0</v>
      </c>
      <c r="T141" s="64">
        <f>VLOOKUP($B141,'7. PGE_Efficacité'!$A$6:$CY$266,(MATCH('[3]4.4 ACE MAX SEN '!T$4,'7. PGE_Efficacité'!$A$4:$AO$4,0)),0)</f>
        <v>0</v>
      </c>
      <c r="U141" s="64">
        <f>VLOOKUP($B141,'7. PGE_Efficacité'!$A$6:$CY$266,(MATCH('[3]4.4 ACE MAX SEN '!U$4,'7. PGE_Efficacité'!$A$4:$AO$4,0)),0)</f>
        <v>0</v>
      </c>
      <c r="V141" s="64">
        <f>VLOOKUP($B141,'7. PGE_Efficacité'!$A$6:$CY$266,(MATCH('[3]4.4 ACE MAX SEN '!V$4,'7. PGE_Efficacité'!$A$4:$AO$4,0)),0)</f>
        <v>0</v>
      </c>
      <c r="W141" s="61">
        <f>VLOOKUP($B141,'7. PGE_Efficacité'!$A$6:$CY$266,(MATCH('[3]4.4 ACE MAX SEN '!W$4,'7. PGE_Efficacité'!$A$4:$AO$4,0)),0)</f>
        <v>0</v>
      </c>
      <c r="X141" s="61">
        <f>VLOOKUP($B141,'7. PGE_Efficacité'!$A$6:$CY$266,(MATCH('[3]4.4 ACE MAX SEN '!X$4,'7. PGE_Efficacité'!$A$4:$AO$4,0)),0)</f>
        <v>0</v>
      </c>
      <c r="Y141" s="61">
        <f>VLOOKUP($B141,'7. PGE_Efficacité'!$A$6:$CY$266,(MATCH('[3]4.4 ACE MAX SEN '!Y$4,'7. PGE_Efficacité'!$A$4:$AO$4,0)),0)</f>
        <v>0</v>
      </c>
      <c r="Z141" s="61">
        <f>VLOOKUP($B141,'7. PGE_Efficacité'!$A$6:$CY$266,(MATCH('[3]4.4 ACE MAX SEN '!Z$4,'7. PGE_Efficacité'!$A$4:$AO$4,0)),0)</f>
        <v>0</v>
      </c>
      <c r="AA141" s="61">
        <f>VLOOKUP($B141,'7. PGE_Efficacité'!$A$6:$CY$266,(MATCH('[3]4.4 ACE MAX SEN '!AA$4,'7. PGE_Efficacité'!$A$4:$AO$4,0)),0)</f>
        <v>0</v>
      </c>
      <c r="AB141" s="61">
        <f>VLOOKUP($B141,'7. PGE_Efficacité'!$A$6:$CY$266,(MATCH('[3]4.4 ACE MAX SEN '!AB$4,'7. PGE_Efficacité'!$A$4:$AO$4,0)),0)</f>
        <v>0</v>
      </c>
      <c r="AC141" s="61">
        <f>VLOOKUP($B141,'7. PGE_Efficacité'!$A$6:$CY$266,(MATCH('[3]4.4 ACE MAX SEN '!AC$4,'7. PGE_Efficacité'!$A$4:$AO$4,0)),0)</f>
        <v>0</v>
      </c>
      <c r="AD141" s="61">
        <f>VLOOKUP($B141,'7. PGE_Efficacité'!$A$6:$CY$266,(MATCH('[3]4.4 ACE MAX SEN '!AD$4,'7. PGE_Efficacité'!$A$4:$AO$4,0)),0)</f>
        <v>0</v>
      </c>
      <c r="AE141" s="61">
        <f>VLOOKUP($B141,'7. PGE_Efficacité'!$A$6:$CY$266,(MATCH('[3]4.4 ACE MAX SEN '!AE$4,'7. PGE_Efficacité'!$A$4:$AO$4,0)),0)</f>
        <v>0</v>
      </c>
      <c r="AF141" s="61">
        <f>VLOOKUP($B141,'7. PGE_Efficacité'!$A$6:$CY$266,(MATCH('[3]4.4 ACE MAX SEN '!AF$4,'7. PGE_Efficacité'!$A$4:$AO$4,0)),0)</f>
        <v>0</v>
      </c>
      <c r="AG141" s="61">
        <f>VLOOKUP($B141,'7. PGE_Efficacité'!$A$6:$CY$266,(MATCH('[3]4.4 ACE MAX SEN '!AG$4,'7. PGE_Efficacité'!$A$4:$AO$4,0)),0)</f>
        <v>0</v>
      </c>
      <c r="AH141" s="61">
        <f>VLOOKUP($B141,'7. PGE_Efficacité'!$A$6:$CY$266,(MATCH('[3]4.4 ACE MAX SEN '!AH$4,'7. PGE_Efficacité'!$A$4:$AO$4,0)),0)</f>
        <v>0</v>
      </c>
      <c r="AI141" s="61">
        <f>VLOOKUP($B141,'7. PGE_Efficacité'!$A$6:$CY$266,(MATCH('[3]4.4 ACE MAX SEN '!AI$4,'7. PGE_Efficacité'!$A$4:$AO$4,0)),0)</f>
        <v>0</v>
      </c>
      <c r="AJ141" s="61">
        <f>VLOOKUP($B141,'7. PGE_Efficacité'!$A$6:$CY$266,(MATCH('[3]4.4 ACE MAX SEN '!AJ$4,'7. PGE_Efficacité'!$A$4:$AO$4,0)),0)</f>
        <v>0</v>
      </c>
      <c r="AK141" s="61">
        <f>VLOOKUP($B141,'7. PGE_Efficacité'!$A$6:$CY$266,(MATCH('[3]4.4 ACE MAX SEN '!AK$4,'7. PGE_Efficacité'!$A$4:$AO$4,0)),0)</f>
        <v>0</v>
      </c>
    </row>
    <row r="142" spans="1:37" hidden="1" outlineLevel="2" x14ac:dyDescent="0.25">
      <c r="A142" s="65" t="s">
        <v>22</v>
      </c>
      <c r="B142" s="65" t="s">
        <v>742</v>
      </c>
      <c r="C142" s="65" t="s">
        <v>1399</v>
      </c>
      <c r="D142" s="65" t="s">
        <v>1521</v>
      </c>
      <c r="E142" s="65" t="s">
        <v>1290</v>
      </c>
      <c r="F142" s="77"/>
      <c r="G142" s="64">
        <f>VLOOKUP($B142,'7. PGE_Efficacité'!$A$6:$CY$266,(MATCH('[3]4.4 ACE MAX SEN '!G$4,'7. PGE_Efficacité'!$A$4:$AO$4,0)),0)</f>
        <v>0</v>
      </c>
      <c r="H142" s="64">
        <f>VLOOKUP($B142,'7. PGE_Efficacité'!$A$6:$CY$266,(MATCH('[3]4.4 ACE MAX SEN '!H$4,'7. PGE_Efficacité'!$A$4:$AO$4,0)),0)</f>
        <v>0</v>
      </c>
      <c r="I142" s="64">
        <f>VLOOKUP($B142,'7. PGE_Efficacité'!$A$6:$CY$266,(MATCH('[3]4.4 ACE MAX SEN '!I$4,'7. PGE_Efficacité'!$A$4:$AO$4,0)),0)</f>
        <v>0</v>
      </c>
      <c r="J142" s="64">
        <f>VLOOKUP($B142,'7. PGE_Efficacité'!$A$6:$CY$266,(MATCH('[3]4.4 ACE MAX SEN '!J$4,'7. PGE_Efficacité'!$A$4:$AO$4,0)),0)</f>
        <v>0</v>
      </c>
      <c r="K142" s="64">
        <f>VLOOKUP($B142,'7. PGE_Efficacité'!$A$6:$CY$266,(MATCH('[3]4.4 ACE MAX SEN '!K$4,'7. PGE_Efficacité'!$A$4:$AO$4,0)),0)</f>
        <v>0</v>
      </c>
      <c r="L142" s="64">
        <f>VLOOKUP($B142,'7. PGE_Efficacité'!$A$6:$CY$266,(MATCH('[3]4.4 ACE MAX SEN '!L$4,'7. PGE_Efficacité'!$A$4:$AO$4,0)),0)</f>
        <v>0</v>
      </c>
      <c r="M142" s="64">
        <f>VLOOKUP($B142,'7. PGE_Efficacité'!$A$6:$CY$266,(MATCH('[3]4.4 ACE MAX SEN '!M$4,'7. PGE_Efficacité'!$A$4:$AO$4,0)),0)</f>
        <v>0</v>
      </c>
      <c r="N142" s="64">
        <f>VLOOKUP($B142,'7. PGE_Efficacité'!$A$6:$CY$266,(MATCH('[3]4.4 ACE MAX SEN '!N$4,'7. PGE_Efficacité'!$A$4:$AO$4,0)),0)</f>
        <v>0</v>
      </c>
      <c r="O142" s="64">
        <f>VLOOKUP($B142,'7. PGE_Efficacité'!$A$6:$CY$266,(MATCH('[3]4.4 ACE MAX SEN '!O$4,'7. PGE_Efficacité'!$A$4:$AO$4,0)),0)</f>
        <v>0</v>
      </c>
      <c r="P142" s="64">
        <f>VLOOKUP($B142,'7. PGE_Efficacité'!$A$6:$CY$266,(MATCH('[3]4.4 ACE MAX SEN '!P$4,'7. PGE_Efficacité'!$A$4:$AO$4,0)),0)</f>
        <v>0</v>
      </c>
      <c r="Q142" s="64">
        <f>VLOOKUP($B142,'7. PGE_Efficacité'!$A$6:$CY$266,(MATCH('[3]4.4 ACE MAX SEN '!Q$4,'7. PGE_Efficacité'!$A$4:$AO$4,0)),0)</f>
        <v>0</v>
      </c>
      <c r="R142" s="64">
        <f>VLOOKUP($B142,'7. PGE_Efficacité'!$A$6:$CY$266,(MATCH('[3]4.4 ACE MAX SEN '!R$4,'7. PGE_Efficacité'!$A$4:$AO$4,0)),0)</f>
        <v>0</v>
      </c>
      <c r="S142" s="64">
        <f>VLOOKUP($B142,'7. PGE_Efficacité'!$A$6:$CY$266,(MATCH('[3]4.4 ACE MAX SEN '!S$4,'7. PGE_Efficacité'!$A$4:$AO$4,0)),0)</f>
        <v>0</v>
      </c>
      <c r="T142" s="64">
        <f>VLOOKUP($B142,'7. PGE_Efficacité'!$A$6:$CY$266,(MATCH('[3]4.4 ACE MAX SEN '!T$4,'7. PGE_Efficacité'!$A$4:$AO$4,0)),0)</f>
        <v>0</v>
      </c>
      <c r="U142" s="64">
        <f>VLOOKUP($B142,'7. PGE_Efficacité'!$A$6:$CY$266,(MATCH('[3]4.4 ACE MAX SEN '!U$4,'7. PGE_Efficacité'!$A$4:$AO$4,0)),0)</f>
        <v>0</v>
      </c>
      <c r="V142" s="64">
        <f>VLOOKUP($B142,'7. PGE_Efficacité'!$A$6:$CY$266,(MATCH('[3]4.4 ACE MAX SEN '!V$4,'7. PGE_Efficacité'!$A$4:$AO$4,0)),0)</f>
        <v>0</v>
      </c>
      <c r="W142" s="61">
        <f>VLOOKUP($B142,'7. PGE_Efficacité'!$A$6:$CY$266,(MATCH('[3]4.4 ACE MAX SEN '!W$4,'7. PGE_Efficacité'!$A$4:$AO$4,0)),0)</f>
        <v>0</v>
      </c>
      <c r="X142" s="61">
        <f>VLOOKUP($B142,'7. PGE_Efficacité'!$A$6:$CY$266,(MATCH('[3]4.4 ACE MAX SEN '!X$4,'7. PGE_Efficacité'!$A$4:$AO$4,0)),0)</f>
        <v>0</v>
      </c>
      <c r="Y142" s="61">
        <f>VLOOKUP($B142,'7. PGE_Efficacité'!$A$6:$CY$266,(MATCH('[3]4.4 ACE MAX SEN '!Y$4,'7. PGE_Efficacité'!$A$4:$AO$4,0)),0)</f>
        <v>0</v>
      </c>
      <c r="Z142" s="61">
        <f>VLOOKUP($B142,'7. PGE_Efficacité'!$A$6:$CY$266,(MATCH('[3]4.4 ACE MAX SEN '!Z$4,'7. PGE_Efficacité'!$A$4:$AO$4,0)),0)</f>
        <v>0</v>
      </c>
      <c r="AA142" s="61">
        <f>VLOOKUP($B142,'7. PGE_Efficacité'!$A$6:$CY$266,(MATCH('[3]4.4 ACE MAX SEN '!AA$4,'7. PGE_Efficacité'!$A$4:$AO$4,0)),0)</f>
        <v>0</v>
      </c>
      <c r="AB142" s="61">
        <f>VLOOKUP($B142,'7. PGE_Efficacité'!$A$6:$CY$266,(MATCH('[3]4.4 ACE MAX SEN '!AB$4,'7. PGE_Efficacité'!$A$4:$AO$4,0)),0)</f>
        <v>0</v>
      </c>
      <c r="AC142" s="61">
        <f>VLOOKUP($B142,'7. PGE_Efficacité'!$A$6:$CY$266,(MATCH('[3]4.4 ACE MAX SEN '!AC$4,'7. PGE_Efficacité'!$A$4:$AO$4,0)),0)</f>
        <v>0</v>
      </c>
      <c r="AD142" s="61">
        <f>VLOOKUP($B142,'7. PGE_Efficacité'!$A$6:$CY$266,(MATCH('[3]4.4 ACE MAX SEN '!AD$4,'7. PGE_Efficacité'!$A$4:$AO$4,0)),0)</f>
        <v>0</v>
      </c>
      <c r="AE142" s="61">
        <f>VLOOKUP($B142,'7. PGE_Efficacité'!$A$6:$CY$266,(MATCH('[3]4.4 ACE MAX SEN '!AE$4,'7. PGE_Efficacité'!$A$4:$AO$4,0)),0)</f>
        <v>0</v>
      </c>
      <c r="AF142" s="61">
        <f>VLOOKUP($B142,'7. PGE_Efficacité'!$A$6:$CY$266,(MATCH('[3]4.4 ACE MAX SEN '!AF$4,'7. PGE_Efficacité'!$A$4:$AO$4,0)),0)</f>
        <v>0</v>
      </c>
      <c r="AG142" s="61">
        <f>VLOOKUP($B142,'7. PGE_Efficacité'!$A$6:$CY$266,(MATCH('[3]4.4 ACE MAX SEN '!AG$4,'7. PGE_Efficacité'!$A$4:$AO$4,0)),0)</f>
        <v>0</v>
      </c>
      <c r="AH142" s="61">
        <f>VLOOKUP($B142,'7. PGE_Efficacité'!$A$6:$CY$266,(MATCH('[3]4.4 ACE MAX SEN '!AH$4,'7. PGE_Efficacité'!$A$4:$AO$4,0)),0)</f>
        <v>0</v>
      </c>
      <c r="AI142" s="61">
        <f>VLOOKUP($B142,'7. PGE_Efficacité'!$A$6:$CY$266,(MATCH('[3]4.4 ACE MAX SEN '!AI$4,'7. PGE_Efficacité'!$A$4:$AO$4,0)),0)</f>
        <v>0</v>
      </c>
      <c r="AJ142" s="61">
        <f>VLOOKUP($B142,'7. PGE_Efficacité'!$A$6:$CY$266,(MATCH('[3]4.4 ACE MAX SEN '!AJ$4,'7. PGE_Efficacité'!$A$4:$AO$4,0)),0)</f>
        <v>0</v>
      </c>
      <c r="AK142" s="61">
        <f>VLOOKUP($B142,'7. PGE_Efficacité'!$A$6:$CY$266,(MATCH('[3]4.4 ACE MAX SEN '!AK$4,'7. PGE_Efficacité'!$A$4:$AO$4,0)),0)</f>
        <v>0</v>
      </c>
    </row>
    <row r="143" spans="1:37" hidden="1" outlineLevel="2" x14ac:dyDescent="0.25">
      <c r="A143" s="65" t="s">
        <v>22</v>
      </c>
      <c r="B143" s="65" t="s">
        <v>743</v>
      </c>
      <c r="C143" s="65" t="s">
        <v>1400</v>
      </c>
      <c r="D143" s="65" t="s">
        <v>1521</v>
      </c>
      <c r="E143" s="65" t="s">
        <v>1287</v>
      </c>
      <c r="F143" s="77"/>
      <c r="G143" s="64">
        <f>VLOOKUP($B143,'7. PGE_Efficacité'!$A$6:$CY$266,(MATCH('[3]4.4 ACE MAX SEN '!G$4,'7. PGE_Efficacité'!$A$4:$AO$4,0)),0)</f>
        <v>0</v>
      </c>
      <c r="H143" s="64">
        <f>VLOOKUP($B143,'7. PGE_Efficacité'!$A$6:$CY$266,(MATCH('[3]4.4 ACE MAX SEN '!H$4,'7. PGE_Efficacité'!$A$4:$AO$4,0)),0)</f>
        <v>0</v>
      </c>
      <c r="I143" s="64">
        <f>VLOOKUP($B143,'7. PGE_Efficacité'!$A$6:$CY$266,(MATCH('[3]4.4 ACE MAX SEN '!I$4,'7. PGE_Efficacité'!$A$4:$AO$4,0)),0)</f>
        <v>0</v>
      </c>
      <c r="J143" s="64">
        <f>VLOOKUP($B143,'7. PGE_Efficacité'!$A$6:$CY$266,(MATCH('[3]4.4 ACE MAX SEN '!J$4,'7. PGE_Efficacité'!$A$4:$AO$4,0)),0)</f>
        <v>0</v>
      </c>
      <c r="K143" s="64">
        <f>VLOOKUP($B143,'7. PGE_Efficacité'!$A$6:$CY$266,(MATCH('[3]4.4 ACE MAX SEN '!K$4,'7. PGE_Efficacité'!$A$4:$AO$4,0)),0)</f>
        <v>0</v>
      </c>
      <c r="L143" s="64">
        <f>VLOOKUP($B143,'7. PGE_Efficacité'!$A$6:$CY$266,(MATCH('[3]4.4 ACE MAX SEN '!L$4,'7. PGE_Efficacité'!$A$4:$AO$4,0)),0)</f>
        <v>0</v>
      </c>
      <c r="M143" s="64">
        <f>VLOOKUP($B143,'7. PGE_Efficacité'!$A$6:$CY$266,(MATCH('[3]4.4 ACE MAX SEN '!M$4,'7. PGE_Efficacité'!$A$4:$AO$4,0)),0)</f>
        <v>0</v>
      </c>
      <c r="N143" s="64">
        <f>VLOOKUP($B143,'7. PGE_Efficacité'!$A$6:$CY$266,(MATCH('[3]4.4 ACE MAX SEN '!N$4,'7. PGE_Efficacité'!$A$4:$AO$4,0)),0)</f>
        <v>0</v>
      </c>
      <c r="O143" s="64">
        <f>VLOOKUP($B143,'7. PGE_Efficacité'!$A$6:$CY$266,(MATCH('[3]4.4 ACE MAX SEN '!O$4,'7. PGE_Efficacité'!$A$4:$AO$4,0)),0)</f>
        <v>0</v>
      </c>
      <c r="P143" s="64">
        <f>VLOOKUP($B143,'7. PGE_Efficacité'!$A$6:$CY$266,(MATCH('[3]4.4 ACE MAX SEN '!P$4,'7. PGE_Efficacité'!$A$4:$AO$4,0)),0)</f>
        <v>0</v>
      </c>
      <c r="Q143" s="64">
        <f>VLOOKUP($B143,'7. PGE_Efficacité'!$A$6:$CY$266,(MATCH('[3]4.4 ACE MAX SEN '!Q$4,'7. PGE_Efficacité'!$A$4:$AO$4,0)),0)</f>
        <v>0</v>
      </c>
      <c r="R143" s="64">
        <f>VLOOKUP($B143,'7. PGE_Efficacité'!$A$6:$CY$266,(MATCH('[3]4.4 ACE MAX SEN '!R$4,'7. PGE_Efficacité'!$A$4:$AO$4,0)),0)</f>
        <v>0</v>
      </c>
      <c r="S143" s="64">
        <f>VLOOKUP($B143,'7. PGE_Efficacité'!$A$6:$CY$266,(MATCH('[3]4.4 ACE MAX SEN '!S$4,'7. PGE_Efficacité'!$A$4:$AO$4,0)),0)</f>
        <v>0</v>
      </c>
      <c r="T143" s="64">
        <f>VLOOKUP($B143,'7. PGE_Efficacité'!$A$6:$CY$266,(MATCH('[3]4.4 ACE MAX SEN '!T$4,'7. PGE_Efficacité'!$A$4:$AO$4,0)),0)</f>
        <v>0</v>
      </c>
      <c r="U143" s="64">
        <f>VLOOKUP($B143,'7. PGE_Efficacité'!$A$6:$CY$266,(MATCH('[3]4.4 ACE MAX SEN '!U$4,'7. PGE_Efficacité'!$A$4:$AO$4,0)),0)</f>
        <v>0</v>
      </c>
      <c r="V143" s="64">
        <f>VLOOKUP($B143,'7. PGE_Efficacité'!$A$6:$CY$266,(MATCH('[3]4.4 ACE MAX SEN '!V$4,'7. PGE_Efficacité'!$A$4:$AO$4,0)),0)</f>
        <v>0</v>
      </c>
      <c r="W143" s="61">
        <f>VLOOKUP($B143,'7. PGE_Efficacité'!$A$6:$CY$266,(MATCH('[3]4.4 ACE MAX SEN '!W$4,'7. PGE_Efficacité'!$A$4:$AO$4,0)),0)</f>
        <v>0</v>
      </c>
      <c r="X143" s="61">
        <f>VLOOKUP($B143,'7. PGE_Efficacité'!$A$6:$CY$266,(MATCH('[3]4.4 ACE MAX SEN '!X$4,'7. PGE_Efficacité'!$A$4:$AO$4,0)),0)</f>
        <v>0</v>
      </c>
      <c r="Y143" s="61">
        <f>VLOOKUP($B143,'7. PGE_Efficacité'!$A$6:$CY$266,(MATCH('[3]4.4 ACE MAX SEN '!Y$4,'7. PGE_Efficacité'!$A$4:$AO$4,0)),0)</f>
        <v>0</v>
      </c>
      <c r="Z143" s="61">
        <f>VLOOKUP($B143,'7. PGE_Efficacité'!$A$6:$CY$266,(MATCH('[3]4.4 ACE MAX SEN '!Z$4,'7. PGE_Efficacité'!$A$4:$AO$4,0)),0)</f>
        <v>0</v>
      </c>
      <c r="AA143" s="61">
        <f>VLOOKUP($B143,'7. PGE_Efficacité'!$A$6:$CY$266,(MATCH('[3]4.4 ACE MAX SEN '!AA$4,'7. PGE_Efficacité'!$A$4:$AO$4,0)),0)</f>
        <v>0</v>
      </c>
      <c r="AB143" s="61">
        <f>VLOOKUP($B143,'7. PGE_Efficacité'!$A$6:$CY$266,(MATCH('[3]4.4 ACE MAX SEN '!AB$4,'7. PGE_Efficacité'!$A$4:$AO$4,0)),0)</f>
        <v>0</v>
      </c>
      <c r="AC143" s="61">
        <f>VLOOKUP($B143,'7. PGE_Efficacité'!$A$6:$CY$266,(MATCH('[3]4.4 ACE MAX SEN '!AC$4,'7. PGE_Efficacité'!$A$4:$AO$4,0)),0)</f>
        <v>0</v>
      </c>
      <c r="AD143" s="61">
        <f>VLOOKUP($B143,'7. PGE_Efficacité'!$A$6:$CY$266,(MATCH('[3]4.4 ACE MAX SEN '!AD$4,'7. PGE_Efficacité'!$A$4:$AO$4,0)),0)</f>
        <v>0</v>
      </c>
      <c r="AE143" s="61">
        <f>VLOOKUP($B143,'7. PGE_Efficacité'!$A$6:$CY$266,(MATCH('[3]4.4 ACE MAX SEN '!AE$4,'7. PGE_Efficacité'!$A$4:$AO$4,0)),0)</f>
        <v>0</v>
      </c>
      <c r="AF143" s="61">
        <f>VLOOKUP($B143,'7. PGE_Efficacité'!$A$6:$CY$266,(MATCH('[3]4.4 ACE MAX SEN '!AF$4,'7. PGE_Efficacité'!$A$4:$AO$4,0)),0)</f>
        <v>0</v>
      </c>
      <c r="AG143" s="61">
        <f>VLOOKUP($B143,'7. PGE_Efficacité'!$A$6:$CY$266,(MATCH('[3]4.4 ACE MAX SEN '!AG$4,'7. PGE_Efficacité'!$A$4:$AO$4,0)),0)</f>
        <v>0</v>
      </c>
      <c r="AH143" s="61">
        <f>VLOOKUP($B143,'7. PGE_Efficacité'!$A$6:$CY$266,(MATCH('[3]4.4 ACE MAX SEN '!AH$4,'7. PGE_Efficacité'!$A$4:$AO$4,0)),0)</f>
        <v>0</v>
      </c>
      <c r="AI143" s="61">
        <f>VLOOKUP($B143,'7. PGE_Efficacité'!$A$6:$CY$266,(MATCH('[3]4.4 ACE MAX SEN '!AI$4,'7. PGE_Efficacité'!$A$4:$AO$4,0)),0)</f>
        <v>0</v>
      </c>
      <c r="AJ143" s="61">
        <f>VLOOKUP($B143,'7. PGE_Efficacité'!$A$6:$CY$266,(MATCH('[3]4.4 ACE MAX SEN '!AJ$4,'7. PGE_Efficacité'!$A$4:$AO$4,0)),0)</f>
        <v>0</v>
      </c>
      <c r="AK143" s="61">
        <f>VLOOKUP($B143,'7. PGE_Efficacité'!$A$6:$CY$266,(MATCH('[3]4.4 ACE MAX SEN '!AK$4,'7. PGE_Efficacité'!$A$4:$AO$4,0)),0)</f>
        <v>0</v>
      </c>
    </row>
    <row r="144" spans="1:37" hidden="1" outlineLevel="2" x14ac:dyDescent="0.25">
      <c r="A144" s="65" t="s">
        <v>22</v>
      </c>
      <c r="B144" s="65" t="s">
        <v>744</v>
      </c>
      <c r="C144" s="65" t="s">
        <v>1401</v>
      </c>
      <c r="D144" s="65" t="s">
        <v>1521</v>
      </c>
      <c r="E144" s="65" t="s">
        <v>1290</v>
      </c>
      <c r="F144" s="77"/>
      <c r="G144" s="64">
        <f>VLOOKUP($B144,'7. PGE_Efficacité'!$A$6:$CY$266,(MATCH('[3]4.4 ACE MAX SEN '!G$4,'7. PGE_Efficacité'!$A$4:$AO$4,0)),0)</f>
        <v>0</v>
      </c>
      <c r="H144" s="64">
        <f>VLOOKUP($B144,'7. PGE_Efficacité'!$A$6:$CY$266,(MATCH('[3]4.4 ACE MAX SEN '!H$4,'7. PGE_Efficacité'!$A$4:$AO$4,0)),0)</f>
        <v>0</v>
      </c>
      <c r="I144" s="64">
        <f>VLOOKUP($B144,'7. PGE_Efficacité'!$A$6:$CY$266,(MATCH('[3]4.4 ACE MAX SEN '!I$4,'7. PGE_Efficacité'!$A$4:$AO$4,0)),0)</f>
        <v>0</v>
      </c>
      <c r="J144" s="64">
        <f>VLOOKUP($B144,'7. PGE_Efficacité'!$A$6:$CY$266,(MATCH('[3]4.4 ACE MAX SEN '!J$4,'7. PGE_Efficacité'!$A$4:$AO$4,0)),0)</f>
        <v>0</v>
      </c>
      <c r="K144" s="64">
        <f>VLOOKUP($B144,'7. PGE_Efficacité'!$A$6:$CY$266,(MATCH('[3]4.4 ACE MAX SEN '!K$4,'7. PGE_Efficacité'!$A$4:$AO$4,0)),0)</f>
        <v>0</v>
      </c>
      <c r="L144" s="64">
        <f>VLOOKUP($B144,'7. PGE_Efficacité'!$A$6:$CY$266,(MATCH('[3]4.4 ACE MAX SEN '!L$4,'7. PGE_Efficacité'!$A$4:$AO$4,0)),0)</f>
        <v>0</v>
      </c>
      <c r="M144" s="64">
        <f>VLOOKUP($B144,'7. PGE_Efficacité'!$A$6:$CY$266,(MATCH('[3]4.4 ACE MAX SEN '!M$4,'7. PGE_Efficacité'!$A$4:$AO$4,0)),0)</f>
        <v>0</v>
      </c>
      <c r="N144" s="64">
        <f>VLOOKUP($B144,'7. PGE_Efficacité'!$A$6:$CY$266,(MATCH('[3]4.4 ACE MAX SEN '!N$4,'7. PGE_Efficacité'!$A$4:$AO$4,0)),0)</f>
        <v>0</v>
      </c>
      <c r="O144" s="64">
        <f>VLOOKUP($B144,'7. PGE_Efficacité'!$A$6:$CY$266,(MATCH('[3]4.4 ACE MAX SEN '!O$4,'7. PGE_Efficacité'!$A$4:$AO$4,0)),0)</f>
        <v>0</v>
      </c>
      <c r="P144" s="64">
        <f>VLOOKUP($B144,'7. PGE_Efficacité'!$A$6:$CY$266,(MATCH('[3]4.4 ACE MAX SEN '!P$4,'7. PGE_Efficacité'!$A$4:$AO$4,0)),0)</f>
        <v>0</v>
      </c>
      <c r="Q144" s="64">
        <f>VLOOKUP($B144,'7. PGE_Efficacité'!$A$6:$CY$266,(MATCH('[3]4.4 ACE MAX SEN '!Q$4,'7. PGE_Efficacité'!$A$4:$AO$4,0)),0)</f>
        <v>0</v>
      </c>
      <c r="R144" s="64">
        <f>VLOOKUP($B144,'7. PGE_Efficacité'!$A$6:$CY$266,(MATCH('[3]4.4 ACE MAX SEN '!R$4,'7. PGE_Efficacité'!$A$4:$AO$4,0)),0)</f>
        <v>0</v>
      </c>
      <c r="S144" s="64">
        <f>VLOOKUP($B144,'7. PGE_Efficacité'!$A$6:$CY$266,(MATCH('[3]4.4 ACE MAX SEN '!S$4,'7. PGE_Efficacité'!$A$4:$AO$4,0)),0)</f>
        <v>0</v>
      </c>
      <c r="T144" s="64">
        <f>VLOOKUP($B144,'7. PGE_Efficacité'!$A$6:$CY$266,(MATCH('[3]4.4 ACE MAX SEN '!T$4,'7. PGE_Efficacité'!$A$4:$AO$4,0)),0)</f>
        <v>0</v>
      </c>
      <c r="U144" s="64">
        <f>VLOOKUP($B144,'7. PGE_Efficacité'!$A$6:$CY$266,(MATCH('[3]4.4 ACE MAX SEN '!U$4,'7. PGE_Efficacité'!$A$4:$AO$4,0)),0)</f>
        <v>0</v>
      </c>
      <c r="V144" s="64">
        <f>VLOOKUP($B144,'7. PGE_Efficacité'!$A$6:$CY$266,(MATCH('[3]4.4 ACE MAX SEN '!V$4,'7. PGE_Efficacité'!$A$4:$AO$4,0)),0)</f>
        <v>0</v>
      </c>
      <c r="W144" s="61">
        <f>VLOOKUP($B144,'7. PGE_Efficacité'!$A$6:$CY$266,(MATCH('[3]4.4 ACE MAX SEN '!W$4,'7. PGE_Efficacité'!$A$4:$AO$4,0)),0)</f>
        <v>0</v>
      </c>
      <c r="X144" s="61">
        <f>VLOOKUP($B144,'7. PGE_Efficacité'!$A$6:$CY$266,(MATCH('[3]4.4 ACE MAX SEN '!X$4,'7. PGE_Efficacité'!$A$4:$AO$4,0)),0)</f>
        <v>0</v>
      </c>
      <c r="Y144" s="61">
        <f>VLOOKUP($B144,'7. PGE_Efficacité'!$A$6:$CY$266,(MATCH('[3]4.4 ACE MAX SEN '!Y$4,'7. PGE_Efficacité'!$A$4:$AO$4,0)),0)</f>
        <v>0</v>
      </c>
      <c r="Z144" s="61">
        <f>VLOOKUP($B144,'7. PGE_Efficacité'!$A$6:$CY$266,(MATCH('[3]4.4 ACE MAX SEN '!Z$4,'7. PGE_Efficacité'!$A$4:$AO$4,0)),0)</f>
        <v>0</v>
      </c>
      <c r="AA144" s="61">
        <f>VLOOKUP($B144,'7. PGE_Efficacité'!$A$6:$CY$266,(MATCH('[3]4.4 ACE MAX SEN '!AA$4,'7. PGE_Efficacité'!$A$4:$AO$4,0)),0)</f>
        <v>0</v>
      </c>
      <c r="AB144" s="61">
        <f>VLOOKUP($B144,'7. PGE_Efficacité'!$A$6:$CY$266,(MATCH('[3]4.4 ACE MAX SEN '!AB$4,'7. PGE_Efficacité'!$A$4:$AO$4,0)),0)</f>
        <v>0</v>
      </c>
      <c r="AC144" s="61">
        <f>VLOOKUP($B144,'7. PGE_Efficacité'!$A$6:$CY$266,(MATCH('[3]4.4 ACE MAX SEN '!AC$4,'7. PGE_Efficacité'!$A$4:$AO$4,0)),0)</f>
        <v>0</v>
      </c>
      <c r="AD144" s="61">
        <f>VLOOKUP($B144,'7. PGE_Efficacité'!$A$6:$CY$266,(MATCH('[3]4.4 ACE MAX SEN '!AD$4,'7. PGE_Efficacité'!$A$4:$AO$4,0)),0)</f>
        <v>0</v>
      </c>
      <c r="AE144" s="61">
        <f>VLOOKUP($B144,'7. PGE_Efficacité'!$A$6:$CY$266,(MATCH('[3]4.4 ACE MAX SEN '!AE$4,'7. PGE_Efficacité'!$A$4:$AO$4,0)),0)</f>
        <v>0</v>
      </c>
      <c r="AF144" s="61">
        <f>VLOOKUP($B144,'7. PGE_Efficacité'!$A$6:$CY$266,(MATCH('[3]4.4 ACE MAX SEN '!AF$4,'7. PGE_Efficacité'!$A$4:$AO$4,0)),0)</f>
        <v>0</v>
      </c>
      <c r="AG144" s="61">
        <f>VLOOKUP($B144,'7. PGE_Efficacité'!$A$6:$CY$266,(MATCH('[3]4.4 ACE MAX SEN '!AG$4,'7. PGE_Efficacité'!$A$4:$AO$4,0)),0)</f>
        <v>0</v>
      </c>
      <c r="AH144" s="61">
        <f>VLOOKUP($B144,'7. PGE_Efficacité'!$A$6:$CY$266,(MATCH('[3]4.4 ACE MAX SEN '!AH$4,'7. PGE_Efficacité'!$A$4:$AO$4,0)),0)</f>
        <v>0</v>
      </c>
      <c r="AI144" s="61">
        <f>VLOOKUP($B144,'7. PGE_Efficacité'!$A$6:$CY$266,(MATCH('[3]4.4 ACE MAX SEN '!AI$4,'7. PGE_Efficacité'!$A$4:$AO$4,0)),0)</f>
        <v>0</v>
      </c>
      <c r="AJ144" s="61">
        <f>VLOOKUP($B144,'7. PGE_Efficacité'!$A$6:$CY$266,(MATCH('[3]4.4 ACE MAX SEN '!AJ$4,'7. PGE_Efficacité'!$A$4:$AO$4,0)),0)</f>
        <v>0</v>
      </c>
      <c r="AK144" s="61">
        <f>VLOOKUP($B144,'7. PGE_Efficacité'!$A$6:$CY$266,(MATCH('[3]4.4 ACE MAX SEN '!AK$4,'7. PGE_Efficacité'!$A$4:$AO$4,0)),0)</f>
        <v>0</v>
      </c>
    </row>
    <row r="145" spans="1:37" hidden="1" outlineLevel="2" x14ac:dyDescent="0.25">
      <c r="A145" s="65" t="s">
        <v>22</v>
      </c>
      <c r="B145" s="65" t="s">
        <v>745</v>
      </c>
      <c r="C145" s="65" t="s">
        <v>1402</v>
      </c>
      <c r="D145" s="65" t="s">
        <v>1521</v>
      </c>
      <c r="E145" s="65" t="s">
        <v>1290</v>
      </c>
      <c r="F145" s="77"/>
      <c r="G145" s="64">
        <f>VLOOKUP($B145,'7. PGE_Efficacité'!$A$6:$CY$266,(MATCH('[3]4.4 ACE MAX SEN '!G$4,'7. PGE_Efficacité'!$A$4:$AO$4,0)),0)</f>
        <v>0</v>
      </c>
      <c r="H145" s="64">
        <f>VLOOKUP($B145,'7. PGE_Efficacité'!$A$6:$CY$266,(MATCH('[3]4.4 ACE MAX SEN '!H$4,'7. PGE_Efficacité'!$A$4:$AO$4,0)),0)</f>
        <v>0</v>
      </c>
      <c r="I145" s="64">
        <f>VLOOKUP($B145,'7. PGE_Efficacité'!$A$6:$CY$266,(MATCH('[3]4.4 ACE MAX SEN '!I$4,'7. PGE_Efficacité'!$A$4:$AO$4,0)),0)</f>
        <v>0</v>
      </c>
      <c r="J145" s="64">
        <f>VLOOKUP($B145,'7. PGE_Efficacité'!$A$6:$CY$266,(MATCH('[3]4.4 ACE MAX SEN '!J$4,'7. PGE_Efficacité'!$A$4:$AO$4,0)),0)</f>
        <v>0</v>
      </c>
      <c r="K145" s="64">
        <f>VLOOKUP($B145,'7. PGE_Efficacité'!$A$6:$CY$266,(MATCH('[3]4.4 ACE MAX SEN '!K$4,'7. PGE_Efficacité'!$A$4:$AO$4,0)),0)</f>
        <v>0</v>
      </c>
      <c r="L145" s="64">
        <f>VLOOKUP($B145,'7. PGE_Efficacité'!$A$6:$CY$266,(MATCH('[3]4.4 ACE MAX SEN '!L$4,'7. PGE_Efficacité'!$A$4:$AO$4,0)),0)</f>
        <v>0</v>
      </c>
      <c r="M145" s="64">
        <f>VLOOKUP($B145,'7. PGE_Efficacité'!$A$6:$CY$266,(MATCH('[3]4.4 ACE MAX SEN '!M$4,'7. PGE_Efficacité'!$A$4:$AO$4,0)),0)</f>
        <v>0</v>
      </c>
      <c r="N145" s="64">
        <f>VLOOKUP($B145,'7. PGE_Efficacité'!$A$6:$CY$266,(MATCH('[3]4.4 ACE MAX SEN '!N$4,'7. PGE_Efficacité'!$A$4:$AO$4,0)),0)</f>
        <v>0</v>
      </c>
      <c r="O145" s="64">
        <f>VLOOKUP($B145,'7. PGE_Efficacité'!$A$6:$CY$266,(MATCH('[3]4.4 ACE MAX SEN '!O$4,'7. PGE_Efficacité'!$A$4:$AO$4,0)),0)</f>
        <v>0</v>
      </c>
      <c r="P145" s="64">
        <f>VLOOKUP($B145,'7. PGE_Efficacité'!$A$6:$CY$266,(MATCH('[3]4.4 ACE MAX SEN '!P$4,'7. PGE_Efficacité'!$A$4:$AO$4,0)),0)</f>
        <v>0</v>
      </c>
      <c r="Q145" s="64">
        <f>VLOOKUP($B145,'7. PGE_Efficacité'!$A$6:$CY$266,(MATCH('[3]4.4 ACE MAX SEN '!Q$4,'7. PGE_Efficacité'!$A$4:$AO$4,0)),0)</f>
        <v>0</v>
      </c>
      <c r="R145" s="64">
        <f>VLOOKUP($B145,'7. PGE_Efficacité'!$A$6:$CY$266,(MATCH('[3]4.4 ACE MAX SEN '!R$4,'7. PGE_Efficacité'!$A$4:$AO$4,0)),0)</f>
        <v>0</v>
      </c>
      <c r="S145" s="64">
        <f>VLOOKUP($B145,'7. PGE_Efficacité'!$A$6:$CY$266,(MATCH('[3]4.4 ACE MAX SEN '!S$4,'7. PGE_Efficacité'!$A$4:$AO$4,0)),0)</f>
        <v>0</v>
      </c>
      <c r="T145" s="64">
        <f>VLOOKUP($B145,'7. PGE_Efficacité'!$A$6:$CY$266,(MATCH('[3]4.4 ACE MAX SEN '!T$4,'7. PGE_Efficacité'!$A$4:$AO$4,0)),0)</f>
        <v>0</v>
      </c>
      <c r="U145" s="64">
        <f>VLOOKUP($B145,'7. PGE_Efficacité'!$A$6:$CY$266,(MATCH('[3]4.4 ACE MAX SEN '!U$4,'7. PGE_Efficacité'!$A$4:$AO$4,0)),0)</f>
        <v>0</v>
      </c>
      <c r="V145" s="64">
        <f>VLOOKUP($B145,'7. PGE_Efficacité'!$A$6:$CY$266,(MATCH('[3]4.4 ACE MAX SEN '!V$4,'7. PGE_Efficacité'!$A$4:$AO$4,0)),0)</f>
        <v>0</v>
      </c>
      <c r="W145" s="61">
        <f>VLOOKUP($B145,'7. PGE_Efficacité'!$A$6:$CY$266,(MATCH('[3]4.4 ACE MAX SEN '!W$4,'7. PGE_Efficacité'!$A$4:$AO$4,0)),0)</f>
        <v>0</v>
      </c>
      <c r="X145" s="61">
        <f>VLOOKUP($B145,'7. PGE_Efficacité'!$A$6:$CY$266,(MATCH('[3]4.4 ACE MAX SEN '!X$4,'7. PGE_Efficacité'!$A$4:$AO$4,0)),0)</f>
        <v>0</v>
      </c>
      <c r="Y145" s="61">
        <f>VLOOKUP($B145,'7. PGE_Efficacité'!$A$6:$CY$266,(MATCH('[3]4.4 ACE MAX SEN '!Y$4,'7. PGE_Efficacité'!$A$4:$AO$4,0)),0)</f>
        <v>0</v>
      </c>
      <c r="Z145" s="61">
        <f>VLOOKUP($B145,'7. PGE_Efficacité'!$A$6:$CY$266,(MATCH('[3]4.4 ACE MAX SEN '!Z$4,'7. PGE_Efficacité'!$A$4:$AO$4,0)),0)</f>
        <v>0</v>
      </c>
      <c r="AA145" s="61">
        <f>VLOOKUP($B145,'7. PGE_Efficacité'!$A$6:$CY$266,(MATCH('[3]4.4 ACE MAX SEN '!AA$4,'7. PGE_Efficacité'!$A$4:$AO$4,0)),0)</f>
        <v>0</v>
      </c>
      <c r="AB145" s="61">
        <f>VLOOKUP($B145,'7. PGE_Efficacité'!$A$6:$CY$266,(MATCH('[3]4.4 ACE MAX SEN '!AB$4,'7. PGE_Efficacité'!$A$4:$AO$4,0)),0)</f>
        <v>0</v>
      </c>
      <c r="AC145" s="61">
        <f>VLOOKUP($B145,'7. PGE_Efficacité'!$A$6:$CY$266,(MATCH('[3]4.4 ACE MAX SEN '!AC$4,'7. PGE_Efficacité'!$A$4:$AO$4,0)),0)</f>
        <v>0</v>
      </c>
      <c r="AD145" s="61">
        <f>VLOOKUP($B145,'7. PGE_Efficacité'!$A$6:$CY$266,(MATCH('[3]4.4 ACE MAX SEN '!AD$4,'7. PGE_Efficacité'!$A$4:$AO$4,0)),0)</f>
        <v>0</v>
      </c>
      <c r="AE145" s="61">
        <f>VLOOKUP($B145,'7. PGE_Efficacité'!$A$6:$CY$266,(MATCH('[3]4.4 ACE MAX SEN '!AE$4,'7. PGE_Efficacité'!$A$4:$AO$4,0)),0)</f>
        <v>0</v>
      </c>
      <c r="AF145" s="61">
        <f>VLOOKUP($B145,'7. PGE_Efficacité'!$A$6:$CY$266,(MATCH('[3]4.4 ACE MAX SEN '!AF$4,'7. PGE_Efficacité'!$A$4:$AO$4,0)),0)</f>
        <v>0</v>
      </c>
      <c r="AG145" s="61">
        <f>VLOOKUP($B145,'7. PGE_Efficacité'!$A$6:$CY$266,(MATCH('[3]4.4 ACE MAX SEN '!AG$4,'7. PGE_Efficacité'!$A$4:$AO$4,0)),0)</f>
        <v>0</v>
      </c>
      <c r="AH145" s="61">
        <f>VLOOKUP($B145,'7. PGE_Efficacité'!$A$6:$CY$266,(MATCH('[3]4.4 ACE MAX SEN '!AH$4,'7. PGE_Efficacité'!$A$4:$AO$4,0)),0)</f>
        <v>0</v>
      </c>
      <c r="AI145" s="61">
        <f>VLOOKUP($B145,'7. PGE_Efficacité'!$A$6:$CY$266,(MATCH('[3]4.4 ACE MAX SEN '!AI$4,'7. PGE_Efficacité'!$A$4:$AO$4,0)),0)</f>
        <v>0</v>
      </c>
      <c r="AJ145" s="61">
        <f>VLOOKUP($B145,'7. PGE_Efficacité'!$A$6:$CY$266,(MATCH('[3]4.4 ACE MAX SEN '!AJ$4,'7. PGE_Efficacité'!$A$4:$AO$4,0)),0)</f>
        <v>0</v>
      </c>
      <c r="AK145" s="61">
        <f>VLOOKUP($B145,'7. PGE_Efficacité'!$A$6:$CY$266,(MATCH('[3]4.4 ACE MAX SEN '!AK$4,'7. PGE_Efficacité'!$A$4:$AO$4,0)),0)</f>
        <v>0</v>
      </c>
    </row>
    <row r="146" spans="1:37" hidden="1" outlineLevel="2" x14ac:dyDescent="0.25">
      <c r="A146" s="65" t="s">
        <v>22</v>
      </c>
      <c r="B146" s="65" t="s">
        <v>746</v>
      </c>
      <c r="C146" s="65" t="s">
        <v>1403</v>
      </c>
      <c r="D146" s="65" t="s">
        <v>1521</v>
      </c>
      <c r="E146" s="65" t="s">
        <v>1287</v>
      </c>
      <c r="F146" s="77"/>
      <c r="G146" s="64">
        <f>VLOOKUP($B146,'7. PGE_Efficacité'!$A$6:$CY$266,(MATCH('[3]4.4 ACE MAX SEN '!G$4,'7. PGE_Efficacité'!$A$4:$AO$4,0)),0)</f>
        <v>0</v>
      </c>
      <c r="H146" s="64">
        <f>VLOOKUP($B146,'7. PGE_Efficacité'!$A$6:$CY$266,(MATCH('[3]4.4 ACE MAX SEN '!H$4,'7. PGE_Efficacité'!$A$4:$AO$4,0)),0)</f>
        <v>0</v>
      </c>
      <c r="I146" s="64">
        <f>VLOOKUP($B146,'7. PGE_Efficacité'!$A$6:$CY$266,(MATCH('[3]4.4 ACE MAX SEN '!I$4,'7. PGE_Efficacité'!$A$4:$AO$4,0)),0)</f>
        <v>0</v>
      </c>
      <c r="J146" s="64">
        <f>VLOOKUP($B146,'7. PGE_Efficacité'!$A$6:$CY$266,(MATCH('[3]4.4 ACE MAX SEN '!J$4,'7. PGE_Efficacité'!$A$4:$AO$4,0)),0)</f>
        <v>0</v>
      </c>
      <c r="K146" s="64">
        <f>VLOOKUP($B146,'7. PGE_Efficacité'!$A$6:$CY$266,(MATCH('[3]4.4 ACE MAX SEN '!K$4,'7. PGE_Efficacité'!$A$4:$AO$4,0)),0)</f>
        <v>0</v>
      </c>
      <c r="L146" s="64">
        <f>VLOOKUP($B146,'7. PGE_Efficacité'!$A$6:$CY$266,(MATCH('[3]4.4 ACE MAX SEN '!L$4,'7. PGE_Efficacité'!$A$4:$AO$4,0)),0)</f>
        <v>0</v>
      </c>
      <c r="M146" s="64">
        <f>VLOOKUP($B146,'7. PGE_Efficacité'!$A$6:$CY$266,(MATCH('[3]4.4 ACE MAX SEN '!M$4,'7. PGE_Efficacité'!$A$4:$AO$4,0)),0)</f>
        <v>0</v>
      </c>
      <c r="N146" s="64">
        <f>VLOOKUP($B146,'7. PGE_Efficacité'!$A$6:$CY$266,(MATCH('[3]4.4 ACE MAX SEN '!N$4,'7. PGE_Efficacité'!$A$4:$AO$4,0)),0)</f>
        <v>0</v>
      </c>
      <c r="O146" s="64">
        <f>VLOOKUP($B146,'7. PGE_Efficacité'!$A$6:$CY$266,(MATCH('[3]4.4 ACE MAX SEN '!O$4,'7. PGE_Efficacité'!$A$4:$AO$4,0)),0)</f>
        <v>0</v>
      </c>
      <c r="P146" s="64">
        <f>VLOOKUP($B146,'7. PGE_Efficacité'!$A$6:$CY$266,(MATCH('[3]4.4 ACE MAX SEN '!P$4,'7. PGE_Efficacité'!$A$4:$AO$4,0)),0)</f>
        <v>0</v>
      </c>
      <c r="Q146" s="64">
        <f>VLOOKUP($B146,'7. PGE_Efficacité'!$A$6:$CY$266,(MATCH('[3]4.4 ACE MAX SEN '!Q$4,'7. PGE_Efficacité'!$A$4:$AO$4,0)),0)</f>
        <v>0</v>
      </c>
      <c r="R146" s="64">
        <f>VLOOKUP($B146,'7. PGE_Efficacité'!$A$6:$CY$266,(MATCH('[3]4.4 ACE MAX SEN '!R$4,'7. PGE_Efficacité'!$A$4:$AO$4,0)),0)</f>
        <v>0</v>
      </c>
      <c r="S146" s="64">
        <f>VLOOKUP($B146,'7. PGE_Efficacité'!$A$6:$CY$266,(MATCH('[3]4.4 ACE MAX SEN '!S$4,'7. PGE_Efficacité'!$A$4:$AO$4,0)),0)</f>
        <v>0</v>
      </c>
      <c r="T146" s="64">
        <f>VLOOKUP($B146,'7. PGE_Efficacité'!$A$6:$CY$266,(MATCH('[3]4.4 ACE MAX SEN '!T$4,'7. PGE_Efficacité'!$A$4:$AO$4,0)),0)</f>
        <v>0</v>
      </c>
      <c r="U146" s="64">
        <f>VLOOKUP($B146,'7. PGE_Efficacité'!$A$6:$CY$266,(MATCH('[3]4.4 ACE MAX SEN '!U$4,'7. PGE_Efficacité'!$A$4:$AO$4,0)),0)</f>
        <v>0</v>
      </c>
      <c r="V146" s="64">
        <f>VLOOKUP($B146,'7. PGE_Efficacité'!$A$6:$CY$266,(MATCH('[3]4.4 ACE MAX SEN '!V$4,'7. PGE_Efficacité'!$A$4:$AO$4,0)),0)</f>
        <v>0</v>
      </c>
      <c r="W146" s="61">
        <f>VLOOKUP($B146,'7. PGE_Efficacité'!$A$6:$CY$266,(MATCH('[3]4.4 ACE MAX SEN '!W$4,'7. PGE_Efficacité'!$A$4:$AO$4,0)),0)</f>
        <v>0</v>
      </c>
      <c r="X146" s="61">
        <f>VLOOKUP($B146,'7. PGE_Efficacité'!$A$6:$CY$266,(MATCH('[3]4.4 ACE MAX SEN '!X$4,'7. PGE_Efficacité'!$A$4:$AO$4,0)),0)</f>
        <v>0</v>
      </c>
      <c r="Y146" s="61">
        <f>VLOOKUP($B146,'7. PGE_Efficacité'!$A$6:$CY$266,(MATCH('[3]4.4 ACE MAX SEN '!Y$4,'7. PGE_Efficacité'!$A$4:$AO$4,0)),0)</f>
        <v>0</v>
      </c>
      <c r="Z146" s="61">
        <f>VLOOKUP($B146,'7. PGE_Efficacité'!$A$6:$CY$266,(MATCH('[3]4.4 ACE MAX SEN '!Z$4,'7. PGE_Efficacité'!$A$4:$AO$4,0)),0)</f>
        <v>0</v>
      </c>
      <c r="AA146" s="61">
        <f>VLOOKUP($B146,'7. PGE_Efficacité'!$A$6:$CY$266,(MATCH('[3]4.4 ACE MAX SEN '!AA$4,'7. PGE_Efficacité'!$A$4:$AO$4,0)),0)</f>
        <v>0</v>
      </c>
      <c r="AB146" s="61">
        <f>VLOOKUP($B146,'7. PGE_Efficacité'!$A$6:$CY$266,(MATCH('[3]4.4 ACE MAX SEN '!AB$4,'7. PGE_Efficacité'!$A$4:$AO$4,0)),0)</f>
        <v>0</v>
      </c>
      <c r="AC146" s="61">
        <f>VLOOKUP($B146,'7. PGE_Efficacité'!$A$6:$CY$266,(MATCH('[3]4.4 ACE MAX SEN '!AC$4,'7. PGE_Efficacité'!$A$4:$AO$4,0)),0)</f>
        <v>0</v>
      </c>
      <c r="AD146" s="61">
        <f>VLOOKUP($B146,'7. PGE_Efficacité'!$A$6:$CY$266,(MATCH('[3]4.4 ACE MAX SEN '!AD$4,'7. PGE_Efficacité'!$A$4:$AO$4,0)),0)</f>
        <v>0</v>
      </c>
      <c r="AE146" s="61">
        <f>VLOOKUP($B146,'7. PGE_Efficacité'!$A$6:$CY$266,(MATCH('[3]4.4 ACE MAX SEN '!AE$4,'7. PGE_Efficacité'!$A$4:$AO$4,0)),0)</f>
        <v>0</v>
      </c>
      <c r="AF146" s="61">
        <f>VLOOKUP($B146,'7. PGE_Efficacité'!$A$6:$CY$266,(MATCH('[3]4.4 ACE MAX SEN '!AF$4,'7. PGE_Efficacité'!$A$4:$AO$4,0)),0)</f>
        <v>0</v>
      </c>
      <c r="AG146" s="61">
        <f>VLOOKUP($B146,'7. PGE_Efficacité'!$A$6:$CY$266,(MATCH('[3]4.4 ACE MAX SEN '!AG$4,'7. PGE_Efficacité'!$A$4:$AO$4,0)),0)</f>
        <v>0</v>
      </c>
      <c r="AH146" s="61">
        <f>VLOOKUP($B146,'7. PGE_Efficacité'!$A$6:$CY$266,(MATCH('[3]4.4 ACE MAX SEN '!AH$4,'7. PGE_Efficacité'!$A$4:$AO$4,0)),0)</f>
        <v>0</v>
      </c>
      <c r="AI146" s="61">
        <f>VLOOKUP($B146,'7. PGE_Efficacité'!$A$6:$CY$266,(MATCH('[3]4.4 ACE MAX SEN '!AI$4,'7. PGE_Efficacité'!$A$4:$AO$4,0)),0)</f>
        <v>0</v>
      </c>
      <c r="AJ146" s="61">
        <f>VLOOKUP($B146,'7. PGE_Efficacité'!$A$6:$CY$266,(MATCH('[3]4.4 ACE MAX SEN '!AJ$4,'7. PGE_Efficacité'!$A$4:$AO$4,0)),0)</f>
        <v>0</v>
      </c>
      <c r="AK146" s="61">
        <f>VLOOKUP($B146,'7. PGE_Efficacité'!$A$6:$CY$266,(MATCH('[3]4.4 ACE MAX SEN '!AK$4,'7. PGE_Efficacité'!$A$4:$AO$4,0)),0)</f>
        <v>0</v>
      </c>
    </row>
    <row r="147" spans="1:37" hidden="1" outlineLevel="2" x14ac:dyDescent="0.25">
      <c r="A147" s="65" t="s">
        <v>22</v>
      </c>
      <c r="B147" s="65" t="s">
        <v>747</v>
      </c>
      <c r="C147" s="65" t="s">
        <v>1404</v>
      </c>
      <c r="D147" s="65" t="s">
        <v>1521</v>
      </c>
      <c r="E147" s="65" t="s">
        <v>1290</v>
      </c>
      <c r="F147" s="77"/>
      <c r="G147" s="64">
        <f>VLOOKUP($B147,'7. PGE_Efficacité'!$A$6:$CY$266,(MATCH('[3]4.4 ACE MAX SEN '!G$4,'7. PGE_Efficacité'!$A$4:$AO$4,0)),0)</f>
        <v>0</v>
      </c>
      <c r="H147" s="64">
        <f>VLOOKUP($B147,'7. PGE_Efficacité'!$A$6:$CY$266,(MATCH('[3]4.4 ACE MAX SEN '!H$4,'7. PGE_Efficacité'!$A$4:$AO$4,0)),0)</f>
        <v>0</v>
      </c>
      <c r="I147" s="64">
        <f>VLOOKUP($B147,'7. PGE_Efficacité'!$A$6:$CY$266,(MATCH('[3]4.4 ACE MAX SEN '!I$4,'7. PGE_Efficacité'!$A$4:$AO$4,0)),0)</f>
        <v>0</v>
      </c>
      <c r="J147" s="64">
        <f>VLOOKUP($B147,'7. PGE_Efficacité'!$A$6:$CY$266,(MATCH('[3]4.4 ACE MAX SEN '!J$4,'7. PGE_Efficacité'!$A$4:$AO$4,0)),0)</f>
        <v>0</v>
      </c>
      <c r="K147" s="64">
        <f>VLOOKUP($B147,'7. PGE_Efficacité'!$A$6:$CY$266,(MATCH('[3]4.4 ACE MAX SEN '!K$4,'7. PGE_Efficacité'!$A$4:$AO$4,0)),0)</f>
        <v>0</v>
      </c>
      <c r="L147" s="64">
        <f>VLOOKUP($B147,'7. PGE_Efficacité'!$A$6:$CY$266,(MATCH('[3]4.4 ACE MAX SEN '!L$4,'7. PGE_Efficacité'!$A$4:$AO$4,0)),0)</f>
        <v>0</v>
      </c>
      <c r="M147" s="64">
        <f>VLOOKUP($B147,'7. PGE_Efficacité'!$A$6:$CY$266,(MATCH('[3]4.4 ACE MAX SEN '!M$4,'7. PGE_Efficacité'!$A$4:$AO$4,0)),0)</f>
        <v>0</v>
      </c>
      <c r="N147" s="64">
        <f>VLOOKUP($B147,'7. PGE_Efficacité'!$A$6:$CY$266,(MATCH('[3]4.4 ACE MAX SEN '!N$4,'7. PGE_Efficacité'!$A$4:$AO$4,0)),0)</f>
        <v>0</v>
      </c>
      <c r="O147" s="64">
        <f>VLOOKUP($B147,'7. PGE_Efficacité'!$A$6:$CY$266,(MATCH('[3]4.4 ACE MAX SEN '!O$4,'7. PGE_Efficacité'!$A$4:$AO$4,0)),0)</f>
        <v>0</v>
      </c>
      <c r="P147" s="64">
        <f>VLOOKUP($B147,'7. PGE_Efficacité'!$A$6:$CY$266,(MATCH('[3]4.4 ACE MAX SEN '!P$4,'7. PGE_Efficacité'!$A$4:$AO$4,0)),0)</f>
        <v>0</v>
      </c>
      <c r="Q147" s="64">
        <f>VLOOKUP($B147,'7. PGE_Efficacité'!$A$6:$CY$266,(MATCH('[3]4.4 ACE MAX SEN '!Q$4,'7. PGE_Efficacité'!$A$4:$AO$4,0)),0)</f>
        <v>0</v>
      </c>
      <c r="R147" s="64">
        <f>VLOOKUP($B147,'7. PGE_Efficacité'!$A$6:$CY$266,(MATCH('[3]4.4 ACE MAX SEN '!R$4,'7. PGE_Efficacité'!$A$4:$AO$4,0)),0)</f>
        <v>0</v>
      </c>
      <c r="S147" s="64">
        <f>VLOOKUP($B147,'7. PGE_Efficacité'!$A$6:$CY$266,(MATCH('[3]4.4 ACE MAX SEN '!S$4,'7. PGE_Efficacité'!$A$4:$AO$4,0)),0)</f>
        <v>0</v>
      </c>
      <c r="T147" s="64">
        <f>VLOOKUP($B147,'7. PGE_Efficacité'!$A$6:$CY$266,(MATCH('[3]4.4 ACE MAX SEN '!T$4,'7. PGE_Efficacité'!$A$4:$AO$4,0)),0)</f>
        <v>0</v>
      </c>
      <c r="U147" s="64">
        <f>VLOOKUP($B147,'7. PGE_Efficacité'!$A$6:$CY$266,(MATCH('[3]4.4 ACE MAX SEN '!U$4,'7. PGE_Efficacité'!$A$4:$AO$4,0)),0)</f>
        <v>0</v>
      </c>
      <c r="V147" s="64">
        <f>VLOOKUP($B147,'7. PGE_Efficacité'!$A$6:$CY$266,(MATCH('[3]4.4 ACE MAX SEN '!V$4,'7. PGE_Efficacité'!$A$4:$AO$4,0)),0)</f>
        <v>0</v>
      </c>
      <c r="W147" s="61">
        <f>VLOOKUP($B147,'7. PGE_Efficacité'!$A$6:$CY$266,(MATCH('[3]4.4 ACE MAX SEN '!W$4,'7. PGE_Efficacité'!$A$4:$AO$4,0)),0)</f>
        <v>0</v>
      </c>
      <c r="X147" s="61">
        <f>VLOOKUP($B147,'7. PGE_Efficacité'!$A$6:$CY$266,(MATCH('[3]4.4 ACE MAX SEN '!X$4,'7. PGE_Efficacité'!$A$4:$AO$4,0)),0)</f>
        <v>0</v>
      </c>
      <c r="Y147" s="61">
        <f>VLOOKUP($B147,'7. PGE_Efficacité'!$A$6:$CY$266,(MATCH('[3]4.4 ACE MAX SEN '!Y$4,'7. PGE_Efficacité'!$A$4:$AO$4,0)),0)</f>
        <v>0</v>
      </c>
      <c r="Z147" s="61">
        <f>VLOOKUP($B147,'7. PGE_Efficacité'!$A$6:$CY$266,(MATCH('[3]4.4 ACE MAX SEN '!Z$4,'7. PGE_Efficacité'!$A$4:$AO$4,0)),0)</f>
        <v>0</v>
      </c>
      <c r="AA147" s="61">
        <f>VLOOKUP($B147,'7. PGE_Efficacité'!$A$6:$CY$266,(MATCH('[3]4.4 ACE MAX SEN '!AA$4,'7. PGE_Efficacité'!$A$4:$AO$4,0)),0)</f>
        <v>0</v>
      </c>
      <c r="AB147" s="61">
        <f>VLOOKUP($B147,'7. PGE_Efficacité'!$A$6:$CY$266,(MATCH('[3]4.4 ACE MAX SEN '!AB$4,'7. PGE_Efficacité'!$A$4:$AO$4,0)),0)</f>
        <v>0</v>
      </c>
      <c r="AC147" s="61">
        <f>VLOOKUP($B147,'7. PGE_Efficacité'!$A$6:$CY$266,(MATCH('[3]4.4 ACE MAX SEN '!AC$4,'7. PGE_Efficacité'!$A$4:$AO$4,0)),0)</f>
        <v>0</v>
      </c>
      <c r="AD147" s="61">
        <f>VLOOKUP($B147,'7. PGE_Efficacité'!$A$6:$CY$266,(MATCH('[3]4.4 ACE MAX SEN '!AD$4,'7. PGE_Efficacité'!$A$4:$AO$4,0)),0)</f>
        <v>0</v>
      </c>
      <c r="AE147" s="61">
        <f>VLOOKUP($B147,'7. PGE_Efficacité'!$A$6:$CY$266,(MATCH('[3]4.4 ACE MAX SEN '!AE$4,'7. PGE_Efficacité'!$A$4:$AO$4,0)),0)</f>
        <v>0</v>
      </c>
      <c r="AF147" s="61">
        <f>VLOOKUP($B147,'7. PGE_Efficacité'!$A$6:$CY$266,(MATCH('[3]4.4 ACE MAX SEN '!AF$4,'7. PGE_Efficacité'!$A$4:$AO$4,0)),0)</f>
        <v>0</v>
      </c>
      <c r="AG147" s="61">
        <f>VLOOKUP($B147,'7. PGE_Efficacité'!$A$6:$CY$266,(MATCH('[3]4.4 ACE MAX SEN '!AG$4,'7. PGE_Efficacité'!$A$4:$AO$4,0)),0)</f>
        <v>0</v>
      </c>
      <c r="AH147" s="61">
        <f>VLOOKUP($B147,'7. PGE_Efficacité'!$A$6:$CY$266,(MATCH('[3]4.4 ACE MAX SEN '!AH$4,'7. PGE_Efficacité'!$A$4:$AO$4,0)),0)</f>
        <v>0</v>
      </c>
      <c r="AI147" s="61">
        <f>VLOOKUP($B147,'7. PGE_Efficacité'!$A$6:$CY$266,(MATCH('[3]4.4 ACE MAX SEN '!AI$4,'7. PGE_Efficacité'!$A$4:$AO$4,0)),0)</f>
        <v>0</v>
      </c>
      <c r="AJ147" s="61">
        <f>VLOOKUP($B147,'7. PGE_Efficacité'!$A$6:$CY$266,(MATCH('[3]4.4 ACE MAX SEN '!AJ$4,'7. PGE_Efficacité'!$A$4:$AO$4,0)),0)</f>
        <v>0</v>
      </c>
      <c r="AK147" s="61">
        <f>VLOOKUP($B147,'7. PGE_Efficacité'!$A$6:$CY$266,(MATCH('[3]4.4 ACE MAX SEN '!AK$4,'7. PGE_Efficacité'!$A$4:$AO$4,0)),0)</f>
        <v>0</v>
      </c>
    </row>
    <row r="148" spans="1:37" hidden="1" outlineLevel="2" x14ac:dyDescent="0.25">
      <c r="A148" s="65" t="s">
        <v>22</v>
      </c>
      <c r="B148" s="65" t="s">
        <v>748</v>
      </c>
      <c r="C148" s="65" t="s">
        <v>1405</v>
      </c>
      <c r="D148" s="65" t="s">
        <v>1521</v>
      </c>
      <c r="E148" s="65" t="s">
        <v>1290</v>
      </c>
      <c r="F148" s="77"/>
      <c r="G148" s="64">
        <f>VLOOKUP($B148,'7. PGE_Efficacité'!$A$6:$CY$266,(MATCH('[3]4.4 ACE MAX SEN '!G$4,'7. PGE_Efficacité'!$A$4:$AO$4,0)),0)</f>
        <v>0</v>
      </c>
      <c r="H148" s="64">
        <f>VLOOKUP($B148,'7. PGE_Efficacité'!$A$6:$CY$266,(MATCH('[3]4.4 ACE MAX SEN '!H$4,'7. PGE_Efficacité'!$A$4:$AO$4,0)),0)</f>
        <v>0</v>
      </c>
      <c r="I148" s="64">
        <f>VLOOKUP($B148,'7. PGE_Efficacité'!$A$6:$CY$266,(MATCH('[3]4.4 ACE MAX SEN '!I$4,'7. PGE_Efficacité'!$A$4:$AO$4,0)),0)</f>
        <v>0</v>
      </c>
      <c r="J148" s="64">
        <f>VLOOKUP($B148,'7. PGE_Efficacité'!$A$6:$CY$266,(MATCH('[3]4.4 ACE MAX SEN '!J$4,'7. PGE_Efficacité'!$A$4:$AO$4,0)),0)</f>
        <v>0</v>
      </c>
      <c r="K148" s="64">
        <f>VLOOKUP($B148,'7. PGE_Efficacité'!$A$6:$CY$266,(MATCH('[3]4.4 ACE MAX SEN '!K$4,'7. PGE_Efficacité'!$A$4:$AO$4,0)),0)</f>
        <v>0</v>
      </c>
      <c r="L148" s="64">
        <f>VLOOKUP($B148,'7. PGE_Efficacité'!$A$6:$CY$266,(MATCH('[3]4.4 ACE MAX SEN '!L$4,'7. PGE_Efficacité'!$A$4:$AO$4,0)),0)</f>
        <v>0</v>
      </c>
      <c r="M148" s="64">
        <f>VLOOKUP($B148,'7. PGE_Efficacité'!$A$6:$CY$266,(MATCH('[3]4.4 ACE MAX SEN '!M$4,'7. PGE_Efficacité'!$A$4:$AO$4,0)),0)</f>
        <v>0</v>
      </c>
      <c r="N148" s="64">
        <f>VLOOKUP($B148,'7. PGE_Efficacité'!$A$6:$CY$266,(MATCH('[3]4.4 ACE MAX SEN '!N$4,'7. PGE_Efficacité'!$A$4:$AO$4,0)),0)</f>
        <v>0</v>
      </c>
      <c r="O148" s="64">
        <f>VLOOKUP($B148,'7. PGE_Efficacité'!$A$6:$CY$266,(MATCH('[3]4.4 ACE MAX SEN '!O$4,'7. PGE_Efficacité'!$A$4:$AO$4,0)),0)</f>
        <v>0</v>
      </c>
      <c r="P148" s="64">
        <f>VLOOKUP($B148,'7. PGE_Efficacité'!$A$6:$CY$266,(MATCH('[3]4.4 ACE MAX SEN '!P$4,'7. PGE_Efficacité'!$A$4:$AO$4,0)),0)</f>
        <v>0</v>
      </c>
      <c r="Q148" s="64">
        <f>VLOOKUP($B148,'7. PGE_Efficacité'!$A$6:$CY$266,(MATCH('[3]4.4 ACE MAX SEN '!Q$4,'7. PGE_Efficacité'!$A$4:$AO$4,0)),0)</f>
        <v>0</v>
      </c>
      <c r="R148" s="64">
        <f>VLOOKUP($B148,'7. PGE_Efficacité'!$A$6:$CY$266,(MATCH('[3]4.4 ACE MAX SEN '!R$4,'7. PGE_Efficacité'!$A$4:$AO$4,0)),0)</f>
        <v>0</v>
      </c>
      <c r="S148" s="64">
        <f>VLOOKUP($B148,'7. PGE_Efficacité'!$A$6:$CY$266,(MATCH('[3]4.4 ACE MAX SEN '!S$4,'7. PGE_Efficacité'!$A$4:$AO$4,0)),0)</f>
        <v>0</v>
      </c>
      <c r="T148" s="64">
        <f>VLOOKUP($B148,'7. PGE_Efficacité'!$A$6:$CY$266,(MATCH('[3]4.4 ACE MAX SEN '!T$4,'7. PGE_Efficacité'!$A$4:$AO$4,0)),0)</f>
        <v>0</v>
      </c>
      <c r="U148" s="64">
        <f>VLOOKUP($B148,'7. PGE_Efficacité'!$A$6:$CY$266,(MATCH('[3]4.4 ACE MAX SEN '!U$4,'7. PGE_Efficacité'!$A$4:$AO$4,0)),0)</f>
        <v>0</v>
      </c>
      <c r="V148" s="64">
        <f>VLOOKUP($B148,'7. PGE_Efficacité'!$A$6:$CY$266,(MATCH('[3]4.4 ACE MAX SEN '!V$4,'7. PGE_Efficacité'!$A$4:$AO$4,0)),0)</f>
        <v>0</v>
      </c>
      <c r="W148" s="61">
        <f>VLOOKUP($B148,'7. PGE_Efficacité'!$A$6:$CY$266,(MATCH('[3]4.4 ACE MAX SEN '!W$4,'7. PGE_Efficacité'!$A$4:$AO$4,0)),0)</f>
        <v>0</v>
      </c>
      <c r="X148" s="61">
        <f>VLOOKUP($B148,'7. PGE_Efficacité'!$A$6:$CY$266,(MATCH('[3]4.4 ACE MAX SEN '!X$4,'7. PGE_Efficacité'!$A$4:$AO$4,0)),0)</f>
        <v>0</v>
      </c>
      <c r="Y148" s="61">
        <f>VLOOKUP($B148,'7. PGE_Efficacité'!$A$6:$CY$266,(MATCH('[3]4.4 ACE MAX SEN '!Y$4,'7. PGE_Efficacité'!$A$4:$AO$4,0)),0)</f>
        <v>0</v>
      </c>
      <c r="Z148" s="61">
        <f>VLOOKUP($B148,'7. PGE_Efficacité'!$A$6:$CY$266,(MATCH('[3]4.4 ACE MAX SEN '!Z$4,'7. PGE_Efficacité'!$A$4:$AO$4,0)),0)</f>
        <v>0</v>
      </c>
      <c r="AA148" s="61">
        <f>VLOOKUP($B148,'7. PGE_Efficacité'!$A$6:$CY$266,(MATCH('[3]4.4 ACE MAX SEN '!AA$4,'7. PGE_Efficacité'!$A$4:$AO$4,0)),0)</f>
        <v>0</v>
      </c>
      <c r="AB148" s="61">
        <f>VLOOKUP($B148,'7. PGE_Efficacité'!$A$6:$CY$266,(MATCH('[3]4.4 ACE MAX SEN '!AB$4,'7. PGE_Efficacité'!$A$4:$AO$4,0)),0)</f>
        <v>0</v>
      </c>
      <c r="AC148" s="61">
        <f>VLOOKUP($B148,'7. PGE_Efficacité'!$A$6:$CY$266,(MATCH('[3]4.4 ACE MAX SEN '!AC$4,'7. PGE_Efficacité'!$A$4:$AO$4,0)),0)</f>
        <v>0</v>
      </c>
      <c r="AD148" s="61">
        <f>VLOOKUP($B148,'7. PGE_Efficacité'!$A$6:$CY$266,(MATCH('[3]4.4 ACE MAX SEN '!AD$4,'7. PGE_Efficacité'!$A$4:$AO$4,0)),0)</f>
        <v>0</v>
      </c>
      <c r="AE148" s="61">
        <f>VLOOKUP($B148,'7. PGE_Efficacité'!$A$6:$CY$266,(MATCH('[3]4.4 ACE MAX SEN '!AE$4,'7. PGE_Efficacité'!$A$4:$AO$4,0)),0)</f>
        <v>0</v>
      </c>
      <c r="AF148" s="61">
        <f>VLOOKUP($B148,'7. PGE_Efficacité'!$A$6:$CY$266,(MATCH('[3]4.4 ACE MAX SEN '!AF$4,'7. PGE_Efficacité'!$A$4:$AO$4,0)),0)</f>
        <v>0</v>
      </c>
      <c r="AG148" s="61">
        <f>VLOOKUP($B148,'7. PGE_Efficacité'!$A$6:$CY$266,(MATCH('[3]4.4 ACE MAX SEN '!AG$4,'7. PGE_Efficacité'!$A$4:$AO$4,0)),0)</f>
        <v>0</v>
      </c>
      <c r="AH148" s="61">
        <f>VLOOKUP($B148,'7. PGE_Efficacité'!$A$6:$CY$266,(MATCH('[3]4.4 ACE MAX SEN '!AH$4,'7. PGE_Efficacité'!$A$4:$AO$4,0)),0)</f>
        <v>0</v>
      </c>
      <c r="AI148" s="61">
        <f>VLOOKUP($B148,'7. PGE_Efficacité'!$A$6:$CY$266,(MATCH('[3]4.4 ACE MAX SEN '!AI$4,'7. PGE_Efficacité'!$A$4:$AO$4,0)),0)</f>
        <v>0</v>
      </c>
      <c r="AJ148" s="61">
        <f>VLOOKUP($B148,'7. PGE_Efficacité'!$A$6:$CY$266,(MATCH('[3]4.4 ACE MAX SEN '!AJ$4,'7. PGE_Efficacité'!$A$4:$AO$4,0)),0)</f>
        <v>0</v>
      </c>
      <c r="AK148" s="61">
        <f>VLOOKUP($B148,'7. PGE_Efficacité'!$A$6:$CY$266,(MATCH('[3]4.4 ACE MAX SEN '!AK$4,'7. PGE_Efficacité'!$A$4:$AO$4,0)),0)</f>
        <v>0</v>
      </c>
    </row>
    <row r="149" spans="1:37" hidden="1" outlineLevel="2" x14ac:dyDescent="0.25">
      <c r="A149" s="65" t="s">
        <v>22</v>
      </c>
      <c r="B149" s="65" t="s">
        <v>749</v>
      </c>
      <c r="C149" s="65" t="s">
        <v>1406</v>
      </c>
      <c r="D149" s="65" t="s">
        <v>1521</v>
      </c>
      <c r="E149" s="65" t="s">
        <v>1290</v>
      </c>
      <c r="F149" s="77"/>
      <c r="G149" s="64">
        <f>VLOOKUP($B149,'7. PGE_Efficacité'!$A$6:$CY$266,(MATCH('[3]4.4 ACE MAX SEN '!G$4,'7. PGE_Efficacité'!$A$4:$AO$4,0)),0)</f>
        <v>0</v>
      </c>
      <c r="H149" s="64">
        <f>VLOOKUP($B149,'7. PGE_Efficacité'!$A$6:$CY$266,(MATCH('[3]4.4 ACE MAX SEN '!H$4,'7. PGE_Efficacité'!$A$4:$AO$4,0)),0)</f>
        <v>0</v>
      </c>
      <c r="I149" s="64">
        <f>VLOOKUP($B149,'7. PGE_Efficacité'!$A$6:$CY$266,(MATCH('[3]4.4 ACE MAX SEN '!I$4,'7. PGE_Efficacité'!$A$4:$AO$4,0)),0)</f>
        <v>0</v>
      </c>
      <c r="J149" s="64">
        <f>VLOOKUP($B149,'7. PGE_Efficacité'!$A$6:$CY$266,(MATCH('[3]4.4 ACE MAX SEN '!J$4,'7. PGE_Efficacité'!$A$4:$AO$4,0)),0)</f>
        <v>0</v>
      </c>
      <c r="K149" s="64">
        <f>VLOOKUP($B149,'7. PGE_Efficacité'!$A$6:$CY$266,(MATCH('[3]4.4 ACE MAX SEN '!K$4,'7. PGE_Efficacité'!$A$4:$AO$4,0)),0)</f>
        <v>0</v>
      </c>
      <c r="L149" s="64">
        <f>VLOOKUP($B149,'7. PGE_Efficacité'!$A$6:$CY$266,(MATCH('[3]4.4 ACE MAX SEN '!L$4,'7. PGE_Efficacité'!$A$4:$AO$4,0)),0)</f>
        <v>0</v>
      </c>
      <c r="M149" s="64">
        <f>VLOOKUP($B149,'7. PGE_Efficacité'!$A$6:$CY$266,(MATCH('[3]4.4 ACE MAX SEN '!M$4,'7. PGE_Efficacité'!$A$4:$AO$4,0)),0)</f>
        <v>0</v>
      </c>
      <c r="N149" s="64">
        <f>VLOOKUP($B149,'7. PGE_Efficacité'!$A$6:$CY$266,(MATCH('[3]4.4 ACE MAX SEN '!N$4,'7. PGE_Efficacité'!$A$4:$AO$4,0)),0)</f>
        <v>0</v>
      </c>
      <c r="O149" s="64">
        <f>VLOOKUP($B149,'7. PGE_Efficacité'!$A$6:$CY$266,(MATCH('[3]4.4 ACE MAX SEN '!O$4,'7. PGE_Efficacité'!$A$4:$AO$4,0)),0)</f>
        <v>0</v>
      </c>
      <c r="P149" s="64">
        <f>VLOOKUP($B149,'7. PGE_Efficacité'!$A$6:$CY$266,(MATCH('[3]4.4 ACE MAX SEN '!P$4,'7. PGE_Efficacité'!$A$4:$AO$4,0)),0)</f>
        <v>0</v>
      </c>
      <c r="Q149" s="64">
        <f>VLOOKUP($B149,'7. PGE_Efficacité'!$A$6:$CY$266,(MATCH('[3]4.4 ACE MAX SEN '!Q$4,'7. PGE_Efficacité'!$A$4:$AO$4,0)),0)</f>
        <v>0</v>
      </c>
      <c r="R149" s="64">
        <f>VLOOKUP($B149,'7. PGE_Efficacité'!$A$6:$CY$266,(MATCH('[3]4.4 ACE MAX SEN '!R$4,'7. PGE_Efficacité'!$A$4:$AO$4,0)),0)</f>
        <v>0</v>
      </c>
      <c r="S149" s="64">
        <f>VLOOKUP($B149,'7. PGE_Efficacité'!$A$6:$CY$266,(MATCH('[3]4.4 ACE MAX SEN '!S$4,'7. PGE_Efficacité'!$A$4:$AO$4,0)),0)</f>
        <v>0</v>
      </c>
      <c r="T149" s="64">
        <f>VLOOKUP($B149,'7. PGE_Efficacité'!$A$6:$CY$266,(MATCH('[3]4.4 ACE MAX SEN '!T$4,'7. PGE_Efficacité'!$A$4:$AO$4,0)),0)</f>
        <v>0</v>
      </c>
      <c r="U149" s="64">
        <f>VLOOKUP($B149,'7. PGE_Efficacité'!$A$6:$CY$266,(MATCH('[3]4.4 ACE MAX SEN '!U$4,'7. PGE_Efficacité'!$A$4:$AO$4,0)),0)</f>
        <v>0</v>
      </c>
      <c r="V149" s="64">
        <f>VLOOKUP($B149,'7. PGE_Efficacité'!$A$6:$CY$266,(MATCH('[3]4.4 ACE MAX SEN '!V$4,'7. PGE_Efficacité'!$A$4:$AO$4,0)),0)</f>
        <v>0</v>
      </c>
      <c r="W149" s="61">
        <f>VLOOKUP($B149,'7. PGE_Efficacité'!$A$6:$CY$266,(MATCH('[3]4.4 ACE MAX SEN '!W$4,'7. PGE_Efficacité'!$A$4:$AO$4,0)),0)</f>
        <v>0</v>
      </c>
      <c r="X149" s="61">
        <f>VLOOKUP($B149,'7. PGE_Efficacité'!$A$6:$CY$266,(MATCH('[3]4.4 ACE MAX SEN '!X$4,'7. PGE_Efficacité'!$A$4:$AO$4,0)),0)</f>
        <v>0</v>
      </c>
      <c r="Y149" s="61">
        <f>VLOOKUP($B149,'7. PGE_Efficacité'!$A$6:$CY$266,(MATCH('[3]4.4 ACE MAX SEN '!Y$4,'7. PGE_Efficacité'!$A$4:$AO$4,0)),0)</f>
        <v>0</v>
      </c>
      <c r="Z149" s="61">
        <f>VLOOKUP($B149,'7. PGE_Efficacité'!$A$6:$CY$266,(MATCH('[3]4.4 ACE MAX SEN '!Z$4,'7. PGE_Efficacité'!$A$4:$AO$4,0)),0)</f>
        <v>0</v>
      </c>
      <c r="AA149" s="61">
        <f>VLOOKUP($B149,'7. PGE_Efficacité'!$A$6:$CY$266,(MATCH('[3]4.4 ACE MAX SEN '!AA$4,'7. PGE_Efficacité'!$A$4:$AO$4,0)),0)</f>
        <v>0</v>
      </c>
      <c r="AB149" s="61">
        <f>VLOOKUP($B149,'7. PGE_Efficacité'!$A$6:$CY$266,(MATCH('[3]4.4 ACE MAX SEN '!AB$4,'7. PGE_Efficacité'!$A$4:$AO$4,0)),0)</f>
        <v>0</v>
      </c>
      <c r="AC149" s="61">
        <f>VLOOKUP($B149,'7. PGE_Efficacité'!$A$6:$CY$266,(MATCH('[3]4.4 ACE MAX SEN '!AC$4,'7. PGE_Efficacité'!$A$4:$AO$4,0)),0)</f>
        <v>0</v>
      </c>
      <c r="AD149" s="61">
        <f>VLOOKUP($B149,'7. PGE_Efficacité'!$A$6:$CY$266,(MATCH('[3]4.4 ACE MAX SEN '!AD$4,'7. PGE_Efficacité'!$A$4:$AO$4,0)),0)</f>
        <v>0</v>
      </c>
      <c r="AE149" s="61">
        <f>VLOOKUP($B149,'7. PGE_Efficacité'!$A$6:$CY$266,(MATCH('[3]4.4 ACE MAX SEN '!AE$4,'7. PGE_Efficacité'!$A$4:$AO$4,0)),0)</f>
        <v>0</v>
      </c>
      <c r="AF149" s="61">
        <f>VLOOKUP($B149,'7. PGE_Efficacité'!$A$6:$CY$266,(MATCH('[3]4.4 ACE MAX SEN '!AF$4,'7. PGE_Efficacité'!$A$4:$AO$4,0)),0)</f>
        <v>0</v>
      </c>
      <c r="AG149" s="61">
        <f>VLOOKUP($B149,'7. PGE_Efficacité'!$A$6:$CY$266,(MATCH('[3]4.4 ACE MAX SEN '!AG$4,'7. PGE_Efficacité'!$A$4:$AO$4,0)),0)</f>
        <v>0</v>
      </c>
      <c r="AH149" s="61">
        <f>VLOOKUP($B149,'7. PGE_Efficacité'!$A$6:$CY$266,(MATCH('[3]4.4 ACE MAX SEN '!AH$4,'7. PGE_Efficacité'!$A$4:$AO$4,0)),0)</f>
        <v>0</v>
      </c>
      <c r="AI149" s="61">
        <f>VLOOKUP($B149,'7. PGE_Efficacité'!$A$6:$CY$266,(MATCH('[3]4.4 ACE MAX SEN '!AI$4,'7. PGE_Efficacité'!$A$4:$AO$4,0)),0)</f>
        <v>0</v>
      </c>
      <c r="AJ149" s="61">
        <f>VLOOKUP($B149,'7. PGE_Efficacité'!$A$6:$CY$266,(MATCH('[3]4.4 ACE MAX SEN '!AJ$4,'7. PGE_Efficacité'!$A$4:$AO$4,0)),0)</f>
        <v>0</v>
      </c>
      <c r="AK149" s="61">
        <f>VLOOKUP($B149,'7. PGE_Efficacité'!$A$6:$CY$266,(MATCH('[3]4.4 ACE MAX SEN '!AK$4,'7. PGE_Efficacité'!$A$4:$AO$4,0)),0)</f>
        <v>0</v>
      </c>
    </row>
    <row r="150" spans="1:37" hidden="1" outlineLevel="2" x14ac:dyDescent="0.25">
      <c r="A150" s="65" t="s">
        <v>22</v>
      </c>
      <c r="B150" s="65" t="s">
        <v>739</v>
      </c>
      <c r="C150" s="65" t="s">
        <v>1397</v>
      </c>
      <c r="D150" s="65" t="s">
        <v>1521</v>
      </c>
      <c r="E150" s="65" t="s">
        <v>1287</v>
      </c>
      <c r="F150" s="77"/>
      <c r="G150" s="64">
        <f>VLOOKUP($B150,'7. PGE_Efficacité'!$A$6:$CY$266,(MATCH('[3]4.4 ACE MAX SEN '!G$4,'7. PGE_Efficacité'!$A$4:$AO$4,0)),0)</f>
        <v>0</v>
      </c>
      <c r="H150" s="64">
        <f>VLOOKUP($B150,'7. PGE_Efficacité'!$A$6:$CY$266,(MATCH('[3]4.4 ACE MAX SEN '!H$4,'7. PGE_Efficacité'!$A$4:$AO$4,0)),0)</f>
        <v>0</v>
      </c>
      <c r="I150" s="64">
        <f>VLOOKUP($B150,'7. PGE_Efficacité'!$A$6:$CY$266,(MATCH('[3]4.4 ACE MAX SEN '!I$4,'7. PGE_Efficacité'!$A$4:$AO$4,0)),0)</f>
        <v>0</v>
      </c>
      <c r="J150" s="64">
        <f>VLOOKUP($B150,'7. PGE_Efficacité'!$A$6:$CY$266,(MATCH('[3]4.4 ACE MAX SEN '!J$4,'7. PGE_Efficacité'!$A$4:$AO$4,0)),0)</f>
        <v>0</v>
      </c>
      <c r="K150" s="64">
        <f>VLOOKUP($B150,'7. PGE_Efficacité'!$A$6:$CY$266,(MATCH('[3]4.4 ACE MAX SEN '!K$4,'7. PGE_Efficacité'!$A$4:$AO$4,0)),0)</f>
        <v>0</v>
      </c>
      <c r="L150" s="64">
        <f>VLOOKUP($B150,'7. PGE_Efficacité'!$A$6:$CY$266,(MATCH('[3]4.4 ACE MAX SEN '!L$4,'7. PGE_Efficacité'!$A$4:$AO$4,0)),0)</f>
        <v>0</v>
      </c>
      <c r="M150" s="64">
        <f>VLOOKUP($B150,'7. PGE_Efficacité'!$A$6:$CY$266,(MATCH('[3]4.4 ACE MAX SEN '!M$4,'7. PGE_Efficacité'!$A$4:$AO$4,0)),0)</f>
        <v>0</v>
      </c>
      <c r="N150" s="64">
        <f>VLOOKUP($B150,'7. PGE_Efficacité'!$A$6:$CY$266,(MATCH('[3]4.4 ACE MAX SEN '!N$4,'7. PGE_Efficacité'!$A$4:$AO$4,0)),0)</f>
        <v>0</v>
      </c>
      <c r="O150" s="64">
        <f>VLOOKUP($B150,'7. PGE_Efficacité'!$A$6:$CY$266,(MATCH('[3]4.4 ACE MAX SEN '!O$4,'7. PGE_Efficacité'!$A$4:$AO$4,0)),0)</f>
        <v>0</v>
      </c>
      <c r="P150" s="64">
        <f>VLOOKUP($B150,'7. PGE_Efficacité'!$A$6:$CY$266,(MATCH('[3]4.4 ACE MAX SEN '!P$4,'7. PGE_Efficacité'!$A$4:$AO$4,0)),0)</f>
        <v>0</v>
      </c>
      <c r="Q150" s="64">
        <f>VLOOKUP($B150,'7. PGE_Efficacité'!$A$6:$CY$266,(MATCH('[3]4.4 ACE MAX SEN '!Q$4,'7. PGE_Efficacité'!$A$4:$AO$4,0)),0)</f>
        <v>0</v>
      </c>
      <c r="R150" s="64">
        <f>VLOOKUP($B150,'7. PGE_Efficacité'!$A$6:$CY$266,(MATCH('[3]4.4 ACE MAX SEN '!R$4,'7. PGE_Efficacité'!$A$4:$AO$4,0)),0)</f>
        <v>0</v>
      </c>
      <c r="S150" s="64">
        <f>VLOOKUP($B150,'7. PGE_Efficacité'!$A$6:$CY$266,(MATCH('[3]4.4 ACE MAX SEN '!S$4,'7. PGE_Efficacité'!$A$4:$AO$4,0)),0)</f>
        <v>0</v>
      </c>
      <c r="T150" s="64">
        <f>VLOOKUP($B150,'7. PGE_Efficacité'!$A$6:$CY$266,(MATCH('[3]4.4 ACE MAX SEN '!T$4,'7. PGE_Efficacité'!$A$4:$AO$4,0)),0)</f>
        <v>0</v>
      </c>
      <c r="U150" s="64">
        <f>VLOOKUP($B150,'7. PGE_Efficacité'!$A$6:$CY$266,(MATCH('[3]4.4 ACE MAX SEN '!U$4,'7. PGE_Efficacité'!$A$4:$AO$4,0)),0)</f>
        <v>0</v>
      </c>
      <c r="V150" s="64">
        <f>VLOOKUP($B150,'7. PGE_Efficacité'!$A$6:$CY$266,(MATCH('[3]4.4 ACE MAX SEN '!V$4,'7. PGE_Efficacité'!$A$4:$AO$4,0)),0)</f>
        <v>0</v>
      </c>
      <c r="W150" s="61">
        <f>VLOOKUP($B150,'7. PGE_Efficacité'!$A$6:$CY$266,(MATCH('[3]4.4 ACE MAX SEN '!W$4,'7. PGE_Efficacité'!$A$4:$AO$4,0)),0)</f>
        <v>0</v>
      </c>
      <c r="X150" s="61">
        <f>VLOOKUP($B150,'7. PGE_Efficacité'!$A$6:$CY$266,(MATCH('[3]4.4 ACE MAX SEN '!X$4,'7. PGE_Efficacité'!$A$4:$AO$4,0)),0)</f>
        <v>0</v>
      </c>
      <c r="Y150" s="61">
        <f>VLOOKUP($B150,'7. PGE_Efficacité'!$A$6:$CY$266,(MATCH('[3]4.4 ACE MAX SEN '!Y$4,'7. PGE_Efficacité'!$A$4:$AO$4,0)),0)</f>
        <v>0</v>
      </c>
      <c r="Z150" s="61">
        <f>VLOOKUP($B150,'7. PGE_Efficacité'!$A$6:$CY$266,(MATCH('[3]4.4 ACE MAX SEN '!Z$4,'7. PGE_Efficacité'!$A$4:$AO$4,0)),0)</f>
        <v>0</v>
      </c>
      <c r="AA150" s="61">
        <f>VLOOKUP($B150,'7. PGE_Efficacité'!$A$6:$CY$266,(MATCH('[3]4.4 ACE MAX SEN '!AA$4,'7. PGE_Efficacité'!$A$4:$AO$4,0)),0)</f>
        <v>0</v>
      </c>
      <c r="AB150" s="61">
        <f>VLOOKUP($B150,'7. PGE_Efficacité'!$A$6:$CY$266,(MATCH('[3]4.4 ACE MAX SEN '!AB$4,'7. PGE_Efficacité'!$A$4:$AO$4,0)),0)</f>
        <v>0</v>
      </c>
      <c r="AC150" s="61">
        <f>VLOOKUP($B150,'7. PGE_Efficacité'!$A$6:$CY$266,(MATCH('[3]4.4 ACE MAX SEN '!AC$4,'7. PGE_Efficacité'!$A$4:$AO$4,0)),0)</f>
        <v>0</v>
      </c>
      <c r="AD150" s="61">
        <f>VLOOKUP($B150,'7. PGE_Efficacité'!$A$6:$CY$266,(MATCH('[3]4.4 ACE MAX SEN '!AD$4,'7. PGE_Efficacité'!$A$4:$AO$4,0)),0)</f>
        <v>0</v>
      </c>
      <c r="AE150" s="61">
        <f>VLOOKUP($B150,'7. PGE_Efficacité'!$A$6:$CY$266,(MATCH('[3]4.4 ACE MAX SEN '!AE$4,'7. PGE_Efficacité'!$A$4:$AO$4,0)),0)</f>
        <v>0</v>
      </c>
      <c r="AF150" s="61">
        <f>VLOOKUP($B150,'7. PGE_Efficacité'!$A$6:$CY$266,(MATCH('[3]4.4 ACE MAX SEN '!AF$4,'7. PGE_Efficacité'!$A$4:$AO$4,0)),0)</f>
        <v>0</v>
      </c>
      <c r="AG150" s="61">
        <f>VLOOKUP($B150,'7. PGE_Efficacité'!$A$6:$CY$266,(MATCH('[3]4.4 ACE MAX SEN '!AG$4,'7. PGE_Efficacité'!$A$4:$AO$4,0)),0)</f>
        <v>0</v>
      </c>
      <c r="AH150" s="61">
        <f>VLOOKUP($B150,'7. PGE_Efficacité'!$A$6:$CY$266,(MATCH('[3]4.4 ACE MAX SEN '!AH$4,'7. PGE_Efficacité'!$A$4:$AO$4,0)),0)</f>
        <v>0</v>
      </c>
      <c r="AI150" s="61">
        <f>VLOOKUP($B150,'7. PGE_Efficacité'!$A$6:$CY$266,(MATCH('[3]4.4 ACE MAX SEN '!AI$4,'7. PGE_Efficacité'!$A$4:$AO$4,0)),0)</f>
        <v>0</v>
      </c>
      <c r="AJ150" s="61">
        <f>VLOOKUP($B150,'7. PGE_Efficacité'!$A$6:$CY$266,(MATCH('[3]4.4 ACE MAX SEN '!AJ$4,'7. PGE_Efficacité'!$A$4:$AO$4,0)),0)</f>
        <v>0</v>
      </c>
      <c r="AK150" s="61">
        <f>VLOOKUP($B150,'7. PGE_Efficacité'!$A$6:$CY$266,(MATCH('[3]4.4 ACE MAX SEN '!AK$4,'7. PGE_Efficacité'!$A$4:$AO$4,0)),0)</f>
        <v>0</v>
      </c>
    </row>
    <row r="151" spans="1:37" outlineLevel="1" collapsed="1" x14ac:dyDescent="0.25">
      <c r="A151" s="157" t="s">
        <v>25</v>
      </c>
      <c r="B151" s="63"/>
      <c r="C151" s="156" t="s">
        <v>2592</v>
      </c>
      <c r="D151" s="63"/>
      <c r="E151" s="63"/>
      <c r="F151" s="72">
        <f>MEDIAN(VLOOKUP(A151,'4. Mesures_ACE_Budget'!$A$3:$J$31,9,0),VLOOKUP(A151,'4. Mesures_ACE_Budget'!$A$3:$J$31,10,0))</f>
        <v>0</v>
      </c>
      <c r="G151" s="180">
        <f>VLOOKUP($A151,'7. PGE_Efficacité'!$A$6:$CY$266,(MATCH('[2]4.4 ACE MAX SEN '!G$4,'7. PGE_Efficacité'!$A$4:$AO$4,0)),0)</f>
        <v>0</v>
      </c>
      <c r="H151" s="180">
        <f>VLOOKUP($A151,'7. PGE_Efficacité'!$A$6:$CY$266,(MATCH('[2]4.4 ACE MAX SEN '!H$4,'7. PGE_Efficacité'!$A$4:$AO$4,0)),0)</f>
        <v>0</v>
      </c>
      <c r="I151" s="180">
        <f>VLOOKUP($A151,'7. PGE_Efficacité'!$A$6:$CY$266,(MATCH('[2]4.4 ACE MAX SEN '!I$4,'7. PGE_Efficacité'!$A$4:$AO$4,0)),0)</f>
        <v>0</v>
      </c>
      <c r="J151" s="180">
        <f>VLOOKUP($A151,'7. PGE_Efficacité'!$A$6:$CY$266,(MATCH('[2]4.4 ACE MAX SEN '!J$4,'7. PGE_Efficacité'!$A$4:$AO$4,0)),0)</f>
        <v>0</v>
      </c>
      <c r="K151" s="180">
        <f>VLOOKUP($A151,'7. PGE_Efficacité'!$A$6:$CY$266,(MATCH('[2]4.4 ACE MAX SEN '!K$4,'7. PGE_Efficacité'!$A$4:$AO$4,0)),0)</f>
        <v>0</v>
      </c>
      <c r="L151" s="180">
        <f>VLOOKUP($A151,'7. PGE_Efficacité'!$A$6:$CY$266,(MATCH('[2]4.4 ACE MAX SEN '!L$4,'7. PGE_Efficacité'!$A$4:$AO$4,0)),0)</f>
        <v>0</v>
      </c>
      <c r="M151" s="180">
        <f>VLOOKUP($A151,'7. PGE_Efficacité'!$A$6:$CY$266,(MATCH('[2]4.4 ACE MAX SEN '!M$4,'7. PGE_Efficacité'!$A$4:$AO$4,0)),0)</f>
        <v>0</v>
      </c>
      <c r="N151" s="180">
        <f>VLOOKUP($A151,'7. PGE_Efficacité'!$A$6:$CY$266,(MATCH('[2]4.4 ACE MAX SEN '!N$4,'7. PGE_Efficacité'!$A$4:$AO$4,0)),0)</f>
        <v>0</v>
      </c>
      <c r="O151" s="180">
        <f>VLOOKUP($A151,'7. PGE_Efficacité'!$A$6:$CY$266,(MATCH('[2]4.4 ACE MAX SEN '!O$4,'7. PGE_Efficacité'!$A$4:$AO$4,0)),0)</f>
        <v>0</v>
      </c>
      <c r="P151" s="180">
        <f>VLOOKUP($A151,'7. PGE_Efficacité'!$A$6:$CY$266,(MATCH('[2]4.4 ACE MAX SEN '!P$4,'7. PGE_Efficacité'!$A$4:$AO$4,0)),0)</f>
        <v>0</v>
      </c>
      <c r="Q151" s="180">
        <f>VLOOKUP($A151,'7. PGE_Efficacité'!$A$6:$CY$266,(MATCH('[2]4.4 ACE MAX SEN '!Q$4,'7. PGE_Efficacité'!$A$4:$AO$4,0)),0)</f>
        <v>0</v>
      </c>
      <c r="R151" s="180">
        <f>VLOOKUP($A151,'7. PGE_Efficacité'!$A$6:$CY$266,(MATCH('[2]4.4 ACE MAX SEN '!R$4,'7. PGE_Efficacité'!$A$4:$AO$4,0)),0)</f>
        <v>0</v>
      </c>
      <c r="S151" s="180">
        <f>VLOOKUP($A151,'7. PGE_Efficacité'!$A$6:$CY$266,(MATCH('[2]4.4 ACE MAX SEN '!S$4,'7. PGE_Efficacité'!$A$4:$AO$4,0)),0)</f>
        <v>0</v>
      </c>
      <c r="T151" s="180">
        <f>VLOOKUP($A151,'7. PGE_Efficacité'!$A$6:$CY$266,(MATCH('[2]4.4 ACE MAX SEN '!T$4,'7. PGE_Efficacité'!$A$4:$AO$4,0)),0)</f>
        <v>0</v>
      </c>
      <c r="U151" s="180">
        <f>VLOOKUP($A151,'7. PGE_Efficacité'!$A$6:$CY$266,(MATCH('[2]4.4 ACE MAX SEN '!U$4,'7. PGE_Efficacité'!$A$4:$AO$4,0)),0)</f>
        <v>0</v>
      </c>
      <c r="V151" s="180">
        <f>VLOOKUP($A151,'7. PGE_Efficacité'!$A$6:$CY$266,(MATCH('[2]4.4 ACE MAX SEN '!V$4,'7. PGE_Efficacité'!$A$4:$AO$4,0)),0)</f>
        <v>0</v>
      </c>
      <c r="W151" s="181">
        <f>VLOOKUP($A151,'7. PGE_Efficacité'!$A$6:$CY$266,(MATCH('[2]4.4 ACE MAX SEN '!W$4,'7. PGE_Efficacité'!$A$4:$AO$4,0)),0)</f>
        <v>0</v>
      </c>
      <c r="X151" s="181">
        <f>VLOOKUP($A151,'7. PGE_Efficacité'!$A$6:$CY$266,(MATCH('[2]4.4 ACE MAX SEN '!X$4,'7. PGE_Efficacité'!$A$4:$AO$4,0)),0)</f>
        <v>0</v>
      </c>
      <c r="Y151" s="181">
        <f>VLOOKUP($A151,'7. PGE_Efficacité'!$A$6:$CY$266,(MATCH('[2]4.4 ACE MAX SEN '!Y$4,'7. PGE_Efficacité'!$A$4:$AO$4,0)),0)</f>
        <v>0</v>
      </c>
      <c r="Z151" s="181">
        <f>VLOOKUP($A151,'7. PGE_Efficacité'!$A$6:$CY$266,(MATCH('[2]4.4 ACE MAX SEN '!Z$4,'7. PGE_Efficacité'!$A$4:$AO$4,0)),0)</f>
        <v>0</v>
      </c>
      <c r="AA151" s="181">
        <f>VLOOKUP($A151,'7. PGE_Efficacité'!$A$6:$CY$266,(MATCH('[2]4.4 ACE MAX SEN '!AA$4,'7. PGE_Efficacité'!$A$4:$AO$4,0)),0)</f>
        <v>0</v>
      </c>
      <c r="AB151" s="181">
        <f>VLOOKUP($A151,'7. PGE_Efficacité'!$A$6:$CY$266,(MATCH('[2]4.4 ACE MAX SEN '!AB$4,'7. PGE_Efficacité'!$A$4:$AO$4,0)),0)</f>
        <v>0</v>
      </c>
      <c r="AC151" s="181">
        <f>VLOOKUP($A151,'7. PGE_Efficacité'!$A$6:$CY$266,(MATCH('[2]4.4 ACE MAX SEN '!AC$4,'7. PGE_Efficacité'!$A$4:$AO$4,0)),0)</f>
        <v>0</v>
      </c>
      <c r="AD151" s="181">
        <f>VLOOKUP($A151,'7. PGE_Efficacité'!$A$6:$CY$266,(MATCH('[2]4.4 ACE MAX SEN '!AD$4,'7. PGE_Efficacité'!$A$4:$AO$4,0)),0)</f>
        <v>0</v>
      </c>
      <c r="AE151" s="181">
        <f>VLOOKUP($A151,'7. PGE_Efficacité'!$A$6:$CY$266,(MATCH('[2]4.4 ACE MAX SEN '!AE$4,'7. PGE_Efficacité'!$A$4:$AO$4,0)),0)</f>
        <v>0</v>
      </c>
      <c r="AF151" s="181">
        <f>VLOOKUP($A151,'7. PGE_Efficacité'!$A$6:$CY$266,(MATCH('[2]4.4 ACE MAX SEN '!AF$4,'7. PGE_Efficacité'!$A$4:$AO$4,0)),0)</f>
        <v>0</v>
      </c>
      <c r="AG151" s="181">
        <f>VLOOKUP($A151,'7. PGE_Efficacité'!$A$6:$CY$266,(MATCH('[2]4.4 ACE MAX SEN '!AG$4,'7. PGE_Efficacité'!$A$4:$AO$4,0)),0)</f>
        <v>0</v>
      </c>
      <c r="AH151" s="181">
        <f>VLOOKUP($A151,'7. PGE_Efficacité'!$A$6:$CY$266,(MATCH('[2]4.4 ACE MAX SEN '!AH$4,'7. PGE_Efficacité'!$A$4:$AO$4,0)),0)</f>
        <v>0</v>
      </c>
      <c r="AI151" s="181">
        <f>VLOOKUP($A151,'7. PGE_Efficacité'!$A$6:$CY$266,(MATCH('[2]4.4 ACE MAX SEN '!AI$4,'7. PGE_Efficacité'!$A$4:$AO$4,0)),0)</f>
        <v>0</v>
      </c>
      <c r="AJ151" s="181">
        <f>VLOOKUP($A151,'7. PGE_Efficacité'!$A$6:$CY$266,(MATCH('[2]4.4 ACE MAX SEN '!AJ$4,'7. PGE_Efficacité'!$A$4:$AO$4,0)),0)</f>
        <v>0</v>
      </c>
      <c r="AK151" s="181">
        <f>VLOOKUP($A151,'7. PGE_Efficacité'!$A$6:$CY$266,(MATCH('[2]4.4 ACE MAX SEN '!AK$4,'7. PGE_Efficacité'!$A$4:$AO$4,0)),0)</f>
        <v>0</v>
      </c>
    </row>
    <row r="152" spans="1:37" hidden="1" outlineLevel="2" x14ac:dyDescent="0.25">
      <c r="A152" s="65" t="s">
        <v>25</v>
      </c>
      <c r="B152" s="65" t="s">
        <v>750</v>
      </c>
      <c r="C152" s="65" t="s">
        <v>1986</v>
      </c>
      <c r="D152" s="65" t="s">
        <v>1521</v>
      </c>
      <c r="E152" s="65" t="s">
        <v>415</v>
      </c>
      <c r="F152" s="70"/>
      <c r="G152" s="64">
        <f>VLOOKUP($B152,'7. PGE_Efficacité'!$A$6:$CY$266,(MATCH('[3]4.4 ACE MAX SEN '!G$4,'7. PGE_Efficacité'!$A$4:$AO$4,0)),0)</f>
        <v>0</v>
      </c>
      <c r="H152" s="64">
        <f>VLOOKUP($B152,'7. PGE_Efficacité'!$A$6:$CY$266,(MATCH('[3]4.4 ACE MAX SEN '!H$4,'7. PGE_Efficacité'!$A$4:$AO$4,0)),0)</f>
        <v>0</v>
      </c>
      <c r="I152" s="64">
        <f>VLOOKUP($B152,'7. PGE_Efficacité'!$A$6:$CY$266,(MATCH('[3]4.4 ACE MAX SEN '!I$4,'7. PGE_Efficacité'!$A$4:$AO$4,0)),0)</f>
        <v>0</v>
      </c>
      <c r="J152" s="64">
        <f>VLOOKUP($B152,'7. PGE_Efficacité'!$A$6:$CY$266,(MATCH('[3]4.4 ACE MAX SEN '!J$4,'7. PGE_Efficacité'!$A$4:$AO$4,0)),0)</f>
        <v>0</v>
      </c>
      <c r="K152" s="64">
        <f>VLOOKUP($B152,'7. PGE_Efficacité'!$A$6:$CY$266,(MATCH('[3]4.4 ACE MAX SEN '!K$4,'7. PGE_Efficacité'!$A$4:$AO$4,0)),0)</f>
        <v>0</v>
      </c>
      <c r="L152" s="64">
        <f>VLOOKUP($B152,'7. PGE_Efficacité'!$A$6:$CY$266,(MATCH('[3]4.4 ACE MAX SEN '!L$4,'7. PGE_Efficacité'!$A$4:$AO$4,0)),0)</f>
        <v>0</v>
      </c>
      <c r="M152" s="64">
        <f>VLOOKUP($B152,'7. PGE_Efficacité'!$A$6:$CY$266,(MATCH('[3]4.4 ACE MAX SEN '!M$4,'7. PGE_Efficacité'!$A$4:$AO$4,0)),0)</f>
        <v>0</v>
      </c>
      <c r="N152" s="64">
        <f>VLOOKUP($B152,'7. PGE_Efficacité'!$A$6:$CY$266,(MATCH('[3]4.4 ACE MAX SEN '!N$4,'7. PGE_Efficacité'!$A$4:$AO$4,0)),0)</f>
        <v>0</v>
      </c>
      <c r="O152" s="64">
        <f>VLOOKUP($B152,'7. PGE_Efficacité'!$A$6:$CY$266,(MATCH('[3]4.4 ACE MAX SEN '!O$4,'7. PGE_Efficacité'!$A$4:$AO$4,0)),0)</f>
        <v>0</v>
      </c>
      <c r="P152" s="64">
        <f>VLOOKUP($B152,'7. PGE_Efficacité'!$A$6:$CY$266,(MATCH('[3]4.4 ACE MAX SEN '!P$4,'7. PGE_Efficacité'!$A$4:$AO$4,0)),0)</f>
        <v>0</v>
      </c>
      <c r="Q152" s="64">
        <f>VLOOKUP($B152,'7. PGE_Efficacité'!$A$6:$CY$266,(MATCH('[3]4.4 ACE MAX SEN '!Q$4,'7. PGE_Efficacité'!$A$4:$AO$4,0)),0)</f>
        <v>0</v>
      </c>
      <c r="R152" s="64">
        <f>VLOOKUP($B152,'7. PGE_Efficacité'!$A$6:$CY$266,(MATCH('[3]4.4 ACE MAX SEN '!R$4,'7. PGE_Efficacité'!$A$4:$AO$4,0)),0)</f>
        <v>0</v>
      </c>
      <c r="S152" s="64">
        <f>VLOOKUP($B152,'7. PGE_Efficacité'!$A$6:$CY$266,(MATCH('[3]4.4 ACE MAX SEN '!S$4,'7. PGE_Efficacité'!$A$4:$AO$4,0)),0)</f>
        <v>0</v>
      </c>
      <c r="T152" s="64">
        <f>VLOOKUP($B152,'7. PGE_Efficacité'!$A$6:$CY$266,(MATCH('[3]4.4 ACE MAX SEN '!T$4,'7. PGE_Efficacité'!$A$4:$AO$4,0)),0)</f>
        <v>0</v>
      </c>
      <c r="U152" s="64">
        <f>VLOOKUP($B152,'7. PGE_Efficacité'!$A$6:$CY$266,(MATCH('[3]4.4 ACE MAX SEN '!U$4,'7. PGE_Efficacité'!$A$4:$AO$4,0)),0)</f>
        <v>0</v>
      </c>
      <c r="V152" s="64">
        <f>VLOOKUP($B152,'7. PGE_Efficacité'!$A$6:$CY$266,(MATCH('[3]4.4 ACE MAX SEN '!V$4,'7. PGE_Efficacité'!$A$4:$AO$4,0)),0)</f>
        <v>0</v>
      </c>
      <c r="W152" s="61">
        <f>VLOOKUP($B152,'7. PGE_Efficacité'!$A$6:$CY$266,(MATCH('[3]4.4 ACE MAX SEN '!W$4,'7. PGE_Efficacité'!$A$4:$AO$4,0)),0)</f>
        <v>0</v>
      </c>
      <c r="X152" s="61">
        <f>VLOOKUP($B152,'7. PGE_Efficacité'!$A$6:$CY$266,(MATCH('[3]4.4 ACE MAX SEN '!X$4,'7. PGE_Efficacité'!$A$4:$AO$4,0)),0)</f>
        <v>0</v>
      </c>
      <c r="Y152" s="61">
        <f>VLOOKUP($B152,'7. PGE_Efficacité'!$A$6:$CY$266,(MATCH('[3]4.4 ACE MAX SEN '!Y$4,'7. PGE_Efficacité'!$A$4:$AO$4,0)),0)</f>
        <v>0</v>
      </c>
      <c r="Z152" s="61">
        <f>VLOOKUP($B152,'7. PGE_Efficacité'!$A$6:$CY$266,(MATCH('[3]4.4 ACE MAX SEN '!Z$4,'7. PGE_Efficacité'!$A$4:$AO$4,0)),0)</f>
        <v>0</v>
      </c>
      <c r="AA152" s="61">
        <f>VLOOKUP($B152,'7. PGE_Efficacité'!$A$6:$CY$266,(MATCH('[3]4.4 ACE MAX SEN '!AA$4,'7. PGE_Efficacité'!$A$4:$AO$4,0)),0)</f>
        <v>0</v>
      </c>
      <c r="AB152" s="61">
        <f>VLOOKUP($B152,'7. PGE_Efficacité'!$A$6:$CY$266,(MATCH('[3]4.4 ACE MAX SEN '!AB$4,'7. PGE_Efficacité'!$A$4:$AO$4,0)),0)</f>
        <v>0</v>
      </c>
      <c r="AC152" s="61">
        <f>VLOOKUP($B152,'7. PGE_Efficacité'!$A$6:$CY$266,(MATCH('[3]4.4 ACE MAX SEN '!AC$4,'7. PGE_Efficacité'!$A$4:$AO$4,0)),0)</f>
        <v>0</v>
      </c>
      <c r="AD152" s="61">
        <f>VLOOKUP($B152,'7. PGE_Efficacité'!$A$6:$CY$266,(MATCH('[3]4.4 ACE MAX SEN '!AD$4,'7. PGE_Efficacité'!$A$4:$AO$4,0)),0)</f>
        <v>0</v>
      </c>
      <c r="AE152" s="61">
        <f>VLOOKUP($B152,'7. PGE_Efficacité'!$A$6:$CY$266,(MATCH('[3]4.4 ACE MAX SEN '!AE$4,'7. PGE_Efficacité'!$A$4:$AO$4,0)),0)</f>
        <v>0</v>
      </c>
      <c r="AF152" s="61">
        <f>VLOOKUP($B152,'7. PGE_Efficacité'!$A$6:$CY$266,(MATCH('[3]4.4 ACE MAX SEN '!AF$4,'7. PGE_Efficacité'!$A$4:$AO$4,0)),0)</f>
        <v>0</v>
      </c>
      <c r="AG152" s="61">
        <f>VLOOKUP($B152,'7. PGE_Efficacité'!$A$6:$CY$266,(MATCH('[3]4.4 ACE MAX SEN '!AG$4,'7. PGE_Efficacité'!$A$4:$AO$4,0)),0)</f>
        <v>0</v>
      </c>
      <c r="AH152" s="61">
        <f>VLOOKUP($B152,'7. PGE_Efficacité'!$A$6:$CY$266,(MATCH('[3]4.4 ACE MAX SEN '!AH$4,'7. PGE_Efficacité'!$A$4:$AO$4,0)),0)</f>
        <v>0</v>
      </c>
      <c r="AI152" s="61">
        <f>VLOOKUP($B152,'7. PGE_Efficacité'!$A$6:$CY$266,(MATCH('[3]4.4 ACE MAX SEN '!AI$4,'7. PGE_Efficacité'!$A$4:$AO$4,0)),0)</f>
        <v>0</v>
      </c>
      <c r="AJ152" s="61">
        <f>VLOOKUP($B152,'7. PGE_Efficacité'!$A$6:$CY$266,(MATCH('[3]4.4 ACE MAX SEN '!AJ$4,'7. PGE_Efficacité'!$A$4:$AO$4,0)),0)</f>
        <v>0</v>
      </c>
      <c r="AK152" s="61">
        <f>VLOOKUP($B152,'7. PGE_Efficacité'!$A$6:$CY$266,(MATCH('[3]4.4 ACE MAX SEN '!AK$4,'7. PGE_Efficacité'!$A$4:$AO$4,0)),0)</f>
        <v>0</v>
      </c>
    </row>
    <row r="153" spans="1:37" hidden="1" outlineLevel="2" x14ac:dyDescent="0.25">
      <c r="A153" s="65" t="s">
        <v>25</v>
      </c>
      <c r="B153" s="65" t="s">
        <v>751</v>
      </c>
      <c r="C153" s="65" t="s">
        <v>1988</v>
      </c>
      <c r="D153" s="65" t="s">
        <v>1521</v>
      </c>
      <c r="E153" s="65" t="s">
        <v>415</v>
      </c>
      <c r="F153" s="70"/>
      <c r="G153" s="64">
        <f>VLOOKUP($B153,'7. PGE_Efficacité'!$A$6:$CY$266,(MATCH('[3]4.4 ACE MAX SEN '!G$4,'7. PGE_Efficacité'!$A$4:$AO$4,0)),0)</f>
        <v>0</v>
      </c>
      <c r="H153" s="64">
        <f>VLOOKUP($B153,'7. PGE_Efficacité'!$A$6:$CY$266,(MATCH('[3]4.4 ACE MAX SEN '!H$4,'7. PGE_Efficacité'!$A$4:$AO$4,0)),0)</f>
        <v>0</v>
      </c>
      <c r="I153" s="64">
        <f>VLOOKUP($B153,'7. PGE_Efficacité'!$A$6:$CY$266,(MATCH('[3]4.4 ACE MAX SEN '!I$4,'7. PGE_Efficacité'!$A$4:$AO$4,0)),0)</f>
        <v>0</v>
      </c>
      <c r="J153" s="64">
        <f>VLOOKUP($B153,'7. PGE_Efficacité'!$A$6:$CY$266,(MATCH('[3]4.4 ACE MAX SEN '!J$4,'7. PGE_Efficacité'!$A$4:$AO$4,0)),0)</f>
        <v>0</v>
      </c>
      <c r="K153" s="64">
        <f>VLOOKUP($B153,'7. PGE_Efficacité'!$A$6:$CY$266,(MATCH('[3]4.4 ACE MAX SEN '!K$4,'7. PGE_Efficacité'!$A$4:$AO$4,0)),0)</f>
        <v>0</v>
      </c>
      <c r="L153" s="64">
        <f>VLOOKUP($B153,'7. PGE_Efficacité'!$A$6:$CY$266,(MATCH('[3]4.4 ACE MAX SEN '!L$4,'7. PGE_Efficacité'!$A$4:$AO$4,0)),0)</f>
        <v>0</v>
      </c>
      <c r="M153" s="64">
        <f>VLOOKUP($B153,'7. PGE_Efficacité'!$A$6:$CY$266,(MATCH('[3]4.4 ACE MAX SEN '!M$4,'7. PGE_Efficacité'!$A$4:$AO$4,0)),0)</f>
        <v>0</v>
      </c>
      <c r="N153" s="64">
        <f>VLOOKUP($B153,'7. PGE_Efficacité'!$A$6:$CY$266,(MATCH('[3]4.4 ACE MAX SEN '!N$4,'7. PGE_Efficacité'!$A$4:$AO$4,0)),0)</f>
        <v>0</v>
      </c>
      <c r="O153" s="64">
        <f>VLOOKUP($B153,'7. PGE_Efficacité'!$A$6:$CY$266,(MATCH('[3]4.4 ACE MAX SEN '!O$4,'7. PGE_Efficacité'!$A$4:$AO$4,0)),0)</f>
        <v>0</v>
      </c>
      <c r="P153" s="64">
        <f>VLOOKUP($B153,'7. PGE_Efficacité'!$A$6:$CY$266,(MATCH('[3]4.4 ACE MAX SEN '!P$4,'7. PGE_Efficacité'!$A$4:$AO$4,0)),0)</f>
        <v>0</v>
      </c>
      <c r="Q153" s="64">
        <f>VLOOKUP($B153,'7. PGE_Efficacité'!$A$6:$CY$266,(MATCH('[3]4.4 ACE MAX SEN '!Q$4,'7. PGE_Efficacité'!$A$4:$AO$4,0)),0)</f>
        <v>0</v>
      </c>
      <c r="R153" s="64">
        <f>VLOOKUP($B153,'7. PGE_Efficacité'!$A$6:$CY$266,(MATCH('[3]4.4 ACE MAX SEN '!R$4,'7. PGE_Efficacité'!$A$4:$AO$4,0)),0)</f>
        <v>0</v>
      </c>
      <c r="S153" s="64">
        <f>VLOOKUP($B153,'7. PGE_Efficacité'!$A$6:$CY$266,(MATCH('[3]4.4 ACE MAX SEN '!S$4,'7. PGE_Efficacité'!$A$4:$AO$4,0)),0)</f>
        <v>0</v>
      </c>
      <c r="T153" s="64">
        <f>VLOOKUP($B153,'7. PGE_Efficacité'!$A$6:$CY$266,(MATCH('[3]4.4 ACE MAX SEN '!T$4,'7. PGE_Efficacité'!$A$4:$AO$4,0)),0)</f>
        <v>0</v>
      </c>
      <c r="U153" s="64">
        <f>VLOOKUP($B153,'7. PGE_Efficacité'!$A$6:$CY$266,(MATCH('[3]4.4 ACE MAX SEN '!U$4,'7. PGE_Efficacité'!$A$4:$AO$4,0)),0)</f>
        <v>0</v>
      </c>
      <c r="V153" s="64">
        <f>VLOOKUP($B153,'7. PGE_Efficacité'!$A$6:$CY$266,(MATCH('[3]4.4 ACE MAX SEN '!V$4,'7. PGE_Efficacité'!$A$4:$AO$4,0)),0)</f>
        <v>0</v>
      </c>
      <c r="W153" s="61">
        <f>VLOOKUP($B153,'7. PGE_Efficacité'!$A$6:$CY$266,(MATCH('[3]4.4 ACE MAX SEN '!W$4,'7. PGE_Efficacité'!$A$4:$AO$4,0)),0)</f>
        <v>0</v>
      </c>
      <c r="X153" s="61">
        <f>VLOOKUP($B153,'7. PGE_Efficacité'!$A$6:$CY$266,(MATCH('[3]4.4 ACE MAX SEN '!X$4,'7. PGE_Efficacité'!$A$4:$AO$4,0)),0)</f>
        <v>0</v>
      </c>
      <c r="Y153" s="61">
        <f>VLOOKUP($B153,'7. PGE_Efficacité'!$A$6:$CY$266,(MATCH('[3]4.4 ACE MAX SEN '!Y$4,'7. PGE_Efficacité'!$A$4:$AO$4,0)),0)</f>
        <v>0</v>
      </c>
      <c r="Z153" s="61">
        <f>VLOOKUP($B153,'7. PGE_Efficacité'!$A$6:$CY$266,(MATCH('[3]4.4 ACE MAX SEN '!Z$4,'7. PGE_Efficacité'!$A$4:$AO$4,0)),0)</f>
        <v>0</v>
      </c>
      <c r="AA153" s="61">
        <f>VLOOKUP($B153,'7. PGE_Efficacité'!$A$6:$CY$266,(MATCH('[3]4.4 ACE MAX SEN '!AA$4,'7. PGE_Efficacité'!$A$4:$AO$4,0)),0)</f>
        <v>0</v>
      </c>
      <c r="AB153" s="61">
        <f>VLOOKUP($B153,'7. PGE_Efficacité'!$A$6:$CY$266,(MATCH('[3]4.4 ACE MAX SEN '!AB$4,'7. PGE_Efficacité'!$A$4:$AO$4,0)),0)</f>
        <v>0</v>
      </c>
      <c r="AC153" s="61">
        <f>VLOOKUP($B153,'7. PGE_Efficacité'!$A$6:$CY$266,(MATCH('[3]4.4 ACE MAX SEN '!AC$4,'7. PGE_Efficacité'!$A$4:$AO$4,0)),0)</f>
        <v>0</v>
      </c>
      <c r="AD153" s="61">
        <f>VLOOKUP($B153,'7. PGE_Efficacité'!$A$6:$CY$266,(MATCH('[3]4.4 ACE MAX SEN '!AD$4,'7. PGE_Efficacité'!$A$4:$AO$4,0)),0)</f>
        <v>0</v>
      </c>
      <c r="AE153" s="61">
        <f>VLOOKUP($B153,'7. PGE_Efficacité'!$A$6:$CY$266,(MATCH('[3]4.4 ACE MAX SEN '!AE$4,'7. PGE_Efficacité'!$A$4:$AO$4,0)),0)</f>
        <v>0</v>
      </c>
      <c r="AF153" s="61">
        <f>VLOOKUP($B153,'7. PGE_Efficacité'!$A$6:$CY$266,(MATCH('[3]4.4 ACE MAX SEN '!AF$4,'7. PGE_Efficacité'!$A$4:$AO$4,0)),0)</f>
        <v>0</v>
      </c>
      <c r="AG153" s="61">
        <f>VLOOKUP($B153,'7. PGE_Efficacité'!$A$6:$CY$266,(MATCH('[3]4.4 ACE MAX SEN '!AG$4,'7. PGE_Efficacité'!$A$4:$AO$4,0)),0)</f>
        <v>0</v>
      </c>
      <c r="AH153" s="61">
        <f>VLOOKUP($B153,'7. PGE_Efficacité'!$A$6:$CY$266,(MATCH('[3]4.4 ACE MAX SEN '!AH$4,'7. PGE_Efficacité'!$A$4:$AO$4,0)),0)</f>
        <v>0</v>
      </c>
      <c r="AI153" s="61">
        <f>VLOOKUP($B153,'7. PGE_Efficacité'!$A$6:$CY$266,(MATCH('[3]4.4 ACE MAX SEN '!AI$4,'7. PGE_Efficacité'!$A$4:$AO$4,0)),0)</f>
        <v>0</v>
      </c>
      <c r="AJ153" s="61">
        <f>VLOOKUP($B153,'7. PGE_Efficacité'!$A$6:$CY$266,(MATCH('[3]4.4 ACE MAX SEN '!AJ$4,'7. PGE_Efficacité'!$A$4:$AO$4,0)),0)</f>
        <v>0</v>
      </c>
      <c r="AK153" s="61">
        <f>VLOOKUP($B153,'7. PGE_Efficacité'!$A$6:$CY$266,(MATCH('[3]4.4 ACE MAX SEN '!AK$4,'7. PGE_Efficacité'!$A$4:$AO$4,0)),0)</f>
        <v>0</v>
      </c>
    </row>
    <row r="154" spans="1:37" hidden="1" outlineLevel="2" x14ac:dyDescent="0.25">
      <c r="A154" s="65" t="s">
        <v>25</v>
      </c>
      <c r="B154" s="65" t="s">
        <v>752</v>
      </c>
      <c r="C154" s="65" t="s">
        <v>1990</v>
      </c>
      <c r="D154" s="65" t="s">
        <v>1521</v>
      </c>
      <c r="E154" s="65" t="s">
        <v>415</v>
      </c>
      <c r="F154" s="70"/>
      <c r="G154" s="64">
        <f>VLOOKUP($B154,'7. PGE_Efficacité'!$A$6:$CY$266,(MATCH('[3]4.4 ACE MAX SEN '!G$4,'7. PGE_Efficacité'!$A$4:$AO$4,0)),0)</f>
        <v>0</v>
      </c>
      <c r="H154" s="64">
        <f>VLOOKUP($B154,'7. PGE_Efficacité'!$A$6:$CY$266,(MATCH('[3]4.4 ACE MAX SEN '!H$4,'7. PGE_Efficacité'!$A$4:$AO$4,0)),0)</f>
        <v>0</v>
      </c>
      <c r="I154" s="64">
        <f>VLOOKUP($B154,'7. PGE_Efficacité'!$A$6:$CY$266,(MATCH('[3]4.4 ACE MAX SEN '!I$4,'7. PGE_Efficacité'!$A$4:$AO$4,0)),0)</f>
        <v>0</v>
      </c>
      <c r="J154" s="64">
        <f>VLOOKUP($B154,'7. PGE_Efficacité'!$A$6:$CY$266,(MATCH('[3]4.4 ACE MAX SEN '!J$4,'7. PGE_Efficacité'!$A$4:$AO$4,0)),0)</f>
        <v>0</v>
      </c>
      <c r="K154" s="64">
        <f>VLOOKUP($B154,'7. PGE_Efficacité'!$A$6:$CY$266,(MATCH('[3]4.4 ACE MAX SEN '!K$4,'7. PGE_Efficacité'!$A$4:$AO$4,0)),0)</f>
        <v>0</v>
      </c>
      <c r="L154" s="64">
        <f>VLOOKUP($B154,'7. PGE_Efficacité'!$A$6:$CY$266,(MATCH('[3]4.4 ACE MAX SEN '!L$4,'7. PGE_Efficacité'!$A$4:$AO$4,0)),0)</f>
        <v>0</v>
      </c>
      <c r="M154" s="64">
        <f>VLOOKUP($B154,'7. PGE_Efficacité'!$A$6:$CY$266,(MATCH('[3]4.4 ACE MAX SEN '!M$4,'7. PGE_Efficacité'!$A$4:$AO$4,0)),0)</f>
        <v>0</v>
      </c>
      <c r="N154" s="64">
        <f>VLOOKUP($B154,'7. PGE_Efficacité'!$A$6:$CY$266,(MATCH('[3]4.4 ACE MAX SEN '!N$4,'7. PGE_Efficacité'!$A$4:$AO$4,0)),0)</f>
        <v>0</v>
      </c>
      <c r="O154" s="64">
        <f>VLOOKUP($B154,'7. PGE_Efficacité'!$A$6:$CY$266,(MATCH('[3]4.4 ACE MAX SEN '!O$4,'7. PGE_Efficacité'!$A$4:$AO$4,0)),0)</f>
        <v>0</v>
      </c>
      <c r="P154" s="64">
        <f>VLOOKUP($B154,'7. PGE_Efficacité'!$A$6:$CY$266,(MATCH('[3]4.4 ACE MAX SEN '!P$4,'7. PGE_Efficacité'!$A$4:$AO$4,0)),0)</f>
        <v>0</v>
      </c>
      <c r="Q154" s="64">
        <f>VLOOKUP($B154,'7. PGE_Efficacité'!$A$6:$CY$266,(MATCH('[3]4.4 ACE MAX SEN '!Q$4,'7. PGE_Efficacité'!$A$4:$AO$4,0)),0)</f>
        <v>0</v>
      </c>
      <c r="R154" s="64">
        <f>VLOOKUP($B154,'7. PGE_Efficacité'!$A$6:$CY$266,(MATCH('[3]4.4 ACE MAX SEN '!R$4,'7. PGE_Efficacité'!$A$4:$AO$4,0)),0)</f>
        <v>0</v>
      </c>
      <c r="S154" s="64">
        <f>VLOOKUP($B154,'7. PGE_Efficacité'!$A$6:$CY$266,(MATCH('[3]4.4 ACE MAX SEN '!S$4,'7. PGE_Efficacité'!$A$4:$AO$4,0)),0)</f>
        <v>0</v>
      </c>
      <c r="T154" s="64">
        <f>VLOOKUP($B154,'7. PGE_Efficacité'!$A$6:$CY$266,(MATCH('[3]4.4 ACE MAX SEN '!T$4,'7. PGE_Efficacité'!$A$4:$AO$4,0)),0)</f>
        <v>0</v>
      </c>
      <c r="U154" s="64">
        <f>VLOOKUP($B154,'7. PGE_Efficacité'!$A$6:$CY$266,(MATCH('[3]4.4 ACE MAX SEN '!U$4,'7. PGE_Efficacité'!$A$4:$AO$4,0)),0)</f>
        <v>0</v>
      </c>
      <c r="V154" s="64">
        <f>VLOOKUP($B154,'7. PGE_Efficacité'!$A$6:$CY$266,(MATCH('[3]4.4 ACE MAX SEN '!V$4,'7. PGE_Efficacité'!$A$4:$AO$4,0)),0)</f>
        <v>0</v>
      </c>
      <c r="W154" s="61">
        <f>VLOOKUP($B154,'7. PGE_Efficacité'!$A$6:$CY$266,(MATCH('[3]4.4 ACE MAX SEN '!W$4,'7. PGE_Efficacité'!$A$4:$AO$4,0)),0)</f>
        <v>0</v>
      </c>
      <c r="X154" s="61">
        <f>VLOOKUP($B154,'7. PGE_Efficacité'!$A$6:$CY$266,(MATCH('[3]4.4 ACE MAX SEN '!X$4,'7. PGE_Efficacité'!$A$4:$AO$4,0)),0)</f>
        <v>0</v>
      </c>
      <c r="Y154" s="61">
        <f>VLOOKUP($B154,'7. PGE_Efficacité'!$A$6:$CY$266,(MATCH('[3]4.4 ACE MAX SEN '!Y$4,'7. PGE_Efficacité'!$A$4:$AO$4,0)),0)</f>
        <v>0</v>
      </c>
      <c r="Z154" s="61">
        <f>VLOOKUP($B154,'7. PGE_Efficacité'!$A$6:$CY$266,(MATCH('[3]4.4 ACE MAX SEN '!Z$4,'7. PGE_Efficacité'!$A$4:$AO$4,0)),0)</f>
        <v>0</v>
      </c>
      <c r="AA154" s="61">
        <f>VLOOKUP($B154,'7. PGE_Efficacité'!$A$6:$CY$266,(MATCH('[3]4.4 ACE MAX SEN '!AA$4,'7. PGE_Efficacité'!$A$4:$AO$4,0)),0)</f>
        <v>0</v>
      </c>
      <c r="AB154" s="61">
        <f>VLOOKUP($B154,'7. PGE_Efficacité'!$A$6:$CY$266,(MATCH('[3]4.4 ACE MAX SEN '!AB$4,'7. PGE_Efficacité'!$A$4:$AO$4,0)),0)</f>
        <v>0</v>
      </c>
      <c r="AC154" s="61">
        <f>VLOOKUP($B154,'7. PGE_Efficacité'!$A$6:$CY$266,(MATCH('[3]4.4 ACE MAX SEN '!AC$4,'7. PGE_Efficacité'!$A$4:$AO$4,0)),0)</f>
        <v>0</v>
      </c>
      <c r="AD154" s="61">
        <f>VLOOKUP($B154,'7. PGE_Efficacité'!$A$6:$CY$266,(MATCH('[3]4.4 ACE MAX SEN '!AD$4,'7. PGE_Efficacité'!$A$4:$AO$4,0)),0)</f>
        <v>0</v>
      </c>
      <c r="AE154" s="61">
        <f>VLOOKUP($B154,'7. PGE_Efficacité'!$A$6:$CY$266,(MATCH('[3]4.4 ACE MAX SEN '!AE$4,'7. PGE_Efficacité'!$A$4:$AO$4,0)),0)</f>
        <v>0</v>
      </c>
      <c r="AF154" s="61">
        <f>VLOOKUP($B154,'7. PGE_Efficacité'!$A$6:$CY$266,(MATCH('[3]4.4 ACE MAX SEN '!AF$4,'7. PGE_Efficacité'!$A$4:$AO$4,0)),0)</f>
        <v>0</v>
      </c>
      <c r="AG154" s="61">
        <f>VLOOKUP($B154,'7. PGE_Efficacité'!$A$6:$CY$266,(MATCH('[3]4.4 ACE MAX SEN '!AG$4,'7. PGE_Efficacité'!$A$4:$AO$4,0)),0)</f>
        <v>0</v>
      </c>
      <c r="AH154" s="61">
        <f>VLOOKUP($B154,'7. PGE_Efficacité'!$A$6:$CY$266,(MATCH('[3]4.4 ACE MAX SEN '!AH$4,'7. PGE_Efficacité'!$A$4:$AO$4,0)),0)</f>
        <v>0</v>
      </c>
      <c r="AI154" s="61">
        <f>VLOOKUP($B154,'7. PGE_Efficacité'!$A$6:$CY$266,(MATCH('[3]4.4 ACE MAX SEN '!AI$4,'7. PGE_Efficacité'!$A$4:$AO$4,0)),0)</f>
        <v>0</v>
      </c>
      <c r="AJ154" s="61">
        <f>VLOOKUP($B154,'7. PGE_Efficacité'!$A$6:$CY$266,(MATCH('[3]4.4 ACE MAX SEN '!AJ$4,'7. PGE_Efficacité'!$A$4:$AO$4,0)),0)</f>
        <v>0</v>
      </c>
      <c r="AK154" s="61">
        <f>VLOOKUP($B154,'7. PGE_Efficacité'!$A$6:$CY$266,(MATCH('[3]4.4 ACE MAX SEN '!AK$4,'7. PGE_Efficacité'!$A$4:$AO$4,0)),0)</f>
        <v>0</v>
      </c>
    </row>
    <row r="155" spans="1:37" hidden="1" outlineLevel="2" x14ac:dyDescent="0.25">
      <c r="A155" s="65" t="s">
        <v>25</v>
      </c>
      <c r="B155" s="65" t="s">
        <v>753</v>
      </c>
      <c r="C155" s="65" t="s">
        <v>1992</v>
      </c>
      <c r="D155" s="65" t="s">
        <v>1521</v>
      </c>
      <c r="E155" s="65" t="s">
        <v>416</v>
      </c>
      <c r="F155" s="70"/>
      <c r="G155" s="64">
        <f>VLOOKUP($B155,'7. PGE_Efficacité'!$A$6:$CY$266,(MATCH('[3]4.4 ACE MAX SEN '!G$4,'7. PGE_Efficacité'!$A$4:$AO$4,0)),0)</f>
        <v>0</v>
      </c>
      <c r="H155" s="64">
        <f>VLOOKUP($B155,'7. PGE_Efficacité'!$A$6:$CY$266,(MATCH('[3]4.4 ACE MAX SEN '!H$4,'7. PGE_Efficacité'!$A$4:$AO$4,0)),0)</f>
        <v>0</v>
      </c>
      <c r="I155" s="64">
        <f>VLOOKUP($B155,'7. PGE_Efficacité'!$A$6:$CY$266,(MATCH('[3]4.4 ACE MAX SEN '!I$4,'7. PGE_Efficacité'!$A$4:$AO$4,0)),0)</f>
        <v>0</v>
      </c>
      <c r="J155" s="64">
        <f>VLOOKUP($B155,'7. PGE_Efficacité'!$A$6:$CY$266,(MATCH('[3]4.4 ACE MAX SEN '!J$4,'7. PGE_Efficacité'!$A$4:$AO$4,0)),0)</f>
        <v>0</v>
      </c>
      <c r="K155" s="64">
        <f>VLOOKUP($B155,'7. PGE_Efficacité'!$A$6:$CY$266,(MATCH('[3]4.4 ACE MAX SEN '!K$4,'7. PGE_Efficacité'!$A$4:$AO$4,0)),0)</f>
        <v>0</v>
      </c>
      <c r="L155" s="64">
        <f>VLOOKUP($B155,'7. PGE_Efficacité'!$A$6:$CY$266,(MATCH('[3]4.4 ACE MAX SEN '!L$4,'7. PGE_Efficacité'!$A$4:$AO$4,0)),0)</f>
        <v>0</v>
      </c>
      <c r="M155" s="64">
        <f>VLOOKUP($B155,'7. PGE_Efficacité'!$A$6:$CY$266,(MATCH('[3]4.4 ACE MAX SEN '!M$4,'7. PGE_Efficacité'!$A$4:$AO$4,0)),0)</f>
        <v>0</v>
      </c>
      <c r="N155" s="64">
        <f>VLOOKUP($B155,'7. PGE_Efficacité'!$A$6:$CY$266,(MATCH('[3]4.4 ACE MAX SEN '!N$4,'7. PGE_Efficacité'!$A$4:$AO$4,0)),0)</f>
        <v>0</v>
      </c>
      <c r="O155" s="64">
        <f>VLOOKUP($B155,'7. PGE_Efficacité'!$A$6:$CY$266,(MATCH('[3]4.4 ACE MAX SEN '!O$4,'7. PGE_Efficacité'!$A$4:$AO$4,0)),0)</f>
        <v>0</v>
      </c>
      <c r="P155" s="64">
        <f>VLOOKUP($B155,'7. PGE_Efficacité'!$A$6:$CY$266,(MATCH('[3]4.4 ACE MAX SEN '!P$4,'7. PGE_Efficacité'!$A$4:$AO$4,0)),0)</f>
        <v>0</v>
      </c>
      <c r="Q155" s="64">
        <f>VLOOKUP($B155,'7. PGE_Efficacité'!$A$6:$CY$266,(MATCH('[3]4.4 ACE MAX SEN '!Q$4,'7. PGE_Efficacité'!$A$4:$AO$4,0)),0)</f>
        <v>0</v>
      </c>
      <c r="R155" s="64">
        <f>VLOOKUP($B155,'7. PGE_Efficacité'!$A$6:$CY$266,(MATCH('[3]4.4 ACE MAX SEN '!R$4,'7. PGE_Efficacité'!$A$4:$AO$4,0)),0)</f>
        <v>0</v>
      </c>
      <c r="S155" s="64">
        <f>VLOOKUP($B155,'7. PGE_Efficacité'!$A$6:$CY$266,(MATCH('[3]4.4 ACE MAX SEN '!S$4,'7. PGE_Efficacité'!$A$4:$AO$4,0)),0)</f>
        <v>0</v>
      </c>
      <c r="T155" s="64">
        <f>VLOOKUP($B155,'7. PGE_Efficacité'!$A$6:$CY$266,(MATCH('[3]4.4 ACE MAX SEN '!T$4,'7. PGE_Efficacité'!$A$4:$AO$4,0)),0)</f>
        <v>0</v>
      </c>
      <c r="U155" s="64">
        <f>VLOOKUP($B155,'7. PGE_Efficacité'!$A$6:$CY$266,(MATCH('[3]4.4 ACE MAX SEN '!U$4,'7. PGE_Efficacité'!$A$4:$AO$4,0)),0)</f>
        <v>0</v>
      </c>
      <c r="V155" s="64">
        <f>VLOOKUP($B155,'7. PGE_Efficacité'!$A$6:$CY$266,(MATCH('[3]4.4 ACE MAX SEN '!V$4,'7. PGE_Efficacité'!$A$4:$AO$4,0)),0)</f>
        <v>0</v>
      </c>
      <c r="W155" s="61">
        <f>VLOOKUP($B155,'7. PGE_Efficacité'!$A$6:$CY$266,(MATCH('[3]4.4 ACE MAX SEN '!W$4,'7. PGE_Efficacité'!$A$4:$AO$4,0)),0)</f>
        <v>0</v>
      </c>
      <c r="X155" s="61">
        <f>VLOOKUP($B155,'7. PGE_Efficacité'!$A$6:$CY$266,(MATCH('[3]4.4 ACE MAX SEN '!X$4,'7. PGE_Efficacité'!$A$4:$AO$4,0)),0)</f>
        <v>0</v>
      </c>
      <c r="Y155" s="61">
        <f>VLOOKUP($B155,'7. PGE_Efficacité'!$A$6:$CY$266,(MATCH('[3]4.4 ACE MAX SEN '!Y$4,'7. PGE_Efficacité'!$A$4:$AO$4,0)),0)</f>
        <v>0</v>
      </c>
      <c r="Z155" s="61">
        <f>VLOOKUP($B155,'7. PGE_Efficacité'!$A$6:$CY$266,(MATCH('[3]4.4 ACE MAX SEN '!Z$4,'7. PGE_Efficacité'!$A$4:$AO$4,0)),0)</f>
        <v>0</v>
      </c>
      <c r="AA155" s="61">
        <f>VLOOKUP($B155,'7. PGE_Efficacité'!$A$6:$CY$266,(MATCH('[3]4.4 ACE MAX SEN '!AA$4,'7. PGE_Efficacité'!$A$4:$AO$4,0)),0)</f>
        <v>0</v>
      </c>
      <c r="AB155" s="61">
        <f>VLOOKUP($B155,'7. PGE_Efficacité'!$A$6:$CY$266,(MATCH('[3]4.4 ACE MAX SEN '!AB$4,'7. PGE_Efficacité'!$A$4:$AO$4,0)),0)</f>
        <v>0</v>
      </c>
      <c r="AC155" s="61">
        <f>VLOOKUP($B155,'7. PGE_Efficacité'!$A$6:$CY$266,(MATCH('[3]4.4 ACE MAX SEN '!AC$4,'7. PGE_Efficacité'!$A$4:$AO$4,0)),0)</f>
        <v>0</v>
      </c>
      <c r="AD155" s="61">
        <f>VLOOKUP($B155,'7. PGE_Efficacité'!$A$6:$CY$266,(MATCH('[3]4.4 ACE MAX SEN '!AD$4,'7. PGE_Efficacité'!$A$4:$AO$4,0)),0)</f>
        <v>0</v>
      </c>
      <c r="AE155" s="61">
        <f>VLOOKUP($B155,'7. PGE_Efficacité'!$A$6:$CY$266,(MATCH('[3]4.4 ACE MAX SEN '!AE$4,'7. PGE_Efficacité'!$A$4:$AO$4,0)),0)</f>
        <v>0</v>
      </c>
      <c r="AF155" s="61">
        <f>VLOOKUP($B155,'7. PGE_Efficacité'!$A$6:$CY$266,(MATCH('[3]4.4 ACE MAX SEN '!AF$4,'7. PGE_Efficacité'!$A$4:$AO$4,0)),0)</f>
        <v>0</v>
      </c>
      <c r="AG155" s="61">
        <f>VLOOKUP($B155,'7. PGE_Efficacité'!$A$6:$CY$266,(MATCH('[3]4.4 ACE MAX SEN '!AG$4,'7. PGE_Efficacité'!$A$4:$AO$4,0)),0)</f>
        <v>0</v>
      </c>
      <c r="AH155" s="61">
        <f>VLOOKUP($B155,'7. PGE_Efficacité'!$A$6:$CY$266,(MATCH('[3]4.4 ACE MAX SEN '!AH$4,'7. PGE_Efficacité'!$A$4:$AO$4,0)),0)</f>
        <v>0</v>
      </c>
      <c r="AI155" s="61">
        <f>VLOOKUP($B155,'7. PGE_Efficacité'!$A$6:$CY$266,(MATCH('[3]4.4 ACE MAX SEN '!AI$4,'7. PGE_Efficacité'!$A$4:$AO$4,0)),0)</f>
        <v>0</v>
      </c>
      <c r="AJ155" s="61">
        <f>VLOOKUP($B155,'7. PGE_Efficacité'!$A$6:$CY$266,(MATCH('[3]4.4 ACE MAX SEN '!AJ$4,'7. PGE_Efficacité'!$A$4:$AO$4,0)),0)</f>
        <v>0</v>
      </c>
      <c r="AK155" s="61">
        <f>VLOOKUP($B155,'7. PGE_Efficacité'!$A$6:$CY$266,(MATCH('[3]4.4 ACE MAX SEN '!AK$4,'7. PGE_Efficacité'!$A$4:$AO$4,0)),0)</f>
        <v>0</v>
      </c>
    </row>
    <row r="156" spans="1:37" hidden="1" outlineLevel="2" x14ac:dyDescent="0.25">
      <c r="A156" s="65" t="s">
        <v>25</v>
      </c>
      <c r="B156" s="65" t="s">
        <v>754</v>
      </c>
      <c r="C156" s="65" t="s">
        <v>1994</v>
      </c>
      <c r="D156" s="65" t="s">
        <v>1521</v>
      </c>
      <c r="E156" s="65" t="s">
        <v>416</v>
      </c>
      <c r="F156" s="70"/>
      <c r="G156" s="64">
        <f>VLOOKUP($B156,'7. PGE_Efficacité'!$A$6:$CY$266,(MATCH('[3]4.4 ACE MAX SEN '!G$4,'7. PGE_Efficacité'!$A$4:$AO$4,0)),0)</f>
        <v>0</v>
      </c>
      <c r="H156" s="64">
        <f>VLOOKUP($B156,'7. PGE_Efficacité'!$A$6:$CY$266,(MATCH('[3]4.4 ACE MAX SEN '!H$4,'7. PGE_Efficacité'!$A$4:$AO$4,0)),0)</f>
        <v>0</v>
      </c>
      <c r="I156" s="64">
        <f>VLOOKUP($B156,'7. PGE_Efficacité'!$A$6:$CY$266,(MATCH('[3]4.4 ACE MAX SEN '!I$4,'7. PGE_Efficacité'!$A$4:$AO$4,0)),0)</f>
        <v>0</v>
      </c>
      <c r="J156" s="64">
        <f>VLOOKUP($B156,'7. PGE_Efficacité'!$A$6:$CY$266,(MATCH('[3]4.4 ACE MAX SEN '!J$4,'7. PGE_Efficacité'!$A$4:$AO$4,0)),0)</f>
        <v>0</v>
      </c>
      <c r="K156" s="64">
        <f>VLOOKUP($B156,'7. PGE_Efficacité'!$A$6:$CY$266,(MATCH('[3]4.4 ACE MAX SEN '!K$4,'7. PGE_Efficacité'!$A$4:$AO$4,0)),0)</f>
        <v>0</v>
      </c>
      <c r="L156" s="64">
        <f>VLOOKUP($B156,'7. PGE_Efficacité'!$A$6:$CY$266,(MATCH('[3]4.4 ACE MAX SEN '!L$4,'7. PGE_Efficacité'!$A$4:$AO$4,0)),0)</f>
        <v>0</v>
      </c>
      <c r="M156" s="64">
        <f>VLOOKUP($B156,'7. PGE_Efficacité'!$A$6:$CY$266,(MATCH('[3]4.4 ACE MAX SEN '!M$4,'7. PGE_Efficacité'!$A$4:$AO$4,0)),0)</f>
        <v>0</v>
      </c>
      <c r="N156" s="64">
        <f>VLOOKUP($B156,'7. PGE_Efficacité'!$A$6:$CY$266,(MATCH('[3]4.4 ACE MAX SEN '!N$4,'7. PGE_Efficacité'!$A$4:$AO$4,0)),0)</f>
        <v>0</v>
      </c>
      <c r="O156" s="64">
        <f>VLOOKUP($B156,'7. PGE_Efficacité'!$A$6:$CY$266,(MATCH('[3]4.4 ACE MAX SEN '!O$4,'7. PGE_Efficacité'!$A$4:$AO$4,0)),0)</f>
        <v>0</v>
      </c>
      <c r="P156" s="64">
        <f>VLOOKUP($B156,'7. PGE_Efficacité'!$A$6:$CY$266,(MATCH('[3]4.4 ACE MAX SEN '!P$4,'7. PGE_Efficacité'!$A$4:$AO$4,0)),0)</f>
        <v>0</v>
      </c>
      <c r="Q156" s="64">
        <f>VLOOKUP($B156,'7. PGE_Efficacité'!$A$6:$CY$266,(MATCH('[3]4.4 ACE MAX SEN '!Q$4,'7. PGE_Efficacité'!$A$4:$AO$4,0)),0)</f>
        <v>0</v>
      </c>
      <c r="R156" s="64">
        <f>VLOOKUP($B156,'7. PGE_Efficacité'!$A$6:$CY$266,(MATCH('[3]4.4 ACE MAX SEN '!R$4,'7. PGE_Efficacité'!$A$4:$AO$4,0)),0)</f>
        <v>0</v>
      </c>
      <c r="S156" s="64">
        <f>VLOOKUP($B156,'7. PGE_Efficacité'!$A$6:$CY$266,(MATCH('[3]4.4 ACE MAX SEN '!S$4,'7. PGE_Efficacité'!$A$4:$AO$4,0)),0)</f>
        <v>0</v>
      </c>
      <c r="T156" s="64">
        <f>VLOOKUP($B156,'7. PGE_Efficacité'!$A$6:$CY$266,(MATCH('[3]4.4 ACE MAX SEN '!T$4,'7. PGE_Efficacité'!$A$4:$AO$4,0)),0)</f>
        <v>0</v>
      </c>
      <c r="U156" s="64">
        <f>VLOOKUP($B156,'7. PGE_Efficacité'!$A$6:$CY$266,(MATCH('[3]4.4 ACE MAX SEN '!U$4,'7. PGE_Efficacité'!$A$4:$AO$4,0)),0)</f>
        <v>0</v>
      </c>
      <c r="V156" s="64">
        <f>VLOOKUP($B156,'7. PGE_Efficacité'!$A$6:$CY$266,(MATCH('[3]4.4 ACE MAX SEN '!V$4,'7. PGE_Efficacité'!$A$4:$AO$4,0)),0)</f>
        <v>0</v>
      </c>
      <c r="W156" s="61">
        <f>VLOOKUP($B156,'7. PGE_Efficacité'!$A$6:$CY$266,(MATCH('[3]4.4 ACE MAX SEN '!W$4,'7. PGE_Efficacité'!$A$4:$AO$4,0)),0)</f>
        <v>0</v>
      </c>
      <c r="X156" s="61">
        <f>VLOOKUP($B156,'7. PGE_Efficacité'!$A$6:$CY$266,(MATCH('[3]4.4 ACE MAX SEN '!X$4,'7. PGE_Efficacité'!$A$4:$AO$4,0)),0)</f>
        <v>0</v>
      </c>
      <c r="Y156" s="61">
        <f>VLOOKUP($B156,'7. PGE_Efficacité'!$A$6:$CY$266,(MATCH('[3]4.4 ACE MAX SEN '!Y$4,'7. PGE_Efficacité'!$A$4:$AO$4,0)),0)</f>
        <v>0</v>
      </c>
      <c r="Z156" s="61">
        <f>VLOOKUP($B156,'7. PGE_Efficacité'!$A$6:$CY$266,(MATCH('[3]4.4 ACE MAX SEN '!Z$4,'7. PGE_Efficacité'!$A$4:$AO$4,0)),0)</f>
        <v>0</v>
      </c>
      <c r="AA156" s="61">
        <f>VLOOKUP($B156,'7. PGE_Efficacité'!$A$6:$CY$266,(MATCH('[3]4.4 ACE MAX SEN '!AA$4,'7. PGE_Efficacité'!$A$4:$AO$4,0)),0)</f>
        <v>0</v>
      </c>
      <c r="AB156" s="61">
        <f>VLOOKUP($B156,'7. PGE_Efficacité'!$A$6:$CY$266,(MATCH('[3]4.4 ACE MAX SEN '!AB$4,'7. PGE_Efficacité'!$A$4:$AO$4,0)),0)</f>
        <v>0</v>
      </c>
      <c r="AC156" s="61">
        <f>VLOOKUP($B156,'7. PGE_Efficacité'!$A$6:$CY$266,(MATCH('[3]4.4 ACE MAX SEN '!AC$4,'7. PGE_Efficacité'!$A$4:$AO$4,0)),0)</f>
        <v>0</v>
      </c>
      <c r="AD156" s="61">
        <f>VLOOKUP($B156,'7. PGE_Efficacité'!$A$6:$CY$266,(MATCH('[3]4.4 ACE MAX SEN '!AD$4,'7. PGE_Efficacité'!$A$4:$AO$4,0)),0)</f>
        <v>0</v>
      </c>
      <c r="AE156" s="61">
        <f>VLOOKUP($B156,'7. PGE_Efficacité'!$A$6:$CY$266,(MATCH('[3]4.4 ACE MAX SEN '!AE$4,'7. PGE_Efficacité'!$A$4:$AO$4,0)),0)</f>
        <v>0</v>
      </c>
      <c r="AF156" s="61">
        <f>VLOOKUP($B156,'7. PGE_Efficacité'!$A$6:$CY$266,(MATCH('[3]4.4 ACE MAX SEN '!AF$4,'7. PGE_Efficacité'!$A$4:$AO$4,0)),0)</f>
        <v>0</v>
      </c>
      <c r="AG156" s="61">
        <f>VLOOKUP($B156,'7. PGE_Efficacité'!$A$6:$CY$266,(MATCH('[3]4.4 ACE MAX SEN '!AG$4,'7. PGE_Efficacité'!$A$4:$AO$4,0)),0)</f>
        <v>0</v>
      </c>
      <c r="AH156" s="61">
        <f>VLOOKUP($B156,'7. PGE_Efficacité'!$A$6:$CY$266,(MATCH('[3]4.4 ACE MAX SEN '!AH$4,'7. PGE_Efficacité'!$A$4:$AO$4,0)),0)</f>
        <v>0</v>
      </c>
      <c r="AI156" s="61">
        <f>VLOOKUP($B156,'7. PGE_Efficacité'!$A$6:$CY$266,(MATCH('[3]4.4 ACE MAX SEN '!AI$4,'7. PGE_Efficacité'!$A$4:$AO$4,0)),0)</f>
        <v>0</v>
      </c>
      <c r="AJ156" s="61">
        <f>VLOOKUP($B156,'7. PGE_Efficacité'!$A$6:$CY$266,(MATCH('[3]4.4 ACE MAX SEN '!AJ$4,'7. PGE_Efficacité'!$A$4:$AO$4,0)),0)</f>
        <v>0</v>
      </c>
      <c r="AK156" s="61">
        <f>VLOOKUP($B156,'7. PGE_Efficacité'!$A$6:$CY$266,(MATCH('[3]4.4 ACE MAX SEN '!AK$4,'7. PGE_Efficacité'!$A$4:$AO$4,0)),0)</f>
        <v>0</v>
      </c>
    </row>
    <row r="157" spans="1:37" hidden="1" outlineLevel="2" x14ac:dyDescent="0.25">
      <c r="A157" s="65" t="s">
        <v>25</v>
      </c>
      <c r="B157" s="65" t="s">
        <v>2602</v>
      </c>
      <c r="C157" s="65" t="s">
        <v>1996</v>
      </c>
      <c r="D157" s="65" t="s">
        <v>1521</v>
      </c>
      <c r="E157" s="65" t="s">
        <v>1290</v>
      </c>
      <c r="F157" s="70"/>
      <c r="G157" s="64">
        <f>VLOOKUP($B157,'7. PGE_Efficacité'!$A$6:$CY$266,(MATCH('[3]4.4 ACE MAX SEN '!G$4,'7. PGE_Efficacité'!$A$4:$AO$4,0)),0)</f>
        <v>0</v>
      </c>
      <c r="H157" s="64">
        <f>VLOOKUP($B157,'7. PGE_Efficacité'!$A$6:$CY$266,(MATCH('[3]4.4 ACE MAX SEN '!H$4,'7. PGE_Efficacité'!$A$4:$AO$4,0)),0)</f>
        <v>0</v>
      </c>
      <c r="I157" s="64">
        <f>VLOOKUP($B157,'7. PGE_Efficacité'!$A$6:$CY$266,(MATCH('[3]4.4 ACE MAX SEN '!I$4,'7. PGE_Efficacité'!$A$4:$AO$4,0)),0)</f>
        <v>0</v>
      </c>
      <c r="J157" s="64">
        <f>VLOOKUP($B157,'7. PGE_Efficacité'!$A$6:$CY$266,(MATCH('[3]4.4 ACE MAX SEN '!J$4,'7. PGE_Efficacité'!$A$4:$AO$4,0)),0)</f>
        <v>0</v>
      </c>
      <c r="K157" s="64">
        <f>VLOOKUP($B157,'7. PGE_Efficacité'!$A$6:$CY$266,(MATCH('[3]4.4 ACE MAX SEN '!K$4,'7. PGE_Efficacité'!$A$4:$AO$4,0)),0)</f>
        <v>0</v>
      </c>
      <c r="L157" s="64">
        <f>VLOOKUP($B157,'7. PGE_Efficacité'!$A$6:$CY$266,(MATCH('[3]4.4 ACE MAX SEN '!L$4,'7. PGE_Efficacité'!$A$4:$AO$4,0)),0)</f>
        <v>0</v>
      </c>
      <c r="M157" s="64">
        <f>VLOOKUP($B157,'7. PGE_Efficacité'!$A$6:$CY$266,(MATCH('[3]4.4 ACE MAX SEN '!M$4,'7. PGE_Efficacité'!$A$4:$AO$4,0)),0)</f>
        <v>0</v>
      </c>
      <c r="N157" s="64">
        <f>VLOOKUP($B157,'7. PGE_Efficacité'!$A$6:$CY$266,(MATCH('[3]4.4 ACE MAX SEN '!N$4,'7. PGE_Efficacité'!$A$4:$AO$4,0)),0)</f>
        <v>0</v>
      </c>
      <c r="O157" s="64">
        <f>VLOOKUP($B157,'7. PGE_Efficacité'!$A$6:$CY$266,(MATCH('[3]4.4 ACE MAX SEN '!O$4,'7. PGE_Efficacité'!$A$4:$AO$4,0)),0)</f>
        <v>0</v>
      </c>
      <c r="P157" s="64">
        <f>VLOOKUP($B157,'7. PGE_Efficacité'!$A$6:$CY$266,(MATCH('[3]4.4 ACE MAX SEN '!P$4,'7. PGE_Efficacité'!$A$4:$AO$4,0)),0)</f>
        <v>0</v>
      </c>
      <c r="Q157" s="64">
        <f>VLOOKUP($B157,'7. PGE_Efficacité'!$A$6:$CY$266,(MATCH('[3]4.4 ACE MAX SEN '!Q$4,'7. PGE_Efficacité'!$A$4:$AO$4,0)),0)</f>
        <v>0</v>
      </c>
      <c r="R157" s="64">
        <f>VLOOKUP($B157,'7. PGE_Efficacité'!$A$6:$CY$266,(MATCH('[3]4.4 ACE MAX SEN '!R$4,'7. PGE_Efficacité'!$A$4:$AO$4,0)),0)</f>
        <v>0</v>
      </c>
      <c r="S157" s="64">
        <f>VLOOKUP($B157,'7. PGE_Efficacité'!$A$6:$CY$266,(MATCH('[3]4.4 ACE MAX SEN '!S$4,'7. PGE_Efficacité'!$A$4:$AO$4,0)),0)</f>
        <v>0</v>
      </c>
      <c r="T157" s="64">
        <f>VLOOKUP($B157,'7. PGE_Efficacité'!$A$6:$CY$266,(MATCH('[3]4.4 ACE MAX SEN '!T$4,'7. PGE_Efficacité'!$A$4:$AO$4,0)),0)</f>
        <v>0</v>
      </c>
      <c r="U157" s="64">
        <f>VLOOKUP($B157,'7. PGE_Efficacité'!$A$6:$CY$266,(MATCH('[3]4.4 ACE MAX SEN '!U$4,'7. PGE_Efficacité'!$A$4:$AO$4,0)),0)</f>
        <v>0</v>
      </c>
      <c r="V157" s="64">
        <f>VLOOKUP($B157,'7. PGE_Efficacité'!$A$6:$CY$266,(MATCH('[3]4.4 ACE MAX SEN '!V$4,'7. PGE_Efficacité'!$A$4:$AO$4,0)),0)</f>
        <v>0</v>
      </c>
      <c r="W157" s="61">
        <f>VLOOKUP($B157,'7. PGE_Efficacité'!$A$6:$CY$266,(MATCH('[3]4.4 ACE MAX SEN '!W$4,'7. PGE_Efficacité'!$A$4:$AO$4,0)),0)</f>
        <v>0</v>
      </c>
      <c r="X157" s="61">
        <f>VLOOKUP($B157,'7. PGE_Efficacité'!$A$6:$CY$266,(MATCH('[3]4.4 ACE MAX SEN '!X$4,'7. PGE_Efficacité'!$A$4:$AO$4,0)),0)</f>
        <v>0</v>
      </c>
      <c r="Y157" s="61">
        <f>VLOOKUP($B157,'7. PGE_Efficacité'!$A$6:$CY$266,(MATCH('[3]4.4 ACE MAX SEN '!Y$4,'7. PGE_Efficacité'!$A$4:$AO$4,0)),0)</f>
        <v>0</v>
      </c>
      <c r="Z157" s="61">
        <f>VLOOKUP($B157,'7. PGE_Efficacité'!$A$6:$CY$266,(MATCH('[3]4.4 ACE MAX SEN '!Z$4,'7. PGE_Efficacité'!$A$4:$AO$4,0)),0)</f>
        <v>0</v>
      </c>
      <c r="AA157" s="61">
        <f>VLOOKUP($B157,'7. PGE_Efficacité'!$A$6:$CY$266,(MATCH('[3]4.4 ACE MAX SEN '!AA$4,'7. PGE_Efficacité'!$A$4:$AO$4,0)),0)</f>
        <v>0</v>
      </c>
      <c r="AB157" s="61">
        <f>VLOOKUP($B157,'7. PGE_Efficacité'!$A$6:$CY$266,(MATCH('[3]4.4 ACE MAX SEN '!AB$4,'7. PGE_Efficacité'!$A$4:$AO$4,0)),0)</f>
        <v>0</v>
      </c>
      <c r="AC157" s="61">
        <f>VLOOKUP($B157,'7. PGE_Efficacité'!$A$6:$CY$266,(MATCH('[3]4.4 ACE MAX SEN '!AC$4,'7. PGE_Efficacité'!$A$4:$AO$4,0)),0)</f>
        <v>0</v>
      </c>
      <c r="AD157" s="61">
        <f>VLOOKUP($B157,'7. PGE_Efficacité'!$A$6:$CY$266,(MATCH('[3]4.4 ACE MAX SEN '!AD$4,'7. PGE_Efficacité'!$A$4:$AO$4,0)),0)</f>
        <v>0</v>
      </c>
      <c r="AE157" s="61">
        <f>VLOOKUP($B157,'7. PGE_Efficacité'!$A$6:$CY$266,(MATCH('[3]4.4 ACE MAX SEN '!AE$4,'7. PGE_Efficacité'!$A$4:$AO$4,0)),0)</f>
        <v>0</v>
      </c>
      <c r="AF157" s="61">
        <f>VLOOKUP($B157,'7. PGE_Efficacité'!$A$6:$CY$266,(MATCH('[3]4.4 ACE MAX SEN '!AF$4,'7. PGE_Efficacité'!$A$4:$AO$4,0)),0)</f>
        <v>0</v>
      </c>
      <c r="AG157" s="61">
        <f>VLOOKUP($B157,'7. PGE_Efficacité'!$A$6:$CY$266,(MATCH('[3]4.4 ACE MAX SEN '!AG$4,'7. PGE_Efficacité'!$A$4:$AO$4,0)),0)</f>
        <v>0</v>
      </c>
      <c r="AH157" s="61">
        <f>VLOOKUP($B157,'7. PGE_Efficacité'!$A$6:$CY$266,(MATCH('[3]4.4 ACE MAX SEN '!AH$4,'7. PGE_Efficacité'!$A$4:$AO$4,0)),0)</f>
        <v>0</v>
      </c>
      <c r="AI157" s="61">
        <f>VLOOKUP($B157,'7. PGE_Efficacité'!$A$6:$CY$266,(MATCH('[3]4.4 ACE MAX SEN '!AI$4,'7. PGE_Efficacité'!$A$4:$AO$4,0)),0)</f>
        <v>0</v>
      </c>
      <c r="AJ157" s="61">
        <f>VLOOKUP($B157,'7. PGE_Efficacité'!$A$6:$CY$266,(MATCH('[3]4.4 ACE MAX SEN '!AJ$4,'7. PGE_Efficacité'!$A$4:$AO$4,0)),0)</f>
        <v>0</v>
      </c>
      <c r="AK157" s="61">
        <f>VLOOKUP($B157,'7. PGE_Efficacité'!$A$6:$CY$266,(MATCH('[3]4.4 ACE MAX SEN '!AK$4,'7. PGE_Efficacité'!$A$4:$AO$4,0)),0)</f>
        <v>0</v>
      </c>
    </row>
    <row r="158" spans="1:37" hidden="1" outlineLevel="2" x14ac:dyDescent="0.25">
      <c r="A158" s="65" t="s">
        <v>25</v>
      </c>
      <c r="B158" s="65" t="s">
        <v>2603</v>
      </c>
      <c r="C158" s="65" t="s">
        <v>1998</v>
      </c>
      <c r="D158" s="65" t="s">
        <v>1521</v>
      </c>
      <c r="E158" s="65" t="s">
        <v>1290</v>
      </c>
      <c r="F158" s="70"/>
      <c r="G158" s="64">
        <f>VLOOKUP($B158,'7. PGE_Efficacité'!$A$6:$CY$266,(MATCH('[3]4.4 ACE MAX SEN '!G$4,'7. PGE_Efficacité'!$A$4:$AO$4,0)),0)</f>
        <v>0</v>
      </c>
      <c r="H158" s="64">
        <f>VLOOKUP($B158,'7. PGE_Efficacité'!$A$6:$CY$266,(MATCH('[3]4.4 ACE MAX SEN '!H$4,'7. PGE_Efficacité'!$A$4:$AO$4,0)),0)</f>
        <v>0</v>
      </c>
      <c r="I158" s="64">
        <f>VLOOKUP($B158,'7. PGE_Efficacité'!$A$6:$CY$266,(MATCH('[3]4.4 ACE MAX SEN '!I$4,'7. PGE_Efficacité'!$A$4:$AO$4,0)),0)</f>
        <v>0</v>
      </c>
      <c r="J158" s="64">
        <f>VLOOKUP($B158,'7. PGE_Efficacité'!$A$6:$CY$266,(MATCH('[3]4.4 ACE MAX SEN '!J$4,'7. PGE_Efficacité'!$A$4:$AO$4,0)),0)</f>
        <v>0</v>
      </c>
      <c r="K158" s="64">
        <f>VLOOKUP($B158,'7. PGE_Efficacité'!$A$6:$CY$266,(MATCH('[3]4.4 ACE MAX SEN '!K$4,'7. PGE_Efficacité'!$A$4:$AO$4,0)),0)</f>
        <v>0</v>
      </c>
      <c r="L158" s="64">
        <f>VLOOKUP($B158,'7. PGE_Efficacité'!$A$6:$CY$266,(MATCH('[3]4.4 ACE MAX SEN '!L$4,'7. PGE_Efficacité'!$A$4:$AO$4,0)),0)</f>
        <v>0</v>
      </c>
      <c r="M158" s="64">
        <f>VLOOKUP($B158,'7. PGE_Efficacité'!$A$6:$CY$266,(MATCH('[3]4.4 ACE MAX SEN '!M$4,'7. PGE_Efficacité'!$A$4:$AO$4,0)),0)</f>
        <v>0</v>
      </c>
      <c r="N158" s="64">
        <f>VLOOKUP($B158,'7. PGE_Efficacité'!$A$6:$CY$266,(MATCH('[3]4.4 ACE MAX SEN '!N$4,'7. PGE_Efficacité'!$A$4:$AO$4,0)),0)</f>
        <v>0</v>
      </c>
      <c r="O158" s="64">
        <f>VLOOKUP($B158,'7. PGE_Efficacité'!$A$6:$CY$266,(MATCH('[3]4.4 ACE MAX SEN '!O$4,'7. PGE_Efficacité'!$A$4:$AO$4,0)),0)</f>
        <v>0</v>
      </c>
      <c r="P158" s="64">
        <f>VLOOKUP($B158,'7. PGE_Efficacité'!$A$6:$CY$266,(MATCH('[3]4.4 ACE MAX SEN '!P$4,'7. PGE_Efficacité'!$A$4:$AO$4,0)),0)</f>
        <v>0</v>
      </c>
      <c r="Q158" s="64">
        <f>VLOOKUP($B158,'7. PGE_Efficacité'!$A$6:$CY$266,(MATCH('[3]4.4 ACE MAX SEN '!Q$4,'7. PGE_Efficacité'!$A$4:$AO$4,0)),0)</f>
        <v>0</v>
      </c>
      <c r="R158" s="64">
        <f>VLOOKUP($B158,'7. PGE_Efficacité'!$A$6:$CY$266,(MATCH('[3]4.4 ACE MAX SEN '!R$4,'7. PGE_Efficacité'!$A$4:$AO$4,0)),0)</f>
        <v>0</v>
      </c>
      <c r="S158" s="64">
        <f>VLOOKUP($B158,'7. PGE_Efficacité'!$A$6:$CY$266,(MATCH('[3]4.4 ACE MAX SEN '!S$4,'7. PGE_Efficacité'!$A$4:$AO$4,0)),0)</f>
        <v>0</v>
      </c>
      <c r="T158" s="64">
        <f>VLOOKUP($B158,'7. PGE_Efficacité'!$A$6:$CY$266,(MATCH('[3]4.4 ACE MAX SEN '!T$4,'7. PGE_Efficacité'!$A$4:$AO$4,0)),0)</f>
        <v>0</v>
      </c>
      <c r="U158" s="64">
        <f>VLOOKUP($B158,'7. PGE_Efficacité'!$A$6:$CY$266,(MATCH('[3]4.4 ACE MAX SEN '!U$4,'7. PGE_Efficacité'!$A$4:$AO$4,0)),0)</f>
        <v>0</v>
      </c>
      <c r="V158" s="64">
        <f>VLOOKUP($B158,'7. PGE_Efficacité'!$A$6:$CY$266,(MATCH('[3]4.4 ACE MAX SEN '!V$4,'7. PGE_Efficacité'!$A$4:$AO$4,0)),0)</f>
        <v>0</v>
      </c>
      <c r="W158" s="61">
        <f>VLOOKUP($B158,'7. PGE_Efficacité'!$A$6:$CY$266,(MATCH('[3]4.4 ACE MAX SEN '!W$4,'7. PGE_Efficacité'!$A$4:$AO$4,0)),0)</f>
        <v>0</v>
      </c>
      <c r="X158" s="61">
        <f>VLOOKUP($B158,'7. PGE_Efficacité'!$A$6:$CY$266,(MATCH('[3]4.4 ACE MAX SEN '!X$4,'7. PGE_Efficacité'!$A$4:$AO$4,0)),0)</f>
        <v>0</v>
      </c>
      <c r="Y158" s="61">
        <f>VLOOKUP($B158,'7. PGE_Efficacité'!$A$6:$CY$266,(MATCH('[3]4.4 ACE MAX SEN '!Y$4,'7. PGE_Efficacité'!$A$4:$AO$4,0)),0)</f>
        <v>0</v>
      </c>
      <c r="Z158" s="61">
        <f>VLOOKUP($B158,'7. PGE_Efficacité'!$A$6:$CY$266,(MATCH('[3]4.4 ACE MAX SEN '!Z$4,'7. PGE_Efficacité'!$A$4:$AO$4,0)),0)</f>
        <v>0</v>
      </c>
      <c r="AA158" s="61">
        <f>VLOOKUP($B158,'7. PGE_Efficacité'!$A$6:$CY$266,(MATCH('[3]4.4 ACE MAX SEN '!AA$4,'7. PGE_Efficacité'!$A$4:$AO$4,0)),0)</f>
        <v>0</v>
      </c>
      <c r="AB158" s="61">
        <f>VLOOKUP($B158,'7. PGE_Efficacité'!$A$6:$CY$266,(MATCH('[3]4.4 ACE MAX SEN '!AB$4,'7. PGE_Efficacité'!$A$4:$AO$4,0)),0)</f>
        <v>0</v>
      </c>
      <c r="AC158" s="61">
        <f>VLOOKUP($B158,'7. PGE_Efficacité'!$A$6:$CY$266,(MATCH('[3]4.4 ACE MAX SEN '!AC$4,'7. PGE_Efficacité'!$A$4:$AO$4,0)),0)</f>
        <v>0</v>
      </c>
      <c r="AD158" s="61">
        <f>VLOOKUP($B158,'7. PGE_Efficacité'!$A$6:$CY$266,(MATCH('[3]4.4 ACE MAX SEN '!AD$4,'7. PGE_Efficacité'!$A$4:$AO$4,0)),0)</f>
        <v>0</v>
      </c>
      <c r="AE158" s="61">
        <f>VLOOKUP($B158,'7. PGE_Efficacité'!$A$6:$CY$266,(MATCH('[3]4.4 ACE MAX SEN '!AE$4,'7. PGE_Efficacité'!$A$4:$AO$4,0)),0)</f>
        <v>0</v>
      </c>
      <c r="AF158" s="61">
        <f>VLOOKUP($B158,'7. PGE_Efficacité'!$A$6:$CY$266,(MATCH('[3]4.4 ACE MAX SEN '!AF$4,'7. PGE_Efficacité'!$A$4:$AO$4,0)),0)</f>
        <v>0</v>
      </c>
      <c r="AG158" s="61">
        <f>VLOOKUP($B158,'7. PGE_Efficacité'!$A$6:$CY$266,(MATCH('[3]4.4 ACE MAX SEN '!AG$4,'7. PGE_Efficacité'!$A$4:$AO$4,0)),0)</f>
        <v>0</v>
      </c>
      <c r="AH158" s="61">
        <f>VLOOKUP($B158,'7. PGE_Efficacité'!$A$6:$CY$266,(MATCH('[3]4.4 ACE MAX SEN '!AH$4,'7. PGE_Efficacité'!$A$4:$AO$4,0)),0)</f>
        <v>0</v>
      </c>
      <c r="AI158" s="61">
        <f>VLOOKUP($B158,'7. PGE_Efficacité'!$A$6:$CY$266,(MATCH('[3]4.4 ACE MAX SEN '!AI$4,'7. PGE_Efficacité'!$A$4:$AO$4,0)),0)</f>
        <v>0</v>
      </c>
      <c r="AJ158" s="61">
        <f>VLOOKUP($B158,'7. PGE_Efficacité'!$A$6:$CY$266,(MATCH('[3]4.4 ACE MAX SEN '!AJ$4,'7. PGE_Efficacité'!$A$4:$AO$4,0)),0)</f>
        <v>0</v>
      </c>
      <c r="AK158" s="61">
        <f>VLOOKUP($B158,'7. PGE_Efficacité'!$A$6:$CY$266,(MATCH('[3]4.4 ACE MAX SEN '!AK$4,'7. PGE_Efficacité'!$A$4:$AO$4,0)),0)</f>
        <v>0</v>
      </c>
    </row>
    <row r="159" spans="1:37" outlineLevel="1" x14ac:dyDescent="0.25">
      <c r="A159" s="157" t="s">
        <v>26</v>
      </c>
      <c r="B159" s="63"/>
      <c r="C159" s="156" t="s">
        <v>218</v>
      </c>
      <c r="D159" s="63"/>
      <c r="E159" s="63"/>
      <c r="F159" s="72">
        <f>MEDIAN(VLOOKUP(A159,'4. Mesures_ACE_Budget'!$A$3:$J$31,9,0),VLOOKUP(A159,'4. Mesures_ACE_Budget'!$A$3:$J$31,10,0))</f>
        <v>0</v>
      </c>
      <c r="G159" s="180" t="str">
        <f>VLOOKUP($A159,'7. PGE_Efficacité'!$A$6:$CY$266,(MATCH('[2]4.4 ACE MAX SEN '!G$4,'7. PGE_Efficacité'!$A$4:$AO$4,0)),0)</f>
        <v>+</v>
      </c>
      <c r="H159" s="180" t="str">
        <f>VLOOKUP($A159,'7. PGE_Efficacité'!$A$6:$CY$266,(MATCH('[2]4.4 ACE MAX SEN '!H$4,'7. PGE_Efficacité'!$A$4:$AO$4,0)),0)</f>
        <v>+</v>
      </c>
      <c r="I159" s="180" t="str">
        <f>VLOOKUP($A159,'7. PGE_Efficacité'!$A$6:$CY$266,(MATCH('[2]4.4 ACE MAX SEN '!I$4,'7. PGE_Efficacité'!$A$4:$AO$4,0)),0)</f>
        <v>+</v>
      </c>
      <c r="J159" s="180" t="str">
        <f>VLOOKUP($A159,'7. PGE_Efficacité'!$A$6:$CY$266,(MATCH('[2]4.4 ACE MAX SEN '!J$4,'7. PGE_Efficacité'!$A$4:$AO$4,0)),0)</f>
        <v>+</v>
      </c>
      <c r="K159" s="180" t="str">
        <f>VLOOKUP($A159,'7. PGE_Efficacité'!$A$6:$CY$266,(MATCH('[2]4.4 ACE MAX SEN '!K$4,'7. PGE_Efficacité'!$A$4:$AO$4,0)),0)</f>
        <v>+</v>
      </c>
      <c r="L159" s="180" t="str">
        <f>VLOOKUP($A159,'7. PGE_Efficacité'!$A$6:$CY$266,(MATCH('[2]4.4 ACE MAX SEN '!L$4,'7. PGE_Efficacité'!$A$4:$AO$4,0)),0)</f>
        <v>+</v>
      </c>
      <c r="M159" s="180" t="str">
        <f>VLOOKUP($A159,'7. PGE_Efficacité'!$A$6:$CY$266,(MATCH('[2]4.4 ACE MAX SEN '!M$4,'7. PGE_Efficacité'!$A$4:$AO$4,0)),0)</f>
        <v>+</v>
      </c>
      <c r="N159" s="180" t="str">
        <f>VLOOKUP($A159,'7. PGE_Efficacité'!$A$6:$CY$266,(MATCH('[2]4.4 ACE MAX SEN '!N$4,'7. PGE_Efficacité'!$A$4:$AO$4,0)),0)</f>
        <v>+</v>
      </c>
      <c r="O159" s="180" t="str">
        <f>VLOOKUP($A159,'7. PGE_Efficacité'!$A$6:$CY$266,(MATCH('[2]4.4 ACE MAX SEN '!O$4,'7. PGE_Efficacité'!$A$4:$AO$4,0)),0)</f>
        <v>+</v>
      </c>
      <c r="P159" s="180" t="str">
        <f>VLOOKUP($A159,'7. PGE_Efficacité'!$A$6:$CY$266,(MATCH('[2]4.4 ACE MAX SEN '!P$4,'7. PGE_Efficacité'!$A$4:$AO$4,0)),0)</f>
        <v>+</v>
      </c>
      <c r="Q159" s="180" t="str">
        <f>VLOOKUP($A159,'7. PGE_Efficacité'!$A$6:$CY$266,(MATCH('[2]4.4 ACE MAX SEN '!Q$4,'7. PGE_Efficacité'!$A$4:$AO$4,0)),0)</f>
        <v>+</v>
      </c>
      <c r="R159" s="180">
        <f>VLOOKUP($A159,'7. PGE_Efficacité'!$A$6:$CY$266,(MATCH('[2]4.4 ACE MAX SEN '!R$4,'7. PGE_Efficacité'!$A$4:$AO$4,0)),0)</f>
        <v>0</v>
      </c>
      <c r="S159" s="180" t="str">
        <f>VLOOKUP($A159,'7. PGE_Efficacité'!$A$6:$CY$266,(MATCH('[2]4.4 ACE MAX SEN '!S$4,'7. PGE_Efficacité'!$A$4:$AO$4,0)),0)</f>
        <v>+</v>
      </c>
      <c r="T159" s="180" t="str">
        <f>VLOOKUP($A159,'7. PGE_Efficacité'!$A$6:$CY$266,(MATCH('[2]4.4 ACE MAX SEN '!T$4,'7. PGE_Efficacité'!$A$4:$AO$4,0)),0)</f>
        <v>+</v>
      </c>
      <c r="U159" s="180" t="str">
        <f>VLOOKUP($A159,'7. PGE_Efficacité'!$A$6:$CY$266,(MATCH('[2]4.4 ACE MAX SEN '!U$4,'7. PGE_Efficacité'!$A$4:$AO$4,0)),0)</f>
        <v>+</v>
      </c>
      <c r="V159" s="180" t="str">
        <f>VLOOKUP($A159,'7. PGE_Efficacité'!$A$6:$CY$266,(MATCH('[2]4.4 ACE MAX SEN '!V$4,'7. PGE_Efficacité'!$A$4:$AO$4,0)),0)</f>
        <v>+</v>
      </c>
      <c r="W159" s="181" t="str">
        <f>VLOOKUP($A159,'7. PGE_Efficacité'!$A$6:$CY$266,(MATCH('[2]4.4 ACE MAX SEN '!W$4,'7. PGE_Efficacité'!$A$4:$AO$4,0)),0)</f>
        <v>+</v>
      </c>
      <c r="X159" s="181" t="str">
        <f>VLOOKUP($A159,'7. PGE_Efficacité'!$A$6:$CY$266,(MATCH('[2]4.4 ACE MAX SEN '!X$4,'7. PGE_Efficacité'!$A$4:$AO$4,0)),0)</f>
        <v>+</v>
      </c>
      <c r="Y159" s="181" t="str">
        <f>VLOOKUP($A159,'7. PGE_Efficacité'!$A$6:$CY$266,(MATCH('[2]4.4 ACE MAX SEN '!Y$4,'7. PGE_Efficacité'!$A$4:$AO$4,0)),0)</f>
        <v>+</v>
      </c>
      <c r="Z159" s="181" t="str">
        <f>VLOOKUP($A159,'7. PGE_Efficacité'!$A$6:$CY$266,(MATCH('[2]4.4 ACE MAX SEN '!Z$4,'7. PGE_Efficacité'!$A$4:$AO$4,0)),0)</f>
        <v>+</v>
      </c>
      <c r="AA159" s="181" t="str">
        <f>VLOOKUP($A159,'7. PGE_Efficacité'!$A$6:$CY$266,(MATCH('[2]4.4 ACE MAX SEN '!AA$4,'7. PGE_Efficacité'!$A$4:$AO$4,0)),0)</f>
        <v>+</v>
      </c>
      <c r="AB159" s="181" t="str">
        <f>VLOOKUP($A159,'7. PGE_Efficacité'!$A$6:$CY$266,(MATCH('[2]4.4 ACE MAX SEN '!AB$4,'7. PGE_Efficacité'!$A$4:$AO$4,0)),0)</f>
        <v>+</v>
      </c>
      <c r="AC159" s="181" t="str">
        <f>VLOOKUP($A159,'7. PGE_Efficacité'!$A$6:$CY$266,(MATCH('[2]4.4 ACE MAX SEN '!AC$4,'7. PGE_Efficacité'!$A$4:$AO$4,0)),0)</f>
        <v>+</v>
      </c>
      <c r="AD159" s="181">
        <f>VLOOKUP($A159,'7. PGE_Efficacité'!$A$6:$CY$266,(MATCH('[2]4.4 ACE MAX SEN '!AD$4,'7. PGE_Efficacité'!$A$4:$AO$4,0)),0)</f>
        <v>0</v>
      </c>
      <c r="AE159" s="181">
        <f>VLOOKUP($A159,'7. PGE_Efficacité'!$A$6:$CY$266,(MATCH('[2]4.4 ACE MAX SEN '!AE$4,'7. PGE_Efficacité'!$A$4:$AO$4,0)),0)</f>
        <v>0</v>
      </c>
      <c r="AF159" s="181">
        <f>VLOOKUP($A159,'7. PGE_Efficacité'!$A$6:$CY$266,(MATCH('[2]4.4 ACE MAX SEN '!AF$4,'7. PGE_Efficacité'!$A$4:$AO$4,0)),0)</f>
        <v>0</v>
      </c>
      <c r="AG159" s="181">
        <f>VLOOKUP($A159,'7. PGE_Efficacité'!$A$6:$CY$266,(MATCH('[2]4.4 ACE MAX SEN '!AG$4,'7. PGE_Efficacité'!$A$4:$AO$4,0)),0)</f>
        <v>0</v>
      </c>
      <c r="AH159" s="181" t="str">
        <f>VLOOKUP($A159,'7. PGE_Efficacité'!$A$6:$CY$266,(MATCH('[2]4.4 ACE MAX SEN '!AH$4,'7. PGE_Efficacité'!$A$4:$AO$4,0)),0)</f>
        <v>+</v>
      </c>
      <c r="AI159" s="181" t="str">
        <f>VLOOKUP($A159,'7. PGE_Efficacité'!$A$6:$CY$266,(MATCH('[2]4.4 ACE MAX SEN '!AI$4,'7. PGE_Efficacité'!$A$4:$AO$4,0)),0)</f>
        <v>+</v>
      </c>
      <c r="AJ159" s="181" t="str">
        <f>VLOOKUP($A159,'7. PGE_Efficacité'!$A$6:$CY$266,(MATCH('[2]4.4 ACE MAX SEN '!AJ$4,'7. PGE_Efficacité'!$A$4:$AO$4,0)),0)</f>
        <v>+</v>
      </c>
      <c r="AK159" s="181" t="str">
        <f>VLOOKUP($A159,'7. PGE_Efficacité'!$A$6:$CY$266,(MATCH('[2]4.4 ACE MAX SEN '!AK$4,'7. PGE_Efficacité'!$A$4:$AO$4,0)),0)</f>
        <v>+</v>
      </c>
    </row>
    <row r="160" spans="1:37" outlineLevel="2" x14ac:dyDescent="0.25">
      <c r="A160" s="65" t="s">
        <v>26</v>
      </c>
      <c r="B160" s="65" t="s">
        <v>755</v>
      </c>
      <c r="C160" s="65" t="s">
        <v>1641</v>
      </c>
      <c r="D160" s="65" t="s">
        <v>1521</v>
      </c>
      <c r="E160" s="65" t="s">
        <v>1290</v>
      </c>
      <c r="F160" s="70"/>
      <c r="G160" s="64">
        <f>VLOOKUP($B160,'7. PGE_Efficacité'!$A$6:$CY$266,(MATCH('[3]4.4 ACE MAX SEN '!G$4,'7. PGE_Efficacité'!$A$4:$AO$4,0)),0)</f>
        <v>0</v>
      </c>
      <c r="H160" s="64">
        <f>VLOOKUP($B160,'7. PGE_Efficacité'!$A$6:$CY$266,(MATCH('[3]4.4 ACE MAX SEN '!H$4,'7. PGE_Efficacité'!$A$4:$AO$4,0)),0)</f>
        <v>0</v>
      </c>
      <c r="I160" s="64">
        <f>VLOOKUP($B160,'7. PGE_Efficacité'!$A$6:$CY$266,(MATCH('[3]4.4 ACE MAX SEN '!I$4,'7. PGE_Efficacité'!$A$4:$AO$4,0)),0)</f>
        <v>0</v>
      </c>
      <c r="J160" s="64">
        <f>VLOOKUP($B160,'7. PGE_Efficacité'!$A$6:$CY$266,(MATCH('[3]4.4 ACE MAX SEN '!J$4,'7. PGE_Efficacité'!$A$4:$AO$4,0)),0)</f>
        <v>0</v>
      </c>
      <c r="K160" s="64">
        <f>VLOOKUP($B160,'7. PGE_Efficacité'!$A$6:$CY$266,(MATCH('[3]4.4 ACE MAX SEN '!K$4,'7. PGE_Efficacité'!$A$4:$AO$4,0)),0)</f>
        <v>0</v>
      </c>
      <c r="L160" s="64">
        <f>VLOOKUP($B160,'7. PGE_Efficacité'!$A$6:$CY$266,(MATCH('[3]4.4 ACE MAX SEN '!L$4,'7. PGE_Efficacité'!$A$4:$AO$4,0)),0)</f>
        <v>0</v>
      </c>
      <c r="M160" s="64">
        <f>VLOOKUP($B160,'7. PGE_Efficacité'!$A$6:$CY$266,(MATCH('[3]4.4 ACE MAX SEN '!M$4,'7. PGE_Efficacité'!$A$4:$AO$4,0)),0)</f>
        <v>0</v>
      </c>
      <c r="N160" s="64">
        <f>VLOOKUP($B160,'7. PGE_Efficacité'!$A$6:$CY$266,(MATCH('[3]4.4 ACE MAX SEN '!N$4,'7. PGE_Efficacité'!$A$4:$AO$4,0)),0)</f>
        <v>0</v>
      </c>
      <c r="O160" s="64">
        <f>VLOOKUP($B160,'7. PGE_Efficacité'!$A$6:$CY$266,(MATCH('[3]4.4 ACE MAX SEN '!O$4,'7. PGE_Efficacité'!$A$4:$AO$4,0)),0)</f>
        <v>0</v>
      </c>
      <c r="P160" s="64">
        <f>VLOOKUP($B160,'7. PGE_Efficacité'!$A$6:$CY$266,(MATCH('[3]4.4 ACE MAX SEN '!P$4,'7. PGE_Efficacité'!$A$4:$AO$4,0)),0)</f>
        <v>0</v>
      </c>
      <c r="Q160" s="64">
        <f>VLOOKUP($B160,'7. PGE_Efficacité'!$A$6:$CY$266,(MATCH('[3]4.4 ACE MAX SEN '!Q$4,'7. PGE_Efficacité'!$A$4:$AO$4,0)),0)</f>
        <v>0</v>
      </c>
      <c r="R160" s="64">
        <f>VLOOKUP($B160,'7. PGE_Efficacité'!$A$6:$CY$266,(MATCH('[3]4.4 ACE MAX SEN '!R$4,'7. PGE_Efficacité'!$A$4:$AO$4,0)),0)</f>
        <v>0</v>
      </c>
      <c r="S160" s="64">
        <f>VLOOKUP($B160,'7. PGE_Efficacité'!$A$6:$CY$266,(MATCH('[3]4.4 ACE MAX SEN '!S$4,'7. PGE_Efficacité'!$A$4:$AO$4,0)),0)</f>
        <v>0</v>
      </c>
      <c r="T160" s="64">
        <f>VLOOKUP($B160,'7. PGE_Efficacité'!$A$6:$CY$266,(MATCH('[3]4.4 ACE MAX SEN '!T$4,'7. PGE_Efficacité'!$A$4:$AO$4,0)),0)</f>
        <v>0</v>
      </c>
      <c r="U160" s="64">
        <f>VLOOKUP($B160,'7. PGE_Efficacité'!$A$6:$CY$266,(MATCH('[3]4.4 ACE MAX SEN '!U$4,'7. PGE_Efficacité'!$A$4:$AO$4,0)),0)</f>
        <v>0</v>
      </c>
      <c r="V160" s="64">
        <f>VLOOKUP($B160,'7. PGE_Efficacité'!$A$6:$CY$266,(MATCH('[3]4.4 ACE MAX SEN '!V$4,'7. PGE_Efficacité'!$A$4:$AO$4,0)),0)</f>
        <v>0</v>
      </c>
      <c r="W160" s="61">
        <f>VLOOKUP($B160,'7. PGE_Efficacité'!$A$6:$CY$266,(MATCH('[3]4.4 ACE MAX SEN '!W$4,'7. PGE_Efficacité'!$A$4:$AO$4,0)),0)</f>
        <v>0</v>
      </c>
      <c r="X160" s="61">
        <f>VLOOKUP($B160,'7. PGE_Efficacité'!$A$6:$CY$266,(MATCH('[3]4.4 ACE MAX SEN '!X$4,'7. PGE_Efficacité'!$A$4:$AO$4,0)),0)</f>
        <v>0</v>
      </c>
      <c r="Y160" s="61">
        <f>VLOOKUP($B160,'7. PGE_Efficacité'!$A$6:$CY$266,(MATCH('[3]4.4 ACE MAX SEN '!Y$4,'7. PGE_Efficacité'!$A$4:$AO$4,0)),0)</f>
        <v>0</v>
      </c>
      <c r="Z160" s="61">
        <f>VLOOKUP($B160,'7. PGE_Efficacité'!$A$6:$CY$266,(MATCH('[3]4.4 ACE MAX SEN '!Z$4,'7. PGE_Efficacité'!$A$4:$AO$4,0)),0)</f>
        <v>0</v>
      </c>
      <c r="AA160" s="61">
        <f>VLOOKUP($B160,'7. PGE_Efficacité'!$A$6:$CY$266,(MATCH('[3]4.4 ACE MAX SEN '!AA$4,'7. PGE_Efficacité'!$A$4:$AO$4,0)),0)</f>
        <v>0</v>
      </c>
      <c r="AB160" s="61">
        <f>VLOOKUP($B160,'7. PGE_Efficacité'!$A$6:$CY$266,(MATCH('[3]4.4 ACE MAX SEN '!AB$4,'7. PGE_Efficacité'!$A$4:$AO$4,0)),0)</f>
        <v>0</v>
      </c>
      <c r="AC160" s="61">
        <f>VLOOKUP($B160,'7. PGE_Efficacité'!$A$6:$CY$266,(MATCH('[3]4.4 ACE MAX SEN '!AC$4,'7. PGE_Efficacité'!$A$4:$AO$4,0)),0)</f>
        <v>0</v>
      </c>
      <c r="AD160" s="61">
        <f>VLOOKUP($B160,'7. PGE_Efficacité'!$A$6:$CY$266,(MATCH('[3]4.4 ACE MAX SEN '!AD$4,'7. PGE_Efficacité'!$A$4:$AO$4,0)),0)</f>
        <v>0</v>
      </c>
      <c r="AE160" s="61">
        <f>VLOOKUP($B160,'7. PGE_Efficacité'!$A$6:$CY$266,(MATCH('[3]4.4 ACE MAX SEN '!AE$4,'7. PGE_Efficacité'!$A$4:$AO$4,0)),0)</f>
        <v>0</v>
      </c>
      <c r="AF160" s="61">
        <f>VLOOKUP($B160,'7. PGE_Efficacité'!$A$6:$CY$266,(MATCH('[3]4.4 ACE MAX SEN '!AF$4,'7. PGE_Efficacité'!$A$4:$AO$4,0)),0)</f>
        <v>0</v>
      </c>
      <c r="AG160" s="61">
        <f>VLOOKUP($B160,'7. PGE_Efficacité'!$A$6:$CY$266,(MATCH('[3]4.4 ACE MAX SEN '!AG$4,'7. PGE_Efficacité'!$A$4:$AO$4,0)),0)</f>
        <v>0</v>
      </c>
      <c r="AH160" s="61">
        <f>VLOOKUP($B160,'7. PGE_Efficacité'!$A$6:$CY$266,(MATCH('[3]4.4 ACE MAX SEN '!AH$4,'7. PGE_Efficacité'!$A$4:$AO$4,0)),0)</f>
        <v>0</v>
      </c>
      <c r="AI160" s="61">
        <f>VLOOKUP($B160,'7. PGE_Efficacité'!$A$6:$CY$266,(MATCH('[3]4.4 ACE MAX SEN '!AI$4,'7. PGE_Efficacité'!$A$4:$AO$4,0)),0)</f>
        <v>0</v>
      </c>
      <c r="AJ160" s="61">
        <f>VLOOKUP($B160,'7. PGE_Efficacité'!$A$6:$CY$266,(MATCH('[3]4.4 ACE MAX SEN '!AJ$4,'7. PGE_Efficacité'!$A$4:$AO$4,0)),0)</f>
        <v>0</v>
      </c>
      <c r="AK160" s="61">
        <f>VLOOKUP($B160,'7. PGE_Efficacité'!$A$6:$CY$266,(MATCH('[3]4.4 ACE MAX SEN '!AK$4,'7. PGE_Efficacité'!$A$4:$AO$4,0)),0)</f>
        <v>0</v>
      </c>
    </row>
    <row r="161" spans="1:37" outlineLevel="2" x14ac:dyDescent="0.25">
      <c r="A161" s="65" t="s">
        <v>26</v>
      </c>
      <c r="B161" s="65" t="s">
        <v>756</v>
      </c>
      <c r="C161" s="65" t="s">
        <v>1644</v>
      </c>
      <c r="D161" s="65" t="s">
        <v>1521</v>
      </c>
      <c r="E161" s="65" t="s">
        <v>1290</v>
      </c>
      <c r="F161" s="70"/>
      <c r="G161" s="64">
        <f>VLOOKUP($B161,'7. PGE_Efficacité'!$A$6:$CY$266,(MATCH('[3]4.4 ACE MAX SEN '!G$4,'7. PGE_Efficacité'!$A$4:$AO$4,0)),0)</f>
        <v>0</v>
      </c>
      <c r="H161" s="64">
        <f>VLOOKUP($B161,'7. PGE_Efficacité'!$A$6:$CY$266,(MATCH('[3]4.4 ACE MAX SEN '!H$4,'7. PGE_Efficacité'!$A$4:$AO$4,0)),0)</f>
        <v>0</v>
      </c>
      <c r="I161" s="64">
        <f>VLOOKUP($B161,'7. PGE_Efficacité'!$A$6:$CY$266,(MATCH('[3]4.4 ACE MAX SEN '!I$4,'7. PGE_Efficacité'!$A$4:$AO$4,0)),0)</f>
        <v>0</v>
      </c>
      <c r="J161" s="64">
        <f>VLOOKUP($B161,'7. PGE_Efficacité'!$A$6:$CY$266,(MATCH('[3]4.4 ACE MAX SEN '!J$4,'7. PGE_Efficacité'!$A$4:$AO$4,0)),0)</f>
        <v>0</v>
      </c>
      <c r="K161" s="64">
        <f>VLOOKUP($B161,'7. PGE_Efficacité'!$A$6:$CY$266,(MATCH('[3]4.4 ACE MAX SEN '!K$4,'7. PGE_Efficacité'!$A$4:$AO$4,0)),0)</f>
        <v>0</v>
      </c>
      <c r="L161" s="64">
        <f>VLOOKUP($B161,'7. PGE_Efficacité'!$A$6:$CY$266,(MATCH('[3]4.4 ACE MAX SEN '!L$4,'7. PGE_Efficacité'!$A$4:$AO$4,0)),0)</f>
        <v>0</v>
      </c>
      <c r="M161" s="64">
        <f>VLOOKUP($B161,'7. PGE_Efficacité'!$A$6:$CY$266,(MATCH('[3]4.4 ACE MAX SEN '!M$4,'7. PGE_Efficacité'!$A$4:$AO$4,0)),0)</f>
        <v>0</v>
      </c>
      <c r="N161" s="64">
        <f>VLOOKUP($B161,'7. PGE_Efficacité'!$A$6:$CY$266,(MATCH('[3]4.4 ACE MAX SEN '!N$4,'7. PGE_Efficacité'!$A$4:$AO$4,0)),0)</f>
        <v>0</v>
      </c>
      <c r="O161" s="64">
        <f>VLOOKUP($B161,'7. PGE_Efficacité'!$A$6:$CY$266,(MATCH('[3]4.4 ACE MAX SEN '!O$4,'7. PGE_Efficacité'!$A$4:$AO$4,0)),0)</f>
        <v>0</v>
      </c>
      <c r="P161" s="64">
        <f>VLOOKUP($B161,'7. PGE_Efficacité'!$A$6:$CY$266,(MATCH('[3]4.4 ACE MAX SEN '!P$4,'7. PGE_Efficacité'!$A$4:$AO$4,0)),0)</f>
        <v>0</v>
      </c>
      <c r="Q161" s="64">
        <f>VLOOKUP($B161,'7. PGE_Efficacité'!$A$6:$CY$266,(MATCH('[3]4.4 ACE MAX SEN '!Q$4,'7. PGE_Efficacité'!$A$4:$AO$4,0)),0)</f>
        <v>0</v>
      </c>
      <c r="R161" s="64">
        <f>VLOOKUP($B161,'7. PGE_Efficacité'!$A$6:$CY$266,(MATCH('[3]4.4 ACE MAX SEN '!R$4,'7. PGE_Efficacité'!$A$4:$AO$4,0)),0)</f>
        <v>0</v>
      </c>
      <c r="S161" s="64">
        <f>VLOOKUP($B161,'7. PGE_Efficacité'!$A$6:$CY$266,(MATCH('[3]4.4 ACE MAX SEN '!S$4,'7. PGE_Efficacité'!$A$4:$AO$4,0)),0)</f>
        <v>0</v>
      </c>
      <c r="T161" s="64">
        <f>VLOOKUP($B161,'7. PGE_Efficacité'!$A$6:$CY$266,(MATCH('[3]4.4 ACE MAX SEN '!T$4,'7. PGE_Efficacité'!$A$4:$AO$4,0)),0)</f>
        <v>0</v>
      </c>
      <c r="U161" s="64">
        <f>VLOOKUP($B161,'7. PGE_Efficacité'!$A$6:$CY$266,(MATCH('[3]4.4 ACE MAX SEN '!U$4,'7. PGE_Efficacité'!$A$4:$AO$4,0)),0)</f>
        <v>0</v>
      </c>
      <c r="V161" s="64">
        <f>VLOOKUP($B161,'7. PGE_Efficacité'!$A$6:$CY$266,(MATCH('[3]4.4 ACE MAX SEN '!V$4,'7. PGE_Efficacité'!$A$4:$AO$4,0)),0)</f>
        <v>0</v>
      </c>
      <c r="W161" s="61">
        <f>VLOOKUP($B161,'7. PGE_Efficacité'!$A$6:$CY$266,(MATCH('[3]4.4 ACE MAX SEN '!W$4,'7. PGE_Efficacité'!$A$4:$AO$4,0)),0)</f>
        <v>0</v>
      </c>
      <c r="X161" s="61">
        <f>VLOOKUP($B161,'7. PGE_Efficacité'!$A$6:$CY$266,(MATCH('[3]4.4 ACE MAX SEN '!X$4,'7. PGE_Efficacité'!$A$4:$AO$4,0)),0)</f>
        <v>0</v>
      </c>
      <c r="Y161" s="61">
        <f>VLOOKUP($B161,'7. PGE_Efficacité'!$A$6:$CY$266,(MATCH('[3]4.4 ACE MAX SEN '!Y$4,'7. PGE_Efficacité'!$A$4:$AO$4,0)),0)</f>
        <v>0</v>
      </c>
      <c r="Z161" s="61">
        <f>VLOOKUP($B161,'7. PGE_Efficacité'!$A$6:$CY$266,(MATCH('[3]4.4 ACE MAX SEN '!Z$4,'7. PGE_Efficacité'!$A$4:$AO$4,0)),0)</f>
        <v>0</v>
      </c>
      <c r="AA161" s="61">
        <f>VLOOKUP($B161,'7. PGE_Efficacité'!$A$6:$CY$266,(MATCH('[3]4.4 ACE MAX SEN '!AA$4,'7. PGE_Efficacité'!$A$4:$AO$4,0)),0)</f>
        <v>0</v>
      </c>
      <c r="AB161" s="61">
        <f>VLOOKUP($B161,'7. PGE_Efficacité'!$A$6:$CY$266,(MATCH('[3]4.4 ACE MAX SEN '!AB$4,'7. PGE_Efficacité'!$A$4:$AO$4,0)),0)</f>
        <v>0</v>
      </c>
      <c r="AC161" s="61">
        <f>VLOOKUP($B161,'7. PGE_Efficacité'!$A$6:$CY$266,(MATCH('[3]4.4 ACE MAX SEN '!AC$4,'7. PGE_Efficacité'!$A$4:$AO$4,0)),0)</f>
        <v>0</v>
      </c>
      <c r="AD161" s="61">
        <f>VLOOKUP($B161,'7. PGE_Efficacité'!$A$6:$CY$266,(MATCH('[3]4.4 ACE MAX SEN '!AD$4,'7. PGE_Efficacité'!$A$4:$AO$4,0)),0)</f>
        <v>0</v>
      </c>
      <c r="AE161" s="61">
        <f>VLOOKUP($B161,'7. PGE_Efficacité'!$A$6:$CY$266,(MATCH('[3]4.4 ACE MAX SEN '!AE$4,'7. PGE_Efficacité'!$A$4:$AO$4,0)),0)</f>
        <v>0</v>
      </c>
      <c r="AF161" s="61">
        <f>VLOOKUP($B161,'7. PGE_Efficacité'!$A$6:$CY$266,(MATCH('[3]4.4 ACE MAX SEN '!AF$4,'7. PGE_Efficacité'!$A$4:$AO$4,0)),0)</f>
        <v>0</v>
      </c>
      <c r="AG161" s="61">
        <f>VLOOKUP($B161,'7. PGE_Efficacité'!$A$6:$CY$266,(MATCH('[3]4.4 ACE MAX SEN '!AG$4,'7. PGE_Efficacité'!$A$4:$AO$4,0)),0)</f>
        <v>0</v>
      </c>
      <c r="AH161" s="61">
        <f>VLOOKUP($B161,'7. PGE_Efficacité'!$A$6:$CY$266,(MATCH('[3]4.4 ACE MAX SEN '!AH$4,'7. PGE_Efficacité'!$A$4:$AO$4,0)),0)</f>
        <v>0</v>
      </c>
      <c r="AI161" s="61">
        <f>VLOOKUP($B161,'7. PGE_Efficacité'!$A$6:$CY$266,(MATCH('[3]4.4 ACE MAX SEN '!AI$4,'7. PGE_Efficacité'!$A$4:$AO$4,0)),0)</f>
        <v>0</v>
      </c>
      <c r="AJ161" s="61">
        <f>VLOOKUP($B161,'7. PGE_Efficacité'!$A$6:$CY$266,(MATCH('[3]4.4 ACE MAX SEN '!AJ$4,'7. PGE_Efficacité'!$A$4:$AO$4,0)),0)</f>
        <v>0</v>
      </c>
      <c r="AK161" s="61">
        <f>VLOOKUP($B161,'7. PGE_Efficacité'!$A$6:$CY$266,(MATCH('[3]4.4 ACE MAX SEN '!AK$4,'7. PGE_Efficacité'!$A$4:$AO$4,0)),0)</f>
        <v>0</v>
      </c>
    </row>
    <row r="162" spans="1:37" outlineLevel="2" x14ac:dyDescent="0.25">
      <c r="A162" s="65" t="s">
        <v>26</v>
      </c>
      <c r="B162" s="65" t="s">
        <v>757</v>
      </c>
      <c r="C162" s="65" t="s">
        <v>1645</v>
      </c>
      <c r="D162" s="65" t="s">
        <v>1521</v>
      </c>
      <c r="E162" s="65" t="s">
        <v>1290</v>
      </c>
      <c r="F162" s="70"/>
      <c r="G162" s="64">
        <f>VLOOKUP($B162,'7. PGE_Efficacité'!$A$6:$CY$266,(MATCH('[3]4.4 ACE MAX SEN '!G$4,'7. PGE_Efficacité'!$A$4:$AO$4,0)),0)</f>
        <v>0</v>
      </c>
      <c r="H162" s="64">
        <f>VLOOKUP($B162,'7. PGE_Efficacité'!$A$6:$CY$266,(MATCH('[3]4.4 ACE MAX SEN '!H$4,'7. PGE_Efficacité'!$A$4:$AO$4,0)),0)</f>
        <v>0</v>
      </c>
      <c r="I162" s="64">
        <f>VLOOKUP($B162,'7. PGE_Efficacité'!$A$6:$CY$266,(MATCH('[3]4.4 ACE MAX SEN '!I$4,'7. PGE_Efficacité'!$A$4:$AO$4,0)),0)</f>
        <v>0</v>
      </c>
      <c r="J162" s="64">
        <f>VLOOKUP($B162,'7. PGE_Efficacité'!$A$6:$CY$266,(MATCH('[3]4.4 ACE MAX SEN '!J$4,'7. PGE_Efficacité'!$A$4:$AO$4,0)),0)</f>
        <v>0</v>
      </c>
      <c r="K162" s="64">
        <f>VLOOKUP($B162,'7. PGE_Efficacité'!$A$6:$CY$266,(MATCH('[3]4.4 ACE MAX SEN '!K$4,'7. PGE_Efficacité'!$A$4:$AO$4,0)),0)</f>
        <v>0</v>
      </c>
      <c r="L162" s="64">
        <f>VLOOKUP($B162,'7. PGE_Efficacité'!$A$6:$CY$266,(MATCH('[3]4.4 ACE MAX SEN '!L$4,'7. PGE_Efficacité'!$A$4:$AO$4,0)),0)</f>
        <v>0</v>
      </c>
      <c r="M162" s="64">
        <f>VLOOKUP($B162,'7. PGE_Efficacité'!$A$6:$CY$266,(MATCH('[3]4.4 ACE MAX SEN '!M$4,'7. PGE_Efficacité'!$A$4:$AO$4,0)),0)</f>
        <v>0</v>
      </c>
      <c r="N162" s="64">
        <f>VLOOKUP($B162,'7. PGE_Efficacité'!$A$6:$CY$266,(MATCH('[3]4.4 ACE MAX SEN '!N$4,'7. PGE_Efficacité'!$A$4:$AO$4,0)),0)</f>
        <v>0</v>
      </c>
      <c r="O162" s="64">
        <f>VLOOKUP($B162,'7. PGE_Efficacité'!$A$6:$CY$266,(MATCH('[3]4.4 ACE MAX SEN '!O$4,'7. PGE_Efficacité'!$A$4:$AO$4,0)),0)</f>
        <v>0</v>
      </c>
      <c r="P162" s="64">
        <f>VLOOKUP($B162,'7. PGE_Efficacité'!$A$6:$CY$266,(MATCH('[3]4.4 ACE MAX SEN '!P$4,'7. PGE_Efficacité'!$A$4:$AO$4,0)),0)</f>
        <v>0</v>
      </c>
      <c r="Q162" s="64">
        <f>VLOOKUP($B162,'7. PGE_Efficacité'!$A$6:$CY$266,(MATCH('[3]4.4 ACE MAX SEN '!Q$4,'7. PGE_Efficacité'!$A$4:$AO$4,0)),0)</f>
        <v>0</v>
      </c>
      <c r="R162" s="64">
        <f>VLOOKUP($B162,'7. PGE_Efficacité'!$A$6:$CY$266,(MATCH('[3]4.4 ACE MAX SEN '!R$4,'7. PGE_Efficacité'!$A$4:$AO$4,0)),0)</f>
        <v>0</v>
      </c>
      <c r="S162" s="64">
        <f>VLOOKUP($B162,'7. PGE_Efficacité'!$A$6:$CY$266,(MATCH('[3]4.4 ACE MAX SEN '!S$4,'7. PGE_Efficacité'!$A$4:$AO$4,0)),0)</f>
        <v>0</v>
      </c>
      <c r="T162" s="64">
        <f>VLOOKUP($B162,'7. PGE_Efficacité'!$A$6:$CY$266,(MATCH('[3]4.4 ACE MAX SEN '!T$4,'7. PGE_Efficacité'!$A$4:$AO$4,0)),0)</f>
        <v>0</v>
      </c>
      <c r="U162" s="64">
        <f>VLOOKUP($B162,'7. PGE_Efficacité'!$A$6:$CY$266,(MATCH('[3]4.4 ACE MAX SEN '!U$4,'7. PGE_Efficacité'!$A$4:$AO$4,0)),0)</f>
        <v>0</v>
      </c>
      <c r="V162" s="64">
        <f>VLOOKUP($B162,'7. PGE_Efficacité'!$A$6:$CY$266,(MATCH('[3]4.4 ACE MAX SEN '!V$4,'7. PGE_Efficacité'!$A$4:$AO$4,0)),0)</f>
        <v>0</v>
      </c>
      <c r="W162" s="61">
        <f>VLOOKUP($B162,'7. PGE_Efficacité'!$A$6:$CY$266,(MATCH('[3]4.4 ACE MAX SEN '!W$4,'7. PGE_Efficacité'!$A$4:$AO$4,0)),0)</f>
        <v>0</v>
      </c>
      <c r="X162" s="61">
        <f>VLOOKUP($B162,'7. PGE_Efficacité'!$A$6:$CY$266,(MATCH('[3]4.4 ACE MAX SEN '!X$4,'7. PGE_Efficacité'!$A$4:$AO$4,0)),0)</f>
        <v>0</v>
      </c>
      <c r="Y162" s="61">
        <f>VLOOKUP($B162,'7. PGE_Efficacité'!$A$6:$CY$266,(MATCH('[3]4.4 ACE MAX SEN '!Y$4,'7. PGE_Efficacité'!$A$4:$AO$4,0)),0)</f>
        <v>0</v>
      </c>
      <c r="Z162" s="61">
        <f>VLOOKUP($B162,'7. PGE_Efficacité'!$A$6:$CY$266,(MATCH('[3]4.4 ACE MAX SEN '!Z$4,'7. PGE_Efficacité'!$A$4:$AO$4,0)),0)</f>
        <v>0</v>
      </c>
      <c r="AA162" s="61">
        <f>VLOOKUP($B162,'7. PGE_Efficacité'!$A$6:$CY$266,(MATCH('[3]4.4 ACE MAX SEN '!AA$4,'7. PGE_Efficacité'!$A$4:$AO$4,0)),0)</f>
        <v>0</v>
      </c>
      <c r="AB162" s="61">
        <f>VLOOKUP($B162,'7. PGE_Efficacité'!$A$6:$CY$266,(MATCH('[3]4.4 ACE MAX SEN '!AB$4,'7. PGE_Efficacité'!$A$4:$AO$4,0)),0)</f>
        <v>0</v>
      </c>
      <c r="AC162" s="61">
        <f>VLOOKUP($B162,'7. PGE_Efficacité'!$A$6:$CY$266,(MATCH('[3]4.4 ACE MAX SEN '!AC$4,'7. PGE_Efficacité'!$A$4:$AO$4,0)),0)</f>
        <v>0</v>
      </c>
      <c r="AD162" s="61">
        <f>VLOOKUP($B162,'7. PGE_Efficacité'!$A$6:$CY$266,(MATCH('[3]4.4 ACE MAX SEN '!AD$4,'7. PGE_Efficacité'!$A$4:$AO$4,0)),0)</f>
        <v>0</v>
      </c>
      <c r="AE162" s="61">
        <f>VLOOKUP($B162,'7. PGE_Efficacité'!$A$6:$CY$266,(MATCH('[3]4.4 ACE MAX SEN '!AE$4,'7. PGE_Efficacité'!$A$4:$AO$4,0)),0)</f>
        <v>0</v>
      </c>
      <c r="AF162" s="61">
        <f>VLOOKUP($B162,'7. PGE_Efficacité'!$A$6:$CY$266,(MATCH('[3]4.4 ACE MAX SEN '!AF$4,'7. PGE_Efficacité'!$A$4:$AO$4,0)),0)</f>
        <v>0</v>
      </c>
      <c r="AG162" s="61">
        <f>VLOOKUP($B162,'7. PGE_Efficacité'!$A$6:$CY$266,(MATCH('[3]4.4 ACE MAX SEN '!AG$4,'7. PGE_Efficacité'!$A$4:$AO$4,0)),0)</f>
        <v>0</v>
      </c>
      <c r="AH162" s="61">
        <f>VLOOKUP($B162,'7. PGE_Efficacité'!$A$6:$CY$266,(MATCH('[3]4.4 ACE MAX SEN '!AH$4,'7. PGE_Efficacité'!$A$4:$AO$4,0)),0)</f>
        <v>0</v>
      </c>
      <c r="AI162" s="61">
        <f>VLOOKUP($B162,'7. PGE_Efficacité'!$A$6:$CY$266,(MATCH('[3]4.4 ACE MAX SEN '!AI$4,'7. PGE_Efficacité'!$A$4:$AO$4,0)),0)</f>
        <v>0</v>
      </c>
      <c r="AJ162" s="61">
        <f>VLOOKUP($B162,'7. PGE_Efficacité'!$A$6:$CY$266,(MATCH('[3]4.4 ACE MAX SEN '!AJ$4,'7. PGE_Efficacité'!$A$4:$AO$4,0)),0)</f>
        <v>0</v>
      </c>
      <c r="AK162" s="61">
        <f>VLOOKUP($B162,'7. PGE_Efficacité'!$A$6:$CY$266,(MATCH('[3]4.4 ACE MAX SEN '!AK$4,'7. PGE_Efficacité'!$A$4:$AO$4,0)),0)</f>
        <v>0</v>
      </c>
    </row>
    <row r="163" spans="1:37" outlineLevel="2" x14ac:dyDescent="0.25">
      <c r="A163" s="65" t="s">
        <v>26</v>
      </c>
      <c r="B163" s="65" t="s">
        <v>758</v>
      </c>
      <c r="C163" s="65" t="s">
        <v>1646</v>
      </c>
      <c r="D163" s="65" t="s">
        <v>1521</v>
      </c>
      <c r="E163" s="65" t="s">
        <v>1290</v>
      </c>
      <c r="F163" s="70"/>
      <c r="G163" s="64">
        <f>VLOOKUP($B163,'7. PGE_Efficacité'!$A$6:$CY$266,(MATCH('[3]4.4 ACE MAX SEN '!G$4,'7. PGE_Efficacité'!$A$4:$AO$4,0)),0)</f>
        <v>0</v>
      </c>
      <c r="H163" s="64">
        <f>VLOOKUP($B163,'7. PGE_Efficacité'!$A$6:$CY$266,(MATCH('[3]4.4 ACE MAX SEN '!H$4,'7. PGE_Efficacité'!$A$4:$AO$4,0)),0)</f>
        <v>0</v>
      </c>
      <c r="I163" s="64">
        <f>VLOOKUP($B163,'7. PGE_Efficacité'!$A$6:$CY$266,(MATCH('[3]4.4 ACE MAX SEN '!I$4,'7. PGE_Efficacité'!$A$4:$AO$4,0)),0)</f>
        <v>0</v>
      </c>
      <c r="J163" s="64">
        <f>VLOOKUP($B163,'7. PGE_Efficacité'!$A$6:$CY$266,(MATCH('[3]4.4 ACE MAX SEN '!J$4,'7. PGE_Efficacité'!$A$4:$AO$4,0)),0)</f>
        <v>0</v>
      </c>
      <c r="K163" s="64">
        <f>VLOOKUP($B163,'7. PGE_Efficacité'!$A$6:$CY$266,(MATCH('[3]4.4 ACE MAX SEN '!K$4,'7. PGE_Efficacité'!$A$4:$AO$4,0)),0)</f>
        <v>0</v>
      </c>
      <c r="L163" s="64">
        <f>VLOOKUP($B163,'7. PGE_Efficacité'!$A$6:$CY$266,(MATCH('[3]4.4 ACE MAX SEN '!L$4,'7. PGE_Efficacité'!$A$4:$AO$4,0)),0)</f>
        <v>0</v>
      </c>
      <c r="M163" s="64">
        <f>VLOOKUP($B163,'7. PGE_Efficacité'!$A$6:$CY$266,(MATCH('[3]4.4 ACE MAX SEN '!M$4,'7. PGE_Efficacité'!$A$4:$AO$4,0)),0)</f>
        <v>0</v>
      </c>
      <c r="N163" s="64">
        <f>VLOOKUP($B163,'7. PGE_Efficacité'!$A$6:$CY$266,(MATCH('[3]4.4 ACE MAX SEN '!N$4,'7. PGE_Efficacité'!$A$4:$AO$4,0)),0)</f>
        <v>0</v>
      </c>
      <c r="O163" s="64">
        <f>VLOOKUP($B163,'7. PGE_Efficacité'!$A$6:$CY$266,(MATCH('[3]4.4 ACE MAX SEN '!O$4,'7. PGE_Efficacité'!$A$4:$AO$4,0)),0)</f>
        <v>0</v>
      </c>
      <c r="P163" s="64">
        <f>VLOOKUP($B163,'7. PGE_Efficacité'!$A$6:$CY$266,(MATCH('[3]4.4 ACE MAX SEN '!P$4,'7. PGE_Efficacité'!$A$4:$AO$4,0)),0)</f>
        <v>0</v>
      </c>
      <c r="Q163" s="64">
        <f>VLOOKUP($B163,'7. PGE_Efficacité'!$A$6:$CY$266,(MATCH('[3]4.4 ACE MAX SEN '!Q$4,'7. PGE_Efficacité'!$A$4:$AO$4,0)),0)</f>
        <v>0</v>
      </c>
      <c r="R163" s="64">
        <f>VLOOKUP($B163,'7. PGE_Efficacité'!$A$6:$CY$266,(MATCH('[3]4.4 ACE MAX SEN '!R$4,'7. PGE_Efficacité'!$A$4:$AO$4,0)),0)</f>
        <v>0</v>
      </c>
      <c r="S163" s="64">
        <f>VLOOKUP($B163,'7. PGE_Efficacité'!$A$6:$CY$266,(MATCH('[3]4.4 ACE MAX SEN '!S$4,'7. PGE_Efficacité'!$A$4:$AO$4,0)),0)</f>
        <v>0</v>
      </c>
      <c r="T163" s="64">
        <f>VLOOKUP($B163,'7. PGE_Efficacité'!$A$6:$CY$266,(MATCH('[3]4.4 ACE MAX SEN '!T$4,'7. PGE_Efficacité'!$A$4:$AO$4,0)),0)</f>
        <v>0</v>
      </c>
      <c r="U163" s="64">
        <f>VLOOKUP($B163,'7. PGE_Efficacité'!$A$6:$CY$266,(MATCH('[3]4.4 ACE MAX SEN '!U$4,'7. PGE_Efficacité'!$A$4:$AO$4,0)),0)</f>
        <v>0</v>
      </c>
      <c r="V163" s="64">
        <f>VLOOKUP($B163,'7. PGE_Efficacité'!$A$6:$CY$266,(MATCH('[3]4.4 ACE MAX SEN '!V$4,'7. PGE_Efficacité'!$A$4:$AO$4,0)),0)</f>
        <v>0</v>
      </c>
      <c r="W163" s="61">
        <f>VLOOKUP($B163,'7. PGE_Efficacité'!$A$6:$CY$266,(MATCH('[3]4.4 ACE MAX SEN '!W$4,'7. PGE_Efficacité'!$A$4:$AO$4,0)),0)</f>
        <v>0</v>
      </c>
      <c r="X163" s="61">
        <f>VLOOKUP($B163,'7. PGE_Efficacité'!$A$6:$CY$266,(MATCH('[3]4.4 ACE MAX SEN '!X$4,'7. PGE_Efficacité'!$A$4:$AO$4,0)),0)</f>
        <v>0</v>
      </c>
      <c r="Y163" s="61">
        <f>VLOOKUP($B163,'7. PGE_Efficacité'!$A$6:$CY$266,(MATCH('[3]4.4 ACE MAX SEN '!Y$4,'7. PGE_Efficacité'!$A$4:$AO$4,0)),0)</f>
        <v>0</v>
      </c>
      <c r="Z163" s="61">
        <f>VLOOKUP($B163,'7. PGE_Efficacité'!$A$6:$CY$266,(MATCH('[3]4.4 ACE MAX SEN '!Z$4,'7. PGE_Efficacité'!$A$4:$AO$4,0)),0)</f>
        <v>0</v>
      </c>
      <c r="AA163" s="61">
        <f>VLOOKUP($B163,'7. PGE_Efficacité'!$A$6:$CY$266,(MATCH('[3]4.4 ACE MAX SEN '!AA$4,'7. PGE_Efficacité'!$A$4:$AO$4,0)),0)</f>
        <v>0</v>
      </c>
      <c r="AB163" s="61">
        <f>VLOOKUP($B163,'7. PGE_Efficacité'!$A$6:$CY$266,(MATCH('[3]4.4 ACE MAX SEN '!AB$4,'7. PGE_Efficacité'!$A$4:$AO$4,0)),0)</f>
        <v>0</v>
      </c>
      <c r="AC163" s="61">
        <f>VLOOKUP($B163,'7. PGE_Efficacité'!$A$6:$CY$266,(MATCH('[3]4.4 ACE MAX SEN '!AC$4,'7. PGE_Efficacité'!$A$4:$AO$4,0)),0)</f>
        <v>0</v>
      </c>
      <c r="AD163" s="61">
        <f>VLOOKUP($B163,'7. PGE_Efficacité'!$A$6:$CY$266,(MATCH('[3]4.4 ACE MAX SEN '!AD$4,'7. PGE_Efficacité'!$A$4:$AO$4,0)),0)</f>
        <v>0</v>
      </c>
      <c r="AE163" s="61">
        <f>VLOOKUP($B163,'7. PGE_Efficacité'!$A$6:$CY$266,(MATCH('[3]4.4 ACE MAX SEN '!AE$4,'7. PGE_Efficacité'!$A$4:$AO$4,0)),0)</f>
        <v>0</v>
      </c>
      <c r="AF163" s="61">
        <f>VLOOKUP($B163,'7. PGE_Efficacité'!$A$6:$CY$266,(MATCH('[3]4.4 ACE MAX SEN '!AF$4,'7. PGE_Efficacité'!$A$4:$AO$4,0)),0)</f>
        <v>0</v>
      </c>
      <c r="AG163" s="61">
        <f>VLOOKUP($B163,'7. PGE_Efficacité'!$A$6:$CY$266,(MATCH('[3]4.4 ACE MAX SEN '!AG$4,'7. PGE_Efficacité'!$A$4:$AO$4,0)),0)</f>
        <v>0</v>
      </c>
      <c r="AH163" s="61">
        <f>VLOOKUP($B163,'7. PGE_Efficacité'!$A$6:$CY$266,(MATCH('[3]4.4 ACE MAX SEN '!AH$4,'7. PGE_Efficacité'!$A$4:$AO$4,0)),0)</f>
        <v>0</v>
      </c>
      <c r="AI163" s="61">
        <f>VLOOKUP($B163,'7. PGE_Efficacité'!$A$6:$CY$266,(MATCH('[3]4.4 ACE MAX SEN '!AI$4,'7. PGE_Efficacité'!$A$4:$AO$4,0)),0)</f>
        <v>0</v>
      </c>
      <c r="AJ163" s="61">
        <f>VLOOKUP($B163,'7. PGE_Efficacité'!$A$6:$CY$266,(MATCH('[3]4.4 ACE MAX SEN '!AJ$4,'7. PGE_Efficacité'!$A$4:$AO$4,0)),0)</f>
        <v>0</v>
      </c>
      <c r="AK163" s="61">
        <f>VLOOKUP($B163,'7. PGE_Efficacité'!$A$6:$CY$266,(MATCH('[3]4.4 ACE MAX SEN '!AK$4,'7. PGE_Efficacité'!$A$4:$AO$4,0)),0)</f>
        <v>0</v>
      </c>
    </row>
    <row r="164" spans="1:37" outlineLevel="2" x14ac:dyDescent="0.25">
      <c r="A164" s="65" t="s">
        <v>26</v>
      </c>
      <c r="B164" s="65" t="s">
        <v>759</v>
      </c>
      <c r="C164" s="65" t="s">
        <v>1647</v>
      </c>
      <c r="D164" s="65" t="s">
        <v>1521</v>
      </c>
      <c r="E164" s="65" t="s">
        <v>1290</v>
      </c>
      <c r="F164" s="70"/>
      <c r="G164" s="64">
        <f>VLOOKUP($B164,'7. PGE_Efficacité'!$A$6:$CY$266,(MATCH('[3]4.4 ACE MAX SEN '!G$4,'7. PGE_Efficacité'!$A$4:$AO$4,0)),0)</f>
        <v>0</v>
      </c>
      <c r="H164" s="64">
        <f>VLOOKUP($B164,'7. PGE_Efficacité'!$A$6:$CY$266,(MATCH('[3]4.4 ACE MAX SEN '!H$4,'7. PGE_Efficacité'!$A$4:$AO$4,0)),0)</f>
        <v>0</v>
      </c>
      <c r="I164" s="64">
        <f>VLOOKUP($B164,'7. PGE_Efficacité'!$A$6:$CY$266,(MATCH('[3]4.4 ACE MAX SEN '!I$4,'7. PGE_Efficacité'!$A$4:$AO$4,0)),0)</f>
        <v>0</v>
      </c>
      <c r="J164" s="64">
        <f>VLOOKUP($B164,'7. PGE_Efficacité'!$A$6:$CY$266,(MATCH('[3]4.4 ACE MAX SEN '!J$4,'7. PGE_Efficacité'!$A$4:$AO$4,0)),0)</f>
        <v>0</v>
      </c>
      <c r="K164" s="64">
        <f>VLOOKUP($B164,'7. PGE_Efficacité'!$A$6:$CY$266,(MATCH('[3]4.4 ACE MAX SEN '!K$4,'7. PGE_Efficacité'!$A$4:$AO$4,0)),0)</f>
        <v>0</v>
      </c>
      <c r="L164" s="64">
        <f>VLOOKUP($B164,'7. PGE_Efficacité'!$A$6:$CY$266,(MATCH('[3]4.4 ACE MAX SEN '!L$4,'7. PGE_Efficacité'!$A$4:$AO$4,0)),0)</f>
        <v>0</v>
      </c>
      <c r="M164" s="64">
        <f>VLOOKUP($B164,'7. PGE_Efficacité'!$A$6:$CY$266,(MATCH('[3]4.4 ACE MAX SEN '!M$4,'7. PGE_Efficacité'!$A$4:$AO$4,0)),0)</f>
        <v>0</v>
      </c>
      <c r="N164" s="64">
        <f>VLOOKUP($B164,'7. PGE_Efficacité'!$A$6:$CY$266,(MATCH('[3]4.4 ACE MAX SEN '!N$4,'7. PGE_Efficacité'!$A$4:$AO$4,0)),0)</f>
        <v>0</v>
      </c>
      <c r="O164" s="64">
        <f>VLOOKUP($B164,'7. PGE_Efficacité'!$A$6:$CY$266,(MATCH('[3]4.4 ACE MAX SEN '!O$4,'7. PGE_Efficacité'!$A$4:$AO$4,0)),0)</f>
        <v>0</v>
      </c>
      <c r="P164" s="64">
        <f>VLOOKUP($B164,'7. PGE_Efficacité'!$A$6:$CY$266,(MATCH('[3]4.4 ACE MAX SEN '!P$4,'7. PGE_Efficacité'!$A$4:$AO$4,0)),0)</f>
        <v>0</v>
      </c>
      <c r="Q164" s="64">
        <f>VLOOKUP($B164,'7. PGE_Efficacité'!$A$6:$CY$266,(MATCH('[3]4.4 ACE MAX SEN '!Q$4,'7. PGE_Efficacité'!$A$4:$AO$4,0)),0)</f>
        <v>0</v>
      </c>
      <c r="R164" s="64">
        <f>VLOOKUP($B164,'7. PGE_Efficacité'!$A$6:$CY$266,(MATCH('[3]4.4 ACE MAX SEN '!R$4,'7. PGE_Efficacité'!$A$4:$AO$4,0)),0)</f>
        <v>0</v>
      </c>
      <c r="S164" s="64">
        <f>VLOOKUP($B164,'7. PGE_Efficacité'!$A$6:$CY$266,(MATCH('[3]4.4 ACE MAX SEN '!S$4,'7. PGE_Efficacité'!$A$4:$AO$4,0)),0)</f>
        <v>0</v>
      </c>
      <c r="T164" s="64">
        <f>VLOOKUP($B164,'7. PGE_Efficacité'!$A$6:$CY$266,(MATCH('[3]4.4 ACE MAX SEN '!T$4,'7. PGE_Efficacité'!$A$4:$AO$4,0)),0)</f>
        <v>0</v>
      </c>
      <c r="U164" s="64">
        <f>VLOOKUP($B164,'7. PGE_Efficacité'!$A$6:$CY$266,(MATCH('[3]4.4 ACE MAX SEN '!U$4,'7. PGE_Efficacité'!$A$4:$AO$4,0)),0)</f>
        <v>0</v>
      </c>
      <c r="V164" s="64">
        <f>VLOOKUP($B164,'7. PGE_Efficacité'!$A$6:$CY$266,(MATCH('[3]4.4 ACE MAX SEN '!V$4,'7. PGE_Efficacité'!$A$4:$AO$4,0)),0)</f>
        <v>0</v>
      </c>
      <c r="W164" s="61">
        <f>VLOOKUP($B164,'7. PGE_Efficacité'!$A$6:$CY$266,(MATCH('[3]4.4 ACE MAX SEN '!W$4,'7. PGE_Efficacité'!$A$4:$AO$4,0)),0)</f>
        <v>0</v>
      </c>
      <c r="X164" s="61">
        <f>VLOOKUP($B164,'7. PGE_Efficacité'!$A$6:$CY$266,(MATCH('[3]4.4 ACE MAX SEN '!X$4,'7. PGE_Efficacité'!$A$4:$AO$4,0)),0)</f>
        <v>0</v>
      </c>
      <c r="Y164" s="61">
        <f>VLOOKUP($B164,'7. PGE_Efficacité'!$A$6:$CY$266,(MATCH('[3]4.4 ACE MAX SEN '!Y$4,'7. PGE_Efficacité'!$A$4:$AO$4,0)),0)</f>
        <v>0</v>
      </c>
      <c r="Z164" s="61">
        <f>VLOOKUP($B164,'7. PGE_Efficacité'!$A$6:$CY$266,(MATCH('[3]4.4 ACE MAX SEN '!Z$4,'7. PGE_Efficacité'!$A$4:$AO$4,0)),0)</f>
        <v>0</v>
      </c>
      <c r="AA164" s="61">
        <f>VLOOKUP($B164,'7. PGE_Efficacité'!$A$6:$CY$266,(MATCH('[3]4.4 ACE MAX SEN '!AA$4,'7. PGE_Efficacité'!$A$4:$AO$4,0)),0)</f>
        <v>0</v>
      </c>
      <c r="AB164" s="61">
        <f>VLOOKUP($B164,'7. PGE_Efficacité'!$A$6:$CY$266,(MATCH('[3]4.4 ACE MAX SEN '!AB$4,'7. PGE_Efficacité'!$A$4:$AO$4,0)),0)</f>
        <v>0</v>
      </c>
      <c r="AC164" s="61">
        <f>VLOOKUP($B164,'7. PGE_Efficacité'!$A$6:$CY$266,(MATCH('[3]4.4 ACE MAX SEN '!AC$4,'7. PGE_Efficacité'!$A$4:$AO$4,0)),0)</f>
        <v>0</v>
      </c>
      <c r="AD164" s="61">
        <f>VLOOKUP($B164,'7. PGE_Efficacité'!$A$6:$CY$266,(MATCH('[3]4.4 ACE MAX SEN '!AD$4,'7. PGE_Efficacité'!$A$4:$AO$4,0)),0)</f>
        <v>0</v>
      </c>
      <c r="AE164" s="61">
        <f>VLOOKUP($B164,'7. PGE_Efficacité'!$A$6:$CY$266,(MATCH('[3]4.4 ACE MAX SEN '!AE$4,'7. PGE_Efficacité'!$A$4:$AO$4,0)),0)</f>
        <v>0</v>
      </c>
      <c r="AF164" s="61">
        <f>VLOOKUP($B164,'7. PGE_Efficacité'!$A$6:$CY$266,(MATCH('[3]4.4 ACE MAX SEN '!AF$4,'7. PGE_Efficacité'!$A$4:$AO$4,0)),0)</f>
        <v>0</v>
      </c>
      <c r="AG164" s="61">
        <f>VLOOKUP($B164,'7. PGE_Efficacité'!$A$6:$CY$266,(MATCH('[3]4.4 ACE MAX SEN '!AG$4,'7. PGE_Efficacité'!$A$4:$AO$4,0)),0)</f>
        <v>0</v>
      </c>
      <c r="AH164" s="61">
        <f>VLOOKUP($B164,'7. PGE_Efficacité'!$A$6:$CY$266,(MATCH('[3]4.4 ACE MAX SEN '!AH$4,'7. PGE_Efficacité'!$A$4:$AO$4,0)),0)</f>
        <v>0</v>
      </c>
      <c r="AI164" s="61">
        <f>VLOOKUP($B164,'7. PGE_Efficacité'!$A$6:$CY$266,(MATCH('[3]4.4 ACE MAX SEN '!AI$4,'7. PGE_Efficacité'!$A$4:$AO$4,0)),0)</f>
        <v>0</v>
      </c>
      <c r="AJ164" s="61">
        <f>VLOOKUP($B164,'7. PGE_Efficacité'!$A$6:$CY$266,(MATCH('[3]4.4 ACE MAX SEN '!AJ$4,'7. PGE_Efficacité'!$A$4:$AO$4,0)),0)</f>
        <v>0</v>
      </c>
      <c r="AK164" s="61">
        <f>VLOOKUP($B164,'7. PGE_Efficacité'!$A$6:$CY$266,(MATCH('[3]4.4 ACE MAX SEN '!AK$4,'7. PGE_Efficacité'!$A$4:$AO$4,0)),0)</f>
        <v>0</v>
      </c>
    </row>
    <row r="165" spans="1:37" outlineLevel="2" x14ac:dyDescent="0.25">
      <c r="A165" s="65" t="s">
        <v>26</v>
      </c>
      <c r="B165" s="65" t="s">
        <v>760</v>
      </c>
      <c r="C165" s="65" t="s">
        <v>1648</v>
      </c>
      <c r="D165" s="65" t="s">
        <v>1521</v>
      </c>
      <c r="E165" s="65" t="s">
        <v>1290</v>
      </c>
      <c r="F165" s="70"/>
      <c r="G165" s="64">
        <f>VLOOKUP($B165,'7. PGE_Efficacité'!$A$6:$CY$266,(MATCH('[3]4.4 ACE MAX SEN '!G$4,'7. PGE_Efficacité'!$A$4:$AO$4,0)),0)</f>
        <v>0</v>
      </c>
      <c r="H165" s="64">
        <f>VLOOKUP($B165,'7. PGE_Efficacité'!$A$6:$CY$266,(MATCH('[3]4.4 ACE MAX SEN '!H$4,'7. PGE_Efficacité'!$A$4:$AO$4,0)),0)</f>
        <v>0</v>
      </c>
      <c r="I165" s="64">
        <f>VLOOKUP($B165,'7. PGE_Efficacité'!$A$6:$CY$266,(MATCH('[3]4.4 ACE MAX SEN '!I$4,'7. PGE_Efficacité'!$A$4:$AO$4,0)),0)</f>
        <v>0</v>
      </c>
      <c r="J165" s="64">
        <f>VLOOKUP($B165,'7. PGE_Efficacité'!$A$6:$CY$266,(MATCH('[3]4.4 ACE MAX SEN '!J$4,'7. PGE_Efficacité'!$A$4:$AO$4,0)),0)</f>
        <v>0</v>
      </c>
      <c r="K165" s="64">
        <f>VLOOKUP($B165,'7. PGE_Efficacité'!$A$6:$CY$266,(MATCH('[3]4.4 ACE MAX SEN '!K$4,'7. PGE_Efficacité'!$A$4:$AO$4,0)),0)</f>
        <v>0</v>
      </c>
      <c r="L165" s="64">
        <f>VLOOKUP($B165,'7. PGE_Efficacité'!$A$6:$CY$266,(MATCH('[3]4.4 ACE MAX SEN '!L$4,'7. PGE_Efficacité'!$A$4:$AO$4,0)),0)</f>
        <v>0</v>
      </c>
      <c r="M165" s="64">
        <f>VLOOKUP($B165,'7. PGE_Efficacité'!$A$6:$CY$266,(MATCH('[3]4.4 ACE MAX SEN '!M$4,'7. PGE_Efficacité'!$A$4:$AO$4,0)),0)</f>
        <v>0</v>
      </c>
      <c r="N165" s="64">
        <f>VLOOKUP($B165,'7. PGE_Efficacité'!$A$6:$CY$266,(MATCH('[3]4.4 ACE MAX SEN '!N$4,'7. PGE_Efficacité'!$A$4:$AO$4,0)),0)</f>
        <v>0</v>
      </c>
      <c r="O165" s="64">
        <f>VLOOKUP($B165,'7. PGE_Efficacité'!$A$6:$CY$266,(MATCH('[3]4.4 ACE MAX SEN '!O$4,'7. PGE_Efficacité'!$A$4:$AO$4,0)),0)</f>
        <v>0</v>
      </c>
      <c r="P165" s="64">
        <f>VLOOKUP($B165,'7. PGE_Efficacité'!$A$6:$CY$266,(MATCH('[3]4.4 ACE MAX SEN '!P$4,'7. PGE_Efficacité'!$A$4:$AO$4,0)),0)</f>
        <v>0</v>
      </c>
      <c r="Q165" s="64">
        <f>VLOOKUP($B165,'7. PGE_Efficacité'!$A$6:$CY$266,(MATCH('[3]4.4 ACE MAX SEN '!Q$4,'7. PGE_Efficacité'!$A$4:$AO$4,0)),0)</f>
        <v>0</v>
      </c>
      <c r="R165" s="64">
        <f>VLOOKUP($B165,'7. PGE_Efficacité'!$A$6:$CY$266,(MATCH('[3]4.4 ACE MAX SEN '!R$4,'7. PGE_Efficacité'!$A$4:$AO$4,0)),0)</f>
        <v>0</v>
      </c>
      <c r="S165" s="64">
        <f>VLOOKUP($B165,'7. PGE_Efficacité'!$A$6:$CY$266,(MATCH('[3]4.4 ACE MAX SEN '!S$4,'7. PGE_Efficacité'!$A$4:$AO$4,0)),0)</f>
        <v>0</v>
      </c>
      <c r="T165" s="64">
        <f>VLOOKUP($B165,'7. PGE_Efficacité'!$A$6:$CY$266,(MATCH('[3]4.4 ACE MAX SEN '!T$4,'7. PGE_Efficacité'!$A$4:$AO$4,0)),0)</f>
        <v>0</v>
      </c>
      <c r="U165" s="64">
        <f>VLOOKUP($B165,'7. PGE_Efficacité'!$A$6:$CY$266,(MATCH('[3]4.4 ACE MAX SEN '!U$4,'7. PGE_Efficacité'!$A$4:$AO$4,0)),0)</f>
        <v>0</v>
      </c>
      <c r="V165" s="64">
        <f>VLOOKUP($B165,'7. PGE_Efficacité'!$A$6:$CY$266,(MATCH('[3]4.4 ACE MAX SEN '!V$4,'7. PGE_Efficacité'!$A$4:$AO$4,0)),0)</f>
        <v>0</v>
      </c>
      <c r="W165" s="61">
        <f>VLOOKUP($B165,'7. PGE_Efficacité'!$A$6:$CY$266,(MATCH('[3]4.4 ACE MAX SEN '!W$4,'7. PGE_Efficacité'!$A$4:$AO$4,0)),0)</f>
        <v>0</v>
      </c>
      <c r="X165" s="61">
        <f>VLOOKUP($B165,'7. PGE_Efficacité'!$A$6:$CY$266,(MATCH('[3]4.4 ACE MAX SEN '!X$4,'7. PGE_Efficacité'!$A$4:$AO$4,0)),0)</f>
        <v>0</v>
      </c>
      <c r="Y165" s="61">
        <f>VLOOKUP($B165,'7. PGE_Efficacité'!$A$6:$CY$266,(MATCH('[3]4.4 ACE MAX SEN '!Y$4,'7. PGE_Efficacité'!$A$4:$AO$4,0)),0)</f>
        <v>0</v>
      </c>
      <c r="Z165" s="61">
        <f>VLOOKUP($B165,'7. PGE_Efficacité'!$A$6:$CY$266,(MATCH('[3]4.4 ACE MAX SEN '!Z$4,'7. PGE_Efficacité'!$A$4:$AO$4,0)),0)</f>
        <v>0</v>
      </c>
      <c r="AA165" s="61">
        <f>VLOOKUP($B165,'7. PGE_Efficacité'!$A$6:$CY$266,(MATCH('[3]4.4 ACE MAX SEN '!AA$4,'7. PGE_Efficacité'!$A$4:$AO$4,0)),0)</f>
        <v>0</v>
      </c>
      <c r="AB165" s="61">
        <f>VLOOKUP($B165,'7. PGE_Efficacité'!$A$6:$CY$266,(MATCH('[3]4.4 ACE MAX SEN '!AB$4,'7. PGE_Efficacité'!$A$4:$AO$4,0)),0)</f>
        <v>0</v>
      </c>
      <c r="AC165" s="61">
        <f>VLOOKUP($B165,'7. PGE_Efficacité'!$A$6:$CY$266,(MATCH('[3]4.4 ACE MAX SEN '!AC$4,'7. PGE_Efficacité'!$A$4:$AO$4,0)),0)</f>
        <v>0</v>
      </c>
      <c r="AD165" s="61">
        <f>VLOOKUP($B165,'7. PGE_Efficacité'!$A$6:$CY$266,(MATCH('[3]4.4 ACE MAX SEN '!AD$4,'7. PGE_Efficacité'!$A$4:$AO$4,0)),0)</f>
        <v>0</v>
      </c>
      <c r="AE165" s="61">
        <f>VLOOKUP($B165,'7. PGE_Efficacité'!$A$6:$CY$266,(MATCH('[3]4.4 ACE MAX SEN '!AE$4,'7. PGE_Efficacité'!$A$4:$AO$4,0)),0)</f>
        <v>0</v>
      </c>
      <c r="AF165" s="61">
        <f>VLOOKUP($B165,'7. PGE_Efficacité'!$A$6:$CY$266,(MATCH('[3]4.4 ACE MAX SEN '!AF$4,'7. PGE_Efficacité'!$A$4:$AO$4,0)),0)</f>
        <v>0</v>
      </c>
      <c r="AG165" s="61">
        <f>VLOOKUP($B165,'7. PGE_Efficacité'!$A$6:$CY$266,(MATCH('[3]4.4 ACE MAX SEN '!AG$4,'7. PGE_Efficacité'!$A$4:$AO$4,0)),0)</f>
        <v>0</v>
      </c>
      <c r="AH165" s="61">
        <f>VLOOKUP($B165,'7. PGE_Efficacité'!$A$6:$CY$266,(MATCH('[3]4.4 ACE MAX SEN '!AH$4,'7. PGE_Efficacité'!$A$4:$AO$4,0)),0)</f>
        <v>0</v>
      </c>
      <c r="AI165" s="61">
        <f>VLOOKUP($B165,'7. PGE_Efficacité'!$A$6:$CY$266,(MATCH('[3]4.4 ACE MAX SEN '!AI$4,'7. PGE_Efficacité'!$A$4:$AO$4,0)),0)</f>
        <v>0</v>
      </c>
      <c r="AJ165" s="61">
        <f>VLOOKUP($B165,'7. PGE_Efficacité'!$A$6:$CY$266,(MATCH('[3]4.4 ACE MAX SEN '!AJ$4,'7. PGE_Efficacité'!$A$4:$AO$4,0)),0)</f>
        <v>0</v>
      </c>
      <c r="AK165" s="61">
        <f>VLOOKUP($B165,'7. PGE_Efficacité'!$A$6:$CY$266,(MATCH('[3]4.4 ACE MAX SEN '!AK$4,'7. PGE_Efficacité'!$A$4:$AO$4,0)),0)</f>
        <v>0</v>
      </c>
    </row>
    <row r="166" spans="1:37" outlineLevel="2" x14ac:dyDescent="0.25">
      <c r="A166" s="65" t="s">
        <v>26</v>
      </c>
      <c r="B166" s="65" t="s">
        <v>761</v>
      </c>
      <c r="C166" s="65" t="s">
        <v>1649</v>
      </c>
      <c r="D166" s="65" t="s">
        <v>1521</v>
      </c>
      <c r="E166" s="65" t="s">
        <v>1290</v>
      </c>
      <c r="F166" s="70"/>
      <c r="G166" s="64">
        <f>VLOOKUP($B166,'7. PGE_Efficacité'!$A$6:$CY$266,(MATCH('[3]4.4 ACE MAX SEN '!G$4,'7. PGE_Efficacité'!$A$4:$AO$4,0)),0)</f>
        <v>0</v>
      </c>
      <c r="H166" s="64">
        <f>VLOOKUP($B166,'7. PGE_Efficacité'!$A$6:$CY$266,(MATCH('[3]4.4 ACE MAX SEN '!H$4,'7. PGE_Efficacité'!$A$4:$AO$4,0)),0)</f>
        <v>0</v>
      </c>
      <c r="I166" s="64">
        <f>VLOOKUP($B166,'7. PGE_Efficacité'!$A$6:$CY$266,(MATCH('[3]4.4 ACE MAX SEN '!I$4,'7. PGE_Efficacité'!$A$4:$AO$4,0)),0)</f>
        <v>0</v>
      </c>
      <c r="J166" s="64">
        <f>VLOOKUP($B166,'7. PGE_Efficacité'!$A$6:$CY$266,(MATCH('[3]4.4 ACE MAX SEN '!J$4,'7. PGE_Efficacité'!$A$4:$AO$4,0)),0)</f>
        <v>0</v>
      </c>
      <c r="K166" s="64">
        <f>VLOOKUP($B166,'7. PGE_Efficacité'!$A$6:$CY$266,(MATCH('[3]4.4 ACE MAX SEN '!K$4,'7. PGE_Efficacité'!$A$4:$AO$4,0)),0)</f>
        <v>0</v>
      </c>
      <c r="L166" s="64">
        <f>VLOOKUP($B166,'7. PGE_Efficacité'!$A$6:$CY$266,(MATCH('[3]4.4 ACE MAX SEN '!L$4,'7. PGE_Efficacité'!$A$4:$AO$4,0)),0)</f>
        <v>0</v>
      </c>
      <c r="M166" s="64">
        <f>VLOOKUP($B166,'7. PGE_Efficacité'!$A$6:$CY$266,(MATCH('[3]4.4 ACE MAX SEN '!M$4,'7. PGE_Efficacité'!$A$4:$AO$4,0)),0)</f>
        <v>0</v>
      </c>
      <c r="N166" s="64">
        <f>VLOOKUP($B166,'7. PGE_Efficacité'!$A$6:$CY$266,(MATCH('[3]4.4 ACE MAX SEN '!N$4,'7. PGE_Efficacité'!$A$4:$AO$4,0)),0)</f>
        <v>0</v>
      </c>
      <c r="O166" s="64">
        <f>VLOOKUP($B166,'7. PGE_Efficacité'!$A$6:$CY$266,(MATCH('[3]4.4 ACE MAX SEN '!O$4,'7. PGE_Efficacité'!$A$4:$AO$4,0)),0)</f>
        <v>0</v>
      </c>
      <c r="P166" s="64">
        <f>VLOOKUP($B166,'7. PGE_Efficacité'!$A$6:$CY$266,(MATCH('[3]4.4 ACE MAX SEN '!P$4,'7. PGE_Efficacité'!$A$4:$AO$4,0)),0)</f>
        <v>0</v>
      </c>
      <c r="Q166" s="64">
        <f>VLOOKUP($B166,'7. PGE_Efficacité'!$A$6:$CY$266,(MATCH('[3]4.4 ACE MAX SEN '!Q$4,'7. PGE_Efficacité'!$A$4:$AO$4,0)),0)</f>
        <v>0</v>
      </c>
      <c r="R166" s="64">
        <f>VLOOKUP($B166,'7. PGE_Efficacité'!$A$6:$CY$266,(MATCH('[3]4.4 ACE MAX SEN '!R$4,'7. PGE_Efficacité'!$A$4:$AO$4,0)),0)</f>
        <v>0</v>
      </c>
      <c r="S166" s="64">
        <f>VLOOKUP($B166,'7. PGE_Efficacité'!$A$6:$CY$266,(MATCH('[3]4.4 ACE MAX SEN '!S$4,'7. PGE_Efficacité'!$A$4:$AO$4,0)),0)</f>
        <v>0</v>
      </c>
      <c r="T166" s="64">
        <f>VLOOKUP($B166,'7. PGE_Efficacité'!$A$6:$CY$266,(MATCH('[3]4.4 ACE MAX SEN '!T$4,'7. PGE_Efficacité'!$A$4:$AO$4,0)),0)</f>
        <v>0</v>
      </c>
      <c r="U166" s="64">
        <f>VLOOKUP($B166,'7. PGE_Efficacité'!$A$6:$CY$266,(MATCH('[3]4.4 ACE MAX SEN '!U$4,'7. PGE_Efficacité'!$A$4:$AO$4,0)),0)</f>
        <v>0</v>
      </c>
      <c r="V166" s="64">
        <f>VLOOKUP($B166,'7. PGE_Efficacité'!$A$6:$CY$266,(MATCH('[3]4.4 ACE MAX SEN '!V$4,'7. PGE_Efficacité'!$A$4:$AO$4,0)),0)</f>
        <v>0</v>
      </c>
      <c r="W166" s="61">
        <f>VLOOKUP($B166,'7. PGE_Efficacité'!$A$6:$CY$266,(MATCH('[3]4.4 ACE MAX SEN '!W$4,'7. PGE_Efficacité'!$A$4:$AO$4,0)),0)</f>
        <v>0</v>
      </c>
      <c r="X166" s="61">
        <f>VLOOKUP($B166,'7. PGE_Efficacité'!$A$6:$CY$266,(MATCH('[3]4.4 ACE MAX SEN '!X$4,'7. PGE_Efficacité'!$A$4:$AO$4,0)),0)</f>
        <v>0</v>
      </c>
      <c r="Y166" s="61">
        <f>VLOOKUP($B166,'7. PGE_Efficacité'!$A$6:$CY$266,(MATCH('[3]4.4 ACE MAX SEN '!Y$4,'7. PGE_Efficacité'!$A$4:$AO$4,0)),0)</f>
        <v>0</v>
      </c>
      <c r="Z166" s="61">
        <f>VLOOKUP($B166,'7. PGE_Efficacité'!$A$6:$CY$266,(MATCH('[3]4.4 ACE MAX SEN '!Z$4,'7. PGE_Efficacité'!$A$4:$AO$4,0)),0)</f>
        <v>0</v>
      </c>
      <c r="AA166" s="61">
        <f>VLOOKUP($B166,'7. PGE_Efficacité'!$A$6:$CY$266,(MATCH('[3]4.4 ACE MAX SEN '!AA$4,'7. PGE_Efficacité'!$A$4:$AO$4,0)),0)</f>
        <v>0</v>
      </c>
      <c r="AB166" s="61">
        <f>VLOOKUP($B166,'7. PGE_Efficacité'!$A$6:$CY$266,(MATCH('[3]4.4 ACE MAX SEN '!AB$4,'7. PGE_Efficacité'!$A$4:$AO$4,0)),0)</f>
        <v>0</v>
      </c>
      <c r="AC166" s="61">
        <f>VLOOKUP($B166,'7. PGE_Efficacité'!$A$6:$CY$266,(MATCH('[3]4.4 ACE MAX SEN '!AC$4,'7. PGE_Efficacité'!$A$4:$AO$4,0)),0)</f>
        <v>0</v>
      </c>
      <c r="AD166" s="61">
        <f>VLOOKUP($B166,'7. PGE_Efficacité'!$A$6:$CY$266,(MATCH('[3]4.4 ACE MAX SEN '!AD$4,'7. PGE_Efficacité'!$A$4:$AO$4,0)),0)</f>
        <v>0</v>
      </c>
      <c r="AE166" s="61">
        <f>VLOOKUP($B166,'7. PGE_Efficacité'!$A$6:$CY$266,(MATCH('[3]4.4 ACE MAX SEN '!AE$4,'7. PGE_Efficacité'!$A$4:$AO$4,0)),0)</f>
        <v>0</v>
      </c>
      <c r="AF166" s="61">
        <f>VLOOKUP($B166,'7. PGE_Efficacité'!$A$6:$CY$266,(MATCH('[3]4.4 ACE MAX SEN '!AF$4,'7. PGE_Efficacité'!$A$4:$AO$4,0)),0)</f>
        <v>0</v>
      </c>
      <c r="AG166" s="61">
        <f>VLOOKUP($B166,'7. PGE_Efficacité'!$A$6:$CY$266,(MATCH('[3]4.4 ACE MAX SEN '!AG$4,'7. PGE_Efficacité'!$A$4:$AO$4,0)),0)</f>
        <v>0</v>
      </c>
      <c r="AH166" s="61">
        <f>VLOOKUP($B166,'7. PGE_Efficacité'!$A$6:$CY$266,(MATCH('[3]4.4 ACE MAX SEN '!AH$4,'7. PGE_Efficacité'!$A$4:$AO$4,0)),0)</f>
        <v>0</v>
      </c>
      <c r="AI166" s="61">
        <f>VLOOKUP($B166,'7. PGE_Efficacité'!$A$6:$CY$266,(MATCH('[3]4.4 ACE MAX SEN '!AI$4,'7. PGE_Efficacité'!$A$4:$AO$4,0)),0)</f>
        <v>0</v>
      </c>
      <c r="AJ166" s="61">
        <f>VLOOKUP($B166,'7. PGE_Efficacité'!$A$6:$CY$266,(MATCH('[3]4.4 ACE MAX SEN '!AJ$4,'7. PGE_Efficacité'!$A$4:$AO$4,0)),0)</f>
        <v>0</v>
      </c>
      <c r="AK166" s="61">
        <f>VLOOKUP($B166,'7. PGE_Efficacité'!$A$6:$CY$266,(MATCH('[3]4.4 ACE MAX SEN '!AK$4,'7. PGE_Efficacité'!$A$4:$AO$4,0)),0)</f>
        <v>0</v>
      </c>
    </row>
    <row r="167" spans="1:37" outlineLevel="2" x14ac:dyDescent="0.25">
      <c r="A167" s="65" t="s">
        <v>26</v>
      </c>
      <c r="B167" s="65" t="s">
        <v>762</v>
      </c>
      <c r="C167" s="65" t="s">
        <v>1650</v>
      </c>
      <c r="D167" s="65" t="s">
        <v>1521</v>
      </c>
      <c r="E167" s="65" t="s">
        <v>1290</v>
      </c>
      <c r="F167" s="70"/>
      <c r="G167" s="64">
        <f>VLOOKUP($B167,'7. PGE_Efficacité'!$A$6:$CY$266,(MATCH('[3]4.4 ACE MAX SEN '!G$4,'7. PGE_Efficacité'!$A$4:$AO$4,0)),0)</f>
        <v>0</v>
      </c>
      <c r="H167" s="64">
        <f>VLOOKUP($B167,'7. PGE_Efficacité'!$A$6:$CY$266,(MATCH('[3]4.4 ACE MAX SEN '!H$4,'7. PGE_Efficacité'!$A$4:$AO$4,0)),0)</f>
        <v>0</v>
      </c>
      <c r="I167" s="64">
        <f>VLOOKUP($B167,'7. PGE_Efficacité'!$A$6:$CY$266,(MATCH('[3]4.4 ACE MAX SEN '!I$4,'7. PGE_Efficacité'!$A$4:$AO$4,0)),0)</f>
        <v>0</v>
      </c>
      <c r="J167" s="64">
        <f>VLOOKUP($B167,'7. PGE_Efficacité'!$A$6:$CY$266,(MATCH('[3]4.4 ACE MAX SEN '!J$4,'7. PGE_Efficacité'!$A$4:$AO$4,0)),0)</f>
        <v>0</v>
      </c>
      <c r="K167" s="64">
        <f>VLOOKUP($B167,'7. PGE_Efficacité'!$A$6:$CY$266,(MATCH('[3]4.4 ACE MAX SEN '!K$4,'7. PGE_Efficacité'!$A$4:$AO$4,0)),0)</f>
        <v>0</v>
      </c>
      <c r="L167" s="64">
        <f>VLOOKUP($B167,'7. PGE_Efficacité'!$A$6:$CY$266,(MATCH('[3]4.4 ACE MAX SEN '!L$4,'7. PGE_Efficacité'!$A$4:$AO$4,0)),0)</f>
        <v>0</v>
      </c>
      <c r="M167" s="64">
        <f>VLOOKUP($B167,'7. PGE_Efficacité'!$A$6:$CY$266,(MATCH('[3]4.4 ACE MAX SEN '!M$4,'7. PGE_Efficacité'!$A$4:$AO$4,0)),0)</f>
        <v>0</v>
      </c>
      <c r="N167" s="64">
        <f>VLOOKUP($B167,'7. PGE_Efficacité'!$A$6:$CY$266,(MATCH('[3]4.4 ACE MAX SEN '!N$4,'7. PGE_Efficacité'!$A$4:$AO$4,0)),0)</f>
        <v>0</v>
      </c>
      <c r="O167" s="64">
        <f>VLOOKUP($B167,'7. PGE_Efficacité'!$A$6:$CY$266,(MATCH('[3]4.4 ACE MAX SEN '!O$4,'7. PGE_Efficacité'!$A$4:$AO$4,0)),0)</f>
        <v>0</v>
      </c>
      <c r="P167" s="64">
        <f>VLOOKUP($B167,'7. PGE_Efficacité'!$A$6:$CY$266,(MATCH('[3]4.4 ACE MAX SEN '!P$4,'7. PGE_Efficacité'!$A$4:$AO$4,0)),0)</f>
        <v>0</v>
      </c>
      <c r="Q167" s="64">
        <f>VLOOKUP($B167,'7. PGE_Efficacité'!$A$6:$CY$266,(MATCH('[3]4.4 ACE MAX SEN '!Q$4,'7. PGE_Efficacité'!$A$4:$AO$4,0)),0)</f>
        <v>0</v>
      </c>
      <c r="R167" s="64">
        <f>VLOOKUP($B167,'7. PGE_Efficacité'!$A$6:$CY$266,(MATCH('[3]4.4 ACE MAX SEN '!R$4,'7. PGE_Efficacité'!$A$4:$AO$4,0)),0)</f>
        <v>0</v>
      </c>
      <c r="S167" s="64">
        <f>VLOOKUP($B167,'7. PGE_Efficacité'!$A$6:$CY$266,(MATCH('[3]4.4 ACE MAX SEN '!S$4,'7. PGE_Efficacité'!$A$4:$AO$4,0)),0)</f>
        <v>0</v>
      </c>
      <c r="T167" s="64">
        <f>VLOOKUP($B167,'7. PGE_Efficacité'!$A$6:$CY$266,(MATCH('[3]4.4 ACE MAX SEN '!T$4,'7. PGE_Efficacité'!$A$4:$AO$4,0)),0)</f>
        <v>0</v>
      </c>
      <c r="U167" s="64">
        <f>VLOOKUP($B167,'7. PGE_Efficacité'!$A$6:$CY$266,(MATCH('[3]4.4 ACE MAX SEN '!U$4,'7. PGE_Efficacité'!$A$4:$AO$4,0)),0)</f>
        <v>0</v>
      </c>
      <c r="V167" s="64">
        <f>VLOOKUP($B167,'7. PGE_Efficacité'!$A$6:$CY$266,(MATCH('[3]4.4 ACE MAX SEN '!V$4,'7. PGE_Efficacité'!$A$4:$AO$4,0)),0)</f>
        <v>0</v>
      </c>
      <c r="W167" s="61">
        <f>VLOOKUP($B167,'7. PGE_Efficacité'!$A$6:$CY$266,(MATCH('[3]4.4 ACE MAX SEN '!W$4,'7. PGE_Efficacité'!$A$4:$AO$4,0)),0)</f>
        <v>0</v>
      </c>
      <c r="X167" s="61">
        <f>VLOOKUP($B167,'7. PGE_Efficacité'!$A$6:$CY$266,(MATCH('[3]4.4 ACE MAX SEN '!X$4,'7. PGE_Efficacité'!$A$4:$AO$4,0)),0)</f>
        <v>0</v>
      </c>
      <c r="Y167" s="61">
        <f>VLOOKUP($B167,'7. PGE_Efficacité'!$A$6:$CY$266,(MATCH('[3]4.4 ACE MAX SEN '!Y$4,'7. PGE_Efficacité'!$A$4:$AO$4,0)),0)</f>
        <v>0</v>
      </c>
      <c r="Z167" s="61">
        <f>VLOOKUP($B167,'7. PGE_Efficacité'!$A$6:$CY$266,(MATCH('[3]4.4 ACE MAX SEN '!Z$4,'7. PGE_Efficacité'!$A$4:$AO$4,0)),0)</f>
        <v>0</v>
      </c>
      <c r="AA167" s="61">
        <f>VLOOKUP($B167,'7. PGE_Efficacité'!$A$6:$CY$266,(MATCH('[3]4.4 ACE MAX SEN '!AA$4,'7. PGE_Efficacité'!$A$4:$AO$4,0)),0)</f>
        <v>0</v>
      </c>
      <c r="AB167" s="61">
        <f>VLOOKUP($B167,'7. PGE_Efficacité'!$A$6:$CY$266,(MATCH('[3]4.4 ACE MAX SEN '!AB$4,'7. PGE_Efficacité'!$A$4:$AO$4,0)),0)</f>
        <v>0</v>
      </c>
      <c r="AC167" s="61">
        <f>VLOOKUP($B167,'7. PGE_Efficacité'!$A$6:$CY$266,(MATCH('[3]4.4 ACE MAX SEN '!AC$4,'7. PGE_Efficacité'!$A$4:$AO$4,0)),0)</f>
        <v>0</v>
      </c>
      <c r="AD167" s="61">
        <f>VLOOKUP($B167,'7. PGE_Efficacité'!$A$6:$CY$266,(MATCH('[3]4.4 ACE MAX SEN '!AD$4,'7. PGE_Efficacité'!$A$4:$AO$4,0)),0)</f>
        <v>0</v>
      </c>
      <c r="AE167" s="61">
        <f>VLOOKUP($B167,'7. PGE_Efficacité'!$A$6:$CY$266,(MATCH('[3]4.4 ACE MAX SEN '!AE$4,'7. PGE_Efficacité'!$A$4:$AO$4,0)),0)</f>
        <v>0</v>
      </c>
      <c r="AF167" s="61">
        <f>VLOOKUP($B167,'7. PGE_Efficacité'!$A$6:$CY$266,(MATCH('[3]4.4 ACE MAX SEN '!AF$4,'7. PGE_Efficacité'!$A$4:$AO$4,0)),0)</f>
        <v>0</v>
      </c>
      <c r="AG167" s="61">
        <f>VLOOKUP($B167,'7. PGE_Efficacité'!$A$6:$CY$266,(MATCH('[3]4.4 ACE MAX SEN '!AG$4,'7. PGE_Efficacité'!$A$4:$AO$4,0)),0)</f>
        <v>0</v>
      </c>
      <c r="AH167" s="61">
        <f>VLOOKUP($B167,'7. PGE_Efficacité'!$A$6:$CY$266,(MATCH('[3]4.4 ACE MAX SEN '!AH$4,'7. PGE_Efficacité'!$A$4:$AO$4,0)),0)</f>
        <v>0</v>
      </c>
      <c r="AI167" s="61">
        <f>VLOOKUP($B167,'7. PGE_Efficacité'!$A$6:$CY$266,(MATCH('[3]4.4 ACE MAX SEN '!AI$4,'7. PGE_Efficacité'!$A$4:$AO$4,0)),0)</f>
        <v>0</v>
      </c>
      <c r="AJ167" s="61">
        <f>VLOOKUP($B167,'7. PGE_Efficacité'!$A$6:$CY$266,(MATCH('[3]4.4 ACE MAX SEN '!AJ$4,'7. PGE_Efficacité'!$A$4:$AO$4,0)),0)</f>
        <v>0</v>
      </c>
      <c r="AK167" s="61">
        <f>VLOOKUP($B167,'7. PGE_Efficacité'!$A$6:$CY$266,(MATCH('[3]4.4 ACE MAX SEN '!AK$4,'7. PGE_Efficacité'!$A$4:$AO$4,0)),0)</f>
        <v>0</v>
      </c>
    </row>
    <row r="168" spans="1:37" outlineLevel="2" x14ac:dyDescent="0.25">
      <c r="A168" s="65" t="s">
        <v>26</v>
      </c>
      <c r="B168" s="65" t="s">
        <v>2605</v>
      </c>
      <c r="C168" s="65" t="s">
        <v>1651</v>
      </c>
      <c r="D168" s="65" t="s">
        <v>1521</v>
      </c>
      <c r="E168" s="65" t="s">
        <v>1287</v>
      </c>
      <c r="F168" s="70"/>
      <c r="G168" s="64">
        <f>VLOOKUP($B168,'7. PGE_Efficacité'!$A$6:$CY$266,(MATCH('[3]4.4 ACE MAX SEN '!G$4,'7. PGE_Efficacité'!$A$4:$AO$4,0)),0)</f>
        <v>0</v>
      </c>
      <c r="H168" s="64">
        <f>VLOOKUP($B168,'7. PGE_Efficacité'!$A$6:$CY$266,(MATCH('[3]4.4 ACE MAX SEN '!H$4,'7. PGE_Efficacité'!$A$4:$AO$4,0)),0)</f>
        <v>0</v>
      </c>
      <c r="I168" s="64">
        <f>VLOOKUP($B168,'7. PGE_Efficacité'!$A$6:$CY$266,(MATCH('[3]4.4 ACE MAX SEN '!I$4,'7. PGE_Efficacité'!$A$4:$AO$4,0)),0)</f>
        <v>0</v>
      </c>
      <c r="J168" s="64">
        <f>VLOOKUP($B168,'7. PGE_Efficacité'!$A$6:$CY$266,(MATCH('[3]4.4 ACE MAX SEN '!J$4,'7. PGE_Efficacité'!$A$4:$AO$4,0)),0)</f>
        <v>0</v>
      </c>
      <c r="K168" s="64">
        <f>VLOOKUP($B168,'7. PGE_Efficacité'!$A$6:$CY$266,(MATCH('[3]4.4 ACE MAX SEN '!K$4,'7. PGE_Efficacité'!$A$4:$AO$4,0)),0)</f>
        <v>0</v>
      </c>
      <c r="L168" s="64">
        <f>VLOOKUP($B168,'7. PGE_Efficacité'!$A$6:$CY$266,(MATCH('[3]4.4 ACE MAX SEN '!L$4,'7. PGE_Efficacité'!$A$4:$AO$4,0)),0)</f>
        <v>0</v>
      </c>
      <c r="M168" s="64">
        <f>VLOOKUP($B168,'7. PGE_Efficacité'!$A$6:$CY$266,(MATCH('[3]4.4 ACE MAX SEN '!M$4,'7. PGE_Efficacité'!$A$4:$AO$4,0)),0)</f>
        <v>0</v>
      </c>
      <c r="N168" s="64">
        <f>VLOOKUP($B168,'7. PGE_Efficacité'!$A$6:$CY$266,(MATCH('[3]4.4 ACE MAX SEN '!N$4,'7. PGE_Efficacité'!$A$4:$AO$4,0)),0)</f>
        <v>0</v>
      </c>
      <c r="O168" s="64">
        <f>VLOOKUP($B168,'7. PGE_Efficacité'!$A$6:$CY$266,(MATCH('[3]4.4 ACE MAX SEN '!O$4,'7. PGE_Efficacité'!$A$4:$AO$4,0)),0)</f>
        <v>0</v>
      </c>
      <c r="P168" s="64">
        <f>VLOOKUP($B168,'7. PGE_Efficacité'!$A$6:$CY$266,(MATCH('[3]4.4 ACE MAX SEN '!P$4,'7. PGE_Efficacité'!$A$4:$AO$4,0)),0)</f>
        <v>0</v>
      </c>
      <c r="Q168" s="64">
        <f>VLOOKUP($B168,'7. PGE_Efficacité'!$A$6:$CY$266,(MATCH('[3]4.4 ACE MAX SEN '!Q$4,'7. PGE_Efficacité'!$A$4:$AO$4,0)),0)</f>
        <v>0</v>
      </c>
      <c r="R168" s="64">
        <f>VLOOKUP($B168,'7. PGE_Efficacité'!$A$6:$CY$266,(MATCH('[3]4.4 ACE MAX SEN '!R$4,'7. PGE_Efficacité'!$A$4:$AO$4,0)),0)</f>
        <v>0</v>
      </c>
      <c r="S168" s="64">
        <f>VLOOKUP($B168,'7. PGE_Efficacité'!$A$6:$CY$266,(MATCH('[3]4.4 ACE MAX SEN '!S$4,'7. PGE_Efficacité'!$A$4:$AO$4,0)),0)</f>
        <v>0</v>
      </c>
      <c r="T168" s="64">
        <f>VLOOKUP($B168,'7. PGE_Efficacité'!$A$6:$CY$266,(MATCH('[3]4.4 ACE MAX SEN '!T$4,'7. PGE_Efficacité'!$A$4:$AO$4,0)),0)</f>
        <v>0</v>
      </c>
      <c r="U168" s="64">
        <f>VLOOKUP($B168,'7. PGE_Efficacité'!$A$6:$CY$266,(MATCH('[3]4.4 ACE MAX SEN '!U$4,'7. PGE_Efficacité'!$A$4:$AO$4,0)),0)</f>
        <v>0</v>
      </c>
      <c r="V168" s="64">
        <f>VLOOKUP($B168,'7. PGE_Efficacité'!$A$6:$CY$266,(MATCH('[3]4.4 ACE MAX SEN '!V$4,'7. PGE_Efficacité'!$A$4:$AO$4,0)),0)</f>
        <v>0</v>
      </c>
      <c r="W168" s="61">
        <f>VLOOKUP($B168,'7. PGE_Efficacité'!$A$6:$CY$266,(MATCH('[3]4.4 ACE MAX SEN '!W$4,'7. PGE_Efficacité'!$A$4:$AO$4,0)),0)</f>
        <v>0</v>
      </c>
      <c r="X168" s="61">
        <f>VLOOKUP($B168,'7. PGE_Efficacité'!$A$6:$CY$266,(MATCH('[3]4.4 ACE MAX SEN '!X$4,'7. PGE_Efficacité'!$A$4:$AO$4,0)),0)</f>
        <v>0</v>
      </c>
      <c r="Y168" s="61">
        <f>VLOOKUP($B168,'7. PGE_Efficacité'!$A$6:$CY$266,(MATCH('[3]4.4 ACE MAX SEN '!Y$4,'7. PGE_Efficacité'!$A$4:$AO$4,0)),0)</f>
        <v>0</v>
      </c>
      <c r="Z168" s="61">
        <f>VLOOKUP($B168,'7. PGE_Efficacité'!$A$6:$CY$266,(MATCH('[3]4.4 ACE MAX SEN '!Z$4,'7. PGE_Efficacité'!$A$4:$AO$4,0)),0)</f>
        <v>0</v>
      </c>
      <c r="AA168" s="61">
        <f>VLOOKUP($B168,'7. PGE_Efficacité'!$A$6:$CY$266,(MATCH('[3]4.4 ACE MAX SEN '!AA$4,'7. PGE_Efficacité'!$A$4:$AO$4,0)),0)</f>
        <v>0</v>
      </c>
      <c r="AB168" s="61">
        <f>VLOOKUP($B168,'7. PGE_Efficacité'!$A$6:$CY$266,(MATCH('[3]4.4 ACE MAX SEN '!AB$4,'7. PGE_Efficacité'!$A$4:$AO$4,0)),0)</f>
        <v>0</v>
      </c>
      <c r="AC168" s="61">
        <f>VLOOKUP($B168,'7. PGE_Efficacité'!$A$6:$CY$266,(MATCH('[3]4.4 ACE MAX SEN '!AC$4,'7. PGE_Efficacité'!$A$4:$AO$4,0)),0)</f>
        <v>0</v>
      </c>
      <c r="AD168" s="61">
        <f>VLOOKUP($B168,'7. PGE_Efficacité'!$A$6:$CY$266,(MATCH('[3]4.4 ACE MAX SEN '!AD$4,'7. PGE_Efficacité'!$A$4:$AO$4,0)),0)</f>
        <v>0</v>
      </c>
      <c r="AE168" s="61">
        <f>VLOOKUP($B168,'7. PGE_Efficacité'!$A$6:$CY$266,(MATCH('[3]4.4 ACE MAX SEN '!AE$4,'7. PGE_Efficacité'!$A$4:$AO$4,0)),0)</f>
        <v>0</v>
      </c>
      <c r="AF168" s="61">
        <f>VLOOKUP($B168,'7. PGE_Efficacité'!$A$6:$CY$266,(MATCH('[3]4.4 ACE MAX SEN '!AF$4,'7. PGE_Efficacité'!$A$4:$AO$4,0)),0)</f>
        <v>0</v>
      </c>
      <c r="AG168" s="61">
        <f>VLOOKUP($B168,'7. PGE_Efficacité'!$A$6:$CY$266,(MATCH('[3]4.4 ACE MAX SEN '!AG$4,'7. PGE_Efficacité'!$A$4:$AO$4,0)),0)</f>
        <v>0</v>
      </c>
      <c r="AH168" s="61">
        <f>VLOOKUP($B168,'7. PGE_Efficacité'!$A$6:$CY$266,(MATCH('[3]4.4 ACE MAX SEN '!AH$4,'7. PGE_Efficacité'!$A$4:$AO$4,0)),0)</f>
        <v>0</v>
      </c>
      <c r="AI168" s="61">
        <f>VLOOKUP($B168,'7. PGE_Efficacité'!$A$6:$CY$266,(MATCH('[3]4.4 ACE MAX SEN '!AI$4,'7. PGE_Efficacité'!$A$4:$AO$4,0)),0)</f>
        <v>0</v>
      </c>
      <c r="AJ168" s="61">
        <f>VLOOKUP($B168,'7. PGE_Efficacité'!$A$6:$CY$266,(MATCH('[3]4.4 ACE MAX SEN '!AJ$4,'7. PGE_Efficacité'!$A$4:$AO$4,0)),0)</f>
        <v>0</v>
      </c>
      <c r="AK168" s="61">
        <f>VLOOKUP($B168,'7. PGE_Efficacité'!$A$6:$CY$266,(MATCH('[3]4.4 ACE MAX SEN '!AK$4,'7. PGE_Efficacité'!$A$4:$AO$4,0)),0)</f>
        <v>0</v>
      </c>
    </row>
    <row r="169" spans="1:37" outlineLevel="2" x14ac:dyDescent="0.25">
      <c r="A169" s="65" t="s">
        <v>26</v>
      </c>
      <c r="B169" s="65" t="s">
        <v>2862</v>
      </c>
      <c r="C169" s="65" t="s">
        <v>1652</v>
      </c>
      <c r="D169" s="65" t="s">
        <v>1521</v>
      </c>
      <c r="E169" s="65" t="s">
        <v>1287</v>
      </c>
      <c r="F169" s="70"/>
      <c r="G169" s="64">
        <f>VLOOKUP($B169,'7. PGE_Efficacité'!$A$6:$CY$266,(MATCH('[3]4.4 ACE MAX SEN '!G$4,'7. PGE_Efficacité'!$A$4:$AO$4,0)),0)</f>
        <v>0</v>
      </c>
      <c r="H169" s="64">
        <f>VLOOKUP($B169,'7. PGE_Efficacité'!$A$6:$CY$266,(MATCH('[3]4.4 ACE MAX SEN '!H$4,'7. PGE_Efficacité'!$A$4:$AO$4,0)),0)</f>
        <v>0</v>
      </c>
      <c r="I169" s="64">
        <f>VLOOKUP($B169,'7. PGE_Efficacité'!$A$6:$CY$266,(MATCH('[3]4.4 ACE MAX SEN '!I$4,'7. PGE_Efficacité'!$A$4:$AO$4,0)),0)</f>
        <v>0</v>
      </c>
      <c r="J169" s="64">
        <f>VLOOKUP($B169,'7. PGE_Efficacité'!$A$6:$CY$266,(MATCH('[3]4.4 ACE MAX SEN '!J$4,'7. PGE_Efficacité'!$A$4:$AO$4,0)),0)</f>
        <v>0</v>
      </c>
      <c r="K169" s="64">
        <f>VLOOKUP($B169,'7. PGE_Efficacité'!$A$6:$CY$266,(MATCH('[3]4.4 ACE MAX SEN '!K$4,'7. PGE_Efficacité'!$A$4:$AO$4,0)),0)</f>
        <v>0</v>
      </c>
      <c r="L169" s="64">
        <f>VLOOKUP($B169,'7. PGE_Efficacité'!$A$6:$CY$266,(MATCH('[3]4.4 ACE MAX SEN '!L$4,'7. PGE_Efficacité'!$A$4:$AO$4,0)),0)</f>
        <v>0</v>
      </c>
      <c r="M169" s="64">
        <f>VLOOKUP($B169,'7. PGE_Efficacité'!$A$6:$CY$266,(MATCH('[3]4.4 ACE MAX SEN '!M$4,'7. PGE_Efficacité'!$A$4:$AO$4,0)),0)</f>
        <v>0</v>
      </c>
      <c r="N169" s="64">
        <f>VLOOKUP($B169,'7. PGE_Efficacité'!$A$6:$CY$266,(MATCH('[3]4.4 ACE MAX SEN '!N$4,'7. PGE_Efficacité'!$A$4:$AO$4,0)),0)</f>
        <v>0</v>
      </c>
      <c r="O169" s="64">
        <f>VLOOKUP($B169,'7. PGE_Efficacité'!$A$6:$CY$266,(MATCH('[3]4.4 ACE MAX SEN '!O$4,'7. PGE_Efficacité'!$A$4:$AO$4,0)),0)</f>
        <v>0</v>
      </c>
      <c r="P169" s="64">
        <f>VLOOKUP($B169,'7. PGE_Efficacité'!$A$6:$CY$266,(MATCH('[3]4.4 ACE MAX SEN '!P$4,'7. PGE_Efficacité'!$A$4:$AO$4,0)),0)</f>
        <v>0</v>
      </c>
      <c r="Q169" s="64">
        <f>VLOOKUP($B169,'7. PGE_Efficacité'!$A$6:$CY$266,(MATCH('[3]4.4 ACE MAX SEN '!Q$4,'7. PGE_Efficacité'!$A$4:$AO$4,0)),0)</f>
        <v>0</v>
      </c>
      <c r="R169" s="64">
        <f>VLOOKUP($B169,'7. PGE_Efficacité'!$A$6:$CY$266,(MATCH('[3]4.4 ACE MAX SEN '!R$4,'7. PGE_Efficacité'!$A$4:$AO$4,0)),0)</f>
        <v>0</v>
      </c>
      <c r="S169" s="64">
        <f>VLOOKUP($B169,'7. PGE_Efficacité'!$A$6:$CY$266,(MATCH('[3]4.4 ACE MAX SEN '!S$4,'7. PGE_Efficacité'!$A$4:$AO$4,0)),0)</f>
        <v>0</v>
      </c>
      <c r="T169" s="64">
        <f>VLOOKUP($B169,'7. PGE_Efficacité'!$A$6:$CY$266,(MATCH('[3]4.4 ACE MAX SEN '!T$4,'7. PGE_Efficacité'!$A$4:$AO$4,0)),0)</f>
        <v>0</v>
      </c>
      <c r="U169" s="64">
        <f>VLOOKUP($B169,'7. PGE_Efficacité'!$A$6:$CY$266,(MATCH('[3]4.4 ACE MAX SEN '!U$4,'7. PGE_Efficacité'!$A$4:$AO$4,0)),0)</f>
        <v>0</v>
      </c>
      <c r="V169" s="64">
        <f>VLOOKUP($B169,'7. PGE_Efficacité'!$A$6:$CY$266,(MATCH('[3]4.4 ACE MAX SEN '!V$4,'7. PGE_Efficacité'!$A$4:$AO$4,0)),0)</f>
        <v>0</v>
      </c>
      <c r="W169" s="61">
        <f>VLOOKUP($B169,'7. PGE_Efficacité'!$A$6:$CY$266,(MATCH('[3]4.4 ACE MAX SEN '!W$4,'7. PGE_Efficacité'!$A$4:$AO$4,0)),0)</f>
        <v>0</v>
      </c>
      <c r="X169" s="61">
        <f>VLOOKUP($B169,'7. PGE_Efficacité'!$A$6:$CY$266,(MATCH('[3]4.4 ACE MAX SEN '!X$4,'7. PGE_Efficacité'!$A$4:$AO$4,0)),0)</f>
        <v>0</v>
      </c>
      <c r="Y169" s="61">
        <f>VLOOKUP($B169,'7. PGE_Efficacité'!$A$6:$CY$266,(MATCH('[3]4.4 ACE MAX SEN '!Y$4,'7. PGE_Efficacité'!$A$4:$AO$4,0)),0)</f>
        <v>0</v>
      </c>
      <c r="Z169" s="61">
        <f>VLOOKUP($B169,'7. PGE_Efficacité'!$A$6:$CY$266,(MATCH('[3]4.4 ACE MAX SEN '!Z$4,'7. PGE_Efficacité'!$A$4:$AO$4,0)),0)</f>
        <v>0</v>
      </c>
      <c r="AA169" s="61">
        <f>VLOOKUP($B169,'7. PGE_Efficacité'!$A$6:$CY$266,(MATCH('[3]4.4 ACE MAX SEN '!AA$4,'7. PGE_Efficacité'!$A$4:$AO$4,0)),0)</f>
        <v>0</v>
      </c>
      <c r="AB169" s="61">
        <f>VLOOKUP($B169,'7. PGE_Efficacité'!$A$6:$CY$266,(MATCH('[3]4.4 ACE MAX SEN '!AB$4,'7. PGE_Efficacité'!$A$4:$AO$4,0)),0)</f>
        <v>0</v>
      </c>
      <c r="AC169" s="61">
        <f>VLOOKUP($B169,'7. PGE_Efficacité'!$A$6:$CY$266,(MATCH('[3]4.4 ACE MAX SEN '!AC$4,'7. PGE_Efficacité'!$A$4:$AO$4,0)),0)</f>
        <v>0</v>
      </c>
      <c r="AD169" s="61">
        <f>VLOOKUP($B169,'7. PGE_Efficacité'!$A$6:$CY$266,(MATCH('[3]4.4 ACE MAX SEN '!AD$4,'7. PGE_Efficacité'!$A$4:$AO$4,0)),0)</f>
        <v>0</v>
      </c>
      <c r="AE169" s="61">
        <f>VLOOKUP($B169,'7. PGE_Efficacité'!$A$6:$CY$266,(MATCH('[3]4.4 ACE MAX SEN '!AE$4,'7. PGE_Efficacité'!$A$4:$AO$4,0)),0)</f>
        <v>0</v>
      </c>
      <c r="AF169" s="61">
        <f>VLOOKUP($B169,'7. PGE_Efficacité'!$A$6:$CY$266,(MATCH('[3]4.4 ACE MAX SEN '!AF$4,'7. PGE_Efficacité'!$A$4:$AO$4,0)),0)</f>
        <v>0</v>
      </c>
      <c r="AG169" s="61">
        <f>VLOOKUP($B169,'7. PGE_Efficacité'!$A$6:$CY$266,(MATCH('[3]4.4 ACE MAX SEN '!AG$4,'7. PGE_Efficacité'!$A$4:$AO$4,0)),0)</f>
        <v>0</v>
      </c>
      <c r="AH169" s="61">
        <f>VLOOKUP($B169,'7. PGE_Efficacité'!$A$6:$CY$266,(MATCH('[3]4.4 ACE MAX SEN '!AH$4,'7. PGE_Efficacité'!$A$4:$AO$4,0)),0)</f>
        <v>0</v>
      </c>
      <c r="AI169" s="61">
        <f>VLOOKUP($B169,'7. PGE_Efficacité'!$A$6:$CY$266,(MATCH('[3]4.4 ACE MAX SEN '!AI$4,'7. PGE_Efficacité'!$A$4:$AO$4,0)),0)</f>
        <v>0</v>
      </c>
      <c r="AJ169" s="61">
        <f>VLOOKUP($B169,'7. PGE_Efficacité'!$A$6:$CY$266,(MATCH('[3]4.4 ACE MAX SEN '!AJ$4,'7. PGE_Efficacité'!$A$4:$AO$4,0)),0)</f>
        <v>0</v>
      </c>
      <c r="AK169" s="61">
        <f>VLOOKUP($B169,'7. PGE_Efficacité'!$A$6:$CY$266,(MATCH('[3]4.4 ACE MAX SEN '!AK$4,'7. PGE_Efficacité'!$A$4:$AO$4,0)),0)</f>
        <v>0</v>
      </c>
    </row>
    <row r="170" spans="1:37" outlineLevel="2" x14ac:dyDescent="0.25">
      <c r="A170" s="65" t="s">
        <v>26</v>
      </c>
      <c r="B170" s="65" t="s">
        <v>2861</v>
      </c>
      <c r="C170" s="65" t="s">
        <v>1642</v>
      </c>
      <c r="D170" s="65" t="s">
        <v>1521</v>
      </c>
      <c r="E170" s="65" t="s">
        <v>1290</v>
      </c>
      <c r="F170" s="70"/>
      <c r="G170" s="64">
        <f>VLOOKUP($B170,'7. PGE_Efficacité'!$A$6:$CY$266,(MATCH('[3]4.4 ACE MAX SEN '!G$4,'7. PGE_Efficacité'!$A$4:$AO$4,0)),0)</f>
        <v>0</v>
      </c>
      <c r="H170" s="64">
        <f>VLOOKUP($B170,'7. PGE_Efficacité'!$A$6:$CY$266,(MATCH('[3]4.4 ACE MAX SEN '!H$4,'7. PGE_Efficacité'!$A$4:$AO$4,0)),0)</f>
        <v>0</v>
      </c>
      <c r="I170" s="64">
        <f>VLOOKUP($B170,'7. PGE_Efficacité'!$A$6:$CY$266,(MATCH('[3]4.4 ACE MAX SEN '!I$4,'7. PGE_Efficacité'!$A$4:$AO$4,0)),0)</f>
        <v>0</v>
      </c>
      <c r="J170" s="64">
        <f>VLOOKUP($B170,'7. PGE_Efficacité'!$A$6:$CY$266,(MATCH('[3]4.4 ACE MAX SEN '!J$4,'7. PGE_Efficacité'!$A$4:$AO$4,0)),0)</f>
        <v>0</v>
      </c>
      <c r="K170" s="64">
        <f>VLOOKUP($B170,'7. PGE_Efficacité'!$A$6:$CY$266,(MATCH('[3]4.4 ACE MAX SEN '!K$4,'7. PGE_Efficacité'!$A$4:$AO$4,0)),0)</f>
        <v>0</v>
      </c>
      <c r="L170" s="64">
        <f>VLOOKUP($B170,'7. PGE_Efficacité'!$A$6:$CY$266,(MATCH('[3]4.4 ACE MAX SEN '!L$4,'7. PGE_Efficacité'!$A$4:$AO$4,0)),0)</f>
        <v>0</v>
      </c>
      <c r="M170" s="64">
        <f>VLOOKUP($B170,'7. PGE_Efficacité'!$A$6:$CY$266,(MATCH('[3]4.4 ACE MAX SEN '!M$4,'7. PGE_Efficacité'!$A$4:$AO$4,0)),0)</f>
        <v>0</v>
      </c>
      <c r="N170" s="64">
        <f>VLOOKUP($B170,'7. PGE_Efficacité'!$A$6:$CY$266,(MATCH('[3]4.4 ACE MAX SEN '!N$4,'7. PGE_Efficacité'!$A$4:$AO$4,0)),0)</f>
        <v>0</v>
      </c>
      <c r="O170" s="64">
        <f>VLOOKUP($B170,'7. PGE_Efficacité'!$A$6:$CY$266,(MATCH('[3]4.4 ACE MAX SEN '!O$4,'7. PGE_Efficacité'!$A$4:$AO$4,0)),0)</f>
        <v>0</v>
      </c>
      <c r="P170" s="64">
        <f>VLOOKUP($B170,'7. PGE_Efficacité'!$A$6:$CY$266,(MATCH('[3]4.4 ACE MAX SEN '!P$4,'7. PGE_Efficacité'!$A$4:$AO$4,0)),0)</f>
        <v>0</v>
      </c>
      <c r="Q170" s="64">
        <f>VLOOKUP($B170,'7. PGE_Efficacité'!$A$6:$CY$266,(MATCH('[3]4.4 ACE MAX SEN '!Q$4,'7. PGE_Efficacité'!$A$4:$AO$4,0)),0)</f>
        <v>0</v>
      </c>
      <c r="R170" s="64">
        <f>VLOOKUP($B170,'7. PGE_Efficacité'!$A$6:$CY$266,(MATCH('[3]4.4 ACE MAX SEN '!R$4,'7. PGE_Efficacité'!$A$4:$AO$4,0)),0)</f>
        <v>0</v>
      </c>
      <c r="S170" s="64">
        <f>VLOOKUP($B170,'7. PGE_Efficacité'!$A$6:$CY$266,(MATCH('[3]4.4 ACE MAX SEN '!S$4,'7. PGE_Efficacité'!$A$4:$AO$4,0)),0)</f>
        <v>0</v>
      </c>
      <c r="T170" s="64">
        <f>VLOOKUP($B170,'7. PGE_Efficacité'!$A$6:$CY$266,(MATCH('[3]4.4 ACE MAX SEN '!T$4,'7. PGE_Efficacité'!$A$4:$AO$4,0)),0)</f>
        <v>0</v>
      </c>
      <c r="U170" s="64">
        <f>VLOOKUP($B170,'7. PGE_Efficacité'!$A$6:$CY$266,(MATCH('[3]4.4 ACE MAX SEN '!U$4,'7. PGE_Efficacité'!$A$4:$AO$4,0)),0)</f>
        <v>0</v>
      </c>
      <c r="V170" s="64">
        <f>VLOOKUP($B170,'7. PGE_Efficacité'!$A$6:$CY$266,(MATCH('[3]4.4 ACE MAX SEN '!V$4,'7. PGE_Efficacité'!$A$4:$AO$4,0)),0)</f>
        <v>0</v>
      </c>
      <c r="W170" s="61">
        <f>VLOOKUP($B170,'7. PGE_Efficacité'!$A$6:$CY$266,(MATCH('[3]4.4 ACE MAX SEN '!W$4,'7. PGE_Efficacité'!$A$4:$AO$4,0)),0)</f>
        <v>0</v>
      </c>
      <c r="X170" s="61">
        <f>VLOOKUP($B170,'7. PGE_Efficacité'!$A$6:$CY$266,(MATCH('[3]4.4 ACE MAX SEN '!X$4,'7. PGE_Efficacité'!$A$4:$AO$4,0)),0)</f>
        <v>0</v>
      </c>
      <c r="Y170" s="61">
        <f>VLOOKUP($B170,'7. PGE_Efficacité'!$A$6:$CY$266,(MATCH('[3]4.4 ACE MAX SEN '!Y$4,'7. PGE_Efficacité'!$A$4:$AO$4,0)),0)</f>
        <v>0</v>
      </c>
      <c r="Z170" s="61">
        <f>VLOOKUP($B170,'7. PGE_Efficacité'!$A$6:$CY$266,(MATCH('[3]4.4 ACE MAX SEN '!Z$4,'7. PGE_Efficacité'!$A$4:$AO$4,0)),0)</f>
        <v>0</v>
      </c>
      <c r="AA170" s="61">
        <f>VLOOKUP($B170,'7. PGE_Efficacité'!$A$6:$CY$266,(MATCH('[3]4.4 ACE MAX SEN '!AA$4,'7. PGE_Efficacité'!$A$4:$AO$4,0)),0)</f>
        <v>0</v>
      </c>
      <c r="AB170" s="61">
        <f>VLOOKUP($B170,'7. PGE_Efficacité'!$A$6:$CY$266,(MATCH('[3]4.4 ACE MAX SEN '!AB$4,'7. PGE_Efficacité'!$A$4:$AO$4,0)),0)</f>
        <v>0</v>
      </c>
      <c r="AC170" s="61">
        <f>VLOOKUP($B170,'7. PGE_Efficacité'!$A$6:$CY$266,(MATCH('[3]4.4 ACE MAX SEN '!AC$4,'7. PGE_Efficacité'!$A$4:$AO$4,0)),0)</f>
        <v>0</v>
      </c>
      <c r="AD170" s="61">
        <f>VLOOKUP($B170,'7. PGE_Efficacité'!$A$6:$CY$266,(MATCH('[3]4.4 ACE MAX SEN '!AD$4,'7. PGE_Efficacité'!$A$4:$AO$4,0)),0)</f>
        <v>0</v>
      </c>
      <c r="AE170" s="61">
        <f>VLOOKUP($B170,'7. PGE_Efficacité'!$A$6:$CY$266,(MATCH('[3]4.4 ACE MAX SEN '!AE$4,'7. PGE_Efficacité'!$A$4:$AO$4,0)),0)</f>
        <v>0</v>
      </c>
      <c r="AF170" s="61">
        <f>VLOOKUP($B170,'7. PGE_Efficacité'!$A$6:$CY$266,(MATCH('[3]4.4 ACE MAX SEN '!AF$4,'7. PGE_Efficacité'!$A$4:$AO$4,0)),0)</f>
        <v>0</v>
      </c>
      <c r="AG170" s="61">
        <f>VLOOKUP($B170,'7. PGE_Efficacité'!$A$6:$CY$266,(MATCH('[3]4.4 ACE MAX SEN '!AG$4,'7. PGE_Efficacité'!$A$4:$AO$4,0)),0)</f>
        <v>0</v>
      </c>
      <c r="AH170" s="61">
        <f>VLOOKUP($B170,'7. PGE_Efficacité'!$A$6:$CY$266,(MATCH('[3]4.4 ACE MAX SEN '!AH$4,'7. PGE_Efficacité'!$A$4:$AO$4,0)),0)</f>
        <v>0</v>
      </c>
      <c r="AI170" s="61">
        <f>VLOOKUP($B170,'7. PGE_Efficacité'!$A$6:$CY$266,(MATCH('[3]4.4 ACE MAX SEN '!AI$4,'7. PGE_Efficacité'!$A$4:$AO$4,0)),0)</f>
        <v>0</v>
      </c>
      <c r="AJ170" s="61">
        <f>VLOOKUP($B170,'7. PGE_Efficacité'!$A$6:$CY$266,(MATCH('[3]4.4 ACE MAX SEN '!AJ$4,'7. PGE_Efficacité'!$A$4:$AO$4,0)),0)</f>
        <v>0</v>
      </c>
      <c r="AK170" s="61">
        <f>VLOOKUP($B170,'7. PGE_Efficacité'!$A$6:$CY$266,(MATCH('[3]4.4 ACE MAX SEN '!AK$4,'7. PGE_Efficacité'!$A$4:$AO$4,0)),0)</f>
        <v>0</v>
      </c>
    </row>
    <row r="171" spans="1:37" outlineLevel="2" x14ac:dyDescent="0.25">
      <c r="A171" s="65" t="s">
        <v>26</v>
      </c>
      <c r="B171" s="65" t="s">
        <v>2607</v>
      </c>
      <c r="C171" s="65" t="s">
        <v>1643</v>
      </c>
      <c r="D171" s="65" t="s">
        <v>1521</v>
      </c>
      <c r="E171" s="65" t="s">
        <v>1290</v>
      </c>
      <c r="F171" s="70"/>
      <c r="G171" s="64">
        <f>VLOOKUP($B171,'7. PGE_Efficacité'!$A$6:$CY$266,(MATCH('[3]4.4 ACE MAX SEN '!G$4,'7. PGE_Efficacité'!$A$4:$AO$4,0)),0)</f>
        <v>0</v>
      </c>
      <c r="H171" s="64">
        <f>VLOOKUP($B171,'7. PGE_Efficacité'!$A$6:$CY$266,(MATCH('[3]4.4 ACE MAX SEN '!H$4,'7. PGE_Efficacité'!$A$4:$AO$4,0)),0)</f>
        <v>0</v>
      </c>
      <c r="I171" s="64">
        <f>VLOOKUP($B171,'7. PGE_Efficacité'!$A$6:$CY$266,(MATCH('[3]4.4 ACE MAX SEN '!I$4,'7. PGE_Efficacité'!$A$4:$AO$4,0)),0)</f>
        <v>0</v>
      </c>
      <c r="J171" s="64">
        <f>VLOOKUP($B171,'7. PGE_Efficacité'!$A$6:$CY$266,(MATCH('[3]4.4 ACE MAX SEN '!J$4,'7. PGE_Efficacité'!$A$4:$AO$4,0)),0)</f>
        <v>0</v>
      </c>
      <c r="K171" s="64">
        <f>VLOOKUP($B171,'7. PGE_Efficacité'!$A$6:$CY$266,(MATCH('[3]4.4 ACE MAX SEN '!K$4,'7. PGE_Efficacité'!$A$4:$AO$4,0)),0)</f>
        <v>0</v>
      </c>
      <c r="L171" s="64">
        <f>VLOOKUP($B171,'7. PGE_Efficacité'!$A$6:$CY$266,(MATCH('[3]4.4 ACE MAX SEN '!L$4,'7. PGE_Efficacité'!$A$4:$AO$4,0)),0)</f>
        <v>0</v>
      </c>
      <c r="M171" s="64">
        <f>VLOOKUP($B171,'7. PGE_Efficacité'!$A$6:$CY$266,(MATCH('[3]4.4 ACE MAX SEN '!M$4,'7. PGE_Efficacité'!$A$4:$AO$4,0)),0)</f>
        <v>0</v>
      </c>
      <c r="N171" s="64">
        <f>VLOOKUP($B171,'7. PGE_Efficacité'!$A$6:$CY$266,(MATCH('[3]4.4 ACE MAX SEN '!N$4,'7. PGE_Efficacité'!$A$4:$AO$4,0)),0)</f>
        <v>0</v>
      </c>
      <c r="O171" s="64">
        <f>VLOOKUP($B171,'7. PGE_Efficacité'!$A$6:$CY$266,(MATCH('[3]4.4 ACE MAX SEN '!O$4,'7. PGE_Efficacité'!$A$4:$AO$4,0)),0)</f>
        <v>0</v>
      </c>
      <c r="P171" s="64">
        <f>VLOOKUP($B171,'7. PGE_Efficacité'!$A$6:$CY$266,(MATCH('[3]4.4 ACE MAX SEN '!P$4,'7. PGE_Efficacité'!$A$4:$AO$4,0)),0)</f>
        <v>0</v>
      </c>
      <c r="Q171" s="64">
        <f>VLOOKUP($B171,'7. PGE_Efficacité'!$A$6:$CY$266,(MATCH('[3]4.4 ACE MAX SEN '!Q$4,'7. PGE_Efficacité'!$A$4:$AO$4,0)),0)</f>
        <v>0</v>
      </c>
      <c r="R171" s="64">
        <f>VLOOKUP($B171,'7. PGE_Efficacité'!$A$6:$CY$266,(MATCH('[3]4.4 ACE MAX SEN '!R$4,'7. PGE_Efficacité'!$A$4:$AO$4,0)),0)</f>
        <v>0</v>
      </c>
      <c r="S171" s="64">
        <f>VLOOKUP($B171,'7. PGE_Efficacité'!$A$6:$CY$266,(MATCH('[3]4.4 ACE MAX SEN '!S$4,'7. PGE_Efficacité'!$A$4:$AO$4,0)),0)</f>
        <v>0</v>
      </c>
      <c r="T171" s="64">
        <f>VLOOKUP($B171,'7. PGE_Efficacité'!$A$6:$CY$266,(MATCH('[3]4.4 ACE MAX SEN '!T$4,'7. PGE_Efficacité'!$A$4:$AO$4,0)),0)</f>
        <v>0</v>
      </c>
      <c r="U171" s="64">
        <f>VLOOKUP($B171,'7. PGE_Efficacité'!$A$6:$CY$266,(MATCH('[3]4.4 ACE MAX SEN '!U$4,'7. PGE_Efficacité'!$A$4:$AO$4,0)),0)</f>
        <v>0</v>
      </c>
      <c r="V171" s="64">
        <f>VLOOKUP($B171,'7. PGE_Efficacité'!$A$6:$CY$266,(MATCH('[3]4.4 ACE MAX SEN '!V$4,'7. PGE_Efficacité'!$A$4:$AO$4,0)),0)</f>
        <v>0</v>
      </c>
      <c r="W171" s="61">
        <f>VLOOKUP($B171,'7. PGE_Efficacité'!$A$6:$CY$266,(MATCH('[3]4.4 ACE MAX SEN '!W$4,'7. PGE_Efficacité'!$A$4:$AO$4,0)),0)</f>
        <v>0</v>
      </c>
      <c r="X171" s="61">
        <f>VLOOKUP($B171,'7. PGE_Efficacité'!$A$6:$CY$266,(MATCH('[3]4.4 ACE MAX SEN '!X$4,'7. PGE_Efficacité'!$A$4:$AO$4,0)),0)</f>
        <v>0</v>
      </c>
      <c r="Y171" s="61">
        <f>VLOOKUP($B171,'7. PGE_Efficacité'!$A$6:$CY$266,(MATCH('[3]4.4 ACE MAX SEN '!Y$4,'7. PGE_Efficacité'!$A$4:$AO$4,0)),0)</f>
        <v>0</v>
      </c>
      <c r="Z171" s="61">
        <f>VLOOKUP($B171,'7. PGE_Efficacité'!$A$6:$CY$266,(MATCH('[3]4.4 ACE MAX SEN '!Z$4,'7. PGE_Efficacité'!$A$4:$AO$4,0)),0)</f>
        <v>0</v>
      </c>
      <c r="AA171" s="61">
        <f>VLOOKUP($B171,'7. PGE_Efficacité'!$A$6:$CY$266,(MATCH('[3]4.4 ACE MAX SEN '!AA$4,'7. PGE_Efficacité'!$A$4:$AO$4,0)),0)</f>
        <v>0</v>
      </c>
      <c r="AB171" s="61">
        <f>VLOOKUP($B171,'7. PGE_Efficacité'!$A$6:$CY$266,(MATCH('[3]4.4 ACE MAX SEN '!AB$4,'7. PGE_Efficacité'!$A$4:$AO$4,0)),0)</f>
        <v>0</v>
      </c>
      <c r="AC171" s="61">
        <f>VLOOKUP($B171,'7. PGE_Efficacité'!$A$6:$CY$266,(MATCH('[3]4.4 ACE MAX SEN '!AC$4,'7. PGE_Efficacité'!$A$4:$AO$4,0)),0)</f>
        <v>0</v>
      </c>
      <c r="AD171" s="61">
        <f>VLOOKUP($B171,'7. PGE_Efficacité'!$A$6:$CY$266,(MATCH('[3]4.4 ACE MAX SEN '!AD$4,'7. PGE_Efficacité'!$A$4:$AO$4,0)),0)</f>
        <v>0</v>
      </c>
      <c r="AE171" s="61">
        <f>VLOOKUP($B171,'7. PGE_Efficacité'!$A$6:$CY$266,(MATCH('[3]4.4 ACE MAX SEN '!AE$4,'7. PGE_Efficacité'!$A$4:$AO$4,0)),0)</f>
        <v>0</v>
      </c>
      <c r="AF171" s="61">
        <f>VLOOKUP($B171,'7. PGE_Efficacité'!$A$6:$CY$266,(MATCH('[3]4.4 ACE MAX SEN '!AF$4,'7. PGE_Efficacité'!$A$4:$AO$4,0)),0)</f>
        <v>0</v>
      </c>
      <c r="AG171" s="61">
        <f>VLOOKUP($B171,'7. PGE_Efficacité'!$A$6:$CY$266,(MATCH('[3]4.4 ACE MAX SEN '!AG$4,'7. PGE_Efficacité'!$A$4:$AO$4,0)),0)</f>
        <v>0</v>
      </c>
      <c r="AH171" s="61">
        <f>VLOOKUP($B171,'7. PGE_Efficacité'!$A$6:$CY$266,(MATCH('[3]4.4 ACE MAX SEN '!AH$4,'7. PGE_Efficacité'!$A$4:$AO$4,0)),0)</f>
        <v>0</v>
      </c>
      <c r="AI171" s="61">
        <f>VLOOKUP($B171,'7. PGE_Efficacité'!$A$6:$CY$266,(MATCH('[3]4.4 ACE MAX SEN '!AI$4,'7. PGE_Efficacité'!$A$4:$AO$4,0)),0)</f>
        <v>0</v>
      </c>
      <c r="AJ171" s="61">
        <f>VLOOKUP($B171,'7. PGE_Efficacité'!$A$6:$CY$266,(MATCH('[3]4.4 ACE MAX SEN '!AJ$4,'7. PGE_Efficacité'!$A$4:$AO$4,0)),0)</f>
        <v>0</v>
      </c>
      <c r="AK171" s="61">
        <f>VLOOKUP($B171,'7. PGE_Efficacité'!$A$6:$CY$266,(MATCH('[3]4.4 ACE MAX SEN '!AK$4,'7. PGE_Efficacité'!$A$4:$AO$4,0)),0)</f>
        <v>0</v>
      </c>
    </row>
    <row r="172" spans="1:37" outlineLevel="2" x14ac:dyDescent="0.25">
      <c r="A172" s="65" t="s">
        <v>26</v>
      </c>
      <c r="B172" s="65" t="s">
        <v>2608</v>
      </c>
      <c r="C172" s="65" t="s">
        <v>3007</v>
      </c>
      <c r="D172" s="65" t="s">
        <v>1521</v>
      </c>
      <c r="E172" s="65" t="s">
        <v>1290</v>
      </c>
      <c r="F172" s="70"/>
      <c r="G172" s="64">
        <f>VLOOKUP($B172,'7. PGE_Efficacité'!$A$6:$CY$266,(MATCH('[3]4.4 ACE MAX SEN '!G$4,'7. PGE_Efficacité'!$A$4:$AO$4,0)),0)</f>
        <v>0</v>
      </c>
      <c r="H172" s="64">
        <f>VLOOKUP($B172,'7. PGE_Efficacité'!$A$6:$CY$266,(MATCH('[3]4.4 ACE MAX SEN '!H$4,'7. PGE_Efficacité'!$A$4:$AO$4,0)),0)</f>
        <v>0</v>
      </c>
      <c r="I172" s="64">
        <f>VLOOKUP($B172,'7. PGE_Efficacité'!$A$6:$CY$266,(MATCH('[3]4.4 ACE MAX SEN '!I$4,'7. PGE_Efficacité'!$A$4:$AO$4,0)),0)</f>
        <v>0</v>
      </c>
      <c r="J172" s="64">
        <f>VLOOKUP($B172,'7. PGE_Efficacité'!$A$6:$CY$266,(MATCH('[3]4.4 ACE MAX SEN '!J$4,'7. PGE_Efficacité'!$A$4:$AO$4,0)),0)</f>
        <v>0</v>
      </c>
      <c r="K172" s="64">
        <f>VLOOKUP($B172,'7. PGE_Efficacité'!$A$6:$CY$266,(MATCH('[3]4.4 ACE MAX SEN '!K$4,'7. PGE_Efficacité'!$A$4:$AO$4,0)),0)</f>
        <v>0</v>
      </c>
      <c r="L172" s="64">
        <f>VLOOKUP($B172,'7. PGE_Efficacité'!$A$6:$CY$266,(MATCH('[3]4.4 ACE MAX SEN '!L$4,'7. PGE_Efficacité'!$A$4:$AO$4,0)),0)</f>
        <v>0</v>
      </c>
      <c r="M172" s="64">
        <f>VLOOKUP($B172,'7. PGE_Efficacité'!$A$6:$CY$266,(MATCH('[3]4.4 ACE MAX SEN '!M$4,'7. PGE_Efficacité'!$A$4:$AO$4,0)),0)</f>
        <v>0</v>
      </c>
      <c r="N172" s="64">
        <f>VLOOKUP($B172,'7. PGE_Efficacité'!$A$6:$CY$266,(MATCH('[3]4.4 ACE MAX SEN '!N$4,'7. PGE_Efficacité'!$A$4:$AO$4,0)),0)</f>
        <v>0</v>
      </c>
      <c r="O172" s="64">
        <f>VLOOKUP($B172,'7. PGE_Efficacité'!$A$6:$CY$266,(MATCH('[3]4.4 ACE MAX SEN '!O$4,'7. PGE_Efficacité'!$A$4:$AO$4,0)),0)</f>
        <v>0</v>
      </c>
      <c r="P172" s="64">
        <f>VLOOKUP($B172,'7. PGE_Efficacité'!$A$6:$CY$266,(MATCH('[3]4.4 ACE MAX SEN '!P$4,'7. PGE_Efficacité'!$A$4:$AO$4,0)),0)</f>
        <v>0</v>
      </c>
      <c r="Q172" s="64">
        <f>VLOOKUP($B172,'7. PGE_Efficacité'!$A$6:$CY$266,(MATCH('[3]4.4 ACE MAX SEN '!Q$4,'7. PGE_Efficacité'!$A$4:$AO$4,0)),0)</f>
        <v>0</v>
      </c>
      <c r="R172" s="64">
        <f>VLOOKUP($B172,'7. PGE_Efficacité'!$A$6:$CY$266,(MATCH('[3]4.4 ACE MAX SEN '!R$4,'7. PGE_Efficacité'!$A$4:$AO$4,0)),0)</f>
        <v>0</v>
      </c>
      <c r="S172" s="64">
        <f>VLOOKUP($B172,'7. PGE_Efficacité'!$A$6:$CY$266,(MATCH('[3]4.4 ACE MAX SEN '!S$4,'7. PGE_Efficacité'!$A$4:$AO$4,0)),0)</f>
        <v>0</v>
      </c>
      <c r="T172" s="64">
        <f>VLOOKUP($B172,'7. PGE_Efficacité'!$A$6:$CY$266,(MATCH('[3]4.4 ACE MAX SEN '!T$4,'7. PGE_Efficacité'!$A$4:$AO$4,0)),0)</f>
        <v>0</v>
      </c>
      <c r="U172" s="64">
        <f>VLOOKUP($B172,'7. PGE_Efficacité'!$A$6:$CY$266,(MATCH('[3]4.4 ACE MAX SEN '!U$4,'7. PGE_Efficacité'!$A$4:$AO$4,0)),0)</f>
        <v>0</v>
      </c>
      <c r="V172" s="64">
        <f>VLOOKUP($B172,'7. PGE_Efficacité'!$A$6:$CY$266,(MATCH('[3]4.4 ACE MAX SEN '!V$4,'7. PGE_Efficacité'!$A$4:$AO$4,0)),0)</f>
        <v>0</v>
      </c>
      <c r="W172" s="61">
        <f>VLOOKUP($B172,'7. PGE_Efficacité'!$A$6:$CY$266,(MATCH('[3]4.4 ACE MAX SEN '!W$4,'7. PGE_Efficacité'!$A$4:$AO$4,0)),0)</f>
        <v>0</v>
      </c>
      <c r="X172" s="61">
        <f>VLOOKUP($B172,'7. PGE_Efficacité'!$A$6:$CY$266,(MATCH('[3]4.4 ACE MAX SEN '!X$4,'7. PGE_Efficacité'!$A$4:$AO$4,0)),0)</f>
        <v>0</v>
      </c>
      <c r="Y172" s="61">
        <f>VLOOKUP($B172,'7. PGE_Efficacité'!$A$6:$CY$266,(MATCH('[3]4.4 ACE MAX SEN '!Y$4,'7. PGE_Efficacité'!$A$4:$AO$4,0)),0)</f>
        <v>0</v>
      </c>
      <c r="Z172" s="61">
        <f>VLOOKUP($B172,'7. PGE_Efficacité'!$A$6:$CY$266,(MATCH('[3]4.4 ACE MAX SEN '!Z$4,'7. PGE_Efficacité'!$A$4:$AO$4,0)),0)</f>
        <v>0</v>
      </c>
      <c r="AA172" s="61">
        <f>VLOOKUP($B172,'7. PGE_Efficacité'!$A$6:$CY$266,(MATCH('[3]4.4 ACE MAX SEN '!AA$4,'7. PGE_Efficacité'!$A$4:$AO$4,0)),0)</f>
        <v>0</v>
      </c>
      <c r="AB172" s="61">
        <f>VLOOKUP($B172,'7. PGE_Efficacité'!$A$6:$CY$266,(MATCH('[3]4.4 ACE MAX SEN '!AB$4,'7. PGE_Efficacité'!$A$4:$AO$4,0)),0)</f>
        <v>0</v>
      </c>
      <c r="AC172" s="61">
        <f>VLOOKUP($B172,'7. PGE_Efficacité'!$A$6:$CY$266,(MATCH('[3]4.4 ACE MAX SEN '!AC$4,'7. PGE_Efficacité'!$A$4:$AO$4,0)),0)</f>
        <v>0</v>
      </c>
      <c r="AD172" s="61">
        <f>VLOOKUP($B172,'7. PGE_Efficacité'!$A$6:$CY$266,(MATCH('[3]4.4 ACE MAX SEN '!AD$4,'7. PGE_Efficacité'!$A$4:$AO$4,0)),0)</f>
        <v>0</v>
      </c>
      <c r="AE172" s="61">
        <f>VLOOKUP($B172,'7. PGE_Efficacité'!$A$6:$CY$266,(MATCH('[3]4.4 ACE MAX SEN '!AE$4,'7. PGE_Efficacité'!$A$4:$AO$4,0)),0)</f>
        <v>0</v>
      </c>
      <c r="AF172" s="61">
        <f>VLOOKUP($B172,'7. PGE_Efficacité'!$A$6:$CY$266,(MATCH('[3]4.4 ACE MAX SEN '!AF$4,'7. PGE_Efficacité'!$A$4:$AO$4,0)),0)</f>
        <v>0</v>
      </c>
      <c r="AG172" s="61">
        <f>VLOOKUP($B172,'7. PGE_Efficacité'!$A$6:$CY$266,(MATCH('[3]4.4 ACE MAX SEN '!AG$4,'7. PGE_Efficacité'!$A$4:$AO$4,0)),0)</f>
        <v>0</v>
      </c>
      <c r="AH172" s="61">
        <f>VLOOKUP($B172,'7. PGE_Efficacité'!$A$6:$CY$266,(MATCH('[3]4.4 ACE MAX SEN '!AH$4,'7. PGE_Efficacité'!$A$4:$AO$4,0)),0)</f>
        <v>0</v>
      </c>
      <c r="AI172" s="61">
        <f>VLOOKUP($B172,'7. PGE_Efficacité'!$A$6:$CY$266,(MATCH('[3]4.4 ACE MAX SEN '!AI$4,'7. PGE_Efficacité'!$A$4:$AO$4,0)),0)</f>
        <v>0</v>
      </c>
      <c r="AJ172" s="61">
        <f>VLOOKUP($B172,'7. PGE_Efficacité'!$A$6:$CY$266,(MATCH('[3]4.4 ACE MAX SEN '!AJ$4,'7. PGE_Efficacité'!$A$4:$AO$4,0)),0)</f>
        <v>0</v>
      </c>
      <c r="AK172" s="61">
        <f>VLOOKUP($B172,'7. PGE_Efficacité'!$A$6:$CY$266,(MATCH('[3]4.4 ACE MAX SEN '!AK$4,'7. PGE_Efficacité'!$A$4:$AO$4,0)),0)</f>
        <v>0</v>
      </c>
    </row>
    <row r="173" spans="1:37" ht="51.75" outlineLevel="1" collapsed="1" x14ac:dyDescent="0.25">
      <c r="A173" s="157" t="s">
        <v>27</v>
      </c>
      <c r="B173" s="63"/>
      <c r="C173" s="156" t="s">
        <v>217</v>
      </c>
      <c r="D173" s="63"/>
      <c r="E173" s="63"/>
      <c r="F173" s="72">
        <f>MEDIAN(VLOOKUP(A173,'4. Mesures_ACE_Budget'!$A$3:$J$31,9,0),VLOOKUP(A173,'4. Mesures_ACE_Budget'!$A$3:$J$31,10,0))</f>
        <v>9180000</v>
      </c>
      <c r="G173" s="178" t="str">
        <f>VLOOKUP($A173,'7. PGE_Efficacité'!$A$6:$CY$266,(MATCH('[2]4.4 ACE MAX SEN '!G$4,'7. PGE_Efficacité'!$A$4:$AO$4,0)),0)</f>
        <v>+</v>
      </c>
      <c r="H173" s="178" t="str">
        <f>VLOOKUP($A173,'7. PGE_Efficacité'!$A$6:$CY$266,(MATCH('[2]4.4 ACE MAX SEN '!H$4,'7. PGE_Efficacité'!$A$4:$AO$4,0)),0)</f>
        <v>+</v>
      </c>
      <c r="I173" s="178" t="str">
        <f>VLOOKUP($A173,'7. PGE_Efficacité'!$A$6:$CY$266,(MATCH('[2]4.4 ACE MAX SEN '!I$4,'7. PGE_Efficacité'!$A$4:$AO$4,0)),0)</f>
        <v>+</v>
      </c>
      <c r="J173" s="178" t="str">
        <f>VLOOKUP($A173,'7. PGE_Efficacité'!$A$6:$CY$266,(MATCH('[2]4.4 ACE MAX SEN '!J$4,'7. PGE_Efficacité'!$A$4:$AO$4,0)),0)</f>
        <v>+</v>
      </c>
      <c r="K173" s="178" t="str">
        <f>VLOOKUP($A173,'7. PGE_Efficacité'!$A$6:$CY$266,(MATCH('[2]4.4 ACE MAX SEN '!K$4,'7. PGE_Efficacité'!$A$4:$AO$4,0)),0)</f>
        <v>+</v>
      </c>
      <c r="L173" s="178" t="str">
        <f>VLOOKUP($A173,'7. PGE_Efficacité'!$A$6:$CY$266,(MATCH('[2]4.4 ACE MAX SEN '!L$4,'7. PGE_Efficacité'!$A$4:$AO$4,0)),0)</f>
        <v>+</v>
      </c>
      <c r="M173" s="178" t="str">
        <f>VLOOKUP($A173,'7. PGE_Efficacité'!$A$6:$CY$266,(MATCH('[2]4.4 ACE MAX SEN '!M$4,'7. PGE_Efficacité'!$A$4:$AO$4,0)),0)</f>
        <v>+</v>
      </c>
      <c r="N173" s="178" t="str">
        <f>VLOOKUP($A173,'7. PGE_Efficacité'!$A$6:$CY$266,(MATCH('[2]4.4 ACE MAX SEN '!N$4,'7. PGE_Efficacité'!$A$4:$AO$4,0)),0)</f>
        <v>+</v>
      </c>
      <c r="O173" s="178" t="str">
        <f>VLOOKUP($A173,'7. PGE_Efficacité'!$A$6:$CY$266,(MATCH('[2]4.4 ACE MAX SEN '!O$4,'7. PGE_Efficacité'!$A$4:$AO$4,0)),0)</f>
        <v>+</v>
      </c>
      <c r="P173" s="178" t="str">
        <f>VLOOKUP($A173,'7. PGE_Efficacité'!$A$6:$CY$266,(MATCH('[2]4.4 ACE MAX SEN '!P$4,'7. PGE_Efficacité'!$A$4:$AO$4,0)),0)</f>
        <v>+</v>
      </c>
      <c r="Q173" s="178" t="str">
        <f>VLOOKUP($A173,'7. PGE_Efficacité'!$A$6:$CY$266,(MATCH('[2]4.4 ACE MAX SEN '!Q$4,'7. PGE_Efficacité'!$A$4:$AO$4,0)),0)</f>
        <v>+</v>
      </c>
      <c r="R173" s="178">
        <f>VLOOKUP($A173,'7. PGE_Efficacité'!$A$6:$CY$266,(MATCH('[2]4.4 ACE MAX SEN '!R$4,'7. PGE_Efficacité'!$A$4:$AO$4,0)),0)</f>
        <v>0</v>
      </c>
      <c r="S173" s="178" t="str">
        <f>VLOOKUP($A173,'7. PGE_Efficacité'!$A$6:$CY$266,(MATCH('[2]4.4 ACE MAX SEN '!S$4,'7. PGE_Efficacité'!$A$4:$AO$4,0)),0)</f>
        <v>+</v>
      </c>
      <c r="T173" s="178" t="str">
        <f>VLOOKUP($A173,'7. PGE_Efficacité'!$A$6:$CY$266,(MATCH('[2]4.4 ACE MAX SEN '!T$4,'7. PGE_Efficacité'!$A$4:$AO$4,0)),0)</f>
        <v>+</v>
      </c>
      <c r="U173" s="178" t="str">
        <f>VLOOKUP($A173,'7. PGE_Efficacité'!$A$6:$CY$266,(MATCH('[2]4.4 ACE MAX SEN '!U$4,'7. PGE_Efficacité'!$A$4:$AO$4,0)),0)</f>
        <v>+</v>
      </c>
      <c r="V173" s="178" t="str">
        <f>VLOOKUP($A173,'7. PGE_Efficacité'!$A$6:$CY$266,(MATCH('[2]4.4 ACE MAX SEN '!V$4,'7. PGE_Efficacité'!$A$4:$AO$4,0)),0)</f>
        <v>+</v>
      </c>
      <c r="W173" s="179" t="str">
        <f>VLOOKUP($A173,'7. PGE_Efficacité'!$A$6:$CY$266,(MATCH('[2]4.4 ACE MAX SEN '!W$4,'7. PGE_Efficacité'!$A$4:$AO$4,0)),0)</f>
        <v>+</v>
      </c>
      <c r="X173" s="179" t="str">
        <f>VLOOKUP($A173,'7. PGE_Efficacité'!$A$6:$CY$266,(MATCH('[2]4.4 ACE MAX SEN '!X$4,'7. PGE_Efficacité'!$A$4:$AO$4,0)),0)</f>
        <v>+</v>
      </c>
      <c r="Y173" s="179" t="str">
        <f>VLOOKUP($A173,'7. PGE_Efficacité'!$A$6:$CY$266,(MATCH('[2]4.4 ACE MAX SEN '!Y$4,'7. PGE_Efficacité'!$A$4:$AO$4,0)),0)</f>
        <v>+</v>
      </c>
      <c r="Z173" s="179" t="str">
        <f>VLOOKUP($A173,'7. PGE_Efficacité'!$A$6:$CY$266,(MATCH('[2]4.4 ACE MAX SEN '!Z$4,'7. PGE_Efficacité'!$A$4:$AO$4,0)),0)</f>
        <v>+</v>
      </c>
      <c r="AA173" s="179" t="str">
        <f>VLOOKUP($A173,'7. PGE_Efficacité'!$A$6:$CY$266,(MATCH('[2]4.4 ACE MAX SEN '!AA$4,'7. PGE_Efficacité'!$A$4:$AO$4,0)),0)</f>
        <v>+</v>
      </c>
      <c r="AB173" s="179" t="str">
        <f>VLOOKUP($A173,'7. PGE_Efficacité'!$A$6:$CY$266,(MATCH('[2]4.4 ACE MAX SEN '!AB$4,'7. PGE_Efficacité'!$A$4:$AO$4,0)),0)</f>
        <v>+</v>
      </c>
      <c r="AC173" s="179" t="str">
        <f>VLOOKUP($A173,'7. PGE_Efficacité'!$A$6:$CY$266,(MATCH('[2]4.4 ACE MAX SEN '!AC$4,'7. PGE_Efficacité'!$A$4:$AO$4,0)),0)</f>
        <v>+</v>
      </c>
      <c r="AD173" s="179">
        <f>VLOOKUP($A173,'7. PGE_Efficacité'!$A$6:$CY$266,(MATCH('[2]4.4 ACE MAX SEN '!AD$4,'7. PGE_Efficacité'!$A$4:$AO$4,0)),0)</f>
        <v>0</v>
      </c>
      <c r="AE173" s="179">
        <f>VLOOKUP($A173,'7. PGE_Efficacité'!$A$6:$CY$266,(MATCH('[2]4.4 ACE MAX SEN '!AE$4,'7. PGE_Efficacité'!$A$4:$AO$4,0)),0)</f>
        <v>0</v>
      </c>
      <c r="AF173" s="179">
        <f>VLOOKUP($A173,'7. PGE_Efficacité'!$A$6:$CY$266,(MATCH('[2]4.4 ACE MAX SEN '!AF$4,'7. PGE_Efficacité'!$A$4:$AO$4,0)),0)</f>
        <v>0</v>
      </c>
      <c r="AG173" s="179">
        <f>VLOOKUP($A173,'7. PGE_Efficacité'!$A$6:$CY$266,(MATCH('[2]4.4 ACE MAX SEN '!AG$4,'7. PGE_Efficacité'!$A$4:$AO$4,0)),0)</f>
        <v>0</v>
      </c>
      <c r="AH173" s="179" t="str">
        <f>VLOOKUP($A173,'7. PGE_Efficacité'!$A$6:$CY$266,(MATCH('[2]4.4 ACE MAX SEN '!AH$4,'7. PGE_Efficacité'!$A$4:$AO$4,0)),0)</f>
        <v>+</v>
      </c>
      <c r="AI173" s="179" t="str">
        <f>VLOOKUP($A173,'7. PGE_Efficacité'!$A$6:$CY$266,(MATCH('[2]4.4 ACE MAX SEN '!AI$4,'7. PGE_Efficacité'!$A$4:$AO$4,0)),0)</f>
        <v>+</v>
      </c>
      <c r="AJ173" s="179" t="str">
        <f>VLOOKUP($A173,'7. PGE_Efficacité'!$A$6:$CY$266,(MATCH('[2]4.4 ACE MAX SEN '!AJ$4,'7. PGE_Efficacité'!$A$4:$AO$4,0)),0)</f>
        <v>+</v>
      </c>
      <c r="AK173" s="179" t="str">
        <f>VLOOKUP($A173,'7. PGE_Efficacité'!$A$6:$CY$266,(MATCH('[2]4.4 ACE MAX SEN '!AK$4,'7. PGE_Efficacité'!$A$4:$AO$4,0)),0)</f>
        <v>+</v>
      </c>
    </row>
    <row r="174" spans="1:37" hidden="1" outlineLevel="2" x14ac:dyDescent="0.25">
      <c r="A174" s="65" t="s">
        <v>27</v>
      </c>
      <c r="B174" s="65" t="s">
        <v>763</v>
      </c>
      <c r="C174" s="65" t="s">
        <v>2008</v>
      </c>
      <c r="D174" s="65" t="s">
        <v>1521</v>
      </c>
      <c r="E174" s="65" t="s">
        <v>1290</v>
      </c>
      <c r="F174" s="70"/>
      <c r="G174" s="64">
        <f>VLOOKUP($B174,'7. PGE_Efficacité'!$A$6:$CY$266,(MATCH('[3]4.4 ACE MAX SEN '!G$4,'7. PGE_Efficacité'!$A$4:$AO$4,0)),0)</f>
        <v>0</v>
      </c>
      <c r="H174" s="64">
        <f>VLOOKUP($B174,'7. PGE_Efficacité'!$A$6:$CY$266,(MATCH('[3]4.4 ACE MAX SEN '!H$4,'7. PGE_Efficacité'!$A$4:$AO$4,0)),0)</f>
        <v>0</v>
      </c>
      <c r="I174" s="64">
        <f>VLOOKUP($B174,'7. PGE_Efficacité'!$A$6:$CY$266,(MATCH('[3]4.4 ACE MAX SEN '!I$4,'7. PGE_Efficacité'!$A$4:$AO$4,0)),0)</f>
        <v>0</v>
      </c>
      <c r="J174" s="64">
        <f>VLOOKUP($B174,'7. PGE_Efficacité'!$A$6:$CY$266,(MATCH('[3]4.4 ACE MAX SEN '!J$4,'7. PGE_Efficacité'!$A$4:$AO$4,0)),0)</f>
        <v>0</v>
      </c>
      <c r="K174" s="64">
        <f>VLOOKUP($B174,'7. PGE_Efficacité'!$A$6:$CY$266,(MATCH('[3]4.4 ACE MAX SEN '!K$4,'7. PGE_Efficacité'!$A$4:$AO$4,0)),0)</f>
        <v>0</v>
      </c>
      <c r="L174" s="64">
        <f>VLOOKUP($B174,'7. PGE_Efficacité'!$A$6:$CY$266,(MATCH('[3]4.4 ACE MAX SEN '!L$4,'7. PGE_Efficacité'!$A$4:$AO$4,0)),0)</f>
        <v>0</v>
      </c>
      <c r="M174" s="64">
        <f>VLOOKUP($B174,'7. PGE_Efficacité'!$A$6:$CY$266,(MATCH('[3]4.4 ACE MAX SEN '!M$4,'7. PGE_Efficacité'!$A$4:$AO$4,0)),0)</f>
        <v>0</v>
      </c>
      <c r="N174" s="64">
        <f>VLOOKUP($B174,'7. PGE_Efficacité'!$A$6:$CY$266,(MATCH('[3]4.4 ACE MAX SEN '!N$4,'7. PGE_Efficacité'!$A$4:$AO$4,0)),0)</f>
        <v>0</v>
      </c>
      <c r="O174" s="64">
        <f>VLOOKUP($B174,'7. PGE_Efficacité'!$A$6:$CY$266,(MATCH('[3]4.4 ACE MAX SEN '!O$4,'7. PGE_Efficacité'!$A$4:$AO$4,0)),0)</f>
        <v>0</v>
      </c>
      <c r="P174" s="64">
        <f>VLOOKUP($B174,'7. PGE_Efficacité'!$A$6:$CY$266,(MATCH('[3]4.4 ACE MAX SEN '!P$4,'7. PGE_Efficacité'!$A$4:$AO$4,0)),0)</f>
        <v>0</v>
      </c>
      <c r="Q174" s="64">
        <f>VLOOKUP($B174,'7. PGE_Efficacité'!$A$6:$CY$266,(MATCH('[3]4.4 ACE MAX SEN '!Q$4,'7. PGE_Efficacité'!$A$4:$AO$4,0)),0)</f>
        <v>0</v>
      </c>
      <c r="R174" s="64">
        <f>VLOOKUP($B174,'7. PGE_Efficacité'!$A$6:$CY$266,(MATCH('[3]4.4 ACE MAX SEN '!R$4,'7. PGE_Efficacité'!$A$4:$AO$4,0)),0)</f>
        <v>0</v>
      </c>
      <c r="S174" s="64">
        <f>VLOOKUP($B174,'7. PGE_Efficacité'!$A$6:$CY$266,(MATCH('[3]4.4 ACE MAX SEN '!S$4,'7. PGE_Efficacité'!$A$4:$AO$4,0)),0)</f>
        <v>0</v>
      </c>
      <c r="T174" s="64">
        <f>VLOOKUP($B174,'7. PGE_Efficacité'!$A$6:$CY$266,(MATCH('[3]4.4 ACE MAX SEN '!T$4,'7. PGE_Efficacité'!$A$4:$AO$4,0)),0)</f>
        <v>0</v>
      </c>
      <c r="U174" s="64">
        <f>VLOOKUP($B174,'7. PGE_Efficacité'!$A$6:$CY$266,(MATCH('[3]4.4 ACE MAX SEN '!U$4,'7. PGE_Efficacité'!$A$4:$AO$4,0)),0)</f>
        <v>0</v>
      </c>
      <c r="V174" s="64">
        <f>VLOOKUP($B174,'7. PGE_Efficacité'!$A$6:$CY$266,(MATCH('[3]4.4 ACE MAX SEN '!V$4,'7. PGE_Efficacité'!$A$4:$AO$4,0)),0)</f>
        <v>0</v>
      </c>
      <c r="W174" s="61">
        <f>VLOOKUP($B174,'7. PGE_Efficacité'!$A$6:$CY$266,(MATCH('[3]4.4 ACE MAX SEN '!W$4,'7. PGE_Efficacité'!$A$4:$AO$4,0)),0)</f>
        <v>0</v>
      </c>
      <c r="X174" s="61">
        <f>VLOOKUP($B174,'7. PGE_Efficacité'!$A$6:$CY$266,(MATCH('[3]4.4 ACE MAX SEN '!X$4,'7. PGE_Efficacité'!$A$4:$AO$4,0)),0)</f>
        <v>0</v>
      </c>
      <c r="Y174" s="61">
        <f>VLOOKUP($B174,'7. PGE_Efficacité'!$A$6:$CY$266,(MATCH('[3]4.4 ACE MAX SEN '!Y$4,'7. PGE_Efficacité'!$A$4:$AO$4,0)),0)</f>
        <v>0</v>
      </c>
      <c r="Z174" s="61">
        <f>VLOOKUP($B174,'7. PGE_Efficacité'!$A$6:$CY$266,(MATCH('[3]4.4 ACE MAX SEN '!Z$4,'7. PGE_Efficacité'!$A$4:$AO$4,0)),0)</f>
        <v>0</v>
      </c>
      <c r="AA174" s="61">
        <f>VLOOKUP($B174,'7. PGE_Efficacité'!$A$6:$CY$266,(MATCH('[3]4.4 ACE MAX SEN '!AA$4,'7. PGE_Efficacité'!$A$4:$AO$4,0)),0)</f>
        <v>0</v>
      </c>
      <c r="AB174" s="61">
        <f>VLOOKUP($B174,'7. PGE_Efficacité'!$A$6:$CY$266,(MATCH('[3]4.4 ACE MAX SEN '!AB$4,'7. PGE_Efficacité'!$A$4:$AO$4,0)),0)</f>
        <v>0</v>
      </c>
      <c r="AC174" s="61">
        <f>VLOOKUP($B174,'7. PGE_Efficacité'!$A$6:$CY$266,(MATCH('[3]4.4 ACE MAX SEN '!AC$4,'7. PGE_Efficacité'!$A$4:$AO$4,0)),0)</f>
        <v>0</v>
      </c>
      <c r="AD174" s="61">
        <f>VLOOKUP($B174,'7. PGE_Efficacité'!$A$6:$CY$266,(MATCH('[3]4.4 ACE MAX SEN '!AD$4,'7. PGE_Efficacité'!$A$4:$AO$4,0)),0)</f>
        <v>0</v>
      </c>
      <c r="AE174" s="61">
        <f>VLOOKUP($B174,'7. PGE_Efficacité'!$A$6:$CY$266,(MATCH('[3]4.4 ACE MAX SEN '!AE$4,'7. PGE_Efficacité'!$A$4:$AO$4,0)),0)</f>
        <v>0</v>
      </c>
      <c r="AF174" s="61">
        <f>VLOOKUP($B174,'7. PGE_Efficacité'!$A$6:$CY$266,(MATCH('[3]4.4 ACE MAX SEN '!AF$4,'7. PGE_Efficacité'!$A$4:$AO$4,0)),0)</f>
        <v>0</v>
      </c>
      <c r="AG174" s="61">
        <f>VLOOKUP($B174,'7. PGE_Efficacité'!$A$6:$CY$266,(MATCH('[3]4.4 ACE MAX SEN '!AG$4,'7. PGE_Efficacité'!$A$4:$AO$4,0)),0)</f>
        <v>0</v>
      </c>
      <c r="AH174" s="61">
        <f>VLOOKUP($B174,'7. PGE_Efficacité'!$A$6:$CY$266,(MATCH('[3]4.4 ACE MAX SEN '!AH$4,'7. PGE_Efficacité'!$A$4:$AO$4,0)),0)</f>
        <v>0</v>
      </c>
      <c r="AI174" s="61">
        <f>VLOOKUP($B174,'7. PGE_Efficacité'!$A$6:$CY$266,(MATCH('[3]4.4 ACE MAX SEN '!AI$4,'7. PGE_Efficacité'!$A$4:$AO$4,0)),0)</f>
        <v>0</v>
      </c>
      <c r="AJ174" s="61">
        <f>VLOOKUP($B174,'7. PGE_Efficacité'!$A$6:$CY$266,(MATCH('[3]4.4 ACE MAX SEN '!AJ$4,'7. PGE_Efficacité'!$A$4:$AO$4,0)),0)</f>
        <v>0</v>
      </c>
      <c r="AK174" s="61">
        <f>VLOOKUP($B174,'7. PGE_Efficacité'!$A$6:$CY$266,(MATCH('[3]4.4 ACE MAX SEN '!AK$4,'7. PGE_Efficacité'!$A$4:$AO$4,0)),0)</f>
        <v>0</v>
      </c>
    </row>
    <row r="175" spans="1:37" hidden="1" outlineLevel="2" x14ac:dyDescent="0.25">
      <c r="A175" s="65" t="s">
        <v>27</v>
      </c>
      <c r="B175" s="65" t="s">
        <v>767</v>
      </c>
      <c r="C175" s="65" t="s">
        <v>2009</v>
      </c>
      <c r="D175" s="65" t="s">
        <v>1521</v>
      </c>
      <c r="E175" s="65" t="s">
        <v>415</v>
      </c>
      <c r="F175" s="70"/>
      <c r="G175" s="64">
        <f>VLOOKUP($B175,'7. PGE_Efficacité'!$A$6:$CY$266,(MATCH('[3]4.4 ACE MAX SEN '!G$4,'7. PGE_Efficacité'!$A$4:$AO$4,0)),0)</f>
        <v>0</v>
      </c>
      <c r="H175" s="64">
        <f>VLOOKUP($B175,'7. PGE_Efficacité'!$A$6:$CY$266,(MATCH('[3]4.4 ACE MAX SEN '!H$4,'7. PGE_Efficacité'!$A$4:$AO$4,0)),0)</f>
        <v>0</v>
      </c>
      <c r="I175" s="64">
        <f>VLOOKUP($B175,'7. PGE_Efficacité'!$A$6:$CY$266,(MATCH('[3]4.4 ACE MAX SEN '!I$4,'7. PGE_Efficacité'!$A$4:$AO$4,0)),0)</f>
        <v>0</v>
      </c>
      <c r="J175" s="64">
        <f>VLOOKUP($B175,'7. PGE_Efficacité'!$A$6:$CY$266,(MATCH('[3]4.4 ACE MAX SEN '!J$4,'7. PGE_Efficacité'!$A$4:$AO$4,0)),0)</f>
        <v>0</v>
      </c>
      <c r="K175" s="64">
        <f>VLOOKUP($B175,'7. PGE_Efficacité'!$A$6:$CY$266,(MATCH('[3]4.4 ACE MAX SEN '!K$4,'7. PGE_Efficacité'!$A$4:$AO$4,0)),0)</f>
        <v>0</v>
      </c>
      <c r="L175" s="64">
        <f>VLOOKUP($B175,'7. PGE_Efficacité'!$A$6:$CY$266,(MATCH('[3]4.4 ACE MAX SEN '!L$4,'7. PGE_Efficacité'!$A$4:$AO$4,0)),0)</f>
        <v>0</v>
      </c>
      <c r="M175" s="64">
        <f>VLOOKUP($B175,'7. PGE_Efficacité'!$A$6:$CY$266,(MATCH('[3]4.4 ACE MAX SEN '!M$4,'7. PGE_Efficacité'!$A$4:$AO$4,0)),0)</f>
        <v>0</v>
      </c>
      <c r="N175" s="64">
        <f>VLOOKUP($B175,'7. PGE_Efficacité'!$A$6:$CY$266,(MATCH('[3]4.4 ACE MAX SEN '!N$4,'7. PGE_Efficacité'!$A$4:$AO$4,0)),0)</f>
        <v>0</v>
      </c>
      <c r="O175" s="64">
        <f>VLOOKUP($B175,'7. PGE_Efficacité'!$A$6:$CY$266,(MATCH('[3]4.4 ACE MAX SEN '!O$4,'7. PGE_Efficacité'!$A$4:$AO$4,0)),0)</f>
        <v>0</v>
      </c>
      <c r="P175" s="64">
        <f>VLOOKUP($B175,'7. PGE_Efficacité'!$A$6:$CY$266,(MATCH('[3]4.4 ACE MAX SEN '!P$4,'7. PGE_Efficacité'!$A$4:$AO$4,0)),0)</f>
        <v>0</v>
      </c>
      <c r="Q175" s="64">
        <f>VLOOKUP($B175,'7. PGE_Efficacité'!$A$6:$CY$266,(MATCH('[3]4.4 ACE MAX SEN '!Q$4,'7. PGE_Efficacité'!$A$4:$AO$4,0)),0)</f>
        <v>0</v>
      </c>
      <c r="R175" s="64">
        <f>VLOOKUP($B175,'7. PGE_Efficacité'!$A$6:$CY$266,(MATCH('[3]4.4 ACE MAX SEN '!R$4,'7. PGE_Efficacité'!$A$4:$AO$4,0)),0)</f>
        <v>0</v>
      </c>
      <c r="S175" s="64">
        <f>VLOOKUP($B175,'7. PGE_Efficacité'!$A$6:$CY$266,(MATCH('[3]4.4 ACE MAX SEN '!S$4,'7. PGE_Efficacité'!$A$4:$AO$4,0)),0)</f>
        <v>0</v>
      </c>
      <c r="T175" s="64">
        <f>VLOOKUP($B175,'7. PGE_Efficacité'!$A$6:$CY$266,(MATCH('[3]4.4 ACE MAX SEN '!T$4,'7. PGE_Efficacité'!$A$4:$AO$4,0)),0)</f>
        <v>0</v>
      </c>
      <c r="U175" s="64">
        <f>VLOOKUP($B175,'7. PGE_Efficacité'!$A$6:$CY$266,(MATCH('[3]4.4 ACE MAX SEN '!U$4,'7. PGE_Efficacité'!$A$4:$AO$4,0)),0)</f>
        <v>0</v>
      </c>
      <c r="V175" s="64">
        <f>VLOOKUP($B175,'7. PGE_Efficacité'!$A$6:$CY$266,(MATCH('[3]4.4 ACE MAX SEN '!V$4,'7. PGE_Efficacité'!$A$4:$AO$4,0)),0)</f>
        <v>0</v>
      </c>
      <c r="W175" s="61">
        <f>VLOOKUP($B175,'7. PGE_Efficacité'!$A$6:$CY$266,(MATCH('[3]4.4 ACE MAX SEN '!W$4,'7. PGE_Efficacité'!$A$4:$AO$4,0)),0)</f>
        <v>0</v>
      </c>
      <c r="X175" s="61">
        <f>VLOOKUP($B175,'7. PGE_Efficacité'!$A$6:$CY$266,(MATCH('[3]4.4 ACE MAX SEN '!X$4,'7. PGE_Efficacité'!$A$4:$AO$4,0)),0)</f>
        <v>0</v>
      </c>
      <c r="Y175" s="61">
        <f>VLOOKUP($B175,'7. PGE_Efficacité'!$A$6:$CY$266,(MATCH('[3]4.4 ACE MAX SEN '!Y$4,'7. PGE_Efficacité'!$A$4:$AO$4,0)),0)</f>
        <v>0</v>
      </c>
      <c r="Z175" s="61">
        <f>VLOOKUP($B175,'7. PGE_Efficacité'!$A$6:$CY$266,(MATCH('[3]4.4 ACE MAX SEN '!Z$4,'7. PGE_Efficacité'!$A$4:$AO$4,0)),0)</f>
        <v>0</v>
      </c>
      <c r="AA175" s="61">
        <f>VLOOKUP($B175,'7. PGE_Efficacité'!$A$6:$CY$266,(MATCH('[3]4.4 ACE MAX SEN '!AA$4,'7. PGE_Efficacité'!$A$4:$AO$4,0)),0)</f>
        <v>0</v>
      </c>
      <c r="AB175" s="61">
        <f>VLOOKUP($B175,'7. PGE_Efficacité'!$A$6:$CY$266,(MATCH('[3]4.4 ACE MAX SEN '!AB$4,'7. PGE_Efficacité'!$A$4:$AO$4,0)),0)</f>
        <v>0</v>
      </c>
      <c r="AC175" s="61">
        <f>VLOOKUP($B175,'7. PGE_Efficacité'!$A$6:$CY$266,(MATCH('[3]4.4 ACE MAX SEN '!AC$4,'7. PGE_Efficacité'!$A$4:$AO$4,0)),0)</f>
        <v>0</v>
      </c>
      <c r="AD175" s="61">
        <f>VLOOKUP($B175,'7. PGE_Efficacité'!$A$6:$CY$266,(MATCH('[3]4.4 ACE MAX SEN '!AD$4,'7. PGE_Efficacité'!$A$4:$AO$4,0)),0)</f>
        <v>0</v>
      </c>
      <c r="AE175" s="61">
        <f>VLOOKUP($B175,'7. PGE_Efficacité'!$A$6:$CY$266,(MATCH('[3]4.4 ACE MAX SEN '!AE$4,'7. PGE_Efficacité'!$A$4:$AO$4,0)),0)</f>
        <v>0</v>
      </c>
      <c r="AF175" s="61">
        <f>VLOOKUP($B175,'7. PGE_Efficacité'!$A$6:$CY$266,(MATCH('[3]4.4 ACE MAX SEN '!AF$4,'7. PGE_Efficacité'!$A$4:$AO$4,0)),0)</f>
        <v>0</v>
      </c>
      <c r="AG175" s="61">
        <f>VLOOKUP($B175,'7. PGE_Efficacité'!$A$6:$CY$266,(MATCH('[3]4.4 ACE MAX SEN '!AG$4,'7. PGE_Efficacité'!$A$4:$AO$4,0)),0)</f>
        <v>0</v>
      </c>
      <c r="AH175" s="61">
        <f>VLOOKUP($B175,'7. PGE_Efficacité'!$A$6:$CY$266,(MATCH('[3]4.4 ACE MAX SEN '!AH$4,'7. PGE_Efficacité'!$A$4:$AO$4,0)),0)</f>
        <v>0</v>
      </c>
      <c r="AI175" s="61">
        <f>VLOOKUP($B175,'7. PGE_Efficacité'!$A$6:$CY$266,(MATCH('[3]4.4 ACE MAX SEN '!AI$4,'7. PGE_Efficacité'!$A$4:$AO$4,0)),0)</f>
        <v>0</v>
      </c>
      <c r="AJ175" s="61">
        <f>VLOOKUP($B175,'7. PGE_Efficacité'!$A$6:$CY$266,(MATCH('[3]4.4 ACE MAX SEN '!AJ$4,'7. PGE_Efficacité'!$A$4:$AO$4,0)),0)</f>
        <v>0</v>
      </c>
      <c r="AK175" s="61">
        <f>VLOOKUP($B175,'7. PGE_Efficacité'!$A$6:$CY$266,(MATCH('[3]4.4 ACE MAX SEN '!AK$4,'7. PGE_Efficacité'!$A$4:$AO$4,0)),0)</f>
        <v>0</v>
      </c>
    </row>
    <row r="176" spans="1:37" hidden="1" outlineLevel="2" x14ac:dyDescent="0.25">
      <c r="A176" s="65" t="s">
        <v>27</v>
      </c>
      <c r="B176" s="65" t="s">
        <v>768</v>
      </c>
      <c r="C176" s="65" t="s">
        <v>2010</v>
      </c>
      <c r="D176" s="65" t="s">
        <v>1521</v>
      </c>
      <c r="E176" s="65" t="s">
        <v>415</v>
      </c>
      <c r="F176" s="70"/>
      <c r="G176" s="64">
        <f>VLOOKUP($B176,'7. PGE_Efficacité'!$A$6:$CY$266,(MATCH('[3]4.4 ACE MAX SEN '!G$4,'7. PGE_Efficacité'!$A$4:$AO$4,0)),0)</f>
        <v>0</v>
      </c>
      <c r="H176" s="64">
        <f>VLOOKUP($B176,'7. PGE_Efficacité'!$A$6:$CY$266,(MATCH('[3]4.4 ACE MAX SEN '!H$4,'7. PGE_Efficacité'!$A$4:$AO$4,0)),0)</f>
        <v>0</v>
      </c>
      <c r="I176" s="64">
        <f>VLOOKUP($B176,'7. PGE_Efficacité'!$A$6:$CY$266,(MATCH('[3]4.4 ACE MAX SEN '!I$4,'7. PGE_Efficacité'!$A$4:$AO$4,0)),0)</f>
        <v>0</v>
      </c>
      <c r="J176" s="64">
        <f>VLOOKUP($B176,'7. PGE_Efficacité'!$A$6:$CY$266,(MATCH('[3]4.4 ACE MAX SEN '!J$4,'7. PGE_Efficacité'!$A$4:$AO$4,0)),0)</f>
        <v>0</v>
      </c>
      <c r="K176" s="64">
        <f>VLOOKUP($B176,'7. PGE_Efficacité'!$A$6:$CY$266,(MATCH('[3]4.4 ACE MAX SEN '!K$4,'7. PGE_Efficacité'!$A$4:$AO$4,0)),0)</f>
        <v>0</v>
      </c>
      <c r="L176" s="64">
        <f>VLOOKUP($B176,'7. PGE_Efficacité'!$A$6:$CY$266,(MATCH('[3]4.4 ACE MAX SEN '!L$4,'7. PGE_Efficacité'!$A$4:$AO$4,0)),0)</f>
        <v>0</v>
      </c>
      <c r="M176" s="64">
        <f>VLOOKUP($B176,'7. PGE_Efficacité'!$A$6:$CY$266,(MATCH('[3]4.4 ACE MAX SEN '!M$4,'7. PGE_Efficacité'!$A$4:$AO$4,0)),0)</f>
        <v>0</v>
      </c>
      <c r="N176" s="64">
        <f>VLOOKUP($B176,'7. PGE_Efficacité'!$A$6:$CY$266,(MATCH('[3]4.4 ACE MAX SEN '!N$4,'7. PGE_Efficacité'!$A$4:$AO$4,0)),0)</f>
        <v>0</v>
      </c>
      <c r="O176" s="64">
        <f>VLOOKUP($B176,'7. PGE_Efficacité'!$A$6:$CY$266,(MATCH('[3]4.4 ACE MAX SEN '!O$4,'7. PGE_Efficacité'!$A$4:$AO$4,0)),0)</f>
        <v>0</v>
      </c>
      <c r="P176" s="64">
        <f>VLOOKUP($B176,'7. PGE_Efficacité'!$A$6:$CY$266,(MATCH('[3]4.4 ACE MAX SEN '!P$4,'7. PGE_Efficacité'!$A$4:$AO$4,0)),0)</f>
        <v>0</v>
      </c>
      <c r="Q176" s="64">
        <f>VLOOKUP($B176,'7. PGE_Efficacité'!$A$6:$CY$266,(MATCH('[3]4.4 ACE MAX SEN '!Q$4,'7. PGE_Efficacité'!$A$4:$AO$4,0)),0)</f>
        <v>0</v>
      </c>
      <c r="R176" s="64">
        <f>VLOOKUP($B176,'7. PGE_Efficacité'!$A$6:$CY$266,(MATCH('[3]4.4 ACE MAX SEN '!R$4,'7. PGE_Efficacité'!$A$4:$AO$4,0)),0)</f>
        <v>0</v>
      </c>
      <c r="S176" s="64">
        <f>VLOOKUP($B176,'7. PGE_Efficacité'!$A$6:$CY$266,(MATCH('[3]4.4 ACE MAX SEN '!S$4,'7. PGE_Efficacité'!$A$4:$AO$4,0)),0)</f>
        <v>0</v>
      </c>
      <c r="T176" s="64">
        <f>VLOOKUP($B176,'7. PGE_Efficacité'!$A$6:$CY$266,(MATCH('[3]4.4 ACE MAX SEN '!T$4,'7. PGE_Efficacité'!$A$4:$AO$4,0)),0)</f>
        <v>0</v>
      </c>
      <c r="U176" s="64">
        <f>VLOOKUP($B176,'7. PGE_Efficacité'!$A$6:$CY$266,(MATCH('[3]4.4 ACE MAX SEN '!U$4,'7. PGE_Efficacité'!$A$4:$AO$4,0)),0)</f>
        <v>0</v>
      </c>
      <c r="V176" s="64">
        <f>VLOOKUP($B176,'7. PGE_Efficacité'!$A$6:$CY$266,(MATCH('[3]4.4 ACE MAX SEN '!V$4,'7. PGE_Efficacité'!$A$4:$AO$4,0)),0)</f>
        <v>0</v>
      </c>
      <c r="W176" s="61">
        <f>VLOOKUP($B176,'7. PGE_Efficacité'!$A$6:$CY$266,(MATCH('[3]4.4 ACE MAX SEN '!W$4,'7. PGE_Efficacité'!$A$4:$AO$4,0)),0)</f>
        <v>0</v>
      </c>
      <c r="X176" s="61">
        <f>VLOOKUP($B176,'7. PGE_Efficacité'!$A$6:$CY$266,(MATCH('[3]4.4 ACE MAX SEN '!X$4,'7. PGE_Efficacité'!$A$4:$AO$4,0)),0)</f>
        <v>0</v>
      </c>
      <c r="Y176" s="61">
        <f>VLOOKUP($B176,'7. PGE_Efficacité'!$A$6:$CY$266,(MATCH('[3]4.4 ACE MAX SEN '!Y$4,'7. PGE_Efficacité'!$A$4:$AO$4,0)),0)</f>
        <v>0</v>
      </c>
      <c r="Z176" s="61">
        <f>VLOOKUP($B176,'7. PGE_Efficacité'!$A$6:$CY$266,(MATCH('[3]4.4 ACE MAX SEN '!Z$4,'7. PGE_Efficacité'!$A$4:$AO$4,0)),0)</f>
        <v>0</v>
      </c>
      <c r="AA176" s="61">
        <f>VLOOKUP($B176,'7. PGE_Efficacité'!$A$6:$CY$266,(MATCH('[3]4.4 ACE MAX SEN '!AA$4,'7. PGE_Efficacité'!$A$4:$AO$4,0)),0)</f>
        <v>0</v>
      </c>
      <c r="AB176" s="61">
        <f>VLOOKUP($B176,'7. PGE_Efficacité'!$A$6:$CY$266,(MATCH('[3]4.4 ACE MAX SEN '!AB$4,'7. PGE_Efficacité'!$A$4:$AO$4,0)),0)</f>
        <v>0</v>
      </c>
      <c r="AC176" s="61">
        <f>VLOOKUP($B176,'7. PGE_Efficacité'!$A$6:$CY$266,(MATCH('[3]4.4 ACE MAX SEN '!AC$4,'7. PGE_Efficacité'!$A$4:$AO$4,0)),0)</f>
        <v>0</v>
      </c>
      <c r="AD176" s="61">
        <f>VLOOKUP($B176,'7. PGE_Efficacité'!$A$6:$CY$266,(MATCH('[3]4.4 ACE MAX SEN '!AD$4,'7. PGE_Efficacité'!$A$4:$AO$4,0)),0)</f>
        <v>0</v>
      </c>
      <c r="AE176" s="61">
        <f>VLOOKUP($B176,'7. PGE_Efficacité'!$A$6:$CY$266,(MATCH('[3]4.4 ACE MAX SEN '!AE$4,'7. PGE_Efficacité'!$A$4:$AO$4,0)),0)</f>
        <v>0</v>
      </c>
      <c r="AF176" s="61">
        <f>VLOOKUP($B176,'7. PGE_Efficacité'!$A$6:$CY$266,(MATCH('[3]4.4 ACE MAX SEN '!AF$4,'7. PGE_Efficacité'!$A$4:$AO$4,0)),0)</f>
        <v>0</v>
      </c>
      <c r="AG176" s="61">
        <f>VLOOKUP($B176,'7. PGE_Efficacité'!$A$6:$CY$266,(MATCH('[3]4.4 ACE MAX SEN '!AG$4,'7. PGE_Efficacité'!$A$4:$AO$4,0)),0)</f>
        <v>0</v>
      </c>
      <c r="AH176" s="61">
        <f>VLOOKUP($B176,'7. PGE_Efficacité'!$A$6:$CY$266,(MATCH('[3]4.4 ACE MAX SEN '!AH$4,'7. PGE_Efficacité'!$A$4:$AO$4,0)),0)</f>
        <v>0</v>
      </c>
      <c r="AI176" s="61">
        <f>VLOOKUP($B176,'7. PGE_Efficacité'!$A$6:$CY$266,(MATCH('[3]4.4 ACE MAX SEN '!AI$4,'7. PGE_Efficacité'!$A$4:$AO$4,0)),0)</f>
        <v>0</v>
      </c>
      <c r="AJ176" s="61">
        <f>VLOOKUP($B176,'7. PGE_Efficacité'!$A$6:$CY$266,(MATCH('[3]4.4 ACE MAX SEN '!AJ$4,'7. PGE_Efficacité'!$A$4:$AO$4,0)),0)</f>
        <v>0</v>
      </c>
      <c r="AK176" s="61">
        <f>VLOOKUP($B176,'7. PGE_Efficacité'!$A$6:$CY$266,(MATCH('[3]4.4 ACE MAX SEN '!AK$4,'7. PGE_Efficacité'!$A$4:$AO$4,0)),0)</f>
        <v>0</v>
      </c>
    </row>
    <row r="177" spans="1:37" hidden="1" outlineLevel="2" x14ac:dyDescent="0.25">
      <c r="A177" s="65"/>
      <c r="B177" s="65" t="s">
        <v>769</v>
      </c>
      <c r="C177" s="65" t="s">
        <v>2011</v>
      </c>
      <c r="D177" s="65"/>
      <c r="E177" s="65" t="s">
        <v>416</v>
      </c>
      <c r="F177" s="70"/>
      <c r="G177" s="64"/>
      <c r="H177" s="64"/>
      <c r="I177" s="64"/>
      <c r="J177" s="64"/>
      <c r="K177" s="64"/>
      <c r="L177" s="64"/>
      <c r="M177" s="64"/>
      <c r="N177" s="64"/>
      <c r="O177" s="64"/>
      <c r="P177" s="64"/>
      <c r="Q177" s="64"/>
      <c r="R177" s="64"/>
      <c r="S177" s="64"/>
      <c r="T177" s="64"/>
      <c r="U177" s="64"/>
      <c r="V177" s="64"/>
      <c r="W177" s="61"/>
      <c r="X177" s="61"/>
      <c r="Y177" s="61"/>
      <c r="Z177" s="61"/>
      <c r="AA177" s="61"/>
      <c r="AB177" s="61"/>
      <c r="AC177" s="61"/>
      <c r="AD177" s="61"/>
      <c r="AE177" s="61"/>
      <c r="AF177" s="61"/>
      <c r="AG177" s="61"/>
      <c r="AH177" s="61"/>
      <c r="AI177" s="61"/>
      <c r="AJ177" s="61"/>
      <c r="AK177" s="61"/>
    </row>
    <row r="178" spans="1:37" hidden="1" outlineLevel="2" x14ac:dyDescent="0.25">
      <c r="A178" s="65" t="s">
        <v>27</v>
      </c>
      <c r="B178" s="65" t="s">
        <v>770</v>
      </c>
      <c r="C178" s="65" t="s">
        <v>2012</v>
      </c>
      <c r="D178" s="65" t="s">
        <v>1521</v>
      </c>
      <c r="E178" s="65" t="s">
        <v>415</v>
      </c>
      <c r="F178" s="70"/>
      <c r="G178" s="64">
        <f>VLOOKUP($B178,'7. PGE_Efficacité'!$A$6:$CY$266,(MATCH('[3]4.4 ACE MAX SEN '!G$4,'7. PGE_Efficacité'!$A$4:$AO$4,0)),0)</f>
        <v>0</v>
      </c>
      <c r="H178" s="64">
        <f>VLOOKUP($B178,'7. PGE_Efficacité'!$A$6:$CY$266,(MATCH('[3]4.4 ACE MAX SEN '!H$4,'7. PGE_Efficacité'!$A$4:$AO$4,0)),0)</f>
        <v>0</v>
      </c>
      <c r="I178" s="64">
        <f>VLOOKUP($B178,'7. PGE_Efficacité'!$A$6:$CY$266,(MATCH('[3]4.4 ACE MAX SEN '!I$4,'7. PGE_Efficacité'!$A$4:$AO$4,0)),0)</f>
        <v>0</v>
      </c>
      <c r="J178" s="64">
        <f>VLOOKUP($B178,'7. PGE_Efficacité'!$A$6:$CY$266,(MATCH('[3]4.4 ACE MAX SEN '!J$4,'7. PGE_Efficacité'!$A$4:$AO$4,0)),0)</f>
        <v>0</v>
      </c>
      <c r="K178" s="64">
        <f>VLOOKUP($B178,'7. PGE_Efficacité'!$A$6:$CY$266,(MATCH('[3]4.4 ACE MAX SEN '!K$4,'7. PGE_Efficacité'!$A$4:$AO$4,0)),0)</f>
        <v>0</v>
      </c>
      <c r="L178" s="64">
        <f>VLOOKUP($B178,'7. PGE_Efficacité'!$A$6:$CY$266,(MATCH('[3]4.4 ACE MAX SEN '!L$4,'7. PGE_Efficacité'!$A$4:$AO$4,0)),0)</f>
        <v>0</v>
      </c>
      <c r="M178" s="64">
        <f>VLOOKUP($B178,'7. PGE_Efficacité'!$A$6:$CY$266,(MATCH('[3]4.4 ACE MAX SEN '!M$4,'7. PGE_Efficacité'!$A$4:$AO$4,0)),0)</f>
        <v>0</v>
      </c>
      <c r="N178" s="64">
        <f>VLOOKUP($B178,'7. PGE_Efficacité'!$A$6:$CY$266,(MATCH('[3]4.4 ACE MAX SEN '!N$4,'7. PGE_Efficacité'!$A$4:$AO$4,0)),0)</f>
        <v>0</v>
      </c>
      <c r="O178" s="64">
        <f>VLOOKUP($B178,'7. PGE_Efficacité'!$A$6:$CY$266,(MATCH('[3]4.4 ACE MAX SEN '!O$4,'7. PGE_Efficacité'!$A$4:$AO$4,0)),0)</f>
        <v>0</v>
      </c>
      <c r="P178" s="64">
        <f>VLOOKUP($B178,'7. PGE_Efficacité'!$A$6:$CY$266,(MATCH('[3]4.4 ACE MAX SEN '!P$4,'7. PGE_Efficacité'!$A$4:$AO$4,0)),0)</f>
        <v>0</v>
      </c>
      <c r="Q178" s="64">
        <f>VLOOKUP($B178,'7. PGE_Efficacité'!$A$6:$CY$266,(MATCH('[3]4.4 ACE MAX SEN '!Q$4,'7. PGE_Efficacité'!$A$4:$AO$4,0)),0)</f>
        <v>0</v>
      </c>
      <c r="R178" s="64">
        <f>VLOOKUP($B178,'7. PGE_Efficacité'!$A$6:$CY$266,(MATCH('[3]4.4 ACE MAX SEN '!R$4,'7. PGE_Efficacité'!$A$4:$AO$4,0)),0)</f>
        <v>0</v>
      </c>
      <c r="S178" s="64">
        <f>VLOOKUP($B178,'7. PGE_Efficacité'!$A$6:$CY$266,(MATCH('[3]4.4 ACE MAX SEN '!S$4,'7. PGE_Efficacité'!$A$4:$AO$4,0)),0)</f>
        <v>0</v>
      </c>
      <c r="T178" s="64">
        <f>VLOOKUP($B178,'7. PGE_Efficacité'!$A$6:$CY$266,(MATCH('[3]4.4 ACE MAX SEN '!T$4,'7. PGE_Efficacité'!$A$4:$AO$4,0)),0)</f>
        <v>0</v>
      </c>
      <c r="U178" s="64">
        <f>VLOOKUP($B178,'7. PGE_Efficacité'!$A$6:$CY$266,(MATCH('[3]4.4 ACE MAX SEN '!U$4,'7. PGE_Efficacité'!$A$4:$AO$4,0)),0)</f>
        <v>0</v>
      </c>
      <c r="V178" s="64">
        <f>VLOOKUP($B178,'7. PGE_Efficacité'!$A$6:$CY$266,(MATCH('[3]4.4 ACE MAX SEN '!V$4,'7. PGE_Efficacité'!$A$4:$AO$4,0)),0)</f>
        <v>0</v>
      </c>
      <c r="W178" s="61">
        <f>VLOOKUP($B178,'7. PGE_Efficacité'!$A$6:$CY$266,(MATCH('[3]4.4 ACE MAX SEN '!W$4,'7. PGE_Efficacité'!$A$4:$AO$4,0)),0)</f>
        <v>0</v>
      </c>
      <c r="X178" s="61">
        <f>VLOOKUP($B178,'7. PGE_Efficacité'!$A$6:$CY$266,(MATCH('[3]4.4 ACE MAX SEN '!X$4,'7. PGE_Efficacité'!$A$4:$AO$4,0)),0)</f>
        <v>0</v>
      </c>
      <c r="Y178" s="61">
        <f>VLOOKUP($B178,'7. PGE_Efficacité'!$A$6:$CY$266,(MATCH('[3]4.4 ACE MAX SEN '!Y$4,'7. PGE_Efficacité'!$A$4:$AO$4,0)),0)</f>
        <v>0</v>
      </c>
      <c r="Z178" s="61">
        <f>VLOOKUP($B178,'7. PGE_Efficacité'!$A$6:$CY$266,(MATCH('[3]4.4 ACE MAX SEN '!Z$4,'7. PGE_Efficacité'!$A$4:$AO$4,0)),0)</f>
        <v>0</v>
      </c>
      <c r="AA178" s="61">
        <f>VLOOKUP($B178,'7. PGE_Efficacité'!$A$6:$CY$266,(MATCH('[3]4.4 ACE MAX SEN '!AA$4,'7. PGE_Efficacité'!$A$4:$AO$4,0)),0)</f>
        <v>0</v>
      </c>
      <c r="AB178" s="61">
        <f>VLOOKUP($B178,'7. PGE_Efficacité'!$A$6:$CY$266,(MATCH('[3]4.4 ACE MAX SEN '!AB$4,'7. PGE_Efficacité'!$A$4:$AO$4,0)),0)</f>
        <v>0</v>
      </c>
      <c r="AC178" s="61">
        <f>VLOOKUP($B178,'7. PGE_Efficacité'!$A$6:$CY$266,(MATCH('[3]4.4 ACE MAX SEN '!AC$4,'7. PGE_Efficacité'!$A$4:$AO$4,0)),0)</f>
        <v>0</v>
      </c>
      <c r="AD178" s="61">
        <f>VLOOKUP($B178,'7. PGE_Efficacité'!$A$6:$CY$266,(MATCH('[3]4.4 ACE MAX SEN '!AD$4,'7. PGE_Efficacité'!$A$4:$AO$4,0)),0)</f>
        <v>0</v>
      </c>
      <c r="AE178" s="61">
        <f>VLOOKUP($B178,'7. PGE_Efficacité'!$A$6:$CY$266,(MATCH('[3]4.4 ACE MAX SEN '!AE$4,'7. PGE_Efficacité'!$A$4:$AO$4,0)),0)</f>
        <v>0</v>
      </c>
      <c r="AF178" s="61">
        <f>VLOOKUP($B178,'7. PGE_Efficacité'!$A$6:$CY$266,(MATCH('[3]4.4 ACE MAX SEN '!AF$4,'7. PGE_Efficacité'!$A$4:$AO$4,0)),0)</f>
        <v>0</v>
      </c>
      <c r="AG178" s="61">
        <f>VLOOKUP($B178,'7. PGE_Efficacité'!$A$6:$CY$266,(MATCH('[3]4.4 ACE MAX SEN '!AG$4,'7. PGE_Efficacité'!$A$4:$AO$4,0)),0)</f>
        <v>0</v>
      </c>
      <c r="AH178" s="61">
        <f>VLOOKUP($B178,'7. PGE_Efficacité'!$A$6:$CY$266,(MATCH('[3]4.4 ACE MAX SEN '!AH$4,'7. PGE_Efficacité'!$A$4:$AO$4,0)),0)</f>
        <v>0</v>
      </c>
      <c r="AI178" s="61">
        <f>VLOOKUP($B178,'7. PGE_Efficacité'!$A$6:$CY$266,(MATCH('[3]4.4 ACE MAX SEN '!AI$4,'7. PGE_Efficacité'!$A$4:$AO$4,0)),0)</f>
        <v>0</v>
      </c>
      <c r="AJ178" s="61">
        <f>VLOOKUP($B178,'7. PGE_Efficacité'!$A$6:$CY$266,(MATCH('[3]4.4 ACE MAX SEN '!AJ$4,'7. PGE_Efficacité'!$A$4:$AO$4,0)),0)</f>
        <v>0</v>
      </c>
      <c r="AK178" s="61">
        <f>VLOOKUP($B178,'7. PGE_Efficacité'!$A$6:$CY$266,(MATCH('[3]4.4 ACE MAX SEN '!AK$4,'7. PGE_Efficacité'!$A$4:$AO$4,0)),0)</f>
        <v>0</v>
      </c>
    </row>
    <row r="179" spans="1:37" hidden="1" outlineLevel="2" x14ac:dyDescent="0.25">
      <c r="A179" s="65" t="s">
        <v>27</v>
      </c>
      <c r="B179" s="65" t="s">
        <v>771</v>
      </c>
      <c r="C179" s="65" t="s">
        <v>2013</v>
      </c>
      <c r="D179" s="65" t="s">
        <v>1521</v>
      </c>
      <c r="E179" s="65" t="s">
        <v>415</v>
      </c>
      <c r="F179" s="70"/>
      <c r="G179" s="64">
        <f>VLOOKUP($B179,'7. PGE_Efficacité'!$A$6:$CY$266,(MATCH('[3]4.4 ACE MAX SEN '!G$4,'7. PGE_Efficacité'!$A$4:$AO$4,0)),0)</f>
        <v>0</v>
      </c>
      <c r="H179" s="64">
        <f>VLOOKUP($B179,'7. PGE_Efficacité'!$A$6:$CY$266,(MATCH('[3]4.4 ACE MAX SEN '!H$4,'7. PGE_Efficacité'!$A$4:$AO$4,0)),0)</f>
        <v>0</v>
      </c>
      <c r="I179" s="64">
        <f>VLOOKUP($B179,'7. PGE_Efficacité'!$A$6:$CY$266,(MATCH('[3]4.4 ACE MAX SEN '!I$4,'7. PGE_Efficacité'!$A$4:$AO$4,0)),0)</f>
        <v>0</v>
      </c>
      <c r="J179" s="64">
        <f>VLOOKUP($B179,'7. PGE_Efficacité'!$A$6:$CY$266,(MATCH('[3]4.4 ACE MAX SEN '!J$4,'7. PGE_Efficacité'!$A$4:$AO$4,0)),0)</f>
        <v>0</v>
      </c>
      <c r="K179" s="64">
        <f>VLOOKUP($B179,'7. PGE_Efficacité'!$A$6:$CY$266,(MATCH('[3]4.4 ACE MAX SEN '!K$4,'7. PGE_Efficacité'!$A$4:$AO$4,0)),0)</f>
        <v>0</v>
      </c>
      <c r="L179" s="64">
        <f>VLOOKUP($B179,'7. PGE_Efficacité'!$A$6:$CY$266,(MATCH('[3]4.4 ACE MAX SEN '!L$4,'7. PGE_Efficacité'!$A$4:$AO$4,0)),0)</f>
        <v>0</v>
      </c>
      <c r="M179" s="64">
        <f>VLOOKUP($B179,'7. PGE_Efficacité'!$A$6:$CY$266,(MATCH('[3]4.4 ACE MAX SEN '!M$4,'7. PGE_Efficacité'!$A$4:$AO$4,0)),0)</f>
        <v>0</v>
      </c>
      <c r="N179" s="64">
        <f>VLOOKUP($B179,'7. PGE_Efficacité'!$A$6:$CY$266,(MATCH('[3]4.4 ACE MAX SEN '!N$4,'7. PGE_Efficacité'!$A$4:$AO$4,0)),0)</f>
        <v>0</v>
      </c>
      <c r="O179" s="64">
        <f>VLOOKUP($B179,'7. PGE_Efficacité'!$A$6:$CY$266,(MATCH('[3]4.4 ACE MAX SEN '!O$4,'7. PGE_Efficacité'!$A$4:$AO$4,0)),0)</f>
        <v>0</v>
      </c>
      <c r="P179" s="64">
        <f>VLOOKUP($B179,'7. PGE_Efficacité'!$A$6:$CY$266,(MATCH('[3]4.4 ACE MAX SEN '!P$4,'7. PGE_Efficacité'!$A$4:$AO$4,0)),0)</f>
        <v>0</v>
      </c>
      <c r="Q179" s="64">
        <f>VLOOKUP($B179,'7. PGE_Efficacité'!$A$6:$CY$266,(MATCH('[3]4.4 ACE MAX SEN '!Q$4,'7. PGE_Efficacité'!$A$4:$AO$4,0)),0)</f>
        <v>0</v>
      </c>
      <c r="R179" s="64">
        <f>VLOOKUP($B179,'7. PGE_Efficacité'!$A$6:$CY$266,(MATCH('[3]4.4 ACE MAX SEN '!R$4,'7. PGE_Efficacité'!$A$4:$AO$4,0)),0)</f>
        <v>0</v>
      </c>
      <c r="S179" s="64">
        <f>VLOOKUP($B179,'7. PGE_Efficacité'!$A$6:$CY$266,(MATCH('[3]4.4 ACE MAX SEN '!S$4,'7. PGE_Efficacité'!$A$4:$AO$4,0)),0)</f>
        <v>0</v>
      </c>
      <c r="T179" s="64">
        <f>VLOOKUP($B179,'7. PGE_Efficacité'!$A$6:$CY$266,(MATCH('[3]4.4 ACE MAX SEN '!T$4,'7. PGE_Efficacité'!$A$4:$AO$4,0)),0)</f>
        <v>0</v>
      </c>
      <c r="U179" s="64">
        <f>VLOOKUP($B179,'7. PGE_Efficacité'!$A$6:$CY$266,(MATCH('[3]4.4 ACE MAX SEN '!U$4,'7. PGE_Efficacité'!$A$4:$AO$4,0)),0)</f>
        <v>0</v>
      </c>
      <c r="V179" s="64">
        <f>VLOOKUP($B179,'7. PGE_Efficacité'!$A$6:$CY$266,(MATCH('[3]4.4 ACE MAX SEN '!V$4,'7. PGE_Efficacité'!$A$4:$AO$4,0)),0)</f>
        <v>0</v>
      </c>
      <c r="W179" s="61">
        <f>VLOOKUP($B179,'7. PGE_Efficacité'!$A$6:$CY$266,(MATCH('[3]4.4 ACE MAX SEN '!W$4,'7. PGE_Efficacité'!$A$4:$AO$4,0)),0)</f>
        <v>0</v>
      </c>
      <c r="X179" s="61">
        <f>VLOOKUP($B179,'7. PGE_Efficacité'!$A$6:$CY$266,(MATCH('[3]4.4 ACE MAX SEN '!X$4,'7. PGE_Efficacité'!$A$4:$AO$4,0)),0)</f>
        <v>0</v>
      </c>
      <c r="Y179" s="61">
        <f>VLOOKUP($B179,'7. PGE_Efficacité'!$A$6:$CY$266,(MATCH('[3]4.4 ACE MAX SEN '!Y$4,'7. PGE_Efficacité'!$A$4:$AO$4,0)),0)</f>
        <v>0</v>
      </c>
      <c r="Z179" s="61">
        <f>VLOOKUP($B179,'7. PGE_Efficacité'!$A$6:$CY$266,(MATCH('[3]4.4 ACE MAX SEN '!Z$4,'7. PGE_Efficacité'!$A$4:$AO$4,0)),0)</f>
        <v>0</v>
      </c>
      <c r="AA179" s="61">
        <f>VLOOKUP($B179,'7. PGE_Efficacité'!$A$6:$CY$266,(MATCH('[3]4.4 ACE MAX SEN '!AA$4,'7. PGE_Efficacité'!$A$4:$AO$4,0)),0)</f>
        <v>0</v>
      </c>
      <c r="AB179" s="61">
        <f>VLOOKUP($B179,'7. PGE_Efficacité'!$A$6:$CY$266,(MATCH('[3]4.4 ACE MAX SEN '!AB$4,'7. PGE_Efficacité'!$A$4:$AO$4,0)),0)</f>
        <v>0</v>
      </c>
      <c r="AC179" s="61">
        <f>VLOOKUP($B179,'7. PGE_Efficacité'!$A$6:$CY$266,(MATCH('[3]4.4 ACE MAX SEN '!AC$4,'7. PGE_Efficacité'!$A$4:$AO$4,0)),0)</f>
        <v>0</v>
      </c>
      <c r="AD179" s="61">
        <f>VLOOKUP($B179,'7. PGE_Efficacité'!$A$6:$CY$266,(MATCH('[3]4.4 ACE MAX SEN '!AD$4,'7. PGE_Efficacité'!$A$4:$AO$4,0)),0)</f>
        <v>0</v>
      </c>
      <c r="AE179" s="61">
        <f>VLOOKUP($B179,'7. PGE_Efficacité'!$A$6:$CY$266,(MATCH('[3]4.4 ACE MAX SEN '!AE$4,'7. PGE_Efficacité'!$A$4:$AO$4,0)),0)</f>
        <v>0</v>
      </c>
      <c r="AF179" s="61">
        <f>VLOOKUP($B179,'7. PGE_Efficacité'!$A$6:$CY$266,(MATCH('[3]4.4 ACE MAX SEN '!AF$4,'7. PGE_Efficacité'!$A$4:$AO$4,0)),0)</f>
        <v>0</v>
      </c>
      <c r="AG179" s="61">
        <f>VLOOKUP($B179,'7. PGE_Efficacité'!$A$6:$CY$266,(MATCH('[3]4.4 ACE MAX SEN '!AG$4,'7. PGE_Efficacité'!$A$4:$AO$4,0)),0)</f>
        <v>0</v>
      </c>
      <c r="AH179" s="61">
        <f>VLOOKUP($B179,'7. PGE_Efficacité'!$A$6:$CY$266,(MATCH('[3]4.4 ACE MAX SEN '!AH$4,'7. PGE_Efficacité'!$A$4:$AO$4,0)),0)</f>
        <v>0</v>
      </c>
      <c r="AI179" s="61">
        <f>VLOOKUP($B179,'7. PGE_Efficacité'!$A$6:$CY$266,(MATCH('[3]4.4 ACE MAX SEN '!AI$4,'7. PGE_Efficacité'!$A$4:$AO$4,0)),0)</f>
        <v>0</v>
      </c>
      <c r="AJ179" s="61">
        <f>VLOOKUP($B179,'7. PGE_Efficacité'!$A$6:$CY$266,(MATCH('[3]4.4 ACE MAX SEN '!AJ$4,'7. PGE_Efficacité'!$A$4:$AO$4,0)),0)</f>
        <v>0</v>
      </c>
      <c r="AK179" s="61">
        <f>VLOOKUP($B179,'7. PGE_Efficacité'!$A$6:$CY$266,(MATCH('[3]4.4 ACE MAX SEN '!AK$4,'7. PGE_Efficacité'!$A$4:$AO$4,0)),0)</f>
        <v>0</v>
      </c>
    </row>
    <row r="180" spans="1:37" hidden="1" outlineLevel="2" x14ac:dyDescent="0.25">
      <c r="A180" s="65" t="s">
        <v>27</v>
      </c>
      <c r="B180" s="65" t="s">
        <v>772</v>
      </c>
      <c r="C180" s="65" t="s">
        <v>2014</v>
      </c>
      <c r="D180" s="65" t="s">
        <v>1521</v>
      </c>
      <c r="E180" s="65" t="s">
        <v>415</v>
      </c>
      <c r="F180" s="70"/>
      <c r="G180" s="66">
        <f>VLOOKUP($B180,'7. PGE_Efficacité'!$A$6:$CY$266,(MATCH('[3]4.4 ACE MAX SEN '!G$4,'7. PGE_Efficacité'!$A$4:$AO$4,0)),0)</f>
        <v>0</v>
      </c>
      <c r="H180" s="66">
        <f>VLOOKUP($B180,'7. PGE_Efficacité'!$A$6:$CY$266,(MATCH('[3]4.4 ACE MAX SEN '!H$4,'7. PGE_Efficacité'!$A$4:$AO$4,0)),0)</f>
        <v>0</v>
      </c>
      <c r="I180" s="66">
        <f>VLOOKUP($B180,'7. PGE_Efficacité'!$A$6:$CY$266,(MATCH('[3]4.4 ACE MAX SEN '!I$4,'7. PGE_Efficacité'!$A$4:$AO$4,0)),0)</f>
        <v>0</v>
      </c>
      <c r="J180" s="66">
        <f>VLOOKUP($B180,'7. PGE_Efficacité'!$A$6:$CY$266,(MATCH('[3]4.4 ACE MAX SEN '!J$4,'7. PGE_Efficacité'!$A$4:$AO$4,0)),0)</f>
        <v>0</v>
      </c>
      <c r="K180" s="66">
        <f>VLOOKUP($B180,'7. PGE_Efficacité'!$A$6:$CY$266,(MATCH('[3]4.4 ACE MAX SEN '!K$4,'7. PGE_Efficacité'!$A$4:$AO$4,0)),0)</f>
        <v>0</v>
      </c>
      <c r="L180" s="66">
        <f>VLOOKUP($B180,'7. PGE_Efficacité'!$A$6:$CY$266,(MATCH('[3]4.4 ACE MAX SEN '!L$4,'7. PGE_Efficacité'!$A$4:$AO$4,0)),0)</f>
        <v>0</v>
      </c>
      <c r="M180" s="66">
        <f>VLOOKUP($B180,'7. PGE_Efficacité'!$A$6:$CY$266,(MATCH('[3]4.4 ACE MAX SEN '!M$4,'7. PGE_Efficacité'!$A$4:$AO$4,0)),0)</f>
        <v>0</v>
      </c>
      <c r="N180" s="66">
        <f>VLOOKUP($B180,'7. PGE_Efficacité'!$A$6:$CY$266,(MATCH('[3]4.4 ACE MAX SEN '!N$4,'7. PGE_Efficacité'!$A$4:$AO$4,0)),0)</f>
        <v>0</v>
      </c>
      <c r="O180" s="66">
        <f>VLOOKUP($B180,'7. PGE_Efficacité'!$A$6:$CY$266,(MATCH('[3]4.4 ACE MAX SEN '!O$4,'7. PGE_Efficacité'!$A$4:$AO$4,0)),0)</f>
        <v>0</v>
      </c>
      <c r="P180" s="66">
        <f>VLOOKUP($B180,'7. PGE_Efficacité'!$A$6:$CY$266,(MATCH('[3]4.4 ACE MAX SEN '!P$4,'7. PGE_Efficacité'!$A$4:$AO$4,0)),0)</f>
        <v>0</v>
      </c>
      <c r="Q180" s="66">
        <f>VLOOKUP($B180,'7. PGE_Efficacité'!$A$6:$CY$266,(MATCH('[3]4.4 ACE MAX SEN '!Q$4,'7. PGE_Efficacité'!$A$4:$AO$4,0)),0)</f>
        <v>0</v>
      </c>
      <c r="R180" s="66">
        <f>VLOOKUP($B180,'7. PGE_Efficacité'!$A$6:$CY$266,(MATCH('[3]4.4 ACE MAX SEN '!R$4,'7. PGE_Efficacité'!$A$4:$AO$4,0)),0)</f>
        <v>0</v>
      </c>
      <c r="S180" s="66">
        <f>VLOOKUP($B180,'7. PGE_Efficacité'!$A$6:$CY$266,(MATCH('[3]4.4 ACE MAX SEN '!S$4,'7. PGE_Efficacité'!$A$4:$AO$4,0)),0)</f>
        <v>0</v>
      </c>
      <c r="T180" s="66">
        <f>VLOOKUP($B180,'7. PGE_Efficacité'!$A$6:$CY$266,(MATCH('[3]4.4 ACE MAX SEN '!T$4,'7. PGE_Efficacité'!$A$4:$AO$4,0)),0)</f>
        <v>0</v>
      </c>
      <c r="U180" s="66">
        <f>VLOOKUP($B180,'7. PGE_Efficacité'!$A$6:$CY$266,(MATCH('[3]4.4 ACE MAX SEN '!U$4,'7. PGE_Efficacité'!$A$4:$AO$4,0)),0)</f>
        <v>0</v>
      </c>
      <c r="V180" s="66">
        <f>VLOOKUP($B180,'7. PGE_Efficacité'!$A$6:$CY$266,(MATCH('[3]4.4 ACE MAX SEN '!V$4,'7. PGE_Efficacité'!$A$4:$AO$4,0)),0)</f>
        <v>0</v>
      </c>
      <c r="W180" s="62">
        <f>VLOOKUP($B180,'7. PGE_Efficacité'!$A$6:$CY$266,(MATCH('[3]4.4 ACE MAX SEN '!W$4,'7. PGE_Efficacité'!$A$4:$AO$4,0)),0)</f>
        <v>0</v>
      </c>
      <c r="X180" s="62">
        <f>VLOOKUP($B180,'7. PGE_Efficacité'!$A$6:$CY$266,(MATCH('[3]4.4 ACE MAX SEN '!X$4,'7. PGE_Efficacité'!$A$4:$AO$4,0)),0)</f>
        <v>0</v>
      </c>
      <c r="Y180" s="62">
        <f>VLOOKUP($B180,'7. PGE_Efficacité'!$A$6:$CY$266,(MATCH('[3]4.4 ACE MAX SEN '!Y$4,'7. PGE_Efficacité'!$A$4:$AO$4,0)),0)</f>
        <v>0</v>
      </c>
      <c r="Z180" s="62">
        <f>VLOOKUP($B180,'7. PGE_Efficacité'!$A$6:$CY$266,(MATCH('[3]4.4 ACE MAX SEN '!Z$4,'7. PGE_Efficacité'!$A$4:$AO$4,0)),0)</f>
        <v>0</v>
      </c>
      <c r="AA180" s="62">
        <f>VLOOKUP($B180,'7. PGE_Efficacité'!$A$6:$CY$266,(MATCH('[3]4.4 ACE MAX SEN '!AA$4,'7. PGE_Efficacité'!$A$4:$AO$4,0)),0)</f>
        <v>0</v>
      </c>
      <c r="AB180" s="62">
        <f>VLOOKUP($B180,'7. PGE_Efficacité'!$A$6:$CY$266,(MATCH('[3]4.4 ACE MAX SEN '!AB$4,'7. PGE_Efficacité'!$A$4:$AO$4,0)),0)</f>
        <v>0</v>
      </c>
      <c r="AC180" s="62">
        <f>VLOOKUP($B180,'7. PGE_Efficacité'!$A$6:$CY$266,(MATCH('[3]4.4 ACE MAX SEN '!AC$4,'7. PGE_Efficacité'!$A$4:$AO$4,0)),0)</f>
        <v>0</v>
      </c>
      <c r="AD180" s="62">
        <f>VLOOKUP($B180,'7. PGE_Efficacité'!$A$6:$CY$266,(MATCH('[3]4.4 ACE MAX SEN '!AD$4,'7. PGE_Efficacité'!$A$4:$AO$4,0)),0)</f>
        <v>0</v>
      </c>
      <c r="AE180" s="62">
        <f>VLOOKUP($B180,'7. PGE_Efficacité'!$A$6:$CY$266,(MATCH('[3]4.4 ACE MAX SEN '!AE$4,'7. PGE_Efficacité'!$A$4:$AO$4,0)),0)</f>
        <v>0</v>
      </c>
      <c r="AF180" s="62">
        <f>VLOOKUP($B180,'7. PGE_Efficacité'!$A$6:$CY$266,(MATCH('[3]4.4 ACE MAX SEN '!AF$4,'7. PGE_Efficacité'!$A$4:$AO$4,0)),0)</f>
        <v>0</v>
      </c>
      <c r="AG180" s="62">
        <f>VLOOKUP($B180,'7. PGE_Efficacité'!$A$6:$CY$266,(MATCH('[3]4.4 ACE MAX SEN '!AG$4,'7. PGE_Efficacité'!$A$4:$AO$4,0)),0)</f>
        <v>0</v>
      </c>
      <c r="AH180" s="62">
        <f>VLOOKUP($B180,'7. PGE_Efficacité'!$A$6:$CY$266,(MATCH('[3]4.4 ACE MAX SEN '!AH$4,'7. PGE_Efficacité'!$A$4:$AO$4,0)),0)</f>
        <v>0</v>
      </c>
      <c r="AI180" s="62">
        <f>VLOOKUP($B180,'7. PGE_Efficacité'!$A$6:$CY$266,(MATCH('[3]4.4 ACE MAX SEN '!AI$4,'7. PGE_Efficacité'!$A$4:$AO$4,0)),0)</f>
        <v>0</v>
      </c>
      <c r="AJ180" s="62">
        <f>VLOOKUP($B180,'7. PGE_Efficacité'!$A$6:$CY$266,(MATCH('[3]4.4 ACE MAX SEN '!AJ$4,'7. PGE_Efficacité'!$A$4:$AO$4,0)),0)</f>
        <v>0</v>
      </c>
      <c r="AK180" s="62">
        <f>VLOOKUP($B180,'7. PGE_Efficacité'!$A$6:$CY$266,(MATCH('[3]4.4 ACE MAX SEN '!AK$4,'7. PGE_Efficacité'!$A$4:$AO$4,0)),0)</f>
        <v>0</v>
      </c>
    </row>
    <row r="181" spans="1:37" hidden="1" outlineLevel="2" x14ac:dyDescent="0.25">
      <c r="A181" s="65" t="s">
        <v>27</v>
      </c>
      <c r="B181" s="65" t="s">
        <v>773</v>
      </c>
      <c r="C181" s="65" t="s">
        <v>3004</v>
      </c>
      <c r="D181" s="65" t="s">
        <v>1521</v>
      </c>
      <c r="E181" s="65" t="s">
        <v>415</v>
      </c>
      <c r="F181" s="70"/>
      <c r="G181" s="66">
        <f>VLOOKUP($B181,'7. PGE_Efficacité'!$A$6:$CY$266,(MATCH('[3]4.4 ACE MAX SEN '!G$4,'7. PGE_Efficacité'!$A$4:$AO$4,0)),0)</f>
        <v>0</v>
      </c>
      <c r="H181" s="66">
        <f>VLOOKUP($B181,'7. PGE_Efficacité'!$A$6:$CY$266,(MATCH('[3]4.4 ACE MAX SEN '!H$4,'7. PGE_Efficacité'!$A$4:$AO$4,0)),0)</f>
        <v>0</v>
      </c>
      <c r="I181" s="66">
        <f>VLOOKUP($B181,'7. PGE_Efficacité'!$A$6:$CY$266,(MATCH('[3]4.4 ACE MAX SEN '!I$4,'7. PGE_Efficacité'!$A$4:$AO$4,0)),0)</f>
        <v>0</v>
      </c>
      <c r="J181" s="66">
        <f>VLOOKUP($B181,'7. PGE_Efficacité'!$A$6:$CY$266,(MATCH('[3]4.4 ACE MAX SEN '!J$4,'7. PGE_Efficacité'!$A$4:$AO$4,0)),0)</f>
        <v>0</v>
      </c>
      <c r="K181" s="66">
        <f>VLOOKUP($B181,'7. PGE_Efficacité'!$A$6:$CY$266,(MATCH('[3]4.4 ACE MAX SEN '!K$4,'7. PGE_Efficacité'!$A$4:$AO$4,0)),0)</f>
        <v>0</v>
      </c>
      <c r="L181" s="66">
        <f>VLOOKUP($B181,'7. PGE_Efficacité'!$A$6:$CY$266,(MATCH('[3]4.4 ACE MAX SEN '!L$4,'7. PGE_Efficacité'!$A$4:$AO$4,0)),0)</f>
        <v>0</v>
      </c>
      <c r="M181" s="66">
        <f>VLOOKUP($B181,'7. PGE_Efficacité'!$A$6:$CY$266,(MATCH('[3]4.4 ACE MAX SEN '!M$4,'7. PGE_Efficacité'!$A$4:$AO$4,0)),0)</f>
        <v>0</v>
      </c>
      <c r="N181" s="66">
        <f>VLOOKUP($B181,'7. PGE_Efficacité'!$A$6:$CY$266,(MATCH('[3]4.4 ACE MAX SEN '!N$4,'7. PGE_Efficacité'!$A$4:$AO$4,0)),0)</f>
        <v>0</v>
      </c>
      <c r="O181" s="66">
        <f>VLOOKUP($B181,'7. PGE_Efficacité'!$A$6:$CY$266,(MATCH('[3]4.4 ACE MAX SEN '!O$4,'7. PGE_Efficacité'!$A$4:$AO$4,0)),0)</f>
        <v>0</v>
      </c>
      <c r="P181" s="66">
        <f>VLOOKUP($B181,'7. PGE_Efficacité'!$A$6:$CY$266,(MATCH('[3]4.4 ACE MAX SEN '!P$4,'7. PGE_Efficacité'!$A$4:$AO$4,0)),0)</f>
        <v>0</v>
      </c>
      <c r="Q181" s="66">
        <f>VLOOKUP($B181,'7. PGE_Efficacité'!$A$6:$CY$266,(MATCH('[3]4.4 ACE MAX SEN '!Q$4,'7. PGE_Efficacité'!$A$4:$AO$4,0)),0)</f>
        <v>0</v>
      </c>
      <c r="R181" s="66">
        <f>VLOOKUP($B181,'7. PGE_Efficacité'!$A$6:$CY$266,(MATCH('[3]4.4 ACE MAX SEN '!R$4,'7. PGE_Efficacité'!$A$4:$AO$4,0)),0)</f>
        <v>0</v>
      </c>
      <c r="S181" s="66">
        <f>VLOOKUP($B181,'7. PGE_Efficacité'!$A$6:$CY$266,(MATCH('[3]4.4 ACE MAX SEN '!S$4,'7. PGE_Efficacité'!$A$4:$AO$4,0)),0)</f>
        <v>0</v>
      </c>
      <c r="T181" s="66">
        <f>VLOOKUP($B181,'7. PGE_Efficacité'!$A$6:$CY$266,(MATCH('[3]4.4 ACE MAX SEN '!T$4,'7. PGE_Efficacité'!$A$4:$AO$4,0)),0)</f>
        <v>0</v>
      </c>
      <c r="U181" s="66">
        <f>VLOOKUP($B181,'7. PGE_Efficacité'!$A$6:$CY$266,(MATCH('[3]4.4 ACE MAX SEN '!U$4,'7. PGE_Efficacité'!$A$4:$AO$4,0)),0)</f>
        <v>0</v>
      </c>
      <c r="V181" s="66">
        <f>VLOOKUP($B181,'7. PGE_Efficacité'!$A$6:$CY$266,(MATCH('[3]4.4 ACE MAX SEN '!V$4,'7. PGE_Efficacité'!$A$4:$AO$4,0)),0)</f>
        <v>0</v>
      </c>
      <c r="W181" s="62">
        <f>VLOOKUP($B181,'7. PGE_Efficacité'!$A$6:$CY$266,(MATCH('[3]4.4 ACE MAX SEN '!W$4,'7. PGE_Efficacité'!$A$4:$AO$4,0)),0)</f>
        <v>0</v>
      </c>
      <c r="X181" s="62">
        <f>VLOOKUP($B181,'7. PGE_Efficacité'!$A$6:$CY$266,(MATCH('[3]4.4 ACE MAX SEN '!X$4,'7. PGE_Efficacité'!$A$4:$AO$4,0)),0)</f>
        <v>0</v>
      </c>
      <c r="Y181" s="62">
        <f>VLOOKUP($B181,'7. PGE_Efficacité'!$A$6:$CY$266,(MATCH('[3]4.4 ACE MAX SEN '!Y$4,'7. PGE_Efficacité'!$A$4:$AO$4,0)),0)</f>
        <v>0</v>
      </c>
      <c r="Z181" s="62">
        <f>VLOOKUP($B181,'7. PGE_Efficacité'!$A$6:$CY$266,(MATCH('[3]4.4 ACE MAX SEN '!Z$4,'7. PGE_Efficacité'!$A$4:$AO$4,0)),0)</f>
        <v>0</v>
      </c>
      <c r="AA181" s="62">
        <f>VLOOKUP($B181,'7. PGE_Efficacité'!$A$6:$CY$266,(MATCH('[3]4.4 ACE MAX SEN '!AA$4,'7. PGE_Efficacité'!$A$4:$AO$4,0)),0)</f>
        <v>0</v>
      </c>
      <c r="AB181" s="62">
        <f>VLOOKUP($B181,'7. PGE_Efficacité'!$A$6:$CY$266,(MATCH('[3]4.4 ACE MAX SEN '!AB$4,'7. PGE_Efficacité'!$A$4:$AO$4,0)),0)</f>
        <v>0</v>
      </c>
      <c r="AC181" s="62">
        <f>VLOOKUP($B181,'7. PGE_Efficacité'!$A$6:$CY$266,(MATCH('[3]4.4 ACE MAX SEN '!AC$4,'7. PGE_Efficacité'!$A$4:$AO$4,0)),0)</f>
        <v>0</v>
      </c>
      <c r="AD181" s="62">
        <f>VLOOKUP($B181,'7. PGE_Efficacité'!$A$6:$CY$266,(MATCH('[3]4.4 ACE MAX SEN '!AD$4,'7. PGE_Efficacité'!$A$4:$AO$4,0)),0)</f>
        <v>0</v>
      </c>
      <c r="AE181" s="62">
        <f>VLOOKUP($B181,'7. PGE_Efficacité'!$A$6:$CY$266,(MATCH('[3]4.4 ACE MAX SEN '!AE$4,'7. PGE_Efficacité'!$A$4:$AO$4,0)),0)</f>
        <v>0</v>
      </c>
      <c r="AF181" s="62">
        <f>VLOOKUP($B181,'7. PGE_Efficacité'!$A$6:$CY$266,(MATCH('[3]4.4 ACE MAX SEN '!AF$4,'7. PGE_Efficacité'!$A$4:$AO$4,0)),0)</f>
        <v>0</v>
      </c>
      <c r="AG181" s="62">
        <f>VLOOKUP($B181,'7. PGE_Efficacité'!$A$6:$CY$266,(MATCH('[3]4.4 ACE MAX SEN '!AG$4,'7. PGE_Efficacité'!$A$4:$AO$4,0)),0)</f>
        <v>0</v>
      </c>
      <c r="AH181" s="62">
        <f>VLOOKUP($B181,'7. PGE_Efficacité'!$A$6:$CY$266,(MATCH('[3]4.4 ACE MAX SEN '!AH$4,'7. PGE_Efficacité'!$A$4:$AO$4,0)),0)</f>
        <v>0</v>
      </c>
      <c r="AI181" s="62">
        <f>VLOOKUP($B181,'7. PGE_Efficacité'!$A$6:$CY$266,(MATCH('[3]4.4 ACE MAX SEN '!AI$4,'7. PGE_Efficacité'!$A$4:$AO$4,0)),0)</f>
        <v>0</v>
      </c>
      <c r="AJ181" s="62">
        <f>VLOOKUP($B181,'7. PGE_Efficacité'!$A$6:$CY$266,(MATCH('[3]4.4 ACE MAX SEN '!AJ$4,'7. PGE_Efficacité'!$A$4:$AO$4,0)),0)</f>
        <v>0</v>
      </c>
      <c r="AK181" s="62">
        <f>VLOOKUP($B181,'7. PGE_Efficacité'!$A$6:$CY$266,(MATCH('[3]4.4 ACE MAX SEN '!AK$4,'7. PGE_Efficacité'!$A$4:$AO$4,0)),0)</f>
        <v>0</v>
      </c>
    </row>
    <row r="182" spans="1:37" hidden="1" outlineLevel="2" x14ac:dyDescent="0.25">
      <c r="A182" s="65" t="s">
        <v>27</v>
      </c>
      <c r="B182" s="65" t="s">
        <v>774</v>
      </c>
      <c r="C182" s="65" t="s">
        <v>3005</v>
      </c>
      <c r="D182" s="65" t="s">
        <v>1521</v>
      </c>
      <c r="E182" s="65" t="s">
        <v>415</v>
      </c>
      <c r="F182" s="70"/>
      <c r="G182" s="64">
        <f>VLOOKUP($B182,'7. PGE_Efficacité'!$A$6:$CY$266,(MATCH('[3]4.4 ACE MAX SEN '!G$4,'7. PGE_Efficacité'!$A$4:$AO$4,0)),0)</f>
        <v>0</v>
      </c>
      <c r="H182" s="64">
        <f>VLOOKUP($B182,'7. PGE_Efficacité'!$A$6:$CY$266,(MATCH('[3]4.4 ACE MAX SEN '!H$4,'7. PGE_Efficacité'!$A$4:$AO$4,0)),0)</f>
        <v>0</v>
      </c>
      <c r="I182" s="64">
        <f>VLOOKUP($B182,'7. PGE_Efficacité'!$A$6:$CY$266,(MATCH('[3]4.4 ACE MAX SEN '!I$4,'7. PGE_Efficacité'!$A$4:$AO$4,0)),0)</f>
        <v>0</v>
      </c>
      <c r="J182" s="64">
        <f>VLOOKUP($B182,'7. PGE_Efficacité'!$A$6:$CY$266,(MATCH('[3]4.4 ACE MAX SEN '!J$4,'7. PGE_Efficacité'!$A$4:$AO$4,0)),0)</f>
        <v>0</v>
      </c>
      <c r="K182" s="64">
        <f>VLOOKUP($B182,'7. PGE_Efficacité'!$A$6:$CY$266,(MATCH('[3]4.4 ACE MAX SEN '!K$4,'7. PGE_Efficacité'!$A$4:$AO$4,0)),0)</f>
        <v>0</v>
      </c>
      <c r="L182" s="64">
        <f>VLOOKUP($B182,'7. PGE_Efficacité'!$A$6:$CY$266,(MATCH('[3]4.4 ACE MAX SEN '!L$4,'7. PGE_Efficacité'!$A$4:$AO$4,0)),0)</f>
        <v>0</v>
      </c>
      <c r="M182" s="64">
        <f>VLOOKUP($B182,'7. PGE_Efficacité'!$A$6:$CY$266,(MATCH('[3]4.4 ACE MAX SEN '!M$4,'7. PGE_Efficacité'!$A$4:$AO$4,0)),0)</f>
        <v>0</v>
      </c>
      <c r="N182" s="64">
        <f>VLOOKUP($B182,'7. PGE_Efficacité'!$A$6:$CY$266,(MATCH('[3]4.4 ACE MAX SEN '!N$4,'7. PGE_Efficacité'!$A$4:$AO$4,0)),0)</f>
        <v>0</v>
      </c>
      <c r="O182" s="64">
        <f>VLOOKUP($B182,'7. PGE_Efficacité'!$A$6:$CY$266,(MATCH('[3]4.4 ACE MAX SEN '!O$4,'7. PGE_Efficacité'!$A$4:$AO$4,0)),0)</f>
        <v>0</v>
      </c>
      <c r="P182" s="64">
        <f>VLOOKUP($B182,'7. PGE_Efficacité'!$A$6:$CY$266,(MATCH('[3]4.4 ACE MAX SEN '!P$4,'7. PGE_Efficacité'!$A$4:$AO$4,0)),0)</f>
        <v>0</v>
      </c>
      <c r="Q182" s="64">
        <f>VLOOKUP($B182,'7. PGE_Efficacité'!$A$6:$CY$266,(MATCH('[3]4.4 ACE MAX SEN '!Q$4,'7. PGE_Efficacité'!$A$4:$AO$4,0)),0)</f>
        <v>0</v>
      </c>
      <c r="R182" s="64">
        <f>VLOOKUP($B182,'7. PGE_Efficacité'!$A$6:$CY$266,(MATCH('[3]4.4 ACE MAX SEN '!R$4,'7. PGE_Efficacité'!$A$4:$AO$4,0)),0)</f>
        <v>0</v>
      </c>
      <c r="S182" s="64">
        <f>VLOOKUP($B182,'7. PGE_Efficacité'!$A$6:$CY$266,(MATCH('[3]4.4 ACE MAX SEN '!S$4,'7. PGE_Efficacité'!$A$4:$AO$4,0)),0)</f>
        <v>0</v>
      </c>
      <c r="T182" s="64">
        <f>VLOOKUP($B182,'7. PGE_Efficacité'!$A$6:$CY$266,(MATCH('[3]4.4 ACE MAX SEN '!T$4,'7. PGE_Efficacité'!$A$4:$AO$4,0)),0)</f>
        <v>0</v>
      </c>
      <c r="U182" s="64">
        <f>VLOOKUP($B182,'7. PGE_Efficacité'!$A$6:$CY$266,(MATCH('[3]4.4 ACE MAX SEN '!U$4,'7. PGE_Efficacité'!$A$4:$AO$4,0)),0)</f>
        <v>0</v>
      </c>
      <c r="V182" s="64">
        <f>VLOOKUP($B182,'7. PGE_Efficacité'!$A$6:$CY$266,(MATCH('[3]4.4 ACE MAX SEN '!V$4,'7. PGE_Efficacité'!$A$4:$AO$4,0)),0)</f>
        <v>0</v>
      </c>
      <c r="W182" s="61">
        <f>VLOOKUP($B182,'7. PGE_Efficacité'!$A$6:$CY$266,(MATCH('[3]4.4 ACE MAX SEN '!W$4,'7. PGE_Efficacité'!$A$4:$AO$4,0)),0)</f>
        <v>0</v>
      </c>
      <c r="X182" s="61">
        <f>VLOOKUP($B182,'7. PGE_Efficacité'!$A$6:$CY$266,(MATCH('[3]4.4 ACE MAX SEN '!X$4,'7. PGE_Efficacité'!$A$4:$AO$4,0)),0)</f>
        <v>0</v>
      </c>
      <c r="Y182" s="61">
        <f>VLOOKUP($B182,'7. PGE_Efficacité'!$A$6:$CY$266,(MATCH('[3]4.4 ACE MAX SEN '!Y$4,'7. PGE_Efficacité'!$A$4:$AO$4,0)),0)</f>
        <v>0</v>
      </c>
      <c r="Z182" s="61">
        <f>VLOOKUP($B182,'7. PGE_Efficacité'!$A$6:$CY$266,(MATCH('[3]4.4 ACE MAX SEN '!Z$4,'7. PGE_Efficacité'!$A$4:$AO$4,0)),0)</f>
        <v>0</v>
      </c>
      <c r="AA182" s="61">
        <f>VLOOKUP($B182,'7. PGE_Efficacité'!$A$6:$CY$266,(MATCH('[3]4.4 ACE MAX SEN '!AA$4,'7. PGE_Efficacité'!$A$4:$AO$4,0)),0)</f>
        <v>0</v>
      </c>
      <c r="AB182" s="61">
        <f>VLOOKUP($B182,'7. PGE_Efficacité'!$A$6:$CY$266,(MATCH('[3]4.4 ACE MAX SEN '!AB$4,'7. PGE_Efficacité'!$A$4:$AO$4,0)),0)</f>
        <v>0</v>
      </c>
      <c r="AC182" s="61">
        <f>VLOOKUP($B182,'7. PGE_Efficacité'!$A$6:$CY$266,(MATCH('[3]4.4 ACE MAX SEN '!AC$4,'7. PGE_Efficacité'!$A$4:$AO$4,0)),0)</f>
        <v>0</v>
      </c>
      <c r="AD182" s="61">
        <f>VLOOKUP($B182,'7. PGE_Efficacité'!$A$6:$CY$266,(MATCH('[3]4.4 ACE MAX SEN '!AD$4,'7. PGE_Efficacité'!$A$4:$AO$4,0)),0)</f>
        <v>0</v>
      </c>
      <c r="AE182" s="61">
        <f>VLOOKUP($B182,'7. PGE_Efficacité'!$A$6:$CY$266,(MATCH('[3]4.4 ACE MAX SEN '!AE$4,'7. PGE_Efficacité'!$A$4:$AO$4,0)),0)</f>
        <v>0</v>
      </c>
      <c r="AF182" s="61">
        <f>VLOOKUP($B182,'7. PGE_Efficacité'!$A$6:$CY$266,(MATCH('[3]4.4 ACE MAX SEN '!AF$4,'7. PGE_Efficacité'!$A$4:$AO$4,0)),0)</f>
        <v>0</v>
      </c>
      <c r="AG182" s="61">
        <f>VLOOKUP($B182,'7. PGE_Efficacité'!$A$6:$CY$266,(MATCH('[3]4.4 ACE MAX SEN '!AG$4,'7. PGE_Efficacité'!$A$4:$AO$4,0)),0)</f>
        <v>0</v>
      </c>
      <c r="AH182" s="61">
        <f>VLOOKUP($B182,'7. PGE_Efficacité'!$A$6:$CY$266,(MATCH('[3]4.4 ACE MAX SEN '!AH$4,'7. PGE_Efficacité'!$A$4:$AO$4,0)),0)</f>
        <v>0</v>
      </c>
      <c r="AI182" s="61">
        <f>VLOOKUP($B182,'7. PGE_Efficacité'!$A$6:$CY$266,(MATCH('[3]4.4 ACE MAX SEN '!AI$4,'7. PGE_Efficacité'!$A$4:$AO$4,0)),0)</f>
        <v>0</v>
      </c>
      <c r="AJ182" s="61">
        <f>VLOOKUP($B182,'7. PGE_Efficacité'!$A$6:$CY$266,(MATCH('[3]4.4 ACE MAX SEN '!AJ$4,'7. PGE_Efficacité'!$A$4:$AO$4,0)),0)</f>
        <v>0</v>
      </c>
      <c r="AK182" s="61">
        <f>VLOOKUP($B182,'7. PGE_Efficacité'!$A$6:$CY$266,(MATCH('[3]4.4 ACE MAX SEN '!AK$4,'7. PGE_Efficacité'!$A$4:$AO$4,0)),0)</f>
        <v>0</v>
      </c>
    </row>
    <row r="183" spans="1:37" hidden="1" outlineLevel="2" x14ac:dyDescent="0.25">
      <c r="A183" s="65" t="s">
        <v>27</v>
      </c>
      <c r="B183" s="65" t="s">
        <v>764</v>
      </c>
      <c r="C183" s="65" t="s">
        <v>3006</v>
      </c>
      <c r="D183" s="65" t="s">
        <v>1521</v>
      </c>
      <c r="E183" s="65" t="s">
        <v>415</v>
      </c>
      <c r="F183" s="70"/>
      <c r="G183" s="66">
        <f>VLOOKUP($B183,'7. PGE_Efficacité'!$A$6:$CY$266,(MATCH('[3]4.4 ACE MAX SEN '!G$4,'7. PGE_Efficacité'!$A$4:$AO$4,0)),0)</f>
        <v>0</v>
      </c>
      <c r="H183" s="66">
        <f>VLOOKUP($B183,'7. PGE_Efficacité'!$A$6:$CY$266,(MATCH('[3]4.4 ACE MAX SEN '!H$4,'7. PGE_Efficacité'!$A$4:$AO$4,0)),0)</f>
        <v>0</v>
      </c>
      <c r="I183" s="66">
        <f>VLOOKUP($B183,'7. PGE_Efficacité'!$A$6:$CY$266,(MATCH('[3]4.4 ACE MAX SEN '!I$4,'7. PGE_Efficacité'!$A$4:$AO$4,0)),0)</f>
        <v>0</v>
      </c>
      <c r="J183" s="66">
        <f>VLOOKUP($B183,'7. PGE_Efficacité'!$A$6:$CY$266,(MATCH('[3]4.4 ACE MAX SEN '!J$4,'7. PGE_Efficacité'!$A$4:$AO$4,0)),0)</f>
        <v>0</v>
      </c>
      <c r="K183" s="66">
        <f>VLOOKUP($B183,'7. PGE_Efficacité'!$A$6:$CY$266,(MATCH('[3]4.4 ACE MAX SEN '!K$4,'7. PGE_Efficacité'!$A$4:$AO$4,0)),0)</f>
        <v>0</v>
      </c>
      <c r="L183" s="66">
        <f>VLOOKUP($B183,'7. PGE_Efficacité'!$A$6:$CY$266,(MATCH('[3]4.4 ACE MAX SEN '!L$4,'7. PGE_Efficacité'!$A$4:$AO$4,0)),0)</f>
        <v>0</v>
      </c>
      <c r="M183" s="66">
        <f>VLOOKUP($B183,'7. PGE_Efficacité'!$A$6:$CY$266,(MATCH('[3]4.4 ACE MAX SEN '!M$4,'7. PGE_Efficacité'!$A$4:$AO$4,0)),0)</f>
        <v>0</v>
      </c>
      <c r="N183" s="66">
        <f>VLOOKUP($B183,'7. PGE_Efficacité'!$A$6:$CY$266,(MATCH('[3]4.4 ACE MAX SEN '!N$4,'7. PGE_Efficacité'!$A$4:$AO$4,0)),0)</f>
        <v>0</v>
      </c>
      <c r="O183" s="66">
        <f>VLOOKUP($B183,'7. PGE_Efficacité'!$A$6:$CY$266,(MATCH('[3]4.4 ACE MAX SEN '!O$4,'7. PGE_Efficacité'!$A$4:$AO$4,0)),0)</f>
        <v>0</v>
      </c>
      <c r="P183" s="66">
        <f>VLOOKUP($B183,'7. PGE_Efficacité'!$A$6:$CY$266,(MATCH('[3]4.4 ACE MAX SEN '!P$4,'7. PGE_Efficacité'!$A$4:$AO$4,0)),0)</f>
        <v>0</v>
      </c>
      <c r="Q183" s="66">
        <f>VLOOKUP($B183,'7. PGE_Efficacité'!$A$6:$CY$266,(MATCH('[3]4.4 ACE MAX SEN '!Q$4,'7. PGE_Efficacité'!$A$4:$AO$4,0)),0)</f>
        <v>0</v>
      </c>
      <c r="R183" s="66">
        <f>VLOOKUP($B183,'7. PGE_Efficacité'!$A$6:$CY$266,(MATCH('[3]4.4 ACE MAX SEN '!R$4,'7. PGE_Efficacité'!$A$4:$AO$4,0)),0)</f>
        <v>0</v>
      </c>
      <c r="S183" s="66">
        <f>VLOOKUP($B183,'7. PGE_Efficacité'!$A$6:$CY$266,(MATCH('[3]4.4 ACE MAX SEN '!S$4,'7. PGE_Efficacité'!$A$4:$AO$4,0)),0)</f>
        <v>0</v>
      </c>
      <c r="T183" s="66">
        <f>VLOOKUP($B183,'7. PGE_Efficacité'!$A$6:$CY$266,(MATCH('[3]4.4 ACE MAX SEN '!T$4,'7. PGE_Efficacité'!$A$4:$AO$4,0)),0)</f>
        <v>0</v>
      </c>
      <c r="U183" s="66">
        <f>VLOOKUP($B183,'7. PGE_Efficacité'!$A$6:$CY$266,(MATCH('[3]4.4 ACE MAX SEN '!U$4,'7. PGE_Efficacité'!$A$4:$AO$4,0)),0)</f>
        <v>0</v>
      </c>
      <c r="V183" s="66">
        <f>VLOOKUP($B183,'7. PGE_Efficacité'!$A$6:$CY$266,(MATCH('[3]4.4 ACE MAX SEN '!V$4,'7. PGE_Efficacité'!$A$4:$AO$4,0)),0)</f>
        <v>0</v>
      </c>
      <c r="W183" s="62">
        <f>VLOOKUP($B183,'7. PGE_Efficacité'!$A$6:$CY$266,(MATCH('[3]4.4 ACE MAX SEN '!W$4,'7. PGE_Efficacité'!$A$4:$AO$4,0)),0)</f>
        <v>0</v>
      </c>
      <c r="X183" s="62">
        <f>VLOOKUP($B183,'7. PGE_Efficacité'!$A$6:$CY$266,(MATCH('[3]4.4 ACE MAX SEN '!X$4,'7. PGE_Efficacité'!$A$4:$AO$4,0)),0)</f>
        <v>0</v>
      </c>
      <c r="Y183" s="62">
        <f>VLOOKUP($B183,'7. PGE_Efficacité'!$A$6:$CY$266,(MATCH('[3]4.4 ACE MAX SEN '!Y$4,'7. PGE_Efficacité'!$A$4:$AO$4,0)),0)</f>
        <v>0</v>
      </c>
      <c r="Z183" s="62">
        <f>VLOOKUP($B183,'7. PGE_Efficacité'!$A$6:$CY$266,(MATCH('[3]4.4 ACE MAX SEN '!Z$4,'7. PGE_Efficacité'!$A$4:$AO$4,0)),0)</f>
        <v>0</v>
      </c>
      <c r="AA183" s="62">
        <f>VLOOKUP($B183,'7. PGE_Efficacité'!$A$6:$CY$266,(MATCH('[3]4.4 ACE MAX SEN '!AA$4,'7. PGE_Efficacité'!$A$4:$AO$4,0)),0)</f>
        <v>0</v>
      </c>
      <c r="AB183" s="62">
        <f>VLOOKUP($B183,'7. PGE_Efficacité'!$A$6:$CY$266,(MATCH('[3]4.4 ACE MAX SEN '!AB$4,'7. PGE_Efficacité'!$A$4:$AO$4,0)),0)</f>
        <v>0</v>
      </c>
      <c r="AC183" s="62">
        <f>VLOOKUP($B183,'7. PGE_Efficacité'!$A$6:$CY$266,(MATCH('[3]4.4 ACE MAX SEN '!AC$4,'7. PGE_Efficacité'!$A$4:$AO$4,0)),0)</f>
        <v>0</v>
      </c>
      <c r="AD183" s="62">
        <f>VLOOKUP($B183,'7. PGE_Efficacité'!$A$6:$CY$266,(MATCH('[3]4.4 ACE MAX SEN '!AD$4,'7. PGE_Efficacité'!$A$4:$AO$4,0)),0)</f>
        <v>0</v>
      </c>
      <c r="AE183" s="62">
        <f>VLOOKUP($B183,'7. PGE_Efficacité'!$A$6:$CY$266,(MATCH('[3]4.4 ACE MAX SEN '!AE$4,'7. PGE_Efficacité'!$A$4:$AO$4,0)),0)</f>
        <v>0</v>
      </c>
      <c r="AF183" s="62">
        <f>VLOOKUP($B183,'7. PGE_Efficacité'!$A$6:$CY$266,(MATCH('[3]4.4 ACE MAX SEN '!AF$4,'7. PGE_Efficacité'!$A$4:$AO$4,0)),0)</f>
        <v>0</v>
      </c>
      <c r="AG183" s="62">
        <f>VLOOKUP($B183,'7. PGE_Efficacité'!$A$6:$CY$266,(MATCH('[3]4.4 ACE MAX SEN '!AG$4,'7. PGE_Efficacité'!$A$4:$AO$4,0)),0)</f>
        <v>0</v>
      </c>
      <c r="AH183" s="62">
        <f>VLOOKUP($B183,'7. PGE_Efficacité'!$A$6:$CY$266,(MATCH('[3]4.4 ACE MAX SEN '!AH$4,'7. PGE_Efficacité'!$A$4:$AO$4,0)),0)</f>
        <v>0</v>
      </c>
      <c r="AI183" s="62">
        <f>VLOOKUP($B183,'7. PGE_Efficacité'!$A$6:$CY$266,(MATCH('[3]4.4 ACE MAX SEN '!AI$4,'7. PGE_Efficacité'!$A$4:$AO$4,0)),0)</f>
        <v>0</v>
      </c>
      <c r="AJ183" s="62">
        <f>VLOOKUP($B183,'7. PGE_Efficacité'!$A$6:$CY$266,(MATCH('[3]4.4 ACE MAX SEN '!AJ$4,'7. PGE_Efficacité'!$A$4:$AO$4,0)),0)</f>
        <v>0</v>
      </c>
      <c r="AK183" s="62">
        <f>VLOOKUP($B183,'7. PGE_Efficacité'!$A$6:$CY$266,(MATCH('[3]4.4 ACE MAX SEN '!AK$4,'7. PGE_Efficacité'!$A$4:$AO$4,0)),0)</f>
        <v>0</v>
      </c>
    </row>
    <row r="184" spans="1:37" hidden="1" outlineLevel="2" x14ac:dyDescent="0.25">
      <c r="A184" s="65" t="s">
        <v>27</v>
      </c>
      <c r="B184" s="65" t="s">
        <v>765</v>
      </c>
      <c r="C184" s="65" t="s">
        <v>2016</v>
      </c>
      <c r="D184" s="65" t="s">
        <v>1521</v>
      </c>
      <c r="E184" s="65" t="s">
        <v>415</v>
      </c>
      <c r="F184" s="70"/>
      <c r="G184" s="64">
        <f>VLOOKUP($B184,'7. PGE_Efficacité'!$A$6:$CY$266,(MATCH('[3]4.4 ACE MAX SEN '!G$4,'7. PGE_Efficacité'!$A$4:$AO$4,0)),0)</f>
        <v>0</v>
      </c>
      <c r="H184" s="64">
        <f>VLOOKUP($B184,'7. PGE_Efficacité'!$A$6:$CY$266,(MATCH('[3]4.4 ACE MAX SEN '!H$4,'7. PGE_Efficacité'!$A$4:$AO$4,0)),0)</f>
        <v>0</v>
      </c>
      <c r="I184" s="64">
        <f>VLOOKUP($B184,'7. PGE_Efficacité'!$A$6:$CY$266,(MATCH('[3]4.4 ACE MAX SEN '!I$4,'7. PGE_Efficacité'!$A$4:$AO$4,0)),0)</f>
        <v>0</v>
      </c>
      <c r="J184" s="64">
        <f>VLOOKUP($B184,'7. PGE_Efficacité'!$A$6:$CY$266,(MATCH('[3]4.4 ACE MAX SEN '!J$4,'7. PGE_Efficacité'!$A$4:$AO$4,0)),0)</f>
        <v>0</v>
      </c>
      <c r="K184" s="64">
        <f>VLOOKUP($B184,'7. PGE_Efficacité'!$A$6:$CY$266,(MATCH('[3]4.4 ACE MAX SEN '!K$4,'7. PGE_Efficacité'!$A$4:$AO$4,0)),0)</f>
        <v>0</v>
      </c>
      <c r="L184" s="64">
        <f>VLOOKUP($B184,'7. PGE_Efficacité'!$A$6:$CY$266,(MATCH('[3]4.4 ACE MAX SEN '!L$4,'7. PGE_Efficacité'!$A$4:$AO$4,0)),0)</f>
        <v>0</v>
      </c>
      <c r="M184" s="64">
        <f>VLOOKUP($B184,'7. PGE_Efficacité'!$A$6:$CY$266,(MATCH('[3]4.4 ACE MAX SEN '!M$4,'7. PGE_Efficacité'!$A$4:$AO$4,0)),0)</f>
        <v>0</v>
      </c>
      <c r="N184" s="64">
        <f>VLOOKUP($B184,'7. PGE_Efficacité'!$A$6:$CY$266,(MATCH('[3]4.4 ACE MAX SEN '!N$4,'7. PGE_Efficacité'!$A$4:$AO$4,0)),0)</f>
        <v>0</v>
      </c>
      <c r="O184" s="64">
        <f>VLOOKUP($B184,'7. PGE_Efficacité'!$A$6:$CY$266,(MATCH('[3]4.4 ACE MAX SEN '!O$4,'7. PGE_Efficacité'!$A$4:$AO$4,0)),0)</f>
        <v>0</v>
      </c>
      <c r="P184" s="64">
        <f>VLOOKUP($B184,'7. PGE_Efficacité'!$A$6:$CY$266,(MATCH('[3]4.4 ACE MAX SEN '!P$4,'7. PGE_Efficacité'!$A$4:$AO$4,0)),0)</f>
        <v>0</v>
      </c>
      <c r="Q184" s="64">
        <f>VLOOKUP($B184,'7. PGE_Efficacité'!$A$6:$CY$266,(MATCH('[3]4.4 ACE MAX SEN '!Q$4,'7. PGE_Efficacité'!$A$4:$AO$4,0)),0)</f>
        <v>0</v>
      </c>
      <c r="R184" s="64">
        <f>VLOOKUP($B184,'7. PGE_Efficacité'!$A$6:$CY$266,(MATCH('[3]4.4 ACE MAX SEN '!R$4,'7. PGE_Efficacité'!$A$4:$AO$4,0)),0)</f>
        <v>0</v>
      </c>
      <c r="S184" s="64">
        <f>VLOOKUP($B184,'7. PGE_Efficacité'!$A$6:$CY$266,(MATCH('[3]4.4 ACE MAX SEN '!S$4,'7. PGE_Efficacité'!$A$4:$AO$4,0)),0)</f>
        <v>0</v>
      </c>
      <c r="T184" s="64">
        <f>VLOOKUP($B184,'7. PGE_Efficacité'!$A$6:$CY$266,(MATCH('[3]4.4 ACE MAX SEN '!T$4,'7. PGE_Efficacité'!$A$4:$AO$4,0)),0)</f>
        <v>0</v>
      </c>
      <c r="U184" s="64">
        <f>VLOOKUP($B184,'7. PGE_Efficacité'!$A$6:$CY$266,(MATCH('[3]4.4 ACE MAX SEN '!U$4,'7. PGE_Efficacité'!$A$4:$AO$4,0)),0)</f>
        <v>0</v>
      </c>
      <c r="V184" s="64">
        <f>VLOOKUP($B184,'7. PGE_Efficacité'!$A$6:$CY$266,(MATCH('[3]4.4 ACE MAX SEN '!V$4,'7. PGE_Efficacité'!$A$4:$AO$4,0)),0)</f>
        <v>0</v>
      </c>
      <c r="W184" s="61">
        <f>VLOOKUP($B184,'7. PGE_Efficacité'!$A$6:$CY$266,(MATCH('[3]4.4 ACE MAX SEN '!W$4,'7. PGE_Efficacité'!$A$4:$AO$4,0)),0)</f>
        <v>0</v>
      </c>
      <c r="X184" s="61">
        <f>VLOOKUP($B184,'7. PGE_Efficacité'!$A$6:$CY$266,(MATCH('[3]4.4 ACE MAX SEN '!X$4,'7. PGE_Efficacité'!$A$4:$AO$4,0)),0)</f>
        <v>0</v>
      </c>
      <c r="Y184" s="61">
        <f>VLOOKUP($B184,'7. PGE_Efficacité'!$A$6:$CY$266,(MATCH('[3]4.4 ACE MAX SEN '!Y$4,'7. PGE_Efficacité'!$A$4:$AO$4,0)),0)</f>
        <v>0</v>
      </c>
      <c r="Z184" s="61">
        <f>VLOOKUP($B184,'7. PGE_Efficacité'!$A$6:$CY$266,(MATCH('[3]4.4 ACE MAX SEN '!Z$4,'7. PGE_Efficacité'!$A$4:$AO$4,0)),0)</f>
        <v>0</v>
      </c>
      <c r="AA184" s="61">
        <f>VLOOKUP($B184,'7. PGE_Efficacité'!$A$6:$CY$266,(MATCH('[3]4.4 ACE MAX SEN '!AA$4,'7. PGE_Efficacité'!$A$4:$AO$4,0)),0)</f>
        <v>0</v>
      </c>
      <c r="AB184" s="61">
        <f>VLOOKUP($B184,'7. PGE_Efficacité'!$A$6:$CY$266,(MATCH('[3]4.4 ACE MAX SEN '!AB$4,'7. PGE_Efficacité'!$A$4:$AO$4,0)),0)</f>
        <v>0</v>
      </c>
      <c r="AC184" s="61">
        <f>VLOOKUP($B184,'7. PGE_Efficacité'!$A$6:$CY$266,(MATCH('[3]4.4 ACE MAX SEN '!AC$4,'7. PGE_Efficacité'!$A$4:$AO$4,0)),0)</f>
        <v>0</v>
      </c>
      <c r="AD184" s="61">
        <f>VLOOKUP($B184,'7. PGE_Efficacité'!$A$6:$CY$266,(MATCH('[3]4.4 ACE MAX SEN '!AD$4,'7. PGE_Efficacité'!$A$4:$AO$4,0)),0)</f>
        <v>0</v>
      </c>
      <c r="AE184" s="61">
        <f>VLOOKUP($B184,'7. PGE_Efficacité'!$A$6:$CY$266,(MATCH('[3]4.4 ACE MAX SEN '!AE$4,'7. PGE_Efficacité'!$A$4:$AO$4,0)),0)</f>
        <v>0</v>
      </c>
      <c r="AF184" s="61">
        <f>VLOOKUP($B184,'7. PGE_Efficacité'!$A$6:$CY$266,(MATCH('[3]4.4 ACE MAX SEN '!AF$4,'7. PGE_Efficacité'!$A$4:$AO$4,0)),0)</f>
        <v>0</v>
      </c>
      <c r="AG184" s="61">
        <f>VLOOKUP($B184,'7. PGE_Efficacité'!$A$6:$CY$266,(MATCH('[3]4.4 ACE MAX SEN '!AG$4,'7. PGE_Efficacité'!$A$4:$AO$4,0)),0)</f>
        <v>0</v>
      </c>
      <c r="AH184" s="61">
        <f>VLOOKUP($B184,'7. PGE_Efficacité'!$A$6:$CY$266,(MATCH('[3]4.4 ACE MAX SEN '!AH$4,'7. PGE_Efficacité'!$A$4:$AO$4,0)),0)</f>
        <v>0</v>
      </c>
      <c r="AI184" s="61">
        <f>VLOOKUP($B184,'7. PGE_Efficacité'!$A$6:$CY$266,(MATCH('[3]4.4 ACE MAX SEN '!AI$4,'7. PGE_Efficacité'!$A$4:$AO$4,0)),0)</f>
        <v>0</v>
      </c>
      <c r="AJ184" s="61">
        <f>VLOOKUP($B184,'7. PGE_Efficacité'!$A$6:$CY$266,(MATCH('[3]4.4 ACE MAX SEN '!AJ$4,'7. PGE_Efficacité'!$A$4:$AO$4,0)),0)</f>
        <v>0</v>
      </c>
      <c r="AK184" s="61">
        <f>VLOOKUP($B184,'7. PGE_Efficacité'!$A$6:$CY$266,(MATCH('[3]4.4 ACE MAX SEN '!AK$4,'7. PGE_Efficacité'!$A$4:$AO$4,0)),0)</f>
        <v>0</v>
      </c>
    </row>
    <row r="185" spans="1:37" hidden="1" outlineLevel="2" x14ac:dyDescent="0.25">
      <c r="A185" s="65"/>
      <c r="B185" s="65" t="s">
        <v>766</v>
      </c>
      <c r="C185" s="65" t="s">
        <v>2019</v>
      </c>
      <c r="D185" s="65"/>
      <c r="E185" s="65" t="s">
        <v>416</v>
      </c>
      <c r="F185" s="70"/>
      <c r="G185" s="64"/>
      <c r="H185" s="64"/>
      <c r="I185" s="64"/>
      <c r="J185" s="64"/>
      <c r="K185" s="64"/>
      <c r="L185" s="64"/>
      <c r="M185" s="64"/>
      <c r="N185" s="64"/>
      <c r="O185" s="64"/>
      <c r="P185" s="64"/>
      <c r="Q185" s="64"/>
      <c r="R185" s="64"/>
      <c r="S185" s="64"/>
      <c r="T185" s="64"/>
      <c r="U185" s="64"/>
      <c r="V185" s="64"/>
      <c r="W185" s="61"/>
      <c r="X185" s="61"/>
      <c r="Y185" s="61"/>
      <c r="Z185" s="61"/>
      <c r="AA185" s="61"/>
      <c r="AB185" s="61"/>
      <c r="AC185" s="61"/>
      <c r="AD185" s="61"/>
      <c r="AE185" s="61"/>
      <c r="AF185" s="61"/>
      <c r="AG185" s="61"/>
      <c r="AH185" s="61"/>
      <c r="AI185" s="61"/>
      <c r="AJ185" s="61"/>
      <c r="AK185" s="61"/>
    </row>
    <row r="186" spans="1:37" hidden="1" outlineLevel="2" x14ac:dyDescent="0.25">
      <c r="A186" s="65" t="s">
        <v>27</v>
      </c>
      <c r="B186" s="65" t="s">
        <v>1599</v>
      </c>
      <c r="C186" s="65" t="s">
        <v>2020</v>
      </c>
      <c r="D186" s="65" t="s">
        <v>1521</v>
      </c>
      <c r="E186" s="65" t="s">
        <v>1288</v>
      </c>
      <c r="F186" s="70"/>
      <c r="G186" s="64">
        <f>VLOOKUP($B186,'7. PGE_Efficacité'!$A$6:$CY$266,(MATCH('[3]4.4 ACE MAX SEN '!G$4,'7. PGE_Efficacité'!$A$4:$AO$4,0)),0)</f>
        <v>0</v>
      </c>
      <c r="H186" s="64">
        <f>VLOOKUP($B186,'7. PGE_Efficacité'!$A$6:$CY$266,(MATCH('[3]4.4 ACE MAX SEN '!H$4,'7. PGE_Efficacité'!$A$4:$AO$4,0)),0)</f>
        <v>0</v>
      </c>
      <c r="I186" s="64">
        <f>VLOOKUP($B186,'7. PGE_Efficacité'!$A$6:$CY$266,(MATCH('[3]4.4 ACE MAX SEN '!I$4,'7. PGE_Efficacité'!$A$4:$AO$4,0)),0)</f>
        <v>0</v>
      </c>
      <c r="J186" s="64">
        <f>VLOOKUP($B186,'7. PGE_Efficacité'!$A$6:$CY$266,(MATCH('[3]4.4 ACE MAX SEN '!J$4,'7. PGE_Efficacité'!$A$4:$AO$4,0)),0)</f>
        <v>0</v>
      </c>
      <c r="K186" s="64">
        <f>VLOOKUP($B186,'7. PGE_Efficacité'!$A$6:$CY$266,(MATCH('[3]4.4 ACE MAX SEN '!K$4,'7. PGE_Efficacité'!$A$4:$AO$4,0)),0)</f>
        <v>0</v>
      </c>
      <c r="L186" s="64">
        <f>VLOOKUP($B186,'7. PGE_Efficacité'!$A$6:$CY$266,(MATCH('[3]4.4 ACE MAX SEN '!L$4,'7. PGE_Efficacité'!$A$4:$AO$4,0)),0)</f>
        <v>0</v>
      </c>
      <c r="M186" s="64">
        <f>VLOOKUP($B186,'7. PGE_Efficacité'!$A$6:$CY$266,(MATCH('[3]4.4 ACE MAX SEN '!M$4,'7. PGE_Efficacité'!$A$4:$AO$4,0)),0)</f>
        <v>0</v>
      </c>
      <c r="N186" s="64">
        <f>VLOOKUP($B186,'7. PGE_Efficacité'!$A$6:$CY$266,(MATCH('[3]4.4 ACE MAX SEN '!N$4,'7. PGE_Efficacité'!$A$4:$AO$4,0)),0)</f>
        <v>0</v>
      </c>
      <c r="O186" s="64">
        <f>VLOOKUP($B186,'7. PGE_Efficacité'!$A$6:$CY$266,(MATCH('[3]4.4 ACE MAX SEN '!O$4,'7. PGE_Efficacité'!$A$4:$AO$4,0)),0)</f>
        <v>0</v>
      </c>
      <c r="P186" s="64">
        <f>VLOOKUP($B186,'7. PGE_Efficacité'!$A$6:$CY$266,(MATCH('[3]4.4 ACE MAX SEN '!P$4,'7. PGE_Efficacité'!$A$4:$AO$4,0)),0)</f>
        <v>0</v>
      </c>
      <c r="Q186" s="64">
        <f>VLOOKUP($B186,'7. PGE_Efficacité'!$A$6:$CY$266,(MATCH('[3]4.4 ACE MAX SEN '!Q$4,'7. PGE_Efficacité'!$A$4:$AO$4,0)),0)</f>
        <v>0</v>
      </c>
      <c r="R186" s="64">
        <f>VLOOKUP($B186,'7. PGE_Efficacité'!$A$6:$CY$266,(MATCH('[3]4.4 ACE MAX SEN '!R$4,'7. PGE_Efficacité'!$A$4:$AO$4,0)),0)</f>
        <v>0</v>
      </c>
      <c r="S186" s="64">
        <f>VLOOKUP($B186,'7. PGE_Efficacité'!$A$6:$CY$266,(MATCH('[3]4.4 ACE MAX SEN '!S$4,'7. PGE_Efficacité'!$A$4:$AO$4,0)),0)</f>
        <v>0</v>
      </c>
      <c r="T186" s="64">
        <f>VLOOKUP($B186,'7. PGE_Efficacité'!$A$6:$CY$266,(MATCH('[3]4.4 ACE MAX SEN '!T$4,'7. PGE_Efficacité'!$A$4:$AO$4,0)),0)</f>
        <v>0</v>
      </c>
      <c r="U186" s="64">
        <f>VLOOKUP($B186,'7. PGE_Efficacité'!$A$6:$CY$266,(MATCH('[3]4.4 ACE MAX SEN '!U$4,'7. PGE_Efficacité'!$A$4:$AO$4,0)),0)</f>
        <v>0</v>
      </c>
      <c r="V186" s="64">
        <f>VLOOKUP($B186,'7. PGE_Efficacité'!$A$6:$CY$266,(MATCH('[3]4.4 ACE MAX SEN '!V$4,'7. PGE_Efficacité'!$A$4:$AO$4,0)),0)</f>
        <v>0</v>
      </c>
      <c r="W186" s="61">
        <f>VLOOKUP($B186,'7. PGE_Efficacité'!$A$6:$CY$266,(MATCH('[3]4.4 ACE MAX SEN '!W$4,'7. PGE_Efficacité'!$A$4:$AO$4,0)),0)</f>
        <v>0</v>
      </c>
      <c r="X186" s="61">
        <f>VLOOKUP($B186,'7. PGE_Efficacité'!$A$6:$CY$266,(MATCH('[3]4.4 ACE MAX SEN '!X$4,'7. PGE_Efficacité'!$A$4:$AO$4,0)),0)</f>
        <v>0</v>
      </c>
      <c r="Y186" s="61">
        <f>VLOOKUP($B186,'7. PGE_Efficacité'!$A$6:$CY$266,(MATCH('[3]4.4 ACE MAX SEN '!Y$4,'7. PGE_Efficacité'!$A$4:$AO$4,0)),0)</f>
        <v>0</v>
      </c>
      <c r="Z186" s="61">
        <f>VLOOKUP($B186,'7. PGE_Efficacité'!$A$6:$CY$266,(MATCH('[3]4.4 ACE MAX SEN '!Z$4,'7. PGE_Efficacité'!$A$4:$AO$4,0)),0)</f>
        <v>0</v>
      </c>
      <c r="AA186" s="61">
        <f>VLOOKUP($B186,'7. PGE_Efficacité'!$A$6:$CY$266,(MATCH('[3]4.4 ACE MAX SEN '!AA$4,'7. PGE_Efficacité'!$A$4:$AO$4,0)),0)</f>
        <v>0</v>
      </c>
      <c r="AB186" s="61">
        <f>VLOOKUP($B186,'7. PGE_Efficacité'!$A$6:$CY$266,(MATCH('[3]4.4 ACE MAX SEN '!AB$4,'7. PGE_Efficacité'!$A$4:$AO$4,0)),0)</f>
        <v>0</v>
      </c>
      <c r="AC186" s="61">
        <f>VLOOKUP($B186,'7. PGE_Efficacité'!$A$6:$CY$266,(MATCH('[3]4.4 ACE MAX SEN '!AC$4,'7. PGE_Efficacité'!$A$4:$AO$4,0)),0)</f>
        <v>0</v>
      </c>
      <c r="AD186" s="61">
        <f>VLOOKUP($B186,'7. PGE_Efficacité'!$A$6:$CY$266,(MATCH('[3]4.4 ACE MAX SEN '!AD$4,'7. PGE_Efficacité'!$A$4:$AO$4,0)),0)</f>
        <v>0</v>
      </c>
      <c r="AE186" s="61">
        <f>VLOOKUP($B186,'7. PGE_Efficacité'!$A$6:$CY$266,(MATCH('[3]4.4 ACE MAX SEN '!AE$4,'7. PGE_Efficacité'!$A$4:$AO$4,0)),0)</f>
        <v>0</v>
      </c>
      <c r="AF186" s="61">
        <f>VLOOKUP($B186,'7. PGE_Efficacité'!$A$6:$CY$266,(MATCH('[3]4.4 ACE MAX SEN '!AF$4,'7. PGE_Efficacité'!$A$4:$AO$4,0)),0)</f>
        <v>0</v>
      </c>
      <c r="AG186" s="61">
        <f>VLOOKUP($B186,'7. PGE_Efficacité'!$A$6:$CY$266,(MATCH('[3]4.4 ACE MAX SEN '!AG$4,'7. PGE_Efficacité'!$A$4:$AO$4,0)),0)</f>
        <v>0</v>
      </c>
      <c r="AH186" s="61">
        <f>VLOOKUP($B186,'7. PGE_Efficacité'!$A$6:$CY$266,(MATCH('[3]4.4 ACE MAX SEN '!AH$4,'7. PGE_Efficacité'!$A$4:$AO$4,0)),0)</f>
        <v>0</v>
      </c>
      <c r="AI186" s="61">
        <f>VLOOKUP($B186,'7. PGE_Efficacité'!$A$6:$CY$266,(MATCH('[3]4.4 ACE MAX SEN '!AI$4,'7. PGE_Efficacité'!$A$4:$AO$4,0)),0)</f>
        <v>0</v>
      </c>
      <c r="AJ186" s="61">
        <f>VLOOKUP($B186,'7. PGE_Efficacité'!$A$6:$CY$266,(MATCH('[3]4.4 ACE MAX SEN '!AJ$4,'7. PGE_Efficacité'!$A$4:$AO$4,0)),0)</f>
        <v>0</v>
      </c>
      <c r="AK186" s="61">
        <f>VLOOKUP($B186,'7. PGE_Efficacité'!$A$6:$CY$266,(MATCH('[3]4.4 ACE MAX SEN '!AK$4,'7. PGE_Efficacité'!$A$4:$AO$4,0)),0)</f>
        <v>0</v>
      </c>
    </row>
    <row r="187" spans="1:37" ht="26.25" outlineLevel="1" collapsed="1" x14ac:dyDescent="0.25">
      <c r="A187" s="157" t="s">
        <v>38</v>
      </c>
      <c r="B187" s="63"/>
      <c r="C187" s="156" t="s">
        <v>215</v>
      </c>
      <c r="D187" s="63"/>
      <c r="E187" s="63"/>
      <c r="F187" s="78">
        <f>MEDIAN(VLOOKUP(A187,'4. Mesures_ACE_Budget'!$A$3:$J$31,9,0),VLOOKUP(A187,'4. Mesures_ACE_Budget'!$A$3:$J$31,10,0))</f>
        <v>0</v>
      </c>
      <c r="G187" s="229" t="str">
        <f>VLOOKUP($A187,'7. PGE_Efficacité'!$A$6:$CY$266,(MATCH('[2]4.4 ACE MAX SEN '!G$4,'7. PGE_Efficacité'!$A$4:$AO$4,0)),0)</f>
        <v>+</v>
      </c>
      <c r="H187" s="229" t="str">
        <f>VLOOKUP($A187,'7. PGE_Efficacité'!$A$6:$CY$266,(MATCH('[2]4.4 ACE MAX SEN '!H$4,'7. PGE_Efficacité'!$A$4:$AO$4,0)),0)</f>
        <v>+</v>
      </c>
      <c r="I187" s="229" t="str">
        <f>VLOOKUP($A187,'7. PGE_Efficacité'!$A$6:$CY$266,(MATCH('[2]4.4 ACE MAX SEN '!I$4,'7. PGE_Efficacité'!$A$4:$AO$4,0)),0)</f>
        <v>+</v>
      </c>
      <c r="J187" s="229" t="str">
        <f>VLOOKUP($A187,'7. PGE_Efficacité'!$A$6:$CY$266,(MATCH('[2]4.4 ACE MAX SEN '!J$4,'7. PGE_Efficacité'!$A$4:$AO$4,0)),0)</f>
        <v>+</v>
      </c>
      <c r="K187" s="229" t="str">
        <f>VLOOKUP($A187,'7. PGE_Efficacité'!$A$6:$CY$266,(MATCH('[2]4.4 ACE MAX SEN '!K$4,'7. PGE_Efficacité'!$A$4:$AO$4,0)),0)</f>
        <v>+</v>
      </c>
      <c r="L187" s="229" t="str">
        <f>VLOOKUP($A187,'7. PGE_Efficacité'!$A$6:$CY$266,(MATCH('[2]4.4 ACE MAX SEN '!L$4,'7. PGE_Efficacité'!$A$4:$AO$4,0)),0)</f>
        <v>+</v>
      </c>
      <c r="M187" s="229" t="str">
        <f>VLOOKUP($A187,'7. PGE_Efficacité'!$A$6:$CY$266,(MATCH('[2]4.4 ACE MAX SEN '!M$4,'7. PGE_Efficacité'!$A$4:$AO$4,0)),0)</f>
        <v>+</v>
      </c>
      <c r="N187" s="229" t="str">
        <f>VLOOKUP($A187,'7. PGE_Efficacité'!$A$6:$CY$266,(MATCH('[2]4.4 ACE MAX SEN '!N$4,'7. PGE_Efficacité'!$A$4:$AO$4,0)),0)</f>
        <v>+</v>
      </c>
      <c r="O187" s="229" t="str">
        <f>VLOOKUP($A187,'7. PGE_Efficacité'!$A$6:$CY$266,(MATCH('[2]4.4 ACE MAX SEN '!O$4,'7. PGE_Efficacité'!$A$4:$AO$4,0)),0)</f>
        <v>+</v>
      </c>
      <c r="P187" s="229" t="str">
        <f>VLOOKUP($A187,'7. PGE_Efficacité'!$A$6:$CY$266,(MATCH('[2]4.4 ACE MAX SEN '!P$4,'7. PGE_Efficacité'!$A$4:$AO$4,0)),0)</f>
        <v>+</v>
      </c>
      <c r="Q187" s="229" t="str">
        <f>VLOOKUP($A187,'7. PGE_Efficacité'!$A$6:$CY$266,(MATCH('[2]4.4 ACE MAX SEN '!Q$4,'7. PGE_Efficacité'!$A$4:$AO$4,0)),0)</f>
        <v>+</v>
      </c>
      <c r="R187" s="229">
        <f>VLOOKUP($A187,'7. PGE_Efficacité'!$A$6:$CY$266,(MATCH('[2]4.4 ACE MAX SEN '!R$4,'7. PGE_Efficacité'!$A$4:$AO$4,0)),0)</f>
        <v>0</v>
      </c>
      <c r="S187" s="229" t="str">
        <f>VLOOKUP($A187,'7. PGE_Efficacité'!$A$6:$CY$266,(MATCH('[2]4.4 ACE MAX SEN '!S$4,'7. PGE_Efficacité'!$A$4:$AO$4,0)),0)</f>
        <v>+</v>
      </c>
      <c r="T187" s="229" t="str">
        <f>VLOOKUP($A187,'7. PGE_Efficacité'!$A$6:$CY$266,(MATCH('[2]4.4 ACE MAX SEN '!T$4,'7. PGE_Efficacité'!$A$4:$AO$4,0)),0)</f>
        <v>+</v>
      </c>
      <c r="U187" s="229" t="str">
        <f>VLOOKUP($A187,'7. PGE_Efficacité'!$A$6:$CY$266,(MATCH('[2]4.4 ACE MAX SEN '!U$4,'7. PGE_Efficacité'!$A$4:$AO$4,0)),0)</f>
        <v>+</v>
      </c>
      <c r="V187" s="229" t="str">
        <f>VLOOKUP($A187,'7. PGE_Efficacité'!$A$6:$CY$266,(MATCH('[2]4.4 ACE MAX SEN '!V$4,'7. PGE_Efficacité'!$A$4:$AO$4,0)),0)</f>
        <v>+</v>
      </c>
      <c r="W187" s="230" t="str">
        <f>VLOOKUP($A187,'7. PGE_Efficacité'!$A$6:$CY$266,(MATCH('[2]4.4 ACE MAX SEN '!W$4,'7. PGE_Efficacité'!$A$4:$AO$4,0)),0)</f>
        <v>+</v>
      </c>
      <c r="X187" s="230" t="str">
        <f>VLOOKUP($A187,'7. PGE_Efficacité'!$A$6:$CY$266,(MATCH('[2]4.4 ACE MAX SEN '!X$4,'7. PGE_Efficacité'!$A$4:$AO$4,0)),0)</f>
        <v>+</v>
      </c>
      <c r="Y187" s="230" t="str">
        <f>VLOOKUP($A187,'7. PGE_Efficacité'!$A$6:$CY$266,(MATCH('[2]4.4 ACE MAX SEN '!Y$4,'7. PGE_Efficacité'!$A$4:$AO$4,0)),0)</f>
        <v>+</v>
      </c>
      <c r="Z187" s="230" t="str">
        <f>VLOOKUP($A187,'7. PGE_Efficacité'!$A$6:$CY$266,(MATCH('[2]4.4 ACE MAX SEN '!Z$4,'7. PGE_Efficacité'!$A$4:$AO$4,0)),0)</f>
        <v>+</v>
      </c>
      <c r="AA187" s="230" t="str">
        <f>VLOOKUP($A187,'7. PGE_Efficacité'!$A$6:$CY$266,(MATCH('[2]4.4 ACE MAX SEN '!AA$4,'7. PGE_Efficacité'!$A$4:$AO$4,0)),0)</f>
        <v>+</v>
      </c>
      <c r="AB187" s="230" t="str">
        <f>VLOOKUP($A187,'7. PGE_Efficacité'!$A$6:$CY$266,(MATCH('[2]4.4 ACE MAX SEN '!AB$4,'7. PGE_Efficacité'!$A$4:$AO$4,0)),0)</f>
        <v>+</v>
      </c>
      <c r="AC187" s="230" t="str">
        <f>VLOOKUP($A187,'7. PGE_Efficacité'!$A$6:$CY$266,(MATCH('[2]4.4 ACE MAX SEN '!AC$4,'7. PGE_Efficacité'!$A$4:$AO$4,0)),0)</f>
        <v>+</v>
      </c>
      <c r="AD187" s="230">
        <f>VLOOKUP($A187,'7. PGE_Efficacité'!$A$6:$CY$266,(MATCH('[2]4.4 ACE MAX SEN '!AD$4,'7. PGE_Efficacité'!$A$4:$AO$4,0)),0)</f>
        <v>0</v>
      </c>
      <c r="AE187" s="230">
        <f>VLOOKUP($A187,'7. PGE_Efficacité'!$A$6:$CY$266,(MATCH('[2]4.4 ACE MAX SEN '!AE$4,'7. PGE_Efficacité'!$A$4:$AO$4,0)),0)</f>
        <v>0</v>
      </c>
      <c r="AF187" s="230">
        <f>VLOOKUP($A187,'7. PGE_Efficacité'!$A$6:$CY$266,(MATCH('[2]4.4 ACE MAX SEN '!AF$4,'7. PGE_Efficacité'!$A$4:$AO$4,0)),0)</f>
        <v>0</v>
      </c>
      <c r="AG187" s="230">
        <f>VLOOKUP($A187,'7. PGE_Efficacité'!$A$6:$CY$266,(MATCH('[2]4.4 ACE MAX SEN '!AG$4,'7. PGE_Efficacité'!$A$4:$AO$4,0)),0)</f>
        <v>0</v>
      </c>
      <c r="AH187" s="230" t="str">
        <f>VLOOKUP($A187,'7. PGE_Efficacité'!$A$6:$CY$266,(MATCH('[2]4.4 ACE MAX SEN '!AH$4,'7. PGE_Efficacité'!$A$4:$AO$4,0)),0)</f>
        <v>+</v>
      </c>
      <c r="AI187" s="230" t="str">
        <f>VLOOKUP($A187,'7. PGE_Efficacité'!$A$6:$CY$266,(MATCH('[2]4.4 ACE MAX SEN '!AI$4,'7. PGE_Efficacité'!$A$4:$AO$4,0)),0)</f>
        <v>+</v>
      </c>
      <c r="AJ187" s="230" t="str">
        <f>VLOOKUP($A187,'7. PGE_Efficacité'!$A$6:$CY$266,(MATCH('[2]4.4 ACE MAX SEN '!AJ$4,'7. PGE_Efficacité'!$A$4:$AO$4,0)),0)</f>
        <v>+</v>
      </c>
      <c r="AK187" s="230" t="str">
        <f>VLOOKUP($A187,'7. PGE_Efficacité'!$A$6:$CY$266,(MATCH('[2]4.4 ACE MAX SEN '!AK$4,'7. PGE_Efficacité'!$A$4:$AO$4,0)),0)</f>
        <v>+</v>
      </c>
    </row>
    <row r="188" spans="1:37" hidden="1" outlineLevel="2" x14ac:dyDescent="0.25">
      <c r="A188" s="65" t="s">
        <v>38</v>
      </c>
      <c r="B188" s="65" t="s">
        <v>892</v>
      </c>
      <c r="C188" s="65" t="s">
        <v>1482</v>
      </c>
      <c r="D188" s="65" t="s">
        <v>1522</v>
      </c>
      <c r="E188" s="65" t="s">
        <v>1290</v>
      </c>
      <c r="F188" s="70"/>
      <c r="G188" s="64">
        <f>VLOOKUP($B188,'7. PGE_Efficacité'!$A$6:$CY$266,(MATCH('[3]4.4 ACE MAX SEN '!G$4,'7. PGE_Efficacité'!$A$4:$AO$4,0)),0)</f>
        <v>0</v>
      </c>
      <c r="H188" s="64">
        <f>VLOOKUP($B188,'7. PGE_Efficacité'!$A$6:$CY$266,(MATCH('[3]4.4 ACE MAX SEN '!H$4,'7. PGE_Efficacité'!$A$4:$AO$4,0)),0)</f>
        <v>0</v>
      </c>
      <c r="I188" s="64">
        <f>VLOOKUP($B188,'7. PGE_Efficacité'!$A$6:$CY$266,(MATCH('[3]4.4 ACE MAX SEN '!I$4,'7. PGE_Efficacité'!$A$4:$AO$4,0)),0)</f>
        <v>0</v>
      </c>
      <c r="J188" s="64">
        <f>VLOOKUP($B188,'7. PGE_Efficacité'!$A$6:$CY$266,(MATCH('[3]4.4 ACE MAX SEN '!J$4,'7. PGE_Efficacité'!$A$4:$AO$4,0)),0)</f>
        <v>0</v>
      </c>
      <c r="K188" s="64">
        <f>VLOOKUP($B188,'7. PGE_Efficacité'!$A$6:$CY$266,(MATCH('[3]4.4 ACE MAX SEN '!K$4,'7. PGE_Efficacité'!$A$4:$AO$4,0)),0)</f>
        <v>0</v>
      </c>
      <c r="L188" s="64">
        <f>VLOOKUP($B188,'7. PGE_Efficacité'!$A$6:$CY$266,(MATCH('[3]4.4 ACE MAX SEN '!L$4,'7. PGE_Efficacité'!$A$4:$AO$4,0)),0)</f>
        <v>0</v>
      </c>
      <c r="M188" s="64">
        <f>VLOOKUP($B188,'7. PGE_Efficacité'!$A$6:$CY$266,(MATCH('[3]4.4 ACE MAX SEN '!M$4,'7. PGE_Efficacité'!$A$4:$AO$4,0)),0)</f>
        <v>0</v>
      </c>
      <c r="N188" s="64">
        <f>VLOOKUP($B188,'7. PGE_Efficacité'!$A$6:$CY$266,(MATCH('[3]4.4 ACE MAX SEN '!N$4,'7. PGE_Efficacité'!$A$4:$AO$4,0)),0)</f>
        <v>0</v>
      </c>
      <c r="O188" s="64">
        <f>VLOOKUP($B188,'7. PGE_Efficacité'!$A$6:$CY$266,(MATCH('[3]4.4 ACE MAX SEN '!O$4,'7. PGE_Efficacité'!$A$4:$AO$4,0)),0)</f>
        <v>0</v>
      </c>
      <c r="P188" s="64">
        <f>VLOOKUP($B188,'7. PGE_Efficacité'!$A$6:$CY$266,(MATCH('[3]4.4 ACE MAX SEN '!P$4,'7. PGE_Efficacité'!$A$4:$AO$4,0)),0)</f>
        <v>0</v>
      </c>
      <c r="Q188" s="64">
        <f>VLOOKUP($B188,'7. PGE_Efficacité'!$A$6:$CY$266,(MATCH('[3]4.4 ACE MAX SEN '!Q$4,'7. PGE_Efficacité'!$A$4:$AO$4,0)),0)</f>
        <v>0</v>
      </c>
      <c r="R188" s="64">
        <f>VLOOKUP($B188,'7. PGE_Efficacité'!$A$6:$CY$266,(MATCH('[3]4.4 ACE MAX SEN '!R$4,'7. PGE_Efficacité'!$A$4:$AO$4,0)),0)</f>
        <v>0</v>
      </c>
      <c r="S188" s="64">
        <f>VLOOKUP($B188,'7. PGE_Efficacité'!$A$6:$CY$266,(MATCH('[3]4.4 ACE MAX SEN '!S$4,'7. PGE_Efficacité'!$A$4:$AO$4,0)),0)</f>
        <v>0</v>
      </c>
      <c r="T188" s="64">
        <f>VLOOKUP($B188,'7. PGE_Efficacité'!$A$6:$CY$266,(MATCH('[3]4.4 ACE MAX SEN '!T$4,'7. PGE_Efficacité'!$A$4:$AO$4,0)),0)</f>
        <v>0</v>
      </c>
      <c r="U188" s="64">
        <f>VLOOKUP($B188,'7. PGE_Efficacité'!$A$6:$CY$266,(MATCH('[3]4.4 ACE MAX SEN '!U$4,'7. PGE_Efficacité'!$A$4:$AO$4,0)),0)</f>
        <v>0</v>
      </c>
      <c r="V188" s="64">
        <f>VLOOKUP($B188,'7. PGE_Efficacité'!$A$6:$CY$266,(MATCH('[3]4.4 ACE MAX SEN '!V$4,'7. PGE_Efficacité'!$A$4:$AO$4,0)),0)</f>
        <v>0</v>
      </c>
      <c r="W188" s="61">
        <f>VLOOKUP($B188,'7. PGE_Efficacité'!$A$6:$CY$266,(MATCH('[3]4.4 ACE MAX SEN '!W$4,'7. PGE_Efficacité'!$A$4:$AO$4,0)),0)</f>
        <v>0</v>
      </c>
      <c r="X188" s="61">
        <f>VLOOKUP($B188,'7. PGE_Efficacité'!$A$6:$CY$266,(MATCH('[3]4.4 ACE MAX SEN '!X$4,'7. PGE_Efficacité'!$A$4:$AO$4,0)),0)</f>
        <v>0</v>
      </c>
      <c r="Y188" s="61">
        <f>VLOOKUP($B188,'7. PGE_Efficacité'!$A$6:$CY$266,(MATCH('[3]4.4 ACE MAX SEN '!Y$4,'7. PGE_Efficacité'!$A$4:$AO$4,0)),0)</f>
        <v>0</v>
      </c>
      <c r="Z188" s="61">
        <f>VLOOKUP($B188,'7. PGE_Efficacité'!$A$6:$CY$266,(MATCH('[3]4.4 ACE MAX SEN '!Z$4,'7. PGE_Efficacité'!$A$4:$AO$4,0)),0)</f>
        <v>0</v>
      </c>
      <c r="AA188" s="61">
        <f>VLOOKUP($B188,'7. PGE_Efficacité'!$A$6:$CY$266,(MATCH('[3]4.4 ACE MAX SEN '!AA$4,'7. PGE_Efficacité'!$A$4:$AO$4,0)),0)</f>
        <v>0</v>
      </c>
      <c r="AB188" s="61">
        <f>VLOOKUP($B188,'7. PGE_Efficacité'!$A$6:$CY$266,(MATCH('[3]4.4 ACE MAX SEN '!AB$4,'7. PGE_Efficacité'!$A$4:$AO$4,0)),0)</f>
        <v>0</v>
      </c>
      <c r="AC188" s="61">
        <f>VLOOKUP($B188,'7. PGE_Efficacité'!$A$6:$CY$266,(MATCH('[3]4.4 ACE MAX SEN '!AC$4,'7. PGE_Efficacité'!$A$4:$AO$4,0)),0)</f>
        <v>0</v>
      </c>
      <c r="AD188" s="61">
        <f>VLOOKUP($B188,'7. PGE_Efficacité'!$A$6:$CY$266,(MATCH('[3]4.4 ACE MAX SEN '!AD$4,'7. PGE_Efficacité'!$A$4:$AO$4,0)),0)</f>
        <v>0</v>
      </c>
      <c r="AE188" s="61">
        <f>VLOOKUP($B188,'7. PGE_Efficacité'!$A$6:$CY$266,(MATCH('[3]4.4 ACE MAX SEN '!AE$4,'7. PGE_Efficacité'!$A$4:$AO$4,0)),0)</f>
        <v>0</v>
      </c>
      <c r="AF188" s="61">
        <f>VLOOKUP($B188,'7. PGE_Efficacité'!$A$6:$CY$266,(MATCH('[3]4.4 ACE MAX SEN '!AF$4,'7. PGE_Efficacité'!$A$4:$AO$4,0)),0)</f>
        <v>0</v>
      </c>
      <c r="AG188" s="61">
        <f>VLOOKUP($B188,'7. PGE_Efficacité'!$A$6:$CY$266,(MATCH('[3]4.4 ACE MAX SEN '!AG$4,'7. PGE_Efficacité'!$A$4:$AO$4,0)),0)</f>
        <v>0</v>
      </c>
      <c r="AH188" s="61">
        <f>VLOOKUP($B188,'7. PGE_Efficacité'!$A$6:$CY$266,(MATCH('[3]4.4 ACE MAX SEN '!AH$4,'7. PGE_Efficacité'!$A$4:$AO$4,0)),0)</f>
        <v>0</v>
      </c>
      <c r="AI188" s="61">
        <f>VLOOKUP($B188,'7. PGE_Efficacité'!$A$6:$CY$266,(MATCH('[3]4.4 ACE MAX SEN '!AI$4,'7. PGE_Efficacité'!$A$4:$AO$4,0)),0)</f>
        <v>0</v>
      </c>
      <c r="AJ188" s="61">
        <f>VLOOKUP($B188,'7. PGE_Efficacité'!$A$6:$CY$266,(MATCH('[3]4.4 ACE MAX SEN '!AJ$4,'7. PGE_Efficacité'!$A$4:$AO$4,0)),0)</f>
        <v>0</v>
      </c>
      <c r="AK188" s="61">
        <f>VLOOKUP($B188,'7. PGE_Efficacité'!$A$6:$CY$266,(MATCH('[3]4.4 ACE MAX SEN '!AK$4,'7. PGE_Efficacité'!$A$4:$AO$4,0)),0)</f>
        <v>0</v>
      </c>
    </row>
    <row r="189" spans="1:37" hidden="1" outlineLevel="2" x14ac:dyDescent="0.25">
      <c r="A189" s="65" t="s">
        <v>38</v>
      </c>
      <c r="B189" s="65" t="s">
        <v>893</v>
      </c>
      <c r="C189" s="65" t="s">
        <v>1483</v>
      </c>
      <c r="D189" s="65" t="s">
        <v>1522</v>
      </c>
      <c r="E189" s="65" t="s">
        <v>1290</v>
      </c>
      <c r="F189" s="70"/>
      <c r="G189" s="64">
        <f>VLOOKUP($B189,'7. PGE_Efficacité'!$A$6:$CY$266,(MATCH('[3]4.4 ACE MAX SEN '!G$4,'7. PGE_Efficacité'!$A$4:$AO$4,0)),0)</f>
        <v>0</v>
      </c>
      <c r="H189" s="64">
        <f>VLOOKUP($B189,'7. PGE_Efficacité'!$A$6:$CY$266,(MATCH('[3]4.4 ACE MAX SEN '!H$4,'7. PGE_Efficacité'!$A$4:$AO$4,0)),0)</f>
        <v>0</v>
      </c>
      <c r="I189" s="64">
        <f>VLOOKUP($B189,'7. PGE_Efficacité'!$A$6:$CY$266,(MATCH('[3]4.4 ACE MAX SEN '!I$4,'7. PGE_Efficacité'!$A$4:$AO$4,0)),0)</f>
        <v>0</v>
      </c>
      <c r="J189" s="64">
        <f>VLOOKUP($B189,'7. PGE_Efficacité'!$A$6:$CY$266,(MATCH('[3]4.4 ACE MAX SEN '!J$4,'7. PGE_Efficacité'!$A$4:$AO$4,0)),0)</f>
        <v>0</v>
      </c>
      <c r="K189" s="64">
        <f>VLOOKUP($B189,'7. PGE_Efficacité'!$A$6:$CY$266,(MATCH('[3]4.4 ACE MAX SEN '!K$4,'7. PGE_Efficacité'!$A$4:$AO$4,0)),0)</f>
        <v>0</v>
      </c>
      <c r="L189" s="64">
        <f>VLOOKUP($B189,'7. PGE_Efficacité'!$A$6:$CY$266,(MATCH('[3]4.4 ACE MAX SEN '!L$4,'7. PGE_Efficacité'!$A$4:$AO$4,0)),0)</f>
        <v>0</v>
      </c>
      <c r="M189" s="64">
        <f>VLOOKUP($B189,'7. PGE_Efficacité'!$A$6:$CY$266,(MATCH('[3]4.4 ACE MAX SEN '!M$4,'7. PGE_Efficacité'!$A$4:$AO$4,0)),0)</f>
        <v>0</v>
      </c>
      <c r="N189" s="64">
        <f>VLOOKUP($B189,'7. PGE_Efficacité'!$A$6:$CY$266,(MATCH('[3]4.4 ACE MAX SEN '!N$4,'7. PGE_Efficacité'!$A$4:$AO$4,0)),0)</f>
        <v>0</v>
      </c>
      <c r="O189" s="64">
        <f>VLOOKUP($B189,'7. PGE_Efficacité'!$A$6:$CY$266,(MATCH('[3]4.4 ACE MAX SEN '!O$4,'7. PGE_Efficacité'!$A$4:$AO$4,0)),0)</f>
        <v>0</v>
      </c>
      <c r="P189" s="64">
        <f>VLOOKUP($B189,'7. PGE_Efficacité'!$A$6:$CY$266,(MATCH('[3]4.4 ACE MAX SEN '!P$4,'7. PGE_Efficacité'!$A$4:$AO$4,0)),0)</f>
        <v>0</v>
      </c>
      <c r="Q189" s="64">
        <f>VLOOKUP($B189,'7. PGE_Efficacité'!$A$6:$CY$266,(MATCH('[3]4.4 ACE MAX SEN '!Q$4,'7. PGE_Efficacité'!$A$4:$AO$4,0)),0)</f>
        <v>0</v>
      </c>
      <c r="R189" s="64">
        <f>VLOOKUP($B189,'7. PGE_Efficacité'!$A$6:$CY$266,(MATCH('[3]4.4 ACE MAX SEN '!R$4,'7. PGE_Efficacité'!$A$4:$AO$4,0)),0)</f>
        <v>0</v>
      </c>
      <c r="S189" s="64">
        <f>VLOOKUP($B189,'7. PGE_Efficacité'!$A$6:$CY$266,(MATCH('[3]4.4 ACE MAX SEN '!S$4,'7. PGE_Efficacité'!$A$4:$AO$4,0)),0)</f>
        <v>0</v>
      </c>
      <c r="T189" s="64">
        <f>VLOOKUP($B189,'7. PGE_Efficacité'!$A$6:$CY$266,(MATCH('[3]4.4 ACE MAX SEN '!T$4,'7. PGE_Efficacité'!$A$4:$AO$4,0)),0)</f>
        <v>0</v>
      </c>
      <c r="U189" s="64">
        <f>VLOOKUP($B189,'7. PGE_Efficacité'!$A$6:$CY$266,(MATCH('[3]4.4 ACE MAX SEN '!U$4,'7. PGE_Efficacité'!$A$4:$AO$4,0)),0)</f>
        <v>0</v>
      </c>
      <c r="V189" s="64">
        <f>VLOOKUP($B189,'7. PGE_Efficacité'!$A$6:$CY$266,(MATCH('[3]4.4 ACE MAX SEN '!V$4,'7. PGE_Efficacité'!$A$4:$AO$4,0)),0)</f>
        <v>0</v>
      </c>
      <c r="W189" s="61">
        <f>VLOOKUP($B189,'7. PGE_Efficacité'!$A$6:$CY$266,(MATCH('[3]4.4 ACE MAX SEN '!W$4,'7. PGE_Efficacité'!$A$4:$AO$4,0)),0)</f>
        <v>0</v>
      </c>
      <c r="X189" s="61">
        <f>VLOOKUP($B189,'7. PGE_Efficacité'!$A$6:$CY$266,(MATCH('[3]4.4 ACE MAX SEN '!X$4,'7. PGE_Efficacité'!$A$4:$AO$4,0)),0)</f>
        <v>0</v>
      </c>
      <c r="Y189" s="61">
        <f>VLOOKUP($B189,'7. PGE_Efficacité'!$A$6:$CY$266,(MATCH('[3]4.4 ACE MAX SEN '!Y$4,'7. PGE_Efficacité'!$A$4:$AO$4,0)),0)</f>
        <v>0</v>
      </c>
      <c r="Z189" s="61">
        <f>VLOOKUP($B189,'7. PGE_Efficacité'!$A$6:$CY$266,(MATCH('[3]4.4 ACE MAX SEN '!Z$4,'7. PGE_Efficacité'!$A$4:$AO$4,0)),0)</f>
        <v>0</v>
      </c>
      <c r="AA189" s="61">
        <f>VLOOKUP($B189,'7. PGE_Efficacité'!$A$6:$CY$266,(MATCH('[3]4.4 ACE MAX SEN '!AA$4,'7. PGE_Efficacité'!$A$4:$AO$4,0)),0)</f>
        <v>0</v>
      </c>
      <c r="AB189" s="61">
        <f>VLOOKUP($B189,'7. PGE_Efficacité'!$A$6:$CY$266,(MATCH('[3]4.4 ACE MAX SEN '!AB$4,'7. PGE_Efficacité'!$A$4:$AO$4,0)),0)</f>
        <v>0</v>
      </c>
      <c r="AC189" s="61">
        <f>VLOOKUP($B189,'7. PGE_Efficacité'!$A$6:$CY$266,(MATCH('[3]4.4 ACE MAX SEN '!AC$4,'7. PGE_Efficacité'!$A$4:$AO$4,0)),0)</f>
        <v>0</v>
      </c>
      <c r="AD189" s="61">
        <f>VLOOKUP($B189,'7. PGE_Efficacité'!$A$6:$CY$266,(MATCH('[3]4.4 ACE MAX SEN '!AD$4,'7. PGE_Efficacité'!$A$4:$AO$4,0)),0)</f>
        <v>0</v>
      </c>
      <c r="AE189" s="61">
        <f>VLOOKUP($B189,'7. PGE_Efficacité'!$A$6:$CY$266,(MATCH('[3]4.4 ACE MAX SEN '!AE$4,'7. PGE_Efficacité'!$A$4:$AO$4,0)),0)</f>
        <v>0</v>
      </c>
      <c r="AF189" s="61">
        <f>VLOOKUP($B189,'7. PGE_Efficacité'!$A$6:$CY$266,(MATCH('[3]4.4 ACE MAX SEN '!AF$4,'7. PGE_Efficacité'!$A$4:$AO$4,0)),0)</f>
        <v>0</v>
      </c>
      <c r="AG189" s="61">
        <f>VLOOKUP($B189,'7. PGE_Efficacité'!$A$6:$CY$266,(MATCH('[3]4.4 ACE MAX SEN '!AG$4,'7. PGE_Efficacité'!$A$4:$AO$4,0)),0)</f>
        <v>0</v>
      </c>
      <c r="AH189" s="61">
        <f>VLOOKUP($B189,'7. PGE_Efficacité'!$A$6:$CY$266,(MATCH('[3]4.4 ACE MAX SEN '!AH$4,'7. PGE_Efficacité'!$A$4:$AO$4,0)),0)</f>
        <v>0</v>
      </c>
      <c r="AI189" s="61">
        <f>VLOOKUP($B189,'7. PGE_Efficacité'!$A$6:$CY$266,(MATCH('[3]4.4 ACE MAX SEN '!AI$4,'7. PGE_Efficacité'!$A$4:$AO$4,0)),0)</f>
        <v>0</v>
      </c>
      <c r="AJ189" s="61">
        <f>VLOOKUP($B189,'7. PGE_Efficacité'!$A$6:$CY$266,(MATCH('[3]4.4 ACE MAX SEN '!AJ$4,'7. PGE_Efficacité'!$A$4:$AO$4,0)),0)</f>
        <v>0</v>
      </c>
      <c r="AK189" s="61">
        <f>VLOOKUP($B189,'7. PGE_Efficacité'!$A$6:$CY$266,(MATCH('[3]4.4 ACE MAX SEN '!AK$4,'7. PGE_Efficacité'!$A$4:$AO$4,0)),0)</f>
        <v>0</v>
      </c>
    </row>
    <row r="190" spans="1:37" hidden="1" outlineLevel="2" x14ac:dyDescent="0.25">
      <c r="A190" s="65" t="s">
        <v>38</v>
      </c>
      <c r="B190" s="65" t="s">
        <v>894</v>
      </c>
      <c r="C190" s="65" t="s">
        <v>1484</v>
      </c>
      <c r="D190" s="65" t="s">
        <v>1522</v>
      </c>
      <c r="E190" s="65" t="s">
        <v>1290</v>
      </c>
      <c r="F190" s="70"/>
      <c r="G190" s="64">
        <f>VLOOKUP($B190,'7. PGE_Efficacité'!$A$6:$CY$266,(MATCH('[3]4.4 ACE MAX SEN '!G$4,'7. PGE_Efficacité'!$A$4:$AO$4,0)),0)</f>
        <v>0</v>
      </c>
      <c r="H190" s="64">
        <f>VLOOKUP($B190,'7. PGE_Efficacité'!$A$6:$CY$266,(MATCH('[3]4.4 ACE MAX SEN '!H$4,'7. PGE_Efficacité'!$A$4:$AO$4,0)),0)</f>
        <v>0</v>
      </c>
      <c r="I190" s="64">
        <f>VLOOKUP($B190,'7. PGE_Efficacité'!$A$6:$CY$266,(MATCH('[3]4.4 ACE MAX SEN '!I$4,'7. PGE_Efficacité'!$A$4:$AO$4,0)),0)</f>
        <v>0</v>
      </c>
      <c r="J190" s="64">
        <f>VLOOKUP($B190,'7. PGE_Efficacité'!$A$6:$CY$266,(MATCH('[3]4.4 ACE MAX SEN '!J$4,'7. PGE_Efficacité'!$A$4:$AO$4,0)),0)</f>
        <v>0</v>
      </c>
      <c r="K190" s="64">
        <f>VLOOKUP($B190,'7. PGE_Efficacité'!$A$6:$CY$266,(MATCH('[3]4.4 ACE MAX SEN '!K$4,'7. PGE_Efficacité'!$A$4:$AO$4,0)),0)</f>
        <v>0</v>
      </c>
      <c r="L190" s="64">
        <f>VLOOKUP($B190,'7. PGE_Efficacité'!$A$6:$CY$266,(MATCH('[3]4.4 ACE MAX SEN '!L$4,'7. PGE_Efficacité'!$A$4:$AO$4,0)),0)</f>
        <v>0</v>
      </c>
      <c r="M190" s="64">
        <f>VLOOKUP($B190,'7. PGE_Efficacité'!$A$6:$CY$266,(MATCH('[3]4.4 ACE MAX SEN '!M$4,'7. PGE_Efficacité'!$A$4:$AO$4,0)),0)</f>
        <v>0</v>
      </c>
      <c r="N190" s="64">
        <f>VLOOKUP($B190,'7. PGE_Efficacité'!$A$6:$CY$266,(MATCH('[3]4.4 ACE MAX SEN '!N$4,'7. PGE_Efficacité'!$A$4:$AO$4,0)),0)</f>
        <v>0</v>
      </c>
      <c r="O190" s="64">
        <f>VLOOKUP($B190,'7. PGE_Efficacité'!$A$6:$CY$266,(MATCH('[3]4.4 ACE MAX SEN '!O$4,'7. PGE_Efficacité'!$A$4:$AO$4,0)),0)</f>
        <v>0</v>
      </c>
      <c r="P190" s="64">
        <f>VLOOKUP($B190,'7. PGE_Efficacité'!$A$6:$CY$266,(MATCH('[3]4.4 ACE MAX SEN '!P$4,'7. PGE_Efficacité'!$A$4:$AO$4,0)),0)</f>
        <v>0</v>
      </c>
      <c r="Q190" s="64">
        <f>VLOOKUP($B190,'7. PGE_Efficacité'!$A$6:$CY$266,(MATCH('[3]4.4 ACE MAX SEN '!Q$4,'7. PGE_Efficacité'!$A$4:$AO$4,0)),0)</f>
        <v>0</v>
      </c>
      <c r="R190" s="64">
        <f>VLOOKUP($B190,'7. PGE_Efficacité'!$A$6:$CY$266,(MATCH('[3]4.4 ACE MAX SEN '!R$4,'7. PGE_Efficacité'!$A$4:$AO$4,0)),0)</f>
        <v>0</v>
      </c>
      <c r="S190" s="64">
        <f>VLOOKUP($B190,'7. PGE_Efficacité'!$A$6:$CY$266,(MATCH('[3]4.4 ACE MAX SEN '!S$4,'7. PGE_Efficacité'!$A$4:$AO$4,0)),0)</f>
        <v>0</v>
      </c>
      <c r="T190" s="64">
        <f>VLOOKUP($B190,'7. PGE_Efficacité'!$A$6:$CY$266,(MATCH('[3]4.4 ACE MAX SEN '!T$4,'7. PGE_Efficacité'!$A$4:$AO$4,0)),0)</f>
        <v>0</v>
      </c>
      <c r="U190" s="64">
        <f>VLOOKUP($B190,'7. PGE_Efficacité'!$A$6:$CY$266,(MATCH('[3]4.4 ACE MAX SEN '!U$4,'7. PGE_Efficacité'!$A$4:$AO$4,0)),0)</f>
        <v>0</v>
      </c>
      <c r="V190" s="64">
        <f>VLOOKUP($B190,'7. PGE_Efficacité'!$A$6:$CY$266,(MATCH('[3]4.4 ACE MAX SEN '!V$4,'7. PGE_Efficacité'!$A$4:$AO$4,0)),0)</f>
        <v>0</v>
      </c>
      <c r="W190" s="61">
        <f>VLOOKUP($B190,'7. PGE_Efficacité'!$A$6:$CY$266,(MATCH('[3]4.4 ACE MAX SEN '!W$4,'7. PGE_Efficacité'!$A$4:$AO$4,0)),0)</f>
        <v>0</v>
      </c>
      <c r="X190" s="61">
        <f>VLOOKUP($B190,'7. PGE_Efficacité'!$A$6:$CY$266,(MATCH('[3]4.4 ACE MAX SEN '!X$4,'7. PGE_Efficacité'!$A$4:$AO$4,0)),0)</f>
        <v>0</v>
      </c>
      <c r="Y190" s="61">
        <f>VLOOKUP($B190,'7. PGE_Efficacité'!$A$6:$CY$266,(MATCH('[3]4.4 ACE MAX SEN '!Y$4,'7. PGE_Efficacité'!$A$4:$AO$4,0)),0)</f>
        <v>0</v>
      </c>
      <c r="Z190" s="61">
        <f>VLOOKUP($B190,'7. PGE_Efficacité'!$A$6:$CY$266,(MATCH('[3]4.4 ACE MAX SEN '!Z$4,'7. PGE_Efficacité'!$A$4:$AO$4,0)),0)</f>
        <v>0</v>
      </c>
      <c r="AA190" s="61">
        <f>VLOOKUP($B190,'7. PGE_Efficacité'!$A$6:$CY$266,(MATCH('[3]4.4 ACE MAX SEN '!AA$4,'7. PGE_Efficacité'!$A$4:$AO$4,0)),0)</f>
        <v>0</v>
      </c>
      <c r="AB190" s="61">
        <f>VLOOKUP($B190,'7. PGE_Efficacité'!$A$6:$CY$266,(MATCH('[3]4.4 ACE MAX SEN '!AB$4,'7. PGE_Efficacité'!$A$4:$AO$4,0)),0)</f>
        <v>0</v>
      </c>
      <c r="AC190" s="61">
        <f>VLOOKUP($B190,'7. PGE_Efficacité'!$A$6:$CY$266,(MATCH('[3]4.4 ACE MAX SEN '!AC$4,'7. PGE_Efficacité'!$A$4:$AO$4,0)),0)</f>
        <v>0</v>
      </c>
      <c r="AD190" s="61">
        <f>VLOOKUP($B190,'7. PGE_Efficacité'!$A$6:$CY$266,(MATCH('[3]4.4 ACE MAX SEN '!AD$4,'7. PGE_Efficacité'!$A$4:$AO$4,0)),0)</f>
        <v>0</v>
      </c>
      <c r="AE190" s="61">
        <f>VLOOKUP($B190,'7. PGE_Efficacité'!$A$6:$CY$266,(MATCH('[3]4.4 ACE MAX SEN '!AE$4,'7. PGE_Efficacité'!$A$4:$AO$4,0)),0)</f>
        <v>0</v>
      </c>
      <c r="AF190" s="61">
        <f>VLOOKUP($B190,'7. PGE_Efficacité'!$A$6:$CY$266,(MATCH('[3]4.4 ACE MAX SEN '!AF$4,'7. PGE_Efficacité'!$A$4:$AO$4,0)),0)</f>
        <v>0</v>
      </c>
      <c r="AG190" s="61">
        <f>VLOOKUP($B190,'7. PGE_Efficacité'!$A$6:$CY$266,(MATCH('[3]4.4 ACE MAX SEN '!AG$4,'7. PGE_Efficacité'!$A$4:$AO$4,0)),0)</f>
        <v>0</v>
      </c>
      <c r="AH190" s="61">
        <f>VLOOKUP($B190,'7. PGE_Efficacité'!$A$6:$CY$266,(MATCH('[3]4.4 ACE MAX SEN '!AH$4,'7. PGE_Efficacité'!$A$4:$AO$4,0)),0)</f>
        <v>0</v>
      </c>
      <c r="AI190" s="61">
        <f>VLOOKUP($B190,'7. PGE_Efficacité'!$A$6:$CY$266,(MATCH('[3]4.4 ACE MAX SEN '!AI$4,'7. PGE_Efficacité'!$A$4:$AO$4,0)),0)</f>
        <v>0</v>
      </c>
      <c r="AJ190" s="61">
        <f>VLOOKUP($B190,'7. PGE_Efficacité'!$A$6:$CY$266,(MATCH('[3]4.4 ACE MAX SEN '!AJ$4,'7. PGE_Efficacité'!$A$4:$AO$4,0)),0)</f>
        <v>0</v>
      </c>
      <c r="AK190" s="61">
        <f>VLOOKUP($B190,'7. PGE_Efficacité'!$A$6:$CY$266,(MATCH('[3]4.4 ACE MAX SEN '!AK$4,'7. PGE_Efficacité'!$A$4:$AO$4,0)),0)</f>
        <v>0</v>
      </c>
    </row>
    <row r="191" spans="1:37" hidden="1" outlineLevel="2" x14ac:dyDescent="0.25">
      <c r="A191" s="65" t="s">
        <v>38</v>
      </c>
      <c r="B191" s="65" t="s">
        <v>895</v>
      </c>
      <c r="C191" s="65" t="s">
        <v>1485</v>
      </c>
      <c r="D191" s="65" t="s">
        <v>1522</v>
      </c>
      <c r="E191" s="65" t="s">
        <v>1290</v>
      </c>
      <c r="F191" s="70"/>
      <c r="G191" s="64" t="str">
        <f>VLOOKUP($B191,'7. PGE_Efficacité'!$A$6:$CY$266,(MATCH('[3]4.4 ACE MAX SEN '!G$4,'7. PGE_Efficacité'!$A$4:$AO$4,0)),0)</f>
        <v>+</v>
      </c>
      <c r="H191" s="64" t="str">
        <f>VLOOKUP($B191,'7. PGE_Efficacité'!$A$6:$CY$266,(MATCH('[3]4.4 ACE MAX SEN '!H$4,'7. PGE_Efficacité'!$A$4:$AO$4,0)),0)</f>
        <v>+</v>
      </c>
      <c r="I191" s="64" t="str">
        <f>VLOOKUP($B191,'7. PGE_Efficacité'!$A$6:$CY$266,(MATCH('[3]4.4 ACE MAX SEN '!I$4,'7. PGE_Efficacité'!$A$4:$AO$4,0)),0)</f>
        <v>+</v>
      </c>
      <c r="J191" s="64" t="str">
        <f>VLOOKUP($B191,'7. PGE_Efficacité'!$A$6:$CY$266,(MATCH('[3]4.4 ACE MAX SEN '!J$4,'7. PGE_Efficacité'!$A$4:$AO$4,0)),0)</f>
        <v>+</v>
      </c>
      <c r="K191" s="64" t="str">
        <f>VLOOKUP($B191,'7. PGE_Efficacité'!$A$6:$CY$266,(MATCH('[3]4.4 ACE MAX SEN '!K$4,'7. PGE_Efficacité'!$A$4:$AO$4,0)),0)</f>
        <v>+</v>
      </c>
      <c r="L191" s="64" t="str">
        <f>VLOOKUP($B191,'7. PGE_Efficacité'!$A$6:$CY$266,(MATCH('[3]4.4 ACE MAX SEN '!L$4,'7. PGE_Efficacité'!$A$4:$AO$4,0)),0)</f>
        <v>+</v>
      </c>
      <c r="M191" s="64" t="str">
        <f>VLOOKUP($B191,'7. PGE_Efficacité'!$A$6:$CY$266,(MATCH('[3]4.4 ACE MAX SEN '!M$4,'7. PGE_Efficacité'!$A$4:$AO$4,0)),0)</f>
        <v>+</v>
      </c>
      <c r="N191" s="64" t="str">
        <f>VLOOKUP($B191,'7. PGE_Efficacité'!$A$6:$CY$266,(MATCH('[3]4.4 ACE MAX SEN '!N$4,'7. PGE_Efficacité'!$A$4:$AO$4,0)),0)</f>
        <v>+</v>
      </c>
      <c r="O191" s="64" t="str">
        <f>VLOOKUP($B191,'7. PGE_Efficacité'!$A$6:$CY$266,(MATCH('[3]4.4 ACE MAX SEN '!O$4,'7. PGE_Efficacité'!$A$4:$AO$4,0)),0)</f>
        <v>+</v>
      </c>
      <c r="P191" s="64" t="str">
        <f>VLOOKUP($B191,'7. PGE_Efficacité'!$A$6:$CY$266,(MATCH('[3]4.4 ACE MAX SEN '!P$4,'7. PGE_Efficacité'!$A$4:$AO$4,0)),0)</f>
        <v>+</v>
      </c>
      <c r="Q191" s="64" t="str">
        <f>VLOOKUP($B191,'7. PGE_Efficacité'!$A$6:$CY$266,(MATCH('[3]4.4 ACE MAX SEN '!Q$4,'7. PGE_Efficacité'!$A$4:$AO$4,0)),0)</f>
        <v>+</v>
      </c>
      <c r="R191" s="64">
        <f>VLOOKUP($B191,'7. PGE_Efficacité'!$A$6:$CY$266,(MATCH('[3]4.4 ACE MAX SEN '!R$4,'7. PGE_Efficacité'!$A$4:$AO$4,0)),0)</f>
        <v>0</v>
      </c>
      <c r="S191" s="64" t="str">
        <f>VLOOKUP($B191,'7. PGE_Efficacité'!$A$6:$CY$266,(MATCH('[3]4.4 ACE MAX SEN '!S$4,'7. PGE_Efficacité'!$A$4:$AO$4,0)),0)</f>
        <v>+</v>
      </c>
      <c r="T191" s="64" t="str">
        <f>VLOOKUP($B191,'7. PGE_Efficacité'!$A$6:$CY$266,(MATCH('[3]4.4 ACE MAX SEN '!T$4,'7. PGE_Efficacité'!$A$4:$AO$4,0)),0)</f>
        <v>+</v>
      </c>
      <c r="U191" s="64" t="str">
        <f>VLOOKUP($B191,'7. PGE_Efficacité'!$A$6:$CY$266,(MATCH('[3]4.4 ACE MAX SEN '!U$4,'7. PGE_Efficacité'!$A$4:$AO$4,0)),0)</f>
        <v>+</v>
      </c>
      <c r="V191" s="64" t="str">
        <f>VLOOKUP($B191,'7. PGE_Efficacité'!$A$6:$CY$266,(MATCH('[3]4.4 ACE MAX SEN '!V$4,'7. PGE_Efficacité'!$A$4:$AO$4,0)),0)</f>
        <v>+</v>
      </c>
      <c r="W191" s="61" t="str">
        <f>VLOOKUP($B191,'7. PGE_Efficacité'!$A$6:$CY$266,(MATCH('[3]4.4 ACE MAX SEN '!W$4,'7. PGE_Efficacité'!$A$4:$AO$4,0)),0)</f>
        <v>+</v>
      </c>
      <c r="X191" s="61" t="str">
        <f>VLOOKUP($B191,'7. PGE_Efficacité'!$A$6:$CY$266,(MATCH('[3]4.4 ACE MAX SEN '!X$4,'7. PGE_Efficacité'!$A$4:$AO$4,0)),0)</f>
        <v>+</v>
      </c>
      <c r="Y191" s="61" t="str">
        <f>VLOOKUP($B191,'7. PGE_Efficacité'!$A$6:$CY$266,(MATCH('[3]4.4 ACE MAX SEN '!Y$4,'7. PGE_Efficacité'!$A$4:$AO$4,0)),0)</f>
        <v>+</v>
      </c>
      <c r="Z191" s="61" t="str">
        <f>VLOOKUP($B191,'7. PGE_Efficacité'!$A$6:$CY$266,(MATCH('[3]4.4 ACE MAX SEN '!Z$4,'7. PGE_Efficacité'!$A$4:$AO$4,0)),0)</f>
        <v>+</v>
      </c>
      <c r="AA191" s="61" t="str">
        <f>VLOOKUP($B191,'7. PGE_Efficacité'!$A$6:$CY$266,(MATCH('[3]4.4 ACE MAX SEN '!AA$4,'7. PGE_Efficacité'!$A$4:$AO$4,0)),0)</f>
        <v>+</v>
      </c>
      <c r="AB191" s="61" t="str">
        <f>VLOOKUP($B191,'7. PGE_Efficacité'!$A$6:$CY$266,(MATCH('[3]4.4 ACE MAX SEN '!AB$4,'7. PGE_Efficacité'!$A$4:$AO$4,0)),0)</f>
        <v>+</v>
      </c>
      <c r="AC191" s="61" t="str">
        <f>VLOOKUP($B191,'7. PGE_Efficacité'!$A$6:$CY$266,(MATCH('[3]4.4 ACE MAX SEN '!AC$4,'7. PGE_Efficacité'!$A$4:$AO$4,0)),0)</f>
        <v>+</v>
      </c>
      <c r="AD191" s="61">
        <f>VLOOKUP($B191,'7. PGE_Efficacité'!$A$6:$CY$266,(MATCH('[3]4.4 ACE MAX SEN '!AD$4,'7. PGE_Efficacité'!$A$4:$AO$4,0)),0)</f>
        <v>0</v>
      </c>
      <c r="AE191" s="61">
        <f>VLOOKUP($B191,'7. PGE_Efficacité'!$A$6:$CY$266,(MATCH('[3]4.4 ACE MAX SEN '!AE$4,'7. PGE_Efficacité'!$A$4:$AO$4,0)),0)</f>
        <v>0</v>
      </c>
      <c r="AF191" s="61">
        <f>VLOOKUP($B191,'7. PGE_Efficacité'!$A$6:$CY$266,(MATCH('[3]4.4 ACE MAX SEN '!AF$4,'7. PGE_Efficacité'!$A$4:$AO$4,0)),0)</f>
        <v>0</v>
      </c>
      <c r="AG191" s="61">
        <f>VLOOKUP($B191,'7. PGE_Efficacité'!$A$6:$CY$266,(MATCH('[3]4.4 ACE MAX SEN '!AG$4,'7. PGE_Efficacité'!$A$4:$AO$4,0)),0)</f>
        <v>0</v>
      </c>
      <c r="AH191" s="61" t="str">
        <f>VLOOKUP($B191,'7. PGE_Efficacité'!$A$6:$CY$266,(MATCH('[3]4.4 ACE MAX SEN '!AH$4,'7. PGE_Efficacité'!$A$4:$AO$4,0)),0)</f>
        <v>+</v>
      </c>
      <c r="AI191" s="61" t="str">
        <f>VLOOKUP($B191,'7. PGE_Efficacité'!$A$6:$CY$266,(MATCH('[3]4.4 ACE MAX SEN '!AI$4,'7. PGE_Efficacité'!$A$4:$AO$4,0)),0)</f>
        <v>+</v>
      </c>
      <c r="AJ191" s="61" t="str">
        <f>VLOOKUP($B191,'7. PGE_Efficacité'!$A$6:$CY$266,(MATCH('[3]4.4 ACE MAX SEN '!AJ$4,'7. PGE_Efficacité'!$A$4:$AO$4,0)),0)</f>
        <v>+</v>
      </c>
      <c r="AK191" s="61" t="str">
        <f>VLOOKUP($B191,'7. PGE_Efficacité'!$A$6:$CY$266,(MATCH('[3]4.4 ACE MAX SEN '!AK$4,'7. PGE_Efficacité'!$A$4:$AO$4,0)),0)</f>
        <v>+</v>
      </c>
    </row>
    <row r="192" spans="1:37" hidden="1" outlineLevel="2" x14ac:dyDescent="0.25">
      <c r="A192" s="65" t="s">
        <v>38</v>
      </c>
      <c r="B192" s="65" t="s">
        <v>896</v>
      </c>
      <c r="C192" s="65" t="s">
        <v>1486</v>
      </c>
      <c r="D192" s="65" t="s">
        <v>1522</v>
      </c>
      <c r="E192" s="65" t="s">
        <v>1290</v>
      </c>
      <c r="F192" s="70"/>
      <c r="G192" s="64">
        <f>VLOOKUP($B192,'7. PGE_Efficacité'!$A$6:$CY$266,(MATCH('[3]4.4 ACE MAX SEN '!G$4,'7. PGE_Efficacité'!$A$4:$AO$4,0)),0)</f>
        <v>0</v>
      </c>
      <c r="H192" s="64">
        <f>VLOOKUP($B192,'7. PGE_Efficacité'!$A$6:$CY$266,(MATCH('[3]4.4 ACE MAX SEN '!H$4,'7. PGE_Efficacité'!$A$4:$AO$4,0)),0)</f>
        <v>0</v>
      </c>
      <c r="I192" s="64">
        <f>VLOOKUP($B192,'7. PGE_Efficacité'!$A$6:$CY$266,(MATCH('[3]4.4 ACE MAX SEN '!I$4,'7. PGE_Efficacité'!$A$4:$AO$4,0)),0)</f>
        <v>0</v>
      </c>
      <c r="J192" s="64">
        <f>VLOOKUP($B192,'7. PGE_Efficacité'!$A$6:$CY$266,(MATCH('[3]4.4 ACE MAX SEN '!J$4,'7. PGE_Efficacité'!$A$4:$AO$4,0)),0)</f>
        <v>0</v>
      </c>
      <c r="K192" s="64">
        <f>VLOOKUP($B192,'7. PGE_Efficacité'!$A$6:$CY$266,(MATCH('[3]4.4 ACE MAX SEN '!K$4,'7. PGE_Efficacité'!$A$4:$AO$4,0)),0)</f>
        <v>0</v>
      </c>
      <c r="L192" s="64">
        <f>VLOOKUP($B192,'7. PGE_Efficacité'!$A$6:$CY$266,(MATCH('[3]4.4 ACE MAX SEN '!L$4,'7. PGE_Efficacité'!$A$4:$AO$4,0)),0)</f>
        <v>0</v>
      </c>
      <c r="M192" s="64">
        <f>VLOOKUP($B192,'7. PGE_Efficacité'!$A$6:$CY$266,(MATCH('[3]4.4 ACE MAX SEN '!M$4,'7. PGE_Efficacité'!$A$4:$AO$4,0)),0)</f>
        <v>0</v>
      </c>
      <c r="N192" s="64">
        <f>VLOOKUP($B192,'7. PGE_Efficacité'!$A$6:$CY$266,(MATCH('[3]4.4 ACE MAX SEN '!N$4,'7. PGE_Efficacité'!$A$4:$AO$4,0)),0)</f>
        <v>0</v>
      </c>
      <c r="O192" s="64">
        <f>VLOOKUP($B192,'7. PGE_Efficacité'!$A$6:$CY$266,(MATCH('[3]4.4 ACE MAX SEN '!O$4,'7. PGE_Efficacité'!$A$4:$AO$4,0)),0)</f>
        <v>0</v>
      </c>
      <c r="P192" s="64">
        <f>VLOOKUP($B192,'7. PGE_Efficacité'!$A$6:$CY$266,(MATCH('[3]4.4 ACE MAX SEN '!P$4,'7. PGE_Efficacité'!$A$4:$AO$4,0)),0)</f>
        <v>0</v>
      </c>
      <c r="Q192" s="64">
        <f>VLOOKUP($B192,'7. PGE_Efficacité'!$A$6:$CY$266,(MATCH('[3]4.4 ACE MAX SEN '!Q$4,'7. PGE_Efficacité'!$A$4:$AO$4,0)),0)</f>
        <v>0</v>
      </c>
      <c r="R192" s="64">
        <f>VLOOKUP($B192,'7. PGE_Efficacité'!$A$6:$CY$266,(MATCH('[3]4.4 ACE MAX SEN '!R$4,'7. PGE_Efficacité'!$A$4:$AO$4,0)),0)</f>
        <v>0</v>
      </c>
      <c r="S192" s="64">
        <f>VLOOKUP($B192,'7. PGE_Efficacité'!$A$6:$CY$266,(MATCH('[3]4.4 ACE MAX SEN '!S$4,'7. PGE_Efficacité'!$A$4:$AO$4,0)),0)</f>
        <v>0</v>
      </c>
      <c r="T192" s="64">
        <f>VLOOKUP($B192,'7. PGE_Efficacité'!$A$6:$CY$266,(MATCH('[3]4.4 ACE MAX SEN '!T$4,'7. PGE_Efficacité'!$A$4:$AO$4,0)),0)</f>
        <v>0</v>
      </c>
      <c r="U192" s="64">
        <f>VLOOKUP($B192,'7. PGE_Efficacité'!$A$6:$CY$266,(MATCH('[3]4.4 ACE MAX SEN '!U$4,'7. PGE_Efficacité'!$A$4:$AO$4,0)),0)</f>
        <v>0</v>
      </c>
      <c r="V192" s="64">
        <f>VLOOKUP($B192,'7. PGE_Efficacité'!$A$6:$CY$266,(MATCH('[3]4.4 ACE MAX SEN '!V$4,'7. PGE_Efficacité'!$A$4:$AO$4,0)),0)</f>
        <v>0</v>
      </c>
      <c r="W192" s="61">
        <f>VLOOKUP($B192,'7. PGE_Efficacité'!$A$6:$CY$266,(MATCH('[3]4.4 ACE MAX SEN '!W$4,'7. PGE_Efficacité'!$A$4:$AO$4,0)),0)</f>
        <v>0</v>
      </c>
      <c r="X192" s="61">
        <f>VLOOKUP($B192,'7. PGE_Efficacité'!$A$6:$CY$266,(MATCH('[3]4.4 ACE MAX SEN '!X$4,'7. PGE_Efficacité'!$A$4:$AO$4,0)),0)</f>
        <v>0</v>
      </c>
      <c r="Y192" s="61">
        <f>VLOOKUP($B192,'7. PGE_Efficacité'!$A$6:$CY$266,(MATCH('[3]4.4 ACE MAX SEN '!Y$4,'7. PGE_Efficacité'!$A$4:$AO$4,0)),0)</f>
        <v>0</v>
      </c>
      <c r="Z192" s="61">
        <f>VLOOKUP($B192,'7. PGE_Efficacité'!$A$6:$CY$266,(MATCH('[3]4.4 ACE MAX SEN '!Z$4,'7. PGE_Efficacité'!$A$4:$AO$4,0)),0)</f>
        <v>0</v>
      </c>
      <c r="AA192" s="61">
        <f>VLOOKUP($B192,'7. PGE_Efficacité'!$A$6:$CY$266,(MATCH('[3]4.4 ACE MAX SEN '!AA$4,'7. PGE_Efficacité'!$A$4:$AO$4,0)),0)</f>
        <v>0</v>
      </c>
      <c r="AB192" s="61">
        <f>VLOOKUP($B192,'7. PGE_Efficacité'!$A$6:$CY$266,(MATCH('[3]4.4 ACE MAX SEN '!AB$4,'7. PGE_Efficacité'!$A$4:$AO$4,0)),0)</f>
        <v>0</v>
      </c>
      <c r="AC192" s="61">
        <f>VLOOKUP($B192,'7. PGE_Efficacité'!$A$6:$CY$266,(MATCH('[3]4.4 ACE MAX SEN '!AC$4,'7. PGE_Efficacité'!$A$4:$AO$4,0)),0)</f>
        <v>0</v>
      </c>
      <c r="AD192" s="61">
        <f>VLOOKUP($B192,'7. PGE_Efficacité'!$A$6:$CY$266,(MATCH('[3]4.4 ACE MAX SEN '!AD$4,'7. PGE_Efficacité'!$A$4:$AO$4,0)),0)</f>
        <v>0</v>
      </c>
      <c r="AE192" s="61">
        <f>VLOOKUP($B192,'7. PGE_Efficacité'!$A$6:$CY$266,(MATCH('[3]4.4 ACE MAX SEN '!AE$4,'7. PGE_Efficacité'!$A$4:$AO$4,0)),0)</f>
        <v>0</v>
      </c>
      <c r="AF192" s="61">
        <f>VLOOKUP($B192,'7. PGE_Efficacité'!$A$6:$CY$266,(MATCH('[3]4.4 ACE MAX SEN '!AF$4,'7. PGE_Efficacité'!$A$4:$AO$4,0)),0)</f>
        <v>0</v>
      </c>
      <c r="AG192" s="61">
        <f>VLOOKUP($B192,'7. PGE_Efficacité'!$A$6:$CY$266,(MATCH('[3]4.4 ACE MAX SEN '!AG$4,'7. PGE_Efficacité'!$A$4:$AO$4,0)),0)</f>
        <v>0</v>
      </c>
      <c r="AH192" s="61">
        <f>VLOOKUP($B192,'7. PGE_Efficacité'!$A$6:$CY$266,(MATCH('[3]4.4 ACE MAX SEN '!AH$4,'7. PGE_Efficacité'!$A$4:$AO$4,0)),0)</f>
        <v>0</v>
      </c>
      <c r="AI192" s="61">
        <f>VLOOKUP($B192,'7. PGE_Efficacité'!$A$6:$CY$266,(MATCH('[3]4.4 ACE MAX SEN '!AI$4,'7. PGE_Efficacité'!$A$4:$AO$4,0)),0)</f>
        <v>0</v>
      </c>
      <c r="AJ192" s="61">
        <f>VLOOKUP($B192,'7. PGE_Efficacité'!$A$6:$CY$266,(MATCH('[3]4.4 ACE MAX SEN '!AJ$4,'7. PGE_Efficacité'!$A$4:$AO$4,0)),0)</f>
        <v>0</v>
      </c>
      <c r="AK192" s="61">
        <f>VLOOKUP($B192,'7. PGE_Efficacité'!$A$6:$CY$266,(MATCH('[3]4.4 ACE MAX SEN '!AK$4,'7. PGE_Efficacité'!$A$4:$AO$4,0)),0)</f>
        <v>0</v>
      </c>
    </row>
    <row r="193" spans="1:37" hidden="1" outlineLevel="2" x14ac:dyDescent="0.25">
      <c r="A193" s="65" t="s">
        <v>38</v>
      </c>
      <c r="B193" s="65" t="s">
        <v>897</v>
      </c>
      <c r="C193" s="65" t="s">
        <v>1487</v>
      </c>
      <c r="D193" s="65" t="s">
        <v>1522</v>
      </c>
      <c r="E193" s="65" t="s">
        <v>1290</v>
      </c>
      <c r="F193" s="70"/>
      <c r="G193" s="64">
        <f>VLOOKUP($B193,'7. PGE_Efficacité'!$A$6:$CY$266,(MATCH('[3]4.4 ACE MAX SEN '!G$4,'7. PGE_Efficacité'!$A$4:$AO$4,0)),0)</f>
        <v>0</v>
      </c>
      <c r="H193" s="64">
        <f>VLOOKUP($B193,'7. PGE_Efficacité'!$A$6:$CY$266,(MATCH('[3]4.4 ACE MAX SEN '!H$4,'7. PGE_Efficacité'!$A$4:$AO$4,0)),0)</f>
        <v>0</v>
      </c>
      <c r="I193" s="64">
        <f>VLOOKUP($B193,'7. PGE_Efficacité'!$A$6:$CY$266,(MATCH('[3]4.4 ACE MAX SEN '!I$4,'7. PGE_Efficacité'!$A$4:$AO$4,0)),0)</f>
        <v>0</v>
      </c>
      <c r="J193" s="64">
        <f>VLOOKUP($B193,'7. PGE_Efficacité'!$A$6:$CY$266,(MATCH('[3]4.4 ACE MAX SEN '!J$4,'7. PGE_Efficacité'!$A$4:$AO$4,0)),0)</f>
        <v>0</v>
      </c>
      <c r="K193" s="64">
        <f>VLOOKUP($B193,'7. PGE_Efficacité'!$A$6:$CY$266,(MATCH('[3]4.4 ACE MAX SEN '!K$4,'7. PGE_Efficacité'!$A$4:$AO$4,0)),0)</f>
        <v>0</v>
      </c>
      <c r="L193" s="64">
        <f>VLOOKUP($B193,'7. PGE_Efficacité'!$A$6:$CY$266,(MATCH('[3]4.4 ACE MAX SEN '!L$4,'7. PGE_Efficacité'!$A$4:$AO$4,0)),0)</f>
        <v>0</v>
      </c>
      <c r="M193" s="64">
        <f>VLOOKUP($B193,'7. PGE_Efficacité'!$A$6:$CY$266,(MATCH('[3]4.4 ACE MAX SEN '!M$4,'7. PGE_Efficacité'!$A$4:$AO$4,0)),0)</f>
        <v>0</v>
      </c>
      <c r="N193" s="64">
        <f>VLOOKUP($B193,'7. PGE_Efficacité'!$A$6:$CY$266,(MATCH('[3]4.4 ACE MAX SEN '!N$4,'7. PGE_Efficacité'!$A$4:$AO$4,0)),0)</f>
        <v>0</v>
      </c>
      <c r="O193" s="64">
        <f>VLOOKUP($B193,'7. PGE_Efficacité'!$A$6:$CY$266,(MATCH('[3]4.4 ACE MAX SEN '!O$4,'7. PGE_Efficacité'!$A$4:$AO$4,0)),0)</f>
        <v>0</v>
      </c>
      <c r="P193" s="64">
        <f>VLOOKUP($B193,'7. PGE_Efficacité'!$A$6:$CY$266,(MATCH('[3]4.4 ACE MAX SEN '!P$4,'7. PGE_Efficacité'!$A$4:$AO$4,0)),0)</f>
        <v>0</v>
      </c>
      <c r="Q193" s="64">
        <f>VLOOKUP($B193,'7. PGE_Efficacité'!$A$6:$CY$266,(MATCH('[3]4.4 ACE MAX SEN '!Q$4,'7. PGE_Efficacité'!$A$4:$AO$4,0)),0)</f>
        <v>0</v>
      </c>
      <c r="R193" s="64">
        <f>VLOOKUP($B193,'7. PGE_Efficacité'!$A$6:$CY$266,(MATCH('[3]4.4 ACE MAX SEN '!R$4,'7. PGE_Efficacité'!$A$4:$AO$4,0)),0)</f>
        <v>0</v>
      </c>
      <c r="S193" s="64">
        <f>VLOOKUP($B193,'7. PGE_Efficacité'!$A$6:$CY$266,(MATCH('[3]4.4 ACE MAX SEN '!S$4,'7. PGE_Efficacité'!$A$4:$AO$4,0)),0)</f>
        <v>0</v>
      </c>
      <c r="T193" s="64">
        <f>VLOOKUP($B193,'7. PGE_Efficacité'!$A$6:$CY$266,(MATCH('[3]4.4 ACE MAX SEN '!T$4,'7. PGE_Efficacité'!$A$4:$AO$4,0)),0)</f>
        <v>0</v>
      </c>
      <c r="U193" s="64">
        <f>VLOOKUP($B193,'7. PGE_Efficacité'!$A$6:$CY$266,(MATCH('[3]4.4 ACE MAX SEN '!U$4,'7. PGE_Efficacité'!$A$4:$AO$4,0)),0)</f>
        <v>0</v>
      </c>
      <c r="V193" s="64">
        <f>VLOOKUP($B193,'7. PGE_Efficacité'!$A$6:$CY$266,(MATCH('[3]4.4 ACE MAX SEN '!V$4,'7. PGE_Efficacité'!$A$4:$AO$4,0)),0)</f>
        <v>0</v>
      </c>
      <c r="W193" s="61">
        <f>VLOOKUP($B193,'7. PGE_Efficacité'!$A$6:$CY$266,(MATCH('[3]4.4 ACE MAX SEN '!W$4,'7. PGE_Efficacité'!$A$4:$AO$4,0)),0)</f>
        <v>0</v>
      </c>
      <c r="X193" s="61">
        <f>VLOOKUP($B193,'7. PGE_Efficacité'!$A$6:$CY$266,(MATCH('[3]4.4 ACE MAX SEN '!X$4,'7. PGE_Efficacité'!$A$4:$AO$4,0)),0)</f>
        <v>0</v>
      </c>
      <c r="Y193" s="61">
        <f>VLOOKUP($B193,'7. PGE_Efficacité'!$A$6:$CY$266,(MATCH('[3]4.4 ACE MAX SEN '!Y$4,'7. PGE_Efficacité'!$A$4:$AO$4,0)),0)</f>
        <v>0</v>
      </c>
      <c r="Z193" s="61">
        <f>VLOOKUP($B193,'7. PGE_Efficacité'!$A$6:$CY$266,(MATCH('[3]4.4 ACE MAX SEN '!Z$4,'7. PGE_Efficacité'!$A$4:$AO$4,0)),0)</f>
        <v>0</v>
      </c>
      <c r="AA193" s="61">
        <f>VLOOKUP($B193,'7. PGE_Efficacité'!$A$6:$CY$266,(MATCH('[3]4.4 ACE MAX SEN '!AA$4,'7. PGE_Efficacité'!$A$4:$AO$4,0)),0)</f>
        <v>0</v>
      </c>
      <c r="AB193" s="61">
        <f>VLOOKUP($B193,'7. PGE_Efficacité'!$A$6:$CY$266,(MATCH('[3]4.4 ACE MAX SEN '!AB$4,'7. PGE_Efficacité'!$A$4:$AO$4,0)),0)</f>
        <v>0</v>
      </c>
      <c r="AC193" s="61">
        <f>VLOOKUP($B193,'7. PGE_Efficacité'!$A$6:$CY$266,(MATCH('[3]4.4 ACE MAX SEN '!AC$4,'7. PGE_Efficacité'!$A$4:$AO$4,0)),0)</f>
        <v>0</v>
      </c>
      <c r="AD193" s="61">
        <f>VLOOKUP($B193,'7. PGE_Efficacité'!$A$6:$CY$266,(MATCH('[3]4.4 ACE MAX SEN '!AD$4,'7. PGE_Efficacité'!$A$4:$AO$4,0)),0)</f>
        <v>0</v>
      </c>
      <c r="AE193" s="61">
        <f>VLOOKUP($B193,'7. PGE_Efficacité'!$A$6:$CY$266,(MATCH('[3]4.4 ACE MAX SEN '!AE$4,'7. PGE_Efficacité'!$A$4:$AO$4,0)),0)</f>
        <v>0</v>
      </c>
      <c r="AF193" s="61">
        <f>VLOOKUP($B193,'7. PGE_Efficacité'!$A$6:$CY$266,(MATCH('[3]4.4 ACE MAX SEN '!AF$4,'7. PGE_Efficacité'!$A$4:$AO$4,0)),0)</f>
        <v>0</v>
      </c>
      <c r="AG193" s="61">
        <f>VLOOKUP($B193,'7. PGE_Efficacité'!$A$6:$CY$266,(MATCH('[3]4.4 ACE MAX SEN '!AG$4,'7. PGE_Efficacité'!$A$4:$AO$4,0)),0)</f>
        <v>0</v>
      </c>
      <c r="AH193" s="61">
        <f>VLOOKUP($B193,'7. PGE_Efficacité'!$A$6:$CY$266,(MATCH('[3]4.4 ACE MAX SEN '!AH$4,'7. PGE_Efficacité'!$A$4:$AO$4,0)),0)</f>
        <v>0</v>
      </c>
      <c r="AI193" s="61">
        <f>VLOOKUP($B193,'7. PGE_Efficacité'!$A$6:$CY$266,(MATCH('[3]4.4 ACE MAX SEN '!AI$4,'7. PGE_Efficacité'!$A$4:$AO$4,0)),0)</f>
        <v>0</v>
      </c>
      <c r="AJ193" s="61">
        <f>VLOOKUP($B193,'7. PGE_Efficacité'!$A$6:$CY$266,(MATCH('[3]4.4 ACE MAX SEN '!AJ$4,'7. PGE_Efficacité'!$A$4:$AO$4,0)),0)</f>
        <v>0</v>
      </c>
      <c r="AK193" s="61">
        <f>VLOOKUP($B193,'7. PGE_Efficacité'!$A$6:$CY$266,(MATCH('[3]4.4 ACE MAX SEN '!AK$4,'7. PGE_Efficacité'!$A$4:$AO$4,0)),0)</f>
        <v>0</v>
      </c>
    </row>
    <row r="194" spans="1:37" ht="26.25" outlineLevel="1" collapsed="1" x14ac:dyDescent="0.25">
      <c r="A194" s="184" t="s">
        <v>65</v>
      </c>
      <c r="B194" s="185"/>
      <c r="C194" s="186" t="s">
        <v>241</v>
      </c>
      <c r="D194" s="185"/>
      <c r="E194" s="185"/>
      <c r="F194" s="78">
        <f>MEDIAN(VLOOKUP(A194,'4. Mesures_ACE_Budget'!$A$3:$J$31,9,0),VLOOKUP(A194,'4. Mesures_ACE_Budget'!$A$3:$J$31,10,0))</f>
        <v>0</v>
      </c>
      <c r="G194" s="229" t="e">
        <f>VLOOKUP($A194,'7. PGE_Efficacité'!$A$6:$CY$266,(MATCH('[2]4.4 ACE MAX SEN '!G$4,'7. PGE_Efficacité'!$A$4:$AO$4,0)),0)</f>
        <v>#N/A</v>
      </c>
      <c r="H194" s="229" t="e">
        <f>VLOOKUP($A194,'7. PGE_Efficacité'!$A$6:$CY$266,(MATCH('[2]4.4 ACE MAX SEN '!H$4,'7. PGE_Efficacité'!$A$4:$AO$4,0)),0)</f>
        <v>#N/A</v>
      </c>
      <c r="I194" s="229" t="e">
        <f>VLOOKUP($A194,'7. PGE_Efficacité'!$A$6:$CY$266,(MATCH('[2]4.4 ACE MAX SEN '!I$4,'7. PGE_Efficacité'!$A$4:$AO$4,0)),0)</f>
        <v>#N/A</v>
      </c>
      <c r="J194" s="229" t="e">
        <f>VLOOKUP($A194,'7. PGE_Efficacité'!$A$6:$CY$266,(MATCH('[2]4.4 ACE MAX SEN '!J$4,'7. PGE_Efficacité'!$A$4:$AO$4,0)),0)</f>
        <v>#N/A</v>
      </c>
      <c r="K194" s="229" t="e">
        <f>VLOOKUP($A194,'7. PGE_Efficacité'!$A$6:$CY$266,(MATCH('[2]4.4 ACE MAX SEN '!K$4,'7. PGE_Efficacité'!$A$4:$AO$4,0)),0)</f>
        <v>#N/A</v>
      </c>
      <c r="L194" s="229" t="e">
        <f>VLOOKUP($A194,'7. PGE_Efficacité'!$A$6:$CY$266,(MATCH('[2]4.4 ACE MAX SEN '!L$4,'7. PGE_Efficacité'!$A$4:$AO$4,0)),0)</f>
        <v>#N/A</v>
      </c>
      <c r="M194" s="229" t="e">
        <f>VLOOKUP($A194,'7. PGE_Efficacité'!$A$6:$CY$266,(MATCH('[2]4.4 ACE MAX SEN '!M$4,'7. PGE_Efficacité'!$A$4:$AO$4,0)),0)</f>
        <v>#N/A</v>
      </c>
      <c r="N194" s="229" t="e">
        <f>VLOOKUP($A194,'7. PGE_Efficacité'!$A$6:$CY$266,(MATCH('[2]4.4 ACE MAX SEN '!N$4,'7. PGE_Efficacité'!$A$4:$AO$4,0)),0)</f>
        <v>#N/A</v>
      </c>
      <c r="O194" s="229" t="e">
        <f>VLOOKUP($A194,'7. PGE_Efficacité'!$A$6:$CY$266,(MATCH('[2]4.4 ACE MAX SEN '!O$4,'7. PGE_Efficacité'!$A$4:$AO$4,0)),0)</f>
        <v>#N/A</v>
      </c>
      <c r="P194" s="229" t="e">
        <f>VLOOKUP($A194,'7. PGE_Efficacité'!$A$6:$CY$266,(MATCH('[2]4.4 ACE MAX SEN '!P$4,'7. PGE_Efficacité'!$A$4:$AO$4,0)),0)</f>
        <v>#N/A</v>
      </c>
      <c r="Q194" s="229" t="e">
        <f>VLOOKUP($A194,'7. PGE_Efficacité'!$A$6:$CY$266,(MATCH('[2]4.4 ACE MAX SEN '!Q$4,'7. PGE_Efficacité'!$A$4:$AO$4,0)),0)</f>
        <v>#N/A</v>
      </c>
      <c r="R194" s="229" t="e">
        <f>VLOOKUP($A194,'7. PGE_Efficacité'!$A$6:$CY$266,(MATCH('[2]4.4 ACE MAX SEN '!R$4,'7. PGE_Efficacité'!$A$4:$AO$4,0)),0)</f>
        <v>#N/A</v>
      </c>
      <c r="S194" s="229" t="e">
        <f>VLOOKUP($A194,'7. PGE_Efficacité'!$A$6:$CY$266,(MATCH('[2]4.4 ACE MAX SEN '!S$4,'7. PGE_Efficacité'!$A$4:$AO$4,0)),0)</f>
        <v>#N/A</v>
      </c>
      <c r="T194" s="229" t="e">
        <f>VLOOKUP($A194,'7. PGE_Efficacité'!$A$6:$CY$266,(MATCH('[2]4.4 ACE MAX SEN '!T$4,'7. PGE_Efficacité'!$A$4:$AO$4,0)),0)</f>
        <v>#N/A</v>
      </c>
      <c r="U194" s="229" t="e">
        <f>VLOOKUP($A194,'7. PGE_Efficacité'!$A$6:$CY$266,(MATCH('[2]4.4 ACE MAX SEN '!U$4,'7. PGE_Efficacité'!$A$4:$AO$4,0)),0)</f>
        <v>#N/A</v>
      </c>
      <c r="V194" s="229" t="e">
        <f>VLOOKUP($A194,'7. PGE_Efficacité'!$A$6:$CY$266,(MATCH('[2]4.4 ACE MAX SEN '!V$4,'7. PGE_Efficacité'!$A$4:$AO$4,0)),0)</f>
        <v>#N/A</v>
      </c>
      <c r="W194" s="230" t="e">
        <f>VLOOKUP($A194,'7. PGE_Efficacité'!$A$6:$CY$266,(MATCH('[2]4.4 ACE MAX SEN '!W$4,'7. PGE_Efficacité'!$A$4:$AO$4,0)),0)</f>
        <v>#N/A</v>
      </c>
      <c r="X194" s="230" t="e">
        <f>VLOOKUP($A194,'7. PGE_Efficacité'!$A$6:$CY$266,(MATCH('[2]4.4 ACE MAX SEN '!X$4,'7. PGE_Efficacité'!$A$4:$AO$4,0)),0)</f>
        <v>#N/A</v>
      </c>
      <c r="Y194" s="230" t="e">
        <f>VLOOKUP($A194,'7. PGE_Efficacité'!$A$6:$CY$266,(MATCH('[2]4.4 ACE MAX SEN '!Y$4,'7. PGE_Efficacité'!$A$4:$AO$4,0)),0)</f>
        <v>#N/A</v>
      </c>
      <c r="Z194" s="230" t="e">
        <f>VLOOKUP($A194,'7. PGE_Efficacité'!$A$6:$CY$266,(MATCH('[2]4.4 ACE MAX SEN '!Z$4,'7. PGE_Efficacité'!$A$4:$AO$4,0)),0)</f>
        <v>#N/A</v>
      </c>
      <c r="AA194" s="230" t="e">
        <f>VLOOKUP($A194,'7. PGE_Efficacité'!$A$6:$CY$266,(MATCH('[2]4.4 ACE MAX SEN '!AA$4,'7. PGE_Efficacité'!$A$4:$AO$4,0)),0)</f>
        <v>#N/A</v>
      </c>
      <c r="AB194" s="230" t="e">
        <f>VLOOKUP($A194,'7. PGE_Efficacité'!$A$6:$CY$266,(MATCH('[2]4.4 ACE MAX SEN '!AB$4,'7. PGE_Efficacité'!$A$4:$AO$4,0)),0)</f>
        <v>#N/A</v>
      </c>
      <c r="AC194" s="230" t="e">
        <f>VLOOKUP($A194,'7. PGE_Efficacité'!$A$6:$CY$266,(MATCH('[2]4.4 ACE MAX SEN '!AC$4,'7. PGE_Efficacité'!$A$4:$AO$4,0)),0)</f>
        <v>#N/A</v>
      </c>
      <c r="AD194" s="230" t="e">
        <f>VLOOKUP($A194,'7. PGE_Efficacité'!$A$6:$CY$266,(MATCH('[2]4.4 ACE MAX SEN '!AD$4,'7. PGE_Efficacité'!$A$4:$AO$4,0)),0)</f>
        <v>#N/A</v>
      </c>
      <c r="AE194" s="230" t="e">
        <f>VLOOKUP($A194,'7. PGE_Efficacité'!$A$6:$CY$266,(MATCH('[2]4.4 ACE MAX SEN '!AE$4,'7. PGE_Efficacité'!$A$4:$AO$4,0)),0)</f>
        <v>#N/A</v>
      </c>
      <c r="AF194" s="230" t="e">
        <f>VLOOKUP($A194,'7. PGE_Efficacité'!$A$6:$CY$266,(MATCH('[2]4.4 ACE MAX SEN '!AF$4,'7. PGE_Efficacité'!$A$4:$AO$4,0)),0)</f>
        <v>#N/A</v>
      </c>
      <c r="AG194" s="230" t="e">
        <f>VLOOKUP($A194,'7. PGE_Efficacité'!$A$6:$CY$266,(MATCH('[2]4.4 ACE MAX SEN '!AG$4,'7. PGE_Efficacité'!$A$4:$AO$4,0)),0)</f>
        <v>#N/A</v>
      </c>
      <c r="AH194" s="230" t="e">
        <f>VLOOKUP($A194,'7. PGE_Efficacité'!$A$6:$CY$266,(MATCH('[2]4.4 ACE MAX SEN '!AH$4,'7. PGE_Efficacité'!$A$4:$AO$4,0)),0)</f>
        <v>#N/A</v>
      </c>
      <c r="AI194" s="230" t="e">
        <f>VLOOKUP($A194,'7. PGE_Efficacité'!$A$6:$CY$266,(MATCH('[2]4.4 ACE MAX SEN '!AI$4,'7. PGE_Efficacité'!$A$4:$AO$4,0)),0)</f>
        <v>#N/A</v>
      </c>
      <c r="AJ194" s="230" t="e">
        <f>VLOOKUP($A194,'7. PGE_Efficacité'!$A$6:$CY$266,(MATCH('[2]4.4 ACE MAX SEN '!AJ$4,'7. PGE_Efficacité'!$A$4:$AO$4,0)),0)</f>
        <v>#N/A</v>
      </c>
      <c r="AK194" s="230" t="e">
        <f>VLOOKUP($A194,'7. PGE_Efficacité'!$A$6:$CY$266,(MATCH('[2]4.4 ACE MAX SEN '!AK$4,'7. PGE_Efficacité'!$A$4:$AO$4,0)),0)</f>
        <v>#N/A</v>
      </c>
    </row>
    <row r="195" spans="1:37" hidden="1" outlineLevel="2" x14ac:dyDescent="0.25">
      <c r="A195" s="65" t="s">
        <v>65</v>
      </c>
      <c r="B195" s="65" t="s">
        <v>952</v>
      </c>
      <c r="C195" s="65" t="s">
        <v>1488</v>
      </c>
      <c r="D195" s="65" t="s">
        <v>1522</v>
      </c>
      <c r="E195" s="76" t="s">
        <v>1578</v>
      </c>
      <c r="F195" s="73"/>
      <c r="G195" s="64"/>
      <c r="H195" s="64"/>
      <c r="I195" s="64"/>
      <c r="J195" s="64"/>
      <c r="K195" s="64"/>
      <c r="L195" s="64"/>
      <c r="M195" s="64"/>
      <c r="N195" s="64"/>
      <c r="O195" s="64"/>
      <c r="P195" s="64"/>
      <c r="Q195" s="64"/>
      <c r="R195" s="64"/>
      <c r="S195" s="64"/>
      <c r="T195" s="64"/>
      <c r="U195" s="64"/>
      <c r="V195" s="64"/>
      <c r="W195" s="61"/>
      <c r="X195" s="61"/>
      <c r="Y195" s="61"/>
      <c r="Z195" s="61"/>
      <c r="AA195" s="61"/>
      <c r="AB195" s="61"/>
      <c r="AC195" s="61"/>
      <c r="AD195" s="61"/>
      <c r="AE195" s="61"/>
      <c r="AF195" s="61"/>
      <c r="AG195" s="61"/>
      <c r="AH195" s="61"/>
      <c r="AI195" s="61"/>
      <c r="AJ195" s="61"/>
      <c r="AK195" s="61"/>
    </row>
    <row r="196" spans="1:37" hidden="1" outlineLevel="2" x14ac:dyDescent="0.25">
      <c r="A196" s="65" t="s">
        <v>65</v>
      </c>
      <c r="B196" s="65" t="s">
        <v>953</v>
      </c>
      <c r="C196" s="65" t="s">
        <v>1489</v>
      </c>
      <c r="D196" s="65" t="s">
        <v>1522</v>
      </c>
      <c r="E196" s="76" t="s">
        <v>1578</v>
      </c>
      <c r="F196" s="70"/>
      <c r="G196" s="64"/>
      <c r="H196" s="64"/>
      <c r="I196" s="64"/>
      <c r="J196" s="64"/>
      <c r="K196" s="64"/>
      <c r="L196" s="64"/>
      <c r="M196" s="64"/>
      <c r="N196" s="64"/>
      <c r="O196" s="64"/>
      <c r="P196" s="64"/>
      <c r="Q196" s="64"/>
      <c r="R196" s="64"/>
      <c r="S196" s="64"/>
      <c r="T196" s="64"/>
      <c r="U196" s="64"/>
      <c r="V196" s="64"/>
      <c r="W196" s="61"/>
      <c r="X196" s="61"/>
      <c r="Y196" s="61"/>
      <c r="Z196" s="61"/>
      <c r="AA196" s="61"/>
      <c r="AB196" s="61"/>
      <c r="AC196" s="61"/>
      <c r="AD196" s="61"/>
      <c r="AE196" s="61"/>
      <c r="AF196" s="61"/>
      <c r="AG196" s="61"/>
      <c r="AH196" s="61"/>
      <c r="AI196" s="61"/>
      <c r="AJ196" s="61"/>
      <c r="AK196" s="61"/>
    </row>
    <row r="197" spans="1:37" hidden="1" outlineLevel="2" x14ac:dyDescent="0.25">
      <c r="A197" s="65" t="s">
        <v>65</v>
      </c>
      <c r="B197" s="65" t="s">
        <v>954</v>
      </c>
      <c r="C197" s="65" t="s">
        <v>1490</v>
      </c>
      <c r="D197" s="65" t="s">
        <v>1522</v>
      </c>
      <c r="E197" s="76" t="s">
        <v>1578</v>
      </c>
      <c r="F197" s="70"/>
      <c r="G197" s="64"/>
      <c r="H197" s="64"/>
      <c r="I197" s="64"/>
      <c r="J197" s="64"/>
      <c r="K197" s="64"/>
      <c r="L197" s="64"/>
      <c r="M197" s="64"/>
      <c r="N197" s="64"/>
      <c r="O197" s="64"/>
      <c r="P197" s="64"/>
      <c r="Q197" s="64"/>
      <c r="R197" s="64"/>
      <c r="S197" s="64"/>
      <c r="T197" s="64"/>
      <c r="U197" s="64"/>
      <c r="V197" s="64"/>
      <c r="W197" s="61"/>
      <c r="X197" s="61"/>
      <c r="Y197" s="61"/>
      <c r="Z197" s="61"/>
      <c r="AA197" s="61"/>
      <c r="AB197" s="61"/>
      <c r="AC197" s="61"/>
      <c r="AD197" s="61"/>
      <c r="AE197" s="61"/>
      <c r="AF197" s="61"/>
      <c r="AG197" s="61"/>
      <c r="AH197" s="61"/>
      <c r="AI197" s="61"/>
      <c r="AJ197" s="61"/>
      <c r="AK197" s="61"/>
    </row>
    <row r="198" spans="1:37" hidden="1" outlineLevel="2" x14ac:dyDescent="0.25">
      <c r="A198" s="65" t="s">
        <v>65</v>
      </c>
      <c r="B198" s="65" t="s">
        <v>955</v>
      </c>
      <c r="C198" s="65" t="s">
        <v>1491</v>
      </c>
      <c r="D198" s="65" t="s">
        <v>1522</v>
      </c>
      <c r="E198" s="76" t="s">
        <v>1578</v>
      </c>
      <c r="F198" s="70"/>
      <c r="G198" s="64"/>
      <c r="H198" s="64"/>
      <c r="I198" s="64"/>
      <c r="J198" s="64"/>
      <c r="K198" s="64"/>
      <c r="L198" s="64"/>
      <c r="M198" s="64"/>
      <c r="N198" s="64"/>
      <c r="O198" s="64"/>
      <c r="P198" s="64"/>
      <c r="Q198" s="64"/>
      <c r="R198" s="64"/>
      <c r="S198" s="64"/>
      <c r="T198" s="64"/>
      <c r="U198" s="64"/>
      <c r="V198" s="64"/>
      <c r="W198" s="61"/>
      <c r="X198" s="61"/>
      <c r="Y198" s="61"/>
      <c r="Z198" s="61"/>
      <c r="AA198" s="61"/>
      <c r="AB198" s="61"/>
      <c r="AC198" s="61"/>
      <c r="AD198" s="61"/>
      <c r="AE198" s="61"/>
      <c r="AF198" s="61"/>
      <c r="AG198" s="61"/>
      <c r="AH198" s="61"/>
      <c r="AI198" s="61"/>
      <c r="AJ198" s="61"/>
      <c r="AK198" s="61"/>
    </row>
    <row r="199" spans="1:37" hidden="1" outlineLevel="2" x14ac:dyDescent="0.25">
      <c r="A199" s="65" t="s">
        <v>65</v>
      </c>
      <c r="B199" s="65" t="s">
        <v>956</v>
      </c>
      <c r="C199" s="65" t="s">
        <v>1492</v>
      </c>
      <c r="D199" s="65" t="s">
        <v>1522</v>
      </c>
      <c r="E199" s="76" t="s">
        <v>1578</v>
      </c>
      <c r="F199" s="70"/>
      <c r="G199" s="64"/>
      <c r="H199" s="64"/>
      <c r="I199" s="64"/>
      <c r="J199" s="64"/>
      <c r="K199" s="64"/>
      <c r="L199" s="64"/>
      <c r="M199" s="64"/>
      <c r="N199" s="64"/>
      <c r="O199" s="64"/>
      <c r="P199" s="64"/>
      <c r="Q199" s="64"/>
      <c r="R199" s="64"/>
      <c r="S199" s="64"/>
      <c r="T199" s="64"/>
      <c r="U199" s="64"/>
      <c r="V199" s="64"/>
      <c r="W199" s="61"/>
      <c r="X199" s="61"/>
      <c r="Y199" s="61"/>
      <c r="Z199" s="61"/>
      <c r="AA199" s="61"/>
      <c r="AB199" s="61"/>
      <c r="AC199" s="61"/>
      <c r="AD199" s="61"/>
      <c r="AE199" s="61"/>
      <c r="AF199" s="61"/>
      <c r="AG199" s="61"/>
      <c r="AH199" s="61"/>
      <c r="AI199" s="61"/>
      <c r="AJ199" s="61"/>
      <c r="AK199" s="61"/>
    </row>
    <row r="200" spans="1:37" ht="26.25" outlineLevel="1" collapsed="1" x14ac:dyDescent="0.25">
      <c r="A200" s="157" t="s">
        <v>79</v>
      </c>
      <c r="B200" s="63"/>
      <c r="C200" s="156" t="s">
        <v>360</v>
      </c>
      <c r="D200" s="63"/>
      <c r="E200" s="63"/>
      <c r="F200" s="72">
        <f>MEDIAN(VLOOKUP(A200,'4. Mesures_ACE_Budget'!$A$3:$J$31,9,0),VLOOKUP(A200,'4. Mesures_ACE_Budget'!$A$3:$J$31,10,0))</f>
        <v>630362800</v>
      </c>
      <c r="G200" s="182" t="str">
        <f>VLOOKUP($A200,'7. PGE_Efficacité'!$A$6:$CY$268,(MATCH('[2]4.4 ACE MAX SEN '!G$4,'7. PGE_Efficacité'!$A$4:$AO$4,0)),0)</f>
        <v>+</v>
      </c>
      <c r="H200" s="182" t="str">
        <f>VLOOKUP($A200,'7. PGE_Efficacité'!$A$6:$CY$268,(MATCH('[2]4.4 ACE MAX SEN '!H$4,'7. PGE_Efficacité'!$A$4:$AO$4,0)),0)</f>
        <v>++</v>
      </c>
      <c r="I200" s="182" t="str">
        <f>VLOOKUP($A200,'7. PGE_Efficacité'!$A$6:$CY$268,(MATCH('[2]4.4 ACE MAX SEN '!I$4,'7. PGE_Efficacité'!$A$4:$AO$4,0)),0)</f>
        <v>+</v>
      </c>
      <c r="J200" s="182" t="str">
        <f>VLOOKUP($A200,'7. PGE_Efficacité'!$A$6:$CY$268,(MATCH('[2]4.4 ACE MAX SEN '!J$4,'7. PGE_Efficacité'!$A$4:$AO$4,0)),0)</f>
        <v>++</v>
      </c>
      <c r="K200" s="182" t="str">
        <f>VLOOKUP($A200,'7. PGE_Efficacité'!$A$6:$CY$268,(MATCH('[2]4.4 ACE MAX SEN '!K$4,'7. PGE_Efficacité'!$A$4:$AO$4,0)),0)</f>
        <v>++</v>
      </c>
      <c r="L200" s="182" t="str">
        <f>VLOOKUP($A200,'7. PGE_Efficacité'!$A$6:$CY$268,(MATCH('[2]4.4 ACE MAX SEN '!L$4,'7. PGE_Efficacité'!$A$4:$AO$4,0)),0)</f>
        <v>++</v>
      </c>
      <c r="M200" s="182" t="str">
        <f>VLOOKUP($A200,'7. PGE_Efficacité'!$A$6:$CY$268,(MATCH('[2]4.4 ACE MAX SEN '!M$4,'7. PGE_Efficacité'!$A$4:$AO$4,0)),0)</f>
        <v>++</v>
      </c>
      <c r="N200" s="182" t="str">
        <f>VLOOKUP($A200,'7. PGE_Efficacité'!$A$6:$CY$268,(MATCH('[2]4.4 ACE MAX SEN '!N$4,'7. PGE_Efficacité'!$A$4:$AO$4,0)),0)</f>
        <v>+</v>
      </c>
      <c r="O200" s="182" t="str">
        <f>VLOOKUP($A200,'7. PGE_Efficacité'!$A$6:$CY$268,(MATCH('[2]4.4 ACE MAX SEN '!O$4,'7. PGE_Efficacité'!$A$4:$AO$4,0)),0)</f>
        <v>+</v>
      </c>
      <c r="P200" s="182" t="str">
        <f>VLOOKUP($A200,'7. PGE_Efficacité'!$A$6:$CY$268,(MATCH('[2]4.4 ACE MAX SEN '!P$4,'7. PGE_Efficacité'!$A$4:$AO$4,0)),0)</f>
        <v>+</v>
      </c>
      <c r="Q200" s="182" t="str">
        <f>VLOOKUP($A200,'7. PGE_Efficacité'!$A$6:$CY$268,(MATCH('[2]4.4 ACE MAX SEN '!Q$4,'7. PGE_Efficacité'!$A$4:$AO$4,0)),0)</f>
        <v>+</v>
      </c>
      <c r="R200" s="182">
        <f>VLOOKUP($A200,'7. PGE_Efficacité'!$A$6:$CY$268,(MATCH('[2]4.4 ACE MAX SEN '!R$4,'7. PGE_Efficacité'!$A$4:$AO$4,0)),0)</f>
        <v>0</v>
      </c>
      <c r="S200" s="182" t="str">
        <f>VLOOKUP($A200,'7. PGE_Efficacité'!$A$6:$CY$268,(MATCH('[2]4.4 ACE MAX SEN '!S$4,'7. PGE_Efficacité'!$A$4:$AO$4,0)),0)</f>
        <v>+</v>
      </c>
      <c r="T200" s="182" t="str">
        <f>VLOOKUP($A200,'7. PGE_Efficacité'!$A$6:$CY$268,(MATCH('[2]4.4 ACE MAX SEN '!T$4,'7. PGE_Efficacité'!$A$4:$AO$4,0)),0)</f>
        <v>+</v>
      </c>
      <c r="U200" s="182" t="str">
        <f>VLOOKUP($A200,'7. PGE_Efficacité'!$A$6:$CY$268,(MATCH('[2]4.4 ACE MAX SEN '!U$4,'7. PGE_Efficacité'!$A$4:$AO$4,0)),0)</f>
        <v>+</v>
      </c>
      <c r="V200" s="182" t="str">
        <f>VLOOKUP($A200,'7. PGE_Efficacité'!$A$6:$CY$268,(MATCH('[2]4.4 ACE MAX SEN '!V$4,'7. PGE_Efficacité'!$A$4:$AO$4,0)),0)</f>
        <v>+</v>
      </c>
      <c r="W200" s="183" t="str">
        <f>VLOOKUP($A200,'7. PGE_Efficacité'!$A$6:$CY$268,(MATCH('[2]4.4 ACE MAX SEN '!W$4,'7. PGE_Efficacité'!$A$4:$AO$4,0)),0)</f>
        <v>+</v>
      </c>
      <c r="X200" s="183" t="str">
        <f>VLOOKUP($A200,'7. PGE_Efficacité'!$A$6:$CY$268,(MATCH('[2]4.4 ACE MAX SEN '!X$4,'7. PGE_Efficacité'!$A$4:$AO$4,0)),0)</f>
        <v>+</v>
      </c>
      <c r="Y200" s="183" t="str">
        <f>VLOOKUP($A200,'7. PGE_Efficacité'!$A$6:$CY$268,(MATCH('[2]4.4 ACE MAX SEN '!Y$4,'7. PGE_Efficacité'!$A$4:$AO$4,0)),0)</f>
        <v>+</v>
      </c>
      <c r="Z200" s="183" t="str">
        <f>VLOOKUP($A200,'7. PGE_Efficacité'!$A$6:$CY$268,(MATCH('[2]4.4 ACE MAX SEN '!Z$4,'7. PGE_Efficacité'!$A$4:$AO$4,0)),0)</f>
        <v>+</v>
      </c>
      <c r="AA200" s="183" t="str">
        <f>VLOOKUP($A200,'7. PGE_Efficacité'!$A$6:$CY$268,(MATCH('[2]4.4 ACE MAX SEN '!AA$4,'7. PGE_Efficacité'!$A$4:$AO$4,0)),0)</f>
        <v>+</v>
      </c>
      <c r="AB200" s="183" t="str">
        <f>VLOOKUP($A200,'7. PGE_Efficacité'!$A$6:$CY$268,(MATCH('[2]4.4 ACE MAX SEN '!AB$4,'7. PGE_Efficacité'!$A$4:$AO$4,0)),0)</f>
        <v>+</v>
      </c>
      <c r="AC200" s="183" t="str">
        <f>VLOOKUP($A200,'7. PGE_Efficacité'!$A$6:$CY$268,(MATCH('[2]4.4 ACE MAX SEN '!AC$4,'7. PGE_Efficacité'!$A$4:$AO$4,0)),0)</f>
        <v>+</v>
      </c>
      <c r="AD200" s="183" t="str">
        <f>VLOOKUP($A200,'7. PGE_Efficacité'!$A$6:$CY$268,(MATCH('[2]4.4 ACE MAX SEN '!AD$4,'7. PGE_Efficacité'!$A$4:$AO$4,0)),0)</f>
        <v>++</v>
      </c>
      <c r="AE200" s="183" t="str">
        <f>VLOOKUP($A200,'7. PGE_Efficacité'!$A$6:$CY$268,(MATCH('[2]4.4 ACE MAX SEN '!AE$4,'7. PGE_Efficacité'!$A$4:$AO$4,0)),0)</f>
        <v>++</v>
      </c>
      <c r="AF200" s="183">
        <f>VLOOKUP($A200,'7. PGE_Efficacité'!$A$6:$CY$268,(MATCH('[2]4.4 ACE MAX SEN '!AF$4,'7. PGE_Efficacité'!$A$4:$AO$4,0)),0)</f>
        <v>0</v>
      </c>
      <c r="AG200" s="183">
        <f>VLOOKUP($A200,'7. PGE_Efficacité'!$A$6:$CY$268,(MATCH('[2]4.4 ACE MAX SEN '!AG$4,'7. PGE_Efficacité'!$A$4:$AO$4,0)),0)</f>
        <v>0</v>
      </c>
      <c r="AH200" s="183" t="str">
        <f>VLOOKUP($A200,'7. PGE_Efficacité'!$A$6:$CY$268,(MATCH('[2]4.4 ACE MAX SEN '!AH$4,'7. PGE_Efficacité'!$A$4:$AO$4,0)),0)</f>
        <v>+</v>
      </c>
      <c r="AI200" s="183" t="str">
        <f>VLOOKUP($A200,'7. PGE_Efficacité'!$A$6:$CY$268,(MATCH('[2]4.4 ACE MAX SEN '!AI$4,'7. PGE_Efficacité'!$A$4:$AO$4,0)),0)</f>
        <v>+</v>
      </c>
      <c r="AJ200" s="183" t="str">
        <f>VLOOKUP($A200,'7. PGE_Efficacité'!$A$6:$CY$268,(MATCH('[2]4.4 ACE MAX SEN '!AJ$4,'7. PGE_Efficacité'!$A$4:$AO$4,0)),0)</f>
        <v>+</v>
      </c>
      <c r="AK200" s="183" t="str">
        <f>VLOOKUP($A200,'7. PGE_Efficacité'!$A$6:$CY$268,(MATCH('[2]4.4 ACE MAX SEN '!AK$4,'7. PGE_Efficacité'!$A$4:$AO$4,0)),0)</f>
        <v>+</v>
      </c>
    </row>
    <row r="201" spans="1:37" hidden="1" outlineLevel="2" x14ac:dyDescent="0.25">
      <c r="A201" s="67" t="s">
        <v>79</v>
      </c>
      <c r="B201" s="67" t="s">
        <v>417</v>
      </c>
      <c r="C201" s="67" t="s">
        <v>1293</v>
      </c>
      <c r="D201" s="67" t="s">
        <v>1520</v>
      </c>
      <c r="E201" s="67" t="s">
        <v>1290</v>
      </c>
      <c r="F201" s="71"/>
      <c r="G201" s="68"/>
      <c r="H201" s="68"/>
      <c r="I201" s="68"/>
      <c r="J201" s="68"/>
      <c r="K201" s="68"/>
      <c r="L201" s="68"/>
      <c r="M201" s="68"/>
      <c r="N201" s="68"/>
      <c r="O201" s="68"/>
      <c r="P201" s="68"/>
      <c r="Q201" s="68"/>
      <c r="R201" s="68"/>
      <c r="S201" s="68"/>
      <c r="T201" s="68"/>
      <c r="U201" s="68"/>
      <c r="V201" s="68"/>
      <c r="W201" s="47"/>
      <c r="X201" s="47"/>
      <c r="Y201" s="47"/>
      <c r="Z201" s="47"/>
      <c r="AA201" s="47"/>
      <c r="AB201" s="47"/>
      <c r="AC201" s="47"/>
      <c r="AD201" s="47"/>
      <c r="AE201" s="47"/>
      <c r="AF201" s="47"/>
      <c r="AG201" s="47"/>
      <c r="AH201" s="47"/>
      <c r="AI201" s="47"/>
      <c r="AJ201" s="47"/>
      <c r="AK201" s="47"/>
    </row>
    <row r="202" spans="1:37" hidden="1" outlineLevel="2" x14ac:dyDescent="0.25">
      <c r="A202" s="67" t="s">
        <v>79</v>
      </c>
      <c r="B202" s="67" t="s">
        <v>418</v>
      </c>
      <c r="C202" s="67" t="s">
        <v>1294</v>
      </c>
      <c r="D202" s="67" t="s">
        <v>1520</v>
      </c>
      <c r="E202" s="67" t="s">
        <v>1290</v>
      </c>
      <c r="F202" s="71"/>
      <c r="G202" s="68"/>
      <c r="H202" s="68"/>
      <c r="I202" s="68"/>
      <c r="J202" s="68"/>
      <c r="K202" s="68"/>
      <c r="L202" s="68"/>
      <c r="M202" s="68"/>
      <c r="N202" s="68"/>
      <c r="O202" s="68"/>
      <c r="P202" s="68"/>
      <c r="Q202" s="68"/>
      <c r="R202" s="68"/>
      <c r="S202" s="68"/>
      <c r="T202" s="68"/>
      <c r="U202" s="68"/>
      <c r="V202" s="68"/>
      <c r="W202" s="47"/>
      <c r="X202" s="47"/>
      <c r="Y202" s="47"/>
      <c r="Z202" s="47"/>
      <c r="AA202" s="47"/>
      <c r="AB202" s="47"/>
      <c r="AC202" s="47"/>
      <c r="AD202" s="47"/>
      <c r="AE202" s="47"/>
      <c r="AF202" s="47"/>
      <c r="AG202" s="47"/>
      <c r="AH202" s="47"/>
      <c r="AI202" s="47"/>
      <c r="AJ202" s="47"/>
      <c r="AK202" s="47"/>
    </row>
    <row r="203" spans="1:37" hidden="1" outlineLevel="2" x14ac:dyDescent="0.25">
      <c r="A203" s="67" t="s">
        <v>79</v>
      </c>
      <c r="B203" s="67" t="s">
        <v>419</v>
      </c>
      <c r="C203" s="67" t="s">
        <v>1295</v>
      </c>
      <c r="D203" s="67" t="s">
        <v>1520</v>
      </c>
      <c r="E203" s="67" t="s">
        <v>1290</v>
      </c>
      <c r="F203" s="71"/>
      <c r="G203" s="68"/>
      <c r="H203" s="68"/>
      <c r="I203" s="68"/>
      <c r="J203" s="68"/>
      <c r="K203" s="68"/>
      <c r="L203" s="68"/>
      <c r="M203" s="68"/>
      <c r="N203" s="68"/>
      <c r="O203" s="68"/>
      <c r="P203" s="68"/>
      <c r="Q203" s="68"/>
      <c r="R203" s="68"/>
      <c r="S203" s="68"/>
      <c r="T203" s="68"/>
      <c r="U203" s="68"/>
      <c r="V203" s="68"/>
      <c r="W203" s="47"/>
      <c r="X203" s="47"/>
      <c r="Y203" s="47"/>
      <c r="Z203" s="47"/>
      <c r="AA203" s="47"/>
      <c r="AB203" s="47"/>
      <c r="AC203" s="47"/>
      <c r="AD203" s="47"/>
      <c r="AE203" s="47"/>
      <c r="AF203" s="47"/>
      <c r="AG203" s="47"/>
      <c r="AH203" s="47"/>
      <c r="AI203" s="47"/>
      <c r="AJ203" s="47"/>
      <c r="AK203" s="47"/>
    </row>
    <row r="204" spans="1:37" hidden="1" outlineLevel="2" x14ac:dyDescent="0.25">
      <c r="A204" s="67" t="s">
        <v>79</v>
      </c>
      <c r="B204" s="67" t="s">
        <v>420</v>
      </c>
      <c r="C204" s="67" t="s">
        <v>1296</v>
      </c>
      <c r="D204" s="67" t="s">
        <v>1520</v>
      </c>
      <c r="E204" s="67" t="s">
        <v>1290</v>
      </c>
      <c r="F204" s="71"/>
      <c r="G204" s="68"/>
      <c r="H204" s="68"/>
      <c r="I204" s="68"/>
      <c r="J204" s="68"/>
      <c r="K204" s="68"/>
      <c r="L204" s="68"/>
      <c r="M204" s="68"/>
      <c r="N204" s="68"/>
      <c r="O204" s="68"/>
      <c r="P204" s="68"/>
      <c r="Q204" s="68"/>
      <c r="R204" s="68"/>
      <c r="S204" s="68"/>
      <c r="T204" s="68"/>
      <c r="U204" s="68"/>
      <c r="V204" s="68"/>
      <c r="W204" s="47"/>
      <c r="X204" s="47"/>
      <c r="Y204" s="47"/>
      <c r="Z204" s="47"/>
      <c r="AA204" s="47"/>
      <c r="AB204" s="47"/>
      <c r="AC204" s="47"/>
      <c r="AD204" s="47"/>
      <c r="AE204" s="47"/>
      <c r="AF204" s="47"/>
      <c r="AG204" s="47"/>
      <c r="AH204" s="47"/>
      <c r="AI204" s="47"/>
      <c r="AJ204" s="47"/>
      <c r="AK204" s="47"/>
    </row>
    <row r="205" spans="1:37" hidden="1" outlineLevel="2" x14ac:dyDescent="0.25">
      <c r="A205" s="67" t="s">
        <v>79</v>
      </c>
      <c r="B205" s="67" t="s">
        <v>421</v>
      </c>
      <c r="C205" s="67" t="s">
        <v>1297</v>
      </c>
      <c r="D205" s="67" t="s">
        <v>1520</v>
      </c>
      <c r="E205" s="67" t="s">
        <v>1290</v>
      </c>
      <c r="F205" s="71"/>
      <c r="G205" s="68"/>
      <c r="H205" s="68"/>
      <c r="I205" s="68"/>
      <c r="J205" s="68"/>
      <c r="K205" s="68"/>
      <c r="L205" s="68"/>
      <c r="M205" s="68"/>
      <c r="N205" s="68"/>
      <c r="O205" s="68"/>
      <c r="P205" s="68"/>
      <c r="Q205" s="68"/>
      <c r="R205" s="68"/>
      <c r="S205" s="68"/>
      <c r="T205" s="68"/>
      <c r="U205" s="68"/>
      <c r="V205" s="68"/>
      <c r="W205" s="47"/>
      <c r="X205" s="47"/>
      <c r="Y205" s="47"/>
      <c r="Z205" s="47"/>
      <c r="AA205" s="47"/>
      <c r="AB205" s="47"/>
      <c r="AC205" s="47"/>
      <c r="AD205" s="47"/>
      <c r="AE205" s="47"/>
      <c r="AF205" s="47"/>
      <c r="AG205" s="47"/>
      <c r="AH205" s="47"/>
      <c r="AI205" s="47"/>
      <c r="AJ205" s="47"/>
      <c r="AK205" s="47"/>
    </row>
    <row r="206" spans="1:37" hidden="1" outlineLevel="2" x14ac:dyDescent="0.25">
      <c r="A206" s="67" t="s">
        <v>79</v>
      </c>
      <c r="B206" s="67" t="s">
        <v>422</v>
      </c>
      <c r="C206" s="67" t="s">
        <v>1298</v>
      </c>
      <c r="D206" s="67" t="s">
        <v>1520</v>
      </c>
      <c r="E206" s="67" t="s">
        <v>1290</v>
      </c>
      <c r="F206" s="71"/>
      <c r="G206" s="68">
        <f>VLOOKUP($B206,'7. PGE_Efficacité'!$A$6:$CY$268,(MATCH('[3]4.4 ACE MAX SEN '!G$4,'7. PGE_Efficacité'!$A$4:$AO$4,0)),0)</f>
        <v>0</v>
      </c>
      <c r="H206" s="68">
        <f>VLOOKUP($B206,'7. PGE_Efficacité'!$A$6:$CY$268,(MATCH('[3]4.4 ACE MAX SEN '!H$4,'7. PGE_Efficacité'!$A$4:$AO$4,0)),0)</f>
        <v>0</v>
      </c>
      <c r="I206" s="68">
        <f>VLOOKUP($B206,'7. PGE_Efficacité'!$A$6:$CY$268,(MATCH('[3]4.4 ACE MAX SEN '!I$4,'7. PGE_Efficacité'!$A$4:$AO$4,0)),0)</f>
        <v>0</v>
      </c>
      <c r="J206" s="68">
        <f>VLOOKUP($B206,'7. PGE_Efficacité'!$A$6:$CY$268,(MATCH('[3]4.4 ACE MAX SEN '!J$4,'7. PGE_Efficacité'!$A$4:$AO$4,0)),0)</f>
        <v>0</v>
      </c>
      <c r="K206" s="68">
        <f>VLOOKUP($B206,'7. PGE_Efficacité'!$A$6:$CY$268,(MATCH('[3]4.4 ACE MAX SEN '!K$4,'7. PGE_Efficacité'!$A$4:$AO$4,0)),0)</f>
        <v>0</v>
      </c>
      <c r="L206" s="68">
        <f>VLOOKUP($B206,'7. PGE_Efficacité'!$A$6:$CY$268,(MATCH('[3]4.4 ACE MAX SEN '!L$4,'7. PGE_Efficacité'!$A$4:$AO$4,0)),0)</f>
        <v>0</v>
      </c>
      <c r="M206" s="68">
        <f>VLOOKUP($B206,'7. PGE_Efficacité'!$A$6:$CY$268,(MATCH('[3]4.4 ACE MAX SEN '!M$4,'7. PGE_Efficacité'!$A$4:$AO$4,0)),0)</f>
        <v>0</v>
      </c>
      <c r="N206" s="68">
        <f>VLOOKUP($B206,'7. PGE_Efficacité'!$A$6:$CY$268,(MATCH('[3]4.4 ACE MAX SEN '!N$4,'7. PGE_Efficacité'!$A$4:$AO$4,0)),0)</f>
        <v>0</v>
      </c>
      <c r="O206" s="68">
        <f>VLOOKUP($B206,'7. PGE_Efficacité'!$A$6:$CY$268,(MATCH('[3]4.4 ACE MAX SEN '!O$4,'7. PGE_Efficacité'!$A$4:$AO$4,0)),0)</f>
        <v>0</v>
      </c>
      <c r="P206" s="68">
        <f>VLOOKUP($B206,'7. PGE_Efficacité'!$A$6:$CY$268,(MATCH('[3]4.4 ACE MAX SEN '!P$4,'7. PGE_Efficacité'!$A$4:$AO$4,0)),0)</f>
        <v>0</v>
      </c>
      <c r="Q206" s="68">
        <f>VLOOKUP($B206,'7. PGE_Efficacité'!$A$6:$CY$268,(MATCH('[3]4.4 ACE MAX SEN '!Q$4,'7. PGE_Efficacité'!$A$4:$AO$4,0)),0)</f>
        <v>0</v>
      </c>
      <c r="R206" s="68">
        <f>VLOOKUP($B206,'7. PGE_Efficacité'!$A$6:$CY$268,(MATCH('[3]4.4 ACE MAX SEN '!R$4,'7. PGE_Efficacité'!$A$4:$AO$4,0)),0)</f>
        <v>0</v>
      </c>
      <c r="S206" s="68">
        <f>VLOOKUP($B206,'7. PGE_Efficacité'!$A$6:$CY$268,(MATCH('[3]4.4 ACE MAX SEN '!S$4,'7. PGE_Efficacité'!$A$4:$AO$4,0)),0)</f>
        <v>0</v>
      </c>
      <c r="T206" s="68">
        <f>VLOOKUP($B206,'7. PGE_Efficacité'!$A$6:$CY$268,(MATCH('[3]4.4 ACE MAX SEN '!T$4,'7. PGE_Efficacité'!$A$4:$AO$4,0)),0)</f>
        <v>0</v>
      </c>
      <c r="U206" s="68">
        <f>VLOOKUP($B206,'7. PGE_Efficacité'!$A$6:$CY$268,(MATCH('[3]4.4 ACE MAX SEN '!U$4,'7. PGE_Efficacité'!$A$4:$AO$4,0)),0)</f>
        <v>0</v>
      </c>
      <c r="V206" s="68">
        <f>VLOOKUP($B206,'7. PGE_Efficacité'!$A$6:$CY$268,(MATCH('[3]4.4 ACE MAX SEN '!V$4,'7. PGE_Efficacité'!$A$4:$AO$4,0)),0)</f>
        <v>0</v>
      </c>
      <c r="W206" s="47">
        <f>VLOOKUP($B206,'7. PGE_Efficacité'!$A$6:$CY$268,(MATCH('[3]4.4 ACE MAX SEN '!W$4,'7. PGE_Efficacité'!$A$4:$AO$4,0)),0)</f>
        <v>0</v>
      </c>
      <c r="X206" s="47">
        <f>VLOOKUP($B206,'7. PGE_Efficacité'!$A$6:$CY$268,(MATCH('[3]4.4 ACE MAX SEN '!X$4,'7. PGE_Efficacité'!$A$4:$AO$4,0)),0)</f>
        <v>0</v>
      </c>
      <c r="Y206" s="47">
        <f>VLOOKUP($B206,'7. PGE_Efficacité'!$A$6:$CY$268,(MATCH('[3]4.4 ACE MAX SEN '!Y$4,'7. PGE_Efficacité'!$A$4:$AO$4,0)),0)</f>
        <v>0</v>
      </c>
      <c r="Z206" s="47">
        <f>VLOOKUP($B206,'7. PGE_Efficacité'!$A$6:$CY$268,(MATCH('[3]4.4 ACE MAX SEN '!Z$4,'7. PGE_Efficacité'!$A$4:$AO$4,0)),0)</f>
        <v>0</v>
      </c>
      <c r="AA206" s="47">
        <f>VLOOKUP($B206,'7. PGE_Efficacité'!$A$6:$CY$268,(MATCH('[3]4.4 ACE MAX SEN '!AA$4,'7. PGE_Efficacité'!$A$4:$AO$4,0)),0)</f>
        <v>0</v>
      </c>
      <c r="AB206" s="47">
        <f>VLOOKUP($B206,'7. PGE_Efficacité'!$A$6:$CY$268,(MATCH('[3]4.4 ACE MAX SEN '!AB$4,'7. PGE_Efficacité'!$A$4:$AO$4,0)),0)</f>
        <v>0</v>
      </c>
      <c r="AC206" s="47">
        <f>VLOOKUP($B206,'7. PGE_Efficacité'!$A$6:$CY$268,(MATCH('[3]4.4 ACE MAX SEN '!AC$4,'7. PGE_Efficacité'!$A$4:$AO$4,0)),0)</f>
        <v>0</v>
      </c>
      <c r="AD206" s="47">
        <f>VLOOKUP($B206,'7. PGE_Efficacité'!$A$6:$CY$268,(MATCH('[3]4.4 ACE MAX SEN '!AD$4,'7. PGE_Efficacité'!$A$4:$AO$4,0)),0)</f>
        <v>0</v>
      </c>
      <c r="AE206" s="47">
        <f>VLOOKUP($B206,'7. PGE_Efficacité'!$A$6:$CY$268,(MATCH('[3]4.4 ACE MAX SEN '!AE$4,'7. PGE_Efficacité'!$A$4:$AO$4,0)),0)</f>
        <v>0</v>
      </c>
      <c r="AF206" s="47">
        <f>VLOOKUP($B206,'7. PGE_Efficacité'!$A$6:$CY$268,(MATCH('[3]4.4 ACE MAX SEN '!AF$4,'7. PGE_Efficacité'!$A$4:$AO$4,0)),0)</f>
        <v>0</v>
      </c>
      <c r="AG206" s="47">
        <f>VLOOKUP($B206,'7. PGE_Efficacité'!$A$6:$CY$268,(MATCH('[3]4.4 ACE MAX SEN '!AG$4,'7. PGE_Efficacité'!$A$4:$AO$4,0)),0)</f>
        <v>0</v>
      </c>
      <c r="AH206" s="47">
        <f>VLOOKUP($B206,'7. PGE_Efficacité'!$A$6:$CY$268,(MATCH('[3]4.4 ACE MAX SEN '!AH$4,'7. PGE_Efficacité'!$A$4:$AO$4,0)),0)</f>
        <v>0</v>
      </c>
      <c r="AI206" s="47">
        <f>VLOOKUP($B206,'7. PGE_Efficacité'!$A$6:$CY$268,(MATCH('[3]4.4 ACE MAX SEN '!AI$4,'7. PGE_Efficacité'!$A$4:$AO$4,0)),0)</f>
        <v>0</v>
      </c>
      <c r="AJ206" s="47">
        <f>VLOOKUP($B206,'7. PGE_Efficacité'!$A$6:$CY$268,(MATCH('[3]4.4 ACE MAX SEN '!AJ$4,'7. PGE_Efficacité'!$A$4:$AO$4,0)),0)</f>
        <v>0</v>
      </c>
      <c r="AK206" s="47">
        <f>VLOOKUP($B206,'7. PGE_Efficacité'!$A$6:$CY$268,(MATCH('[3]4.4 ACE MAX SEN '!AK$4,'7. PGE_Efficacité'!$A$4:$AO$4,0)),0)</f>
        <v>0</v>
      </c>
    </row>
    <row r="207" spans="1:37" hidden="1" outlineLevel="2" x14ac:dyDescent="0.25">
      <c r="A207" s="67" t="s">
        <v>79</v>
      </c>
      <c r="B207" s="67" t="s">
        <v>423</v>
      </c>
      <c r="C207" s="67" t="s">
        <v>1493</v>
      </c>
      <c r="D207" s="67" t="s">
        <v>1520</v>
      </c>
      <c r="E207" s="67"/>
      <c r="F207" s="71"/>
      <c r="G207" s="68"/>
      <c r="H207" s="68"/>
      <c r="I207" s="68"/>
      <c r="J207" s="68"/>
      <c r="K207" s="68"/>
      <c r="L207" s="68"/>
      <c r="M207" s="68"/>
      <c r="N207" s="68"/>
      <c r="O207" s="68"/>
      <c r="P207" s="68"/>
      <c r="Q207" s="68"/>
      <c r="R207" s="68"/>
      <c r="S207" s="68"/>
      <c r="T207" s="68"/>
      <c r="U207" s="68"/>
      <c r="V207" s="68"/>
      <c r="W207" s="47"/>
      <c r="X207" s="47"/>
      <c r="Y207" s="47"/>
      <c r="Z207" s="47"/>
      <c r="AA207" s="47"/>
      <c r="AB207" s="47"/>
      <c r="AC207" s="47"/>
      <c r="AD207" s="47"/>
      <c r="AE207" s="47"/>
      <c r="AF207" s="47"/>
      <c r="AG207" s="47"/>
      <c r="AH207" s="47"/>
      <c r="AI207" s="47"/>
      <c r="AJ207" s="47"/>
      <c r="AK207" s="47"/>
    </row>
    <row r="208" spans="1:37" hidden="1" outlineLevel="2" x14ac:dyDescent="0.25">
      <c r="A208" s="67" t="s">
        <v>79</v>
      </c>
      <c r="B208" s="67" t="s">
        <v>424</v>
      </c>
      <c r="C208" s="67" t="s">
        <v>1494</v>
      </c>
      <c r="D208" s="67" t="s">
        <v>1520</v>
      </c>
      <c r="E208" s="67" t="s">
        <v>1290</v>
      </c>
      <c r="F208" s="71"/>
      <c r="G208" s="68"/>
      <c r="H208" s="68"/>
      <c r="I208" s="68"/>
      <c r="J208" s="68"/>
      <c r="K208" s="68"/>
      <c r="L208" s="68"/>
      <c r="M208" s="68"/>
      <c r="N208" s="68"/>
      <c r="O208" s="68"/>
      <c r="P208" s="68"/>
      <c r="Q208" s="68"/>
      <c r="R208" s="68"/>
      <c r="S208" s="68"/>
      <c r="T208" s="68"/>
      <c r="U208" s="68"/>
      <c r="V208" s="68"/>
      <c r="W208" s="47"/>
      <c r="X208" s="47"/>
      <c r="Y208" s="47"/>
      <c r="Z208" s="47"/>
      <c r="AA208" s="47"/>
      <c r="AB208" s="47"/>
      <c r="AC208" s="47"/>
      <c r="AD208" s="47"/>
      <c r="AE208" s="47"/>
      <c r="AF208" s="47"/>
      <c r="AG208" s="47"/>
      <c r="AH208" s="47"/>
      <c r="AI208" s="47"/>
      <c r="AJ208" s="47"/>
      <c r="AK208" s="47"/>
    </row>
    <row r="209" spans="1:37" hidden="1" outlineLevel="2" x14ac:dyDescent="0.25">
      <c r="A209" s="67" t="s">
        <v>79</v>
      </c>
      <c r="B209" s="67" t="s">
        <v>425</v>
      </c>
      <c r="C209" s="67" t="s">
        <v>1495</v>
      </c>
      <c r="D209" s="67" t="s">
        <v>1520</v>
      </c>
      <c r="E209" s="67"/>
      <c r="F209" s="71"/>
      <c r="G209" s="68"/>
      <c r="H209" s="68"/>
      <c r="I209" s="68"/>
      <c r="J209" s="68"/>
      <c r="K209" s="68"/>
      <c r="L209" s="68"/>
      <c r="M209" s="68"/>
      <c r="N209" s="68"/>
      <c r="O209" s="68"/>
      <c r="P209" s="68"/>
      <c r="Q209" s="68"/>
      <c r="R209" s="68"/>
      <c r="S209" s="68"/>
      <c r="T209" s="68"/>
      <c r="U209" s="68"/>
      <c r="V209" s="68"/>
      <c r="W209" s="47"/>
      <c r="X209" s="47"/>
      <c r="Y209" s="47"/>
      <c r="Z209" s="47"/>
      <c r="AA209" s="47"/>
      <c r="AB209" s="47"/>
      <c r="AC209" s="47"/>
      <c r="AD209" s="47"/>
      <c r="AE209" s="47"/>
      <c r="AF209" s="47"/>
      <c r="AG209" s="47"/>
      <c r="AH209" s="47"/>
      <c r="AI209" s="47"/>
      <c r="AJ209" s="47"/>
      <c r="AK209" s="47"/>
    </row>
    <row r="210" spans="1:37" hidden="1" outlineLevel="2" x14ac:dyDescent="0.25">
      <c r="A210" s="67" t="s">
        <v>79</v>
      </c>
      <c r="B210" s="67" t="s">
        <v>426</v>
      </c>
      <c r="C210" s="67" t="s">
        <v>1496</v>
      </c>
      <c r="D210" s="67" t="s">
        <v>1520</v>
      </c>
      <c r="E210" s="67" t="s">
        <v>1290</v>
      </c>
      <c r="F210" s="71"/>
      <c r="G210" s="68"/>
      <c r="H210" s="68"/>
      <c r="I210" s="68"/>
      <c r="J210" s="68"/>
      <c r="K210" s="68"/>
      <c r="L210" s="68"/>
      <c r="M210" s="68"/>
      <c r="N210" s="68"/>
      <c r="O210" s="68"/>
      <c r="P210" s="68"/>
      <c r="Q210" s="68"/>
      <c r="R210" s="68"/>
      <c r="S210" s="68"/>
      <c r="T210" s="68"/>
      <c r="U210" s="68"/>
      <c r="V210" s="68"/>
      <c r="W210" s="47"/>
      <c r="X210" s="47"/>
      <c r="Y210" s="47"/>
      <c r="Z210" s="47"/>
      <c r="AA210" s="47"/>
      <c r="AB210" s="47"/>
      <c r="AC210" s="47"/>
      <c r="AD210" s="47"/>
      <c r="AE210" s="47"/>
      <c r="AF210" s="47"/>
      <c r="AG210" s="47"/>
      <c r="AH210" s="47"/>
      <c r="AI210" s="47"/>
      <c r="AJ210" s="47"/>
      <c r="AK210" s="47"/>
    </row>
    <row r="211" spans="1:37" hidden="1" outlineLevel="2" x14ac:dyDescent="0.25">
      <c r="A211" s="67" t="s">
        <v>79</v>
      </c>
      <c r="B211" s="67" t="s">
        <v>427</v>
      </c>
      <c r="C211" s="67" t="s">
        <v>1497</v>
      </c>
      <c r="D211" s="67" t="s">
        <v>1520</v>
      </c>
      <c r="E211" s="67" t="s">
        <v>1290</v>
      </c>
      <c r="F211" s="71"/>
      <c r="G211" s="68"/>
      <c r="H211" s="68"/>
      <c r="I211" s="68"/>
      <c r="J211" s="68"/>
      <c r="K211" s="68"/>
      <c r="L211" s="68"/>
      <c r="M211" s="68"/>
      <c r="N211" s="68"/>
      <c r="O211" s="68"/>
      <c r="P211" s="68"/>
      <c r="Q211" s="68"/>
      <c r="R211" s="68"/>
      <c r="S211" s="68"/>
      <c r="T211" s="68"/>
      <c r="U211" s="68"/>
      <c r="V211" s="68"/>
      <c r="W211" s="47"/>
      <c r="X211" s="47"/>
      <c r="Y211" s="47"/>
      <c r="Z211" s="47"/>
      <c r="AA211" s="47"/>
      <c r="AB211" s="47"/>
      <c r="AC211" s="47"/>
      <c r="AD211" s="47"/>
      <c r="AE211" s="47"/>
      <c r="AF211" s="47"/>
      <c r="AG211" s="47"/>
      <c r="AH211" s="47"/>
      <c r="AI211" s="47"/>
      <c r="AJ211" s="47"/>
      <c r="AK211" s="47"/>
    </row>
    <row r="214" spans="1:37" x14ac:dyDescent="0.25">
      <c r="F214" s="158" t="s">
        <v>1613</v>
      </c>
    </row>
    <row r="215" spans="1:37" x14ac:dyDescent="0.25">
      <c r="F215" s="160" t="s">
        <v>1614</v>
      </c>
      <c r="G215" s="161"/>
      <c r="H215" s="161"/>
    </row>
    <row r="216" spans="1:37" x14ac:dyDescent="0.25">
      <c r="F216" s="162" t="s">
        <v>1615</v>
      </c>
      <c r="G216" s="161"/>
      <c r="H216" s="161"/>
    </row>
  </sheetData>
  <autoFilter ref="A5:AK211" xr:uid="{00000000-0009-0000-0000-000009000000}"/>
  <mergeCells count="7">
    <mergeCell ref="AG3:AK3"/>
    <mergeCell ref="G2:V2"/>
    <mergeCell ref="G3:K3"/>
    <mergeCell ref="M3:N3"/>
    <mergeCell ref="R3:V3"/>
    <mergeCell ref="W3:AC3"/>
    <mergeCell ref="AD3:AF3"/>
  </mergeCells>
  <conditionalFormatting sqref="F7 F17 F34 F36 F51 F75 F85 F95 F100 F108 F116 F121 F126 F129 F140 F151 F159 F173 F187 F194 F200">
    <cfRule type="cellIs" dxfId="20" priority="1" operator="greaterThan">
      <formula>10000000</formula>
    </cfRule>
    <cfRule type="cellIs" dxfId="19" priority="2" operator="lessThanOrEqual">
      <formula>1000000</formula>
    </cfRule>
    <cfRule type="cellIs" dxfId="18" priority="3" operator="between">
      <formula>1000000</formula>
      <formula>10000000</formula>
    </cfRule>
  </conditionalFormatting>
  <pageMargins left="0.70866141732283472" right="0.70866141732283472" top="0.74803149606299213" bottom="0.74803149606299213" header="0.31496062992125984" footer="0.31496062992125984"/>
  <pageSetup paperSize="9" scale="42" fitToWidth="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3</vt:i4>
      </vt:variant>
    </vt:vector>
  </HeadingPairs>
  <TitlesOfParts>
    <vt:vector size="24" baseType="lpstr">
      <vt:lpstr>Index</vt:lpstr>
      <vt:lpstr>1. Mesures</vt:lpstr>
      <vt:lpstr>2. Mesures_Budget_Eff_tot</vt:lpstr>
      <vt:lpstr>3. Recherche Budget</vt:lpstr>
      <vt:lpstr>4. Mesures_ACE_Budget</vt:lpstr>
      <vt:lpstr>4.1 ACE EFF SEN</vt:lpstr>
      <vt:lpstr>4.2 ACE EFF WOL</vt:lpstr>
      <vt:lpstr>4.3 ACE EFF CAN</vt:lpstr>
      <vt:lpstr>4.4 ACE MAX SEN </vt:lpstr>
      <vt:lpstr>4.5 ACE MAX WOL </vt:lpstr>
      <vt:lpstr>4.6 ACE MAX CAN </vt:lpstr>
      <vt:lpstr>5. Consolidation</vt:lpstr>
      <vt:lpstr>5.1 Budget</vt:lpstr>
      <vt:lpstr>5.2 Actions</vt:lpstr>
      <vt:lpstr>6. Mesures_ Budget_ Maximaliste</vt:lpstr>
      <vt:lpstr>7. PGE_Efficacité</vt:lpstr>
      <vt:lpstr>8. Hiérarchie</vt:lpstr>
      <vt:lpstr>9.DSimply_parties_prenantes</vt:lpstr>
      <vt:lpstr>10,DSimply_mesures</vt:lpstr>
      <vt:lpstr>11.DSimply_actions</vt:lpstr>
      <vt:lpstr>12.Validation co</vt:lpstr>
      <vt:lpstr>'5.2 Actions'!_ftn1</vt:lpstr>
      <vt:lpstr>Flag_Axe</vt:lpstr>
      <vt:lpstr>'4.1 ACE EFF SEN'!Impression_des_titres</vt:lpstr>
    </vt:vector>
  </TitlesOfParts>
  <Company>BE-LB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FRAGAPANE Pietro</dc:creator>
  <cp:lastModifiedBy>BINON Martin</cp:lastModifiedBy>
  <cp:lastPrinted>2021-12-20T13:57:33Z</cp:lastPrinted>
  <dcterms:created xsi:type="dcterms:W3CDTF">2021-10-27T15:02:34Z</dcterms:created>
  <dcterms:modified xsi:type="dcterms:W3CDTF">2022-09-13T09:14:59Z</dcterms:modified>
</cp:coreProperties>
</file>